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327"/>
  <workbookPr defaultThemeVersion="123820"/>
  <mc:AlternateContent xmlns:mc="http://schemas.openxmlformats.org/markup-compatibility/2006">
    <mc:Choice Requires="x15">
      <x15ac:absPath xmlns:x15ac="http://schemas.microsoft.com/office/spreadsheetml/2010/11/ac" url="E:\2023\KOMPUTER PAK UDIN\FISIK REHAB GOR FUTSAL\EDIT LPSE\"/>
    </mc:Choice>
  </mc:AlternateContent>
  <xr:revisionPtr revIDLastSave="0" documentId="13_ncr:1_{DE8406DF-9A2E-4858-817E-C22CF2EC7455}" xr6:coauthVersionLast="47" xr6:coauthVersionMax="47" xr10:uidLastSave="{00000000-0000-0000-0000-000000000000}"/>
  <bookViews>
    <workbookView xWindow="-108" yWindow="-108" windowWidth="23256" windowHeight="12456" tabRatio="879" firstSheet="4" activeTab="9" xr2:uid="{00000000-000D-0000-FFFF-FFFF00000000}"/>
  </bookViews>
  <sheets>
    <sheet name="page 370" sheetId="1" state="hidden" r:id="rId1"/>
    <sheet name="page 372" sheetId="3" state="hidden" r:id="rId2"/>
    <sheet name="BACK UP BESI BETON BACKISTING" sheetId="346" state="hidden" r:id="rId3"/>
    <sheet name="BACK-UP DATA" sheetId="345" state="hidden" r:id="rId4"/>
    <sheet name="Rekap" sheetId="339" r:id="rId5"/>
    <sheet name="Analisa" sheetId="16" r:id="rId6"/>
    <sheet name="ANL. HITUNG" sheetId="350" r:id="rId7"/>
    <sheet name="DUB" sheetId="340" r:id="rId8"/>
    <sheet name="REKAP EE" sheetId="353" r:id="rId9"/>
    <sheet name="EE" sheetId="351" r:id="rId10"/>
    <sheet name="BACKUP" sheetId="352" r:id="rId11"/>
    <sheet name="dihitung" sheetId="343" state="hidden" r:id="rId12"/>
    <sheet name="page 442" sheetId="70" state="hidden" r:id="rId13"/>
    <sheet name="page 443" sheetId="71" state="hidden" r:id="rId14"/>
    <sheet name="page 444" sheetId="72" state="hidden" r:id="rId15"/>
    <sheet name="page 445" sheetId="73" state="hidden" r:id="rId16"/>
    <sheet name="page 446" sheetId="74" state="hidden" r:id="rId17"/>
    <sheet name="page 447" sheetId="75" state="hidden" r:id="rId18"/>
    <sheet name="page 448" sheetId="76" state="hidden" r:id="rId19"/>
    <sheet name="page 449" sheetId="77" state="hidden" r:id="rId20"/>
    <sheet name="page 450" sheetId="78" state="hidden" r:id="rId21"/>
    <sheet name="page 451" sheetId="79" state="hidden" r:id="rId22"/>
    <sheet name="page 452" sheetId="80" state="hidden" r:id="rId23"/>
    <sheet name="page 453" sheetId="81" state="hidden" r:id="rId24"/>
    <sheet name="page 454" sheetId="82" state="hidden" r:id="rId25"/>
    <sheet name="page 455" sheetId="83" state="hidden" r:id="rId26"/>
    <sheet name="page 456" sheetId="84" state="hidden" r:id="rId27"/>
    <sheet name="page 457" sheetId="85" state="hidden" r:id="rId28"/>
    <sheet name="page 458" sheetId="86" state="hidden" r:id="rId29"/>
    <sheet name="page 459" sheetId="87" state="hidden" r:id="rId30"/>
    <sheet name="page 460" sheetId="88" state="hidden" r:id="rId31"/>
    <sheet name="page 461" sheetId="89" state="hidden" r:id="rId32"/>
    <sheet name="page 462" sheetId="90" state="hidden" r:id="rId33"/>
    <sheet name="page 463" sheetId="91" state="hidden" r:id="rId34"/>
    <sheet name="page 464" sheetId="92" state="hidden" r:id="rId35"/>
    <sheet name="page 465" sheetId="93" state="hidden" r:id="rId36"/>
    <sheet name="page 466" sheetId="94" state="hidden" r:id="rId37"/>
    <sheet name="page 467" sheetId="95" state="hidden" r:id="rId38"/>
    <sheet name="page 468" sheetId="96" state="hidden" r:id="rId39"/>
    <sheet name="page 469" sheetId="97" state="hidden" r:id="rId40"/>
    <sheet name="page 470" sheetId="98" state="hidden" r:id="rId41"/>
    <sheet name="page 471" sheetId="99" state="hidden" r:id="rId42"/>
    <sheet name="page 472" sheetId="100" state="hidden" r:id="rId43"/>
    <sheet name="page 473" sheetId="101" state="hidden" r:id="rId44"/>
    <sheet name="page 473 (2)" sheetId="328" state="hidden" r:id="rId45"/>
    <sheet name="page 474" sheetId="102" state="hidden" r:id="rId46"/>
    <sheet name="page 475" sheetId="103" state="hidden" r:id="rId47"/>
    <sheet name="page 476" sheetId="104" state="hidden" r:id="rId48"/>
    <sheet name="page 477" sheetId="105" state="hidden" r:id="rId49"/>
    <sheet name="page 478" sheetId="106" state="hidden" r:id="rId50"/>
    <sheet name="page 479" sheetId="107" state="hidden" r:id="rId51"/>
    <sheet name="page 480" sheetId="108" state="hidden" r:id="rId52"/>
    <sheet name="page 481" sheetId="109" state="hidden" r:id="rId53"/>
    <sheet name="page 482" sheetId="110" state="hidden" r:id="rId54"/>
    <sheet name="page 483" sheetId="111" state="hidden" r:id="rId55"/>
    <sheet name="page 484" sheetId="112" state="hidden" r:id="rId56"/>
    <sheet name="page 485" sheetId="113" state="hidden" r:id="rId57"/>
    <sheet name="page 486" sheetId="114" state="hidden" r:id="rId58"/>
    <sheet name="page 487" sheetId="115" state="hidden" r:id="rId59"/>
    <sheet name="page 488" sheetId="116" state="hidden" r:id="rId60"/>
    <sheet name="page 489" sheetId="117" state="hidden" r:id="rId61"/>
    <sheet name="page 490" sheetId="118" state="hidden" r:id="rId62"/>
    <sheet name="page 491" sheetId="119" state="hidden" r:id="rId63"/>
    <sheet name="page 492" sheetId="120" state="hidden" r:id="rId64"/>
    <sheet name="page 493" sheetId="121" state="hidden" r:id="rId65"/>
    <sheet name="page 494" sheetId="122" state="hidden" r:id="rId66"/>
    <sheet name="page 495" sheetId="123" state="hidden" r:id="rId67"/>
    <sheet name="page 496" sheetId="124" state="hidden" r:id="rId68"/>
    <sheet name="page 497" sheetId="125" state="hidden" r:id="rId69"/>
    <sheet name="page 498" sheetId="126" state="hidden" r:id="rId70"/>
    <sheet name="page 499" sheetId="127" state="hidden" r:id="rId71"/>
    <sheet name="page 500" sheetId="128" state="hidden" r:id="rId72"/>
    <sheet name="page 501" sheetId="129" state="hidden" r:id="rId73"/>
    <sheet name="page 502" sheetId="130" state="hidden" r:id="rId74"/>
    <sheet name="page 503" sheetId="131" state="hidden" r:id="rId75"/>
    <sheet name="page 504" sheetId="132" state="hidden" r:id="rId76"/>
    <sheet name="page 505" sheetId="133" state="hidden" r:id="rId77"/>
    <sheet name="page 506" sheetId="134" state="hidden" r:id="rId78"/>
    <sheet name="page 507" sheetId="135" state="hidden" r:id="rId79"/>
    <sheet name="page 508" sheetId="136" state="hidden" r:id="rId80"/>
    <sheet name="page 509" sheetId="137" state="hidden" r:id="rId81"/>
    <sheet name="page 509 (2)" sheetId="329" state="hidden" r:id="rId82"/>
    <sheet name="page 510" sheetId="138" state="hidden" r:id="rId83"/>
    <sheet name="page 511" sheetId="139" state="hidden" r:id="rId84"/>
    <sheet name="page 512" sheetId="140" state="hidden" r:id="rId85"/>
    <sheet name="page 513" sheetId="141" state="hidden" r:id="rId86"/>
    <sheet name="page 514" sheetId="142" state="hidden" r:id="rId87"/>
    <sheet name="page 515" sheetId="143" state="hidden" r:id="rId88"/>
    <sheet name="page 516" sheetId="144" state="hidden" r:id="rId89"/>
    <sheet name="page 517" sheetId="145" state="hidden" r:id="rId90"/>
    <sheet name="page 518" sheetId="146" state="hidden" r:id="rId91"/>
    <sheet name="page 519" sheetId="147" state="hidden" r:id="rId92"/>
    <sheet name="page 520" sheetId="148" state="hidden" r:id="rId93"/>
    <sheet name="page 521" sheetId="149" state="hidden" r:id="rId94"/>
    <sheet name="page 522" sheetId="150" state="hidden" r:id="rId95"/>
    <sheet name="page 523" sheetId="151" state="hidden" r:id="rId96"/>
    <sheet name="page 524" sheetId="152" state="hidden" r:id="rId97"/>
    <sheet name="page 525" sheetId="153" state="hidden" r:id="rId98"/>
    <sheet name="page 526" sheetId="154" state="hidden" r:id="rId99"/>
    <sheet name="page 527" sheetId="155" state="hidden" r:id="rId100"/>
    <sheet name="page 528" sheetId="156" state="hidden" r:id="rId101"/>
    <sheet name="page 529" sheetId="157" state="hidden" r:id="rId102"/>
    <sheet name="page 530" sheetId="158" state="hidden" r:id="rId103"/>
    <sheet name="page 530 (2)" sheetId="330" state="hidden" r:id="rId104"/>
    <sheet name="page 531" sheetId="159" state="hidden" r:id="rId105"/>
    <sheet name="page 532" sheetId="160" state="hidden" r:id="rId106"/>
    <sheet name="page 533" sheetId="161" state="hidden" r:id="rId107"/>
    <sheet name="page 534" sheetId="162" state="hidden" r:id="rId108"/>
    <sheet name="page 535" sheetId="163" state="hidden" r:id="rId109"/>
    <sheet name="page 536" sheetId="164" state="hidden" r:id="rId110"/>
    <sheet name="page 537" sheetId="165" state="hidden" r:id="rId111"/>
    <sheet name="page 538" sheetId="166" state="hidden" r:id="rId112"/>
    <sheet name="page 539" sheetId="167" state="hidden" r:id="rId113"/>
    <sheet name="page 540" sheetId="168" state="hidden" r:id="rId114"/>
    <sheet name="page 541" sheetId="169" state="hidden" r:id="rId115"/>
    <sheet name="page 542" sheetId="170" state="hidden" r:id="rId116"/>
    <sheet name="page 543" sheetId="171" state="hidden" r:id="rId117"/>
    <sheet name="page 544" sheetId="172" state="hidden" r:id="rId118"/>
    <sheet name="page 544 (2)" sheetId="331" state="hidden" r:id="rId119"/>
    <sheet name="page 545" sheetId="173" state="hidden" r:id="rId120"/>
    <sheet name="page 546" sheetId="174" state="hidden" r:id="rId121"/>
    <sheet name="page 547" sheetId="175" state="hidden" r:id="rId122"/>
    <sheet name="page 548" sheetId="176" state="hidden" r:id="rId123"/>
    <sheet name="page 549" sheetId="177" state="hidden" r:id="rId124"/>
    <sheet name="page 550" sheetId="178" state="hidden" r:id="rId125"/>
    <sheet name="page 551" sheetId="179" state="hidden" r:id="rId126"/>
    <sheet name="page 552" sheetId="180" state="hidden" r:id="rId127"/>
    <sheet name="page 553" sheetId="181" state="hidden" r:id="rId128"/>
    <sheet name="page 554" sheetId="182" state="hidden" r:id="rId129"/>
    <sheet name="page 555" sheetId="183" state="hidden" r:id="rId130"/>
    <sheet name="page 556" sheetId="184" state="hidden" r:id="rId131"/>
    <sheet name="page 557" sheetId="185" state="hidden" r:id="rId132"/>
    <sheet name="page 558" sheetId="186" state="hidden" r:id="rId133"/>
    <sheet name="page 559" sheetId="187" state="hidden" r:id="rId134"/>
    <sheet name="page 560" sheetId="188" state="hidden" r:id="rId135"/>
    <sheet name="page 561" sheetId="189" state="hidden" r:id="rId136"/>
    <sheet name="page 562" sheetId="190" state="hidden" r:id="rId137"/>
    <sheet name="page 563" sheetId="191" state="hidden" r:id="rId138"/>
    <sheet name="page 564" sheetId="192" state="hidden" r:id="rId139"/>
    <sheet name="page 565" sheetId="193" state="hidden" r:id="rId140"/>
    <sheet name="page 566" sheetId="194" state="hidden" r:id="rId141"/>
    <sheet name="page 566 (2)" sheetId="332" state="hidden" r:id="rId142"/>
    <sheet name="page 567" sheetId="195" state="hidden" r:id="rId143"/>
    <sheet name="page 568" sheetId="196" state="hidden" r:id="rId144"/>
    <sheet name="page 569" sheetId="197" state="hidden" r:id="rId145"/>
    <sheet name="page 570" sheetId="198" state="hidden" r:id="rId146"/>
    <sheet name="page 571" sheetId="199" state="hidden" r:id="rId147"/>
    <sheet name="page 572" sheetId="200" state="hidden" r:id="rId148"/>
    <sheet name="page 573" sheetId="201" state="hidden" r:id="rId149"/>
    <sheet name="page 574" sheetId="202" state="hidden" r:id="rId150"/>
    <sheet name="page 575" sheetId="203" state="hidden" r:id="rId151"/>
    <sheet name="page 576" sheetId="204" state="hidden" r:id="rId152"/>
    <sheet name="page 577" sheetId="205" state="hidden" r:id="rId153"/>
    <sheet name="page 578" sheetId="206" state="hidden" r:id="rId154"/>
    <sheet name="page 579" sheetId="207" state="hidden" r:id="rId155"/>
    <sheet name="page 580" sheetId="208" state="hidden" r:id="rId156"/>
    <sheet name="page 581" sheetId="209" state="hidden" r:id="rId157"/>
    <sheet name="page 582" sheetId="210" state="hidden" r:id="rId158"/>
    <sheet name="page 583" sheetId="211" state="hidden" r:id="rId159"/>
    <sheet name="page 584" sheetId="212" state="hidden" r:id="rId160"/>
    <sheet name="page 584 (2)" sheetId="333" state="hidden" r:id="rId161"/>
    <sheet name="page 585" sheetId="213" state="hidden" r:id="rId162"/>
    <sheet name="page 586" sheetId="214" state="hidden" r:id="rId163"/>
    <sheet name="page 587" sheetId="215" state="hidden" r:id="rId164"/>
    <sheet name="page 588" sheetId="216" state="hidden" r:id="rId165"/>
    <sheet name="page 589" sheetId="217" state="hidden" r:id="rId166"/>
    <sheet name="page 590" sheetId="218" state="hidden" r:id="rId167"/>
    <sheet name="page 591" sheetId="219" state="hidden" r:id="rId168"/>
    <sheet name="page 592" sheetId="220" state="hidden" r:id="rId169"/>
    <sheet name="page 593" sheetId="221" state="hidden" r:id="rId170"/>
    <sheet name="page 594" sheetId="222" state="hidden" r:id="rId171"/>
    <sheet name="page 595" sheetId="223" state="hidden" r:id="rId172"/>
    <sheet name="page 596" sheetId="224" state="hidden" r:id="rId173"/>
    <sheet name="page 597" sheetId="225" state="hidden" r:id="rId174"/>
    <sheet name="page 598" sheetId="226" state="hidden" r:id="rId175"/>
    <sheet name="page 599" sheetId="227" state="hidden" r:id="rId176"/>
    <sheet name="page 600" sheetId="228" state="hidden" r:id="rId177"/>
    <sheet name="page 601" sheetId="229" state="hidden" r:id="rId178"/>
    <sheet name="page 602" sheetId="230" state="hidden" r:id="rId179"/>
    <sheet name="page 603" sheetId="231" state="hidden" r:id="rId180"/>
    <sheet name="page 604" sheetId="232" state="hidden" r:id="rId181"/>
    <sheet name="page 605" sheetId="233" state="hidden" r:id="rId182"/>
    <sheet name="page 606" sheetId="234" state="hidden" r:id="rId183"/>
    <sheet name="page 607" sheetId="235" state="hidden" r:id="rId184"/>
    <sheet name="page 608" sheetId="236" state="hidden" r:id="rId185"/>
    <sheet name="page 609" sheetId="237" state="hidden" r:id="rId186"/>
    <sheet name="page 610" sheetId="238" state="hidden" r:id="rId187"/>
    <sheet name="page 611" sheetId="239" state="hidden" r:id="rId188"/>
    <sheet name="page 612" sheetId="240" state="hidden" r:id="rId189"/>
    <sheet name="page 613" sheetId="241" state="hidden" r:id="rId190"/>
    <sheet name="page 614" sheetId="242" state="hidden" r:id="rId191"/>
    <sheet name="page 615" sheetId="243" state="hidden" r:id="rId192"/>
    <sheet name="page 616" sheetId="244" state="hidden" r:id="rId193"/>
    <sheet name="page 617" sheetId="245" state="hidden" r:id="rId194"/>
    <sheet name="page 618" sheetId="246" state="hidden" r:id="rId195"/>
    <sheet name="page 619" sheetId="247" state="hidden" r:id="rId196"/>
    <sheet name="page 620" sheetId="248" state="hidden" r:id="rId197"/>
    <sheet name="page 621" sheetId="249" state="hidden" r:id="rId198"/>
    <sheet name="page 622" sheetId="250" state="hidden" r:id="rId199"/>
    <sheet name="page 623" sheetId="251" state="hidden" r:id="rId200"/>
    <sheet name="page 624" sheetId="252" state="hidden" r:id="rId201"/>
    <sheet name="page 625" sheetId="253" state="hidden" r:id="rId202"/>
    <sheet name="page 626" sheetId="254" state="hidden" r:id="rId203"/>
    <sheet name="page 627" sheetId="255" state="hidden" r:id="rId204"/>
    <sheet name="page 628" sheetId="256" state="hidden" r:id="rId205"/>
    <sheet name="page 629" sheetId="257" state="hidden" r:id="rId206"/>
    <sheet name="page 630" sheetId="258" state="hidden" r:id="rId207"/>
    <sheet name="page 631" sheetId="259" state="hidden" r:id="rId208"/>
    <sheet name="page 632" sheetId="260" state="hidden" r:id="rId209"/>
    <sheet name="page 633" sheetId="261" state="hidden" r:id="rId210"/>
    <sheet name="page 634" sheetId="262" state="hidden" r:id="rId211"/>
    <sheet name="page 635" sheetId="263" state="hidden" r:id="rId212"/>
    <sheet name="page 636" sheetId="264" state="hidden" r:id="rId213"/>
    <sheet name="page 637" sheetId="265" state="hidden" r:id="rId214"/>
    <sheet name="page 638" sheetId="266" state="hidden" r:id="rId215"/>
    <sheet name="page 639" sheetId="267" state="hidden" r:id="rId216"/>
    <sheet name="page 640" sheetId="268" state="hidden" r:id="rId217"/>
    <sheet name="page 641" sheetId="269" state="hidden" r:id="rId218"/>
    <sheet name="page 642" sheetId="270" state="hidden" r:id="rId219"/>
    <sheet name="page 643" sheetId="271" state="hidden" r:id="rId220"/>
    <sheet name="page 644" sheetId="272" state="hidden" r:id="rId221"/>
    <sheet name="page 645" sheetId="273" state="hidden" r:id="rId222"/>
    <sheet name="page 646" sheetId="274" state="hidden" r:id="rId223"/>
    <sheet name="page 647" sheetId="275" state="hidden" r:id="rId224"/>
    <sheet name="page 648" sheetId="276" state="hidden" r:id="rId225"/>
    <sheet name="page 649" sheetId="277" state="hidden" r:id="rId226"/>
    <sheet name="page 650" sheetId="278" state="hidden" r:id="rId227"/>
    <sheet name="page 651" sheetId="279" state="hidden" r:id="rId228"/>
    <sheet name="page 652" sheetId="280" state="hidden" r:id="rId229"/>
    <sheet name="page 653" sheetId="281" state="hidden" r:id="rId230"/>
    <sheet name="page 654" sheetId="282" state="hidden" r:id="rId231"/>
    <sheet name="page 655" sheetId="283" state="hidden" r:id="rId232"/>
    <sheet name="page 656" sheetId="284" state="hidden" r:id="rId233"/>
    <sheet name="page 657" sheetId="285" state="hidden" r:id="rId234"/>
    <sheet name="page 658" sheetId="286" state="hidden" r:id="rId235"/>
    <sheet name="page 659" sheetId="287" state="hidden" r:id="rId236"/>
    <sheet name="page 660" sheetId="288" state="hidden" r:id="rId237"/>
    <sheet name="page 661" sheetId="289" state="hidden" r:id="rId238"/>
    <sheet name="page 662" sheetId="290" state="hidden" r:id="rId239"/>
    <sheet name="page 663" sheetId="291" state="hidden" r:id="rId240"/>
    <sheet name="page 663 2" sheetId="334" state="hidden" r:id="rId241"/>
    <sheet name="page 664" sheetId="292" state="hidden" r:id="rId242"/>
    <sheet name="page 665" sheetId="293" state="hidden" r:id="rId243"/>
    <sheet name="page 666" sheetId="294" state="hidden" r:id="rId244"/>
    <sheet name="page 667" sheetId="295" state="hidden" r:id="rId245"/>
    <sheet name="page 668" sheetId="296" state="hidden" r:id="rId246"/>
    <sheet name="page 669" sheetId="297" state="hidden" r:id="rId247"/>
    <sheet name="page 670" sheetId="298" state="hidden" r:id="rId248"/>
    <sheet name="page 671" sheetId="299" state="hidden" r:id="rId249"/>
    <sheet name="page 672" sheetId="300" state="hidden" r:id="rId250"/>
    <sheet name="page 673" sheetId="301" state="hidden" r:id="rId251"/>
    <sheet name="page 674" sheetId="302" state="hidden" r:id="rId252"/>
    <sheet name="page 675" sheetId="303" state="hidden" r:id="rId253"/>
    <sheet name="page 676" sheetId="304" state="hidden" r:id="rId254"/>
    <sheet name="page 677" sheetId="305" state="hidden" r:id="rId255"/>
    <sheet name="page 677 (2)" sheetId="335" state="hidden" r:id="rId256"/>
    <sheet name="page 678" sheetId="306" state="hidden" r:id="rId257"/>
    <sheet name="page 679" sheetId="307" state="hidden" r:id="rId258"/>
    <sheet name="page 680" sheetId="308" state="hidden" r:id="rId259"/>
    <sheet name="page 681" sheetId="309" state="hidden" r:id="rId260"/>
    <sheet name="page 682" sheetId="310" state="hidden" r:id="rId261"/>
    <sheet name="page 683" sheetId="311" state="hidden" r:id="rId262"/>
    <sheet name="page 683 (2)" sheetId="336" state="hidden" r:id="rId263"/>
    <sheet name="page 684" sheetId="312" state="hidden" r:id="rId264"/>
    <sheet name="page 685" sheetId="313" state="hidden" r:id="rId265"/>
    <sheet name="page 686" sheetId="314" state="hidden" r:id="rId266"/>
    <sheet name="page 687" sheetId="315" state="hidden" r:id="rId267"/>
    <sheet name="page 696" sheetId="323" state="hidden" r:id="rId268"/>
  </sheets>
  <externalReferences>
    <externalReference r:id="rId269"/>
    <externalReference r:id="rId270"/>
    <externalReference r:id="rId271"/>
    <externalReference r:id="rId272"/>
    <externalReference r:id="rId273"/>
    <externalReference r:id="rId274"/>
    <externalReference r:id="rId275"/>
    <externalReference r:id="rId276"/>
    <externalReference r:id="rId277"/>
    <externalReference r:id="rId278"/>
    <externalReference r:id="rId279"/>
    <externalReference r:id="rId280"/>
    <externalReference r:id="rId281"/>
    <externalReference r:id="rId282"/>
    <externalReference r:id="rId283"/>
    <externalReference r:id="rId284"/>
    <externalReference r:id="rId285"/>
    <externalReference r:id="rId286"/>
    <externalReference r:id="rId287"/>
    <externalReference r:id="rId288"/>
    <externalReference r:id="rId289"/>
    <externalReference r:id="rId290"/>
    <externalReference r:id="rId291"/>
    <externalReference r:id="rId292"/>
    <externalReference r:id="rId293"/>
    <externalReference r:id="rId294"/>
    <externalReference r:id="rId295"/>
    <externalReference r:id="rId296"/>
    <externalReference r:id="rId297"/>
    <externalReference r:id="rId298"/>
    <externalReference r:id="rId299"/>
    <externalReference r:id="rId300"/>
    <externalReference r:id="rId301"/>
    <externalReference r:id="rId302"/>
    <externalReference r:id="rId303"/>
    <externalReference r:id="rId304"/>
    <externalReference r:id="rId305"/>
    <externalReference r:id="rId306"/>
    <externalReference r:id="rId307"/>
    <externalReference r:id="rId308"/>
    <externalReference r:id="rId309"/>
    <externalReference r:id="rId310"/>
    <externalReference r:id="rId311"/>
    <externalReference r:id="rId312"/>
    <externalReference r:id="rId313"/>
    <externalReference r:id="rId314"/>
    <externalReference r:id="rId315"/>
    <externalReference r:id="rId316"/>
    <externalReference r:id="rId317"/>
    <externalReference r:id="rId318"/>
    <externalReference r:id="rId319"/>
    <externalReference r:id="rId320"/>
    <externalReference r:id="rId321"/>
    <externalReference r:id="rId322"/>
    <externalReference r:id="rId323"/>
    <externalReference r:id="rId324"/>
    <externalReference r:id="rId325"/>
    <externalReference r:id="rId326"/>
    <externalReference r:id="rId327"/>
    <externalReference r:id="rId328"/>
    <externalReference r:id="rId329"/>
    <externalReference r:id="rId330"/>
    <externalReference r:id="rId331"/>
    <externalReference r:id="rId332"/>
    <externalReference r:id="rId333"/>
    <externalReference r:id="rId334"/>
    <externalReference r:id="rId335"/>
    <externalReference r:id="rId336"/>
    <externalReference r:id="rId337"/>
    <externalReference r:id="rId338"/>
    <externalReference r:id="rId339"/>
    <externalReference r:id="rId340"/>
    <externalReference r:id="rId341"/>
    <externalReference r:id="rId342"/>
    <externalReference r:id="rId343"/>
    <externalReference r:id="rId344"/>
    <externalReference r:id="rId345"/>
    <externalReference r:id="rId346"/>
    <externalReference r:id="rId347"/>
    <externalReference r:id="rId348"/>
    <externalReference r:id="rId349"/>
    <externalReference r:id="rId350"/>
    <externalReference r:id="rId351"/>
    <externalReference r:id="rId352"/>
    <externalReference r:id="rId353"/>
    <externalReference r:id="rId354"/>
    <externalReference r:id="rId355"/>
    <externalReference r:id="rId356"/>
    <externalReference r:id="rId357"/>
    <externalReference r:id="rId358"/>
    <externalReference r:id="rId359"/>
    <externalReference r:id="rId360"/>
    <externalReference r:id="rId361"/>
    <externalReference r:id="rId362"/>
    <externalReference r:id="rId363"/>
  </externalReferences>
  <definedNames>
    <definedName name="\0" localSheetId="2">#REF!</definedName>
    <definedName name="\0" localSheetId="3">#REF!</definedName>
    <definedName name="\0">#REF!</definedName>
    <definedName name="\A" localSheetId="2">#REF!</definedName>
    <definedName name="\A" localSheetId="3">#REF!</definedName>
    <definedName name="\A">[1]A!#REF!</definedName>
    <definedName name="\B">[1]A!#REF!</definedName>
    <definedName name="\D">[1]A!#REF!</definedName>
    <definedName name="\E">[1]A!#REF!</definedName>
    <definedName name="\G">[1]A!#REF!</definedName>
    <definedName name="\i" localSheetId="3">#REF!</definedName>
    <definedName name="\i">#REF!</definedName>
    <definedName name="\L">[1]A!#REF!</definedName>
    <definedName name="\M" localSheetId="3">#REF!</definedName>
    <definedName name="\M">#REF!</definedName>
    <definedName name="\P" localSheetId="2">#REF!</definedName>
    <definedName name="\P" localSheetId="3">#REF!</definedName>
    <definedName name="\P">[1]A!#REF!</definedName>
    <definedName name="\Q" localSheetId="2">#REF!</definedName>
    <definedName name="\Q" localSheetId="3">#REF!</definedName>
    <definedName name="\Q" localSheetId="11">#REF!</definedName>
    <definedName name="\Q">#REF!</definedName>
    <definedName name="\R">[1]A!#REF!</definedName>
    <definedName name="\S">#REF!</definedName>
    <definedName name="\T">[1]A!#REF!</definedName>
    <definedName name="\u" localSheetId="2">#REF!</definedName>
    <definedName name="\u" localSheetId="3">#REF!</definedName>
    <definedName name="\U">[1]A!#REF!</definedName>
    <definedName name="\V">[1]A!#REF!</definedName>
    <definedName name="\W" localSheetId="2">#REF!</definedName>
    <definedName name="\W" localSheetId="3">#REF!</definedName>
    <definedName name="\W">#REF!</definedName>
    <definedName name="\X">[1]A!#REF!</definedName>
    <definedName name="\y" localSheetId="3">#REF!</definedName>
    <definedName name="\y">#REF!</definedName>
    <definedName name="\Z">[1]A!#REF!</definedName>
    <definedName name="_\Q" localSheetId="3">#REF!</definedName>
    <definedName name="_\Q">#REF!</definedName>
    <definedName name="__?___RIGHT__?_" localSheetId="3">#REF!</definedName>
    <definedName name="__?___RIGHT__?_">#REF!</definedName>
    <definedName name="__\W" localSheetId="3">#REF!</definedName>
    <definedName name="__\W">#REF!</definedName>
    <definedName name="____________DIV1" localSheetId="3">#REF!</definedName>
    <definedName name="____________DIV1">#REF!</definedName>
    <definedName name="____________DIV10" localSheetId="3">#REF!</definedName>
    <definedName name="____________DIV10">#REF!</definedName>
    <definedName name="____________DIV2" localSheetId="3">#REF!</definedName>
    <definedName name="____________DIV2">#REF!</definedName>
    <definedName name="____________DIV3" localSheetId="3">#REF!</definedName>
    <definedName name="____________DIV3">#REF!</definedName>
    <definedName name="____________DIV4" localSheetId="3">#REF!</definedName>
    <definedName name="____________DIV4">#REF!</definedName>
    <definedName name="____________DIV5" localSheetId="3">#REF!</definedName>
    <definedName name="____________DIV5">#REF!</definedName>
    <definedName name="____________DIV6" localSheetId="3">#REF!</definedName>
    <definedName name="____________DIV6">#REF!</definedName>
    <definedName name="____________DIV7" localSheetId="3">#REF!</definedName>
    <definedName name="____________DIV7">#REF!</definedName>
    <definedName name="____________DIV8" localSheetId="3">#REF!</definedName>
    <definedName name="____________DIV8">#REF!</definedName>
    <definedName name="____________DIV9" localSheetId="3">#REF!</definedName>
    <definedName name="____________DIV9">#REF!</definedName>
    <definedName name="___________DIV1" localSheetId="3">#REF!</definedName>
    <definedName name="___________DIV1">#REF!</definedName>
    <definedName name="___________DIV10" localSheetId="3">#REF!</definedName>
    <definedName name="___________DIV10">#REF!</definedName>
    <definedName name="___________DIV2" localSheetId="3">#REF!</definedName>
    <definedName name="___________DIV2">#REF!</definedName>
    <definedName name="___________DIV3" localSheetId="3">#REF!</definedName>
    <definedName name="___________DIV3">#REF!</definedName>
    <definedName name="___________DIV4" localSheetId="3">#REF!</definedName>
    <definedName name="___________DIV4">#REF!</definedName>
    <definedName name="___________DIV5" localSheetId="3">#REF!</definedName>
    <definedName name="___________DIV5">#REF!</definedName>
    <definedName name="___________DIV6" localSheetId="3">#REF!</definedName>
    <definedName name="___________DIV6">#REF!</definedName>
    <definedName name="___________DIV7" localSheetId="3">#REF!</definedName>
    <definedName name="___________DIV7">#REF!</definedName>
    <definedName name="___________DIV8" localSheetId="3">#REF!</definedName>
    <definedName name="___________DIV8">#REF!</definedName>
    <definedName name="___________DIV9" localSheetId="3">#REF!</definedName>
    <definedName name="___________DIV9">#REF!</definedName>
    <definedName name="___________HAL1" localSheetId="3">#REF!</definedName>
    <definedName name="___________HAL1">#REF!</definedName>
    <definedName name="___________HAL2" localSheetId="3">#REF!</definedName>
    <definedName name="___________HAL2">#REF!</definedName>
    <definedName name="__________DIV1" localSheetId="3">#REF!</definedName>
    <definedName name="__________DIV1">#REF!</definedName>
    <definedName name="__________DIV10" localSheetId="3">#REF!</definedName>
    <definedName name="__________DIV10">#REF!</definedName>
    <definedName name="__________DIV2" localSheetId="3">#REF!</definedName>
    <definedName name="__________DIV2">#REF!</definedName>
    <definedName name="__________DIV3" localSheetId="3">#REF!</definedName>
    <definedName name="__________DIV3">#REF!</definedName>
    <definedName name="__________DIV4" localSheetId="3">#REF!</definedName>
    <definedName name="__________DIV4">#REF!</definedName>
    <definedName name="__________DIV5" localSheetId="3">#REF!</definedName>
    <definedName name="__________DIV5">#REF!</definedName>
    <definedName name="__________DIV6" localSheetId="3">#REF!</definedName>
    <definedName name="__________DIV6">#REF!</definedName>
    <definedName name="__________DIV7" localSheetId="3">#REF!</definedName>
    <definedName name="__________DIV7">#REF!</definedName>
    <definedName name="__________DIV8" localSheetId="3">#REF!</definedName>
    <definedName name="__________DIV8">#REF!</definedName>
    <definedName name="__________DIV9" localSheetId="3">#REF!</definedName>
    <definedName name="__________DIV9">#REF!</definedName>
    <definedName name="__________HAL1" localSheetId="3">#REF!</definedName>
    <definedName name="__________HAL1">#REF!</definedName>
    <definedName name="__________HAL2" localSheetId="3">#REF!</definedName>
    <definedName name="__________HAL2">#REF!</definedName>
    <definedName name="__________ker1030" localSheetId="3">#REF!</definedName>
    <definedName name="__________ker1030">#REF!</definedName>
    <definedName name="_________DIV1" localSheetId="3">#REF!</definedName>
    <definedName name="_________DIV1">#REF!</definedName>
    <definedName name="_________DIV10" localSheetId="3">#REF!</definedName>
    <definedName name="_________DIV10">#REF!</definedName>
    <definedName name="_________DIV2" localSheetId="3">#REF!</definedName>
    <definedName name="_________DIV2">#REF!</definedName>
    <definedName name="_________DIV3" localSheetId="3">#REF!</definedName>
    <definedName name="_________DIV3">#REF!</definedName>
    <definedName name="_________DIV4" localSheetId="3">#REF!</definedName>
    <definedName name="_________DIV4">#REF!</definedName>
    <definedName name="_________DIV5" localSheetId="3">#REF!</definedName>
    <definedName name="_________DIV5">#REF!</definedName>
    <definedName name="_________DIV6" localSheetId="3">#REF!</definedName>
    <definedName name="_________DIV6">#REF!</definedName>
    <definedName name="_________DIV7" localSheetId="3">#REF!</definedName>
    <definedName name="_________DIV7">#REF!</definedName>
    <definedName name="_________DIV8" localSheetId="3">#REF!</definedName>
    <definedName name="_________DIV8">#REF!</definedName>
    <definedName name="_________DIV9" localSheetId="3">#REF!</definedName>
    <definedName name="_________DIV9">#REF!</definedName>
    <definedName name="_________HAL1" localSheetId="3">#REF!</definedName>
    <definedName name="_________HAL1">#REF!</definedName>
    <definedName name="_________HAL2" localSheetId="3">#REF!</definedName>
    <definedName name="_________HAL2">#REF!</definedName>
    <definedName name="_________ker1020" localSheetId="3">#REF!</definedName>
    <definedName name="_________ker1020">#REF!</definedName>
    <definedName name="_________ker1030" localSheetId="3">#REF!</definedName>
    <definedName name="_________ker1030">#REF!</definedName>
    <definedName name="________DAF10" localSheetId="3">#REF!</definedName>
    <definedName name="________DAF10">#REF!</definedName>
    <definedName name="________DIV1" localSheetId="3">#REF!</definedName>
    <definedName name="________DIV1">#REF!</definedName>
    <definedName name="________DIV10" localSheetId="3">#REF!</definedName>
    <definedName name="________DIV10">#REF!</definedName>
    <definedName name="________DIV11" localSheetId="3">#REF!</definedName>
    <definedName name="________DIV11">#REF!</definedName>
    <definedName name="________DIV2" localSheetId="3">#REF!</definedName>
    <definedName name="________DIV2">#REF!</definedName>
    <definedName name="________DIV3" localSheetId="3">#REF!</definedName>
    <definedName name="________DIV3">#REF!</definedName>
    <definedName name="________DIV4" localSheetId="3">#REF!</definedName>
    <definedName name="________DIV4">#REF!</definedName>
    <definedName name="________DIV5" localSheetId="3">#REF!</definedName>
    <definedName name="________DIV5">#REF!</definedName>
    <definedName name="________DIV6" localSheetId="3">#REF!</definedName>
    <definedName name="________DIV6">#REF!</definedName>
    <definedName name="________DIV7" localSheetId="3">#REF!</definedName>
    <definedName name="________DIV7">#REF!</definedName>
    <definedName name="________DIV8" localSheetId="3">#REF!</definedName>
    <definedName name="________DIV8">#REF!</definedName>
    <definedName name="________DIV9" localSheetId="3">#REF!</definedName>
    <definedName name="________DIV9">#REF!</definedName>
    <definedName name="________grc1" localSheetId="3">#REF!</definedName>
    <definedName name="________grc1">#REF!</definedName>
    <definedName name="________HAL1" localSheetId="3">#REF!</definedName>
    <definedName name="________HAL1">#REF!</definedName>
    <definedName name="________HAL2" localSheetId="3">#REF!</definedName>
    <definedName name="________HAL2">#REF!</definedName>
    <definedName name="________HAL3" localSheetId="3">#REF!</definedName>
    <definedName name="________HAL3">#REF!</definedName>
    <definedName name="________HAL4" localSheetId="3">#REF!</definedName>
    <definedName name="________HAL4">#REF!</definedName>
    <definedName name="________HAL5" localSheetId="3">#REF!</definedName>
    <definedName name="________HAL5">#REF!</definedName>
    <definedName name="________HAL6" localSheetId="3">#REF!</definedName>
    <definedName name="________HAL6">#REF!</definedName>
    <definedName name="________HAL7" localSheetId="3">#REF!</definedName>
    <definedName name="________HAL7">#REF!</definedName>
    <definedName name="________HAL8" localSheetId="3">#REF!</definedName>
    <definedName name="________HAL8">#REF!</definedName>
    <definedName name="________ker1020" localSheetId="3">#REF!</definedName>
    <definedName name="________ker1020">#REF!</definedName>
    <definedName name="________ker1030" localSheetId="3">#REF!</definedName>
    <definedName name="________ker1030">#REF!</definedName>
    <definedName name="________PL3" localSheetId="3">#REF!</definedName>
    <definedName name="________PL3">#REF!</definedName>
    <definedName name="________rkl1000" localSheetId="3">#REF!</definedName>
    <definedName name="________rkl1000">#REF!</definedName>
    <definedName name="________rkl200" localSheetId="3">#REF!</definedName>
    <definedName name="________rkl200">#REF!</definedName>
    <definedName name="________rkl300" localSheetId="3">#REF!</definedName>
    <definedName name="________rkl300">#REF!</definedName>
    <definedName name="________rkl400" localSheetId="3">#REF!</definedName>
    <definedName name="________rkl400">#REF!</definedName>
    <definedName name="________rkl500" localSheetId="3">#REF!</definedName>
    <definedName name="________rkl500">#REF!</definedName>
    <definedName name="________rkl600" localSheetId="3">#REF!</definedName>
    <definedName name="________rkl600">#REF!</definedName>
    <definedName name="________rkl700" localSheetId="3">#REF!</definedName>
    <definedName name="________rkl700">#REF!</definedName>
    <definedName name="________rkl800" localSheetId="3">#REF!</definedName>
    <definedName name="________rkl800">#REF!</definedName>
    <definedName name="________tlc20" localSheetId="3">#REF!</definedName>
    <definedName name="________tlc20">#REF!</definedName>
    <definedName name="_______bcv100" localSheetId="3">#REF!</definedName>
    <definedName name="_______bcv100">#REF!</definedName>
    <definedName name="_______bcv125" localSheetId="3">#REF!</definedName>
    <definedName name="_______bcv125">#REF!</definedName>
    <definedName name="_______bcv150" localSheetId="3">#REF!</definedName>
    <definedName name="_______bcv150">#REF!</definedName>
    <definedName name="_______cvd100" localSheetId="3">#REF!</definedName>
    <definedName name="_______cvd100">#REF!</definedName>
    <definedName name="_______cvd15" localSheetId="3">#REF!</definedName>
    <definedName name="_______cvd15">#REF!</definedName>
    <definedName name="_______cvd150" localSheetId="3">#REF!</definedName>
    <definedName name="_______cvd150">#REF!</definedName>
    <definedName name="_______cvd50" localSheetId="3">#REF!</definedName>
    <definedName name="_______cvd50">#REF!</definedName>
    <definedName name="_______cvd65" localSheetId="3">#REF!</definedName>
    <definedName name="_______cvd65">#REF!</definedName>
    <definedName name="_______DAF10" localSheetId="3">#REF!</definedName>
    <definedName name="_______DAF10">#REF!</definedName>
    <definedName name="_______daf32" localSheetId="3">#REF!</definedName>
    <definedName name="_______daf32">#REF!</definedName>
    <definedName name="_______daf33" localSheetId="3">#REF!</definedName>
    <definedName name="_______daf33">#REF!</definedName>
    <definedName name="_______DIV1" localSheetId="3">#REF!</definedName>
    <definedName name="_______DIV1">#REF!</definedName>
    <definedName name="_______DIV10" localSheetId="3">#REF!</definedName>
    <definedName name="_______DIV10">#REF!</definedName>
    <definedName name="_______DIV11" localSheetId="3">#REF!</definedName>
    <definedName name="_______DIV11">#REF!</definedName>
    <definedName name="_______DIV2" localSheetId="3">#REF!</definedName>
    <definedName name="_______DIV2">#REF!</definedName>
    <definedName name="_______DIV3" localSheetId="3">#REF!</definedName>
    <definedName name="_______DIV3">#REF!</definedName>
    <definedName name="_______DIV4" localSheetId="3">#REF!</definedName>
    <definedName name="_______DIV4">#REF!</definedName>
    <definedName name="_______DIV5" localSheetId="3">#REF!</definedName>
    <definedName name="_______DIV5">#REF!</definedName>
    <definedName name="_______DIV6" localSheetId="3">#REF!</definedName>
    <definedName name="_______DIV6">#REF!</definedName>
    <definedName name="_______DIV7" localSheetId="3">#REF!</definedName>
    <definedName name="_______DIV7">#REF!</definedName>
    <definedName name="_______DIV8" localSheetId="3">#REF!</definedName>
    <definedName name="_______DIV8">#REF!</definedName>
    <definedName name="_______DIV9" localSheetId="3">#REF!</definedName>
    <definedName name="_______DIV9">#REF!</definedName>
    <definedName name="_______fjd100" localSheetId="3">#REF!</definedName>
    <definedName name="_______fjd100">#REF!</definedName>
    <definedName name="_______fjd150" localSheetId="3">#REF!</definedName>
    <definedName name="_______fjd150">#REF!</definedName>
    <definedName name="_______fjd50" localSheetId="3">#REF!</definedName>
    <definedName name="_______fjd50">#REF!</definedName>
    <definedName name="_______fjd65" localSheetId="3">#REF!</definedName>
    <definedName name="_______fjd65">#REF!</definedName>
    <definedName name="_______fmd150" localSheetId="3">#REF!</definedName>
    <definedName name="_______fmd150">#REF!</definedName>
    <definedName name="_______grc1" localSheetId="3">#REF!</definedName>
    <definedName name="_______grc1">#REF!</definedName>
    <definedName name="_______gti50" localSheetId="3">#REF!</definedName>
    <definedName name="_______gti50">#REF!</definedName>
    <definedName name="_______gti60" localSheetId="3">#REF!</definedName>
    <definedName name="_______gti60">#REF!</definedName>
    <definedName name="_______gvd100" localSheetId="3">#REF!</definedName>
    <definedName name="_______gvd100">#REF!</definedName>
    <definedName name="_______gvd15" localSheetId="3">#REF!</definedName>
    <definedName name="_______gvd15">#REF!</definedName>
    <definedName name="_______gvd150" localSheetId="3">#REF!</definedName>
    <definedName name="_______gvd150">#REF!</definedName>
    <definedName name="_______gvd25" localSheetId="3">#REF!</definedName>
    <definedName name="_______gvd25">#REF!</definedName>
    <definedName name="_______gvd50" localSheetId="3">#REF!</definedName>
    <definedName name="_______gvd50">#REF!</definedName>
    <definedName name="_______gvd65" localSheetId="3">#REF!</definedName>
    <definedName name="_______gvd65">#REF!</definedName>
    <definedName name="_______HAL1" localSheetId="3">#REF!</definedName>
    <definedName name="_______HAL1">#REF!</definedName>
    <definedName name="_______HAL2" localSheetId="3">#REF!</definedName>
    <definedName name="_______HAL2">#REF!</definedName>
    <definedName name="_______HAL3" localSheetId="3">#REF!</definedName>
    <definedName name="_______HAL3">#REF!</definedName>
    <definedName name="_______HAL4" localSheetId="3">#REF!</definedName>
    <definedName name="_______HAL4">#REF!</definedName>
    <definedName name="_______HAL5" localSheetId="3">#REF!</definedName>
    <definedName name="_______HAL5">#REF!</definedName>
    <definedName name="_______HAL6" localSheetId="3">#REF!</definedName>
    <definedName name="_______HAL6">#REF!</definedName>
    <definedName name="_______HAL7" localSheetId="3">#REF!</definedName>
    <definedName name="_______HAL7">#REF!</definedName>
    <definedName name="_______HAL8" localSheetId="3">#REF!</definedName>
    <definedName name="_______HAL8">#REF!</definedName>
    <definedName name="_______hdw1" localSheetId="3">#REF!</definedName>
    <definedName name="_______hdw1">#REF!</definedName>
    <definedName name="_______jum1" localSheetId="3">#REF!</definedName>
    <definedName name="_______jum1">#REF!</definedName>
    <definedName name="_______jum10" localSheetId="3">#REF!</definedName>
    <definedName name="_______jum10">#REF!</definedName>
    <definedName name="_______jum2" localSheetId="3">#REF!</definedName>
    <definedName name="_______jum2">#REF!</definedName>
    <definedName name="_______jum3" localSheetId="3">#REF!</definedName>
    <definedName name="_______jum3">#REF!</definedName>
    <definedName name="_______jum4" localSheetId="3">#REF!</definedName>
    <definedName name="_______jum4">#REF!</definedName>
    <definedName name="_______jum5" localSheetId="3">#REF!</definedName>
    <definedName name="_______jum5">#REF!</definedName>
    <definedName name="_______jum6" localSheetId="3">#REF!</definedName>
    <definedName name="_______jum6">#REF!</definedName>
    <definedName name="_______jum7" localSheetId="3">#REF!</definedName>
    <definedName name="_______jum7">#REF!</definedName>
    <definedName name="_______jum8" localSheetId="3">#REF!</definedName>
    <definedName name="_______jum8">#REF!</definedName>
    <definedName name="_______jum9" localSheetId="3">#REF!</definedName>
    <definedName name="_______jum9">#REF!</definedName>
    <definedName name="_______ker1020" localSheetId="3">#REF!</definedName>
    <definedName name="_______ker1020">#REF!</definedName>
    <definedName name="_______MDE35" localSheetId="3">#REF!</definedName>
    <definedName name="_______MDE35">#REF!</definedName>
    <definedName name="_______MDE36" localSheetId="3">#REF!</definedName>
    <definedName name="_______MDE36">#REF!</definedName>
    <definedName name="_______MDE37" localSheetId="3">#REF!</definedName>
    <definedName name="_______MDE37">#REF!</definedName>
    <definedName name="_______MDE38" localSheetId="3">#REF!</definedName>
    <definedName name="_______MDE38">#REF!</definedName>
    <definedName name="_______MDE39" localSheetId="3">#REF!</definedName>
    <definedName name="_______MDE39">#REF!</definedName>
    <definedName name="_______MDE40" localSheetId="3">#REF!</definedName>
    <definedName name="_______MDE40">#REF!</definedName>
    <definedName name="_______MDE41" localSheetId="3">#REF!</definedName>
    <definedName name="_______MDE41">#REF!</definedName>
    <definedName name="_______MDE42" localSheetId="3">#REF!</definedName>
    <definedName name="_______MDE42">#REF!</definedName>
    <definedName name="_______MDE43" localSheetId="3">#REF!</definedName>
    <definedName name="_______MDE43">#REF!</definedName>
    <definedName name="_______MDE44" localSheetId="3">#REF!</definedName>
    <definedName name="_______MDE44">#REF!</definedName>
    <definedName name="_______MDE45" localSheetId="3">#REF!</definedName>
    <definedName name="_______MDE45">#REF!</definedName>
    <definedName name="_______MDE46" localSheetId="3">#REF!</definedName>
    <definedName name="_______MDE46">#REF!</definedName>
    <definedName name="_______MDE47" localSheetId="3">#REF!</definedName>
    <definedName name="_______MDE47">#REF!</definedName>
    <definedName name="_______MDE48" localSheetId="3">#REF!</definedName>
    <definedName name="_______MDE48">#REF!</definedName>
    <definedName name="_______MDE49" localSheetId="3">#REF!</definedName>
    <definedName name="_______MDE49">#REF!</definedName>
    <definedName name="_______MDE50" localSheetId="3">#REF!</definedName>
    <definedName name="_______MDE50">#REF!</definedName>
    <definedName name="_______MDE51" localSheetId="3">#REF!</definedName>
    <definedName name="_______MDE51">#REF!</definedName>
    <definedName name="_______MDE52" localSheetId="3">#REF!</definedName>
    <definedName name="_______MDE52">#REF!</definedName>
    <definedName name="_______MDE53" localSheetId="3">#REF!</definedName>
    <definedName name="_______MDE53">#REF!</definedName>
    <definedName name="_______MDE54" localSheetId="3">#REF!</definedName>
    <definedName name="_______MDE54">#REF!</definedName>
    <definedName name="_______MDE55" localSheetId="3">#REF!</definedName>
    <definedName name="_______MDE55">#REF!</definedName>
    <definedName name="_______MDE56" localSheetId="3">#REF!</definedName>
    <definedName name="_______MDE56">#REF!</definedName>
    <definedName name="_______MDE57" localSheetId="3">#REF!</definedName>
    <definedName name="_______MDE57">#REF!</definedName>
    <definedName name="_______MDE58" localSheetId="3">#REF!</definedName>
    <definedName name="_______MDE58">#REF!</definedName>
    <definedName name="_______MDE59" localSheetId="3">#REF!</definedName>
    <definedName name="_______MDE59">#REF!</definedName>
    <definedName name="_______MDE60" localSheetId="3">#REF!</definedName>
    <definedName name="_______MDE60">#REF!</definedName>
    <definedName name="_______MDE61" localSheetId="3">#REF!</definedName>
    <definedName name="_______MDE61">#REF!</definedName>
    <definedName name="_______MDE62" localSheetId="3">#REF!</definedName>
    <definedName name="_______MDE62">#REF!</definedName>
    <definedName name="_______MDE63" localSheetId="3">#REF!</definedName>
    <definedName name="_______MDE63">#REF!</definedName>
    <definedName name="_______MDE64" localSheetId="3">#REF!</definedName>
    <definedName name="_______MDE64">#REF!</definedName>
    <definedName name="_______MDE65" localSheetId="3">#REF!</definedName>
    <definedName name="_______MDE65">#REF!</definedName>
    <definedName name="_______MDE66" localSheetId="3">#REF!</definedName>
    <definedName name="_______MDE66">#REF!</definedName>
    <definedName name="_______MDE67" localSheetId="3">#REF!</definedName>
    <definedName name="_______MDE67">#REF!</definedName>
    <definedName name="_______MDE68" localSheetId="3">#REF!</definedName>
    <definedName name="_______MDE68">#REF!</definedName>
    <definedName name="_______ME35" localSheetId="3">#REF!</definedName>
    <definedName name="_______ME35">#REF!</definedName>
    <definedName name="_______ME36" localSheetId="3">#REF!</definedName>
    <definedName name="_______ME36">#REF!</definedName>
    <definedName name="_______ME37" localSheetId="3">#REF!</definedName>
    <definedName name="_______ME37">#REF!</definedName>
    <definedName name="_______ME38" localSheetId="3">#REF!</definedName>
    <definedName name="_______ME38">#REF!</definedName>
    <definedName name="_______ME39" localSheetId="3">#REF!</definedName>
    <definedName name="_______ME39">#REF!</definedName>
    <definedName name="_______ME40" localSheetId="3">#REF!</definedName>
    <definedName name="_______ME40">#REF!</definedName>
    <definedName name="_______ME41" localSheetId="3">#REF!</definedName>
    <definedName name="_______ME41">#REF!</definedName>
    <definedName name="_______ME42" localSheetId="3">#REF!</definedName>
    <definedName name="_______ME42">#REF!</definedName>
    <definedName name="_______ME43" localSheetId="3">#REF!</definedName>
    <definedName name="_______ME43">#REF!</definedName>
    <definedName name="_______ME44" localSheetId="3">#REF!</definedName>
    <definedName name="_______ME44">#REF!</definedName>
    <definedName name="_______ME45" localSheetId="3">#REF!</definedName>
    <definedName name="_______ME45">#REF!</definedName>
    <definedName name="_______ME46" localSheetId="3">#REF!</definedName>
    <definedName name="_______ME46">#REF!</definedName>
    <definedName name="_______ME47" localSheetId="3">#REF!</definedName>
    <definedName name="_______ME47">#REF!</definedName>
    <definedName name="_______ME48" localSheetId="3">#REF!</definedName>
    <definedName name="_______ME48">#REF!</definedName>
    <definedName name="_______ME49" localSheetId="3">#REF!</definedName>
    <definedName name="_______ME49">#REF!</definedName>
    <definedName name="_______ME50" localSheetId="3">#REF!</definedName>
    <definedName name="_______ME50">#REF!</definedName>
    <definedName name="_______ME51" localSheetId="3">#REF!</definedName>
    <definedName name="_______ME51">#REF!</definedName>
    <definedName name="_______ME52" localSheetId="3">#REF!</definedName>
    <definedName name="_______ME52">#REF!</definedName>
    <definedName name="_______ME53" localSheetId="3">#REF!</definedName>
    <definedName name="_______ME53">#REF!</definedName>
    <definedName name="_______ME54" localSheetId="3">#REF!</definedName>
    <definedName name="_______ME54">#REF!</definedName>
    <definedName name="_______ME55" localSheetId="3">#REF!</definedName>
    <definedName name="_______ME55">#REF!</definedName>
    <definedName name="_______ME56" localSheetId="3">#REF!</definedName>
    <definedName name="_______ME56">#REF!</definedName>
    <definedName name="_______ME57" localSheetId="3">#REF!</definedName>
    <definedName name="_______ME57">#REF!</definedName>
    <definedName name="_______ME58" localSheetId="3">#REF!</definedName>
    <definedName name="_______ME58">#REF!</definedName>
    <definedName name="_______ME59" localSheetId="3">#REF!</definedName>
    <definedName name="_______ME59">#REF!</definedName>
    <definedName name="_______ME60" localSheetId="3">#REF!</definedName>
    <definedName name="_______ME60">#REF!</definedName>
    <definedName name="_______ME61" localSheetId="3">#REF!</definedName>
    <definedName name="_______ME61">#REF!</definedName>
    <definedName name="_______ME62" localSheetId="3">#REF!</definedName>
    <definedName name="_______ME62">#REF!</definedName>
    <definedName name="_______ME63" localSheetId="3">#REF!</definedName>
    <definedName name="_______ME63">#REF!</definedName>
    <definedName name="_______ME64" localSheetId="3">#REF!</definedName>
    <definedName name="_______ME64">#REF!</definedName>
    <definedName name="_______ME65" localSheetId="3">#REF!</definedName>
    <definedName name="_______ME65">#REF!</definedName>
    <definedName name="_______ME66" localSheetId="3">#REF!</definedName>
    <definedName name="_______ME66">#REF!</definedName>
    <definedName name="_______ME67" localSheetId="3">#REF!</definedName>
    <definedName name="_______ME67">#REF!</definedName>
    <definedName name="_______ME68" localSheetId="3">#REF!</definedName>
    <definedName name="_______ME68">#REF!</definedName>
    <definedName name="_______pab125" localSheetId="3">#REF!</definedName>
    <definedName name="_______pab125">#REF!</definedName>
    <definedName name="_______pab126" localSheetId="3">#REF!</definedName>
    <definedName name="_______pab126">#REF!</definedName>
    <definedName name="_______pab65" localSheetId="3">#REF!</definedName>
    <definedName name="_______pab65">#REF!</definedName>
    <definedName name="_______pbs100" localSheetId="3">#REF!</definedName>
    <definedName name="_______pbs100">#REF!</definedName>
    <definedName name="_______pbs15" localSheetId="3">#REF!</definedName>
    <definedName name="_______pbs15">#REF!</definedName>
    <definedName name="_______pbs150" localSheetId="3">#REF!</definedName>
    <definedName name="_______pbs150">#REF!</definedName>
    <definedName name="_______pbs40" localSheetId="3">#REF!</definedName>
    <definedName name="_______pbs40">#REF!</definedName>
    <definedName name="_______pbs50" localSheetId="3">#REF!</definedName>
    <definedName name="_______pbs50">#REF!</definedName>
    <definedName name="_______pbs65" localSheetId="3">#REF!</definedName>
    <definedName name="_______pbs65">#REF!</definedName>
    <definedName name="_______pbs80" localSheetId="3">#REF!</definedName>
    <definedName name="_______pbs80">#REF!</definedName>
    <definedName name="_______PL1" localSheetId="3">#REF!</definedName>
    <definedName name="_______PL1">#REF!</definedName>
    <definedName name="_______PL2" localSheetId="3">#REF!</definedName>
    <definedName name="_______PL2">#REF!</definedName>
    <definedName name="_______PL3" localSheetId="3">#REF!</definedName>
    <definedName name="_______PL3">#REF!</definedName>
    <definedName name="_______rk100" localSheetId="3">#REF!</definedName>
    <definedName name="_______rk100">#REF!</definedName>
    <definedName name="_______rk200" localSheetId="3">#REF!</definedName>
    <definedName name="_______rk200">#REF!</definedName>
    <definedName name="_______rk300" localSheetId="3">#REF!</definedName>
    <definedName name="_______rk300">#REF!</definedName>
    <definedName name="_______rk600" localSheetId="3">#REF!</definedName>
    <definedName name="_______rk600">#REF!</definedName>
    <definedName name="_______rkl1000" localSheetId="3">#REF!</definedName>
    <definedName name="_______rkl1000">#REF!</definedName>
    <definedName name="_______rkl1200" localSheetId="3">#REF!</definedName>
    <definedName name="_______rkl1200">#REF!</definedName>
    <definedName name="_______rkl200" localSheetId="3">#REF!</definedName>
    <definedName name="_______rkl200">#REF!</definedName>
    <definedName name="_______rkl300" localSheetId="3">#REF!</definedName>
    <definedName name="_______rkl300">#REF!</definedName>
    <definedName name="_______rkl400" localSheetId="3">#REF!</definedName>
    <definedName name="_______rkl400">#REF!</definedName>
    <definedName name="_______rkl500" localSheetId="3">#REF!</definedName>
    <definedName name="_______rkl500">#REF!</definedName>
    <definedName name="_______rkl600" localSheetId="3">#REF!</definedName>
    <definedName name="_______rkl600">#REF!</definedName>
    <definedName name="_______rkl700" localSheetId="3">#REF!</definedName>
    <definedName name="_______rkl700">#REF!</definedName>
    <definedName name="_______rkl800" localSheetId="3">#REF!</definedName>
    <definedName name="_______rkl800">#REF!</definedName>
    <definedName name="_______sfv150" localSheetId="3">#REF!</definedName>
    <definedName name="_______sfv150">#REF!</definedName>
    <definedName name="_______std100" localSheetId="3">#REF!</definedName>
    <definedName name="_______std100">#REF!</definedName>
    <definedName name="_______std150" localSheetId="3">#REF!</definedName>
    <definedName name="_______std150">#REF!</definedName>
    <definedName name="_______std50" localSheetId="3">#REF!</definedName>
    <definedName name="_______std50">#REF!</definedName>
    <definedName name="_______std65" localSheetId="3">#REF!</definedName>
    <definedName name="_______std65">#REF!</definedName>
    <definedName name="_______tlc20" localSheetId="3">#REF!</definedName>
    <definedName name="_______tlc20">#REF!</definedName>
    <definedName name="_______tsv25" localSheetId="3">#REF!</definedName>
    <definedName name="_______tsv25">#REF!</definedName>
    <definedName name="______bcv100" localSheetId="3">#REF!</definedName>
    <definedName name="______bcv100">#REF!</definedName>
    <definedName name="______bcv125" localSheetId="3">#REF!</definedName>
    <definedName name="______bcv125">#REF!</definedName>
    <definedName name="______bcv150" localSheetId="3">#REF!</definedName>
    <definedName name="______bcv150">#REF!</definedName>
    <definedName name="______cvd100" localSheetId="3">#REF!</definedName>
    <definedName name="______cvd100">#REF!</definedName>
    <definedName name="______cvd15" localSheetId="3">#REF!</definedName>
    <definedName name="______cvd15">#REF!</definedName>
    <definedName name="______cvd150" localSheetId="3">#REF!</definedName>
    <definedName name="______cvd150">#REF!</definedName>
    <definedName name="______cvd50" localSheetId="3">#REF!</definedName>
    <definedName name="______cvd50">#REF!</definedName>
    <definedName name="______cvd65" localSheetId="3">#REF!</definedName>
    <definedName name="______cvd65">#REF!</definedName>
    <definedName name="______DAF10" localSheetId="3">#REF!</definedName>
    <definedName name="______DAF10">#REF!</definedName>
    <definedName name="______daf32" localSheetId="3">#REF!</definedName>
    <definedName name="______daf32">#REF!</definedName>
    <definedName name="______daf33" localSheetId="3">#REF!</definedName>
    <definedName name="______daf33">#REF!</definedName>
    <definedName name="______DIV1" localSheetId="3">#REF!</definedName>
    <definedName name="______DIV1">#REF!</definedName>
    <definedName name="______DIV10" localSheetId="3">#REF!</definedName>
    <definedName name="______DIV10">#REF!</definedName>
    <definedName name="______DIV11" localSheetId="3">#REF!</definedName>
    <definedName name="______DIV11">#REF!</definedName>
    <definedName name="______DIV2" localSheetId="3">#REF!</definedName>
    <definedName name="______DIV2">#REF!</definedName>
    <definedName name="______DIV3" localSheetId="3">#REF!</definedName>
    <definedName name="______DIV3">#REF!</definedName>
    <definedName name="______DIV4" localSheetId="3">#REF!</definedName>
    <definedName name="______DIV4">#REF!</definedName>
    <definedName name="______DIV5" localSheetId="3">#REF!</definedName>
    <definedName name="______DIV5">#REF!</definedName>
    <definedName name="______DIV6" localSheetId="3">#REF!</definedName>
    <definedName name="______DIV6">#REF!</definedName>
    <definedName name="______DIV7" localSheetId="3">#REF!</definedName>
    <definedName name="______DIV7">#REF!</definedName>
    <definedName name="______DIV8" localSheetId="3">#REF!</definedName>
    <definedName name="______DIV8">#REF!</definedName>
    <definedName name="______DIV9" localSheetId="3">#REF!</definedName>
    <definedName name="______DIV9">#REF!</definedName>
    <definedName name="______fjd100" localSheetId="3">#REF!</definedName>
    <definedName name="______fjd100">#REF!</definedName>
    <definedName name="______fjd150" localSheetId="3">#REF!</definedName>
    <definedName name="______fjd150">#REF!</definedName>
    <definedName name="______fjd50" localSheetId="3">#REF!</definedName>
    <definedName name="______fjd50">#REF!</definedName>
    <definedName name="______fjd65" localSheetId="3">#REF!</definedName>
    <definedName name="______fjd65">#REF!</definedName>
    <definedName name="______fmd150" localSheetId="3">#REF!</definedName>
    <definedName name="______fmd150">#REF!</definedName>
    <definedName name="______grc1" localSheetId="3">#REF!</definedName>
    <definedName name="______grc1">#REF!</definedName>
    <definedName name="______gti50" localSheetId="3">#REF!</definedName>
    <definedName name="______gti50">#REF!</definedName>
    <definedName name="______gti60" localSheetId="3">#REF!</definedName>
    <definedName name="______gti60">#REF!</definedName>
    <definedName name="______gvd100" localSheetId="3">#REF!</definedName>
    <definedName name="______gvd100">#REF!</definedName>
    <definedName name="______gvd15" localSheetId="3">#REF!</definedName>
    <definedName name="______gvd15">#REF!</definedName>
    <definedName name="______gvd150" localSheetId="3">#REF!</definedName>
    <definedName name="______gvd150">#REF!</definedName>
    <definedName name="______gvd25" localSheetId="3">#REF!</definedName>
    <definedName name="______gvd25">#REF!</definedName>
    <definedName name="______gvd50" localSheetId="3">#REF!</definedName>
    <definedName name="______gvd50">#REF!</definedName>
    <definedName name="______gvd65" localSheetId="3">#REF!</definedName>
    <definedName name="______gvd65">#REF!</definedName>
    <definedName name="______HAL1" localSheetId="3">#REF!</definedName>
    <definedName name="______HAL1">#REF!</definedName>
    <definedName name="______HAL2" localSheetId="3">#REF!</definedName>
    <definedName name="______HAL2">#REF!</definedName>
    <definedName name="______HAL3" localSheetId="3">#REF!</definedName>
    <definedName name="______HAL3">#REF!</definedName>
    <definedName name="______HAL4" localSheetId="3">#REF!</definedName>
    <definedName name="______HAL4">#REF!</definedName>
    <definedName name="______HAL5" localSheetId="3">#REF!</definedName>
    <definedName name="______HAL5">#REF!</definedName>
    <definedName name="______HAL6" localSheetId="3">#REF!</definedName>
    <definedName name="______HAL6">#REF!</definedName>
    <definedName name="______HAL7" localSheetId="3">#REF!</definedName>
    <definedName name="______HAL7">#REF!</definedName>
    <definedName name="______HAL8" localSheetId="3">#REF!</definedName>
    <definedName name="______HAL8">#REF!</definedName>
    <definedName name="______hdw1" localSheetId="3">#REF!</definedName>
    <definedName name="______hdw1">#REF!</definedName>
    <definedName name="______jum1" localSheetId="3">#REF!</definedName>
    <definedName name="______jum1">#REF!</definedName>
    <definedName name="______jum10" localSheetId="3">#REF!</definedName>
    <definedName name="______jum10">#REF!</definedName>
    <definedName name="______jum2" localSheetId="3">#REF!</definedName>
    <definedName name="______jum2">#REF!</definedName>
    <definedName name="______jum3" localSheetId="3">#REF!</definedName>
    <definedName name="______jum3">#REF!</definedName>
    <definedName name="______jum4" localSheetId="3">#REF!</definedName>
    <definedName name="______jum4">#REF!</definedName>
    <definedName name="______jum5" localSheetId="3">#REF!</definedName>
    <definedName name="______jum5">#REF!</definedName>
    <definedName name="______jum6" localSheetId="3">#REF!</definedName>
    <definedName name="______jum6">#REF!</definedName>
    <definedName name="______jum7" localSheetId="3">#REF!</definedName>
    <definedName name="______jum7">#REF!</definedName>
    <definedName name="______jum8" localSheetId="3">#REF!</definedName>
    <definedName name="______jum8">#REF!</definedName>
    <definedName name="______jum9" localSheetId="3">#REF!</definedName>
    <definedName name="______jum9">#REF!</definedName>
    <definedName name="______ker1020" localSheetId="3">#REF!</definedName>
    <definedName name="______ker1020">#REF!</definedName>
    <definedName name="______ker1030" localSheetId="3">#REF!</definedName>
    <definedName name="______ker1030">#REF!</definedName>
    <definedName name="______MDE35" localSheetId="3">#REF!</definedName>
    <definedName name="______MDE35">#REF!</definedName>
    <definedName name="______MDE36" localSheetId="3">#REF!</definedName>
    <definedName name="______MDE36">#REF!</definedName>
    <definedName name="______MDE37" localSheetId="3">#REF!</definedName>
    <definedName name="______MDE37">#REF!</definedName>
    <definedName name="______MDE38" localSheetId="3">#REF!</definedName>
    <definedName name="______MDE38">#REF!</definedName>
    <definedName name="______MDE39" localSheetId="3">#REF!</definedName>
    <definedName name="______MDE39">#REF!</definedName>
    <definedName name="______MDE40" localSheetId="3">#REF!</definedName>
    <definedName name="______MDE40">#REF!</definedName>
    <definedName name="______MDE41" localSheetId="3">#REF!</definedName>
    <definedName name="______MDE41">#REF!</definedName>
    <definedName name="______MDE42" localSheetId="3">#REF!</definedName>
    <definedName name="______MDE42">#REF!</definedName>
    <definedName name="______MDE43" localSheetId="3">#REF!</definedName>
    <definedName name="______MDE43">#REF!</definedName>
    <definedName name="______MDE44" localSheetId="3">#REF!</definedName>
    <definedName name="______MDE44">#REF!</definedName>
    <definedName name="______MDE45" localSheetId="3">#REF!</definedName>
    <definedName name="______MDE45">#REF!</definedName>
    <definedName name="______MDE46" localSheetId="3">#REF!</definedName>
    <definedName name="______MDE46">#REF!</definedName>
    <definedName name="______MDE47" localSheetId="3">#REF!</definedName>
    <definedName name="______MDE47">#REF!</definedName>
    <definedName name="______MDE48" localSheetId="3">#REF!</definedName>
    <definedName name="______MDE48">#REF!</definedName>
    <definedName name="______MDE49" localSheetId="3">#REF!</definedName>
    <definedName name="______MDE49">#REF!</definedName>
    <definedName name="______MDE50" localSheetId="3">#REF!</definedName>
    <definedName name="______MDE50">#REF!</definedName>
    <definedName name="______MDE51" localSheetId="3">#REF!</definedName>
    <definedName name="______MDE51">#REF!</definedName>
    <definedName name="______MDE52" localSheetId="3">#REF!</definedName>
    <definedName name="______MDE52">#REF!</definedName>
    <definedName name="______MDE53" localSheetId="3">#REF!</definedName>
    <definedName name="______MDE53">#REF!</definedName>
    <definedName name="______MDE54" localSheetId="3">#REF!</definedName>
    <definedName name="______MDE54">#REF!</definedName>
    <definedName name="______MDE55" localSheetId="3">#REF!</definedName>
    <definedName name="______MDE55">#REF!</definedName>
    <definedName name="______MDE56" localSheetId="3">#REF!</definedName>
    <definedName name="______MDE56">#REF!</definedName>
    <definedName name="______MDE57" localSheetId="3">#REF!</definedName>
    <definedName name="______MDE57">#REF!</definedName>
    <definedName name="______MDE58" localSheetId="3">#REF!</definedName>
    <definedName name="______MDE58">#REF!</definedName>
    <definedName name="______MDE59" localSheetId="3">#REF!</definedName>
    <definedName name="______MDE59">#REF!</definedName>
    <definedName name="______MDE60" localSheetId="3">#REF!</definedName>
    <definedName name="______MDE60">#REF!</definedName>
    <definedName name="______MDE61" localSheetId="3">#REF!</definedName>
    <definedName name="______MDE61">#REF!</definedName>
    <definedName name="______MDE62" localSheetId="3">#REF!</definedName>
    <definedName name="______MDE62">#REF!</definedName>
    <definedName name="______MDE63" localSheetId="3">#REF!</definedName>
    <definedName name="______MDE63">#REF!</definedName>
    <definedName name="______MDE64" localSheetId="3">#REF!</definedName>
    <definedName name="______MDE64">#REF!</definedName>
    <definedName name="______MDE65" localSheetId="3">#REF!</definedName>
    <definedName name="______MDE65">#REF!</definedName>
    <definedName name="______MDE66" localSheetId="3">#REF!</definedName>
    <definedName name="______MDE66">#REF!</definedName>
    <definedName name="______MDE67" localSheetId="3">#REF!</definedName>
    <definedName name="______MDE67">#REF!</definedName>
    <definedName name="______MDE68" localSheetId="3">#REF!</definedName>
    <definedName name="______MDE68">#REF!</definedName>
    <definedName name="______ME35" localSheetId="3">#REF!</definedName>
    <definedName name="______ME35">#REF!</definedName>
    <definedName name="______ME36" localSheetId="3">#REF!</definedName>
    <definedName name="______ME36">#REF!</definedName>
    <definedName name="______ME37" localSheetId="3">#REF!</definedName>
    <definedName name="______ME37">#REF!</definedName>
    <definedName name="______ME38" localSheetId="3">#REF!</definedName>
    <definedName name="______ME38">#REF!</definedName>
    <definedName name="______ME39" localSheetId="3">#REF!</definedName>
    <definedName name="______ME39">#REF!</definedName>
    <definedName name="______ME40" localSheetId="3">#REF!</definedName>
    <definedName name="______ME40">#REF!</definedName>
    <definedName name="______ME41" localSheetId="3">#REF!</definedName>
    <definedName name="______ME41">#REF!</definedName>
    <definedName name="______ME42" localSheetId="3">#REF!</definedName>
    <definedName name="______ME42">#REF!</definedName>
    <definedName name="______ME43" localSheetId="3">#REF!</definedName>
    <definedName name="______ME43">#REF!</definedName>
    <definedName name="______ME44" localSheetId="3">#REF!</definedName>
    <definedName name="______ME44">#REF!</definedName>
    <definedName name="______ME45" localSheetId="3">#REF!</definedName>
    <definedName name="______ME45">#REF!</definedName>
    <definedName name="______ME46" localSheetId="3">#REF!</definedName>
    <definedName name="______ME46">#REF!</definedName>
    <definedName name="______ME47" localSheetId="3">#REF!</definedName>
    <definedName name="______ME47">#REF!</definedName>
    <definedName name="______ME48" localSheetId="3">#REF!</definedName>
    <definedName name="______ME48">#REF!</definedName>
    <definedName name="______ME49" localSheetId="3">#REF!</definedName>
    <definedName name="______ME49">#REF!</definedName>
    <definedName name="______ME50" localSheetId="3">#REF!</definedName>
    <definedName name="______ME50">#REF!</definedName>
    <definedName name="______ME51" localSheetId="3">#REF!</definedName>
    <definedName name="______ME51">#REF!</definedName>
    <definedName name="______ME52" localSheetId="3">#REF!</definedName>
    <definedName name="______ME52">#REF!</definedName>
    <definedName name="______ME53" localSheetId="3">#REF!</definedName>
    <definedName name="______ME53">#REF!</definedName>
    <definedName name="______ME54" localSheetId="3">#REF!</definedName>
    <definedName name="______ME54">#REF!</definedName>
    <definedName name="______ME55" localSheetId="3">#REF!</definedName>
    <definedName name="______ME55">#REF!</definedName>
    <definedName name="______ME56" localSheetId="3">#REF!</definedName>
    <definedName name="______ME56">#REF!</definedName>
    <definedName name="______ME57" localSheetId="3">#REF!</definedName>
    <definedName name="______ME57">#REF!</definedName>
    <definedName name="______ME58" localSheetId="3">#REF!</definedName>
    <definedName name="______ME58">#REF!</definedName>
    <definedName name="______ME59" localSheetId="3">#REF!</definedName>
    <definedName name="______ME59">#REF!</definedName>
    <definedName name="______ME60" localSheetId="3">#REF!</definedName>
    <definedName name="______ME60">#REF!</definedName>
    <definedName name="______ME61" localSheetId="3">#REF!</definedName>
    <definedName name="______ME61">#REF!</definedName>
    <definedName name="______ME62" localSheetId="3">#REF!</definedName>
    <definedName name="______ME62">#REF!</definedName>
    <definedName name="______ME63" localSheetId="3">#REF!</definedName>
    <definedName name="______ME63">#REF!</definedName>
    <definedName name="______ME64" localSheetId="3">#REF!</definedName>
    <definedName name="______ME64">#REF!</definedName>
    <definedName name="______ME65" localSheetId="3">#REF!</definedName>
    <definedName name="______ME65">#REF!</definedName>
    <definedName name="______ME66" localSheetId="3">#REF!</definedName>
    <definedName name="______ME66">#REF!</definedName>
    <definedName name="______ME67" localSheetId="3">#REF!</definedName>
    <definedName name="______ME67">#REF!</definedName>
    <definedName name="______ME68" localSheetId="3">#REF!</definedName>
    <definedName name="______ME68">#REF!</definedName>
    <definedName name="______pab125" localSheetId="3">#REF!</definedName>
    <definedName name="______pab125">#REF!</definedName>
    <definedName name="______pab126" localSheetId="3">#REF!</definedName>
    <definedName name="______pab126">#REF!</definedName>
    <definedName name="______pab65" localSheetId="3">#REF!</definedName>
    <definedName name="______pab65">#REF!</definedName>
    <definedName name="______pbs100" localSheetId="3">#REF!</definedName>
    <definedName name="______pbs100">#REF!</definedName>
    <definedName name="______pbs15" localSheetId="3">#REF!</definedName>
    <definedName name="______pbs15">#REF!</definedName>
    <definedName name="______pbs150" localSheetId="3">#REF!</definedName>
    <definedName name="______pbs150">#REF!</definedName>
    <definedName name="______pbs40" localSheetId="3">#REF!</definedName>
    <definedName name="______pbs40">#REF!</definedName>
    <definedName name="______pbs50" localSheetId="3">#REF!</definedName>
    <definedName name="______pbs50">#REF!</definedName>
    <definedName name="______pbs65" localSheetId="3">#REF!</definedName>
    <definedName name="______pbs65">#REF!</definedName>
    <definedName name="______pbs80" localSheetId="3">#REF!</definedName>
    <definedName name="______pbs80">#REF!</definedName>
    <definedName name="______PL1" localSheetId="3">#REF!</definedName>
    <definedName name="______PL1">#REF!</definedName>
    <definedName name="______PL2" localSheetId="3">#REF!</definedName>
    <definedName name="______PL2">#REF!</definedName>
    <definedName name="______PL3" localSheetId="3">#REF!</definedName>
    <definedName name="______PL3">#REF!</definedName>
    <definedName name="______rk100" localSheetId="3">#REF!</definedName>
    <definedName name="______rk100">#REF!</definedName>
    <definedName name="______rk200" localSheetId="3">#REF!</definedName>
    <definedName name="______rk200">#REF!</definedName>
    <definedName name="______rk300" localSheetId="3">#REF!</definedName>
    <definedName name="______rk300">#REF!</definedName>
    <definedName name="______rk600" localSheetId="3">#REF!</definedName>
    <definedName name="______rk600">#REF!</definedName>
    <definedName name="______rkl1000" localSheetId="3">#REF!</definedName>
    <definedName name="______rkl1000">#REF!</definedName>
    <definedName name="______rkl1200" localSheetId="3">#REF!</definedName>
    <definedName name="______rkl1200">#REF!</definedName>
    <definedName name="______rkl200" localSheetId="3">#REF!</definedName>
    <definedName name="______rkl200">#REF!</definedName>
    <definedName name="______rkl300" localSheetId="3">#REF!</definedName>
    <definedName name="______rkl300">#REF!</definedName>
    <definedName name="______rkl400" localSheetId="3">#REF!</definedName>
    <definedName name="______rkl400">#REF!</definedName>
    <definedName name="______rkl500" localSheetId="3">#REF!</definedName>
    <definedName name="______rkl500">#REF!</definedName>
    <definedName name="______rkl600" localSheetId="3">#REF!</definedName>
    <definedName name="______rkl600">#REF!</definedName>
    <definedName name="______rkl700" localSheetId="3">#REF!</definedName>
    <definedName name="______rkl700">#REF!</definedName>
    <definedName name="______rkl800" localSheetId="3">#REF!</definedName>
    <definedName name="______rkl800">#REF!</definedName>
    <definedName name="______sfv150" localSheetId="3">#REF!</definedName>
    <definedName name="______sfv150">#REF!</definedName>
    <definedName name="______std100" localSheetId="3">#REF!</definedName>
    <definedName name="______std100">#REF!</definedName>
    <definedName name="______std150" localSheetId="3">#REF!</definedName>
    <definedName name="______std150">#REF!</definedName>
    <definedName name="______std50" localSheetId="3">#REF!</definedName>
    <definedName name="______std50">#REF!</definedName>
    <definedName name="______std65" localSheetId="3">#REF!</definedName>
    <definedName name="______std65">#REF!</definedName>
    <definedName name="______tlc20" localSheetId="3">#REF!</definedName>
    <definedName name="______tlc20">#REF!</definedName>
    <definedName name="______tsv25" localSheetId="3">#REF!</definedName>
    <definedName name="______tsv25">#REF!</definedName>
    <definedName name="_____bab2" localSheetId="3">#REF!</definedName>
    <definedName name="_____bab2">#REF!</definedName>
    <definedName name="_____bbm10" localSheetId="3">#REF!</definedName>
    <definedName name="_____bbm10">#REF!</definedName>
    <definedName name="_____bbm3" localSheetId="3">#REF!</definedName>
    <definedName name="_____bbm3">#REF!</definedName>
    <definedName name="_____bbm5" localSheetId="3">#REF!</definedName>
    <definedName name="_____bbm5">#REF!</definedName>
    <definedName name="_____bbm8" localSheetId="3">#REF!</definedName>
    <definedName name="_____bbm8">#REF!</definedName>
    <definedName name="_____bcv100" localSheetId="3">#REF!</definedName>
    <definedName name="_____bcv100">#REF!</definedName>
    <definedName name="_____bcv125" localSheetId="3">#REF!</definedName>
    <definedName name="_____bcv125">#REF!</definedName>
    <definedName name="_____bcv150" localSheetId="3">#REF!</definedName>
    <definedName name="_____bcv150">#REF!</definedName>
    <definedName name="_____bed1" localSheetId="3">#REF!</definedName>
    <definedName name="_____bed1">#REF!</definedName>
    <definedName name="_____bed2" localSheetId="3">#REF!</definedName>
    <definedName name="_____bed2">#REF!</definedName>
    <definedName name="_____bed3" localSheetId="3">#REF!</definedName>
    <definedName name="_____bed3">#REF!</definedName>
    <definedName name="_____bed4" localSheetId="3">#REF!</definedName>
    <definedName name="_____bed4">#REF!</definedName>
    <definedName name="_____bed5" localSheetId="3">#REF!</definedName>
    <definedName name="_____bed5">#REF!</definedName>
    <definedName name="_____bet250" localSheetId="3">#REF!</definedName>
    <definedName name="_____bet250">#REF!</definedName>
    <definedName name="_____bet275" localSheetId="3">#REF!</definedName>
    <definedName name="_____bet275">#REF!</definedName>
    <definedName name="_____bet300" localSheetId="3">#REF!</definedName>
    <definedName name="_____bet300">#REF!</definedName>
    <definedName name="_____bpl32" localSheetId="3">#REF!</definedName>
    <definedName name="_____bpl32">#REF!</definedName>
    <definedName name="_____bpl9" localSheetId="3">#REF!</definedName>
    <definedName name="_____bpl9">#REF!</definedName>
    <definedName name="_____bsd1600" localSheetId="3">#REF!</definedName>
    <definedName name="_____bsd1600">#REF!</definedName>
    <definedName name="_____bsd2500" localSheetId="3">#REF!</definedName>
    <definedName name="_____bsd2500">#REF!</definedName>
    <definedName name="_____bsd4000" localSheetId="3">#REF!</definedName>
    <definedName name="_____bsd4000">#REF!</definedName>
    <definedName name="_____btn175" localSheetId="3">#REF!</definedName>
    <definedName name="_____btn175">#REF!</definedName>
    <definedName name="_____btn300" localSheetId="3">#REF!</definedName>
    <definedName name="_____btn300">#REF!</definedName>
    <definedName name="_____bud3500" localSheetId="3">#REF!</definedName>
    <definedName name="_____bud3500">#REF!</definedName>
    <definedName name="_____bvd1" localSheetId="3">#REF!</definedName>
    <definedName name="_____bvd1">#REF!</definedName>
    <definedName name="_____bvd2" localSheetId="3">#REF!</definedName>
    <definedName name="_____bvd2">#REF!</definedName>
    <definedName name="_____bvd3" localSheetId="3">#REF!</definedName>
    <definedName name="_____bvd3">#REF!</definedName>
    <definedName name="_____bvd34" localSheetId="3">#REF!</definedName>
    <definedName name="_____bvd34">#REF!</definedName>
    <definedName name="_____bvd4" localSheetId="3">#REF!</definedName>
    <definedName name="_____bvd4">#REF!</definedName>
    <definedName name="_____bvd5" localSheetId="3">#REF!</definedName>
    <definedName name="_____bvd5">#REF!</definedName>
    <definedName name="_____bvd8" localSheetId="3">#REF!</definedName>
    <definedName name="_____bvd8">#REF!</definedName>
    <definedName name="_____cip10" localSheetId="3">#REF!</definedName>
    <definedName name="_____cip10">#REF!</definedName>
    <definedName name="_____cip2" localSheetId="3">#REF!</definedName>
    <definedName name="_____cip2">#REF!</definedName>
    <definedName name="_____cip3" localSheetId="3">#REF!</definedName>
    <definedName name="_____cip3">#REF!</definedName>
    <definedName name="_____cip4" localSheetId="3">#REF!</definedName>
    <definedName name="_____cip4">#REF!</definedName>
    <definedName name="_____cip6" localSheetId="3">#REF!</definedName>
    <definedName name="_____cip6">#REF!</definedName>
    <definedName name="_____cip8" localSheetId="3">#REF!</definedName>
    <definedName name="_____cip8">#REF!</definedName>
    <definedName name="_____cod4" localSheetId="3">#REF!</definedName>
    <definedName name="_____cod4">#REF!</definedName>
    <definedName name="_____cvd100" localSheetId="3">#REF!</definedName>
    <definedName name="_____cvd100">#REF!</definedName>
    <definedName name="_____cvd15" localSheetId="3">#REF!</definedName>
    <definedName name="_____cvd15">#REF!</definedName>
    <definedName name="_____cvd150" localSheetId="3">#REF!</definedName>
    <definedName name="_____cvd150">#REF!</definedName>
    <definedName name="_____cvd50" localSheetId="3">#REF!</definedName>
    <definedName name="_____cvd50">#REF!</definedName>
    <definedName name="_____cvd65" localSheetId="3">#REF!</definedName>
    <definedName name="_____cvd65">#REF!</definedName>
    <definedName name="_____daf1" localSheetId="3">#REF!</definedName>
    <definedName name="_____daf1">#REF!</definedName>
    <definedName name="_____DAF10" localSheetId="3">#REF!</definedName>
    <definedName name="_____DAF10">#REF!</definedName>
    <definedName name="_____daf2" localSheetId="3">#REF!</definedName>
    <definedName name="_____daf2">#REF!</definedName>
    <definedName name="_____daf31" localSheetId="3">#REF!</definedName>
    <definedName name="_____daf31">#REF!</definedName>
    <definedName name="_____daf32" localSheetId="3">#REF!</definedName>
    <definedName name="_____daf32">#REF!</definedName>
    <definedName name="_____daf33" localSheetId="3">#REF!</definedName>
    <definedName name="_____daf33">#REF!</definedName>
    <definedName name="_____dal1" localSheetId="3">#REF!</definedName>
    <definedName name="_____dal1">#REF!</definedName>
    <definedName name="_____dal2" localSheetId="3">#REF!</definedName>
    <definedName name="_____dal2">#REF!</definedName>
    <definedName name="_____dal3" localSheetId="3">#REF!</definedName>
    <definedName name="_____dal3">#REF!</definedName>
    <definedName name="_____dal4" localSheetId="3">#REF!</definedName>
    <definedName name="_____dal4">#REF!</definedName>
    <definedName name="_____dal5" localSheetId="3">#REF!</definedName>
    <definedName name="_____dal5">#REF!</definedName>
    <definedName name="_____DAL6" localSheetId="3">#REF!</definedName>
    <definedName name="_____DAL6">#REF!</definedName>
    <definedName name="_____DAL7" localSheetId="3">#REF!</definedName>
    <definedName name="_____DAL7">#REF!</definedName>
    <definedName name="_____ddn400" localSheetId="3">#REF!</definedName>
    <definedName name="_____ddn400">#REF!</definedName>
    <definedName name="_____ddn600" localSheetId="3">#REF!</definedName>
    <definedName name="_____ddn600">#REF!</definedName>
    <definedName name="_____DIV1" localSheetId="3">#REF!</definedName>
    <definedName name="_____DIV1">#REF!</definedName>
    <definedName name="_____DIV10" localSheetId="3">#REF!</definedName>
    <definedName name="_____DIV10">#REF!</definedName>
    <definedName name="_____DIV11" localSheetId="3">#REF!</definedName>
    <definedName name="_____DIV11">#REF!</definedName>
    <definedName name="_____DIV2" localSheetId="3">#REF!</definedName>
    <definedName name="_____DIV2">#REF!</definedName>
    <definedName name="_____DIV3" localSheetId="3">#REF!</definedName>
    <definedName name="_____DIV3">#REF!</definedName>
    <definedName name="_____DIV4" localSheetId="3">#REF!</definedName>
    <definedName name="_____DIV4">#REF!</definedName>
    <definedName name="_____DIV5" localSheetId="3">#REF!</definedName>
    <definedName name="_____DIV5">#REF!</definedName>
    <definedName name="_____DIV6" localSheetId="3">#REF!</definedName>
    <definedName name="_____DIV6">#REF!</definedName>
    <definedName name="_____DIV7" localSheetId="3">#REF!</definedName>
    <definedName name="_____DIV7">#REF!</definedName>
    <definedName name="_____DIV8" localSheetId="3">#REF!</definedName>
    <definedName name="_____DIV8">#REF!</definedName>
    <definedName name="_____DIV9" localSheetId="3">#REF!</definedName>
    <definedName name="_____DIV9">#REF!</definedName>
    <definedName name="_____dlh20" localSheetId="3">#REF!</definedName>
    <definedName name="_____dlh20">#REF!</definedName>
    <definedName name="_____dlh50" localSheetId="3">#REF!</definedName>
    <definedName name="_____dlh50">#REF!</definedName>
    <definedName name="_____dot2020" localSheetId="3">#REF!</definedName>
    <definedName name="_____dot2020">#REF!</definedName>
    <definedName name="_____fdd3" localSheetId="3">#REF!</definedName>
    <definedName name="_____fdd3">#REF!</definedName>
    <definedName name="_____fdu2" localSheetId="3">#REF!</definedName>
    <definedName name="_____fdu2">#REF!</definedName>
    <definedName name="_____FIT100" localSheetId="3">#REF!</definedName>
    <definedName name="_____FIT100">#REF!</definedName>
    <definedName name="_____fit125" localSheetId="3">#REF!</definedName>
    <definedName name="_____fit125">#REF!</definedName>
    <definedName name="_____FIT150" localSheetId="3">#REF!</definedName>
    <definedName name="_____FIT150">#REF!</definedName>
    <definedName name="_____FIT200" localSheetId="3">#REF!</definedName>
    <definedName name="_____FIT200">#REF!</definedName>
    <definedName name="_____FIT300" localSheetId="3">#REF!</definedName>
    <definedName name="_____FIT300">#REF!</definedName>
    <definedName name="_____FIT65" localSheetId="3">#REF!</definedName>
    <definedName name="_____FIT65">#REF!</definedName>
    <definedName name="_____fit80" localSheetId="3">#REF!</definedName>
    <definedName name="_____fit80">#REF!</definedName>
    <definedName name="_____fjd100" localSheetId="3">#REF!</definedName>
    <definedName name="_____fjd100">#REF!</definedName>
    <definedName name="_____fjd150" localSheetId="3">#REF!</definedName>
    <definedName name="_____fjd150">#REF!</definedName>
    <definedName name="_____fjd50" localSheetId="3">#REF!</definedName>
    <definedName name="_____fjd50">#REF!</definedName>
    <definedName name="_____fjd65" localSheetId="3">#REF!</definedName>
    <definedName name="_____fjd65">#REF!</definedName>
    <definedName name="_____fmd150" localSheetId="3">#REF!</definedName>
    <definedName name="_____fmd150">#REF!</definedName>
    <definedName name="_____frc2495" localSheetId="3">#REF!</definedName>
    <definedName name="_____frc2495">#REF!</definedName>
    <definedName name="_____frc41010" localSheetId="3">#REF!</definedName>
    <definedName name="_____frc41010">#REF!</definedName>
    <definedName name="_____frc495" localSheetId="3">#REF!</definedName>
    <definedName name="_____frc495">#REF!</definedName>
    <definedName name="_____grc1" localSheetId="3">#REF!</definedName>
    <definedName name="_____grc1">#REF!</definedName>
    <definedName name="_____gti50" localSheetId="3">#REF!</definedName>
    <definedName name="_____gti50">#REF!</definedName>
    <definedName name="_____gti60" localSheetId="3">#REF!</definedName>
    <definedName name="_____gti60">#REF!</definedName>
    <definedName name="_____gvd1" localSheetId="3">#REF!</definedName>
    <definedName name="_____gvd1">#REF!</definedName>
    <definedName name="_____gvd10" localSheetId="3">#REF!</definedName>
    <definedName name="_____gvd10">#REF!</definedName>
    <definedName name="_____gvd100" localSheetId="3">#REF!</definedName>
    <definedName name="_____gvd100">#REF!</definedName>
    <definedName name="_____gvd15" localSheetId="3">#REF!</definedName>
    <definedName name="_____gvd15">#REF!</definedName>
    <definedName name="_____gvd150" localSheetId="3">#REF!</definedName>
    <definedName name="_____gvd150">#REF!</definedName>
    <definedName name="_____gvd2" localSheetId="3">#REF!</definedName>
    <definedName name="_____gvd2">#REF!</definedName>
    <definedName name="_____gvd25" localSheetId="3">#REF!</definedName>
    <definedName name="_____gvd25">#REF!</definedName>
    <definedName name="_____gvd3" localSheetId="3">#REF!</definedName>
    <definedName name="_____gvd3">#REF!</definedName>
    <definedName name="_____gvd4" localSheetId="3">#REF!</definedName>
    <definedName name="_____gvd4">#REF!</definedName>
    <definedName name="_____gvd5" localSheetId="3">#REF!</definedName>
    <definedName name="_____gvd5">#REF!</definedName>
    <definedName name="_____gvd50" localSheetId="3">#REF!</definedName>
    <definedName name="_____gvd50">#REF!</definedName>
    <definedName name="_____gvd6" localSheetId="3">#REF!</definedName>
    <definedName name="_____gvd6">#REF!</definedName>
    <definedName name="_____gvd65" localSheetId="3">#REF!</definedName>
    <definedName name="_____gvd65">#REF!</definedName>
    <definedName name="_____gvd8" localSheetId="3">#REF!</definedName>
    <definedName name="_____gvd8">#REF!</definedName>
    <definedName name="_____HAL1" localSheetId="3">#REF!</definedName>
    <definedName name="_____HAL1">#REF!</definedName>
    <definedName name="_____HAL2" localSheetId="3">#REF!</definedName>
    <definedName name="_____HAL2">#REF!</definedName>
    <definedName name="_____HAL3" localSheetId="3">#REF!</definedName>
    <definedName name="_____HAL3">#REF!</definedName>
    <definedName name="_____HAL4" localSheetId="3">#REF!</definedName>
    <definedName name="_____HAL4">#REF!</definedName>
    <definedName name="_____HAL5" localSheetId="3">#REF!</definedName>
    <definedName name="_____HAL5">#REF!</definedName>
    <definedName name="_____HAL6" localSheetId="3">#REF!</definedName>
    <definedName name="_____HAL6">#REF!</definedName>
    <definedName name="_____HAL7" localSheetId="3">#REF!</definedName>
    <definedName name="_____HAL7">#REF!</definedName>
    <definedName name="_____HAL8" localSheetId="3">#REF!</definedName>
    <definedName name="_____HAL8">#REF!</definedName>
    <definedName name="_____hdw1" localSheetId="3">#REF!</definedName>
    <definedName name="_____hdw1">#REF!</definedName>
    <definedName name="_____int1" localSheetId="3">#REF!</definedName>
    <definedName name="_____int1">#REF!</definedName>
    <definedName name="_____int2" localSheetId="3">#REF!</definedName>
    <definedName name="_____int2">#REF!</definedName>
    <definedName name="_____jum1" localSheetId="3">#REF!</definedName>
    <definedName name="_____jum1">#REF!</definedName>
    <definedName name="_____jum10" localSheetId="3">#REF!</definedName>
    <definedName name="_____jum10">#REF!</definedName>
    <definedName name="_____jum2" localSheetId="3">#REF!</definedName>
    <definedName name="_____jum2">#REF!</definedName>
    <definedName name="_____jum3" localSheetId="3">#REF!</definedName>
    <definedName name="_____jum3">#REF!</definedName>
    <definedName name="_____jum4" localSheetId="3">#REF!</definedName>
    <definedName name="_____jum4">#REF!</definedName>
    <definedName name="_____jum5" localSheetId="3">#REF!</definedName>
    <definedName name="_____jum5">#REF!</definedName>
    <definedName name="_____jum6" localSheetId="3">#REF!</definedName>
    <definedName name="_____jum6">#REF!</definedName>
    <definedName name="_____jum7" localSheetId="3">#REF!</definedName>
    <definedName name="_____jum7">#REF!</definedName>
    <definedName name="_____jum8" localSheetId="3">#REF!</definedName>
    <definedName name="_____jum8">#REF!</definedName>
    <definedName name="_____jum9" localSheetId="3">#REF!</definedName>
    <definedName name="_____jum9">#REF!</definedName>
    <definedName name="_____kco7" localSheetId="3">#REF!</definedName>
    <definedName name="_____kco7">#REF!</definedName>
    <definedName name="_____kus1" localSheetId="3">#REF!</definedName>
    <definedName name="_____kus1">#REF!</definedName>
    <definedName name="_____kus2" localSheetId="3">#REF!</definedName>
    <definedName name="_____kus2">#REF!</definedName>
    <definedName name="_____kus3" localSheetId="3">#REF!</definedName>
    <definedName name="_____kus3">#REF!</definedName>
    <definedName name="_____kus4" localSheetId="3">#REF!</definedName>
    <definedName name="_____kus4">#REF!</definedName>
    <definedName name="_____kus5" localSheetId="3">#REF!</definedName>
    <definedName name="_____kus5">#REF!</definedName>
    <definedName name="_____LCM2" localSheetId="3">#REF!</definedName>
    <definedName name="_____LCM2">#REF!</definedName>
    <definedName name="_____LCM3" localSheetId="3">#REF!</definedName>
    <definedName name="_____LCM3">#REF!</definedName>
    <definedName name="_____ld100" localSheetId="3">#REF!</definedName>
    <definedName name="_____ld100">#REF!</definedName>
    <definedName name="_____ld120" localSheetId="3">#REF!</definedName>
    <definedName name="_____ld120">#REF!</definedName>
    <definedName name="_____ld50" localSheetId="3">#REF!</definedName>
    <definedName name="_____ld50">#REF!</definedName>
    <definedName name="_____ld60" localSheetId="3">#REF!</definedName>
    <definedName name="_____ld60">#REF!</definedName>
    <definedName name="_____ld80" localSheetId="3">#REF!</definedName>
    <definedName name="_____ld80">#REF!</definedName>
    <definedName name="_____ldp60" localSheetId="3">#REF!</definedName>
    <definedName name="_____ldp60">#REF!</definedName>
    <definedName name="_____lh50" localSheetId="3">#REF!</definedName>
    <definedName name="_____lh50">#REF!</definedName>
    <definedName name="_____lp100" localSheetId="3">#REF!</definedName>
    <definedName name="_____lp100">#REF!</definedName>
    <definedName name="_____lp300" localSheetId="3">#REF!</definedName>
    <definedName name="_____lp300">#REF!</definedName>
    <definedName name="_____lp36" localSheetId="3">#REF!</definedName>
    <definedName name="_____lp36">#REF!</definedName>
    <definedName name="_____lp500" localSheetId="3">#REF!</definedName>
    <definedName name="_____lp500">#REF!</definedName>
    <definedName name="_____lp60" localSheetId="3">#REF!</definedName>
    <definedName name="_____lp60">#REF!</definedName>
    <definedName name="_____lpl11" localSheetId="3">#REF!</definedName>
    <definedName name="_____lpl11">#REF!</definedName>
    <definedName name="_____ls100" localSheetId="3">#REF!</definedName>
    <definedName name="_____ls100">#REF!</definedName>
    <definedName name="_____ls50" localSheetId="3">#REF!</definedName>
    <definedName name="_____ls50">#REF!</definedName>
    <definedName name="_____ls60" localSheetId="3">#REF!</definedName>
    <definedName name="_____ls60">#REF!</definedName>
    <definedName name="_____ls80" localSheetId="3">#REF!</definedName>
    <definedName name="_____ls80">#REF!</definedName>
    <definedName name="_____MAC12" localSheetId="3">#REF!</definedName>
    <definedName name="_____MAC12">#REF!</definedName>
    <definedName name="_____MAC46" localSheetId="3">#REF!</definedName>
    <definedName name="_____MAC46">#REF!</definedName>
    <definedName name="_____mc2" localSheetId="3">#REF!</definedName>
    <definedName name="_____mc2">#REF!</definedName>
    <definedName name="_____MDE35" localSheetId="3">#REF!</definedName>
    <definedName name="_____MDE35">#REF!</definedName>
    <definedName name="_____MDE36" localSheetId="3">#REF!</definedName>
    <definedName name="_____MDE36">#REF!</definedName>
    <definedName name="_____MDE37" localSheetId="3">#REF!</definedName>
    <definedName name="_____MDE37">#REF!</definedName>
    <definedName name="_____MDE38" localSheetId="3">#REF!</definedName>
    <definedName name="_____MDE38">#REF!</definedName>
    <definedName name="_____MDE39" localSheetId="3">#REF!</definedName>
    <definedName name="_____MDE39">#REF!</definedName>
    <definedName name="_____MDE40" localSheetId="3">#REF!</definedName>
    <definedName name="_____MDE40">#REF!</definedName>
    <definedName name="_____MDE41" localSheetId="3">#REF!</definedName>
    <definedName name="_____MDE41">#REF!</definedName>
    <definedName name="_____MDE42" localSheetId="3">#REF!</definedName>
    <definedName name="_____MDE42">#REF!</definedName>
    <definedName name="_____MDE43" localSheetId="3">#REF!</definedName>
    <definedName name="_____MDE43">#REF!</definedName>
    <definedName name="_____MDE44" localSheetId="3">#REF!</definedName>
    <definedName name="_____MDE44">#REF!</definedName>
    <definedName name="_____MDE45" localSheetId="3">#REF!</definedName>
    <definedName name="_____MDE45">#REF!</definedName>
    <definedName name="_____MDE46" localSheetId="3">#REF!</definedName>
    <definedName name="_____MDE46">#REF!</definedName>
    <definedName name="_____MDE47" localSheetId="3">#REF!</definedName>
    <definedName name="_____MDE47">#REF!</definedName>
    <definedName name="_____MDE48" localSheetId="3">#REF!</definedName>
    <definedName name="_____MDE48">#REF!</definedName>
    <definedName name="_____MDE49" localSheetId="3">#REF!</definedName>
    <definedName name="_____MDE49">#REF!</definedName>
    <definedName name="_____MDE50" localSheetId="3">#REF!</definedName>
    <definedName name="_____MDE50">#REF!</definedName>
    <definedName name="_____MDE51" localSheetId="3">#REF!</definedName>
    <definedName name="_____MDE51">#REF!</definedName>
    <definedName name="_____MDE52" localSheetId="3">#REF!</definedName>
    <definedName name="_____MDE52">#REF!</definedName>
    <definedName name="_____MDE53" localSheetId="3">#REF!</definedName>
    <definedName name="_____MDE53">#REF!</definedName>
    <definedName name="_____MDE54" localSheetId="3">#REF!</definedName>
    <definedName name="_____MDE54">#REF!</definedName>
    <definedName name="_____MDE55" localSheetId="3">#REF!</definedName>
    <definedName name="_____MDE55">#REF!</definedName>
    <definedName name="_____MDE56" localSheetId="3">#REF!</definedName>
    <definedName name="_____MDE56">#REF!</definedName>
    <definedName name="_____MDE57" localSheetId="3">#REF!</definedName>
    <definedName name="_____MDE57">#REF!</definedName>
    <definedName name="_____MDE58" localSheetId="3">#REF!</definedName>
    <definedName name="_____MDE58">#REF!</definedName>
    <definedName name="_____MDE59" localSheetId="3">#REF!</definedName>
    <definedName name="_____MDE59">#REF!</definedName>
    <definedName name="_____MDE60" localSheetId="3">#REF!</definedName>
    <definedName name="_____MDE60">#REF!</definedName>
    <definedName name="_____MDE61" localSheetId="3">#REF!</definedName>
    <definedName name="_____MDE61">#REF!</definedName>
    <definedName name="_____MDE62" localSheetId="3">#REF!</definedName>
    <definedName name="_____MDE62">#REF!</definedName>
    <definedName name="_____MDE63" localSheetId="3">#REF!</definedName>
    <definedName name="_____MDE63">#REF!</definedName>
    <definedName name="_____MDE64" localSheetId="3">#REF!</definedName>
    <definedName name="_____MDE64">#REF!</definedName>
    <definedName name="_____MDE65" localSheetId="3">#REF!</definedName>
    <definedName name="_____MDE65">#REF!</definedName>
    <definedName name="_____MDE66" localSheetId="3">#REF!</definedName>
    <definedName name="_____MDE66">#REF!</definedName>
    <definedName name="_____MDE67" localSheetId="3">#REF!</definedName>
    <definedName name="_____MDE67">#REF!</definedName>
    <definedName name="_____MDE68" localSheetId="3">#REF!</definedName>
    <definedName name="_____MDE68">#REF!</definedName>
    <definedName name="_____ME35" localSheetId="3">#REF!</definedName>
    <definedName name="_____ME35">#REF!</definedName>
    <definedName name="_____ME36" localSheetId="3">#REF!</definedName>
    <definedName name="_____ME36">#REF!</definedName>
    <definedName name="_____ME37" localSheetId="3">#REF!</definedName>
    <definedName name="_____ME37">#REF!</definedName>
    <definedName name="_____ME38" localSheetId="3">#REF!</definedName>
    <definedName name="_____ME38">#REF!</definedName>
    <definedName name="_____ME39" localSheetId="3">#REF!</definedName>
    <definedName name="_____ME39">#REF!</definedName>
    <definedName name="_____ME40" localSheetId="3">#REF!</definedName>
    <definedName name="_____ME40">#REF!</definedName>
    <definedName name="_____ME41" localSheetId="3">#REF!</definedName>
    <definedName name="_____ME41">#REF!</definedName>
    <definedName name="_____ME42" localSheetId="3">#REF!</definedName>
    <definedName name="_____ME42">#REF!</definedName>
    <definedName name="_____ME43" localSheetId="3">#REF!</definedName>
    <definedName name="_____ME43">#REF!</definedName>
    <definedName name="_____ME44" localSheetId="3">#REF!</definedName>
    <definedName name="_____ME44">#REF!</definedName>
    <definedName name="_____ME45" localSheetId="3">#REF!</definedName>
    <definedName name="_____ME45">#REF!</definedName>
    <definedName name="_____ME46" localSheetId="3">#REF!</definedName>
    <definedName name="_____ME46">#REF!</definedName>
    <definedName name="_____ME47" localSheetId="3">#REF!</definedName>
    <definedName name="_____ME47">#REF!</definedName>
    <definedName name="_____ME48" localSheetId="3">#REF!</definedName>
    <definedName name="_____ME48">#REF!</definedName>
    <definedName name="_____ME49" localSheetId="3">#REF!</definedName>
    <definedName name="_____ME49">#REF!</definedName>
    <definedName name="_____ME50" localSheetId="3">#REF!</definedName>
    <definedName name="_____ME50">#REF!</definedName>
    <definedName name="_____ME51" localSheetId="3">#REF!</definedName>
    <definedName name="_____ME51">#REF!</definedName>
    <definedName name="_____ME52" localSheetId="3">#REF!</definedName>
    <definedName name="_____ME52">#REF!</definedName>
    <definedName name="_____ME53" localSheetId="3">#REF!</definedName>
    <definedName name="_____ME53">#REF!</definedName>
    <definedName name="_____ME54" localSheetId="3">#REF!</definedName>
    <definedName name="_____ME54">#REF!</definedName>
    <definedName name="_____ME55" localSheetId="3">#REF!</definedName>
    <definedName name="_____ME55">#REF!</definedName>
    <definedName name="_____ME56" localSheetId="3">#REF!</definedName>
    <definedName name="_____ME56">#REF!</definedName>
    <definedName name="_____ME57" localSheetId="3">#REF!</definedName>
    <definedName name="_____ME57">#REF!</definedName>
    <definedName name="_____ME58" localSheetId="3">#REF!</definedName>
    <definedName name="_____ME58">#REF!</definedName>
    <definedName name="_____ME59" localSheetId="3">#REF!</definedName>
    <definedName name="_____ME59">#REF!</definedName>
    <definedName name="_____ME60" localSheetId="3">#REF!</definedName>
    <definedName name="_____ME60">#REF!</definedName>
    <definedName name="_____ME61" localSheetId="3">#REF!</definedName>
    <definedName name="_____ME61">#REF!</definedName>
    <definedName name="_____ME62" localSheetId="3">#REF!</definedName>
    <definedName name="_____ME62">#REF!</definedName>
    <definedName name="_____ME63" localSheetId="3">#REF!</definedName>
    <definedName name="_____ME63">#REF!</definedName>
    <definedName name="_____ME64" localSheetId="3">#REF!</definedName>
    <definedName name="_____ME64">#REF!</definedName>
    <definedName name="_____ME65" localSheetId="3">#REF!</definedName>
    <definedName name="_____ME65">#REF!</definedName>
    <definedName name="_____ME66" localSheetId="3">#REF!</definedName>
    <definedName name="_____ME66">#REF!</definedName>
    <definedName name="_____ME67" localSheetId="3">#REF!</definedName>
    <definedName name="_____ME67">#REF!</definedName>
    <definedName name="_____ME68" localSheetId="3">#REF!</definedName>
    <definedName name="_____ME68">#REF!</definedName>
    <definedName name="_____mu1" localSheetId="3">#REF!</definedName>
    <definedName name="_____mu1">#REF!</definedName>
    <definedName name="_____mu2" localSheetId="3">#REF!</definedName>
    <definedName name="_____mu2">#REF!</definedName>
    <definedName name="_____mvd1" localSheetId="3">#REF!</definedName>
    <definedName name="_____mvd1">#REF!</definedName>
    <definedName name="_____mvd2" localSheetId="3">#REF!</definedName>
    <definedName name="_____mvd2">#REF!</definedName>
    <definedName name="_____mvd3" localSheetId="3">#REF!</definedName>
    <definedName name="_____mvd3">#REF!</definedName>
    <definedName name="_____mvd4" localSheetId="3">#REF!</definedName>
    <definedName name="_____mvd4">#REF!</definedName>
    <definedName name="_____NCL100" localSheetId="3">#REF!</definedName>
    <definedName name="_____NCL100">#REF!</definedName>
    <definedName name="_____NCL200" localSheetId="3">#REF!</definedName>
    <definedName name="_____NCL200">#REF!</definedName>
    <definedName name="_____NCL250" localSheetId="3">#REF!</definedName>
    <definedName name="_____NCL250">#REF!</definedName>
    <definedName name="_____nin190" localSheetId="3">#REF!</definedName>
    <definedName name="_____nin190">#REF!</definedName>
    <definedName name="_____nym34" localSheetId="3">#REF!</definedName>
    <definedName name="_____nym34">#REF!</definedName>
    <definedName name="_____nym46" localSheetId="3">#REF!</definedName>
    <definedName name="_____nym46">#REF!</definedName>
    <definedName name="_____nyy2416" localSheetId="3">#REF!</definedName>
    <definedName name="_____nyy2416">#REF!</definedName>
    <definedName name="_____nyy244" localSheetId="3">#REF!</definedName>
    <definedName name="_____nyy244">#REF!</definedName>
    <definedName name="_____nyy246" localSheetId="3">#REF!</definedName>
    <definedName name="_____nyy246">#REF!</definedName>
    <definedName name="_____nyy34" localSheetId="3">#REF!</definedName>
    <definedName name="_____nyy34">#REF!</definedName>
    <definedName name="_____nyy410" localSheetId="3">#REF!</definedName>
    <definedName name="_____nyy410">#REF!</definedName>
    <definedName name="_____nyy41010" localSheetId="3">#REF!</definedName>
    <definedName name="_____nyy41010">#REF!</definedName>
    <definedName name="_____nyy412050" localSheetId="3">#REF!</definedName>
    <definedName name="_____nyy412050">#REF!</definedName>
    <definedName name="_____nyy412070" localSheetId="3">#REF!</definedName>
    <definedName name="_____nyy412070">#REF!</definedName>
    <definedName name="_____nyy415070" localSheetId="3">#REF!</definedName>
    <definedName name="_____nyy415070">#REF!</definedName>
    <definedName name="_____nyy416" localSheetId="3">#REF!</definedName>
    <definedName name="_____nyy416">#REF!</definedName>
    <definedName name="_____nyy41616" localSheetId="3">#REF!</definedName>
    <definedName name="_____nyy41616">#REF!</definedName>
    <definedName name="_____nyy42525" localSheetId="3">#REF!</definedName>
    <definedName name="_____nyy42525">#REF!</definedName>
    <definedName name="_____nyy43535" localSheetId="3">#REF!</definedName>
    <definedName name="_____nyy43535">#REF!</definedName>
    <definedName name="_____nyy44" localSheetId="3">#REF!</definedName>
    <definedName name="_____nyy44">#REF!</definedName>
    <definedName name="_____nyy444" localSheetId="3">#REF!</definedName>
    <definedName name="_____nyy444">#REF!</definedName>
    <definedName name="_____nyy45050" localSheetId="3">#REF!</definedName>
    <definedName name="_____nyy45050">#REF!</definedName>
    <definedName name="_____nyy46" localSheetId="3">#REF!</definedName>
    <definedName name="_____nyy46">#REF!</definedName>
    <definedName name="_____nyy466" localSheetId="3">#REF!</definedName>
    <definedName name="_____nyy466">#REF!</definedName>
    <definedName name="_____nyy47050" localSheetId="3">#REF!</definedName>
    <definedName name="_____nyy47050">#REF!</definedName>
    <definedName name="_____nyy47070" localSheetId="3">#REF!</definedName>
    <definedName name="_____nyy47070">#REF!</definedName>
    <definedName name="_____nyy49570" localSheetId="3">#REF!</definedName>
    <definedName name="_____nyy49570">#REF!</definedName>
    <definedName name="_____PA1" localSheetId="3">#REF!</definedName>
    <definedName name="_____PA1">#REF!</definedName>
    <definedName name="_____PA10" localSheetId="3">#REF!</definedName>
    <definedName name="_____PA10">#REF!</definedName>
    <definedName name="_____PA2" localSheetId="3">#REF!</definedName>
    <definedName name="_____PA2">#REF!</definedName>
    <definedName name="_____PA3" localSheetId="3">#REF!</definedName>
    <definedName name="_____PA3">#REF!</definedName>
    <definedName name="_____PA4" localSheetId="3">#REF!</definedName>
    <definedName name="_____PA4">#REF!</definedName>
    <definedName name="_____PA5" localSheetId="3">#REF!</definedName>
    <definedName name="_____PA5">#REF!</definedName>
    <definedName name="_____PA6" localSheetId="3">#REF!</definedName>
    <definedName name="_____PA6">#REF!</definedName>
    <definedName name="_____PA7" localSheetId="3">#REF!</definedName>
    <definedName name="_____PA7">#REF!</definedName>
    <definedName name="_____PA8" localSheetId="3">#REF!</definedName>
    <definedName name="_____PA8">#REF!</definedName>
    <definedName name="_____PA9" localSheetId="3">#REF!</definedName>
    <definedName name="_____PA9">#REF!</definedName>
    <definedName name="_____pab125" localSheetId="3">#REF!</definedName>
    <definedName name="_____pab125">#REF!</definedName>
    <definedName name="_____pab126" localSheetId="3">#REF!</definedName>
    <definedName name="_____pab126">#REF!</definedName>
    <definedName name="_____pab65" localSheetId="3">#REF!</definedName>
    <definedName name="_____pab65">#REF!</definedName>
    <definedName name="_____PB1" localSheetId="3">#REF!</definedName>
    <definedName name="_____PB1">#REF!</definedName>
    <definedName name="_____PB2" localSheetId="3">#REF!</definedName>
    <definedName name="_____PB2">#REF!</definedName>
    <definedName name="_____PB3" localSheetId="3">#REF!</definedName>
    <definedName name="_____PB3">#REF!</definedName>
    <definedName name="_____pb34" localSheetId="3">#REF!</definedName>
    <definedName name="_____pb34">#REF!</definedName>
    <definedName name="_____pb4" localSheetId="3">#REF!</definedName>
    <definedName name="_____pb4">#REF!</definedName>
    <definedName name="_____pbf3" localSheetId="3">#REF!</definedName>
    <definedName name="_____pbf3">#REF!</definedName>
    <definedName name="_____pbf4" localSheetId="3">#REF!</definedName>
    <definedName name="_____pbf4">#REF!</definedName>
    <definedName name="_____pbs100" localSheetId="3">#REF!</definedName>
    <definedName name="_____pbs100">#REF!</definedName>
    <definedName name="_____pbs15" localSheetId="3">#REF!</definedName>
    <definedName name="_____pbs15">#REF!</definedName>
    <definedName name="_____pbs150" localSheetId="3">#REF!</definedName>
    <definedName name="_____pbs150">#REF!</definedName>
    <definedName name="_____pbs40" localSheetId="3">#REF!</definedName>
    <definedName name="_____pbs40">#REF!</definedName>
    <definedName name="_____pbs50" localSheetId="3">#REF!</definedName>
    <definedName name="_____pbs50">#REF!</definedName>
    <definedName name="_____pbs65" localSheetId="3">#REF!</definedName>
    <definedName name="_____pbs65">#REF!</definedName>
    <definedName name="_____pbs80" localSheetId="3">#REF!</definedName>
    <definedName name="_____pbs80">#REF!</definedName>
    <definedName name="_____pc1" localSheetId="3">#REF!</definedName>
    <definedName name="_____pc1">#REF!</definedName>
    <definedName name="_____pc10" localSheetId="3">#REF!</definedName>
    <definedName name="_____pc10">#REF!</definedName>
    <definedName name="_____pc12" localSheetId="3">#REF!</definedName>
    <definedName name="_____pc12">#REF!</definedName>
    <definedName name="_____pc2" localSheetId="3">#REF!</definedName>
    <definedName name="_____pc2">#REF!</definedName>
    <definedName name="_____pc3" localSheetId="3">#REF!</definedName>
    <definedName name="_____pc3">#REF!</definedName>
    <definedName name="_____pc4" localSheetId="3">#REF!</definedName>
    <definedName name="_____pc4">#REF!</definedName>
    <definedName name="_____pc5" localSheetId="3">#REF!</definedName>
    <definedName name="_____pc5">#REF!</definedName>
    <definedName name="_____pc6" localSheetId="3">#REF!</definedName>
    <definedName name="_____pc6">#REF!</definedName>
    <definedName name="_____pc8" localSheetId="3">#REF!</definedName>
    <definedName name="_____pc8">#REF!</definedName>
    <definedName name="_____pcf10" localSheetId="3">#REF!</definedName>
    <definedName name="_____pcf10">#REF!</definedName>
    <definedName name="_____pcf12" localSheetId="3">#REF!</definedName>
    <definedName name="_____pcf12">#REF!</definedName>
    <definedName name="_____pcf3" localSheetId="3">#REF!</definedName>
    <definedName name="_____pcf3">#REF!</definedName>
    <definedName name="_____pcf4" localSheetId="3">#REF!</definedName>
    <definedName name="_____pcf4">#REF!</definedName>
    <definedName name="_____pcf5" localSheetId="3">#REF!</definedName>
    <definedName name="_____pcf5">#REF!</definedName>
    <definedName name="_____pcf6" localSheetId="3">#REF!</definedName>
    <definedName name="_____pcf6">#REF!</definedName>
    <definedName name="_____pcf8" localSheetId="3">#REF!</definedName>
    <definedName name="_____pcf8">#REF!</definedName>
    <definedName name="_____pd1" localSheetId="3">#REF!</definedName>
    <definedName name="_____pd1">#REF!</definedName>
    <definedName name="_____pd2" localSheetId="3">#REF!</definedName>
    <definedName name="_____pd2">#REF!</definedName>
    <definedName name="_____pd3" localSheetId="3">#REF!</definedName>
    <definedName name="_____pd3">#REF!</definedName>
    <definedName name="_____pdf3" localSheetId="3">#REF!</definedName>
    <definedName name="_____pdf3">#REF!</definedName>
    <definedName name="_____PJ2" localSheetId="3">#REF!</definedName>
    <definedName name="_____PJ2">#REF!</definedName>
    <definedName name="_____PJ3" localSheetId="3">#REF!</definedName>
    <definedName name="_____PJ3">#REF!</definedName>
    <definedName name="_____PL1" localSheetId="3">#REF!</definedName>
    <definedName name="_____PL1">#REF!</definedName>
    <definedName name="_____PL2" localSheetId="3">#REF!</definedName>
    <definedName name="_____PL2">#REF!</definedName>
    <definedName name="_____PL3" localSheetId="3">#REF!</definedName>
    <definedName name="_____PL3">#REF!</definedName>
    <definedName name="_____po1000" localSheetId="3">#REF!</definedName>
    <definedName name="_____po1000">#REF!</definedName>
    <definedName name="_____por4040" localSheetId="3">#REF!</definedName>
    <definedName name="_____por4040">#REF!</definedName>
    <definedName name="_____QS1" localSheetId="3">#REF!</definedName>
    <definedName name="_____QS1">#REF!</definedName>
    <definedName name="_____QS10" localSheetId="3">#REF!</definedName>
    <definedName name="_____QS10">#REF!</definedName>
    <definedName name="_____QS11" localSheetId="3">#REF!</definedName>
    <definedName name="_____QS11">#REF!</definedName>
    <definedName name="_____QS12" localSheetId="3">#REF!</definedName>
    <definedName name="_____QS12">#REF!</definedName>
    <definedName name="_____QS13" localSheetId="3">#REF!</definedName>
    <definedName name="_____QS13">#REF!</definedName>
    <definedName name="_____QS14" localSheetId="3">#REF!</definedName>
    <definedName name="_____QS14">#REF!</definedName>
    <definedName name="_____QS15" localSheetId="3">#REF!</definedName>
    <definedName name="_____QS15">#REF!</definedName>
    <definedName name="_____QS16" localSheetId="3">#REF!</definedName>
    <definedName name="_____QS16">#REF!</definedName>
    <definedName name="_____QS17" localSheetId="3">#REF!</definedName>
    <definedName name="_____QS17">#REF!</definedName>
    <definedName name="_____QS18" localSheetId="3">#REF!</definedName>
    <definedName name="_____QS18">#REF!</definedName>
    <definedName name="_____QS19" localSheetId="3">#REF!</definedName>
    <definedName name="_____QS19">#REF!</definedName>
    <definedName name="_____QS2" localSheetId="3">#REF!</definedName>
    <definedName name="_____QS2">#REF!</definedName>
    <definedName name="_____QS20" localSheetId="3">#REF!</definedName>
    <definedName name="_____QS20">#REF!</definedName>
    <definedName name="_____QS21" localSheetId="3">#REF!</definedName>
    <definedName name="_____QS21">#REF!</definedName>
    <definedName name="_____QS3" localSheetId="3">#REF!</definedName>
    <definedName name="_____QS3">#REF!</definedName>
    <definedName name="_____QS4" localSheetId="3">#REF!</definedName>
    <definedName name="_____QS4">#REF!</definedName>
    <definedName name="_____QS5" localSheetId="3">#REF!</definedName>
    <definedName name="_____QS5">#REF!</definedName>
    <definedName name="_____QS6" localSheetId="3">#REF!</definedName>
    <definedName name="_____QS6">#REF!</definedName>
    <definedName name="_____QS7" localSheetId="3">#REF!</definedName>
    <definedName name="_____QS7">#REF!</definedName>
    <definedName name="_____QS8" localSheetId="3">#REF!</definedName>
    <definedName name="_____QS8">#REF!</definedName>
    <definedName name="_____QS9" localSheetId="3">#REF!</definedName>
    <definedName name="_____QS9">#REF!</definedName>
    <definedName name="_____rd4" localSheetId="3">#REF!</definedName>
    <definedName name="_____rd4">#REF!</definedName>
    <definedName name="_____rd6" localSheetId="3">#REF!</definedName>
    <definedName name="_____rd6">#REF!</definedName>
    <definedName name="_____rd8" localSheetId="3">#REF!</definedName>
    <definedName name="_____rd8">#REF!</definedName>
    <definedName name="_____rk100" localSheetId="3">#REF!</definedName>
    <definedName name="_____rk100">#REF!</definedName>
    <definedName name="_____rk150" localSheetId="3">#REF!</definedName>
    <definedName name="_____rk150">#REF!</definedName>
    <definedName name="_____rk200" localSheetId="3">#REF!</definedName>
    <definedName name="_____rk200">#REF!</definedName>
    <definedName name="_____rk300" localSheetId="3">#REF!</definedName>
    <definedName name="_____rk300">#REF!</definedName>
    <definedName name="_____rk400" localSheetId="3">#REF!</definedName>
    <definedName name="_____rk400">#REF!</definedName>
    <definedName name="_____rk500" localSheetId="3">#REF!</definedName>
    <definedName name="_____rk500">#REF!</definedName>
    <definedName name="_____rk600" localSheetId="3">#REF!</definedName>
    <definedName name="_____rk600">#REF!</definedName>
    <definedName name="_____rkl1000" localSheetId="3">#REF!</definedName>
    <definedName name="_____rkl1000">#REF!</definedName>
    <definedName name="_____rkl1200" localSheetId="3">#REF!</definedName>
    <definedName name="_____rkl1200">#REF!</definedName>
    <definedName name="_____rkl200" localSheetId="3">#REF!</definedName>
    <definedName name="_____rkl200">#REF!</definedName>
    <definedName name="_____rkl300" localSheetId="3">#REF!</definedName>
    <definedName name="_____rkl300">#REF!</definedName>
    <definedName name="_____rkl400" localSheetId="3">#REF!</definedName>
    <definedName name="_____rkl400">#REF!</definedName>
    <definedName name="_____rkl500" localSheetId="3">#REF!</definedName>
    <definedName name="_____rkl500">#REF!</definedName>
    <definedName name="_____rkl600" localSheetId="3">#REF!</definedName>
    <definedName name="_____rkl600">#REF!</definedName>
    <definedName name="_____rkl700" localSheetId="3">#REF!</definedName>
    <definedName name="_____rkl700">#REF!</definedName>
    <definedName name="_____rkl800" localSheetId="3">#REF!</definedName>
    <definedName name="_____rkl800">#REF!</definedName>
    <definedName name="_____sc1" localSheetId="3">#REF!</definedName>
    <definedName name="_____sc1">#REF!</definedName>
    <definedName name="_____SC2" localSheetId="3">#REF!</definedName>
    <definedName name="_____SC2">#REF!</definedName>
    <definedName name="_____sc3" localSheetId="3">#REF!</definedName>
    <definedName name="_____sc3">#REF!</definedName>
    <definedName name="_____sfv150" localSheetId="3">#REF!</definedName>
    <definedName name="_____sfv150">#REF!</definedName>
    <definedName name="_____sh1040" localSheetId="3">#REF!</definedName>
    <definedName name="_____sh1040">#REF!</definedName>
    <definedName name="_____SN3" localSheetId="3">#REF!</definedName>
    <definedName name="_____SN3">#REF!</definedName>
    <definedName name="_____std100" localSheetId="3">#REF!</definedName>
    <definedName name="_____std100">#REF!</definedName>
    <definedName name="_____std150" localSheetId="3">#REF!</definedName>
    <definedName name="_____std150">#REF!</definedName>
    <definedName name="_____std2" localSheetId="3">#REF!</definedName>
    <definedName name="_____std2">#REF!</definedName>
    <definedName name="_____std3" localSheetId="3">#REF!</definedName>
    <definedName name="_____std3">#REF!</definedName>
    <definedName name="_____std4" localSheetId="3">#REF!</definedName>
    <definedName name="_____std4">#REF!</definedName>
    <definedName name="_____std50" localSheetId="3">#REF!</definedName>
    <definedName name="_____std50">#REF!</definedName>
    <definedName name="_____std65" localSheetId="3">#REF!</definedName>
    <definedName name="_____std65">#REF!</definedName>
    <definedName name="_____ti100" localSheetId="3">#REF!</definedName>
    <definedName name="_____ti100">#REF!</definedName>
    <definedName name="_____ti120" localSheetId="3">#REF!</definedName>
    <definedName name="_____ti120">#REF!</definedName>
    <definedName name="_____ti50" localSheetId="3">#REF!</definedName>
    <definedName name="_____ti50">#REF!</definedName>
    <definedName name="_____ti60" localSheetId="3">#REF!</definedName>
    <definedName name="_____ti60">#REF!</definedName>
    <definedName name="_____ti80" localSheetId="3">#REF!</definedName>
    <definedName name="_____ti80">#REF!</definedName>
    <definedName name="_____TL1" localSheetId="3">#REF!</definedName>
    <definedName name="_____TL1">#REF!</definedName>
    <definedName name="_____TL2" localSheetId="3">#REF!</definedName>
    <definedName name="_____TL2">#REF!</definedName>
    <definedName name="_____TL3" localSheetId="3">#REF!</definedName>
    <definedName name="_____TL3">#REF!</definedName>
    <definedName name="_____TLA120" localSheetId="3">#REF!</definedName>
    <definedName name="_____TLA120">#REF!</definedName>
    <definedName name="_____TLA35" localSheetId="3">#REF!</definedName>
    <definedName name="_____TLA35">#REF!</definedName>
    <definedName name="_____TLA50" localSheetId="3">#REF!</definedName>
    <definedName name="_____TLA50">#REF!</definedName>
    <definedName name="_____TLA70" localSheetId="3">#REF!</definedName>
    <definedName name="_____TLA70">#REF!</definedName>
    <definedName name="_____TLA95" localSheetId="3">#REF!</definedName>
    <definedName name="_____TLA95">#REF!</definedName>
    <definedName name="_____tlc20" localSheetId="3">#REF!</definedName>
    <definedName name="_____tlc20">#REF!</definedName>
    <definedName name="_____tsv25" localSheetId="3">#REF!</definedName>
    <definedName name="_____tsv25">#REF!</definedName>
    <definedName name="_____uls60" localSheetId="3">#REF!</definedName>
    <definedName name="_____uls60">#REF!</definedName>
    <definedName name="_____utd1" localSheetId="3">#REF!</definedName>
    <definedName name="_____utd1">#REF!</definedName>
    <definedName name="_____utd2" localSheetId="3">#REF!</definedName>
    <definedName name="_____utd2">#REF!</definedName>
    <definedName name="_____utd3" localSheetId="3">#REF!</definedName>
    <definedName name="_____utd3">#REF!</definedName>
    <definedName name="_____vcd2" localSheetId="3">#REF!</definedName>
    <definedName name="_____vcd2">#REF!</definedName>
    <definedName name="_____vcd3" localSheetId="3">#REF!</definedName>
    <definedName name="_____vcd3">#REF!</definedName>
    <definedName name="_____vcd4" localSheetId="3">#REF!</definedName>
    <definedName name="_____vcd4">#REF!</definedName>
    <definedName name="_____VL100" localSheetId="3">#REF!</definedName>
    <definedName name="_____VL100">#REF!</definedName>
    <definedName name="_____VL200" localSheetId="3">#REF!</definedName>
    <definedName name="_____VL200">#REF!</definedName>
    <definedName name="_____VL250" localSheetId="3">#REF!</definedName>
    <definedName name="_____VL250">#REF!</definedName>
    <definedName name="_____WAK1" localSheetId="3">#REF!</definedName>
    <definedName name="_____WAK1">#REF!</definedName>
    <definedName name="_____WAK2" localSheetId="3">#REF!</definedName>
    <definedName name="_____WAK2">#REF!</definedName>
    <definedName name="_____we3" localSheetId="3">#REF!</definedName>
    <definedName name="_____we3">#REF!</definedName>
    <definedName name="____bab2" localSheetId="3">#REF!</definedName>
    <definedName name="____bab2">#REF!</definedName>
    <definedName name="____bab3" localSheetId="3">#REF!</definedName>
    <definedName name="____bab3">#REF!</definedName>
    <definedName name="____bab4" localSheetId="3">#REF!</definedName>
    <definedName name="____bab4">#REF!</definedName>
    <definedName name="____bbm10" localSheetId="3">#REF!</definedName>
    <definedName name="____bbm10">#REF!</definedName>
    <definedName name="____bbm3" localSheetId="3">#REF!</definedName>
    <definedName name="____bbm3">#REF!</definedName>
    <definedName name="____bbm5" localSheetId="3">#REF!</definedName>
    <definedName name="____bbm5">#REF!</definedName>
    <definedName name="____bbm8" localSheetId="3">#REF!</definedName>
    <definedName name="____bbm8">#REF!</definedName>
    <definedName name="____bcv100" localSheetId="3">#REF!</definedName>
    <definedName name="____bcv100">#REF!</definedName>
    <definedName name="____bcv125" localSheetId="3">#REF!</definedName>
    <definedName name="____bcv125">#REF!</definedName>
    <definedName name="____bcv150" localSheetId="3">#REF!</definedName>
    <definedName name="____bcv150">#REF!</definedName>
    <definedName name="____bed1" localSheetId="3">#REF!</definedName>
    <definedName name="____bed1">#REF!</definedName>
    <definedName name="____bed2" localSheetId="3">#REF!</definedName>
    <definedName name="____bed2">#REF!</definedName>
    <definedName name="____bed3" localSheetId="3">#REF!</definedName>
    <definedName name="____bed3">#REF!</definedName>
    <definedName name="____bed4" localSheetId="3">#REF!</definedName>
    <definedName name="____bed4">#REF!</definedName>
    <definedName name="____bed5" localSheetId="3">#REF!</definedName>
    <definedName name="____bed5">#REF!</definedName>
    <definedName name="____bet250" localSheetId="3">#REF!</definedName>
    <definedName name="____bet250">#REF!</definedName>
    <definedName name="____bet275" localSheetId="3">#REF!</definedName>
    <definedName name="____bet275">#REF!</definedName>
    <definedName name="____bet300" localSheetId="3">#REF!</definedName>
    <definedName name="____bet300">#REF!</definedName>
    <definedName name="____bpl32" localSheetId="3">#REF!</definedName>
    <definedName name="____bpl32">#REF!</definedName>
    <definedName name="____bpl9" localSheetId="3">#REF!</definedName>
    <definedName name="____bpl9">#REF!</definedName>
    <definedName name="____brc120" localSheetId="3">#REF!</definedName>
    <definedName name="____brc120">#REF!</definedName>
    <definedName name="____brc90" localSheetId="3">#REF!</definedName>
    <definedName name="____brc90">#REF!</definedName>
    <definedName name="____bsd1600" localSheetId="3">#REF!</definedName>
    <definedName name="____bsd1600">#REF!</definedName>
    <definedName name="____bsd2500" localSheetId="3">#REF!</definedName>
    <definedName name="____bsd2500">#REF!</definedName>
    <definedName name="____bsd4000" localSheetId="3">#REF!</definedName>
    <definedName name="____bsd4000">#REF!</definedName>
    <definedName name="____btn175" localSheetId="3">#REF!</definedName>
    <definedName name="____btn175">#REF!</definedName>
    <definedName name="____btn300" localSheetId="3">#REF!</definedName>
    <definedName name="____btn300">#REF!</definedName>
    <definedName name="____bud3500" localSheetId="3">#REF!</definedName>
    <definedName name="____bud3500">#REF!</definedName>
    <definedName name="____bvd1" localSheetId="3">#REF!</definedName>
    <definedName name="____bvd1">#REF!</definedName>
    <definedName name="____bvd2" localSheetId="3">#REF!</definedName>
    <definedName name="____bvd2">#REF!</definedName>
    <definedName name="____bvd3" localSheetId="3">#REF!</definedName>
    <definedName name="____bvd3">#REF!</definedName>
    <definedName name="____bvd34" localSheetId="3">#REF!</definedName>
    <definedName name="____bvd34">#REF!</definedName>
    <definedName name="____bvd4" localSheetId="3">#REF!</definedName>
    <definedName name="____bvd4">#REF!</definedName>
    <definedName name="____bvd5" localSheetId="3">#REF!</definedName>
    <definedName name="____bvd5">#REF!</definedName>
    <definedName name="____bvd8" localSheetId="3">#REF!</definedName>
    <definedName name="____bvd8">#REF!</definedName>
    <definedName name="____cip10" localSheetId="3">#REF!</definedName>
    <definedName name="____cip10">#REF!</definedName>
    <definedName name="____cip2" localSheetId="3">#REF!</definedName>
    <definedName name="____cip2">#REF!</definedName>
    <definedName name="____cip3" localSheetId="3">#REF!</definedName>
    <definedName name="____cip3">#REF!</definedName>
    <definedName name="____cip4" localSheetId="3">#REF!</definedName>
    <definedName name="____cip4">#REF!</definedName>
    <definedName name="____cip6" localSheetId="3">#REF!</definedName>
    <definedName name="____cip6">#REF!</definedName>
    <definedName name="____cip8" localSheetId="3">#REF!</definedName>
    <definedName name="____cip8">#REF!</definedName>
    <definedName name="____cod4" localSheetId="3">#REF!</definedName>
    <definedName name="____cod4">#REF!</definedName>
    <definedName name="____CON125" localSheetId="3">#REF!</definedName>
    <definedName name="____CON125">#REF!</definedName>
    <definedName name="____CON175" localSheetId="3">#REF!</definedName>
    <definedName name="____CON175">#REF!</definedName>
    <definedName name="____CON250" localSheetId="3">#REF!</definedName>
    <definedName name="____CON250">#REF!</definedName>
    <definedName name="____CON300" localSheetId="3">#REF!</definedName>
    <definedName name="____CON300">#REF!</definedName>
    <definedName name="____COR135" localSheetId="2">[2]Anl!#REF!</definedName>
    <definedName name="____COR135" localSheetId="3">[2]Anl!#REF!</definedName>
    <definedName name="____COR135">[2]Anl!#REF!</definedName>
    <definedName name="____cvd100" localSheetId="3">#REF!</definedName>
    <definedName name="____cvd100">#REF!</definedName>
    <definedName name="____cvd15" localSheetId="3">#REF!</definedName>
    <definedName name="____cvd15">#REF!</definedName>
    <definedName name="____cvd150" localSheetId="3">#REF!</definedName>
    <definedName name="____cvd150">#REF!</definedName>
    <definedName name="____cvd50" localSheetId="3">#REF!</definedName>
    <definedName name="____cvd50">#REF!</definedName>
    <definedName name="____cvd65" localSheetId="3">#REF!</definedName>
    <definedName name="____cvd65">#REF!</definedName>
    <definedName name="____daf1" localSheetId="3">#REF!</definedName>
    <definedName name="____daf1">#REF!</definedName>
    <definedName name="____DAF10" localSheetId="3">#REF!</definedName>
    <definedName name="____DAF10">#REF!</definedName>
    <definedName name="____daf2" localSheetId="3">#REF!</definedName>
    <definedName name="____daf2">#REF!</definedName>
    <definedName name="____daf31" localSheetId="3">#REF!</definedName>
    <definedName name="____daf31">#REF!</definedName>
    <definedName name="____daf32" localSheetId="3">#REF!</definedName>
    <definedName name="____daf32">#REF!</definedName>
    <definedName name="____daf33" localSheetId="3">#REF!</definedName>
    <definedName name="____daf33">#REF!</definedName>
    <definedName name="____dal1" localSheetId="3">#REF!</definedName>
    <definedName name="____dal1">#REF!</definedName>
    <definedName name="____dal2" localSheetId="3">#REF!</definedName>
    <definedName name="____dal2">#REF!</definedName>
    <definedName name="____dal3" localSheetId="3">#REF!</definedName>
    <definedName name="____dal3">#REF!</definedName>
    <definedName name="____dal4" localSheetId="3">#REF!</definedName>
    <definedName name="____dal4">#REF!</definedName>
    <definedName name="____dal5" localSheetId="3">#REF!</definedName>
    <definedName name="____dal5">#REF!</definedName>
    <definedName name="____DAL6" localSheetId="3">#REF!</definedName>
    <definedName name="____DAL6">#REF!</definedName>
    <definedName name="____DAL7" localSheetId="3">#REF!</definedName>
    <definedName name="____DAL7">#REF!</definedName>
    <definedName name="____ddn400" localSheetId="3">#REF!</definedName>
    <definedName name="____ddn400">#REF!</definedName>
    <definedName name="____ddn600" localSheetId="3">#REF!</definedName>
    <definedName name="____ddn600">#REF!</definedName>
    <definedName name="____DIV1" localSheetId="3">#REF!</definedName>
    <definedName name="____DIV1">#REF!</definedName>
    <definedName name="____DIV10" localSheetId="3">#REF!</definedName>
    <definedName name="____DIV10">#REF!</definedName>
    <definedName name="____DIV11" localSheetId="2">#REF!</definedName>
    <definedName name="____DIV11" localSheetId="3">#REF!</definedName>
    <definedName name="____DIV11">'[3]Kuantitas &amp; Harga'!#REF!</definedName>
    <definedName name="____DIV2" localSheetId="3">#REF!</definedName>
    <definedName name="____DIV2">#REF!</definedName>
    <definedName name="____DIV3" localSheetId="3">#REF!</definedName>
    <definedName name="____DIV3">#REF!</definedName>
    <definedName name="____DIV4" localSheetId="3">#REF!</definedName>
    <definedName name="____DIV4">#REF!</definedName>
    <definedName name="____DIV5" localSheetId="3">#REF!</definedName>
    <definedName name="____DIV5">#REF!</definedName>
    <definedName name="____DIV6" localSheetId="3">#REF!</definedName>
    <definedName name="____DIV6">#REF!</definedName>
    <definedName name="____DIV7" localSheetId="2">#REF!</definedName>
    <definedName name="____DIV7" localSheetId="3">#REF!</definedName>
    <definedName name="____DIV7">'[3]Kuantitas &amp; Harga'!#REF!</definedName>
    <definedName name="____DIV8" localSheetId="3">#REF!</definedName>
    <definedName name="____DIV8">#REF!</definedName>
    <definedName name="____DIV9" localSheetId="3">#REF!</definedName>
    <definedName name="____DIV9">#REF!</definedName>
    <definedName name="____dlh20" localSheetId="3">#REF!</definedName>
    <definedName name="____dlh20">#REF!</definedName>
    <definedName name="____dlh50" localSheetId="3">#REF!</definedName>
    <definedName name="____dlh50">#REF!</definedName>
    <definedName name="____dot2020" localSheetId="3">#REF!</definedName>
    <definedName name="____dot2020">#REF!</definedName>
    <definedName name="____EEE01" localSheetId="2">#REF!</definedName>
    <definedName name="____EEE01" localSheetId="3">#REF!</definedName>
    <definedName name="____EEE01">#REF!</definedName>
    <definedName name="____EEE02" localSheetId="2">#REF!</definedName>
    <definedName name="____EEE02" localSheetId="3">#REF!</definedName>
    <definedName name="____EEE02">#REF!</definedName>
    <definedName name="____EEE03" localSheetId="2">#REF!</definedName>
    <definedName name="____EEE03" localSheetId="3">#REF!</definedName>
    <definedName name="____EEE03">#REF!</definedName>
    <definedName name="____EEE04">#REF!</definedName>
    <definedName name="____EEE05">#REF!</definedName>
    <definedName name="____EEE06">#REF!</definedName>
    <definedName name="____EEE07">#REF!</definedName>
    <definedName name="____EEE08">#REF!</definedName>
    <definedName name="____EEE09">#REF!</definedName>
    <definedName name="____EEE10">#REF!</definedName>
    <definedName name="____EEE11">#REF!</definedName>
    <definedName name="____EEE12">#REF!</definedName>
    <definedName name="____EEE13">#REF!</definedName>
    <definedName name="____EEE14">#REF!</definedName>
    <definedName name="____EEE15">#REF!</definedName>
    <definedName name="____EEE16">#REF!</definedName>
    <definedName name="____EEE17">#REF!</definedName>
    <definedName name="____EEE18">#REF!</definedName>
    <definedName name="____EEE19">#REF!</definedName>
    <definedName name="____EEE20">#REF!</definedName>
    <definedName name="____EEE21">#REF!</definedName>
    <definedName name="____EEE22">#REF!</definedName>
    <definedName name="____EEE23">#REF!</definedName>
    <definedName name="____EEE24">#REF!</definedName>
    <definedName name="____EEE25">#REF!</definedName>
    <definedName name="____EEE26">#REF!</definedName>
    <definedName name="____EEE27">#REF!</definedName>
    <definedName name="____EEE28">#REF!</definedName>
    <definedName name="____EEE29">#REF!</definedName>
    <definedName name="____EEE30">#REF!</definedName>
    <definedName name="____EEE31">#REF!</definedName>
    <definedName name="____EEE32">#REF!</definedName>
    <definedName name="____EEE33">#REF!</definedName>
    <definedName name="____fdd3" localSheetId="3">#REF!</definedName>
    <definedName name="____fdd3">#REF!</definedName>
    <definedName name="____fdu2" localSheetId="3">#REF!</definedName>
    <definedName name="____fdu2">#REF!</definedName>
    <definedName name="____FIT100" localSheetId="3">#REF!</definedName>
    <definedName name="____FIT100">#REF!</definedName>
    <definedName name="____fit125" localSheetId="3">#REF!</definedName>
    <definedName name="____fit125">#REF!</definedName>
    <definedName name="____FIT150" localSheetId="3">#REF!</definedName>
    <definedName name="____FIT150">#REF!</definedName>
    <definedName name="____FIT200" localSheetId="3">#REF!</definedName>
    <definedName name="____FIT200">#REF!</definedName>
    <definedName name="____FIT300" localSheetId="3">#REF!</definedName>
    <definedName name="____FIT300">#REF!</definedName>
    <definedName name="____FIT65" localSheetId="3">#REF!</definedName>
    <definedName name="____FIT65">#REF!</definedName>
    <definedName name="____fit80" localSheetId="3">#REF!</definedName>
    <definedName name="____fit80">#REF!</definedName>
    <definedName name="____fjd100" localSheetId="3">#REF!</definedName>
    <definedName name="____fjd100">#REF!</definedName>
    <definedName name="____fjd150" localSheetId="3">#REF!</definedName>
    <definedName name="____fjd150">#REF!</definedName>
    <definedName name="____fjd50" localSheetId="3">#REF!</definedName>
    <definedName name="____fjd50">#REF!</definedName>
    <definedName name="____fjd65" localSheetId="3">#REF!</definedName>
    <definedName name="____fjd65">#REF!</definedName>
    <definedName name="____fmd150" localSheetId="3">#REF!</definedName>
    <definedName name="____fmd150">#REF!</definedName>
    <definedName name="____frc2495" localSheetId="3">#REF!</definedName>
    <definedName name="____frc2495">#REF!</definedName>
    <definedName name="____frc41010" localSheetId="3">#REF!</definedName>
    <definedName name="____frc41010">#REF!</definedName>
    <definedName name="____frc495" localSheetId="3">#REF!</definedName>
    <definedName name="____frc495">#REF!</definedName>
    <definedName name="____gip112" localSheetId="3">#REF!</definedName>
    <definedName name="____gip112">#REF!</definedName>
    <definedName name="____giv1" localSheetId="3">#REF!</definedName>
    <definedName name="____giv1">#REF!</definedName>
    <definedName name="____giv12" localSheetId="3">#REF!</definedName>
    <definedName name="____giv12">#REF!</definedName>
    <definedName name="____giv2" localSheetId="3">#REF!</definedName>
    <definedName name="____giv2">#REF!</definedName>
    <definedName name="____giv3" localSheetId="3">#REF!</definedName>
    <definedName name="____giv3">#REF!</definedName>
    <definedName name="____giv34" localSheetId="3">#REF!</definedName>
    <definedName name="____giv34">#REF!</definedName>
    <definedName name="____giv4" localSheetId="3">#REF!</definedName>
    <definedName name="____giv4">#REF!</definedName>
    <definedName name="____grc1" localSheetId="3">#REF!</definedName>
    <definedName name="____grc1">#REF!</definedName>
    <definedName name="____gti50" localSheetId="3">#REF!</definedName>
    <definedName name="____gti50">#REF!</definedName>
    <definedName name="____gti60" localSheetId="3">#REF!</definedName>
    <definedName name="____gti60">#REF!</definedName>
    <definedName name="____gvd1" localSheetId="3">#REF!</definedName>
    <definedName name="____gvd1">#REF!</definedName>
    <definedName name="____gvd10" localSheetId="3">#REF!</definedName>
    <definedName name="____gvd10">#REF!</definedName>
    <definedName name="____gvd100" localSheetId="3">#REF!</definedName>
    <definedName name="____gvd100">#REF!</definedName>
    <definedName name="____gvd15" localSheetId="3">#REF!</definedName>
    <definedName name="____gvd15">#REF!</definedName>
    <definedName name="____gvd150" localSheetId="3">#REF!</definedName>
    <definedName name="____gvd150">#REF!</definedName>
    <definedName name="____gvd2" localSheetId="3">#REF!</definedName>
    <definedName name="____gvd2">#REF!</definedName>
    <definedName name="____gvd25" localSheetId="3">#REF!</definedName>
    <definedName name="____gvd25">#REF!</definedName>
    <definedName name="____gvd3" localSheetId="3">#REF!</definedName>
    <definedName name="____gvd3">#REF!</definedName>
    <definedName name="____gvd4" localSheetId="3">#REF!</definedName>
    <definedName name="____gvd4">#REF!</definedName>
    <definedName name="____gvd5" localSheetId="3">#REF!</definedName>
    <definedName name="____gvd5">#REF!</definedName>
    <definedName name="____gvd50" localSheetId="3">#REF!</definedName>
    <definedName name="____gvd50">#REF!</definedName>
    <definedName name="____gvd6" localSheetId="3">#REF!</definedName>
    <definedName name="____gvd6">#REF!</definedName>
    <definedName name="____gvd65" localSheetId="3">#REF!</definedName>
    <definedName name="____gvd65">#REF!</definedName>
    <definedName name="____gvd8" localSheetId="3">#REF!</definedName>
    <definedName name="____gvd8">#REF!</definedName>
    <definedName name="____HAL1" localSheetId="3">#REF!</definedName>
    <definedName name="____HAL1">#REF!</definedName>
    <definedName name="____HAL2" localSheetId="3">#REF!</definedName>
    <definedName name="____HAL2">#REF!</definedName>
    <definedName name="____HAL3" localSheetId="3">#REF!</definedName>
    <definedName name="____HAL3">#REF!</definedName>
    <definedName name="____HAL4" localSheetId="3">#REF!</definedName>
    <definedName name="____HAL4">#REF!</definedName>
    <definedName name="____HAL5" localSheetId="2">#REF!</definedName>
    <definedName name="____HAL5" localSheetId="3">#REF!</definedName>
    <definedName name="____HAL5">'[3]Kuantitas &amp; Harga'!#REF!</definedName>
    <definedName name="____HAL6" localSheetId="2">#REF!</definedName>
    <definedName name="____HAL6" localSheetId="3">#REF!</definedName>
    <definedName name="____HAL6">'[3]Kuantitas &amp; Harga'!#REF!</definedName>
    <definedName name="____HAL7" localSheetId="3">#REF!</definedName>
    <definedName name="____HAL7">#REF!</definedName>
    <definedName name="____HAL8" localSheetId="3">#REF!</definedName>
    <definedName name="____HAL8">#REF!</definedName>
    <definedName name="____hdw1" localSheetId="3">#REF!</definedName>
    <definedName name="____hdw1">#REF!</definedName>
    <definedName name="____int1" localSheetId="3">#REF!</definedName>
    <definedName name="____int1">#REF!</definedName>
    <definedName name="____int2" localSheetId="3">#REF!</definedName>
    <definedName name="____int2">#REF!</definedName>
    <definedName name="____jum1" localSheetId="3">#REF!</definedName>
    <definedName name="____jum1">#REF!</definedName>
    <definedName name="____jum10" localSheetId="3">#REF!</definedName>
    <definedName name="____jum10">#REF!</definedName>
    <definedName name="____jum2" localSheetId="3">#REF!</definedName>
    <definedName name="____jum2">#REF!</definedName>
    <definedName name="____jum3" localSheetId="3">#REF!</definedName>
    <definedName name="____jum3">#REF!</definedName>
    <definedName name="____jum4" localSheetId="3">#REF!</definedName>
    <definedName name="____jum4">#REF!</definedName>
    <definedName name="____jum5" localSheetId="3">#REF!</definedName>
    <definedName name="____jum5">#REF!</definedName>
    <definedName name="____jum6" localSheetId="3">#REF!</definedName>
    <definedName name="____jum6">#REF!</definedName>
    <definedName name="____jum7" localSheetId="3">#REF!</definedName>
    <definedName name="____jum7">#REF!</definedName>
    <definedName name="____jum8" localSheetId="3">#REF!</definedName>
    <definedName name="____jum8">#REF!</definedName>
    <definedName name="____jum9" localSheetId="3">#REF!</definedName>
    <definedName name="____jum9">#REF!</definedName>
    <definedName name="____kco7" localSheetId="3">#REF!</definedName>
    <definedName name="____kco7">#REF!</definedName>
    <definedName name="____KER2020" localSheetId="3">#REF!</definedName>
    <definedName name="____KER2020">#REF!</definedName>
    <definedName name="____KER2025" localSheetId="3">#REF!</definedName>
    <definedName name="____KER2025">#REF!</definedName>
    <definedName name="____ker3030" localSheetId="3">#REF!</definedName>
    <definedName name="____ker3030">#REF!</definedName>
    <definedName name="____kus1" localSheetId="3">#REF!</definedName>
    <definedName name="____kus1">#REF!</definedName>
    <definedName name="____kus2" localSheetId="3">#REF!</definedName>
    <definedName name="____kus2">#REF!</definedName>
    <definedName name="____kus3" localSheetId="3">#REF!</definedName>
    <definedName name="____kus3">#REF!</definedName>
    <definedName name="____kus4" localSheetId="3">#REF!</definedName>
    <definedName name="____kus4">#REF!</definedName>
    <definedName name="____kus5" localSheetId="3">#REF!</definedName>
    <definedName name="____kus5">#REF!</definedName>
    <definedName name="____LCM2" localSheetId="3">#REF!</definedName>
    <definedName name="____LCM2">#REF!</definedName>
    <definedName name="____LCM3" localSheetId="3">#REF!</definedName>
    <definedName name="____LCM3">#REF!</definedName>
    <definedName name="____ld100" localSheetId="3">#REF!</definedName>
    <definedName name="____ld100">#REF!</definedName>
    <definedName name="____ld120" localSheetId="3">#REF!</definedName>
    <definedName name="____ld120">#REF!</definedName>
    <definedName name="____ld50" localSheetId="3">#REF!</definedName>
    <definedName name="____ld50">#REF!</definedName>
    <definedName name="____ld60" localSheetId="3">#REF!</definedName>
    <definedName name="____ld60">#REF!</definedName>
    <definedName name="____ld80" localSheetId="3">#REF!</definedName>
    <definedName name="____ld80">#REF!</definedName>
    <definedName name="____ldp60" localSheetId="3">#REF!</definedName>
    <definedName name="____ldp60">#REF!</definedName>
    <definedName name="____lh50" localSheetId="3">#REF!</definedName>
    <definedName name="____lh50">#REF!</definedName>
    <definedName name="____lp100" localSheetId="3">#REF!</definedName>
    <definedName name="____lp100">#REF!</definedName>
    <definedName name="____lp300" localSheetId="3">#REF!</definedName>
    <definedName name="____lp300">#REF!</definedName>
    <definedName name="____lp36" localSheetId="3">#REF!</definedName>
    <definedName name="____lp36">#REF!</definedName>
    <definedName name="____lp500" localSheetId="3">#REF!</definedName>
    <definedName name="____lp500">#REF!</definedName>
    <definedName name="____lp60" localSheetId="3">#REF!</definedName>
    <definedName name="____lp60">#REF!</definedName>
    <definedName name="____lpl11" localSheetId="3">#REF!</definedName>
    <definedName name="____lpl11">#REF!</definedName>
    <definedName name="____ls100" localSheetId="3">#REF!</definedName>
    <definedName name="____ls100">#REF!</definedName>
    <definedName name="____ls50" localSheetId="3">#REF!</definedName>
    <definedName name="____ls50">#REF!</definedName>
    <definedName name="____ls60" localSheetId="3">#REF!</definedName>
    <definedName name="____ls60">#REF!</definedName>
    <definedName name="____ls80" localSheetId="3">#REF!</definedName>
    <definedName name="____ls80">#REF!</definedName>
    <definedName name="____MAC12" localSheetId="3">#REF!</definedName>
    <definedName name="____MAC12">#REF!</definedName>
    <definedName name="____MAC46" localSheetId="3">#REF!</definedName>
    <definedName name="____MAC46">#REF!</definedName>
    <definedName name="____mc2" localSheetId="3">#REF!</definedName>
    <definedName name="____mc2">#REF!</definedName>
    <definedName name="____mcb2" localSheetId="3">#REF!</definedName>
    <definedName name="____mcb2">#REF!</definedName>
    <definedName name="____mcb3" localSheetId="3">#REF!</definedName>
    <definedName name="____mcb3">#REF!</definedName>
    <definedName name="____MDE01" localSheetId="2">#REF!</definedName>
    <definedName name="____MDE01" localSheetId="3">#REF!</definedName>
    <definedName name="____MDE01">#REF!</definedName>
    <definedName name="____MDE02" localSheetId="2">#REF!</definedName>
    <definedName name="____MDE02" localSheetId="3">#REF!</definedName>
    <definedName name="____MDE02">#REF!</definedName>
    <definedName name="____MDE03" localSheetId="2">#REF!</definedName>
    <definedName name="____MDE03" localSheetId="3">#REF!</definedName>
    <definedName name="____MDE03">#REF!</definedName>
    <definedName name="____MDE04">#REF!</definedName>
    <definedName name="____MDE05">#REF!</definedName>
    <definedName name="____MDE06">#REF!</definedName>
    <definedName name="____MDE07">#REF!</definedName>
    <definedName name="____MDE08">#REF!</definedName>
    <definedName name="____MDE09">#REF!</definedName>
    <definedName name="____MDE10">#REF!</definedName>
    <definedName name="____MDE11">#REF!</definedName>
    <definedName name="____MDE12">#REF!</definedName>
    <definedName name="____MDE13">#REF!</definedName>
    <definedName name="____MDE14">#REF!</definedName>
    <definedName name="____MDE15">#REF!</definedName>
    <definedName name="____MDE16">#REF!</definedName>
    <definedName name="____MDE17">#REF!</definedName>
    <definedName name="____MDE18">#REF!</definedName>
    <definedName name="____MDE19">#REF!</definedName>
    <definedName name="____MDE20">#REF!</definedName>
    <definedName name="____MDE21">#REF!</definedName>
    <definedName name="____MDE22">#REF!</definedName>
    <definedName name="____MDE23">#REF!</definedName>
    <definedName name="____MDE24">#REF!</definedName>
    <definedName name="____MDE25">#REF!</definedName>
    <definedName name="____MDE26">#REF!</definedName>
    <definedName name="____MDE27">#REF!</definedName>
    <definedName name="____MDE28">#REF!</definedName>
    <definedName name="____MDE29">#REF!</definedName>
    <definedName name="____MDE30">#REF!</definedName>
    <definedName name="____MDE31">#REF!</definedName>
    <definedName name="____MDE32">#REF!</definedName>
    <definedName name="____MDE33">#REF!</definedName>
    <definedName name="____MDE34">#REF!</definedName>
    <definedName name="____MDE35" localSheetId="3">#REF!</definedName>
    <definedName name="____MDE35">#REF!</definedName>
    <definedName name="____MDE36" localSheetId="3">#REF!</definedName>
    <definedName name="____MDE36">#REF!</definedName>
    <definedName name="____MDE37" localSheetId="3">#REF!</definedName>
    <definedName name="____MDE37">#REF!</definedName>
    <definedName name="____MDE38" localSheetId="3">#REF!</definedName>
    <definedName name="____MDE38">#REF!</definedName>
    <definedName name="____MDE39" localSheetId="3">#REF!</definedName>
    <definedName name="____MDE39">#REF!</definedName>
    <definedName name="____MDE40" localSheetId="3">#REF!</definedName>
    <definedName name="____MDE40">#REF!</definedName>
    <definedName name="____MDE41" localSheetId="3">#REF!</definedName>
    <definedName name="____MDE41">#REF!</definedName>
    <definedName name="____MDE42" localSheetId="3">#REF!</definedName>
    <definedName name="____MDE42">#REF!</definedName>
    <definedName name="____MDE43" localSheetId="3">#REF!</definedName>
    <definedName name="____MDE43">#REF!</definedName>
    <definedName name="____MDE44" localSheetId="3">#REF!</definedName>
    <definedName name="____MDE44">#REF!</definedName>
    <definedName name="____MDE45" localSheetId="3">#REF!</definedName>
    <definedName name="____MDE45">#REF!</definedName>
    <definedName name="____MDE46" localSheetId="3">#REF!</definedName>
    <definedName name="____MDE46">#REF!</definedName>
    <definedName name="____MDE47" localSheetId="3">#REF!</definedName>
    <definedName name="____MDE47">#REF!</definedName>
    <definedName name="____MDE48" localSheetId="3">#REF!</definedName>
    <definedName name="____MDE48">#REF!</definedName>
    <definedName name="____MDE49" localSheetId="3">#REF!</definedName>
    <definedName name="____MDE49">#REF!</definedName>
    <definedName name="____MDE50" localSheetId="3">#REF!</definedName>
    <definedName name="____MDE50">#REF!</definedName>
    <definedName name="____MDE51" localSheetId="3">#REF!</definedName>
    <definedName name="____MDE51">#REF!</definedName>
    <definedName name="____MDE52" localSheetId="3">#REF!</definedName>
    <definedName name="____MDE52">#REF!</definedName>
    <definedName name="____MDE53" localSheetId="3">#REF!</definedName>
    <definedName name="____MDE53">#REF!</definedName>
    <definedName name="____MDE54" localSheetId="3">#REF!</definedName>
    <definedName name="____MDE54">#REF!</definedName>
    <definedName name="____MDE55" localSheetId="3">#REF!</definedName>
    <definedName name="____MDE55">#REF!</definedName>
    <definedName name="____MDE56" localSheetId="3">#REF!</definedName>
    <definedName name="____MDE56">#REF!</definedName>
    <definedName name="____MDE57" localSheetId="3">#REF!</definedName>
    <definedName name="____MDE57">#REF!</definedName>
    <definedName name="____MDE58" localSheetId="3">#REF!</definedName>
    <definedName name="____MDE58">#REF!</definedName>
    <definedName name="____MDE59" localSheetId="3">#REF!</definedName>
    <definedName name="____MDE59">#REF!</definedName>
    <definedName name="____MDE60" localSheetId="3">#REF!</definedName>
    <definedName name="____MDE60">#REF!</definedName>
    <definedName name="____MDE61" localSheetId="3">#REF!</definedName>
    <definedName name="____MDE61">#REF!</definedName>
    <definedName name="____MDE62" localSheetId="3">#REF!</definedName>
    <definedName name="____MDE62">#REF!</definedName>
    <definedName name="____MDE63" localSheetId="3">#REF!</definedName>
    <definedName name="____MDE63">#REF!</definedName>
    <definedName name="____MDE64" localSheetId="3">#REF!</definedName>
    <definedName name="____MDE64">#REF!</definedName>
    <definedName name="____MDE65" localSheetId="3">#REF!</definedName>
    <definedName name="____MDE65">#REF!</definedName>
    <definedName name="____MDE66" localSheetId="3">#REF!</definedName>
    <definedName name="____MDE66">#REF!</definedName>
    <definedName name="____MDE67" localSheetId="3">#REF!</definedName>
    <definedName name="____MDE67">#REF!</definedName>
    <definedName name="____MDE68" localSheetId="3">#REF!</definedName>
    <definedName name="____MDE68">#REF!</definedName>
    <definedName name="____ME01">#REF!</definedName>
    <definedName name="____ME02">#REF!</definedName>
    <definedName name="____ME03">#REF!</definedName>
    <definedName name="____ME04">#REF!</definedName>
    <definedName name="____ME05">#REF!</definedName>
    <definedName name="____ME06">#REF!</definedName>
    <definedName name="____ME07">#REF!</definedName>
    <definedName name="____ME08">#REF!</definedName>
    <definedName name="____ME09">#REF!</definedName>
    <definedName name="____ME10">#REF!</definedName>
    <definedName name="____ME11">#REF!</definedName>
    <definedName name="____ME12">#REF!</definedName>
    <definedName name="____ME13">#REF!</definedName>
    <definedName name="____ME14">#REF!</definedName>
    <definedName name="____ME15">#REF!</definedName>
    <definedName name="____ME16">#REF!</definedName>
    <definedName name="____ME17">#REF!</definedName>
    <definedName name="____ME18">#REF!</definedName>
    <definedName name="____ME19">#REF!</definedName>
    <definedName name="____ME20">#REF!</definedName>
    <definedName name="____ME21">#REF!</definedName>
    <definedName name="____ME22">#REF!</definedName>
    <definedName name="____ME23">#REF!</definedName>
    <definedName name="____ME24">#REF!</definedName>
    <definedName name="____ME25">#REF!</definedName>
    <definedName name="____ME26">#REF!</definedName>
    <definedName name="____ME27">#REF!</definedName>
    <definedName name="____ME28">#REF!</definedName>
    <definedName name="____ME29">#REF!</definedName>
    <definedName name="____ME30">#REF!</definedName>
    <definedName name="____ME31">#REF!</definedName>
    <definedName name="____ME32">#REF!</definedName>
    <definedName name="____ME33">#REF!</definedName>
    <definedName name="____ME34">#REF!</definedName>
    <definedName name="____ME35" localSheetId="3">#REF!</definedName>
    <definedName name="____ME35">#REF!</definedName>
    <definedName name="____ME36" localSheetId="3">#REF!</definedName>
    <definedName name="____ME36">#REF!</definedName>
    <definedName name="____ME37" localSheetId="3">#REF!</definedName>
    <definedName name="____ME37">#REF!</definedName>
    <definedName name="____ME38" localSheetId="3">#REF!</definedName>
    <definedName name="____ME38">#REF!</definedName>
    <definedName name="____ME39" localSheetId="3">#REF!</definedName>
    <definedName name="____ME39">#REF!</definedName>
    <definedName name="____ME40" localSheetId="3">#REF!</definedName>
    <definedName name="____ME40">#REF!</definedName>
    <definedName name="____ME41" localSheetId="3">#REF!</definedName>
    <definedName name="____ME41">#REF!</definedName>
    <definedName name="____ME42" localSheetId="3">#REF!</definedName>
    <definedName name="____ME42">#REF!</definedName>
    <definedName name="____ME43" localSheetId="3">#REF!</definedName>
    <definedName name="____ME43">#REF!</definedName>
    <definedName name="____ME44" localSheetId="3">#REF!</definedName>
    <definedName name="____ME44">#REF!</definedName>
    <definedName name="____ME45" localSheetId="3">#REF!</definedName>
    <definedName name="____ME45">#REF!</definedName>
    <definedName name="____ME46" localSheetId="3">#REF!</definedName>
    <definedName name="____ME46">#REF!</definedName>
    <definedName name="____ME47" localSheetId="3">#REF!</definedName>
    <definedName name="____ME47">#REF!</definedName>
    <definedName name="____ME48" localSheetId="3">#REF!</definedName>
    <definedName name="____ME48">#REF!</definedName>
    <definedName name="____ME49" localSheetId="3">#REF!</definedName>
    <definedName name="____ME49">#REF!</definedName>
    <definedName name="____ME50" localSheetId="3">#REF!</definedName>
    <definedName name="____ME50">#REF!</definedName>
    <definedName name="____ME51" localSheetId="3">#REF!</definedName>
    <definedName name="____ME51">#REF!</definedName>
    <definedName name="____ME52" localSheetId="3">#REF!</definedName>
    <definedName name="____ME52">#REF!</definedName>
    <definedName name="____ME53" localSheetId="3">#REF!</definedName>
    <definedName name="____ME53">#REF!</definedName>
    <definedName name="____ME54" localSheetId="3">#REF!</definedName>
    <definedName name="____ME54">#REF!</definedName>
    <definedName name="____ME55" localSheetId="3">#REF!</definedName>
    <definedName name="____ME55">#REF!</definedName>
    <definedName name="____ME56" localSheetId="3">#REF!</definedName>
    <definedName name="____ME56">#REF!</definedName>
    <definedName name="____ME57" localSheetId="3">#REF!</definedName>
    <definedName name="____ME57">#REF!</definedName>
    <definedName name="____ME58" localSheetId="3">#REF!</definedName>
    <definedName name="____ME58">#REF!</definedName>
    <definedName name="____ME59" localSheetId="3">#REF!</definedName>
    <definedName name="____ME59">#REF!</definedName>
    <definedName name="____ME60" localSheetId="3">#REF!</definedName>
    <definedName name="____ME60">#REF!</definedName>
    <definedName name="____ME61" localSheetId="3">#REF!</definedName>
    <definedName name="____ME61">#REF!</definedName>
    <definedName name="____ME62" localSheetId="3">#REF!</definedName>
    <definedName name="____ME62">#REF!</definedName>
    <definedName name="____ME63" localSheetId="3">#REF!</definedName>
    <definedName name="____ME63">#REF!</definedName>
    <definedName name="____ME64" localSheetId="3">#REF!</definedName>
    <definedName name="____ME64">#REF!</definedName>
    <definedName name="____ME65" localSheetId="3">#REF!</definedName>
    <definedName name="____ME65">#REF!</definedName>
    <definedName name="____ME66" localSheetId="3">#REF!</definedName>
    <definedName name="____ME66">#REF!</definedName>
    <definedName name="____ME67" localSheetId="3">#REF!</definedName>
    <definedName name="____ME67">#REF!</definedName>
    <definedName name="____ME68" localSheetId="3">#REF!</definedName>
    <definedName name="____ME68">#REF!</definedName>
    <definedName name="____mu1" localSheetId="3">#REF!</definedName>
    <definedName name="____mu1">#REF!</definedName>
    <definedName name="____mu2" localSheetId="3">#REF!</definedName>
    <definedName name="____mu2">#REF!</definedName>
    <definedName name="____mvd1" localSheetId="3">#REF!</definedName>
    <definedName name="____mvd1">#REF!</definedName>
    <definedName name="____mvd2" localSheetId="3">#REF!</definedName>
    <definedName name="____mvd2">#REF!</definedName>
    <definedName name="____mvd3" localSheetId="3">#REF!</definedName>
    <definedName name="____mvd3">#REF!</definedName>
    <definedName name="____mvd4" localSheetId="3">#REF!</definedName>
    <definedName name="____mvd4">#REF!</definedName>
    <definedName name="____NCL100" localSheetId="3">#REF!</definedName>
    <definedName name="____NCL100">#REF!</definedName>
    <definedName name="____NCL200" localSheetId="3">#REF!</definedName>
    <definedName name="____NCL200">#REF!</definedName>
    <definedName name="____NCL250" localSheetId="3">#REF!</definedName>
    <definedName name="____NCL250">#REF!</definedName>
    <definedName name="____nin190" localSheetId="3">#REF!</definedName>
    <definedName name="____nin190">#REF!</definedName>
    <definedName name="____nym34" localSheetId="3">#REF!</definedName>
    <definedName name="____nym34">#REF!</definedName>
    <definedName name="____nym46" localSheetId="3">#REF!</definedName>
    <definedName name="____nym46">#REF!</definedName>
    <definedName name="____nyy2416" localSheetId="3">#REF!</definedName>
    <definedName name="____nyy2416">#REF!</definedName>
    <definedName name="____nyy244" localSheetId="3">#REF!</definedName>
    <definedName name="____nyy244">#REF!</definedName>
    <definedName name="____nyy246" localSheetId="3">#REF!</definedName>
    <definedName name="____nyy246">#REF!</definedName>
    <definedName name="____nyy34" localSheetId="3">#REF!</definedName>
    <definedName name="____nyy34">#REF!</definedName>
    <definedName name="____nyy410" localSheetId="3">#REF!</definedName>
    <definedName name="____nyy410">#REF!</definedName>
    <definedName name="____nyy41010" localSheetId="3">#REF!</definedName>
    <definedName name="____nyy41010">#REF!</definedName>
    <definedName name="____nyy412050" localSheetId="3">#REF!</definedName>
    <definedName name="____nyy412050">#REF!</definedName>
    <definedName name="____nyy412070" localSheetId="3">#REF!</definedName>
    <definedName name="____nyy412070">#REF!</definedName>
    <definedName name="____nyy415070" localSheetId="3">#REF!</definedName>
    <definedName name="____nyy415070">#REF!</definedName>
    <definedName name="____nyy416" localSheetId="3">#REF!</definedName>
    <definedName name="____nyy416">#REF!</definedName>
    <definedName name="____nyy41616" localSheetId="3">#REF!</definedName>
    <definedName name="____nyy41616">#REF!</definedName>
    <definedName name="____nyy42525" localSheetId="3">#REF!</definedName>
    <definedName name="____nyy42525">#REF!</definedName>
    <definedName name="____nyy43535" localSheetId="3">#REF!</definedName>
    <definedName name="____nyy43535">#REF!</definedName>
    <definedName name="____nyy44" localSheetId="3">#REF!</definedName>
    <definedName name="____nyy44">#REF!</definedName>
    <definedName name="____nyy444" localSheetId="3">#REF!</definedName>
    <definedName name="____nyy444">#REF!</definedName>
    <definedName name="____nyy45050" localSheetId="3">#REF!</definedName>
    <definedName name="____nyy45050">#REF!</definedName>
    <definedName name="____nyy46" localSheetId="3">#REF!</definedName>
    <definedName name="____nyy46">#REF!</definedName>
    <definedName name="____nyy466" localSheetId="3">#REF!</definedName>
    <definedName name="____nyy466">#REF!</definedName>
    <definedName name="____nyy47050" localSheetId="3">#REF!</definedName>
    <definedName name="____nyy47050">#REF!</definedName>
    <definedName name="____nyy47070" localSheetId="3">#REF!</definedName>
    <definedName name="____nyy47070">#REF!</definedName>
    <definedName name="____nyy49570" localSheetId="3">#REF!</definedName>
    <definedName name="____nyy49570">#REF!</definedName>
    <definedName name="____PA1" localSheetId="3">#REF!</definedName>
    <definedName name="____PA1">#REF!</definedName>
    <definedName name="____PA10" localSheetId="3">#REF!</definedName>
    <definedName name="____PA10">#REF!</definedName>
    <definedName name="____PA2" localSheetId="3">#REF!</definedName>
    <definedName name="____PA2">#REF!</definedName>
    <definedName name="____PA3" localSheetId="3">#REF!</definedName>
    <definedName name="____PA3">#REF!</definedName>
    <definedName name="____PA4" localSheetId="3">#REF!</definedName>
    <definedName name="____PA4">#REF!</definedName>
    <definedName name="____PA5" localSheetId="3">#REF!</definedName>
    <definedName name="____PA5">#REF!</definedName>
    <definedName name="____PA6" localSheetId="3">#REF!</definedName>
    <definedName name="____PA6">#REF!</definedName>
    <definedName name="____PA7" localSheetId="3">#REF!</definedName>
    <definedName name="____PA7">#REF!</definedName>
    <definedName name="____PA8" localSheetId="3">#REF!</definedName>
    <definedName name="____PA8">#REF!</definedName>
    <definedName name="____PA9" localSheetId="3">#REF!</definedName>
    <definedName name="____PA9">#REF!</definedName>
    <definedName name="____pab125" localSheetId="3">#REF!</definedName>
    <definedName name="____pab125">#REF!</definedName>
    <definedName name="____pab126" localSheetId="3">#REF!</definedName>
    <definedName name="____pab126">#REF!</definedName>
    <definedName name="____pab65" localSheetId="3">#REF!</definedName>
    <definedName name="____pab65">#REF!</definedName>
    <definedName name="____PB1" localSheetId="3">#REF!</definedName>
    <definedName name="____PB1">#REF!</definedName>
    <definedName name="____PB2" localSheetId="3">#REF!</definedName>
    <definedName name="____PB2">#REF!</definedName>
    <definedName name="____PB3" localSheetId="3">#REF!</definedName>
    <definedName name="____PB3">#REF!</definedName>
    <definedName name="____pb34" localSheetId="3">#REF!</definedName>
    <definedName name="____pb34">#REF!</definedName>
    <definedName name="____pb4" localSheetId="3">#REF!</definedName>
    <definedName name="____pb4">#REF!</definedName>
    <definedName name="____pbf3" localSheetId="3">#REF!</definedName>
    <definedName name="____pbf3">#REF!</definedName>
    <definedName name="____pbf4" localSheetId="3">#REF!</definedName>
    <definedName name="____pbf4">#REF!</definedName>
    <definedName name="____pbs100" localSheetId="3">#REF!</definedName>
    <definedName name="____pbs100">#REF!</definedName>
    <definedName name="____pbs15" localSheetId="3">#REF!</definedName>
    <definedName name="____pbs15">#REF!</definedName>
    <definedName name="____pbs150" localSheetId="3">#REF!</definedName>
    <definedName name="____pbs150">#REF!</definedName>
    <definedName name="____pbs40" localSheetId="3">#REF!</definedName>
    <definedName name="____pbs40">#REF!</definedName>
    <definedName name="____pbs50" localSheetId="3">#REF!</definedName>
    <definedName name="____pbs50">#REF!</definedName>
    <definedName name="____pbs65" localSheetId="3">#REF!</definedName>
    <definedName name="____pbs65">#REF!</definedName>
    <definedName name="____pbs80" localSheetId="3">#REF!</definedName>
    <definedName name="____pbs80">#REF!</definedName>
    <definedName name="____pc1" localSheetId="3">#REF!</definedName>
    <definedName name="____pc1">#REF!</definedName>
    <definedName name="____pc10" localSheetId="3">#REF!</definedName>
    <definedName name="____pc10">#REF!</definedName>
    <definedName name="____pc12" localSheetId="3">#REF!</definedName>
    <definedName name="____pc12">#REF!</definedName>
    <definedName name="____PC120" localSheetId="3">#REF!</definedName>
    <definedName name="____PC120">#REF!</definedName>
    <definedName name="____pc2" localSheetId="3">#REF!</definedName>
    <definedName name="____pc2">#REF!</definedName>
    <definedName name="____pc3" localSheetId="3">#REF!</definedName>
    <definedName name="____pc3">#REF!</definedName>
    <definedName name="____pc4" localSheetId="3">#REF!</definedName>
    <definedName name="____pc4">#REF!</definedName>
    <definedName name="____pc5" localSheetId="3">#REF!</definedName>
    <definedName name="____pc5">#REF!</definedName>
    <definedName name="____pc6" localSheetId="3">#REF!</definedName>
    <definedName name="____pc6">#REF!</definedName>
    <definedName name="____pc8" localSheetId="3">#REF!</definedName>
    <definedName name="____pc8">#REF!</definedName>
    <definedName name="____pcf10" localSheetId="3">#REF!</definedName>
    <definedName name="____pcf10">#REF!</definedName>
    <definedName name="____pcf12" localSheetId="3">#REF!</definedName>
    <definedName name="____pcf12">#REF!</definedName>
    <definedName name="____pcf3" localSheetId="3">#REF!</definedName>
    <definedName name="____pcf3">#REF!</definedName>
    <definedName name="____pcf4" localSheetId="3">#REF!</definedName>
    <definedName name="____pcf4">#REF!</definedName>
    <definedName name="____pcf5" localSheetId="3">#REF!</definedName>
    <definedName name="____pcf5">#REF!</definedName>
    <definedName name="____pcf6" localSheetId="3">#REF!</definedName>
    <definedName name="____pcf6">#REF!</definedName>
    <definedName name="____pcf8" localSheetId="3">#REF!</definedName>
    <definedName name="____pcf8">#REF!</definedName>
    <definedName name="____pd1" localSheetId="3">#REF!</definedName>
    <definedName name="____pd1">#REF!</definedName>
    <definedName name="____pd2" localSheetId="3">#REF!</definedName>
    <definedName name="____pd2">#REF!</definedName>
    <definedName name="____pd3" localSheetId="3">#REF!</definedName>
    <definedName name="____pd3">#REF!</definedName>
    <definedName name="____pdf3" localSheetId="3">#REF!</definedName>
    <definedName name="____pdf3">#REF!</definedName>
    <definedName name="____PJ2" localSheetId="3">#REF!</definedName>
    <definedName name="____PJ2">#REF!</definedName>
    <definedName name="____PJ3" localSheetId="3">#REF!</definedName>
    <definedName name="____PJ3">#REF!</definedName>
    <definedName name="____PL1" localSheetId="3">#REF!</definedName>
    <definedName name="____PL1">#REF!</definedName>
    <definedName name="____PL2" localSheetId="3">#REF!</definedName>
    <definedName name="____PL2">#REF!</definedName>
    <definedName name="____PL3" localSheetId="3">#REF!</definedName>
    <definedName name="____PL3">#REF!</definedName>
    <definedName name="____po1000" localSheetId="3">#REF!</definedName>
    <definedName name="____po1000">#REF!</definedName>
    <definedName name="____por4040" localSheetId="3">#REF!</definedName>
    <definedName name="____por4040">#REF!</definedName>
    <definedName name="____pvc05" localSheetId="3">#REF!</definedName>
    <definedName name="____pvc05">#REF!</definedName>
    <definedName name="____pvc1" localSheetId="3">#REF!</definedName>
    <definedName name="____PVC1">#REF!</definedName>
    <definedName name="____pvc105" localSheetId="3">#REF!</definedName>
    <definedName name="____pvc105">#REF!</definedName>
    <definedName name="____pvc2" localSheetId="3">#REF!</definedName>
    <definedName name="____PVC2">#REF!</definedName>
    <definedName name="____pvc212" localSheetId="3">#REF!</definedName>
    <definedName name="____pvc212">#REF!</definedName>
    <definedName name="____pvc3" localSheetId="3">#REF!</definedName>
    <definedName name="____pvc3">#REF!</definedName>
    <definedName name="____pvc4" localSheetId="3">#REF!</definedName>
    <definedName name="____PVC4">#REF!</definedName>
    <definedName name="____PVC6">#REF!</definedName>
    <definedName name="____QS1" localSheetId="3">#REF!</definedName>
    <definedName name="____QS1">#REF!</definedName>
    <definedName name="____QS10" localSheetId="3">#REF!</definedName>
    <definedName name="____QS10">#REF!</definedName>
    <definedName name="____QS11" localSheetId="3">#REF!</definedName>
    <definedName name="____QS11">#REF!</definedName>
    <definedName name="____QS12" localSheetId="3">#REF!</definedName>
    <definedName name="____QS12">#REF!</definedName>
    <definedName name="____QS13" localSheetId="3">#REF!</definedName>
    <definedName name="____QS13">#REF!</definedName>
    <definedName name="____QS14" localSheetId="3">#REF!</definedName>
    <definedName name="____QS14">#REF!</definedName>
    <definedName name="____QS15" localSheetId="3">#REF!</definedName>
    <definedName name="____QS15">#REF!</definedName>
    <definedName name="____QS16" localSheetId="3">#REF!</definedName>
    <definedName name="____QS16">#REF!</definedName>
    <definedName name="____QS17" localSheetId="3">#REF!</definedName>
    <definedName name="____QS17">#REF!</definedName>
    <definedName name="____QS18" localSheetId="3">#REF!</definedName>
    <definedName name="____QS18">#REF!</definedName>
    <definedName name="____QS19" localSheetId="3">#REF!</definedName>
    <definedName name="____QS19">#REF!</definedName>
    <definedName name="____QS2" localSheetId="3">#REF!</definedName>
    <definedName name="____QS2">#REF!</definedName>
    <definedName name="____QS20" localSheetId="3">#REF!</definedName>
    <definedName name="____QS20">#REF!</definedName>
    <definedName name="____QS21" localSheetId="3">#REF!</definedName>
    <definedName name="____QS21">#REF!</definedName>
    <definedName name="____QS3" localSheetId="3">#REF!</definedName>
    <definedName name="____QS3">#REF!</definedName>
    <definedName name="____QS4" localSheetId="3">#REF!</definedName>
    <definedName name="____QS4">#REF!</definedName>
    <definedName name="____QS5" localSheetId="3">#REF!</definedName>
    <definedName name="____QS5">#REF!</definedName>
    <definedName name="____QS6" localSheetId="3">#REF!</definedName>
    <definedName name="____QS6">#REF!</definedName>
    <definedName name="____QS7" localSheetId="3">#REF!</definedName>
    <definedName name="____QS7">#REF!</definedName>
    <definedName name="____QS8" localSheetId="3">#REF!</definedName>
    <definedName name="____QS8">#REF!</definedName>
    <definedName name="____QS9" localSheetId="3">#REF!</definedName>
    <definedName name="____QS9">#REF!</definedName>
    <definedName name="____rbf2" localSheetId="3">#REF!</definedName>
    <definedName name="____rbf2">#REF!</definedName>
    <definedName name="____rbf3" localSheetId="3">#REF!</definedName>
    <definedName name="____rbf3">#REF!</definedName>
    <definedName name="____rbf4" localSheetId="3">#REF!</definedName>
    <definedName name="____rbf4">#REF!</definedName>
    <definedName name="____rd4" localSheetId="3">#REF!</definedName>
    <definedName name="____rd4">#REF!</definedName>
    <definedName name="____rd6" localSheetId="3">#REF!</definedName>
    <definedName name="____rd6">#REF!</definedName>
    <definedName name="____rd8" localSheetId="3">#REF!</definedName>
    <definedName name="____rd8">#REF!</definedName>
    <definedName name="____rk100" localSheetId="3">#REF!</definedName>
    <definedName name="____rk100">#REF!</definedName>
    <definedName name="____rk150" localSheetId="3">#REF!</definedName>
    <definedName name="____rk150">#REF!</definedName>
    <definedName name="____rk200" localSheetId="3">#REF!</definedName>
    <definedName name="____rk200">#REF!</definedName>
    <definedName name="____rk300" localSheetId="3">#REF!</definedName>
    <definedName name="____rk300">#REF!</definedName>
    <definedName name="____rk400" localSheetId="3">#REF!</definedName>
    <definedName name="____rk400">#REF!</definedName>
    <definedName name="____rk500" localSheetId="3">#REF!</definedName>
    <definedName name="____rk500">#REF!</definedName>
    <definedName name="____rk600" localSheetId="3">#REF!</definedName>
    <definedName name="____rk600">#REF!</definedName>
    <definedName name="____rkl1000" localSheetId="3">#REF!</definedName>
    <definedName name="____rkl1000">#REF!</definedName>
    <definedName name="____rkl1200" localSheetId="3">#REF!</definedName>
    <definedName name="____rkl1200">#REF!</definedName>
    <definedName name="____rkl200" localSheetId="3">#REF!</definedName>
    <definedName name="____rkl200">#REF!</definedName>
    <definedName name="____rkl300" localSheetId="3">#REF!</definedName>
    <definedName name="____rkl300">#REF!</definedName>
    <definedName name="____rkl400" localSheetId="3">#REF!</definedName>
    <definedName name="____rkl400">#REF!</definedName>
    <definedName name="____rkl500" localSheetId="3">#REF!</definedName>
    <definedName name="____rkl500">#REF!</definedName>
    <definedName name="____rkl600" localSheetId="3">#REF!</definedName>
    <definedName name="____rkl600">#REF!</definedName>
    <definedName name="____rkl700" localSheetId="3">#REF!</definedName>
    <definedName name="____rkl700">#REF!</definedName>
    <definedName name="____rkl800" localSheetId="3">#REF!</definedName>
    <definedName name="____rkl800">#REF!</definedName>
    <definedName name="____SAK1">#REF!</definedName>
    <definedName name="____sc1" localSheetId="3">#REF!</definedName>
    <definedName name="____sc1">#REF!</definedName>
    <definedName name="____SC2" localSheetId="3">#REF!</definedName>
    <definedName name="____SC2">#REF!</definedName>
    <definedName name="____sc3" localSheetId="3">#REF!</definedName>
    <definedName name="____sc3">#REF!</definedName>
    <definedName name="____sfv150" localSheetId="3">#REF!</definedName>
    <definedName name="____sfv150">#REF!</definedName>
    <definedName name="____sh1040" localSheetId="3">#REF!</definedName>
    <definedName name="____sh1040">#REF!</definedName>
    <definedName name="____SN3" localSheetId="3">#REF!</definedName>
    <definedName name="____SN3">#REF!</definedName>
    <definedName name="____std100" localSheetId="3">#REF!</definedName>
    <definedName name="____std100">#REF!</definedName>
    <definedName name="____std150" localSheetId="3">#REF!</definedName>
    <definedName name="____std150">#REF!</definedName>
    <definedName name="____std2" localSheetId="3">#REF!</definedName>
    <definedName name="____std2">#REF!</definedName>
    <definedName name="____std3" localSheetId="3">#REF!</definedName>
    <definedName name="____std3">#REF!</definedName>
    <definedName name="____std4" localSheetId="3">#REF!</definedName>
    <definedName name="____std4">#REF!</definedName>
    <definedName name="____std50" localSheetId="3">#REF!</definedName>
    <definedName name="____std50">#REF!</definedName>
    <definedName name="____std65" localSheetId="3">#REF!</definedName>
    <definedName name="____std65">#REF!</definedName>
    <definedName name="____ti100" localSheetId="3">#REF!</definedName>
    <definedName name="____ti100">#REF!</definedName>
    <definedName name="____ti120" localSheetId="3">#REF!</definedName>
    <definedName name="____ti120">#REF!</definedName>
    <definedName name="____ti50" localSheetId="3">#REF!</definedName>
    <definedName name="____ti50">#REF!</definedName>
    <definedName name="____ti60" localSheetId="3">#REF!</definedName>
    <definedName name="____ti60">#REF!</definedName>
    <definedName name="____ti80" localSheetId="3">#REF!</definedName>
    <definedName name="____ti80">#REF!</definedName>
    <definedName name="____TL1" localSheetId="3">#REF!</definedName>
    <definedName name="____TL1">#REF!</definedName>
    <definedName name="____tl120" localSheetId="3">#REF!</definedName>
    <definedName name="____tl120">#REF!</definedName>
    <definedName name="____tl140" localSheetId="3">#REF!</definedName>
    <definedName name="____tl140">#REF!</definedName>
    <definedName name="____TL2" localSheetId="3">#REF!</definedName>
    <definedName name="____TL2">#REF!</definedName>
    <definedName name="____TL240" localSheetId="3">#REF!</definedName>
    <definedName name="____TL240">#REF!</definedName>
    <definedName name="____TL3" localSheetId="3">#REF!</definedName>
    <definedName name="____TL3">#REF!</definedName>
    <definedName name="____TLA120" localSheetId="3">#REF!</definedName>
    <definedName name="____TLA120">#REF!</definedName>
    <definedName name="____TLA35" localSheetId="3">#REF!</definedName>
    <definedName name="____TLA35">#REF!</definedName>
    <definedName name="____TLA50" localSheetId="3">#REF!</definedName>
    <definedName name="____TLA50">#REF!</definedName>
    <definedName name="____TLA70" localSheetId="3">#REF!</definedName>
    <definedName name="____TLA70">#REF!</definedName>
    <definedName name="____TLA95" localSheetId="3">#REF!</definedName>
    <definedName name="____TLA95">#REF!</definedName>
    <definedName name="____tlc20" localSheetId="3">#REF!</definedName>
    <definedName name="____tlc20">#REF!</definedName>
    <definedName name="____tsv25" localSheetId="3">#REF!</definedName>
    <definedName name="____tsv25">#REF!</definedName>
    <definedName name="____uls60" localSheetId="3">#REF!</definedName>
    <definedName name="____uls60">#REF!</definedName>
    <definedName name="____utd1" localSheetId="3">#REF!</definedName>
    <definedName name="____utd1">#REF!</definedName>
    <definedName name="____utd2" localSheetId="3">#REF!</definedName>
    <definedName name="____utd2">#REF!</definedName>
    <definedName name="____utd3" localSheetId="3">#REF!</definedName>
    <definedName name="____utd3">#REF!</definedName>
    <definedName name="____vcd2" localSheetId="3">#REF!</definedName>
    <definedName name="____vcd2">#REF!</definedName>
    <definedName name="____vcd3" localSheetId="3">#REF!</definedName>
    <definedName name="____vcd3">#REF!</definedName>
    <definedName name="____vcd4" localSheetId="3">#REF!</definedName>
    <definedName name="____vcd4">#REF!</definedName>
    <definedName name="____VL100" localSheetId="3">#REF!</definedName>
    <definedName name="____VL100">#REF!</definedName>
    <definedName name="____VL200" localSheetId="3">#REF!</definedName>
    <definedName name="____VL200">#REF!</definedName>
    <definedName name="____VL250" localSheetId="3">#REF!</definedName>
    <definedName name="____VL250">#REF!</definedName>
    <definedName name="____WAK1" localSheetId="3">#REF!</definedName>
    <definedName name="____WAK1">#REF!</definedName>
    <definedName name="____WAK2" localSheetId="3">#REF!</definedName>
    <definedName name="____WAK2">#REF!</definedName>
    <definedName name="____we3" localSheetId="3">#REF!</definedName>
    <definedName name="____we3">#REF!</definedName>
    <definedName name="___ana55" localSheetId="3">#REF!</definedName>
    <definedName name="___ana55">#REF!</definedName>
    <definedName name="___bab2" localSheetId="3">#REF!</definedName>
    <definedName name="___bab2">#REF!</definedName>
    <definedName name="___bab3" localSheetId="3">#REF!</definedName>
    <definedName name="___bab3">#REF!</definedName>
    <definedName name="___bab4" localSheetId="3">#REF!</definedName>
    <definedName name="___bab4">#REF!</definedName>
    <definedName name="___bbm10" localSheetId="3">#REF!</definedName>
    <definedName name="___bbm10">#REF!</definedName>
    <definedName name="___bbm3" localSheetId="3">#REF!</definedName>
    <definedName name="___bbm3">#REF!</definedName>
    <definedName name="___bbm5" localSheetId="3">#REF!</definedName>
    <definedName name="___bbm5">#REF!</definedName>
    <definedName name="___bbm8" localSheetId="3">#REF!</definedName>
    <definedName name="___bbm8">#REF!</definedName>
    <definedName name="___bcv100" localSheetId="3">#REF!</definedName>
    <definedName name="___bcv100">#REF!</definedName>
    <definedName name="___bcv125" localSheetId="3">#REF!</definedName>
    <definedName name="___bcv125">#REF!</definedName>
    <definedName name="___bcv150" localSheetId="3">#REF!</definedName>
    <definedName name="___bcv150">#REF!</definedName>
    <definedName name="___bed1" localSheetId="3">#REF!</definedName>
    <definedName name="___bed1">#REF!</definedName>
    <definedName name="___bed2" localSheetId="3">#REF!</definedName>
    <definedName name="___bed2">#REF!</definedName>
    <definedName name="___bed3" localSheetId="3">#REF!</definedName>
    <definedName name="___bed3">#REF!</definedName>
    <definedName name="___bed4" localSheetId="3">#REF!</definedName>
    <definedName name="___bed4">#REF!</definedName>
    <definedName name="___bed5" localSheetId="3">#REF!</definedName>
    <definedName name="___bed5">#REF!</definedName>
    <definedName name="___bet250" localSheetId="3">#REF!</definedName>
    <definedName name="___bet250">#REF!</definedName>
    <definedName name="___bet275" localSheetId="3">#REF!</definedName>
    <definedName name="___bet275">#REF!</definedName>
    <definedName name="___bet300" localSheetId="3">#REF!</definedName>
    <definedName name="___bet300">#REF!</definedName>
    <definedName name="___bpl32" localSheetId="3">#REF!</definedName>
    <definedName name="___bpl32">#REF!</definedName>
    <definedName name="___bpl9" localSheetId="3">#REF!</definedName>
    <definedName name="___bpl9">#REF!</definedName>
    <definedName name="___brc120" localSheetId="3">#REF!</definedName>
    <definedName name="___brc120">#REF!</definedName>
    <definedName name="___brc90" localSheetId="3">#REF!</definedName>
    <definedName name="___brc90">#REF!</definedName>
    <definedName name="___bsd1600" localSheetId="3">#REF!</definedName>
    <definedName name="___bsd1600">#REF!</definedName>
    <definedName name="___bsd2500" localSheetId="3">#REF!</definedName>
    <definedName name="___bsd2500">#REF!</definedName>
    <definedName name="___bsd4000" localSheetId="3">#REF!</definedName>
    <definedName name="___bsd4000">#REF!</definedName>
    <definedName name="___btn175" localSheetId="3">#REF!</definedName>
    <definedName name="___btn175">#REF!</definedName>
    <definedName name="___btn300" localSheetId="3">#REF!</definedName>
    <definedName name="___btn300">#REF!</definedName>
    <definedName name="___bud3500" localSheetId="3">#REF!</definedName>
    <definedName name="___bud3500">#REF!</definedName>
    <definedName name="___bvd1" localSheetId="3">#REF!</definedName>
    <definedName name="___bvd1">#REF!</definedName>
    <definedName name="___bvd2" localSheetId="3">#REF!</definedName>
    <definedName name="___bvd2">#REF!</definedName>
    <definedName name="___bvd3" localSheetId="3">#REF!</definedName>
    <definedName name="___bvd3">#REF!</definedName>
    <definedName name="___bvd34" localSheetId="3">#REF!</definedName>
    <definedName name="___bvd34">#REF!</definedName>
    <definedName name="___bvd4" localSheetId="3">#REF!</definedName>
    <definedName name="___bvd4">#REF!</definedName>
    <definedName name="___bvd5" localSheetId="3">#REF!</definedName>
    <definedName name="___bvd5">#REF!</definedName>
    <definedName name="___bvd8" localSheetId="3">#REF!</definedName>
    <definedName name="___bvd8">#REF!</definedName>
    <definedName name="___cip10" localSheetId="3">#REF!</definedName>
    <definedName name="___cip10">#REF!</definedName>
    <definedName name="___cip2" localSheetId="3">#REF!</definedName>
    <definedName name="___cip2">#REF!</definedName>
    <definedName name="___cip3" localSheetId="3">#REF!</definedName>
    <definedName name="___cip3">#REF!</definedName>
    <definedName name="___cip4" localSheetId="3">#REF!</definedName>
    <definedName name="___cip4">#REF!</definedName>
    <definedName name="___cip6" localSheetId="3">#REF!</definedName>
    <definedName name="___cip6">#REF!</definedName>
    <definedName name="___cip8" localSheetId="3">#REF!</definedName>
    <definedName name="___cip8">#REF!</definedName>
    <definedName name="___cod4" localSheetId="3">#REF!</definedName>
    <definedName name="___cod4">#REF!</definedName>
    <definedName name="___CON125" localSheetId="3">#REF!</definedName>
    <definedName name="___CON125">#REF!</definedName>
    <definedName name="___CON175" localSheetId="3">#REF!</definedName>
    <definedName name="___CON175">#REF!</definedName>
    <definedName name="___CON250" localSheetId="3">#REF!</definedName>
    <definedName name="___CON250">#REF!</definedName>
    <definedName name="___CON300" localSheetId="3">#REF!</definedName>
    <definedName name="___CON300">#REF!</definedName>
    <definedName name="___cvd100" localSheetId="3">#REF!</definedName>
    <definedName name="___cvd100">#REF!</definedName>
    <definedName name="___cvd15" localSheetId="3">#REF!</definedName>
    <definedName name="___cvd15">#REF!</definedName>
    <definedName name="___cvd150" localSheetId="3">#REF!</definedName>
    <definedName name="___cvd150">#REF!</definedName>
    <definedName name="___cvd50" localSheetId="3">#REF!</definedName>
    <definedName name="___cvd50">#REF!</definedName>
    <definedName name="___cvd65" localSheetId="3">#REF!</definedName>
    <definedName name="___cvd65">#REF!</definedName>
    <definedName name="___daf1" localSheetId="3">#REF!</definedName>
    <definedName name="___daf1">#REF!</definedName>
    <definedName name="___DAF10" localSheetId="3">#REF!</definedName>
    <definedName name="___DAF10">#REF!</definedName>
    <definedName name="___daf2" localSheetId="3">#REF!</definedName>
    <definedName name="___daf2">#REF!</definedName>
    <definedName name="___daf31" localSheetId="3">#REF!</definedName>
    <definedName name="___daf31">#REF!</definedName>
    <definedName name="___daf32" localSheetId="3">#REF!</definedName>
    <definedName name="___daf32">#REF!</definedName>
    <definedName name="___daf33" localSheetId="3">#REF!</definedName>
    <definedName name="___daf33">#REF!</definedName>
    <definedName name="___dal1" localSheetId="3">#REF!</definedName>
    <definedName name="___dal1">#REF!</definedName>
    <definedName name="___dal2" localSheetId="3">#REF!</definedName>
    <definedName name="___dal2">#REF!</definedName>
    <definedName name="___dal3" localSheetId="3">#REF!</definedName>
    <definedName name="___dal3">#REF!</definedName>
    <definedName name="___dal4" localSheetId="3">#REF!</definedName>
    <definedName name="___dal4">#REF!</definedName>
    <definedName name="___dal5" localSheetId="3">#REF!</definedName>
    <definedName name="___dal5">#REF!</definedName>
    <definedName name="___DAL6" localSheetId="3">#REF!</definedName>
    <definedName name="___DAL6">#REF!</definedName>
    <definedName name="___DAL7" localSheetId="3">#REF!</definedName>
    <definedName name="___DAL7">#REF!</definedName>
    <definedName name="___ddn400" localSheetId="3">#REF!</definedName>
    <definedName name="___ddn400">#REF!</definedName>
    <definedName name="___ddn600" localSheetId="3">#REF!</definedName>
    <definedName name="___ddn600">#REF!</definedName>
    <definedName name="___DIV1" localSheetId="3">#REF!</definedName>
    <definedName name="___DIV1">#REF!</definedName>
    <definedName name="___DIV10" localSheetId="3">#REF!</definedName>
    <definedName name="___DIV10">#REF!</definedName>
    <definedName name="___DIV11" localSheetId="3">#REF!</definedName>
    <definedName name="___DIV11">#REF!</definedName>
    <definedName name="___DIV2" localSheetId="3">#REF!</definedName>
    <definedName name="___DIV2">#REF!</definedName>
    <definedName name="___DIV3" localSheetId="3">#REF!</definedName>
    <definedName name="___DIV3">#REF!</definedName>
    <definedName name="___DIV4" localSheetId="3">#REF!</definedName>
    <definedName name="___DIV4">#REF!</definedName>
    <definedName name="___DIV5" localSheetId="3">#REF!</definedName>
    <definedName name="___DIV5">#REF!</definedName>
    <definedName name="___DIV6" localSheetId="3">#REF!</definedName>
    <definedName name="___DIV6">#REF!</definedName>
    <definedName name="___DIV7" localSheetId="3">#REF!</definedName>
    <definedName name="___DIV7">#REF!</definedName>
    <definedName name="___DIV8" localSheetId="3">#REF!</definedName>
    <definedName name="___DIV8">#REF!</definedName>
    <definedName name="___DIV9" localSheetId="3">#REF!</definedName>
    <definedName name="___DIV9">#REF!</definedName>
    <definedName name="___dlh20" localSheetId="3">#REF!</definedName>
    <definedName name="___dlh20">#REF!</definedName>
    <definedName name="___dlh50" localSheetId="3">#REF!</definedName>
    <definedName name="___dlh50">#REF!</definedName>
    <definedName name="___dot2020" localSheetId="3">#REF!</definedName>
    <definedName name="___dot2020">#REF!</definedName>
    <definedName name="___EEE01">#REF!</definedName>
    <definedName name="___EEE02">#REF!</definedName>
    <definedName name="___EEE03">#REF!</definedName>
    <definedName name="___EEE04">#REF!</definedName>
    <definedName name="___EEE05">#REF!</definedName>
    <definedName name="___EEE06">#REF!</definedName>
    <definedName name="___EEE07">#REF!</definedName>
    <definedName name="___EEE08">#REF!</definedName>
    <definedName name="___EEE09">#REF!</definedName>
    <definedName name="___EEE10">#REF!</definedName>
    <definedName name="___EEE11">#REF!</definedName>
    <definedName name="___EEE12">#REF!</definedName>
    <definedName name="___EEE13">#REF!</definedName>
    <definedName name="___EEE14">#REF!</definedName>
    <definedName name="___EEE15">#REF!</definedName>
    <definedName name="___EEE16">#REF!</definedName>
    <definedName name="___EEE17">#REF!</definedName>
    <definedName name="___EEE18">#REF!</definedName>
    <definedName name="___EEE19">#REF!</definedName>
    <definedName name="___EEE20">#REF!</definedName>
    <definedName name="___EEE21">#REF!</definedName>
    <definedName name="___EEE22">#REF!</definedName>
    <definedName name="___EEE23">#REF!</definedName>
    <definedName name="___EEE24">#REF!</definedName>
    <definedName name="___EEE25">#REF!</definedName>
    <definedName name="___EEE26">#REF!</definedName>
    <definedName name="___EEE27">#REF!</definedName>
    <definedName name="___EEE28">#REF!</definedName>
    <definedName name="___EEE29">#REF!</definedName>
    <definedName name="___EEE30">#REF!</definedName>
    <definedName name="___EEE31">#REF!</definedName>
    <definedName name="___EEE32">#REF!</definedName>
    <definedName name="___EEE33">#REF!</definedName>
    <definedName name="___fdd3" localSheetId="3">#REF!</definedName>
    <definedName name="___fdd3">#REF!</definedName>
    <definedName name="___fdu2" localSheetId="3">#REF!</definedName>
    <definedName name="___fdu2">#REF!</definedName>
    <definedName name="___FIT100" localSheetId="3">#REF!</definedName>
    <definedName name="___FIT100">#REF!</definedName>
    <definedName name="___fit125" localSheetId="3">#REF!</definedName>
    <definedName name="___fit125">#REF!</definedName>
    <definedName name="___FIT150" localSheetId="3">#REF!</definedName>
    <definedName name="___FIT150">#REF!</definedName>
    <definedName name="___FIT200" localSheetId="3">#REF!</definedName>
    <definedName name="___FIT200">#REF!</definedName>
    <definedName name="___FIT300" localSheetId="3">#REF!</definedName>
    <definedName name="___FIT300">#REF!</definedName>
    <definedName name="___FIT65" localSheetId="3">#REF!</definedName>
    <definedName name="___FIT65">#REF!</definedName>
    <definedName name="___fit80" localSheetId="3">#REF!</definedName>
    <definedName name="___fit80">#REF!</definedName>
    <definedName name="___fjd100" localSheetId="3">#REF!</definedName>
    <definedName name="___fjd100">#REF!</definedName>
    <definedName name="___fjd150" localSheetId="3">#REF!</definedName>
    <definedName name="___fjd150">#REF!</definedName>
    <definedName name="___fjd50" localSheetId="3">#REF!</definedName>
    <definedName name="___fjd50">#REF!</definedName>
    <definedName name="___fjd65" localSheetId="3">#REF!</definedName>
    <definedName name="___fjd65">#REF!</definedName>
    <definedName name="___fmd150" localSheetId="3">#REF!</definedName>
    <definedName name="___fmd150">#REF!</definedName>
    <definedName name="___frc2495" localSheetId="3">#REF!</definedName>
    <definedName name="___frc2495">#REF!</definedName>
    <definedName name="___frc41010" localSheetId="3">#REF!</definedName>
    <definedName name="___frc41010">#REF!</definedName>
    <definedName name="___frc495" localSheetId="3">#REF!</definedName>
    <definedName name="___frc495">#REF!</definedName>
    <definedName name="___gip112" localSheetId="3">#REF!</definedName>
    <definedName name="___gip112">#REF!</definedName>
    <definedName name="___giv1" localSheetId="3">#REF!</definedName>
    <definedName name="___giv1">#REF!</definedName>
    <definedName name="___giv12" localSheetId="3">#REF!</definedName>
    <definedName name="___giv12">#REF!</definedName>
    <definedName name="___giv2" localSheetId="3">#REF!</definedName>
    <definedName name="___giv2">#REF!</definedName>
    <definedName name="___giv3" localSheetId="3">#REF!</definedName>
    <definedName name="___giv3">#REF!</definedName>
    <definedName name="___giv34" localSheetId="3">#REF!</definedName>
    <definedName name="___giv34">#REF!</definedName>
    <definedName name="___giv4" localSheetId="3">#REF!</definedName>
    <definedName name="___giv4">#REF!</definedName>
    <definedName name="___grc1" localSheetId="3">#REF!</definedName>
    <definedName name="___grc1">#REF!</definedName>
    <definedName name="___gti50" localSheetId="3">#REF!</definedName>
    <definedName name="___gti50">#REF!</definedName>
    <definedName name="___gti60" localSheetId="3">#REF!</definedName>
    <definedName name="___gti60">#REF!</definedName>
    <definedName name="___gvd1" localSheetId="3">#REF!</definedName>
    <definedName name="___gvd1">#REF!</definedName>
    <definedName name="___gvd10" localSheetId="3">#REF!</definedName>
    <definedName name="___gvd10">#REF!</definedName>
    <definedName name="___gvd100" localSheetId="3">#REF!</definedName>
    <definedName name="___gvd100">#REF!</definedName>
    <definedName name="___gvd15" localSheetId="3">#REF!</definedName>
    <definedName name="___gvd15">#REF!</definedName>
    <definedName name="___gvd150" localSheetId="3">#REF!</definedName>
    <definedName name="___gvd150">#REF!</definedName>
    <definedName name="___gvd2" localSheetId="3">#REF!</definedName>
    <definedName name="___gvd2">#REF!</definedName>
    <definedName name="___gvd25" localSheetId="3">#REF!</definedName>
    <definedName name="___gvd25">#REF!</definedName>
    <definedName name="___gvd3" localSheetId="3">#REF!</definedName>
    <definedName name="___gvd3">#REF!</definedName>
    <definedName name="___gvd4" localSheetId="3">#REF!</definedName>
    <definedName name="___gvd4">#REF!</definedName>
    <definedName name="___gvd5" localSheetId="3">#REF!</definedName>
    <definedName name="___gvd5">#REF!</definedName>
    <definedName name="___gvd50" localSheetId="3">#REF!</definedName>
    <definedName name="___gvd50">#REF!</definedName>
    <definedName name="___gvd6" localSheetId="3">#REF!</definedName>
    <definedName name="___gvd6">#REF!</definedName>
    <definedName name="___gvd65" localSheetId="3">#REF!</definedName>
    <definedName name="___gvd65">#REF!</definedName>
    <definedName name="___gvd8" localSheetId="3">#REF!</definedName>
    <definedName name="___gvd8">#REF!</definedName>
    <definedName name="___HAL1" localSheetId="3">#REF!</definedName>
    <definedName name="___HAL1">#REF!</definedName>
    <definedName name="___HAL2" localSheetId="3">#REF!</definedName>
    <definedName name="___HAL2">#REF!</definedName>
    <definedName name="___HAL3" localSheetId="3">#REF!</definedName>
    <definedName name="___HAL3">#REF!</definedName>
    <definedName name="___HAL4" localSheetId="3">#REF!</definedName>
    <definedName name="___HAL4">#REF!</definedName>
    <definedName name="___HAL5" localSheetId="3">#REF!</definedName>
    <definedName name="___HAL5">#REF!</definedName>
    <definedName name="___HAL6" localSheetId="3">#REF!</definedName>
    <definedName name="___HAL6">#REF!</definedName>
    <definedName name="___HAL7" localSheetId="3">#REF!</definedName>
    <definedName name="___HAL7">#REF!</definedName>
    <definedName name="___HAL8" localSheetId="3">#REF!</definedName>
    <definedName name="___HAL8">#REF!</definedName>
    <definedName name="___hdw1" localSheetId="3">#REF!</definedName>
    <definedName name="___hdw1">#REF!</definedName>
    <definedName name="___int1" localSheetId="3">#REF!</definedName>
    <definedName name="___int1">#REF!</definedName>
    <definedName name="___int2" localSheetId="3">#REF!</definedName>
    <definedName name="___int2">#REF!</definedName>
    <definedName name="___jum1" localSheetId="3">#REF!</definedName>
    <definedName name="___jum1">#REF!</definedName>
    <definedName name="___jum10" localSheetId="3">#REF!</definedName>
    <definedName name="___jum10">#REF!</definedName>
    <definedName name="___jum2" localSheetId="3">#REF!</definedName>
    <definedName name="___jum2">#REF!</definedName>
    <definedName name="___jum3" localSheetId="3">#REF!</definedName>
    <definedName name="___jum3">#REF!</definedName>
    <definedName name="___jum4" localSheetId="3">#REF!</definedName>
    <definedName name="___jum4">#REF!</definedName>
    <definedName name="___jum5" localSheetId="3">#REF!</definedName>
    <definedName name="___jum5">#REF!</definedName>
    <definedName name="___jum6" localSheetId="3">#REF!</definedName>
    <definedName name="___jum6">#REF!</definedName>
    <definedName name="___jum7" localSheetId="3">#REF!</definedName>
    <definedName name="___jum7">#REF!</definedName>
    <definedName name="___jum8" localSheetId="3">#REF!</definedName>
    <definedName name="___jum8">#REF!</definedName>
    <definedName name="___jum9" localSheetId="3">#REF!</definedName>
    <definedName name="___jum9">#REF!</definedName>
    <definedName name="___kco7" localSheetId="3">#REF!</definedName>
    <definedName name="___kco7">#REF!</definedName>
    <definedName name="___KER2020" localSheetId="3">#REF!</definedName>
    <definedName name="___KER2020">#REF!</definedName>
    <definedName name="___KER2025" localSheetId="3">#REF!</definedName>
    <definedName name="___KER2025">#REF!</definedName>
    <definedName name="___ker3030" localSheetId="3">#REF!</definedName>
    <definedName name="___ker3030">#REF!</definedName>
    <definedName name="___kus1" localSheetId="3">#REF!</definedName>
    <definedName name="___kus1">#REF!</definedName>
    <definedName name="___kus2" localSheetId="3">#REF!</definedName>
    <definedName name="___kus2">#REF!</definedName>
    <definedName name="___kus3" localSheetId="3">#REF!</definedName>
    <definedName name="___kus3">#REF!</definedName>
    <definedName name="___kus4" localSheetId="3">#REF!</definedName>
    <definedName name="___kus4">#REF!</definedName>
    <definedName name="___kus5" localSheetId="3">#REF!</definedName>
    <definedName name="___kus5">#REF!</definedName>
    <definedName name="___LCM2" localSheetId="3">#REF!</definedName>
    <definedName name="___LCM2">#REF!</definedName>
    <definedName name="___LCM3" localSheetId="3">#REF!</definedName>
    <definedName name="___LCM3">#REF!</definedName>
    <definedName name="___ld100" localSheetId="3">#REF!</definedName>
    <definedName name="___ld100">#REF!</definedName>
    <definedName name="___ld120" localSheetId="3">#REF!</definedName>
    <definedName name="___ld120">#REF!</definedName>
    <definedName name="___ld50" localSheetId="3">#REF!</definedName>
    <definedName name="___ld50">#REF!</definedName>
    <definedName name="___ld60" localSheetId="3">#REF!</definedName>
    <definedName name="___ld60">#REF!</definedName>
    <definedName name="___ld80" localSheetId="3">#REF!</definedName>
    <definedName name="___ld80">#REF!</definedName>
    <definedName name="___ldp60" localSheetId="3">#REF!</definedName>
    <definedName name="___ldp60">#REF!</definedName>
    <definedName name="___lh50" localSheetId="3">#REF!</definedName>
    <definedName name="___lh50">#REF!</definedName>
    <definedName name="___lp100" localSheetId="3">#REF!</definedName>
    <definedName name="___lp100">#REF!</definedName>
    <definedName name="___lp300" localSheetId="3">#REF!</definedName>
    <definedName name="___lp300">#REF!</definedName>
    <definedName name="___lp36" localSheetId="3">#REF!</definedName>
    <definedName name="___lp36">#REF!</definedName>
    <definedName name="___lp500" localSheetId="3">#REF!</definedName>
    <definedName name="___lp500">#REF!</definedName>
    <definedName name="___lp60" localSheetId="3">#REF!</definedName>
    <definedName name="___lp60">#REF!</definedName>
    <definedName name="___lpl11" localSheetId="3">#REF!</definedName>
    <definedName name="___lpl11">#REF!</definedName>
    <definedName name="___ls100" localSheetId="3">#REF!</definedName>
    <definedName name="___ls100">#REF!</definedName>
    <definedName name="___ls50" localSheetId="3">#REF!</definedName>
    <definedName name="___ls50">#REF!</definedName>
    <definedName name="___ls60" localSheetId="3">#REF!</definedName>
    <definedName name="___ls60">#REF!</definedName>
    <definedName name="___ls80" localSheetId="3">#REF!</definedName>
    <definedName name="___ls80">#REF!</definedName>
    <definedName name="___MAC12" localSheetId="3">#REF!</definedName>
    <definedName name="___MAC12">#REF!</definedName>
    <definedName name="___MAC46" localSheetId="3">#REF!</definedName>
    <definedName name="___MAC46">#REF!</definedName>
    <definedName name="___mc2" localSheetId="3">#REF!</definedName>
    <definedName name="___mc2">#REF!</definedName>
    <definedName name="___mcb2" localSheetId="3">#REF!</definedName>
    <definedName name="___mcb2">#REF!</definedName>
    <definedName name="___mcb3" localSheetId="3">#REF!</definedName>
    <definedName name="___mcb3">#REF!</definedName>
    <definedName name="___MDE01">#REF!</definedName>
    <definedName name="___MDE02">#REF!</definedName>
    <definedName name="___MDE03">#REF!</definedName>
    <definedName name="___MDE04">#REF!</definedName>
    <definedName name="___MDE05">#REF!</definedName>
    <definedName name="___MDE06">#REF!</definedName>
    <definedName name="___MDE07">#REF!</definedName>
    <definedName name="___MDE08">#REF!</definedName>
    <definedName name="___MDE09">#REF!</definedName>
    <definedName name="___MDE10">#REF!</definedName>
    <definedName name="___MDE11">#REF!</definedName>
    <definedName name="___MDE12">#REF!</definedName>
    <definedName name="___MDE13">#REF!</definedName>
    <definedName name="___MDE14">#REF!</definedName>
    <definedName name="___MDE15">#REF!</definedName>
    <definedName name="___MDE16">#REF!</definedName>
    <definedName name="___MDE17">#REF!</definedName>
    <definedName name="___MDE18">#REF!</definedName>
    <definedName name="___MDE19">#REF!</definedName>
    <definedName name="___MDE20">#REF!</definedName>
    <definedName name="___MDE21">#REF!</definedName>
    <definedName name="___MDE22">#REF!</definedName>
    <definedName name="___MDE23">#REF!</definedName>
    <definedName name="___MDE24">#REF!</definedName>
    <definedName name="___MDE25">#REF!</definedName>
    <definedName name="___MDE26">#REF!</definedName>
    <definedName name="___MDE27">#REF!</definedName>
    <definedName name="___MDE28">#REF!</definedName>
    <definedName name="___MDE29">#REF!</definedName>
    <definedName name="___MDE30">#REF!</definedName>
    <definedName name="___MDE31">#REF!</definedName>
    <definedName name="___MDE32">#REF!</definedName>
    <definedName name="___MDE33">#REF!</definedName>
    <definedName name="___MDE34">#REF!</definedName>
    <definedName name="___MDE35" localSheetId="3">#REF!</definedName>
    <definedName name="___MDE35">#REF!</definedName>
    <definedName name="___MDE36" localSheetId="3">#REF!</definedName>
    <definedName name="___MDE36">#REF!</definedName>
    <definedName name="___MDE37" localSheetId="3">#REF!</definedName>
    <definedName name="___MDE37">#REF!</definedName>
    <definedName name="___MDE38" localSheetId="3">#REF!</definedName>
    <definedName name="___MDE38">#REF!</definedName>
    <definedName name="___MDE39" localSheetId="3">#REF!</definedName>
    <definedName name="___MDE39">#REF!</definedName>
    <definedName name="___MDE40" localSheetId="3">#REF!</definedName>
    <definedName name="___MDE40">#REF!</definedName>
    <definedName name="___MDE41" localSheetId="3">#REF!</definedName>
    <definedName name="___MDE41">#REF!</definedName>
    <definedName name="___MDE42" localSheetId="3">#REF!</definedName>
    <definedName name="___MDE42">#REF!</definedName>
    <definedName name="___MDE43" localSheetId="3">#REF!</definedName>
    <definedName name="___MDE43">#REF!</definedName>
    <definedName name="___MDE44" localSheetId="3">#REF!</definedName>
    <definedName name="___MDE44">#REF!</definedName>
    <definedName name="___MDE45" localSheetId="3">#REF!</definedName>
    <definedName name="___MDE45">#REF!</definedName>
    <definedName name="___MDE46" localSheetId="3">#REF!</definedName>
    <definedName name="___MDE46">#REF!</definedName>
    <definedName name="___MDE47" localSheetId="3">#REF!</definedName>
    <definedName name="___MDE47">#REF!</definedName>
    <definedName name="___MDE48" localSheetId="3">#REF!</definedName>
    <definedName name="___MDE48">#REF!</definedName>
    <definedName name="___MDE49" localSheetId="3">#REF!</definedName>
    <definedName name="___MDE49">#REF!</definedName>
    <definedName name="___MDE50" localSheetId="3">#REF!</definedName>
    <definedName name="___MDE50">#REF!</definedName>
    <definedName name="___MDE51" localSheetId="3">#REF!</definedName>
    <definedName name="___MDE51">#REF!</definedName>
    <definedName name="___MDE52" localSheetId="3">#REF!</definedName>
    <definedName name="___MDE52">#REF!</definedName>
    <definedName name="___MDE53" localSheetId="3">#REF!</definedName>
    <definedName name="___MDE53">#REF!</definedName>
    <definedName name="___MDE54" localSheetId="3">#REF!</definedName>
    <definedName name="___MDE54">#REF!</definedName>
    <definedName name="___MDE55" localSheetId="3">#REF!</definedName>
    <definedName name="___MDE55">#REF!</definedName>
    <definedName name="___MDE56" localSheetId="3">#REF!</definedName>
    <definedName name="___MDE56">#REF!</definedName>
    <definedName name="___MDE57" localSheetId="3">#REF!</definedName>
    <definedName name="___MDE57">#REF!</definedName>
    <definedName name="___MDE58" localSheetId="3">#REF!</definedName>
    <definedName name="___MDE58">#REF!</definedName>
    <definedName name="___MDE59" localSheetId="3">#REF!</definedName>
    <definedName name="___MDE59">#REF!</definedName>
    <definedName name="___MDE60" localSheetId="3">#REF!</definedName>
    <definedName name="___MDE60">#REF!</definedName>
    <definedName name="___MDE61" localSheetId="3">#REF!</definedName>
    <definedName name="___MDE61">#REF!</definedName>
    <definedName name="___MDE62" localSheetId="3">#REF!</definedName>
    <definedName name="___MDE62">#REF!</definedName>
    <definedName name="___MDE63" localSheetId="3">#REF!</definedName>
    <definedName name="___MDE63">#REF!</definedName>
    <definedName name="___MDE64" localSheetId="3">#REF!</definedName>
    <definedName name="___MDE64">#REF!</definedName>
    <definedName name="___MDE65" localSheetId="3">#REF!</definedName>
    <definedName name="___MDE65">#REF!</definedName>
    <definedName name="___MDE66" localSheetId="3">#REF!</definedName>
    <definedName name="___MDE66">#REF!</definedName>
    <definedName name="___MDE67" localSheetId="3">#REF!</definedName>
    <definedName name="___MDE67">#REF!</definedName>
    <definedName name="___MDE68" localSheetId="3">#REF!</definedName>
    <definedName name="___MDE68">#REF!</definedName>
    <definedName name="___ME01">#REF!</definedName>
    <definedName name="___ME02">#REF!</definedName>
    <definedName name="___ME03">#REF!</definedName>
    <definedName name="___ME04">#REF!</definedName>
    <definedName name="___ME05">#REF!</definedName>
    <definedName name="___ME06">#REF!</definedName>
    <definedName name="___ME07">#REF!</definedName>
    <definedName name="___ME08">#REF!</definedName>
    <definedName name="___ME09">#REF!</definedName>
    <definedName name="___ME10">#REF!</definedName>
    <definedName name="___ME11">#REF!</definedName>
    <definedName name="___ME12">#REF!</definedName>
    <definedName name="___ME13">#REF!</definedName>
    <definedName name="___ME14">#REF!</definedName>
    <definedName name="___ME15">#REF!</definedName>
    <definedName name="___ME16">#REF!</definedName>
    <definedName name="___ME17">#REF!</definedName>
    <definedName name="___ME18">#REF!</definedName>
    <definedName name="___ME19">#REF!</definedName>
    <definedName name="___ME20">#REF!</definedName>
    <definedName name="___ME21">#REF!</definedName>
    <definedName name="___ME22">#REF!</definedName>
    <definedName name="___ME23">#REF!</definedName>
    <definedName name="___ME24">#REF!</definedName>
    <definedName name="___ME25">#REF!</definedName>
    <definedName name="___ME26">#REF!</definedName>
    <definedName name="___ME27">#REF!</definedName>
    <definedName name="___ME28">#REF!</definedName>
    <definedName name="___ME29">#REF!</definedName>
    <definedName name="___ME30">#REF!</definedName>
    <definedName name="___ME31">#REF!</definedName>
    <definedName name="___ME32">#REF!</definedName>
    <definedName name="___ME33">#REF!</definedName>
    <definedName name="___ME34">#REF!</definedName>
    <definedName name="___ME35" localSheetId="3">#REF!</definedName>
    <definedName name="___ME35">#REF!</definedName>
    <definedName name="___ME36" localSheetId="3">#REF!</definedName>
    <definedName name="___ME36">#REF!</definedName>
    <definedName name="___ME37" localSheetId="3">#REF!</definedName>
    <definedName name="___ME37">#REF!</definedName>
    <definedName name="___ME38" localSheetId="3">#REF!</definedName>
    <definedName name="___ME38">#REF!</definedName>
    <definedName name="___ME39" localSheetId="3">#REF!</definedName>
    <definedName name="___ME39">#REF!</definedName>
    <definedName name="___ME40" localSheetId="3">#REF!</definedName>
    <definedName name="___ME40">#REF!</definedName>
    <definedName name="___ME41" localSheetId="3">#REF!</definedName>
    <definedName name="___ME41">#REF!</definedName>
    <definedName name="___ME42" localSheetId="3">#REF!</definedName>
    <definedName name="___ME42">#REF!</definedName>
    <definedName name="___ME43" localSheetId="3">#REF!</definedName>
    <definedName name="___ME43">#REF!</definedName>
    <definedName name="___ME44" localSheetId="3">#REF!</definedName>
    <definedName name="___ME44">#REF!</definedName>
    <definedName name="___ME45" localSheetId="3">#REF!</definedName>
    <definedName name="___ME45">#REF!</definedName>
    <definedName name="___ME46" localSheetId="3">#REF!</definedName>
    <definedName name="___ME46">#REF!</definedName>
    <definedName name="___ME47" localSheetId="3">#REF!</definedName>
    <definedName name="___ME47">#REF!</definedName>
    <definedName name="___ME48" localSheetId="3">#REF!</definedName>
    <definedName name="___ME48">#REF!</definedName>
    <definedName name="___ME49" localSheetId="3">#REF!</definedName>
    <definedName name="___ME49">#REF!</definedName>
    <definedName name="___ME50" localSheetId="3">#REF!</definedName>
    <definedName name="___ME50">#REF!</definedName>
    <definedName name="___ME51" localSheetId="3">#REF!</definedName>
    <definedName name="___ME51">#REF!</definedName>
    <definedName name="___ME52" localSheetId="3">#REF!</definedName>
    <definedName name="___ME52">#REF!</definedName>
    <definedName name="___ME53" localSheetId="3">#REF!</definedName>
    <definedName name="___ME53">#REF!</definedName>
    <definedName name="___ME54" localSheetId="3">#REF!</definedName>
    <definedName name="___ME54">#REF!</definedName>
    <definedName name="___ME55" localSheetId="3">#REF!</definedName>
    <definedName name="___ME55">#REF!</definedName>
    <definedName name="___ME56" localSheetId="3">#REF!</definedName>
    <definedName name="___ME56">#REF!</definedName>
    <definedName name="___ME57" localSheetId="3">#REF!</definedName>
    <definedName name="___ME57">#REF!</definedName>
    <definedName name="___ME58" localSheetId="3">#REF!</definedName>
    <definedName name="___ME58">#REF!</definedName>
    <definedName name="___ME59" localSheetId="3">#REF!</definedName>
    <definedName name="___ME59">#REF!</definedName>
    <definedName name="___ME60" localSheetId="3">#REF!</definedName>
    <definedName name="___ME60">#REF!</definedName>
    <definedName name="___ME61" localSheetId="3">#REF!</definedName>
    <definedName name="___ME61">#REF!</definedName>
    <definedName name="___ME62" localSheetId="3">#REF!</definedName>
    <definedName name="___ME62">#REF!</definedName>
    <definedName name="___ME63" localSheetId="3">#REF!</definedName>
    <definedName name="___ME63">#REF!</definedName>
    <definedName name="___ME64" localSheetId="3">#REF!</definedName>
    <definedName name="___ME64">#REF!</definedName>
    <definedName name="___ME65" localSheetId="3">#REF!</definedName>
    <definedName name="___ME65">#REF!</definedName>
    <definedName name="___ME66" localSheetId="3">#REF!</definedName>
    <definedName name="___ME66">#REF!</definedName>
    <definedName name="___ME67" localSheetId="3">#REF!</definedName>
    <definedName name="___ME67">#REF!</definedName>
    <definedName name="___ME68" localSheetId="3">#REF!</definedName>
    <definedName name="___ME68">#REF!</definedName>
    <definedName name="___mu1" localSheetId="3">#REF!</definedName>
    <definedName name="___mu1">#REF!</definedName>
    <definedName name="___mu2" localSheetId="3">#REF!</definedName>
    <definedName name="___mu2">#REF!</definedName>
    <definedName name="___mvd1" localSheetId="3">#REF!</definedName>
    <definedName name="___mvd1">#REF!</definedName>
    <definedName name="___mvd2" localSheetId="3">#REF!</definedName>
    <definedName name="___mvd2">#REF!</definedName>
    <definedName name="___mvd3" localSheetId="3">#REF!</definedName>
    <definedName name="___mvd3">#REF!</definedName>
    <definedName name="___mvd4" localSheetId="3">#REF!</definedName>
    <definedName name="___mvd4">#REF!</definedName>
    <definedName name="___NCL100" localSheetId="3">#REF!</definedName>
    <definedName name="___NCL100">#REF!</definedName>
    <definedName name="___NCL200" localSheetId="3">#REF!</definedName>
    <definedName name="___NCL200">#REF!</definedName>
    <definedName name="___NCL250" localSheetId="3">#REF!</definedName>
    <definedName name="___NCL250">#REF!</definedName>
    <definedName name="___nin190" localSheetId="3">#REF!</definedName>
    <definedName name="___nin190">#REF!</definedName>
    <definedName name="___nym34" localSheetId="3">#REF!</definedName>
    <definedName name="___nym34">#REF!</definedName>
    <definedName name="___nym46" localSheetId="3">#REF!</definedName>
    <definedName name="___nym46">#REF!</definedName>
    <definedName name="___nyy2416" localSheetId="3">#REF!</definedName>
    <definedName name="___nyy2416">#REF!</definedName>
    <definedName name="___nyy244" localSheetId="3">#REF!</definedName>
    <definedName name="___nyy244">#REF!</definedName>
    <definedName name="___nyy246" localSheetId="3">#REF!</definedName>
    <definedName name="___nyy246">#REF!</definedName>
    <definedName name="___nyy34" localSheetId="3">#REF!</definedName>
    <definedName name="___nyy34">#REF!</definedName>
    <definedName name="___nyy410" localSheetId="3">#REF!</definedName>
    <definedName name="___nyy410">#REF!</definedName>
    <definedName name="___nyy41010" localSheetId="3">#REF!</definedName>
    <definedName name="___nyy41010">#REF!</definedName>
    <definedName name="___nyy412050" localSheetId="3">#REF!</definedName>
    <definedName name="___nyy412050">#REF!</definedName>
    <definedName name="___nyy412070" localSheetId="3">#REF!</definedName>
    <definedName name="___nyy412070">#REF!</definedName>
    <definedName name="___nyy415070" localSheetId="3">#REF!</definedName>
    <definedName name="___nyy415070">#REF!</definedName>
    <definedName name="___nyy416" localSheetId="3">#REF!</definedName>
    <definedName name="___nyy416">#REF!</definedName>
    <definedName name="___nyy41616" localSheetId="3">#REF!</definedName>
    <definedName name="___nyy41616">#REF!</definedName>
    <definedName name="___nyy42525" localSheetId="3">#REF!</definedName>
    <definedName name="___nyy42525">#REF!</definedName>
    <definedName name="___nyy43535" localSheetId="3">#REF!</definedName>
    <definedName name="___nyy43535">#REF!</definedName>
    <definedName name="___nyy44" localSheetId="3">#REF!</definedName>
    <definedName name="___nyy44">#REF!</definedName>
    <definedName name="___nyy444" localSheetId="3">#REF!</definedName>
    <definedName name="___nyy444">#REF!</definedName>
    <definedName name="___nyy45050" localSheetId="3">#REF!</definedName>
    <definedName name="___nyy45050">#REF!</definedName>
    <definedName name="___nyy46" localSheetId="3">#REF!</definedName>
    <definedName name="___nyy46">#REF!</definedName>
    <definedName name="___nyy466" localSheetId="3">#REF!</definedName>
    <definedName name="___nyy466">#REF!</definedName>
    <definedName name="___nyy47050" localSheetId="3">#REF!</definedName>
    <definedName name="___nyy47050">#REF!</definedName>
    <definedName name="___nyy47070" localSheetId="3">#REF!</definedName>
    <definedName name="___nyy47070">#REF!</definedName>
    <definedName name="___nyy49570" localSheetId="3">#REF!</definedName>
    <definedName name="___nyy49570">#REF!</definedName>
    <definedName name="___PA1" localSheetId="3">#REF!</definedName>
    <definedName name="___PA1">#REF!</definedName>
    <definedName name="___PA10" localSheetId="3">#REF!</definedName>
    <definedName name="___PA10">#REF!</definedName>
    <definedName name="___PA2" localSheetId="3">#REF!</definedName>
    <definedName name="___PA2">#REF!</definedName>
    <definedName name="___PA3" localSheetId="3">#REF!</definedName>
    <definedName name="___PA3">#REF!</definedName>
    <definedName name="___PA4" localSheetId="3">#REF!</definedName>
    <definedName name="___PA4">#REF!</definedName>
    <definedName name="___PA5" localSheetId="3">#REF!</definedName>
    <definedName name="___PA5">#REF!</definedName>
    <definedName name="___PA6" localSheetId="3">#REF!</definedName>
    <definedName name="___PA6">#REF!</definedName>
    <definedName name="___PA7" localSheetId="3">#REF!</definedName>
    <definedName name="___PA7">#REF!</definedName>
    <definedName name="___PA8" localSheetId="3">#REF!</definedName>
    <definedName name="___PA8">#REF!</definedName>
    <definedName name="___PA9" localSheetId="3">#REF!</definedName>
    <definedName name="___PA9">#REF!</definedName>
    <definedName name="___pab125" localSheetId="3">#REF!</definedName>
    <definedName name="___pab125">#REF!</definedName>
    <definedName name="___pab126" localSheetId="3">#REF!</definedName>
    <definedName name="___pab126">#REF!</definedName>
    <definedName name="___pab65" localSheetId="3">#REF!</definedName>
    <definedName name="___pab65">#REF!</definedName>
    <definedName name="___PB1" localSheetId="3">#REF!</definedName>
    <definedName name="___PB1">#REF!</definedName>
    <definedName name="___PB2" localSheetId="3">#REF!</definedName>
    <definedName name="___PB2">#REF!</definedName>
    <definedName name="___PB3" localSheetId="3">#REF!</definedName>
    <definedName name="___PB3">#REF!</definedName>
    <definedName name="___pb34" localSheetId="3">#REF!</definedName>
    <definedName name="___pb34">#REF!</definedName>
    <definedName name="___pb4" localSheetId="3">#REF!</definedName>
    <definedName name="___pb4">#REF!</definedName>
    <definedName name="___pbf3" localSheetId="3">#REF!</definedName>
    <definedName name="___pbf3">#REF!</definedName>
    <definedName name="___pbf4" localSheetId="3">#REF!</definedName>
    <definedName name="___pbf4">#REF!</definedName>
    <definedName name="___pbs100" localSheetId="3">#REF!</definedName>
    <definedName name="___pbs100">#REF!</definedName>
    <definedName name="___pbs15" localSheetId="3">#REF!</definedName>
    <definedName name="___pbs15">#REF!</definedName>
    <definedName name="___pbs150" localSheetId="3">#REF!</definedName>
    <definedName name="___pbs150">#REF!</definedName>
    <definedName name="___pbs40" localSheetId="3">#REF!</definedName>
    <definedName name="___pbs40">#REF!</definedName>
    <definedName name="___pbs50" localSheetId="3">#REF!</definedName>
    <definedName name="___pbs50">#REF!</definedName>
    <definedName name="___pbs65" localSheetId="3">#REF!</definedName>
    <definedName name="___pbs65">#REF!</definedName>
    <definedName name="___pbs80" localSheetId="3">#REF!</definedName>
    <definedName name="___pbs80">#REF!</definedName>
    <definedName name="___pc1" localSheetId="3">#REF!</definedName>
    <definedName name="___pc1">#REF!</definedName>
    <definedName name="___pc10" localSheetId="3">#REF!</definedName>
    <definedName name="___pc10">#REF!</definedName>
    <definedName name="___pc12" localSheetId="3">#REF!</definedName>
    <definedName name="___pc12">#REF!</definedName>
    <definedName name="___PC120" localSheetId="3">#REF!</definedName>
    <definedName name="___PC120">#REF!</definedName>
    <definedName name="___pc2" localSheetId="3">#REF!</definedName>
    <definedName name="___pc2">#REF!</definedName>
    <definedName name="___pc3" localSheetId="3">#REF!</definedName>
    <definedName name="___pc3">#REF!</definedName>
    <definedName name="___pc4" localSheetId="3">#REF!</definedName>
    <definedName name="___pc4">#REF!</definedName>
    <definedName name="___pc5" localSheetId="3">#REF!</definedName>
    <definedName name="___pc5">#REF!</definedName>
    <definedName name="___pc6" localSheetId="3">#REF!</definedName>
    <definedName name="___pc6">#REF!</definedName>
    <definedName name="___pc8" localSheetId="3">#REF!</definedName>
    <definedName name="___pc8">#REF!</definedName>
    <definedName name="___PCD10" localSheetId="3">#REF!</definedName>
    <definedName name="___PCD10">#REF!</definedName>
    <definedName name="___PCD3" localSheetId="3">#REF!</definedName>
    <definedName name="___PCD3">#REF!</definedName>
    <definedName name="___PCD6" localSheetId="3">#REF!</definedName>
    <definedName name="___PCD6">#REF!</definedName>
    <definedName name="___PCD8" localSheetId="3">#REF!</definedName>
    <definedName name="___PCD8">#REF!</definedName>
    <definedName name="___pcf10" localSheetId="3">#REF!</definedName>
    <definedName name="___pcf10">#REF!</definedName>
    <definedName name="___pcf12" localSheetId="3">#REF!</definedName>
    <definedName name="___pcf12">#REF!</definedName>
    <definedName name="___pcf3" localSheetId="3">#REF!</definedName>
    <definedName name="___pcf3">#REF!</definedName>
    <definedName name="___pcf4" localSheetId="3">#REF!</definedName>
    <definedName name="___pcf4">#REF!</definedName>
    <definedName name="___pcf5" localSheetId="3">#REF!</definedName>
    <definedName name="___pcf5">#REF!</definedName>
    <definedName name="___pcf6" localSheetId="3">#REF!</definedName>
    <definedName name="___pcf6">#REF!</definedName>
    <definedName name="___pcf8" localSheetId="3">#REF!</definedName>
    <definedName name="___pcf8">#REF!</definedName>
    <definedName name="___pd1" localSheetId="3">#REF!</definedName>
    <definedName name="___pd1">#REF!</definedName>
    <definedName name="___pd2" localSheetId="3">#REF!</definedName>
    <definedName name="___pd2">#REF!</definedName>
    <definedName name="___pd3" localSheetId="3">#REF!</definedName>
    <definedName name="___pd3">#REF!</definedName>
    <definedName name="___pdf3" localSheetId="3">#REF!</definedName>
    <definedName name="___pdf3">#REF!</definedName>
    <definedName name="___PJ2" localSheetId="3">#REF!</definedName>
    <definedName name="___PJ2">#REF!</definedName>
    <definedName name="___PJ3" localSheetId="3">#REF!</definedName>
    <definedName name="___PJ3">#REF!</definedName>
    <definedName name="___PL1" localSheetId="3">#REF!</definedName>
    <definedName name="___PL1">#REF!</definedName>
    <definedName name="___PL2" localSheetId="3">#REF!</definedName>
    <definedName name="___PL2">#REF!</definedName>
    <definedName name="___PL3" localSheetId="3">#REF!</definedName>
    <definedName name="___PL3">#REF!</definedName>
    <definedName name="___po1000" localSheetId="3">#REF!</definedName>
    <definedName name="___po1000">#REF!</definedName>
    <definedName name="___por4040" localSheetId="3">#REF!</definedName>
    <definedName name="___por4040">#REF!</definedName>
    <definedName name="___pvc05" localSheetId="3">#REF!</definedName>
    <definedName name="___pvc05">#REF!</definedName>
    <definedName name="___pvc1" localSheetId="3">#REF!</definedName>
    <definedName name="___PVC1">#REF!</definedName>
    <definedName name="___pvc105" localSheetId="3">#REF!</definedName>
    <definedName name="___pvc105">#REF!</definedName>
    <definedName name="___pvc2" localSheetId="3">#REF!</definedName>
    <definedName name="___PVC2">#REF!</definedName>
    <definedName name="___pvc212" localSheetId="3">#REF!</definedName>
    <definedName name="___pvc212">#REF!</definedName>
    <definedName name="___pvc3" localSheetId="3">#REF!</definedName>
    <definedName name="___pvc3">#REF!</definedName>
    <definedName name="___pvc4" localSheetId="3">#REF!</definedName>
    <definedName name="___PVC4">#REF!</definedName>
    <definedName name="___PVC6">#REF!</definedName>
    <definedName name="___QS1" localSheetId="3">#REF!</definedName>
    <definedName name="___QS1">#REF!</definedName>
    <definedName name="___QS10" localSheetId="3">#REF!</definedName>
    <definedName name="___QS10">#REF!</definedName>
    <definedName name="___QS11" localSheetId="3">#REF!</definedName>
    <definedName name="___QS11">#REF!</definedName>
    <definedName name="___QS12" localSheetId="3">#REF!</definedName>
    <definedName name="___QS12">#REF!</definedName>
    <definedName name="___QS13" localSheetId="3">#REF!</definedName>
    <definedName name="___QS13">#REF!</definedName>
    <definedName name="___QS14" localSheetId="3">#REF!</definedName>
    <definedName name="___QS14">#REF!</definedName>
    <definedName name="___QS15" localSheetId="3">#REF!</definedName>
    <definedName name="___QS15">#REF!</definedName>
    <definedName name="___QS16" localSheetId="3">#REF!</definedName>
    <definedName name="___QS16">#REF!</definedName>
    <definedName name="___QS17" localSheetId="3">#REF!</definedName>
    <definedName name="___QS17">#REF!</definedName>
    <definedName name="___QS18" localSheetId="3">#REF!</definedName>
    <definedName name="___QS18">#REF!</definedName>
    <definedName name="___QS19" localSheetId="3">#REF!</definedName>
    <definedName name="___QS19">#REF!</definedName>
    <definedName name="___QS2" localSheetId="3">#REF!</definedName>
    <definedName name="___QS2">#REF!</definedName>
    <definedName name="___QS20" localSheetId="3">#REF!</definedName>
    <definedName name="___QS20">#REF!</definedName>
    <definedName name="___QS21" localSheetId="3">#REF!</definedName>
    <definedName name="___QS21">#REF!</definedName>
    <definedName name="___QS3" localSheetId="3">#REF!</definedName>
    <definedName name="___QS3">#REF!</definedName>
    <definedName name="___QS4" localSheetId="3">#REF!</definedName>
    <definedName name="___QS4">#REF!</definedName>
    <definedName name="___QS5" localSheetId="3">#REF!</definedName>
    <definedName name="___QS5">#REF!</definedName>
    <definedName name="___QS6" localSheetId="3">#REF!</definedName>
    <definedName name="___QS6">#REF!</definedName>
    <definedName name="___QS7" localSheetId="3">#REF!</definedName>
    <definedName name="___QS7">#REF!</definedName>
    <definedName name="___QS8" localSheetId="3">#REF!</definedName>
    <definedName name="___QS8">#REF!</definedName>
    <definedName name="___QS9" localSheetId="3">#REF!</definedName>
    <definedName name="___QS9">#REF!</definedName>
    <definedName name="___rbf2" localSheetId="3">#REF!</definedName>
    <definedName name="___rbf2">#REF!</definedName>
    <definedName name="___rbf3" localSheetId="3">#REF!</definedName>
    <definedName name="___rbf3">#REF!</definedName>
    <definedName name="___rbf4" localSheetId="3">#REF!</definedName>
    <definedName name="___rbf4">#REF!</definedName>
    <definedName name="___rd4" localSheetId="3">#REF!</definedName>
    <definedName name="___rd4">#REF!</definedName>
    <definedName name="___rd6" localSheetId="3">#REF!</definedName>
    <definedName name="___rd6">#REF!</definedName>
    <definedName name="___rd8" localSheetId="3">#REF!</definedName>
    <definedName name="___rd8">#REF!</definedName>
    <definedName name="___rk100" localSheetId="3">#REF!</definedName>
    <definedName name="___rk100">#REF!</definedName>
    <definedName name="___rk150" localSheetId="3">#REF!</definedName>
    <definedName name="___rk150">#REF!</definedName>
    <definedName name="___rk200" localSheetId="3">#REF!</definedName>
    <definedName name="___rk200">#REF!</definedName>
    <definedName name="___rk300" localSheetId="3">#REF!</definedName>
    <definedName name="___rk300">#REF!</definedName>
    <definedName name="___rk400" localSheetId="3">#REF!</definedName>
    <definedName name="___rk400">#REF!</definedName>
    <definedName name="___rk500" localSheetId="3">#REF!</definedName>
    <definedName name="___rk500">#REF!</definedName>
    <definedName name="___rk600" localSheetId="3">#REF!</definedName>
    <definedName name="___rk600">#REF!</definedName>
    <definedName name="___rkl1000" localSheetId="3">#REF!</definedName>
    <definedName name="___rkl1000">#REF!</definedName>
    <definedName name="___rkl1200" localSheetId="3">#REF!</definedName>
    <definedName name="___rkl1200">#REF!</definedName>
    <definedName name="___rkl200" localSheetId="3">#REF!</definedName>
    <definedName name="___rkl200">#REF!</definedName>
    <definedName name="___rkl300" localSheetId="3">#REF!</definedName>
    <definedName name="___rkl300">#REF!</definedName>
    <definedName name="___rkl400" localSheetId="3">#REF!</definedName>
    <definedName name="___rkl400">#REF!</definedName>
    <definedName name="___rkl500" localSheetId="3">#REF!</definedName>
    <definedName name="___rkl500">#REF!</definedName>
    <definedName name="___rkl600" localSheetId="3">#REF!</definedName>
    <definedName name="___rkl600">#REF!</definedName>
    <definedName name="___rkl700" localSheetId="3">#REF!</definedName>
    <definedName name="___rkl700">#REF!</definedName>
    <definedName name="___rkl800" localSheetId="3">#REF!</definedName>
    <definedName name="___rkl800">#REF!</definedName>
    <definedName name="___SAK1">#REF!</definedName>
    <definedName name="___sc1" localSheetId="3">#REF!</definedName>
    <definedName name="___sc1">#REF!</definedName>
    <definedName name="___SC2" localSheetId="3">#REF!</definedName>
    <definedName name="___SC2">#REF!</definedName>
    <definedName name="___sc3" localSheetId="3">#REF!</definedName>
    <definedName name="___sc3">#REF!</definedName>
    <definedName name="___sfv150" localSheetId="3">#REF!</definedName>
    <definedName name="___sfv150">#REF!</definedName>
    <definedName name="___sh1040" localSheetId="3">#REF!</definedName>
    <definedName name="___sh1040">#REF!</definedName>
    <definedName name="___SN3" localSheetId="3">#REF!</definedName>
    <definedName name="___SN3">#REF!</definedName>
    <definedName name="___std100" localSheetId="3">#REF!</definedName>
    <definedName name="___std100">#REF!</definedName>
    <definedName name="___std150" localSheetId="3">#REF!</definedName>
    <definedName name="___std150">#REF!</definedName>
    <definedName name="___std2" localSheetId="3">#REF!</definedName>
    <definedName name="___std2">#REF!</definedName>
    <definedName name="___std3" localSheetId="3">#REF!</definedName>
    <definedName name="___std3">#REF!</definedName>
    <definedName name="___std4" localSheetId="3">#REF!</definedName>
    <definedName name="___std4">#REF!</definedName>
    <definedName name="___std50" localSheetId="3">#REF!</definedName>
    <definedName name="___std50">#REF!</definedName>
    <definedName name="___std65" localSheetId="3">#REF!</definedName>
    <definedName name="___std65">#REF!</definedName>
    <definedName name="___ti100" localSheetId="3">#REF!</definedName>
    <definedName name="___ti100">#REF!</definedName>
    <definedName name="___ti120" localSheetId="3">#REF!</definedName>
    <definedName name="___ti120">#REF!</definedName>
    <definedName name="___ti50" localSheetId="3">#REF!</definedName>
    <definedName name="___ti50">#REF!</definedName>
    <definedName name="___ti60" localSheetId="3">#REF!</definedName>
    <definedName name="___ti60">#REF!</definedName>
    <definedName name="___ti80" localSheetId="3">#REF!</definedName>
    <definedName name="___ti80">#REF!</definedName>
    <definedName name="___TL1" localSheetId="3">#REF!</definedName>
    <definedName name="___TL1">#REF!</definedName>
    <definedName name="___tl120" localSheetId="3">#REF!</definedName>
    <definedName name="___tl120">#REF!</definedName>
    <definedName name="___tl140" localSheetId="3">#REF!</definedName>
    <definedName name="___tl140">#REF!</definedName>
    <definedName name="___TL2" localSheetId="3">#REF!</definedName>
    <definedName name="___TL2">#REF!</definedName>
    <definedName name="___TL240" localSheetId="3">#REF!</definedName>
    <definedName name="___TL240">#REF!</definedName>
    <definedName name="___TL3" localSheetId="3">#REF!</definedName>
    <definedName name="___TL3">#REF!</definedName>
    <definedName name="___TLA120" localSheetId="3">#REF!</definedName>
    <definedName name="___TLA120">#REF!</definedName>
    <definedName name="___TLA35" localSheetId="3">#REF!</definedName>
    <definedName name="___TLA35">#REF!</definedName>
    <definedName name="___TLA50" localSheetId="3">#REF!</definedName>
    <definedName name="___TLA50">#REF!</definedName>
    <definedName name="___TLA70" localSheetId="3">#REF!</definedName>
    <definedName name="___TLA70">#REF!</definedName>
    <definedName name="___TLA95" localSheetId="3">#REF!</definedName>
    <definedName name="___TLA95">#REF!</definedName>
    <definedName name="___tlc20" localSheetId="3">#REF!</definedName>
    <definedName name="___tlc20">#REF!</definedName>
    <definedName name="___tsv25" localSheetId="3">#REF!</definedName>
    <definedName name="___tsv25">#REF!</definedName>
    <definedName name="___uls60" localSheetId="3">#REF!</definedName>
    <definedName name="___uls60">#REF!</definedName>
    <definedName name="___utd1" localSheetId="3">#REF!</definedName>
    <definedName name="___utd1">#REF!</definedName>
    <definedName name="___utd2" localSheetId="3">#REF!</definedName>
    <definedName name="___utd2">#REF!</definedName>
    <definedName name="___utd3" localSheetId="3">#REF!</definedName>
    <definedName name="___utd3">#REF!</definedName>
    <definedName name="___vcd2" localSheetId="3">#REF!</definedName>
    <definedName name="___vcd2">#REF!</definedName>
    <definedName name="___vcd3" localSheetId="3">#REF!</definedName>
    <definedName name="___vcd3">#REF!</definedName>
    <definedName name="___vcd4" localSheetId="3">#REF!</definedName>
    <definedName name="___vcd4">#REF!</definedName>
    <definedName name="___VL100" localSheetId="3">#REF!</definedName>
    <definedName name="___VL100">#REF!</definedName>
    <definedName name="___VL200" localSheetId="3">#REF!</definedName>
    <definedName name="___VL200">#REF!</definedName>
    <definedName name="___VL250" localSheetId="3">#REF!</definedName>
    <definedName name="___VL250">#REF!</definedName>
    <definedName name="___WAK1" localSheetId="3">#REF!</definedName>
    <definedName name="___WAK1">#REF!</definedName>
    <definedName name="___WAK2" localSheetId="3">#REF!</definedName>
    <definedName name="___WAK2">#REF!</definedName>
    <definedName name="___WC1" localSheetId="3">#REF!</definedName>
    <definedName name="___WC1">#REF!</definedName>
    <definedName name="___WC2" localSheetId="3">#REF!</definedName>
    <definedName name="___WC2">#REF!</definedName>
    <definedName name="___WC3" localSheetId="3">#REF!</definedName>
    <definedName name="___WC3">#REF!</definedName>
    <definedName name="___we3" localSheetId="3">#REF!</definedName>
    <definedName name="___we3">#REF!</definedName>
    <definedName name="__123546rr" localSheetId="3" hidden="1">#REF!</definedName>
    <definedName name="__123546rr" hidden="1">#REF!</definedName>
    <definedName name="__123Graph_A" localSheetId="2" hidden="1">'[4]ANL-EI'!#REF!</definedName>
    <definedName name="__123Graph_A" localSheetId="3" hidden="1">'[4]ANL-EI'!#REF!</definedName>
    <definedName name="__123Graph_A" localSheetId="11" hidden="1">'[5]ANL-EI'!#REF!</definedName>
    <definedName name="__123Graph_A" hidden="1">'[5]ANL-EI'!#REF!</definedName>
    <definedName name="__123Graph_AG31" localSheetId="2" hidden="1">[6]TJ1Q47!$G$7:$G$31</definedName>
    <definedName name="__123Graph_AG31" localSheetId="3" hidden="1">[6]TJ1Q47!$G$7:$G$31</definedName>
    <definedName name="__123Graph_AG32" localSheetId="2" hidden="1">[6]TJ1Q47!$G$7:$G$31</definedName>
    <definedName name="__123Graph_AG32" localSheetId="3" hidden="1">[6]TJ1Q47!$G$7:$G$31</definedName>
    <definedName name="__123Graph_AG33" localSheetId="2" hidden="1">[6]TJ1Q47!$G$7:$G$31</definedName>
    <definedName name="__123Graph_AG33" localSheetId="3" hidden="1">[6]TJ1Q47!$G$7:$G$31</definedName>
    <definedName name="__123Graph_AG34" localSheetId="2" hidden="1">[6]TJ1Q47!$G$7:$G$31</definedName>
    <definedName name="__123Graph_AG34" localSheetId="3" hidden="1">[6]TJ1Q47!$G$7:$G$31</definedName>
    <definedName name="__123Graph_B" localSheetId="2" hidden="1">'[4]ANL-EI'!#REF!</definedName>
    <definedName name="__123Graph_B" localSheetId="3" hidden="1">'[4]ANL-EI'!#REF!</definedName>
    <definedName name="__123Graph_B" localSheetId="11" hidden="1">'[5]ANL-EI'!#REF!</definedName>
    <definedName name="__123Graph_B" hidden="1">'[5]ANL-EI'!#REF!</definedName>
    <definedName name="__123Graph_BG31" localSheetId="2" hidden="1">[6]TJ1Q47!$E$7:$E$31</definedName>
    <definedName name="__123Graph_BG31" localSheetId="3" hidden="1">[6]TJ1Q47!$E$7:$E$31</definedName>
    <definedName name="__123Graph_BG32" localSheetId="2" hidden="1">[6]TJ1Q47!$E$7:$E$31</definedName>
    <definedName name="__123Graph_BG32" localSheetId="3" hidden="1">[6]TJ1Q47!$E$7:$E$31</definedName>
    <definedName name="__123Graph_BG33" localSheetId="2" hidden="1">[6]TJ1Q47!$E$7:$E$31</definedName>
    <definedName name="__123Graph_BG33" localSheetId="3" hidden="1">[6]TJ1Q47!$E$7:$E$31</definedName>
    <definedName name="__123Graph_BG34" localSheetId="2" hidden="1">[6]TJ1Q47!$E$7:$E$31</definedName>
    <definedName name="__123Graph_BG34" localSheetId="3" hidden="1">[6]TJ1Q47!$E$7:$E$31</definedName>
    <definedName name="__123Graph_C" localSheetId="2" hidden="1">[6]TJ1Q47!$J$7:$J$31</definedName>
    <definedName name="__123Graph_C" localSheetId="3" hidden="1">[6]TJ1Q47!$J$7:$J$31</definedName>
    <definedName name="__123Graph_ca" localSheetId="2" hidden="1">[6]TJ1Q47!$J$7:$J$31</definedName>
    <definedName name="__123Graph_ca" localSheetId="3" hidden="1">[6]TJ1Q47!$J$7:$J$31</definedName>
    <definedName name="__123Graph_X" localSheetId="2" hidden="1">'[4]ANL-EI'!#REF!</definedName>
    <definedName name="__123Graph_X" localSheetId="3" hidden="1">'[4]ANL-EI'!#REF!</definedName>
    <definedName name="__123Graph_X" localSheetId="11" hidden="1">'[5]ANL-EI'!#REF!</definedName>
    <definedName name="__123Graph_X" hidden="1">'[5]ANL-EI'!#REF!</definedName>
    <definedName name="__123Graph_XG31" localSheetId="2" hidden="1">[6]TJ1Q47!$B$7:$B$31</definedName>
    <definedName name="__123Graph_XG31" localSheetId="3" hidden="1">[6]TJ1Q47!$B$7:$B$31</definedName>
    <definedName name="__123Graph_XG32" localSheetId="2" hidden="1">[6]TJ1Q47!$B$7:$B$31</definedName>
    <definedName name="__123Graph_XG32" localSheetId="3" hidden="1">[6]TJ1Q47!$B$7:$B$31</definedName>
    <definedName name="__123Graph_XG33" localSheetId="2" hidden="1">[6]TJ1Q47!$B$7:$B$31</definedName>
    <definedName name="__123Graph_XG33" localSheetId="3" hidden="1">[6]TJ1Q47!$B$7:$B$31</definedName>
    <definedName name="__123Graph_XG34" localSheetId="2" hidden="1">[6]TJ1Q47!$B$7:$B$31</definedName>
    <definedName name="__123Graph_XG34" localSheetId="3" hidden="1">[6]TJ1Q47!$B$7:$B$31</definedName>
    <definedName name="__aaa1" localSheetId="3">#REF!</definedName>
    <definedName name="__aaa1">#REF!</definedName>
    <definedName name="__ana1" localSheetId="3">#REF!</definedName>
    <definedName name="__ana1">#REF!</definedName>
    <definedName name="__ana10" localSheetId="3">#REF!</definedName>
    <definedName name="__ana10">#REF!</definedName>
    <definedName name="__ana100" localSheetId="3">#REF!</definedName>
    <definedName name="__ana100">#REF!</definedName>
    <definedName name="__ana101" localSheetId="3">#REF!</definedName>
    <definedName name="__ana101">#REF!</definedName>
    <definedName name="__ana102" localSheetId="3">#REF!</definedName>
    <definedName name="__ana102">#REF!</definedName>
    <definedName name="__ana103" localSheetId="3">#REF!</definedName>
    <definedName name="__ana103">#REF!</definedName>
    <definedName name="__ana104" localSheetId="3">#REF!</definedName>
    <definedName name="__ana104">#REF!</definedName>
    <definedName name="__ana105" localSheetId="3">#REF!</definedName>
    <definedName name="__ana105">#REF!</definedName>
    <definedName name="__ana106" localSheetId="3">#REF!</definedName>
    <definedName name="__ana106">#REF!</definedName>
    <definedName name="__ana107" localSheetId="3">#REF!</definedName>
    <definedName name="__ana107">#REF!</definedName>
    <definedName name="__ana108" localSheetId="3">#REF!</definedName>
    <definedName name="__ana108">#REF!</definedName>
    <definedName name="__ana109" localSheetId="3">#REF!</definedName>
    <definedName name="__ana109">#REF!</definedName>
    <definedName name="__ana11" localSheetId="3">#REF!</definedName>
    <definedName name="__ana11">#REF!</definedName>
    <definedName name="__ana110" localSheetId="3">#REF!</definedName>
    <definedName name="__ana110">#REF!</definedName>
    <definedName name="__ana111" localSheetId="3">#REF!</definedName>
    <definedName name="__ana111">#REF!</definedName>
    <definedName name="__ana112" localSheetId="3">#REF!</definedName>
    <definedName name="__ana112">#REF!</definedName>
    <definedName name="__ana113" localSheetId="3">#REF!</definedName>
    <definedName name="__ana113">#REF!</definedName>
    <definedName name="__ana114" localSheetId="3">#REF!</definedName>
    <definedName name="__ana114">#REF!</definedName>
    <definedName name="__ana115" localSheetId="3">#REF!</definedName>
    <definedName name="__ana115">#REF!</definedName>
    <definedName name="__ana116" localSheetId="3">#REF!</definedName>
    <definedName name="__ana116">#REF!</definedName>
    <definedName name="__ana117" localSheetId="3">#REF!</definedName>
    <definedName name="__ana117">#REF!</definedName>
    <definedName name="__ana118" localSheetId="3">#REF!</definedName>
    <definedName name="__ana118">#REF!</definedName>
    <definedName name="__ana119" localSheetId="3">#REF!</definedName>
    <definedName name="__ana119">#REF!</definedName>
    <definedName name="__ana12" localSheetId="3">#REF!</definedName>
    <definedName name="__ana12">#REF!</definedName>
    <definedName name="__ana120" localSheetId="3">#REF!</definedName>
    <definedName name="__ana120">#REF!</definedName>
    <definedName name="__ana121" localSheetId="3">#REF!</definedName>
    <definedName name="__ana121">#REF!</definedName>
    <definedName name="__ana122" localSheetId="3">#REF!</definedName>
    <definedName name="__ana122">#REF!</definedName>
    <definedName name="__ana123" localSheetId="3">#REF!</definedName>
    <definedName name="__ana123">#REF!</definedName>
    <definedName name="__ana124" localSheetId="3">#REF!</definedName>
    <definedName name="__ana124">#REF!</definedName>
    <definedName name="__ana13" localSheetId="3">#REF!</definedName>
    <definedName name="__ana13">#REF!</definedName>
    <definedName name="__ana14" localSheetId="3">#REF!</definedName>
    <definedName name="__ana14">#REF!</definedName>
    <definedName name="__ana15" localSheetId="3">#REF!</definedName>
    <definedName name="__ana15">#REF!</definedName>
    <definedName name="__ana16" localSheetId="3">#REF!</definedName>
    <definedName name="__ana16">#REF!</definedName>
    <definedName name="__ana17" localSheetId="3">#REF!</definedName>
    <definedName name="__ana17">#REF!</definedName>
    <definedName name="__ana18" localSheetId="3">#REF!</definedName>
    <definedName name="__ana18">#REF!</definedName>
    <definedName name="__ana19" localSheetId="3">#REF!</definedName>
    <definedName name="__ana19">#REF!</definedName>
    <definedName name="__ana2" localSheetId="3">#REF!</definedName>
    <definedName name="__ana2">#REF!</definedName>
    <definedName name="__ana20" localSheetId="3">#REF!</definedName>
    <definedName name="__ana20">#REF!</definedName>
    <definedName name="__ana21" localSheetId="3">#REF!</definedName>
    <definedName name="__ana21">#REF!</definedName>
    <definedName name="__ana22" localSheetId="3">#REF!</definedName>
    <definedName name="__ana22">#REF!</definedName>
    <definedName name="__ana23" localSheetId="3">#REF!</definedName>
    <definedName name="__ana23">#REF!</definedName>
    <definedName name="__ana24" localSheetId="3">#REF!</definedName>
    <definedName name="__ana24">#REF!</definedName>
    <definedName name="__ana25" localSheetId="3">#REF!</definedName>
    <definedName name="__ana25">#REF!</definedName>
    <definedName name="__ana26" localSheetId="3">#REF!</definedName>
    <definedName name="__ana26">#REF!</definedName>
    <definedName name="__ana27" localSheetId="3">#REF!</definedName>
    <definedName name="__ana27">#REF!</definedName>
    <definedName name="__ana28" localSheetId="3">#REF!</definedName>
    <definedName name="__ana28">#REF!</definedName>
    <definedName name="__ana29" localSheetId="3">#REF!</definedName>
    <definedName name="__ana29">#REF!</definedName>
    <definedName name="__ana3" localSheetId="3">#REF!</definedName>
    <definedName name="__ana3">#REF!</definedName>
    <definedName name="__ana30" localSheetId="3">#REF!</definedName>
    <definedName name="__ana30">#REF!</definedName>
    <definedName name="__ana31" localSheetId="3">#REF!</definedName>
    <definedName name="__ana31">#REF!</definedName>
    <definedName name="__ana32" localSheetId="3">#REF!</definedName>
    <definedName name="__ana32">#REF!</definedName>
    <definedName name="__ana33" localSheetId="3">#REF!</definedName>
    <definedName name="__ana33">#REF!</definedName>
    <definedName name="__ana34" localSheetId="3">#REF!</definedName>
    <definedName name="__ana34">#REF!</definedName>
    <definedName name="__ana35" localSheetId="3">#REF!</definedName>
    <definedName name="__ana35">#REF!</definedName>
    <definedName name="__ana36" localSheetId="3">#REF!</definedName>
    <definedName name="__ana36">#REF!</definedName>
    <definedName name="__ana37" localSheetId="3">#REF!</definedName>
    <definedName name="__ana37">#REF!</definedName>
    <definedName name="__ana38" localSheetId="3">#REF!</definedName>
    <definedName name="__ana38">#REF!</definedName>
    <definedName name="__ana39" localSheetId="3">#REF!</definedName>
    <definedName name="__ana39">#REF!</definedName>
    <definedName name="__ana4" localSheetId="3">#REF!</definedName>
    <definedName name="__ana4">#REF!</definedName>
    <definedName name="__ana40" localSheetId="3">#REF!</definedName>
    <definedName name="__ana40">#REF!</definedName>
    <definedName name="__ana41" localSheetId="3">#REF!</definedName>
    <definedName name="__ana41">#REF!</definedName>
    <definedName name="__ana42" localSheetId="3">#REF!</definedName>
    <definedName name="__ana42">#REF!</definedName>
    <definedName name="__ana43" localSheetId="3">#REF!</definedName>
    <definedName name="__ana43">#REF!</definedName>
    <definedName name="__ana44" localSheetId="3">#REF!</definedName>
    <definedName name="__ana44">#REF!</definedName>
    <definedName name="__ana45" localSheetId="3">#REF!</definedName>
    <definedName name="__ana45">#REF!</definedName>
    <definedName name="__ana46" localSheetId="3">#REF!</definedName>
    <definedName name="__ana46">#REF!</definedName>
    <definedName name="__ana47" localSheetId="3">#REF!</definedName>
    <definedName name="__ana47">#REF!</definedName>
    <definedName name="__ana48" localSheetId="3">#REF!</definedName>
    <definedName name="__ana48">#REF!</definedName>
    <definedName name="__ana49" localSheetId="3">#REF!</definedName>
    <definedName name="__ana49">#REF!</definedName>
    <definedName name="__ana5" localSheetId="3">#REF!</definedName>
    <definedName name="__ana5">#REF!</definedName>
    <definedName name="__ana50" localSheetId="3">#REF!</definedName>
    <definedName name="__ana50">#REF!</definedName>
    <definedName name="__ana51" localSheetId="3">#REF!</definedName>
    <definedName name="__ana51">#REF!</definedName>
    <definedName name="__ana52" localSheetId="3">#REF!</definedName>
    <definedName name="__ana52">#REF!</definedName>
    <definedName name="__ana53" localSheetId="3">#REF!</definedName>
    <definedName name="__ana53">#REF!</definedName>
    <definedName name="__ana54" localSheetId="3">#REF!</definedName>
    <definedName name="__ana54">#REF!</definedName>
    <definedName name="__ana55" localSheetId="3">#REF!</definedName>
    <definedName name="__ana55">#REF!</definedName>
    <definedName name="__ana56" localSheetId="3">#REF!</definedName>
    <definedName name="__ana56">#REF!</definedName>
    <definedName name="__ana57" localSheetId="3">#REF!</definedName>
    <definedName name="__ana57">#REF!</definedName>
    <definedName name="__ana58" localSheetId="3">#REF!</definedName>
    <definedName name="__ana58">#REF!</definedName>
    <definedName name="__ana59" localSheetId="3">#REF!</definedName>
    <definedName name="__ana59">#REF!</definedName>
    <definedName name="__ana6" localSheetId="3">#REF!</definedName>
    <definedName name="__ana6">#REF!</definedName>
    <definedName name="__ana60" localSheetId="3">#REF!</definedName>
    <definedName name="__ana60">#REF!</definedName>
    <definedName name="__ana61" localSheetId="3">#REF!</definedName>
    <definedName name="__ana61">#REF!</definedName>
    <definedName name="__ana62" localSheetId="3">#REF!</definedName>
    <definedName name="__ana62">#REF!</definedName>
    <definedName name="__ana63" localSheetId="3">#REF!</definedName>
    <definedName name="__ana63">#REF!</definedName>
    <definedName name="__ana64" localSheetId="3">#REF!</definedName>
    <definedName name="__ana64">#REF!</definedName>
    <definedName name="__ana65" localSheetId="3">#REF!</definedName>
    <definedName name="__ana65">#REF!</definedName>
    <definedName name="__ana66" localSheetId="3">#REF!</definedName>
    <definedName name="__ana66">#REF!</definedName>
    <definedName name="__ana67" localSheetId="3">#REF!</definedName>
    <definedName name="__ana67">#REF!</definedName>
    <definedName name="__ana68" localSheetId="3">#REF!</definedName>
    <definedName name="__ana68">#REF!</definedName>
    <definedName name="__ana69" localSheetId="3">#REF!</definedName>
    <definedName name="__ana69">#REF!</definedName>
    <definedName name="__ana7" localSheetId="3">#REF!</definedName>
    <definedName name="__ana7">#REF!</definedName>
    <definedName name="__ana70" localSheetId="3">#REF!</definedName>
    <definedName name="__ana70">#REF!</definedName>
    <definedName name="__ana71" localSheetId="3">#REF!</definedName>
    <definedName name="__ana71">#REF!</definedName>
    <definedName name="__ana72" localSheetId="3">#REF!</definedName>
    <definedName name="__ana72">#REF!</definedName>
    <definedName name="__ana73" localSheetId="3">#REF!</definedName>
    <definedName name="__ana73">#REF!</definedName>
    <definedName name="__ana74" localSheetId="3">#REF!</definedName>
    <definedName name="__ana74">#REF!</definedName>
    <definedName name="__ana75" localSheetId="3">#REF!</definedName>
    <definedName name="__ana75">#REF!</definedName>
    <definedName name="__ana76" localSheetId="3">#REF!</definedName>
    <definedName name="__ana76">#REF!</definedName>
    <definedName name="__ana77" localSheetId="3">#REF!</definedName>
    <definedName name="__ana77">#REF!</definedName>
    <definedName name="__ana78" localSheetId="3">#REF!</definedName>
    <definedName name="__ana78">#REF!</definedName>
    <definedName name="__ana79" localSheetId="3">#REF!</definedName>
    <definedName name="__ana79">#REF!</definedName>
    <definedName name="__ana8" localSheetId="3">#REF!</definedName>
    <definedName name="__ana8">#REF!</definedName>
    <definedName name="__ana80" localSheetId="3">#REF!</definedName>
    <definedName name="__ana80">#REF!</definedName>
    <definedName name="__ana81" localSheetId="3">#REF!</definedName>
    <definedName name="__ana81">#REF!</definedName>
    <definedName name="__ana82" localSheetId="3">#REF!</definedName>
    <definedName name="__ana82">#REF!</definedName>
    <definedName name="__ana83" localSheetId="3">#REF!</definedName>
    <definedName name="__ana83">#REF!</definedName>
    <definedName name="__ana84" localSheetId="3">#REF!</definedName>
    <definedName name="__ana84">#REF!</definedName>
    <definedName name="__ana85" localSheetId="3">#REF!</definedName>
    <definedName name="__ana85">#REF!</definedName>
    <definedName name="__ana86" localSheetId="3">#REF!</definedName>
    <definedName name="__ana86">#REF!</definedName>
    <definedName name="__ana87" localSheetId="3">#REF!</definedName>
    <definedName name="__ana87">#REF!</definedName>
    <definedName name="__ana88" localSheetId="3">#REF!</definedName>
    <definedName name="__ana88">#REF!</definedName>
    <definedName name="__ana89" localSheetId="3">#REF!</definedName>
    <definedName name="__ana89">#REF!</definedName>
    <definedName name="__ana9" localSheetId="3">#REF!</definedName>
    <definedName name="__ana9">#REF!</definedName>
    <definedName name="__ana90" localSheetId="3">#REF!</definedName>
    <definedName name="__ana90">#REF!</definedName>
    <definedName name="__ana91" localSheetId="3">#REF!</definedName>
    <definedName name="__ana91">#REF!</definedName>
    <definedName name="__ana92" localSheetId="3">#REF!</definedName>
    <definedName name="__ana92">#REF!</definedName>
    <definedName name="__ana93" localSheetId="3">#REF!</definedName>
    <definedName name="__ana93">#REF!</definedName>
    <definedName name="__ana94" localSheetId="3">#REF!</definedName>
    <definedName name="__ana94">#REF!</definedName>
    <definedName name="__ana95" localSheetId="3">#REF!</definedName>
    <definedName name="__ana95">#REF!</definedName>
    <definedName name="__ana96" localSheetId="3">#REF!</definedName>
    <definedName name="__ana96">#REF!</definedName>
    <definedName name="__ana97" localSheetId="3">#REF!</definedName>
    <definedName name="__ana97">#REF!</definedName>
    <definedName name="__ana98" localSheetId="3">#REF!</definedName>
    <definedName name="__ana98">#REF!</definedName>
    <definedName name="__ana99" localSheetId="3">#REF!</definedName>
    <definedName name="__ana99">#REF!</definedName>
    <definedName name="__bab3" localSheetId="3">#REF!</definedName>
    <definedName name="__bab3">#REF!</definedName>
    <definedName name="__bab4" localSheetId="3">#REF!</definedName>
    <definedName name="__bab4">#REF!</definedName>
    <definedName name="__bbm10" localSheetId="3">#REF!</definedName>
    <definedName name="__bbm10">#REF!</definedName>
    <definedName name="__bbm3" localSheetId="3">#REF!</definedName>
    <definedName name="__bbm3">#REF!</definedName>
    <definedName name="__bbm5" localSheetId="3">#REF!</definedName>
    <definedName name="__bbm5">#REF!</definedName>
    <definedName name="__bbm8" localSheetId="3">#REF!</definedName>
    <definedName name="__bbm8">#REF!</definedName>
    <definedName name="__bcv100" localSheetId="3">#REF!</definedName>
    <definedName name="__bcv100">#REF!</definedName>
    <definedName name="__bcv125" localSheetId="3">#REF!</definedName>
    <definedName name="__bcv125">#REF!</definedName>
    <definedName name="__bcv150" localSheetId="3">#REF!</definedName>
    <definedName name="__bcv150">#REF!</definedName>
    <definedName name="__bet250" localSheetId="3">#REF!</definedName>
    <definedName name="__bet250">#REF!</definedName>
    <definedName name="__bet275" localSheetId="3">#REF!</definedName>
    <definedName name="__bet275">#REF!</definedName>
    <definedName name="__bet300" localSheetId="3">#REF!</definedName>
    <definedName name="__bet300">#REF!</definedName>
    <definedName name="__bpl32" localSheetId="3">#REF!</definedName>
    <definedName name="__bpl32">#REF!</definedName>
    <definedName name="__bpl9" localSheetId="3">#REF!</definedName>
    <definedName name="__bpl9">#REF!</definedName>
    <definedName name="__brc120" localSheetId="3">#REF!</definedName>
    <definedName name="__brc120">#REF!</definedName>
    <definedName name="__brc90" localSheetId="3">#REF!</definedName>
    <definedName name="__brc90">#REF!</definedName>
    <definedName name="__bsd1600" localSheetId="3">#REF!</definedName>
    <definedName name="__bsd1600">#REF!</definedName>
    <definedName name="__bsd2500" localSheetId="3">#REF!</definedName>
    <definedName name="__bsd2500">#REF!</definedName>
    <definedName name="__bsd4000" localSheetId="3">#REF!</definedName>
    <definedName name="__bsd4000">#REF!</definedName>
    <definedName name="__btn175" localSheetId="3">#REF!</definedName>
    <definedName name="__btn175">#REF!</definedName>
    <definedName name="__btn300" localSheetId="3">#REF!</definedName>
    <definedName name="__btn300">#REF!</definedName>
    <definedName name="__bud3500" localSheetId="3">#REF!</definedName>
    <definedName name="__bud3500">#REF!</definedName>
    <definedName name="__bvd1" localSheetId="3">#REF!</definedName>
    <definedName name="__bvd1">#REF!</definedName>
    <definedName name="__bvd2" localSheetId="3">#REF!</definedName>
    <definedName name="__bvd2">#REF!</definedName>
    <definedName name="__bvd3" localSheetId="3">#REF!</definedName>
    <definedName name="__bvd3">#REF!</definedName>
    <definedName name="__bvd34" localSheetId="3">#REF!</definedName>
    <definedName name="__bvd34">#REF!</definedName>
    <definedName name="__bvd4" localSheetId="3">#REF!</definedName>
    <definedName name="__bvd4">#REF!</definedName>
    <definedName name="__bvd5" localSheetId="3">#REF!</definedName>
    <definedName name="__bvd5">#REF!</definedName>
    <definedName name="__bvd8" localSheetId="3">#REF!</definedName>
    <definedName name="__bvd8">#REF!</definedName>
    <definedName name="__cip10" localSheetId="3">#REF!</definedName>
    <definedName name="__cip10">#REF!</definedName>
    <definedName name="__cip2" localSheetId="3">#REF!</definedName>
    <definedName name="__cip2">#REF!</definedName>
    <definedName name="__cip3" localSheetId="3">#REF!</definedName>
    <definedName name="__cip3">#REF!</definedName>
    <definedName name="__cip4" localSheetId="3">#REF!</definedName>
    <definedName name="__cip4">#REF!</definedName>
    <definedName name="__cip6" localSheetId="3">#REF!</definedName>
    <definedName name="__cip6">#REF!</definedName>
    <definedName name="__cip8" localSheetId="3">#REF!</definedName>
    <definedName name="__cip8">#REF!</definedName>
    <definedName name="__cod4" localSheetId="3">#REF!</definedName>
    <definedName name="__cod4">#REF!</definedName>
    <definedName name="__COR135" localSheetId="2">[7]Anl!#REF!</definedName>
    <definedName name="__COR135" localSheetId="3">[7]Anl!#REF!</definedName>
    <definedName name="__COR135">[8]Anl!#REF!</definedName>
    <definedName name="__cvd100" localSheetId="3">#REF!</definedName>
    <definedName name="__cvd100">#REF!</definedName>
    <definedName name="__cvd15" localSheetId="3">#REF!</definedName>
    <definedName name="__cvd15">#REF!</definedName>
    <definedName name="__cvd150" localSheetId="3">#REF!</definedName>
    <definedName name="__cvd150">#REF!</definedName>
    <definedName name="__cvd50" localSheetId="3">#REF!</definedName>
    <definedName name="__cvd50">#REF!</definedName>
    <definedName name="__cvd65" localSheetId="3">#REF!</definedName>
    <definedName name="__cvd65">#REF!</definedName>
    <definedName name="__daf1" localSheetId="3">#REF!</definedName>
    <definedName name="__daf1">#REF!</definedName>
    <definedName name="__DAF10" localSheetId="3">#REF!</definedName>
    <definedName name="__DAF10">#REF!</definedName>
    <definedName name="__daf2" localSheetId="3">#REF!</definedName>
    <definedName name="__daf2">#REF!</definedName>
    <definedName name="__daf31" localSheetId="3">#REF!</definedName>
    <definedName name="__daf31">#REF!</definedName>
    <definedName name="__daf32" localSheetId="3">#REF!</definedName>
    <definedName name="__daf32">#REF!</definedName>
    <definedName name="__daf33" localSheetId="3">#REF!</definedName>
    <definedName name="__daf33">#REF!</definedName>
    <definedName name="__ddn400" localSheetId="3">#REF!</definedName>
    <definedName name="__ddn400">#REF!</definedName>
    <definedName name="__ddn600" localSheetId="3">#REF!</definedName>
    <definedName name="__ddn600">#REF!</definedName>
    <definedName name="__DIV1" localSheetId="2">#REF!</definedName>
    <definedName name="__DIV1" localSheetId="3">#REF!</definedName>
    <definedName name="__DIV1">'[9]Kuantitas &amp; Harga'!$G$26</definedName>
    <definedName name="__DIV10" localSheetId="2">#REF!</definedName>
    <definedName name="__DIV10" localSheetId="3">#REF!</definedName>
    <definedName name="__DIV10">'[9]Kuantitas &amp; Harga'!$G$418</definedName>
    <definedName name="__DIV11" localSheetId="2">#REF!</definedName>
    <definedName name="__DIV11" localSheetId="3">#REF!</definedName>
    <definedName name="__DIV2" localSheetId="2">#REF!</definedName>
    <definedName name="__DIV2" localSheetId="3">#REF!</definedName>
    <definedName name="__DIV2">'[9]Kuantitas &amp; Harga'!$G$50</definedName>
    <definedName name="__DIV3" localSheetId="2">#REF!</definedName>
    <definedName name="__DIV3" localSheetId="3">#REF!</definedName>
    <definedName name="__DIV3">'[9]Kuantitas &amp; Harga'!$G$84</definedName>
    <definedName name="__DIV4" localSheetId="2">#REF!</definedName>
    <definedName name="__DIV4" localSheetId="3">#REF!</definedName>
    <definedName name="__DIV4">'[9]Kuantitas &amp; Harga'!$G$99</definedName>
    <definedName name="__DIV5" localSheetId="2">#REF!</definedName>
    <definedName name="__DIV5" localSheetId="3">#REF!</definedName>
    <definedName name="__DIV5">'[9]Kuantitas &amp; Harga'!$G$119</definedName>
    <definedName name="__DIV6" localSheetId="2">#REF!</definedName>
    <definedName name="__DIV6" localSheetId="3">#REF!</definedName>
    <definedName name="__DIV6">'[9]Kuantitas &amp; Harga'!$G$155</definedName>
    <definedName name="__DIV7" localSheetId="2">#REF!</definedName>
    <definedName name="__DIV7" localSheetId="3">#REF!</definedName>
    <definedName name="__DIV8" localSheetId="2">#REF!</definedName>
    <definedName name="__DIV8" localSheetId="3">#REF!</definedName>
    <definedName name="__DIV8">'[9]Kuantitas &amp; Harga'!$G$377</definedName>
    <definedName name="__DIV9" localSheetId="2">#REF!</definedName>
    <definedName name="__DIV9" localSheetId="3">#REF!</definedName>
    <definedName name="__DIV9">'[9]Kuantitas &amp; Harga'!$G$405</definedName>
    <definedName name="__dlh20" localSheetId="3">#REF!</definedName>
    <definedName name="__dlh20">#REF!</definedName>
    <definedName name="__dlh50" localSheetId="3">#REF!</definedName>
    <definedName name="__dlh50">#REF!</definedName>
    <definedName name="__dot2020" localSheetId="3">#REF!</definedName>
    <definedName name="__dot2020">#REF!</definedName>
    <definedName name="__EEE01" localSheetId="2">#REF!</definedName>
    <definedName name="__EEE01" localSheetId="3">#REF!</definedName>
    <definedName name="__EEE01" localSheetId="11">#REF!</definedName>
    <definedName name="__EEE01">#REF!</definedName>
    <definedName name="__EEE02" localSheetId="11">#REF!</definedName>
    <definedName name="__EEE02">#REF!</definedName>
    <definedName name="__EEE03" localSheetId="11">#REF!</definedName>
    <definedName name="__EEE03">#REF!</definedName>
    <definedName name="__EEE04">#REF!</definedName>
    <definedName name="__EEE05">#REF!</definedName>
    <definedName name="__EEE06">#REF!</definedName>
    <definedName name="__EEE07">#REF!</definedName>
    <definedName name="__EEE08">#REF!</definedName>
    <definedName name="__EEE09">#REF!</definedName>
    <definedName name="__EEE10">#REF!</definedName>
    <definedName name="__EEE11">#REF!</definedName>
    <definedName name="__EEE12">#REF!</definedName>
    <definedName name="__EEE13">#REF!</definedName>
    <definedName name="__EEE14">#REF!</definedName>
    <definedName name="__EEE15">#REF!</definedName>
    <definedName name="__EEE16">#REF!</definedName>
    <definedName name="__EEE17">#REF!</definedName>
    <definedName name="__EEE18">#REF!</definedName>
    <definedName name="__EEE19">#REF!</definedName>
    <definedName name="__EEE20">#REF!</definedName>
    <definedName name="__EEE21">#REF!</definedName>
    <definedName name="__EEE22">#REF!</definedName>
    <definedName name="__EEE23">#REF!</definedName>
    <definedName name="__EEE24">#REF!</definedName>
    <definedName name="__EEE25">#REF!</definedName>
    <definedName name="__EEE26">#REF!</definedName>
    <definedName name="__EEE27">#REF!</definedName>
    <definedName name="__EEE28">#REF!</definedName>
    <definedName name="__EEE29">#REF!</definedName>
    <definedName name="__EEE30">#REF!</definedName>
    <definedName name="__EEE31">#REF!</definedName>
    <definedName name="__EEE32">#REF!</definedName>
    <definedName name="__EEE33">#REF!</definedName>
    <definedName name="__fdd3" localSheetId="3">#REF!</definedName>
    <definedName name="__fdd3">#REF!</definedName>
    <definedName name="__fdu2" localSheetId="3">#REF!</definedName>
    <definedName name="__fdu2">#REF!</definedName>
    <definedName name="__FIT100" localSheetId="3">#REF!</definedName>
    <definedName name="__FIT100">#REF!</definedName>
    <definedName name="__fit125" localSheetId="3">#REF!</definedName>
    <definedName name="__fit125">#REF!</definedName>
    <definedName name="__FIT150" localSheetId="3">#REF!</definedName>
    <definedName name="__FIT150">#REF!</definedName>
    <definedName name="__FIT200" localSheetId="3">#REF!</definedName>
    <definedName name="__FIT200">#REF!</definedName>
    <definedName name="__FIT300" localSheetId="3">#REF!</definedName>
    <definedName name="__FIT300">#REF!</definedName>
    <definedName name="__FIT65" localSheetId="3">#REF!</definedName>
    <definedName name="__FIT65">#REF!</definedName>
    <definedName name="__fit80" localSheetId="3">#REF!</definedName>
    <definedName name="__fit80">#REF!</definedName>
    <definedName name="__fjd100" localSheetId="3">#REF!</definedName>
    <definedName name="__fjd100">#REF!</definedName>
    <definedName name="__fjd150" localSheetId="3">#REF!</definedName>
    <definedName name="__fjd150">#REF!</definedName>
    <definedName name="__fjd50" localSheetId="3">#REF!</definedName>
    <definedName name="__fjd50">#REF!</definedName>
    <definedName name="__fjd65" localSheetId="3">#REF!</definedName>
    <definedName name="__fjd65">#REF!</definedName>
    <definedName name="__fmd150" localSheetId="3">#REF!</definedName>
    <definedName name="__fmd150">#REF!</definedName>
    <definedName name="__frc2495" localSheetId="3">#REF!</definedName>
    <definedName name="__frc2495">#REF!</definedName>
    <definedName name="__frc41010" localSheetId="3">#REF!</definedName>
    <definedName name="__frc41010">#REF!</definedName>
    <definedName name="__frc495" localSheetId="3">#REF!</definedName>
    <definedName name="__frc495">#REF!</definedName>
    <definedName name="__gip112" localSheetId="3">#REF!</definedName>
    <definedName name="__gip112">#REF!</definedName>
    <definedName name="__giv1" localSheetId="3">#REF!</definedName>
    <definedName name="__giv1">#REF!</definedName>
    <definedName name="__giv12" localSheetId="3">#REF!</definedName>
    <definedName name="__giv12">#REF!</definedName>
    <definedName name="__giv2" localSheetId="3">#REF!</definedName>
    <definedName name="__giv2">#REF!</definedName>
    <definedName name="__giv3" localSheetId="3">#REF!</definedName>
    <definedName name="__giv3">#REF!</definedName>
    <definedName name="__giv34" localSheetId="3">#REF!</definedName>
    <definedName name="__giv34">#REF!</definedName>
    <definedName name="__giv4" localSheetId="3">#REF!</definedName>
    <definedName name="__giv4">#REF!</definedName>
    <definedName name="__grc1" localSheetId="3">#REF!</definedName>
    <definedName name="__grc1">#REF!</definedName>
    <definedName name="__gti50" localSheetId="3">#REF!</definedName>
    <definedName name="__gti50">#REF!</definedName>
    <definedName name="__gti60" localSheetId="3">#REF!</definedName>
    <definedName name="__gti60">#REF!</definedName>
    <definedName name="__gvd1" localSheetId="3">#REF!</definedName>
    <definedName name="__gvd1">#REF!</definedName>
    <definedName name="__gvd10" localSheetId="3">#REF!</definedName>
    <definedName name="__gvd10">#REF!</definedName>
    <definedName name="__gvd100" localSheetId="3">#REF!</definedName>
    <definedName name="__gvd100">#REF!</definedName>
    <definedName name="__gvd15" localSheetId="3">#REF!</definedName>
    <definedName name="__gvd15">#REF!</definedName>
    <definedName name="__gvd150" localSheetId="3">#REF!</definedName>
    <definedName name="__gvd150">#REF!</definedName>
    <definedName name="__gvd2" localSheetId="3">#REF!</definedName>
    <definedName name="__gvd2">#REF!</definedName>
    <definedName name="__gvd25" localSheetId="3">#REF!</definedName>
    <definedName name="__gvd25">#REF!</definedName>
    <definedName name="__gvd3" localSheetId="3">#REF!</definedName>
    <definedName name="__gvd3">#REF!</definedName>
    <definedName name="__gvd4" localSheetId="3">#REF!</definedName>
    <definedName name="__gvd4">#REF!</definedName>
    <definedName name="__gvd5" localSheetId="3">#REF!</definedName>
    <definedName name="__gvd5">#REF!</definedName>
    <definedName name="__gvd50" localSheetId="3">#REF!</definedName>
    <definedName name="__gvd50">#REF!</definedName>
    <definedName name="__gvd6" localSheetId="3">#REF!</definedName>
    <definedName name="__gvd6">#REF!</definedName>
    <definedName name="__gvd65" localSheetId="3">#REF!</definedName>
    <definedName name="__gvd65">#REF!</definedName>
    <definedName name="__gvd8" localSheetId="3">#REF!</definedName>
    <definedName name="__gvd8">#REF!</definedName>
    <definedName name="__HAL1" localSheetId="3">#REF!</definedName>
    <definedName name="__HAL1">#REF!</definedName>
    <definedName name="__HAL2" localSheetId="3">#REF!</definedName>
    <definedName name="__HAL2">#REF!</definedName>
    <definedName name="__HAL3" localSheetId="3">#REF!</definedName>
    <definedName name="__HAL3">#REF!</definedName>
    <definedName name="__HAL4" localSheetId="3">#REF!</definedName>
    <definedName name="__HAL4">#REF!</definedName>
    <definedName name="__HAL5" localSheetId="2">#REF!</definedName>
    <definedName name="__HAL5" localSheetId="3">#REF!</definedName>
    <definedName name="__HAL6" localSheetId="2">#REF!</definedName>
    <definedName name="__HAL6" localSheetId="3">#REF!</definedName>
    <definedName name="__HAL7" localSheetId="3">#REF!</definedName>
    <definedName name="__HAL7">#REF!</definedName>
    <definedName name="__HAL8" localSheetId="3">#REF!</definedName>
    <definedName name="__HAL8">#REF!</definedName>
    <definedName name="__hdw1" localSheetId="3">#REF!</definedName>
    <definedName name="__hdw1">#REF!</definedName>
    <definedName name="__int1" localSheetId="3">#REF!</definedName>
    <definedName name="__int1">#REF!</definedName>
    <definedName name="__int2" localSheetId="3">#REF!</definedName>
    <definedName name="__int2">#REF!</definedName>
    <definedName name="__jum1" localSheetId="2">#REF!</definedName>
    <definedName name="__jum1" localSheetId="3">#REF!</definedName>
    <definedName name="__jum1">#REF!</definedName>
    <definedName name="__jum10" localSheetId="2">#REF!</definedName>
    <definedName name="__jum10" localSheetId="3">#REF!</definedName>
    <definedName name="__jum10">#REF!</definedName>
    <definedName name="__jum2" localSheetId="2">#REF!</definedName>
    <definedName name="__jum2" localSheetId="3">#REF!</definedName>
    <definedName name="__jum2">#REF!</definedName>
    <definedName name="__jum3" localSheetId="3">#REF!</definedName>
    <definedName name="__jum3">#REF!</definedName>
    <definedName name="__jum4" localSheetId="3">#REF!</definedName>
    <definedName name="__jum4">#REF!</definedName>
    <definedName name="__jum5" localSheetId="3">#REF!</definedName>
    <definedName name="__jum5">#REF!</definedName>
    <definedName name="__jum6" localSheetId="3">#REF!</definedName>
    <definedName name="__jum6">#REF!</definedName>
    <definedName name="__jum7" localSheetId="3">#REF!</definedName>
    <definedName name="__jum7">#REF!</definedName>
    <definedName name="__jum8" localSheetId="3">#REF!</definedName>
    <definedName name="__jum8">#REF!</definedName>
    <definedName name="__jum9" localSheetId="3">#REF!</definedName>
    <definedName name="__jum9">#REF!</definedName>
    <definedName name="__kco7" localSheetId="3">#REF!</definedName>
    <definedName name="__kco7">#REF!</definedName>
    <definedName name="__ke1" localSheetId="3">#REF!</definedName>
    <definedName name="__ke1">#REF!</definedName>
    <definedName name="__ke2" localSheetId="3">#REF!</definedName>
    <definedName name="__ke2">#REF!</definedName>
    <definedName name="__ke3" localSheetId="3">#REF!</definedName>
    <definedName name="__ke3">#REF!</definedName>
    <definedName name="__ke4" localSheetId="3">#REF!</definedName>
    <definedName name="__ke4">#REF!</definedName>
    <definedName name="__KER2020" localSheetId="3">#REF!</definedName>
    <definedName name="__KER2020">#REF!</definedName>
    <definedName name="__KER2025" localSheetId="3">#REF!</definedName>
    <definedName name="__KER2025">#REF!</definedName>
    <definedName name="__ker3030" localSheetId="3">#REF!</definedName>
    <definedName name="__ker3030">#REF!</definedName>
    <definedName name="__key1" localSheetId="3" hidden="1">#REF!</definedName>
    <definedName name="__key1" hidden="1">#REF!</definedName>
    <definedName name="__LCM2" localSheetId="3">#REF!</definedName>
    <definedName name="__LCM2">#REF!</definedName>
    <definedName name="__LCM3" localSheetId="3">#REF!</definedName>
    <definedName name="__LCM3">#REF!</definedName>
    <definedName name="__ld100" localSheetId="3">#REF!</definedName>
    <definedName name="__ld100">#REF!</definedName>
    <definedName name="__ld120" localSheetId="3">#REF!</definedName>
    <definedName name="__ld120">#REF!</definedName>
    <definedName name="__ld50" localSheetId="3">#REF!</definedName>
    <definedName name="__ld50">#REF!</definedName>
    <definedName name="__ld60" localSheetId="3">#REF!</definedName>
    <definedName name="__ld60">#REF!</definedName>
    <definedName name="__ld80" localSheetId="3">#REF!</definedName>
    <definedName name="__ld80">#REF!</definedName>
    <definedName name="__ldp60" localSheetId="3">#REF!</definedName>
    <definedName name="__ldp60">#REF!</definedName>
    <definedName name="__lh50" localSheetId="3">#REF!</definedName>
    <definedName name="__lh50">#REF!</definedName>
    <definedName name="__LLL03" localSheetId="3">#REF!</definedName>
    <definedName name="__LLL03">#REF!</definedName>
    <definedName name="__lp100" localSheetId="3">#REF!</definedName>
    <definedName name="__lp100">#REF!</definedName>
    <definedName name="__lp300" localSheetId="3">#REF!</definedName>
    <definedName name="__lp300">#REF!</definedName>
    <definedName name="__lp36" localSheetId="3">#REF!</definedName>
    <definedName name="__lp36">#REF!</definedName>
    <definedName name="__lp500" localSheetId="3">#REF!</definedName>
    <definedName name="__lp500">#REF!</definedName>
    <definedName name="__lp60" localSheetId="3">#REF!</definedName>
    <definedName name="__lp60">#REF!</definedName>
    <definedName name="__lpl11" localSheetId="3">#REF!</definedName>
    <definedName name="__lpl11">#REF!</definedName>
    <definedName name="__ls100" localSheetId="3">#REF!</definedName>
    <definedName name="__ls100">#REF!</definedName>
    <definedName name="__ls50" localSheetId="3">#REF!</definedName>
    <definedName name="__ls50">#REF!</definedName>
    <definedName name="__ls60" localSheetId="3">#REF!</definedName>
    <definedName name="__ls60">#REF!</definedName>
    <definedName name="__ls80" localSheetId="3">#REF!</definedName>
    <definedName name="__ls80">#REF!</definedName>
    <definedName name="__MAC12" localSheetId="3">#REF!</definedName>
    <definedName name="__MAC12">#REF!</definedName>
    <definedName name="__MAC46" localSheetId="3">#REF!</definedName>
    <definedName name="__MAC46">#REF!</definedName>
    <definedName name="__mc2" localSheetId="3">#REF!</definedName>
    <definedName name="__mc2">#REF!</definedName>
    <definedName name="__mcb2" localSheetId="3">#REF!</definedName>
    <definedName name="__mcb2">#REF!</definedName>
    <definedName name="__mcb3" localSheetId="3">#REF!</definedName>
    <definedName name="__mcb3">#REF!</definedName>
    <definedName name="__MDE01" localSheetId="11">#REF!</definedName>
    <definedName name="__MDE01">#REF!</definedName>
    <definedName name="__MDE02" localSheetId="11">#REF!</definedName>
    <definedName name="__MDE02">#REF!</definedName>
    <definedName name="__MDE03" localSheetId="11">#REF!</definedName>
    <definedName name="__MDE03">#REF!</definedName>
    <definedName name="__MDE04">#REF!</definedName>
    <definedName name="__MDE05">#REF!</definedName>
    <definedName name="__MDE06">#REF!</definedName>
    <definedName name="__MDE07">#REF!</definedName>
    <definedName name="__MDE08">#REF!</definedName>
    <definedName name="__MDE09">#REF!</definedName>
    <definedName name="__MDE10">#REF!</definedName>
    <definedName name="__MDE11">#REF!</definedName>
    <definedName name="__MDE12">#REF!</definedName>
    <definedName name="__MDE13">#REF!</definedName>
    <definedName name="__MDE14">#REF!</definedName>
    <definedName name="__MDE15">#REF!</definedName>
    <definedName name="__MDE16">#REF!</definedName>
    <definedName name="__MDE17">#REF!</definedName>
    <definedName name="__MDE18">#REF!</definedName>
    <definedName name="__MDE19">#REF!</definedName>
    <definedName name="__MDE20">#REF!</definedName>
    <definedName name="__MDE21">#REF!</definedName>
    <definedName name="__MDE22">#REF!</definedName>
    <definedName name="__MDE23">#REF!</definedName>
    <definedName name="__MDE24">#REF!</definedName>
    <definedName name="__MDE25">#REF!</definedName>
    <definedName name="__MDE26">#REF!</definedName>
    <definedName name="__MDE27">#REF!</definedName>
    <definedName name="__MDE28">#REF!</definedName>
    <definedName name="__MDE29">#REF!</definedName>
    <definedName name="__MDE30">#REF!</definedName>
    <definedName name="__MDE31">#REF!</definedName>
    <definedName name="__MDE32">#REF!</definedName>
    <definedName name="__MDE33">#REF!</definedName>
    <definedName name="__MDE34">#REF!</definedName>
    <definedName name="__MDE35" localSheetId="3">#REF!</definedName>
    <definedName name="__MDE35">#REF!</definedName>
    <definedName name="__MDE36" localSheetId="3">#REF!</definedName>
    <definedName name="__MDE36">#REF!</definedName>
    <definedName name="__MDE37" localSheetId="3">#REF!</definedName>
    <definedName name="__MDE37">#REF!</definedName>
    <definedName name="__MDE38" localSheetId="3">#REF!</definedName>
    <definedName name="__MDE38">#REF!</definedName>
    <definedName name="__MDE39" localSheetId="3">#REF!</definedName>
    <definedName name="__MDE39">#REF!</definedName>
    <definedName name="__MDE40" localSheetId="3">#REF!</definedName>
    <definedName name="__MDE40">#REF!</definedName>
    <definedName name="__MDE41" localSheetId="3">#REF!</definedName>
    <definedName name="__MDE41">#REF!</definedName>
    <definedName name="__MDE42" localSheetId="3">#REF!</definedName>
    <definedName name="__MDE42">#REF!</definedName>
    <definedName name="__MDE43" localSheetId="3">#REF!</definedName>
    <definedName name="__MDE43">#REF!</definedName>
    <definedName name="__MDE44" localSheetId="3">#REF!</definedName>
    <definedName name="__MDE44">#REF!</definedName>
    <definedName name="__MDE45" localSheetId="3">#REF!</definedName>
    <definedName name="__MDE45">#REF!</definedName>
    <definedName name="__MDE46" localSheetId="3">#REF!</definedName>
    <definedName name="__MDE46">#REF!</definedName>
    <definedName name="__MDE47" localSheetId="3">#REF!</definedName>
    <definedName name="__MDE47">#REF!</definedName>
    <definedName name="__MDE48" localSheetId="3">#REF!</definedName>
    <definedName name="__MDE48">#REF!</definedName>
    <definedName name="__MDE49" localSheetId="3">#REF!</definedName>
    <definedName name="__MDE49">#REF!</definedName>
    <definedName name="__MDE50" localSheetId="3">#REF!</definedName>
    <definedName name="__MDE50">#REF!</definedName>
    <definedName name="__MDE51" localSheetId="3">#REF!</definedName>
    <definedName name="__MDE51">#REF!</definedName>
    <definedName name="__MDE52" localSheetId="3">#REF!</definedName>
    <definedName name="__MDE52">#REF!</definedName>
    <definedName name="__MDE53" localSheetId="3">#REF!</definedName>
    <definedName name="__MDE53">#REF!</definedName>
    <definedName name="__MDE54" localSheetId="3">#REF!</definedName>
    <definedName name="__MDE54">#REF!</definedName>
    <definedName name="__MDE55" localSheetId="3">#REF!</definedName>
    <definedName name="__MDE55">#REF!</definedName>
    <definedName name="__MDE56" localSheetId="3">#REF!</definedName>
    <definedName name="__MDE56">#REF!</definedName>
    <definedName name="__MDE57" localSheetId="3">#REF!</definedName>
    <definedName name="__MDE57">#REF!</definedName>
    <definedName name="__MDE58" localSheetId="3">#REF!</definedName>
    <definedName name="__MDE58">#REF!</definedName>
    <definedName name="__MDE59" localSheetId="3">#REF!</definedName>
    <definedName name="__MDE59">#REF!</definedName>
    <definedName name="__MDE60" localSheetId="3">#REF!</definedName>
    <definedName name="__MDE60">#REF!</definedName>
    <definedName name="__MDE61" localSheetId="3">#REF!</definedName>
    <definedName name="__MDE61">#REF!</definedName>
    <definedName name="__MDE62" localSheetId="3">#REF!</definedName>
    <definedName name="__MDE62">#REF!</definedName>
    <definedName name="__MDE63" localSheetId="3">#REF!</definedName>
    <definedName name="__MDE63">#REF!</definedName>
    <definedName name="__MDE64" localSheetId="3">#REF!</definedName>
    <definedName name="__MDE64">#REF!</definedName>
    <definedName name="__MDE65" localSheetId="3">#REF!</definedName>
    <definedName name="__MDE65">#REF!</definedName>
    <definedName name="__MDE66" localSheetId="3">#REF!</definedName>
    <definedName name="__MDE66">#REF!</definedName>
    <definedName name="__MDE67" localSheetId="3">#REF!</definedName>
    <definedName name="__MDE67">#REF!</definedName>
    <definedName name="__MDE68" localSheetId="3">#REF!</definedName>
    <definedName name="__MDE68">#REF!</definedName>
    <definedName name="__ME01">#REF!</definedName>
    <definedName name="__ME02">#REF!</definedName>
    <definedName name="__ME03">#REF!</definedName>
    <definedName name="__ME04">#REF!</definedName>
    <definedName name="__ME05">#REF!</definedName>
    <definedName name="__ME06">#REF!</definedName>
    <definedName name="__ME07">#REF!</definedName>
    <definedName name="__ME08">#REF!</definedName>
    <definedName name="__ME09">#REF!</definedName>
    <definedName name="__ME10">#REF!</definedName>
    <definedName name="__ME11">#REF!</definedName>
    <definedName name="__ME12">#REF!</definedName>
    <definedName name="__ME13">#REF!</definedName>
    <definedName name="__ME14">#REF!</definedName>
    <definedName name="__ME15">#REF!</definedName>
    <definedName name="__ME16">#REF!</definedName>
    <definedName name="__ME17">#REF!</definedName>
    <definedName name="__ME18">#REF!</definedName>
    <definedName name="__ME19">#REF!</definedName>
    <definedName name="__ME20">#REF!</definedName>
    <definedName name="__ME21">#REF!</definedName>
    <definedName name="__ME22">#REF!</definedName>
    <definedName name="__ME23">#REF!</definedName>
    <definedName name="__ME24">#REF!</definedName>
    <definedName name="__ME25">#REF!</definedName>
    <definedName name="__ME26">#REF!</definedName>
    <definedName name="__ME27">#REF!</definedName>
    <definedName name="__ME28">#REF!</definedName>
    <definedName name="__ME29">#REF!</definedName>
    <definedName name="__ME30">#REF!</definedName>
    <definedName name="__ME31">#REF!</definedName>
    <definedName name="__ME32">#REF!</definedName>
    <definedName name="__ME33">#REF!</definedName>
    <definedName name="__ME34">#REF!</definedName>
    <definedName name="__ME35" localSheetId="3">#REF!</definedName>
    <definedName name="__ME35">#REF!</definedName>
    <definedName name="__ME36" localSheetId="3">#REF!</definedName>
    <definedName name="__ME36">#REF!</definedName>
    <definedName name="__ME37" localSheetId="3">#REF!</definedName>
    <definedName name="__ME37">#REF!</definedName>
    <definedName name="__ME38" localSheetId="3">#REF!</definedName>
    <definedName name="__ME38">#REF!</definedName>
    <definedName name="__ME39" localSheetId="3">#REF!</definedName>
    <definedName name="__ME39">#REF!</definedName>
    <definedName name="__ME40" localSheetId="3">#REF!</definedName>
    <definedName name="__ME40">#REF!</definedName>
    <definedName name="__ME41" localSheetId="3">#REF!</definedName>
    <definedName name="__ME41">#REF!</definedName>
    <definedName name="__ME42" localSheetId="3">#REF!</definedName>
    <definedName name="__ME42">#REF!</definedName>
    <definedName name="__ME43" localSheetId="3">#REF!</definedName>
    <definedName name="__ME43">#REF!</definedName>
    <definedName name="__ME44" localSheetId="3">#REF!</definedName>
    <definedName name="__ME44">#REF!</definedName>
    <definedName name="__ME45" localSheetId="3">#REF!</definedName>
    <definedName name="__ME45">#REF!</definedName>
    <definedName name="__ME46" localSheetId="3">#REF!</definedName>
    <definedName name="__ME46">#REF!</definedName>
    <definedName name="__ME47" localSheetId="3">#REF!</definedName>
    <definedName name="__ME47">#REF!</definedName>
    <definedName name="__ME48" localSheetId="3">#REF!</definedName>
    <definedName name="__ME48">#REF!</definedName>
    <definedName name="__ME49" localSheetId="3">#REF!</definedName>
    <definedName name="__ME49">#REF!</definedName>
    <definedName name="__ME50" localSheetId="3">#REF!</definedName>
    <definedName name="__ME50">#REF!</definedName>
    <definedName name="__ME51" localSheetId="3">#REF!</definedName>
    <definedName name="__ME51">#REF!</definedName>
    <definedName name="__ME52" localSheetId="3">#REF!</definedName>
    <definedName name="__ME52">#REF!</definedName>
    <definedName name="__ME53" localSheetId="3">#REF!</definedName>
    <definedName name="__ME53">#REF!</definedName>
    <definedName name="__ME54" localSheetId="3">#REF!</definedName>
    <definedName name="__ME54">#REF!</definedName>
    <definedName name="__ME55" localSheetId="3">#REF!</definedName>
    <definedName name="__ME55">#REF!</definedName>
    <definedName name="__ME56" localSheetId="3">#REF!</definedName>
    <definedName name="__ME56">#REF!</definedName>
    <definedName name="__ME57" localSheetId="3">#REF!</definedName>
    <definedName name="__ME57">#REF!</definedName>
    <definedName name="__ME58" localSheetId="3">#REF!</definedName>
    <definedName name="__ME58">#REF!</definedName>
    <definedName name="__ME59" localSheetId="3">#REF!</definedName>
    <definedName name="__ME59">#REF!</definedName>
    <definedName name="__ME60" localSheetId="3">#REF!</definedName>
    <definedName name="__ME60">#REF!</definedName>
    <definedName name="__ME61" localSheetId="3">#REF!</definedName>
    <definedName name="__ME61">#REF!</definedName>
    <definedName name="__ME62" localSheetId="3">#REF!</definedName>
    <definedName name="__ME62">#REF!</definedName>
    <definedName name="__ME63" localSheetId="3">#REF!</definedName>
    <definedName name="__ME63">#REF!</definedName>
    <definedName name="__ME64" localSheetId="3">#REF!</definedName>
    <definedName name="__ME64">#REF!</definedName>
    <definedName name="__ME65" localSheetId="3">#REF!</definedName>
    <definedName name="__ME65">#REF!</definedName>
    <definedName name="__ME66" localSheetId="3">#REF!</definedName>
    <definedName name="__ME66">#REF!</definedName>
    <definedName name="__ME67" localSheetId="3">#REF!</definedName>
    <definedName name="__ME67">#REF!</definedName>
    <definedName name="__ME68" localSheetId="3">#REF!</definedName>
    <definedName name="__ME68">#REF!</definedName>
    <definedName name="__MMM04" localSheetId="3">#REF!</definedName>
    <definedName name="__MMM04">#REF!</definedName>
    <definedName name="__MMM08" localSheetId="3">#REF!</definedName>
    <definedName name="__MMM08">#REF!</definedName>
    <definedName name="__MMM09" localSheetId="3">#REF!</definedName>
    <definedName name="__MMM09">#REF!</definedName>
    <definedName name="__MMM39" localSheetId="3">#REF!</definedName>
    <definedName name="__MMM39">#REF!</definedName>
    <definedName name="__mu1" localSheetId="3">#REF!</definedName>
    <definedName name="__mu1">#REF!</definedName>
    <definedName name="__mu2" localSheetId="3">#REF!</definedName>
    <definedName name="__mu2">#REF!</definedName>
    <definedName name="__mul12" localSheetId="3">#REF!</definedName>
    <definedName name="__mul12">#REF!</definedName>
    <definedName name="__mul9" localSheetId="3">#REF!</definedName>
    <definedName name="__mul9">#REF!</definedName>
    <definedName name="__mvd1" localSheetId="3">#REF!</definedName>
    <definedName name="__mvd1">#REF!</definedName>
    <definedName name="__mvd2" localSheetId="3">#REF!</definedName>
    <definedName name="__mvd2">#REF!</definedName>
    <definedName name="__mvd3" localSheetId="3">#REF!</definedName>
    <definedName name="__mvd3">#REF!</definedName>
    <definedName name="__mvd4" localSheetId="3">#REF!</definedName>
    <definedName name="__mvd4">#REF!</definedName>
    <definedName name="__NCL100" localSheetId="3">#REF!</definedName>
    <definedName name="__NCL100">#REF!</definedName>
    <definedName name="__NCL200" localSheetId="3">#REF!</definedName>
    <definedName name="__NCL200">#REF!</definedName>
    <definedName name="__NCL250" localSheetId="3">#REF!</definedName>
    <definedName name="__NCL250">#REF!</definedName>
    <definedName name="__nin190" localSheetId="3">#REF!</definedName>
    <definedName name="__nin190">#REF!</definedName>
    <definedName name="__nym34" localSheetId="3">#REF!</definedName>
    <definedName name="__nym34">#REF!</definedName>
    <definedName name="__nym46" localSheetId="3">#REF!</definedName>
    <definedName name="__nym46">#REF!</definedName>
    <definedName name="__nyy2416" localSheetId="3">#REF!</definedName>
    <definedName name="__nyy2416">#REF!</definedName>
    <definedName name="__nyy244" localSheetId="3">#REF!</definedName>
    <definedName name="__nyy244">#REF!</definedName>
    <definedName name="__nyy246" localSheetId="3">#REF!</definedName>
    <definedName name="__nyy246">#REF!</definedName>
    <definedName name="__nyy34" localSheetId="3">#REF!</definedName>
    <definedName name="__nyy34">#REF!</definedName>
    <definedName name="__nyy410" localSheetId="3">#REF!</definedName>
    <definedName name="__nyy410">#REF!</definedName>
    <definedName name="__nyy41010" localSheetId="3">#REF!</definedName>
    <definedName name="__nyy41010">#REF!</definedName>
    <definedName name="__nyy412050" localSheetId="3">#REF!</definedName>
    <definedName name="__nyy412050">#REF!</definedName>
    <definedName name="__nyy412070" localSheetId="3">#REF!</definedName>
    <definedName name="__nyy412070">#REF!</definedName>
    <definedName name="__nyy415070" localSheetId="3">#REF!</definedName>
    <definedName name="__nyy415070">#REF!</definedName>
    <definedName name="__nyy416" localSheetId="3">#REF!</definedName>
    <definedName name="__nyy416">#REF!</definedName>
    <definedName name="__nyy41616" localSheetId="3">#REF!</definedName>
    <definedName name="__nyy41616">#REF!</definedName>
    <definedName name="__nyy42525" localSheetId="3">#REF!</definedName>
    <definedName name="__nyy42525">#REF!</definedName>
    <definedName name="__nyy43535" localSheetId="3">#REF!</definedName>
    <definedName name="__nyy43535">#REF!</definedName>
    <definedName name="__nyy44" localSheetId="3">#REF!</definedName>
    <definedName name="__nyy44">#REF!</definedName>
    <definedName name="__nyy444" localSheetId="3">#REF!</definedName>
    <definedName name="__nyy444">#REF!</definedName>
    <definedName name="__nyy45050" localSheetId="3">#REF!</definedName>
    <definedName name="__nyy45050">#REF!</definedName>
    <definedName name="__nyy46" localSheetId="3">#REF!</definedName>
    <definedName name="__nyy46">#REF!</definedName>
    <definedName name="__nyy466" localSheetId="3">#REF!</definedName>
    <definedName name="__nyy466">#REF!</definedName>
    <definedName name="__nyy47050" localSheetId="3">#REF!</definedName>
    <definedName name="__nyy47050">#REF!</definedName>
    <definedName name="__nyy47070" localSheetId="3">#REF!</definedName>
    <definedName name="__nyy47070">#REF!</definedName>
    <definedName name="__nyy49570" localSheetId="3">#REF!</definedName>
    <definedName name="__nyy49570">#REF!</definedName>
    <definedName name="__PA1" localSheetId="3">#REF!</definedName>
    <definedName name="__PA1">#REF!</definedName>
    <definedName name="__PA10" localSheetId="3">#REF!</definedName>
    <definedName name="__PA10">#REF!</definedName>
    <definedName name="__PA2" localSheetId="3">#REF!</definedName>
    <definedName name="__PA2">#REF!</definedName>
    <definedName name="__PA3" localSheetId="3">#REF!</definedName>
    <definedName name="__PA3">#REF!</definedName>
    <definedName name="__PA4" localSheetId="3">#REF!</definedName>
    <definedName name="__PA4">#REF!</definedName>
    <definedName name="__PA5" localSheetId="3">#REF!</definedName>
    <definedName name="__PA5">#REF!</definedName>
    <definedName name="__PA6" localSheetId="3">#REF!</definedName>
    <definedName name="__PA6">#REF!</definedName>
    <definedName name="__PA7" localSheetId="3">#REF!</definedName>
    <definedName name="__PA7">#REF!</definedName>
    <definedName name="__PA8" localSheetId="3">#REF!</definedName>
    <definedName name="__PA8">#REF!</definedName>
    <definedName name="__PA9" localSheetId="3">#REF!</definedName>
    <definedName name="__PA9">#REF!</definedName>
    <definedName name="__pab125" localSheetId="3">#REF!</definedName>
    <definedName name="__pab125">#REF!</definedName>
    <definedName name="__pab126" localSheetId="3">#REF!</definedName>
    <definedName name="__pab126">#REF!</definedName>
    <definedName name="__pab65" localSheetId="3">#REF!</definedName>
    <definedName name="__pab65">#REF!</definedName>
    <definedName name="__PB1" localSheetId="3">#REF!</definedName>
    <definedName name="__PB1">#REF!</definedName>
    <definedName name="__PB2" localSheetId="3">#REF!</definedName>
    <definedName name="__PB2">#REF!</definedName>
    <definedName name="__PB3" localSheetId="3">#REF!</definedName>
    <definedName name="__PB3">#REF!</definedName>
    <definedName name="__pb34" localSheetId="3">#REF!</definedName>
    <definedName name="__pb34">#REF!</definedName>
    <definedName name="__pb4" localSheetId="3">#REF!</definedName>
    <definedName name="__pb4">#REF!</definedName>
    <definedName name="__pbf3" localSheetId="3">#REF!</definedName>
    <definedName name="__pbf3">#REF!</definedName>
    <definedName name="__pbf4" localSheetId="3">#REF!</definedName>
    <definedName name="__pbf4">#REF!</definedName>
    <definedName name="__PBK175" localSheetId="3">#REF!</definedName>
    <definedName name="__PBK175">#REF!</definedName>
    <definedName name="__PBK225" localSheetId="3">#REF!</definedName>
    <definedName name="__PBK225">#REF!</definedName>
    <definedName name="__pbs100" localSheetId="3">#REF!</definedName>
    <definedName name="__pbs100">#REF!</definedName>
    <definedName name="__pbs15" localSheetId="3">#REF!</definedName>
    <definedName name="__pbs15">#REF!</definedName>
    <definedName name="__pbs150" localSheetId="3">#REF!</definedName>
    <definedName name="__pbs150">#REF!</definedName>
    <definedName name="__pbs40" localSheetId="3">#REF!</definedName>
    <definedName name="__pbs40">#REF!</definedName>
    <definedName name="__pbs50" localSheetId="3">#REF!</definedName>
    <definedName name="__pbs50">#REF!</definedName>
    <definedName name="__pbs65" localSheetId="3">#REF!</definedName>
    <definedName name="__pbs65">#REF!</definedName>
    <definedName name="__pbs80" localSheetId="3">#REF!</definedName>
    <definedName name="__pbs80">#REF!</definedName>
    <definedName name="__pc1" localSheetId="3">#REF!</definedName>
    <definedName name="__pc1">#REF!</definedName>
    <definedName name="__pc10" localSheetId="3">#REF!</definedName>
    <definedName name="__pc10">#REF!</definedName>
    <definedName name="__pc12" localSheetId="3">#REF!</definedName>
    <definedName name="__pc12">#REF!</definedName>
    <definedName name="__pc2" localSheetId="3">#REF!</definedName>
    <definedName name="__pc2">#REF!</definedName>
    <definedName name="__pc3" localSheetId="3">#REF!</definedName>
    <definedName name="__pc3">#REF!</definedName>
    <definedName name="__pc4" localSheetId="3">#REF!</definedName>
    <definedName name="__pc4">#REF!</definedName>
    <definedName name="__PC450" localSheetId="3">#REF!</definedName>
    <definedName name="__PC450">#REF!</definedName>
    <definedName name="__pc5" localSheetId="3">#REF!</definedName>
    <definedName name="__pc5">#REF!</definedName>
    <definedName name="__pc6" localSheetId="3">#REF!</definedName>
    <definedName name="__pc6">#REF!</definedName>
    <definedName name="__PC600" localSheetId="3">#REF!</definedName>
    <definedName name="__PC600">#REF!</definedName>
    <definedName name="__pc8" localSheetId="3">#REF!</definedName>
    <definedName name="__pc8">#REF!</definedName>
    <definedName name="__PCD10" localSheetId="3">#REF!</definedName>
    <definedName name="__PCD10">#REF!</definedName>
    <definedName name="__PCD3" localSheetId="3">#REF!</definedName>
    <definedName name="__PCD3">#REF!</definedName>
    <definedName name="__PCD6" localSheetId="3">#REF!</definedName>
    <definedName name="__PCD6">#REF!</definedName>
    <definedName name="__PCD8" localSheetId="3">#REF!</definedName>
    <definedName name="__PCD8">#REF!</definedName>
    <definedName name="__pcf10" localSheetId="3">#REF!</definedName>
    <definedName name="__pcf10">#REF!</definedName>
    <definedName name="__pcf12" localSheetId="3">#REF!</definedName>
    <definedName name="__pcf12">#REF!</definedName>
    <definedName name="__pcf3" localSheetId="3">#REF!</definedName>
    <definedName name="__pcf3">#REF!</definedName>
    <definedName name="__pcf4" localSheetId="3">#REF!</definedName>
    <definedName name="__pcf4">#REF!</definedName>
    <definedName name="__pcf5" localSheetId="3">#REF!</definedName>
    <definedName name="__pcf5">#REF!</definedName>
    <definedName name="__pcf6" localSheetId="3">#REF!</definedName>
    <definedName name="__pcf6">#REF!</definedName>
    <definedName name="__pcf8" localSheetId="3">#REF!</definedName>
    <definedName name="__pcf8">#REF!</definedName>
    <definedName name="__pd1" localSheetId="3">#REF!</definedName>
    <definedName name="__pd1">#REF!</definedName>
    <definedName name="__pd2" localSheetId="3">#REF!</definedName>
    <definedName name="__pd2">#REF!</definedName>
    <definedName name="__pd3" localSheetId="3">#REF!</definedName>
    <definedName name="__pd3">#REF!</definedName>
    <definedName name="__pdf3" localSheetId="3">#REF!</definedName>
    <definedName name="__pdf3">#REF!</definedName>
    <definedName name="__PJ2" localSheetId="3">#REF!</definedName>
    <definedName name="__PJ2">#REF!</definedName>
    <definedName name="__PJ3" localSheetId="3">#REF!</definedName>
    <definedName name="__PJ3">#REF!</definedName>
    <definedName name="__PL1" localSheetId="3">#REF!</definedName>
    <definedName name="__PL1">#REF!</definedName>
    <definedName name="__PL2" localSheetId="3">#REF!</definedName>
    <definedName name="__PL2">#REF!</definedName>
    <definedName name="__PL3" localSheetId="3">#REF!</definedName>
    <definedName name="__PL3">#REF!</definedName>
    <definedName name="__ply3">[10]BAHAN!#REF!</definedName>
    <definedName name="__ply4">[10]BAHAN!#REF!</definedName>
    <definedName name="__ply6">[10]BAHAN!#REF!</definedName>
    <definedName name="__po1000" localSheetId="3">#REF!</definedName>
    <definedName name="__po1000">#REF!</definedName>
    <definedName name="__por4040" localSheetId="3">#REF!</definedName>
    <definedName name="__por4040">#REF!</definedName>
    <definedName name="__pvc05" localSheetId="3">#REF!</definedName>
    <definedName name="__pvc05">#REF!</definedName>
    <definedName name="__pvc1" localSheetId="3">#REF!</definedName>
    <definedName name="__PVC1">#REF!</definedName>
    <definedName name="__pvc105" localSheetId="3">#REF!</definedName>
    <definedName name="__pvc105">#REF!</definedName>
    <definedName name="__pvc2" localSheetId="3">#REF!</definedName>
    <definedName name="__PVC2">#REF!</definedName>
    <definedName name="__pvc212" localSheetId="3">#REF!</definedName>
    <definedName name="__pvc212">#REF!</definedName>
    <definedName name="__pvc3" localSheetId="2">#REF!</definedName>
    <definedName name="__pvc3" localSheetId="3">#REF!</definedName>
    <definedName name="__pvc3">[10]BAHAN!#REF!</definedName>
    <definedName name="__pvc4" localSheetId="3">#REF!</definedName>
    <definedName name="__PVC4">#REF!</definedName>
    <definedName name="__PVC6">#REF!</definedName>
    <definedName name="__QS1" localSheetId="3">#REF!</definedName>
    <definedName name="__QS1">#REF!</definedName>
    <definedName name="__QS10" localSheetId="3">#REF!</definedName>
    <definedName name="__QS10">#REF!</definedName>
    <definedName name="__QS11" localSheetId="3">#REF!</definedName>
    <definedName name="__QS11">#REF!</definedName>
    <definedName name="__QS12" localSheetId="3">#REF!</definedName>
    <definedName name="__QS12">#REF!</definedName>
    <definedName name="__QS13" localSheetId="3">#REF!</definedName>
    <definedName name="__QS13">#REF!</definedName>
    <definedName name="__QS14" localSheetId="3">#REF!</definedName>
    <definedName name="__QS14">#REF!</definedName>
    <definedName name="__QS15" localSheetId="3">#REF!</definedName>
    <definedName name="__QS15">#REF!</definedName>
    <definedName name="__QS16" localSheetId="3">#REF!</definedName>
    <definedName name="__QS16">#REF!</definedName>
    <definedName name="__QS17" localSheetId="3">#REF!</definedName>
    <definedName name="__QS17">#REF!</definedName>
    <definedName name="__QS18" localSheetId="3">#REF!</definedName>
    <definedName name="__QS18">#REF!</definedName>
    <definedName name="__QS19" localSheetId="3">#REF!</definedName>
    <definedName name="__QS19">#REF!</definedName>
    <definedName name="__QS2" localSheetId="3">#REF!</definedName>
    <definedName name="__QS2">#REF!</definedName>
    <definedName name="__QS20" localSheetId="3">#REF!</definedName>
    <definedName name="__QS20">#REF!</definedName>
    <definedName name="__QS21" localSheetId="3">#REF!</definedName>
    <definedName name="__QS21">#REF!</definedName>
    <definedName name="__QS3" localSheetId="3">#REF!</definedName>
    <definedName name="__QS3">#REF!</definedName>
    <definedName name="__QS4" localSheetId="3">#REF!</definedName>
    <definedName name="__QS4">#REF!</definedName>
    <definedName name="__QS5" localSheetId="3">#REF!</definedName>
    <definedName name="__QS5">#REF!</definedName>
    <definedName name="__QS6" localSheetId="3">#REF!</definedName>
    <definedName name="__QS6">#REF!</definedName>
    <definedName name="__QS7" localSheetId="3">#REF!</definedName>
    <definedName name="__QS7">#REF!</definedName>
    <definedName name="__QS8" localSheetId="3">#REF!</definedName>
    <definedName name="__QS8">#REF!</definedName>
    <definedName name="__QS9" localSheetId="3">#REF!</definedName>
    <definedName name="__QS9">#REF!</definedName>
    <definedName name="__rbf2" localSheetId="3">#REF!</definedName>
    <definedName name="__rbf2">#REF!</definedName>
    <definedName name="__rbf3" localSheetId="3">#REF!</definedName>
    <definedName name="__rbf3">#REF!</definedName>
    <definedName name="__rbf4" localSheetId="3">#REF!</definedName>
    <definedName name="__rbf4">#REF!</definedName>
    <definedName name="__rd1" localSheetId="3">#REF!</definedName>
    <definedName name="__rd1">#REF!</definedName>
    <definedName name="__rd2" localSheetId="3">#REF!</definedName>
    <definedName name="__rd2">#REF!</definedName>
    <definedName name="__rd3" localSheetId="3">#REF!</definedName>
    <definedName name="__rd3">#REF!</definedName>
    <definedName name="__rd4" localSheetId="3">#REF!</definedName>
    <definedName name="__rd4">#REF!</definedName>
    <definedName name="__rd6" localSheetId="3">#REF!</definedName>
    <definedName name="__rd6">#REF!</definedName>
    <definedName name="__rd8" localSheetId="3">#REF!</definedName>
    <definedName name="__rd8">#REF!</definedName>
    <definedName name="__rk100" localSheetId="3">#REF!</definedName>
    <definedName name="__rk100">#REF!</definedName>
    <definedName name="__rk150" localSheetId="3">#REF!</definedName>
    <definedName name="__rk150">#REF!</definedName>
    <definedName name="__rk200" localSheetId="3">#REF!</definedName>
    <definedName name="__rk200">#REF!</definedName>
    <definedName name="__rk300" localSheetId="3">#REF!</definedName>
    <definedName name="__rk300">#REF!</definedName>
    <definedName name="__rk400" localSheetId="3">#REF!</definedName>
    <definedName name="__rk400">#REF!</definedName>
    <definedName name="__rk500" localSheetId="3">#REF!</definedName>
    <definedName name="__rk500">#REF!</definedName>
    <definedName name="__rk600" localSheetId="3">#REF!</definedName>
    <definedName name="__rk600">#REF!</definedName>
    <definedName name="__rkl1000" localSheetId="3">#REF!</definedName>
    <definedName name="__rkl1000">#REF!</definedName>
    <definedName name="__rkl1200" localSheetId="3">#REF!</definedName>
    <definedName name="__rkl1200">#REF!</definedName>
    <definedName name="__rkl200" localSheetId="3">#REF!</definedName>
    <definedName name="__rkl200">#REF!</definedName>
    <definedName name="__rkl300" localSheetId="3">#REF!</definedName>
    <definedName name="__rkl300">#REF!</definedName>
    <definedName name="__rkl400" localSheetId="3">#REF!</definedName>
    <definedName name="__rkl400">#REF!</definedName>
    <definedName name="__rkl500" localSheetId="3">#REF!</definedName>
    <definedName name="__rkl500">#REF!</definedName>
    <definedName name="__rkl600" localSheetId="3">#REF!</definedName>
    <definedName name="__rkl600">#REF!</definedName>
    <definedName name="__rkl700" localSheetId="3">#REF!</definedName>
    <definedName name="__rkl700">#REF!</definedName>
    <definedName name="__rkl800" localSheetId="3">#REF!</definedName>
    <definedName name="__rkl800">#REF!</definedName>
    <definedName name="__SAK1">#REF!</definedName>
    <definedName name="__sc1" localSheetId="3">#REF!</definedName>
    <definedName name="__sc1">#REF!</definedName>
    <definedName name="__SC2" localSheetId="3">#REF!</definedName>
    <definedName name="__SC2">#REF!</definedName>
    <definedName name="__sc3" localSheetId="3">#REF!</definedName>
    <definedName name="__sc3">#REF!</definedName>
    <definedName name="__sfv150" localSheetId="3">#REF!</definedName>
    <definedName name="__sfv150">#REF!</definedName>
    <definedName name="__sh1040" localSheetId="3">#REF!</definedName>
    <definedName name="__sh1040">#REF!</definedName>
    <definedName name="__SN3" localSheetId="3">#REF!</definedName>
    <definedName name="__SN3">#REF!</definedName>
    <definedName name="__st1" localSheetId="3">#REF!</definedName>
    <definedName name="__st1">#REF!</definedName>
    <definedName name="__st2" localSheetId="3">#REF!</definedName>
    <definedName name="__st2">#REF!</definedName>
    <definedName name="__st3" localSheetId="3">#REF!</definedName>
    <definedName name="__st3">#REF!</definedName>
    <definedName name="__std100" localSheetId="3">#REF!</definedName>
    <definedName name="__std100">#REF!</definedName>
    <definedName name="__std150" localSheetId="3">#REF!</definedName>
    <definedName name="__std150">#REF!</definedName>
    <definedName name="__std2" localSheetId="3">#REF!</definedName>
    <definedName name="__std2">#REF!</definedName>
    <definedName name="__std3" localSheetId="3">#REF!</definedName>
    <definedName name="__std3">#REF!</definedName>
    <definedName name="__std4" localSheetId="3">#REF!</definedName>
    <definedName name="__std4">#REF!</definedName>
    <definedName name="__std50" localSheetId="3">#REF!</definedName>
    <definedName name="__std50">#REF!</definedName>
    <definedName name="__std65" localSheetId="3">#REF!</definedName>
    <definedName name="__std65">#REF!</definedName>
    <definedName name="__T916889" localSheetId="3">#REF!</definedName>
    <definedName name="__T916889">#REF!</definedName>
    <definedName name="__TA01" localSheetId="3">#REF!</definedName>
    <definedName name="__TA01">#REF!</definedName>
    <definedName name="__TA67" localSheetId="3">#REF!</definedName>
    <definedName name="__TA67">#REF!</definedName>
    <definedName name="__TA78" localSheetId="3">#REF!</definedName>
    <definedName name="__TA78">#REF!</definedName>
    <definedName name="__TA89" localSheetId="3">#REF!</definedName>
    <definedName name="__TA89">#REF!</definedName>
    <definedName name="__TA90" localSheetId="3">#REF!</definedName>
    <definedName name="__TA90">#REF!</definedName>
    <definedName name="__ti100" localSheetId="3">#REF!</definedName>
    <definedName name="__ti100">#REF!</definedName>
    <definedName name="__ti120" localSheetId="3">#REF!</definedName>
    <definedName name="__ti120">#REF!</definedName>
    <definedName name="__ti50" localSheetId="3">#REF!</definedName>
    <definedName name="__ti50">#REF!</definedName>
    <definedName name="__ti60" localSheetId="3">#REF!</definedName>
    <definedName name="__ti60">#REF!</definedName>
    <definedName name="__ti80" localSheetId="3">#REF!</definedName>
    <definedName name="__ti80">#REF!</definedName>
    <definedName name="__TL1" localSheetId="3">#REF!</definedName>
    <definedName name="__TL1">#REF!</definedName>
    <definedName name="__tl120" localSheetId="3">#REF!</definedName>
    <definedName name="__tl120">#REF!</definedName>
    <definedName name="__tl140" localSheetId="3">#REF!</definedName>
    <definedName name="__tl140">#REF!</definedName>
    <definedName name="__TL2" localSheetId="3">#REF!</definedName>
    <definedName name="__TL2">#REF!</definedName>
    <definedName name="__TL240" localSheetId="3">#REF!</definedName>
    <definedName name="__TL240">#REF!</definedName>
    <definedName name="__TL3" localSheetId="3">#REF!</definedName>
    <definedName name="__TL3">#REF!</definedName>
    <definedName name="__TLA120" localSheetId="3">#REF!</definedName>
    <definedName name="__TLA120">#REF!</definedName>
    <definedName name="__TLA35" localSheetId="3">#REF!</definedName>
    <definedName name="__TLA35">#REF!</definedName>
    <definedName name="__TLA50" localSheetId="3">#REF!</definedName>
    <definedName name="__TLA50">#REF!</definedName>
    <definedName name="__TLA70" localSheetId="3">#REF!</definedName>
    <definedName name="__TLA70">#REF!</definedName>
    <definedName name="__TLA95" localSheetId="3">#REF!</definedName>
    <definedName name="__TLA95">#REF!</definedName>
    <definedName name="__tlc20" localSheetId="3">#REF!</definedName>
    <definedName name="__tlc20">#REF!</definedName>
    <definedName name="__tsv25" localSheetId="3">#REF!</definedName>
    <definedName name="__tsv25">#REF!</definedName>
    <definedName name="__uls60" localSheetId="3">#REF!</definedName>
    <definedName name="__uls60">#REF!</definedName>
    <definedName name="__utd1" localSheetId="3">#REF!</definedName>
    <definedName name="__utd1">#REF!</definedName>
    <definedName name="__utd2" localSheetId="3">#REF!</definedName>
    <definedName name="__utd2">#REF!</definedName>
    <definedName name="__utd3" localSheetId="3">#REF!</definedName>
    <definedName name="__utd3">#REF!</definedName>
    <definedName name="__vcd2" localSheetId="3">#REF!</definedName>
    <definedName name="__vcd2">#REF!</definedName>
    <definedName name="__vcd3" localSheetId="3">#REF!</definedName>
    <definedName name="__vcd3">#REF!</definedName>
    <definedName name="__vcd4" localSheetId="3">#REF!</definedName>
    <definedName name="__vcd4">#REF!</definedName>
    <definedName name="__VL100" localSheetId="3">#REF!</definedName>
    <definedName name="__VL100">#REF!</definedName>
    <definedName name="__VL200" localSheetId="3">#REF!</definedName>
    <definedName name="__VL200">#REF!</definedName>
    <definedName name="__VL250" localSheetId="3">#REF!</definedName>
    <definedName name="__VL250">#REF!</definedName>
    <definedName name="__WC1" localSheetId="3">#REF!</definedName>
    <definedName name="__WC1">#REF!</definedName>
    <definedName name="__WC2" localSheetId="3">#REF!</definedName>
    <definedName name="__WC2">#REF!</definedName>
    <definedName name="__WC3" localSheetId="3">#REF!</definedName>
    <definedName name="__WC3">#REF!</definedName>
    <definedName name="__we3" localSheetId="3">#REF!</definedName>
    <definedName name="__we3">#REF!</definedName>
    <definedName name="_0" localSheetId="2">'[11]1_boq'!#REF!</definedName>
    <definedName name="_0" localSheetId="3">'[11]1_boq'!#REF!</definedName>
    <definedName name="_0">'[12]1_boq'!#REF!</definedName>
    <definedName name="_1">#N/A</definedName>
    <definedName name="_1.2_MOBIL">[1]A!$W$5:$AD$54</definedName>
    <definedName name="_1__123Graph_AG_FLOW" localSheetId="2" hidden="1">[6]TJ1Q47!$H$7:$H$31</definedName>
    <definedName name="_1__123Graph_AG_FLOW" localSheetId="3" hidden="1">[6]TJ1Q47!$H$7:$H$31</definedName>
    <definedName name="_10" localSheetId="2">#REF!</definedName>
    <definedName name="_10" localSheetId="3">#REF!</definedName>
    <definedName name="_10">#REF!</definedName>
    <definedName name="_10_10">[1]A!$AG$407:$AM$436</definedName>
    <definedName name="_10000" localSheetId="3">#REF!</definedName>
    <definedName name="_10000">#REF!</definedName>
    <definedName name="_11" localSheetId="3">#REF!</definedName>
    <definedName name="_11">#REF!</definedName>
    <definedName name="_12" localSheetId="3">#REF!</definedName>
    <definedName name="_12">#REF!</definedName>
    <definedName name="_13" localSheetId="3">#REF!</definedName>
    <definedName name="_13">#REF!</definedName>
    <definedName name="_14" localSheetId="3">#REF!</definedName>
    <definedName name="_14">#REF!</definedName>
    <definedName name="_15" localSheetId="3">#REF!</definedName>
    <definedName name="_15">#REF!</definedName>
    <definedName name="_16" localSheetId="3">#REF!</definedName>
    <definedName name="_16">#REF!</definedName>
    <definedName name="_17" localSheetId="3">#REF!</definedName>
    <definedName name="_17">#REF!</definedName>
    <definedName name="_18" localSheetId="3">#REF!</definedName>
    <definedName name="_18">#REF!</definedName>
    <definedName name="_19" localSheetId="3">#REF!</definedName>
    <definedName name="_19">#REF!</definedName>
    <definedName name="_2">#N/A</definedName>
    <definedName name="_2__123Graph_AG_KUM" localSheetId="2" hidden="1">[6]TJ1Q47!$N$7:$N$31</definedName>
    <definedName name="_2__123Graph_AG_KUM" localSheetId="3" hidden="1">[6]TJ1Q47!$N$7:$N$31</definedName>
    <definedName name="_2_0_HARSAT">[1]A!$Q$1:$U$62</definedName>
    <definedName name="_2_10">[1]A!$AG$2:$AM$49</definedName>
    <definedName name="_2_2A">[1]A!$W$1103:$AD$1168</definedName>
    <definedName name="_2_2B">[1]A!#REF!</definedName>
    <definedName name="_2_2C">[1]A!#REF!</definedName>
    <definedName name="_2_2D">[1]A!$AW$222:$IV$8192</definedName>
    <definedName name="_2_2E">[1]A!#REF!</definedName>
    <definedName name="_2_2F">[1]A!$W$700:$AD$761</definedName>
    <definedName name="_2_2G">[1]A!$W$935:$AD$995</definedName>
    <definedName name="_2_2H">[1]A!$W$854:$AD$916</definedName>
    <definedName name="_2A_2">[1]A!$W$78:$AD$123</definedName>
    <definedName name="_2CSTON2_3" localSheetId="3">#REF!</definedName>
    <definedName name="_2CSTON2_3">#REF!</definedName>
    <definedName name="_3">#N/A</definedName>
    <definedName name="_3__123Graph_BG_FLOW" localSheetId="2" hidden="1">[6]TJ1Q47!$F$7:$F$31</definedName>
    <definedName name="_3__123Graph_BG_FLOW" localSheetId="3" hidden="1">[6]TJ1Q47!$F$7:$F$31</definedName>
    <definedName name="_3_10">[1]A!$AG$74:$IV$8192</definedName>
    <definedName name="_345" localSheetId="2">#REF!</definedName>
    <definedName name="_345" localSheetId="3">#REF!</definedName>
    <definedName name="_345">#REF!</definedName>
    <definedName name="_4">#N/A</definedName>
    <definedName name="_4__123Graph_BG_KUM" localSheetId="2" hidden="1">[6]TJ1Q47!$L$7:$L$31</definedName>
    <definedName name="_4__123Graph_BG_KUM" localSheetId="3" hidden="1">[6]TJ1Q47!$L$7:$L$31</definedName>
    <definedName name="_4_10">[1]A!$AM$140:$IV$8192</definedName>
    <definedName name="_4CSTON2_3">#REF!</definedName>
    <definedName name="_5">#N/A</definedName>
    <definedName name="_5__123Graph_CG_KUM" localSheetId="2" hidden="1">[6]TJ1Q47!$J$7:$J$31</definedName>
    <definedName name="_5__123Graph_CG_KUM" localSheetId="3" hidden="1">[6]TJ1Q47!$J$7:$J$31</definedName>
    <definedName name="_5_10">[1]A!$AG$146:$IV$8192</definedName>
    <definedName name="_5000">#REF!</definedName>
    <definedName name="_6">#N/A</definedName>
    <definedName name="_6__123Graph_XG_FLOW" localSheetId="2" hidden="1">[6]TJ1Q47!$B$7:$B$31</definedName>
    <definedName name="_6__123Graph_XG_FLOW" localSheetId="3" hidden="1">[6]TJ1Q47!$B$7:$B$31</definedName>
    <definedName name="_6_10">[1]A!#REF!</definedName>
    <definedName name="_67" localSheetId="2">#REF!</definedName>
    <definedName name="_67" localSheetId="3">#REF!</definedName>
    <definedName name="_67">#REF!</definedName>
    <definedName name="_7" localSheetId="3">#REF!</definedName>
    <definedName name="_7">#REF!</definedName>
    <definedName name="_7.1__2" localSheetId="2">#REF!</definedName>
    <definedName name="_7.1__2" localSheetId="3">#REF!</definedName>
    <definedName name="_7.1__2">'[13]D7(1)'!#REF!</definedName>
    <definedName name="_7__123Graph_XG_KUM" localSheetId="2" hidden="1">[6]TJ1Q47!$B$7:$B$31</definedName>
    <definedName name="_7__123Graph_XG_KUM" localSheetId="3" hidden="1">[6]TJ1Q47!$B$7:$B$31</definedName>
    <definedName name="_7_10">[1]A!$AG$243:$AM$295</definedName>
    <definedName name="_8" localSheetId="2">#REF!</definedName>
    <definedName name="_8" localSheetId="3">#REF!</definedName>
    <definedName name="_8">#REF!</definedName>
    <definedName name="_8.1__1">#REF!</definedName>
    <definedName name="_8_10">[1]A!#REF!</definedName>
    <definedName name="_8000" localSheetId="3">#REF!</definedName>
    <definedName name="_8000">#REF!</definedName>
    <definedName name="_9" localSheetId="3">#REF!</definedName>
    <definedName name="_9">#REF!</definedName>
    <definedName name="_9_10">[1]A!$AG$290:$IV$8192</definedName>
    <definedName name="_a" localSheetId="2">#REF!</definedName>
    <definedName name="_a" localSheetId="3">#REF!</definedName>
    <definedName name="_a" localSheetId="11">#REF!</definedName>
    <definedName name="_a">#REF!</definedName>
    <definedName name="_aaa1" localSheetId="2">#REF!</definedName>
    <definedName name="_aaa1" localSheetId="3">#REF!</definedName>
    <definedName name="_aaa1">#REF!</definedName>
    <definedName name="_AMD5">'[14]6th'!$O$13:$O$528</definedName>
    <definedName name="_ana1" localSheetId="3">#REF!</definedName>
    <definedName name="_ana1">#REF!</definedName>
    <definedName name="_ana10" localSheetId="3">#REF!</definedName>
    <definedName name="_ana10">#REF!</definedName>
    <definedName name="_ana100" localSheetId="3">#REF!</definedName>
    <definedName name="_ana100">#REF!</definedName>
    <definedName name="_ana101" localSheetId="3">#REF!</definedName>
    <definedName name="_ana101">#REF!</definedName>
    <definedName name="_ana102" localSheetId="3">#REF!</definedName>
    <definedName name="_ana102">#REF!</definedName>
    <definedName name="_ana103" localSheetId="3">#REF!</definedName>
    <definedName name="_ana103">#REF!</definedName>
    <definedName name="_ana104" localSheetId="3">#REF!</definedName>
    <definedName name="_ana104">#REF!</definedName>
    <definedName name="_ana105" localSheetId="3">#REF!</definedName>
    <definedName name="_ana105">#REF!</definedName>
    <definedName name="_ana106" localSheetId="3">#REF!</definedName>
    <definedName name="_ana106">#REF!</definedName>
    <definedName name="_ana107" localSheetId="3">#REF!</definedName>
    <definedName name="_ana107">#REF!</definedName>
    <definedName name="_ana108" localSheetId="3">#REF!</definedName>
    <definedName name="_ana108">#REF!</definedName>
    <definedName name="_ana109" localSheetId="3">#REF!</definedName>
    <definedName name="_ana109">#REF!</definedName>
    <definedName name="_ana11" localSheetId="3">#REF!</definedName>
    <definedName name="_ana11">#REF!</definedName>
    <definedName name="_ana110" localSheetId="3">#REF!</definedName>
    <definedName name="_ana110">#REF!</definedName>
    <definedName name="_ana111" localSheetId="3">#REF!</definedName>
    <definedName name="_ana111">#REF!</definedName>
    <definedName name="_ana112" localSheetId="3">#REF!</definedName>
    <definedName name="_ana112">#REF!</definedName>
    <definedName name="_ana113" localSheetId="3">#REF!</definedName>
    <definedName name="_ana113">#REF!</definedName>
    <definedName name="_ana114" localSheetId="3">#REF!</definedName>
    <definedName name="_ana114">#REF!</definedName>
    <definedName name="_ana115" localSheetId="3">#REF!</definedName>
    <definedName name="_ana115">#REF!</definedName>
    <definedName name="_ana116" localSheetId="3">#REF!</definedName>
    <definedName name="_ana116">#REF!</definedName>
    <definedName name="_ana117" localSheetId="3">#REF!</definedName>
    <definedName name="_ana117">#REF!</definedName>
    <definedName name="_ana118" localSheetId="3">#REF!</definedName>
    <definedName name="_ana118">#REF!</definedName>
    <definedName name="_ana119" localSheetId="3">#REF!</definedName>
    <definedName name="_ana119">#REF!</definedName>
    <definedName name="_ana12" localSheetId="3">#REF!</definedName>
    <definedName name="_ana12">#REF!</definedName>
    <definedName name="_ana120" localSheetId="3">#REF!</definedName>
    <definedName name="_ana120">#REF!</definedName>
    <definedName name="_ana121" localSheetId="3">#REF!</definedName>
    <definedName name="_ana121">#REF!</definedName>
    <definedName name="_ana122" localSheetId="3">#REF!</definedName>
    <definedName name="_ana122">#REF!</definedName>
    <definedName name="_ana123" localSheetId="3">#REF!</definedName>
    <definedName name="_ana123">#REF!</definedName>
    <definedName name="_ana124" localSheetId="3">#REF!</definedName>
    <definedName name="_ana124">#REF!</definedName>
    <definedName name="_ana13" localSheetId="3">#REF!</definedName>
    <definedName name="_ana13">#REF!</definedName>
    <definedName name="_ana14" localSheetId="3">#REF!</definedName>
    <definedName name="_ana14">#REF!</definedName>
    <definedName name="_ana15" localSheetId="3">#REF!</definedName>
    <definedName name="_ana15">#REF!</definedName>
    <definedName name="_ana16" localSheetId="3">#REF!</definedName>
    <definedName name="_ana16">#REF!</definedName>
    <definedName name="_ana17" localSheetId="3">#REF!</definedName>
    <definedName name="_ana17">#REF!</definedName>
    <definedName name="_ana18" localSheetId="3">#REF!</definedName>
    <definedName name="_ana18">#REF!</definedName>
    <definedName name="_ana19" localSheetId="3">#REF!</definedName>
    <definedName name="_ana19">#REF!</definedName>
    <definedName name="_ana2" localSheetId="3">#REF!</definedName>
    <definedName name="_ana2">#REF!</definedName>
    <definedName name="_ana20" localSheetId="3">#REF!</definedName>
    <definedName name="_ana20">#REF!</definedName>
    <definedName name="_ana21" localSheetId="3">#REF!</definedName>
    <definedName name="_ana21">#REF!</definedName>
    <definedName name="_ana22" localSheetId="3">#REF!</definedName>
    <definedName name="_ana22">#REF!</definedName>
    <definedName name="_ana23" localSheetId="3">#REF!</definedName>
    <definedName name="_ana23">#REF!</definedName>
    <definedName name="_ana24" localSheetId="3">#REF!</definedName>
    <definedName name="_ana24">#REF!</definedName>
    <definedName name="_ana25" localSheetId="3">#REF!</definedName>
    <definedName name="_ana25">#REF!</definedName>
    <definedName name="_ana26" localSheetId="3">#REF!</definedName>
    <definedName name="_ana26">#REF!</definedName>
    <definedName name="_ana27" localSheetId="3">#REF!</definedName>
    <definedName name="_ana27">#REF!</definedName>
    <definedName name="_ana28" localSheetId="3">#REF!</definedName>
    <definedName name="_ana28">#REF!</definedName>
    <definedName name="_ana29" localSheetId="3">#REF!</definedName>
    <definedName name="_ana29">#REF!</definedName>
    <definedName name="_ana3" localSheetId="3">#REF!</definedName>
    <definedName name="_ana3">#REF!</definedName>
    <definedName name="_ana30" localSheetId="3">#REF!</definedName>
    <definedName name="_ana30">#REF!</definedName>
    <definedName name="_ana31" localSheetId="3">#REF!</definedName>
    <definedName name="_ana31">#REF!</definedName>
    <definedName name="_ana32" localSheetId="3">#REF!</definedName>
    <definedName name="_ana32">#REF!</definedName>
    <definedName name="_ana33" localSheetId="3">#REF!</definedName>
    <definedName name="_ana33">#REF!</definedName>
    <definedName name="_ana34" localSheetId="3">#REF!</definedName>
    <definedName name="_ana34">#REF!</definedName>
    <definedName name="_ana35" localSheetId="3">#REF!</definedName>
    <definedName name="_ana35">#REF!</definedName>
    <definedName name="_ana36" localSheetId="3">#REF!</definedName>
    <definedName name="_ana36">#REF!</definedName>
    <definedName name="_ana37" localSheetId="3">#REF!</definedName>
    <definedName name="_ana37">#REF!</definedName>
    <definedName name="_ana38" localSheetId="3">#REF!</definedName>
    <definedName name="_ana38">#REF!</definedName>
    <definedName name="_ana39" localSheetId="3">#REF!</definedName>
    <definedName name="_ana39">#REF!</definedName>
    <definedName name="_ana4" localSheetId="3">#REF!</definedName>
    <definedName name="_ana4">#REF!</definedName>
    <definedName name="_ana40" localSheetId="3">#REF!</definedName>
    <definedName name="_ana40">#REF!</definedName>
    <definedName name="_ana41" localSheetId="3">#REF!</definedName>
    <definedName name="_ana41">#REF!</definedName>
    <definedName name="_ana42" localSheetId="3">#REF!</definedName>
    <definedName name="_ana42">#REF!</definedName>
    <definedName name="_ana43" localSheetId="3">#REF!</definedName>
    <definedName name="_ana43">#REF!</definedName>
    <definedName name="_ana44" localSheetId="3">#REF!</definedName>
    <definedName name="_ana44">#REF!</definedName>
    <definedName name="_ana45" localSheetId="3">#REF!</definedName>
    <definedName name="_ana45">#REF!</definedName>
    <definedName name="_ana46" localSheetId="3">#REF!</definedName>
    <definedName name="_ana46">#REF!</definedName>
    <definedName name="_ana47" localSheetId="3">#REF!</definedName>
    <definedName name="_ana47">#REF!</definedName>
    <definedName name="_ana48" localSheetId="3">#REF!</definedName>
    <definedName name="_ana48">#REF!</definedName>
    <definedName name="_ana49" localSheetId="3">#REF!</definedName>
    <definedName name="_ana49">#REF!</definedName>
    <definedName name="_ana5" localSheetId="3">#REF!</definedName>
    <definedName name="_ana5">#REF!</definedName>
    <definedName name="_ana50" localSheetId="3">#REF!</definedName>
    <definedName name="_ana50">#REF!</definedName>
    <definedName name="_ana51" localSheetId="3">#REF!</definedName>
    <definedName name="_ana51">#REF!</definedName>
    <definedName name="_ana52" localSheetId="3">#REF!</definedName>
    <definedName name="_ana52">#REF!</definedName>
    <definedName name="_ana53" localSheetId="3">#REF!</definedName>
    <definedName name="_ana53">#REF!</definedName>
    <definedName name="_ana54" localSheetId="3">#REF!</definedName>
    <definedName name="_ana54">#REF!</definedName>
    <definedName name="_ana56" localSheetId="3">#REF!</definedName>
    <definedName name="_ana56">#REF!</definedName>
    <definedName name="_ana57" localSheetId="3">#REF!</definedName>
    <definedName name="_ana57">#REF!</definedName>
    <definedName name="_ana58" localSheetId="3">#REF!</definedName>
    <definedName name="_ana58">#REF!</definedName>
    <definedName name="_ana59" localSheetId="3">#REF!</definedName>
    <definedName name="_ana59">#REF!</definedName>
    <definedName name="_ana6" localSheetId="3">#REF!</definedName>
    <definedName name="_ana6">#REF!</definedName>
    <definedName name="_ana60" localSheetId="3">#REF!</definedName>
    <definedName name="_ana60">#REF!</definedName>
    <definedName name="_ana61" localSheetId="3">#REF!</definedName>
    <definedName name="_ana61">#REF!</definedName>
    <definedName name="_ana62" localSheetId="3">#REF!</definedName>
    <definedName name="_ana62">#REF!</definedName>
    <definedName name="_ana63" localSheetId="3">#REF!</definedName>
    <definedName name="_ana63">#REF!</definedName>
    <definedName name="_ana64" localSheetId="3">#REF!</definedName>
    <definedName name="_ana64">#REF!</definedName>
    <definedName name="_ana65" localSheetId="3">#REF!</definedName>
    <definedName name="_ana65">#REF!</definedName>
    <definedName name="_ana66" localSheetId="3">#REF!</definedName>
    <definedName name="_ana66">#REF!</definedName>
    <definedName name="_ana67" localSheetId="3">#REF!</definedName>
    <definedName name="_ana67">#REF!</definedName>
    <definedName name="_ana68" localSheetId="3">#REF!</definedName>
    <definedName name="_ana68">#REF!</definedName>
    <definedName name="_ana69" localSheetId="3">#REF!</definedName>
    <definedName name="_ana69">#REF!</definedName>
    <definedName name="_ana7" localSheetId="3">#REF!</definedName>
    <definedName name="_ana7">#REF!</definedName>
    <definedName name="_ana70" localSheetId="3">#REF!</definedName>
    <definedName name="_ana70">#REF!</definedName>
    <definedName name="_ana71" localSheetId="3">#REF!</definedName>
    <definedName name="_ana71">#REF!</definedName>
    <definedName name="_ana72" localSheetId="3">#REF!</definedName>
    <definedName name="_ana72">#REF!</definedName>
    <definedName name="_ana73" localSheetId="3">#REF!</definedName>
    <definedName name="_ana73">#REF!</definedName>
    <definedName name="_ana74" localSheetId="3">#REF!</definedName>
    <definedName name="_ana74">#REF!</definedName>
    <definedName name="_ana75" localSheetId="3">#REF!</definedName>
    <definedName name="_ana75">#REF!</definedName>
    <definedName name="_ana76" localSheetId="3">#REF!</definedName>
    <definedName name="_ana76">#REF!</definedName>
    <definedName name="_ana77" localSheetId="3">#REF!</definedName>
    <definedName name="_ana77">#REF!</definedName>
    <definedName name="_ana78" localSheetId="3">#REF!</definedName>
    <definedName name="_ana78">#REF!</definedName>
    <definedName name="_ana79" localSheetId="3">#REF!</definedName>
    <definedName name="_ana79">#REF!</definedName>
    <definedName name="_ana8" localSheetId="3">#REF!</definedName>
    <definedName name="_ana8">#REF!</definedName>
    <definedName name="_ana80" localSheetId="3">#REF!</definedName>
    <definedName name="_ana80">#REF!</definedName>
    <definedName name="_ana81" localSheetId="3">#REF!</definedName>
    <definedName name="_ana81">#REF!</definedName>
    <definedName name="_ana82" localSheetId="3">#REF!</definedName>
    <definedName name="_ana82">#REF!</definedName>
    <definedName name="_ana83" localSheetId="3">#REF!</definedName>
    <definedName name="_ana83">#REF!</definedName>
    <definedName name="_ana84" localSheetId="3">#REF!</definedName>
    <definedName name="_ana84">#REF!</definedName>
    <definedName name="_ana85" localSheetId="3">#REF!</definedName>
    <definedName name="_ana85">#REF!</definedName>
    <definedName name="_ana86" localSheetId="3">#REF!</definedName>
    <definedName name="_ana86">#REF!</definedName>
    <definedName name="_ana87" localSheetId="3">#REF!</definedName>
    <definedName name="_ana87">#REF!</definedName>
    <definedName name="_ana88" localSheetId="3">#REF!</definedName>
    <definedName name="_ana88">#REF!</definedName>
    <definedName name="_ana89" localSheetId="3">#REF!</definedName>
    <definedName name="_ana89">#REF!</definedName>
    <definedName name="_ana9" localSheetId="3">#REF!</definedName>
    <definedName name="_ana9">#REF!</definedName>
    <definedName name="_ana90" localSheetId="3">#REF!</definedName>
    <definedName name="_ana90">#REF!</definedName>
    <definedName name="_ana91" localSheetId="3">#REF!</definedName>
    <definedName name="_ana91">#REF!</definedName>
    <definedName name="_ana92" localSheetId="3">#REF!</definedName>
    <definedName name="_ana92">#REF!</definedName>
    <definedName name="_ana93" localSheetId="3">#REF!</definedName>
    <definedName name="_ana93">#REF!</definedName>
    <definedName name="_ana94" localSheetId="3">#REF!</definedName>
    <definedName name="_ana94">#REF!</definedName>
    <definedName name="_ana95" localSheetId="3">#REF!</definedName>
    <definedName name="_ana95">#REF!</definedName>
    <definedName name="_ana96" localSheetId="3">#REF!</definedName>
    <definedName name="_ana96">#REF!</definedName>
    <definedName name="_ana97" localSheetId="3">#REF!</definedName>
    <definedName name="_ana97">#REF!</definedName>
    <definedName name="_ana98" localSheetId="3">#REF!</definedName>
    <definedName name="_ana98">#REF!</definedName>
    <definedName name="_ana99" localSheetId="3">#REF!</definedName>
    <definedName name="_ana99">#REF!</definedName>
    <definedName name="_asu12345" localSheetId="3">#REF!</definedName>
    <definedName name="_asu12345">#REF!</definedName>
    <definedName name="_b" localSheetId="3">#REF!</definedName>
    <definedName name="_b">#REF!</definedName>
    <definedName name="_bab2" localSheetId="3">#REF!</definedName>
    <definedName name="_bab2">#REF!</definedName>
    <definedName name="_bab3" localSheetId="3">#REF!</definedName>
    <definedName name="_bab3">#REF!</definedName>
    <definedName name="_bab4" localSheetId="3">#REF!</definedName>
    <definedName name="_bab4">#REF!</definedName>
    <definedName name="_bbm10" localSheetId="3">#REF!</definedName>
    <definedName name="_bbm10">#REF!</definedName>
    <definedName name="_bbm3" localSheetId="3">#REF!</definedName>
    <definedName name="_bbm3">#REF!</definedName>
    <definedName name="_bbm5" localSheetId="3">#REF!</definedName>
    <definedName name="_bbm5">#REF!</definedName>
    <definedName name="_bbm8" localSheetId="3">#REF!</definedName>
    <definedName name="_bbm8">#REF!</definedName>
    <definedName name="_bcv100" localSheetId="3">#REF!</definedName>
    <definedName name="_bcv100">#REF!</definedName>
    <definedName name="_bcv125" localSheetId="3">#REF!</definedName>
    <definedName name="_bcv125">#REF!</definedName>
    <definedName name="_bcv150" localSheetId="3">#REF!</definedName>
    <definedName name="_bcv150">#REF!</definedName>
    <definedName name="_bed1" localSheetId="3">#REF!</definedName>
    <definedName name="_bed1">#REF!</definedName>
    <definedName name="_bed2" localSheetId="3">#REF!</definedName>
    <definedName name="_bed2">#REF!</definedName>
    <definedName name="_bed3" localSheetId="3">#REF!</definedName>
    <definedName name="_bed3">#REF!</definedName>
    <definedName name="_bed4" localSheetId="3">#REF!</definedName>
    <definedName name="_bed4">#REF!</definedName>
    <definedName name="_bed5" localSheetId="3">#REF!</definedName>
    <definedName name="_bed5">#REF!</definedName>
    <definedName name="_bet250" localSheetId="3">#REF!</definedName>
    <definedName name="_bet250">#REF!</definedName>
    <definedName name="_bet275" localSheetId="3">#REF!</definedName>
    <definedName name="_bet275">#REF!</definedName>
    <definedName name="_bet300" localSheetId="3">#REF!</definedName>
    <definedName name="_bet300">#REF!</definedName>
    <definedName name="_bln2">#REF!</definedName>
    <definedName name="_bpl32" localSheetId="3">#REF!</definedName>
    <definedName name="_bpl32">#REF!</definedName>
    <definedName name="_bpl9" localSheetId="3">#REF!</definedName>
    <definedName name="_bpl9">#REF!</definedName>
    <definedName name="_brc120" localSheetId="3">#REF!</definedName>
    <definedName name="_brc120">#REF!</definedName>
    <definedName name="_brc90" localSheetId="3">#REF!</definedName>
    <definedName name="_brc90">#REF!</definedName>
    <definedName name="_bsd1600" localSheetId="3">#REF!</definedName>
    <definedName name="_bsd1600">#REF!</definedName>
    <definedName name="_bsd2500" localSheetId="3">#REF!</definedName>
    <definedName name="_bsd2500">#REF!</definedName>
    <definedName name="_bsd4000" localSheetId="3">#REF!</definedName>
    <definedName name="_bsd4000">#REF!</definedName>
    <definedName name="_BSP3" localSheetId="3">#REF!</definedName>
    <definedName name="_BSP3">#REF!</definedName>
    <definedName name="_BSP4" localSheetId="3">#REF!</definedName>
    <definedName name="_BSP4">#REF!</definedName>
    <definedName name="_BSP5" localSheetId="3">#REF!</definedName>
    <definedName name="_BSP5">#REF!</definedName>
    <definedName name="_BSP6" localSheetId="3">#REF!</definedName>
    <definedName name="_BSP6">#REF!</definedName>
    <definedName name="_BSP8" localSheetId="3">#REF!</definedName>
    <definedName name="_BSP8">#REF!</definedName>
    <definedName name="_btg1" localSheetId="3">#REF!</definedName>
    <definedName name="_btg1">#REF!</definedName>
    <definedName name="_btg2" localSheetId="3">#REF!</definedName>
    <definedName name="_btg2">#REF!</definedName>
    <definedName name="_btg3" localSheetId="3">#REF!</definedName>
    <definedName name="_btg3">#REF!</definedName>
    <definedName name="_btn175" localSheetId="3">#REF!</definedName>
    <definedName name="_btn175">#REF!</definedName>
    <definedName name="_btn250" localSheetId="3">#REF!</definedName>
    <definedName name="_btn250">#REF!</definedName>
    <definedName name="_btn275" localSheetId="3">#REF!</definedName>
    <definedName name="_btn275">#REF!</definedName>
    <definedName name="_btn300" localSheetId="3">#REF!</definedName>
    <definedName name="_btn300">#REF!</definedName>
    <definedName name="_bud3500" localSheetId="3">#REF!</definedName>
    <definedName name="_bud3500">#REF!</definedName>
    <definedName name="_bvd1" localSheetId="3">#REF!</definedName>
    <definedName name="_bvd1">#REF!</definedName>
    <definedName name="_bvd2" localSheetId="3">#REF!</definedName>
    <definedName name="_bvd2">#REF!</definedName>
    <definedName name="_bvd3" localSheetId="3">#REF!</definedName>
    <definedName name="_bvd3">#REF!</definedName>
    <definedName name="_bvd34" localSheetId="3">#REF!</definedName>
    <definedName name="_bvd34">#REF!</definedName>
    <definedName name="_bvd4" localSheetId="3">#REF!</definedName>
    <definedName name="_bvd4">#REF!</definedName>
    <definedName name="_bvd5" localSheetId="3">#REF!</definedName>
    <definedName name="_bvd5">#REF!</definedName>
    <definedName name="_bvd8" localSheetId="3">#REF!</definedName>
    <definedName name="_bvd8">#REF!</definedName>
    <definedName name="_C1" localSheetId="3">#REF!</definedName>
    <definedName name="_C1">#REF!</definedName>
    <definedName name="_C10" localSheetId="3">#REF!</definedName>
    <definedName name="_C10">#REF!</definedName>
    <definedName name="_C11" localSheetId="3">#REF!</definedName>
    <definedName name="_C11">#REF!</definedName>
    <definedName name="_C12" localSheetId="3">#REF!</definedName>
    <definedName name="_C12">#REF!</definedName>
    <definedName name="_C13" localSheetId="3">#REF!</definedName>
    <definedName name="_C13">#REF!</definedName>
    <definedName name="_C2" localSheetId="3">#REF!</definedName>
    <definedName name="_C2">#REF!</definedName>
    <definedName name="_C3" localSheetId="3">#REF!</definedName>
    <definedName name="_C3">#REF!</definedName>
    <definedName name="_C4" localSheetId="3">#REF!</definedName>
    <definedName name="_C4">#REF!</definedName>
    <definedName name="_C5" localSheetId="3">#REF!</definedName>
    <definedName name="_C5">#REF!</definedName>
    <definedName name="_C6" localSheetId="3">#REF!</definedName>
    <definedName name="_C6">#REF!</definedName>
    <definedName name="_C7" localSheetId="3">#REF!</definedName>
    <definedName name="_C7">#REF!</definedName>
    <definedName name="_C8" localSheetId="3">#REF!</definedName>
    <definedName name="_C8">#REF!</definedName>
    <definedName name="_C9" localSheetId="3">#REF!</definedName>
    <definedName name="_C9">#REF!</definedName>
    <definedName name="_cbr30" localSheetId="3">#REF!</definedName>
    <definedName name="_cbr30">#REF!</definedName>
    <definedName name="_cbr80" localSheetId="3">#REF!</definedName>
    <definedName name="_cbr80">#REF!</definedName>
    <definedName name="_cip10" localSheetId="3">#REF!</definedName>
    <definedName name="_cip10">#REF!</definedName>
    <definedName name="_cip2" localSheetId="3">#REF!</definedName>
    <definedName name="_cip2">#REF!</definedName>
    <definedName name="_cip3" localSheetId="3">#REF!</definedName>
    <definedName name="_cip3">#REF!</definedName>
    <definedName name="_cip4" localSheetId="3">#REF!</definedName>
    <definedName name="_cip4">#REF!</definedName>
    <definedName name="_cip6" localSheetId="3">#REF!</definedName>
    <definedName name="_cip6">#REF!</definedName>
    <definedName name="_cip8" localSheetId="3">#REF!</definedName>
    <definedName name="_cip8">#REF!</definedName>
    <definedName name="_cod4" localSheetId="3">#REF!</definedName>
    <definedName name="_cod4">#REF!</definedName>
    <definedName name="_COR135" localSheetId="2">[15]Anl!#REF!</definedName>
    <definedName name="_COR135" localSheetId="3">[15]Anl!#REF!</definedName>
    <definedName name="_COR135" localSheetId="11">[8]Anl!#REF!</definedName>
    <definedName name="_COR135">[8]Anl!#REF!</definedName>
    <definedName name="_cvd100" localSheetId="3">#REF!</definedName>
    <definedName name="_cvd100">#REF!</definedName>
    <definedName name="_cvd15" localSheetId="3">#REF!</definedName>
    <definedName name="_cvd15">#REF!</definedName>
    <definedName name="_cvd150" localSheetId="3">#REF!</definedName>
    <definedName name="_cvd150">#REF!</definedName>
    <definedName name="_cvd50" localSheetId="3">#REF!</definedName>
    <definedName name="_cvd50">#REF!</definedName>
    <definedName name="_cvd65" localSheetId="3">#REF!</definedName>
    <definedName name="_cvd65">#REF!</definedName>
    <definedName name="_D" localSheetId="3">#REF!</definedName>
    <definedName name="_D">#REF!</definedName>
    <definedName name="_daf1" localSheetId="3">#REF!</definedName>
    <definedName name="_daf1">#REF!</definedName>
    <definedName name="_DAF10" localSheetId="3">#REF!</definedName>
    <definedName name="_DAF10">#REF!</definedName>
    <definedName name="_daf2" localSheetId="3">#REF!</definedName>
    <definedName name="_daf2">#REF!</definedName>
    <definedName name="_daf31" localSheetId="3">#REF!</definedName>
    <definedName name="_daf31">#REF!</definedName>
    <definedName name="_daf32" localSheetId="3">#REF!</definedName>
    <definedName name="_daf32">#REF!</definedName>
    <definedName name="_daf33" localSheetId="3">#REF!</definedName>
    <definedName name="_daf33">#REF!</definedName>
    <definedName name="_dal1" localSheetId="3">#REF!</definedName>
    <definedName name="_dal1">#REF!</definedName>
    <definedName name="_dal2" localSheetId="3">#REF!</definedName>
    <definedName name="_dal2">#REF!</definedName>
    <definedName name="_dal3" localSheetId="3">#REF!</definedName>
    <definedName name="_dal3">#REF!</definedName>
    <definedName name="_dal4" localSheetId="3">#REF!</definedName>
    <definedName name="_dal4">#REF!</definedName>
    <definedName name="_dal5" localSheetId="3">#REF!</definedName>
    <definedName name="_dal5">#REF!</definedName>
    <definedName name="_DAL6" localSheetId="3">#REF!</definedName>
    <definedName name="_DAL6">#REF!</definedName>
    <definedName name="_DAL7" localSheetId="3">#REF!</definedName>
    <definedName name="_DAL7">#REF!</definedName>
    <definedName name="_ddn400" localSheetId="3">#REF!</definedName>
    <definedName name="_ddn400">#REF!</definedName>
    <definedName name="_ddn600" localSheetId="3">#REF!</definedName>
    <definedName name="_ddn600">#REF!</definedName>
    <definedName name="_Dist_Values" localSheetId="3" hidden="1">#REF!</definedName>
    <definedName name="_Dist_Values" hidden="1">#REF!</definedName>
    <definedName name="_DIV1" localSheetId="2">#REF!</definedName>
    <definedName name="_DIV1" localSheetId="3">#REF!</definedName>
    <definedName name="_DIV1">[16]BOQ!$G$19</definedName>
    <definedName name="_DIV10" localSheetId="2">#REF!</definedName>
    <definedName name="_DIV10" localSheetId="3">#REF!</definedName>
    <definedName name="_DIV10">[16]BOQ!$G$312</definedName>
    <definedName name="_DIV11" localSheetId="2">#REF!</definedName>
    <definedName name="_DIV11" localSheetId="3">#REF!</definedName>
    <definedName name="_DIV2" localSheetId="2">#REF!</definedName>
    <definedName name="_DIV2" localSheetId="3">#REF!</definedName>
    <definedName name="_DIV2">[16]BOQ!$G$37</definedName>
    <definedName name="_DIV3" localSheetId="2">#REF!</definedName>
    <definedName name="_DIV3" localSheetId="3">#REF!</definedName>
    <definedName name="_DIV3">[16]BOQ!$G$60</definedName>
    <definedName name="_DIV4" localSheetId="2">#REF!</definedName>
    <definedName name="_DIV4" localSheetId="3">#REF!</definedName>
    <definedName name="_DIV4">[16]BOQ!$G$73</definedName>
    <definedName name="_DIV5" localSheetId="2">#REF!</definedName>
    <definedName name="_DIV5" localSheetId="3">#REF!</definedName>
    <definedName name="_DIV5">[16]BOQ!$G$86</definedName>
    <definedName name="_DIV6" localSheetId="2">#REF!</definedName>
    <definedName name="_DIV6" localSheetId="3">#REF!</definedName>
    <definedName name="_DIV6">[16]BOQ!$G$124</definedName>
    <definedName name="_DIV7" localSheetId="2">#REF!</definedName>
    <definedName name="_DIV7" localSheetId="3">#REF!</definedName>
    <definedName name="_DIV8" localSheetId="2">#REF!</definedName>
    <definedName name="_DIV8" localSheetId="3">#REF!</definedName>
    <definedName name="_DIV8">[16]BOQ!$G$275</definedName>
    <definedName name="_DIV9" localSheetId="2">#REF!</definedName>
    <definedName name="_DIV9" localSheetId="3">#REF!</definedName>
    <definedName name="_DIV9">[16]BOQ!$G$301</definedName>
    <definedName name="_dlh20" localSheetId="3">#REF!</definedName>
    <definedName name="_dlh20">#REF!</definedName>
    <definedName name="_dlh50" localSheetId="3">#REF!</definedName>
    <definedName name="_dlh50">#REF!</definedName>
    <definedName name="_dot2020" localSheetId="3">#REF!</definedName>
    <definedName name="_dot2020">#REF!</definedName>
    <definedName name="_E019">'[17]Upah&amp;Bahan'!$U$261</definedName>
    <definedName name="_e039">'[17]Upah&amp;Bahan'!$U$317</definedName>
    <definedName name="_e100">'[17]Upah&amp;Bahan'!$U$1045</definedName>
    <definedName name="_e101">'[17]Upah&amp;Bahan'!$U$1101</definedName>
    <definedName name="_e102">'[17]Upah&amp;Bahan'!$U$1157</definedName>
    <definedName name="_e103">'[17]Upah&amp;Bahan'!$U$1213</definedName>
    <definedName name="_e104">'[17]Upah&amp;Bahan'!$U$1612</definedName>
    <definedName name="_EEE01" localSheetId="2">#REF!</definedName>
    <definedName name="_EEE01" localSheetId="3">#REF!</definedName>
    <definedName name="_EEE01" localSheetId="11">#REF!</definedName>
    <definedName name="_EEE01">#REF!</definedName>
    <definedName name="_EEE02" localSheetId="3">#REF!</definedName>
    <definedName name="_EEE02" localSheetId="11">#REF!</definedName>
    <definedName name="_EEE02">#REF!</definedName>
    <definedName name="_EEE03" localSheetId="3">#REF!</definedName>
    <definedName name="_EEE03" localSheetId="11">#REF!</definedName>
    <definedName name="_EEE03">#REF!</definedName>
    <definedName name="_EEE04" localSheetId="3">#REF!</definedName>
    <definedName name="_EEE04">#REF!</definedName>
    <definedName name="_EEE05" localSheetId="3">#REF!</definedName>
    <definedName name="_EEE05">#REF!</definedName>
    <definedName name="_EEE06" localSheetId="3">#REF!</definedName>
    <definedName name="_EEE06">#REF!</definedName>
    <definedName name="_EEE07" localSheetId="3">#REF!</definedName>
    <definedName name="_EEE07">#REF!</definedName>
    <definedName name="_EEE08">#REF!</definedName>
    <definedName name="_EEE09">#REF!</definedName>
    <definedName name="_EEE10">#REF!</definedName>
    <definedName name="_EEE11" localSheetId="3">#REF!</definedName>
    <definedName name="_EEE11">#REF!</definedName>
    <definedName name="_EEE12" localSheetId="3">#REF!</definedName>
    <definedName name="_EEE12">#REF!</definedName>
    <definedName name="_EEE13" localSheetId="3">#REF!</definedName>
    <definedName name="_EEE13">#REF!</definedName>
    <definedName name="_EEE14" localSheetId="3">#REF!</definedName>
    <definedName name="_EEE14">#REF!</definedName>
    <definedName name="_EEE15">#REF!</definedName>
    <definedName name="_EEE16" localSheetId="3">#REF!</definedName>
    <definedName name="_EEE16">#REF!</definedName>
    <definedName name="_EEE17" localSheetId="3">#REF!</definedName>
    <definedName name="_EEE17">#REF!</definedName>
    <definedName name="_EEE18" localSheetId="3">#REF!</definedName>
    <definedName name="_EEE18">#REF!</definedName>
    <definedName name="_EEE19" localSheetId="3">#REF!</definedName>
    <definedName name="_EEE19">#REF!</definedName>
    <definedName name="_EEE20" localSheetId="3">#REF!</definedName>
    <definedName name="_EEE20">#REF!</definedName>
    <definedName name="_EEE21" localSheetId="3">#REF!</definedName>
    <definedName name="_EEE21">#REF!</definedName>
    <definedName name="_EEE22" localSheetId="3">#REF!</definedName>
    <definedName name="_EEE22">#REF!</definedName>
    <definedName name="_EEE23" localSheetId="3">#REF!</definedName>
    <definedName name="_EEE23">#REF!</definedName>
    <definedName name="_EEE24" localSheetId="3">#REF!</definedName>
    <definedName name="_EEE24">#REF!</definedName>
    <definedName name="_EEE25" localSheetId="3">#REF!</definedName>
    <definedName name="_EEE25">#REF!</definedName>
    <definedName name="_EEE26" localSheetId="3">#REF!</definedName>
    <definedName name="_EEE26">#REF!</definedName>
    <definedName name="_EEE27" localSheetId="3">#REF!</definedName>
    <definedName name="_EEE27">#REF!</definedName>
    <definedName name="_EEE28" localSheetId="3">#REF!</definedName>
    <definedName name="_EEE28">#REF!</definedName>
    <definedName name="_EEE29" localSheetId="3">#REF!</definedName>
    <definedName name="_EEE29">#REF!</definedName>
    <definedName name="_EEE30" localSheetId="3">#REF!</definedName>
    <definedName name="_EEE30">#REF!</definedName>
    <definedName name="_EEE31" localSheetId="3">#REF!</definedName>
    <definedName name="_EEE31">#REF!</definedName>
    <definedName name="_EEE32" localSheetId="3">#REF!</definedName>
    <definedName name="_EEE32">#REF!</definedName>
    <definedName name="_EEE33" localSheetId="3">#REF!</definedName>
    <definedName name="_EEE33">#REF!</definedName>
    <definedName name="_ess40" localSheetId="3">#REF!</definedName>
    <definedName name="_ess40">#REF!</definedName>
    <definedName name="_ess60" localSheetId="3">#REF!</definedName>
    <definedName name="_ess60">#REF!</definedName>
    <definedName name="_f" localSheetId="3" hidden="1">#REF!</definedName>
    <definedName name="_f" hidden="1">#REF!</definedName>
    <definedName name="_fcp1" localSheetId="3">#REF!</definedName>
    <definedName name="_fcp1">#REF!</definedName>
    <definedName name="_fdd3" localSheetId="3">#REF!</definedName>
    <definedName name="_fdd3">#REF!</definedName>
    <definedName name="_fdu2" localSheetId="3">#REF!</definedName>
    <definedName name="_fdu2">#REF!</definedName>
    <definedName name="_Fill" localSheetId="2" hidden="1">#REF!</definedName>
    <definedName name="_Fill" localSheetId="3" hidden="1">#REF!</definedName>
    <definedName name="_Fill" hidden="1">#REF!</definedName>
    <definedName name="_xlnm._FilterDatabase" localSheetId="2" hidden="1">#REF!</definedName>
    <definedName name="_xlnm._FilterDatabase" localSheetId="3" hidden="1">#REF!</definedName>
    <definedName name="_FIT100" localSheetId="3">#REF!</definedName>
    <definedName name="_FIT100">#REF!</definedName>
    <definedName name="_fit125" localSheetId="3">#REF!</definedName>
    <definedName name="_fit125">#REF!</definedName>
    <definedName name="_FIT150" localSheetId="3">#REF!</definedName>
    <definedName name="_FIT150">#REF!</definedName>
    <definedName name="_FIT200" localSheetId="3">#REF!</definedName>
    <definedName name="_FIT200">#REF!</definedName>
    <definedName name="_FIT300" localSheetId="3">#REF!</definedName>
    <definedName name="_FIT300">#REF!</definedName>
    <definedName name="_FIT65" localSheetId="3">#REF!</definedName>
    <definedName name="_FIT65">#REF!</definedName>
    <definedName name="_fit80" localSheetId="3">#REF!</definedName>
    <definedName name="_fit80">#REF!</definedName>
    <definedName name="_fjd100" localSheetId="3">#REF!</definedName>
    <definedName name="_fjd100">#REF!</definedName>
    <definedName name="_fjd150" localSheetId="3">#REF!</definedName>
    <definedName name="_fjd150">#REF!</definedName>
    <definedName name="_fjd50" localSheetId="3">#REF!</definedName>
    <definedName name="_fjd50">#REF!</definedName>
    <definedName name="_fjd65" localSheetId="3">#REF!</definedName>
    <definedName name="_fjd65">#REF!</definedName>
    <definedName name="_fmd150" localSheetId="3">#REF!</definedName>
    <definedName name="_fmd150">#REF!</definedName>
    <definedName name="_frc2495" localSheetId="3">#REF!</definedName>
    <definedName name="_frc2495">#REF!</definedName>
    <definedName name="_frc41010" localSheetId="3">#REF!</definedName>
    <definedName name="_frc41010">#REF!</definedName>
    <definedName name="_frc495" localSheetId="3">#REF!</definedName>
    <definedName name="_frc495">#REF!</definedName>
    <definedName name="_GIP1" localSheetId="3">#REF!</definedName>
    <definedName name="_GIP1">#REF!</definedName>
    <definedName name="_gip112" localSheetId="3">#REF!</definedName>
    <definedName name="_gip112">#REF!</definedName>
    <definedName name="_GIP2" localSheetId="3">#REF!</definedName>
    <definedName name="_GIP2">#REF!</definedName>
    <definedName name="_GIP3" localSheetId="3">#REF!</definedName>
    <definedName name="_GIP3">#REF!</definedName>
    <definedName name="_GIP4" localSheetId="3">#REF!</definedName>
    <definedName name="_GIP4">#REF!</definedName>
    <definedName name="_giv1" localSheetId="3">#REF!</definedName>
    <definedName name="_giv1">#REF!</definedName>
    <definedName name="_giv12" localSheetId="3">#REF!</definedName>
    <definedName name="_giv12">#REF!</definedName>
    <definedName name="_giv2" localSheetId="3">#REF!</definedName>
    <definedName name="_giv2">#REF!</definedName>
    <definedName name="_giv3" localSheetId="3">#REF!</definedName>
    <definedName name="_giv3">#REF!</definedName>
    <definedName name="_giv34" localSheetId="3">#REF!</definedName>
    <definedName name="_giv34">#REF!</definedName>
    <definedName name="_giv4" localSheetId="3">#REF!</definedName>
    <definedName name="_giv4">#REF!</definedName>
    <definedName name="_gk2" localSheetId="3" hidden="1">#REF!</definedName>
    <definedName name="_gk2" hidden="1">#REF!</definedName>
    <definedName name="_grc1" localSheetId="3">#REF!</definedName>
    <definedName name="_grc1">#REF!</definedName>
    <definedName name="_grc6" localSheetId="3">#REF!</definedName>
    <definedName name="_grc6">#REF!</definedName>
    <definedName name="_grc8" localSheetId="3">#REF!</definedName>
    <definedName name="_grc8">#REF!</definedName>
    <definedName name="_gti50" localSheetId="3">#REF!</definedName>
    <definedName name="_gti50">#REF!</definedName>
    <definedName name="_gti60" localSheetId="3">#REF!</definedName>
    <definedName name="_gti60">#REF!</definedName>
    <definedName name="_gvd1" localSheetId="3">#REF!</definedName>
    <definedName name="_gvd1">#REF!</definedName>
    <definedName name="_gvd10" localSheetId="3">#REF!</definedName>
    <definedName name="_gvd10">#REF!</definedName>
    <definedName name="_gvd100" localSheetId="3">#REF!</definedName>
    <definedName name="_gvd100">#REF!</definedName>
    <definedName name="_gvd15" localSheetId="3">#REF!</definedName>
    <definedName name="_gvd15">#REF!</definedName>
    <definedName name="_gvd150" localSheetId="3">#REF!</definedName>
    <definedName name="_gvd150">#REF!</definedName>
    <definedName name="_gvd2" localSheetId="3">#REF!</definedName>
    <definedName name="_gvd2">#REF!</definedName>
    <definedName name="_gvd25" localSheetId="3">#REF!</definedName>
    <definedName name="_gvd25">#REF!</definedName>
    <definedName name="_gvd3" localSheetId="3">#REF!</definedName>
    <definedName name="_gvd3">#REF!</definedName>
    <definedName name="_gvd4" localSheetId="3">#REF!</definedName>
    <definedName name="_gvd4">#REF!</definedName>
    <definedName name="_gvd5" localSheetId="3">#REF!</definedName>
    <definedName name="_gvd5">#REF!</definedName>
    <definedName name="_gvd50" localSheetId="3">#REF!</definedName>
    <definedName name="_gvd50">#REF!</definedName>
    <definedName name="_gvd6" localSheetId="3">#REF!</definedName>
    <definedName name="_gvd6">#REF!</definedName>
    <definedName name="_gvd65" localSheetId="3">#REF!</definedName>
    <definedName name="_gvd65">#REF!</definedName>
    <definedName name="_gvd8" localSheetId="3">#REF!</definedName>
    <definedName name="_gvd8">#REF!</definedName>
    <definedName name="_gyf9" localSheetId="3">#REF!</definedName>
    <definedName name="_gyf9">#REF!</definedName>
    <definedName name="_HAL1" localSheetId="2">#REF!</definedName>
    <definedName name="_HAL1" localSheetId="3">#REF!</definedName>
    <definedName name="_HAL1">#REF!</definedName>
    <definedName name="_HAL2" localSheetId="2">#REF!</definedName>
    <definedName name="_HAL2" localSheetId="3">#REF!</definedName>
    <definedName name="_HAL2">#REF!</definedName>
    <definedName name="_HAL3" localSheetId="2">#REF!</definedName>
    <definedName name="_HAL3" localSheetId="3">#REF!</definedName>
    <definedName name="_HAL3">#REF!</definedName>
    <definedName name="_HAL4" localSheetId="2">#REF!</definedName>
    <definedName name="_HAL4" localSheetId="3">#REF!</definedName>
    <definedName name="_HAL4">#REF!</definedName>
    <definedName name="_HAL5" localSheetId="2">#REF!</definedName>
    <definedName name="_HAL5" localSheetId="3">#REF!</definedName>
    <definedName name="_HAL6" localSheetId="2">#REF!</definedName>
    <definedName name="_HAL6" localSheetId="3">#REF!</definedName>
    <definedName name="_HAL7" localSheetId="2">#REF!</definedName>
    <definedName name="_HAL7" localSheetId="3">#REF!</definedName>
    <definedName name="_HAL7">#REF!</definedName>
    <definedName name="_HAL8" localSheetId="2">#REF!</definedName>
    <definedName name="_HAL8" localSheetId="3">#REF!</definedName>
    <definedName name="_HAL8">#REF!</definedName>
    <definedName name="_hdw1" localSheetId="3">#REF!</definedName>
    <definedName name="_hdw1">#REF!</definedName>
    <definedName name="_Ibr1" localSheetId="3">#REF!</definedName>
    <definedName name="_Ibr1">#REF!</definedName>
    <definedName name="_int1" localSheetId="3">#REF!</definedName>
    <definedName name="_int1">#REF!</definedName>
    <definedName name="_int2" localSheetId="3">#REF!</definedName>
    <definedName name="_int2">#REF!</definedName>
    <definedName name="_JJJ03">[18]D6!$R$38</definedName>
    <definedName name="_JJJ05">[18]D6!$R$39</definedName>
    <definedName name="_JJJ08">[18]D6!$R$40</definedName>
    <definedName name="_jum1" localSheetId="2">#REF!</definedName>
    <definedName name="_jum1" localSheetId="3">#REF!</definedName>
    <definedName name="_jum1">#REF!</definedName>
    <definedName name="_jum10" localSheetId="3">#REF!</definedName>
    <definedName name="_jum10">#REF!</definedName>
    <definedName name="_jum2" localSheetId="3">#REF!</definedName>
    <definedName name="_jum2">#REF!</definedName>
    <definedName name="_jum3" localSheetId="3">#REF!</definedName>
    <definedName name="_jum3">#REF!</definedName>
    <definedName name="_jum4" localSheetId="3">#REF!</definedName>
    <definedName name="_jum4">#REF!</definedName>
    <definedName name="_jum5" localSheetId="3">#REF!</definedName>
    <definedName name="_jum5">#REF!</definedName>
    <definedName name="_jum6" localSheetId="3">#REF!</definedName>
    <definedName name="_jum6">#REF!</definedName>
    <definedName name="_jum7" localSheetId="3">#REF!</definedName>
    <definedName name="_jum7">#REF!</definedName>
    <definedName name="_jum8" localSheetId="3">#REF!</definedName>
    <definedName name="_jum8">#REF!</definedName>
    <definedName name="_jum9" localSheetId="3">#REF!</definedName>
    <definedName name="_jum9">#REF!</definedName>
    <definedName name="_k100123" localSheetId="3">#REF!</definedName>
    <definedName name="_k100123">#REF!</definedName>
    <definedName name="_kco7" localSheetId="3">#REF!</definedName>
    <definedName name="_kco7">#REF!</definedName>
    <definedName name="_ke1" localSheetId="3">#REF!</definedName>
    <definedName name="_ke1">#REF!</definedName>
    <definedName name="_ke2" localSheetId="3">#REF!</definedName>
    <definedName name="_ke2">#REF!</definedName>
    <definedName name="_ke3" localSheetId="3">#REF!</definedName>
    <definedName name="_ke3">#REF!</definedName>
    <definedName name="_ke4" localSheetId="3">#REF!</definedName>
    <definedName name="_ke4">#REF!</definedName>
    <definedName name="_KER2020" localSheetId="3">#REF!</definedName>
    <definedName name="_KER2020">#REF!</definedName>
    <definedName name="_KER2025" localSheetId="3">#REF!</definedName>
    <definedName name="_KER2025">#REF!</definedName>
    <definedName name="_ker3030" localSheetId="3">#REF!</definedName>
    <definedName name="_ker3030">#REF!</definedName>
    <definedName name="_Key1" localSheetId="2" hidden="1">#REF!</definedName>
    <definedName name="_Key1" localSheetId="3" hidden="1">#REF!</definedName>
    <definedName name="_Key1" hidden="1">[19]Schdule!$Z$16</definedName>
    <definedName name="_Key2" localSheetId="3" hidden="1">#REF!</definedName>
    <definedName name="_Key2" hidden="1">#REF!</definedName>
    <definedName name="_krm25" localSheetId="3">#REF!</definedName>
    <definedName name="_krm25">#REF!</definedName>
    <definedName name="_krm30" localSheetId="3">#REF!</definedName>
    <definedName name="_krm30">#REF!</definedName>
    <definedName name="_krm40" localSheetId="3">#REF!</definedName>
    <definedName name="_krm40">#REF!</definedName>
    <definedName name="_kus1" localSheetId="3">#REF!</definedName>
    <definedName name="_kus1">#REF!</definedName>
    <definedName name="_kus2" localSheetId="3">#REF!</definedName>
    <definedName name="_kus2">#REF!</definedName>
    <definedName name="_kus3" localSheetId="3">#REF!</definedName>
    <definedName name="_kus3">#REF!</definedName>
    <definedName name="_kus4" localSheetId="3">#REF!</definedName>
    <definedName name="_kus4">#REF!</definedName>
    <definedName name="_kus5" localSheetId="3">#REF!</definedName>
    <definedName name="_kus5">#REF!</definedName>
    <definedName name="_LCM2" localSheetId="3">#REF!</definedName>
    <definedName name="_LCM2">#REF!</definedName>
    <definedName name="_LCM3" localSheetId="3">#REF!</definedName>
    <definedName name="_LCM3">#REF!</definedName>
    <definedName name="_ld100" localSheetId="3">#REF!</definedName>
    <definedName name="_ld100">#REF!</definedName>
    <definedName name="_ld120" localSheetId="3">#REF!</definedName>
    <definedName name="_ld120">#REF!</definedName>
    <definedName name="_ld50" localSheetId="3">#REF!</definedName>
    <definedName name="_ld50">#REF!</definedName>
    <definedName name="_ld60" localSheetId="3">#REF!</definedName>
    <definedName name="_ld60">#REF!</definedName>
    <definedName name="_ld80" localSheetId="3">#REF!</definedName>
    <definedName name="_ld80">#REF!</definedName>
    <definedName name="_ldp60" localSheetId="3">#REF!</definedName>
    <definedName name="_ldp60">#REF!</definedName>
    <definedName name="_lh50" localSheetId="3">#REF!</definedName>
    <definedName name="_lh50">#REF!</definedName>
    <definedName name="_LLL01" localSheetId="2">'[20]4-Basic Price'!$H$11</definedName>
    <definedName name="_LLL01" localSheetId="3">'[20]4-Basic Price'!$H$11</definedName>
    <definedName name="_LLL01">#REF!</definedName>
    <definedName name="_LLL02" localSheetId="2">#REF!</definedName>
    <definedName name="_LLL02" localSheetId="3">#REF!</definedName>
    <definedName name="_LLL02">#REF!</definedName>
    <definedName name="_LLL03" localSheetId="2">#REF!</definedName>
    <definedName name="_LLL03" localSheetId="3">#REF!</definedName>
    <definedName name="_LLL03">#REF!</definedName>
    <definedName name="_LLL04" localSheetId="2">#REF!</definedName>
    <definedName name="_LLL04" localSheetId="3">#REF!</definedName>
    <definedName name="_LLL04">#REF!</definedName>
    <definedName name="_LLL05" localSheetId="2">#REF!</definedName>
    <definedName name="_LLL05" localSheetId="3">#REF!</definedName>
    <definedName name="_LLL05">#REF!</definedName>
    <definedName name="_LLL06" localSheetId="2">#REF!</definedName>
    <definedName name="_LLL06" localSheetId="3">#REF!</definedName>
    <definedName name="_LLL06">#REF!</definedName>
    <definedName name="_LLL07" localSheetId="2">#REF!</definedName>
    <definedName name="_LLL07" localSheetId="3">#REF!</definedName>
    <definedName name="_LLL07">#REF!</definedName>
    <definedName name="_LLL08" localSheetId="2">#REF!</definedName>
    <definedName name="_LLL08" localSheetId="3">#REF!</definedName>
    <definedName name="_LLL08">#REF!</definedName>
    <definedName name="_LLL09" localSheetId="2">#REF!</definedName>
    <definedName name="_LLL09" localSheetId="3">#REF!</definedName>
    <definedName name="_LLL09">#REF!</definedName>
    <definedName name="_LLL10" localSheetId="2">#REF!</definedName>
    <definedName name="_LLL10" localSheetId="3">#REF!</definedName>
    <definedName name="_LLL10">#REF!</definedName>
    <definedName name="_LLL11" localSheetId="2">'[20]4-Basic Price'!#REF!</definedName>
    <definedName name="_LLL11" localSheetId="3">'[20]4-Basic Price'!#REF!</definedName>
    <definedName name="_LLL11">#REF!</definedName>
    <definedName name="_lmb1" localSheetId="3">#REF!</definedName>
    <definedName name="_lmb1">#REF!</definedName>
    <definedName name="_lp100" localSheetId="3">#REF!</definedName>
    <definedName name="_lp100">#REF!</definedName>
    <definedName name="_lp300" localSheetId="3">#REF!</definedName>
    <definedName name="_lp300">#REF!</definedName>
    <definedName name="_lp36" localSheetId="3">#REF!</definedName>
    <definedName name="_lp36">#REF!</definedName>
    <definedName name="_lp500" localSheetId="3">#REF!</definedName>
    <definedName name="_lp500">#REF!</definedName>
    <definedName name="_lp60" localSheetId="3">#REF!</definedName>
    <definedName name="_lp60">#REF!</definedName>
    <definedName name="_lpl11" localSheetId="3">#REF!</definedName>
    <definedName name="_lpl11">#REF!</definedName>
    <definedName name="_ls100" localSheetId="3">#REF!</definedName>
    <definedName name="_ls100">#REF!</definedName>
    <definedName name="_ls50" localSheetId="3">#REF!</definedName>
    <definedName name="_ls50">#REF!</definedName>
    <definedName name="_ls60" localSheetId="3">#REF!</definedName>
    <definedName name="_ls60">#REF!</definedName>
    <definedName name="_ls80" localSheetId="3">#REF!</definedName>
    <definedName name="_ls80">#REF!</definedName>
    <definedName name="_M" localSheetId="2">#REF!</definedName>
    <definedName name="_M" localSheetId="3">#REF!</definedName>
    <definedName name="_M" localSheetId="11">'[12]1_boq'!#REF!</definedName>
    <definedName name="_M">'[12]1_boq'!#REF!</definedName>
    <definedName name="_MAC12" localSheetId="3">#REF!</definedName>
    <definedName name="_MAC12">#REF!</definedName>
    <definedName name="_MAC46" localSheetId="3">#REF!</definedName>
    <definedName name="_MAC46">#REF!</definedName>
    <definedName name="_MatInverse_In" localSheetId="3" hidden="1">#REF!</definedName>
    <definedName name="_MatInverse_In" hidden="1">#REF!</definedName>
    <definedName name="_MB867" localSheetId="3">#REF!</definedName>
    <definedName name="_MB867">#REF!</definedName>
    <definedName name="_MBW867" localSheetId="3">#REF!</definedName>
    <definedName name="_MBW867">#REF!</definedName>
    <definedName name="_mc2" localSheetId="3">#REF!</definedName>
    <definedName name="_mc2">#REF!</definedName>
    <definedName name="_mcb2" localSheetId="3">#REF!</definedName>
    <definedName name="_mcb2">#REF!</definedName>
    <definedName name="_mcb3" localSheetId="3">#REF!</definedName>
    <definedName name="_mcb3">#REF!</definedName>
    <definedName name="_MDE01" localSheetId="2">#REF!</definedName>
    <definedName name="_MDE01" localSheetId="3">#REF!</definedName>
    <definedName name="_MDE01" localSheetId="11">#REF!</definedName>
    <definedName name="_MDE01">#REF!</definedName>
    <definedName name="_MDE02" localSheetId="2">#REF!</definedName>
    <definedName name="_MDE02" localSheetId="3">#REF!</definedName>
    <definedName name="_MDE02" localSheetId="11">#REF!</definedName>
    <definedName name="_MDE02">#REF!</definedName>
    <definedName name="_MDE03" localSheetId="2">#REF!</definedName>
    <definedName name="_MDE03" localSheetId="3">#REF!</definedName>
    <definedName name="_MDE03" localSheetId="11">#REF!</definedName>
    <definedName name="_MDE03">#REF!</definedName>
    <definedName name="_MDE04" localSheetId="2">#REF!</definedName>
    <definedName name="_MDE04" localSheetId="3">#REF!</definedName>
    <definedName name="_MDE04">#REF!</definedName>
    <definedName name="_MDE05" localSheetId="2">#REF!</definedName>
    <definedName name="_MDE05" localSheetId="3">#REF!</definedName>
    <definedName name="_MDE05">#REF!</definedName>
    <definedName name="_MDE06" localSheetId="2">#REF!</definedName>
    <definedName name="_MDE06" localSheetId="3">#REF!</definedName>
    <definedName name="_MDE06">#REF!</definedName>
    <definedName name="_MDE07" localSheetId="2">#REF!</definedName>
    <definedName name="_MDE07" localSheetId="3">#REF!</definedName>
    <definedName name="_MDE07">#REF!</definedName>
    <definedName name="_MDE08" localSheetId="2">#REF!</definedName>
    <definedName name="_MDE08" localSheetId="3">#REF!</definedName>
    <definedName name="_MDE08">#REF!</definedName>
    <definedName name="_MDE09" localSheetId="2">#REF!</definedName>
    <definedName name="_MDE09" localSheetId="3">#REF!</definedName>
    <definedName name="_MDE09">#REF!</definedName>
    <definedName name="_MDE10" localSheetId="2">#REF!</definedName>
    <definedName name="_MDE10" localSheetId="3">#REF!</definedName>
    <definedName name="_MDE10">#REF!</definedName>
    <definedName name="_MDE11" localSheetId="2">#REF!</definedName>
    <definedName name="_MDE11" localSheetId="3">#REF!</definedName>
    <definedName name="_MDE11">#REF!</definedName>
    <definedName name="_MDE12" localSheetId="2">#REF!</definedName>
    <definedName name="_MDE12" localSheetId="3">#REF!</definedName>
    <definedName name="_MDE12">#REF!</definedName>
    <definedName name="_MDE13" localSheetId="2">#REF!</definedName>
    <definedName name="_MDE13" localSheetId="3">#REF!</definedName>
    <definedName name="_MDE13">#REF!</definedName>
    <definedName name="_MDE14" localSheetId="2">#REF!</definedName>
    <definedName name="_MDE14" localSheetId="3">#REF!</definedName>
    <definedName name="_MDE14">#REF!</definedName>
    <definedName name="_MDE15" localSheetId="2">#REF!</definedName>
    <definedName name="_MDE15" localSheetId="3">#REF!</definedName>
    <definedName name="_MDE15">#REF!</definedName>
    <definedName name="_MDE16" localSheetId="2">#REF!</definedName>
    <definedName name="_MDE16" localSheetId="3">#REF!</definedName>
    <definedName name="_MDE16">#REF!</definedName>
    <definedName name="_MDE17" localSheetId="2">#REF!</definedName>
    <definedName name="_MDE17" localSheetId="3">#REF!</definedName>
    <definedName name="_MDE17">#REF!</definedName>
    <definedName name="_MDE18" localSheetId="2">#REF!</definedName>
    <definedName name="_MDE18" localSheetId="3">#REF!</definedName>
    <definedName name="_MDE18">#REF!</definedName>
    <definedName name="_MDE19" localSheetId="2">#REF!</definedName>
    <definedName name="_MDE19" localSheetId="3">#REF!</definedName>
    <definedName name="_MDE19">#REF!</definedName>
    <definedName name="_MDE20" localSheetId="2">#REF!</definedName>
    <definedName name="_MDE20" localSheetId="3">#REF!</definedName>
    <definedName name="_MDE20">#REF!</definedName>
    <definedName name="_MDE21" localSheetId="2">#REF!</definedName>
    <definedName name="_MDE21" localSheetId="3">#REF!</definedName>
    <definedName name="_MDE21">#REF!</definedName>
    <definedName name="_MDE22" localSheetId="2">#REF!</definedName>
    <definedName name="_MDE22" localSheetId="3">#REF!</definedName>
    <definedName name="_MDE22">#REF!</definedName>
    <definedName name="_MDE23" localSheetId="2">#REF!</definedName>
    <definedName name="_MDE23" localSheetId="3">#REF!</definedName>
    <definedName name="_MDE23">#REF!</definedName>
    <definedName name="_MDE24" localSheetId="2">#REF!</definedName>
    <definedName name="_MDE24" localSheetId="3">#REF!</definedName>
    <definedName name="_MDE24">#REF!</definedName>
    <definedName name="_MDE25" localSheetId="2">#REF!</definedName>
    <definedName name="_MDE25" localSheetId="3">#REF!</definedName>
    <definedName name="_MDE25">#REF!</definedName>
    <definedName name="_MDE26" localSheetId="2">#REF!</definedName>
    <definedName name="_MDE26" localSheetId="3">#REF!</definedName>
    <definedName name="_MDE26">#REF!</definedName>
    <definedName name="_MDE27" localSheetId="2">#REF!</definedName>
    <definedName name="_MDE27" localSheetId="3">#REF!</definedName>
    <definedName name="_MDE27">#REF!</definedName>
    <definedName name="_MDE28" localSheetId="2">#REF!</definedName>
    <definedName name="_MDE28" localSheetId="3">#REF!</definedName>
    <definedName name="_MDE28">#REF!</definedName>
    <definedName name="_MDE29" localSheetId="2">#REF!</definedName>
    <definedName name="_MDE29" localSheetId="3">#REF!</definedName>
    <definedName name="_MDE29">#REF!</definedName>
    <definedName name="_MDE30" localSheetId="2">#REF!</definedName>
    <definedName name="_MDE30" localSheetId="3">#REF!</definedName>
    <definedName name="_MDE30">#REF!</definedName>
    <definedName name="_MDE31" localSheetId="2">#REF!</definedName>
    <definedName name="_MDE31" localSheetId="3">#REF!</definedName>
    <definedName name="_MDE31">#REF!</definedName>
    <definedName name="_MDE32" localSheetId="2">#REF!</definedName>
    <definedName name="_MDE32" localSheetId="3">#REF!</definedName>
    <definedName name="_MDE32">#REF!</definedName>
    <definedName name="_MDE33" localSheetId="2">#REF!</definedName>
    <definedName name="_MDE33" localSheetId="3">#REF!</definedName>
    <definedName name="_MDE33">#REF!</definedName>
    <definedName name="_MDE34" localSheetId="2">#REF!</definedName>
    <definedName name="_MDE34" localSheetId="3">#REF!</definedName>
    <definedName name="_MDE34">#REF!</definedName>
    <definedName name="_MDE35" localSheetId="2">#REF!</definedName>
    <definedName name="_MDE35" localSheetId="3">#REF!</definedName>
    <definedName name="_MDE35">#REF!</definedName>
    <definedName name="_MDE36" localSheetId="2">#REF!</definedName>
    <definedName name="_MDE36" localSheetId="3">#REF!</definedName>
    <definedName name="_MDE36">#REF!</definedName>
    <definedName name="_MDE37" localSheetId="3">#REF!</definedName>
    <definedName name="_MDE37">#REF!</definedName>
    <definedName name="_MDE38" localSheetId="3">#REF!</definedName>
    <definedName name="_MDE38">#REF!</definedName>
    <definedName name="_MDE39" localSheetId="3">#REF!</definedName>
    <definedName name="_MDE39">#REF!</definedName>
    <definedName name="_MDE40" localSheetId="3">#REF!</definedName>
    <definedName name="_MDE40">#REF!</definedName>
    <definedName name="_MDE41" localSheetId="3">#REF!</definedName>
    <definedName name="_MDE41">#REF!</definedName>
    <definedName name="_MDE42" localSheetId="3">#REF!</definedName>
    <definedName name="_MDE42">#REF!</definedName>
    <definedName name="_MDE43" localSheetId="3">#REF!</definedName>
    <definedName name="_MDE43">#REF!</definedName>
    <definedName name="_MDE44" localSheetId="3">#REF!</definedName>
    <definedName name="_MDE44">#REF!</definedName>
    <definedName name="_MDE45" localSheetId="3">#REF!</definedName>
    <definedName name="_MDE45">#REF!</definedName>
    <definedName name="_MDE46" localSheetId="3">#REF!</definedName>
    <definedName name="_MDE46">#REF!</definedName>
    <definedName name="_MDE47" localSheetId="3">#REF!</definedName>
    <definedName name="_MDE47">#REF!</definedName>
    <definedName name="_MDE48" localSheetId="3">#REF!</definedName>
    <definedName name="_MDE48">#REF!</definedName>
    <definedName name="_MDE49" localSheetId="3">#REF!</definedName>
    <definedName name="_MDE49">#REF!</definedName>
    <definedName name="_MDE50" localSheetId="3">#REF!</definedName>
    <definedName name="_MDE50">#REF!</definedName>
    <definedName name="_MDE51" localSheetId="3">#REF!</definedName>
    <definedName name="_MDE51">#REF!</definedName>
    <definedName name="_MDE52" localSheetId="3">#REF!</definedName>
    <definedName name="_MDE52">#REF!</definedName>
    <definedName name="_MDE53" localSheetId="3">#REF!</definedName>
    <definedName name="_MDE53">#REF!</definedName>
    <definedName name="_MDE54" localSheetId="3">#REF!</definedName>
    <definedName name="_MDE54">#REF!</definedName>
    <definedName name="_MDE55" localSheetId="3">#REF!</definedName>
    <definedName name="_MDE55">#REF!</definedName>
    <definedName name="_MDE56" localSheetId="3">#REF!</definedName>
    <definedName name="_MDE56">#REF!</definedName>
    <definedName name="_MDE57" localSheetId="3">#REF!</definedName>
    <definedName name="_MDE57">#REF!</definedName>
    <definedName name="_MDE58" localSheetId="3">#REF!</definedName>
    <definedName name="_MDE58">#REF!</definedName>
    <definedName name="_MDE59" localSheetId="3">#REF!</definedName>
    <definedName name="_MDE59">#REF!</definedName>
    <definedName name="_MDE60" localSheetId="3">#REF!</definedName>
    <definedName name="_MDE60">#REF!</definedName>
    <definedName name="_MDE61" localSheetId="3">#REF!</definedName>
    <definedName name="_MDE61">#REF!</definedName>
    <definedName name="_MDE62" localSheetId="3">#REF!</definedName>
    <definedName name="_MDE62">#REF!</definedName>
    <definedName name="_MDE63" localSheetId="3">#REF!</definedName>
    <definedName name="_MDE63">#REF!</definedName>
    <definedName name="_MDE64" localSheetId="3">#REF!</definedName>
    <definedName name="_MDE64">#REF!</definedName>
    <definedName name="_MDE65" localSheetId="3">#REF!</definedName>
    <definedName name="_MDE65">#REF!</definedName>
    <definedName name="_MDE66" localSheetId="3">#REF!</definedName>
    <definedName name="_MDE66">#REF!</definedName>
    <definedName name="_MDE67" localSheetId="3">#REF!</definedName>
    <definedName name="_MDE67">#REF!</definedName>
    <definedName name="_MDE68" localSheetId="3">#REF!</definedName>
    <definedName name="_MDE68">#REF!</definedName>
    <definedName name="_ME01" localSheetId="2">#REF!</definedName>
    <definedName name="_ME01" localSheetId="3">#REF!</definedName>
    <definedName name="_ME01">#REF!</definedName>
    <definedName name="_ME02" localSheetId="2">#REF!</definedName>
    <definedName name="_ME02" localSheetId="3">#REF!</definedName>
    <definedName name="_ME02">#REF!</definedName>
    <definedName name="_ME03" localSheetId="2">#REF!</definedName>
    <definedName name="_ME03" localSheetId="3">#REF!</definedName>
    <definedName name="_ME03">#REF!</definedName>
    <definedName name="_ME04" localSheetId="2">#REF!</definedName>
    <definedName name="_ME04" localSheetId="3">#REF!</definedName>
    <definedName name="_ME04">#REF!</definedName>
    <definedName name="_ME05" localSheetId="2">#REF!</definedName>
    <definedName name="_ME05" localSheetId="3">#REF!</definedName>
    <definedName name="_ME05">#REF!</definedName>
    <definedName name="_ME06" localSheetId="2">#REF!</definedName>
    <definedName name="_ME06" localSheetId="3">#REF!</definedName>
    <definedName name="_ME06">#REF!</definedName>
    <definedName name="_ME07" localSheetId="2">#REF!</definedName>
    <definedName name="_ME07" localSheetId="3">#REF!</definedName>
    <definedName name="_ME07">#REF!</definedName>
    <definedName name="_ME08" localSheetId="2">#REF!</definedName>
    <definedName name="_ME08" localSheetId="3">#REF!</definedName>
    <definedName name="_ME08">#REF!</definedName>
    <definedName name="_ME09" localSheetId="2">#REF!</definedName>
    <definedName name="_ME09" localSheetId="3">#REF!</definedName>
    <definedName name="_ME09">#REF!</definedName>
    <definedName name="_ME10" localSheetId="2">#REF!</definedName>
    <definedName name="_ME10" localSheetId="3">#REF!</definedName>
    <definedName name="_ME10">#REF!</definedName>
    <definedName name="_ME11" localSheetId="2">#REF!</definedName>
    <definedName name="_ME11" localSheetId="3">#REF!</definedName>
    <definedName name="_ME11">#REF!</definedName>
    <definedName name="_ME12" localSheetId="2">#REF!</definedName>
    <definedName name="_ME12" localSheetId="3">#REF!</definedName>
    <definedName name="_ME12">#REF!</definedName>
    <definedName name="_ME13" localSheetId="2">#REF!</definedName>
    <definedName name="_ME13" localSheetId="3">#REF!</definedName>
    <definedName name="_ME13">#REF!</definedName>
    <definedName name="_ME14" localSheetId="2">#REF!</definedName>
    <definedName name="_ME14" localSheetId="3">#REF!</definedName>
    <definedName name="_ME14">#REF!</definedName>
    <definedName name="_ME15" localSheetId="2">#REF!</definedName>
    <definedName name="_ME15" localSheetId="3">#REF!</definedName>
    <definedName name="_ME15">#REF!</definedName>
    <definedName name="_ME16" localSheetId="2">#REF!</definedName>
    <definedName name="_ME16" localSheetId="3">#REF!</definedName>
    <definedName name="_ME16">#REF!</definedName>
    <definedName name="_ME17" localSheetId="2">#REF!</definedName>
    <definedName name="_ME17" localSheetId="3">#REF!</definedName>
    <definedName name="_ME17">#REF!</definedName>
    <definedName name="_ME18" localSheetId="2">#REF!</definedName>
    <definedName name="_ME18" localSheetId="3">#REF!</definedName>
    <definedName name="_ME18">#REF!</definedName>
    <definedName name="_ME19" localSheetId="2">#REF!</definedName>
    <definedName name="_ME19" localSheetId="3">#REF!</definedName>
    <definedName name="_ME19">#REF!</definedName>
    <definedName name="_ME20" localSheetId="2">#REF!</definedName>
    <definedName name="_ME20" localSheetId="3">#REF!</definedName>
    <definedName name="_ME20">#REF!</definedName>
    <definedName name="_ME21" localSheetId="2">#REF!</definedName>
    <definedName name="_ME21" localSheetId="3">#REF!</definedName>
    <definedName name="_ME21">#REF!</definedName>
    <definedName name="_ME22" localSheetId="2">#REF!</definedName>
    <definedName name="_ME22" localSheetId="3">#REF!</definedName>
    <definedName name="_ME22">#REF!</definedName>
    <definedName name="_ME23" localSheetId="2">#REF!</definedName>
    <definedName name="_ME23" localSheetId="3">#REF!</definedName>
    <definedName name="_ME23">#REF!</definedName>
    <definedName name="_ME24" localSheetId="2">#REF!</definedName>
    <definedName name="_ME24" localSheetId="3">#REF!</definedName>
    <definedName name="_ME24">#REF!</definedName>
    <definedName name="_ME25" localSheetId="2">#REF!</definedName>
    <definedName name="_ME25" localSheetId="3">#REF!</definedName>
    <definedName name="_ME25">#REF!</definedName>
    <definedName name="_ME26" localSheetId="2">#REF!</definedName>
    <definedName name="_ME26" localSheetId="3">#REF!</definedName>
    <definedName name="_ME26">#REF!</definedName>
    <definedName name="_ME27" localSheetId="2">#REF!</definedName>
    <definedName name="_ME27" localSheetId="3">#REF!</definedName>
    <definedName name="_ME27">#REF!</definedName>
    <definedName name="_ME28" localSheetId="2">#REF!</definedName>
    <definedName name="_ME28" localSheetId="3">#REF!</definedName>
    <definedName name="_ME28">#REF!</definedName>
    <definedName name="_ME29" localSheetId="2">#REF!</definedName>
    <definedName name="_ME29" localSheetId="3">#REF!</definedName>
    <definedName name="_ME29">#REF!</definedName>
    <definedName name="_ME30" localSheetId="2">#REF!</definedName>
    <definedName name="_ME30" localSheetId="3">#REF!</definedName>
    <definedName name="_ME30">#REF!</definedName>
    <definedName name="_ME31" localSheetId="2">#REF!</definedName>
    <definedName name="_ME31" localSheetId="3">#REF!</definedName>
    <definedName name="_ME31">#REF!</definedName>
    <definedName name="_ME32" localSheetId="2">#REF!</definedName>
    <definedName name="_ME32" localSheetId="3">#REF!</definedName>
    <definedName name="_ME32">#REF!</definedName>
    <definedName name="_ME33" localSheetId="2">#REF!</definedName>
    <definedName name="_ME33" localSheetId="3">#REF!</definedName>
    <definedName name="_ME33">#REF!</definedName>
    <definedName name="_ME34" localSheetId="2">#REF!</definedName>
    <definedName name="_ME34" localSheetId="3">#REF!</definedName>
    <definedName name="_ME34">#REF!</definedName>
    <definedName name="_ME35" localSheetId="2">#REF!</definedName>
    <definedName name="_ME35" localSheetId="3">#REF!</definedName>
    <definedName name="_ME35">#REF!</definedName>
    <definedName name="_ME36" localSheetId="2">#REF!</definedName>
    <definedName name="_ME36" localSheetId="3">#REF!</definedName>
    <definedName name="_ME36">#REF!</definedName>
    <definedName name="_ME37" localSheetId="3">#REF!</definedName>
    <definedName name="_ME37">#REF!</definedName>
    <definedName name="_ME38" localSheetId="3">#REF!</definedName>
    <definedName name="_ME38">#REF!</definedName>
    <definedName name="_ME39" localSheetId="3">#REF!</definedName>
    <definedName name="_ME39">#REF!</definedName>
    <definedName name="_ME40" localSheetId="3">#REF!</definedName>
    <definedName name="_ME40">#REF!</definedName>
    <definedName name="_ME41" localSheetId="3">#REF!</definedName>
    <definedName name="_ME41">#REF!</definedName>
    <definedName name="_ME42" localSheetId="3">#REF!</definedName>
    <definedName name="_ME42">#REF!</definedName>
    <definedName name="_ME43" localSheetId="3">#REF!</definedName>
    <definedName name="_ME43">#REF!</definedName>
    <definedName name="_ME44" localSheetId="3">#REF!</definedName>
    <definedName name="_ME44">#REF!</definedName>
    <definedName name="_ME45" localSheetId="3">#REF!</definedName>
    <definedName name="_ME45">#REF!</definedName>
    <definedName name="_ME46" localSheetId="3">#REF!</definedName>
    <definedName name="_ME46">#REF!</definedName>
    <definedName name="_ME47" localSheetId="3">#REF!</definedName>
    <definedName name="_ME47">#REF!</definedName>
    <definedName name="_ME48" localSheetId="3">#REF!</definedName>
    <definedName name="_ME48">#REF!</definedName>
    <definedName name="_ME49" localSheetId="3">#REF!</definedName>
    <definedName name="_ME49">#REF!</definedName>
    <definedName name="_ME50" localSheetId="3">#REF!</definedName>
    <definedName name="_ME50">#REF!</definedName>
    <definedName name="_ME51" localSheetId="3">#REF!</definedName>
    <definedName name="_ME51">#REF!</definedName>
    <definedName name="_ME52" localSheetId="3">#REF!</definedName>
    <definedName name="_ME52">#REF!</definedName>
    <definedName name="_ME53" localSheetId="3">#REF!</definedName>
    <definedName name="_ME53">#REF!</definedName>
    <definedName name="_ME54" localSheetId="3">#REF!</definedName>
    <definedName name="_ME54">#REF!</definedName>
    <definedName name="_ME55" localSheetId="3">#REF!</definedName>
    <definedName name="_ME55">#REF!</definedName>
    <definedName name="_ME56" localSheetId="3">#REF!</definedName>
    <definedName name="_ME56">#REF!</definedName>
    <definedName name="_ME57" localSheetId="3">#REF!</definedName>
    <definedName name="_ME57">#REF!</definedName>
    <definedName name="_ME58" localSheetId="3">#REF!</definedName>
    <definedName name="_ME58">#REF!</definedName>
    <definedName name="_ME59" localSheetId="3">#REF!</definedName>
    <definedName name="_ME59">#REF!</definedName>
    <definedName name="_ME60" localSheetId="3">#REF!</definedName>
    <definedName name="_ME60">#REF!</definedName>
    <definedName name="_ME61" localSheetId="3">#REF!</definedName>
    <definedName name="_ME61">#REF!</definedName>
    <definedName name="_ME62" localSheetId="3">#REF!</definedName>
    <definedName name="_ME62">#REF!</definedName>
    <definedName name="_ME63" localSheetId="3">#REF!</definedName>
    <definedName name="_ME63">#REF!</definedName>
    <definedName name="_ME64" localSheetId="3">#REF!</definedName>
    <definedName name="_ME64">#REF!</definedName>
    <definedName name="_ME65" localSheetId="3">#REF!</definedName>
    <definedName name="_ME65">#REF!</definedName>
    <definedName name="_ME66" localSheetId="3">#REF!</definedName>
    <definedName name="_ME66">#REF!</definedName>
    <definedName name="_ME67" localSheetId="3">#REF!</definedName>
    <definedName name="_ME67">#REF!</definedName>
    <definedName name="_ME68" localSheetId="3">#REF!</definedName>
    <definedName name="_ME68">#REF!</definedName>
    <definedName name="_MMM01" localSheetId="2">#REF!</definedName>
    <definedName name="_MMM01" localSheetId="3">#REF!</definedName>
    <definedName name="_MMM01">#REF!</definedName>
    <definedName name="_MMM02" localSheetId="2">#REF!</definedName>
    <definedName name="_MMM02" localSheetId="3">#REF!</definedName>
    <definedName name="_MMM02">#REF!</definedName>
    <definedName name="_MMM03" localSheetId="2">#REF!</definedName>
    <definedName name="_MMM03" localSheetId="3">#REF!</definedName>
    <definedName name="_MMM03">#REF!</definedName>
    <definedName name="_MMM04" localSheetId="2">#REF!</definedName>
    <definedName name="_MMM04" localSheetId="3">#REF!</definedName>
    <definedName name="_MMM04">#REF!</definedName>
    <definedName name="_MMM05" localSheetId="2">#REF!</definedName>
    <definedName name="_MMM05" localSheetId="3">#REF!</definedName>
    <definedName name="_MMM05">#REF!</definedName>
    <definedName name="_MMM06" localSheetId="2">#REF!</definedName>
    <definedName name="_MMM06" localSheetId="3">#REF!</definedName>
    <definedName name="_MMM06">#REF!</definedName>
    <definedName name="_MMM07" localSheetId="2">#REF!</definedName>
    <definedName name="_MMM07" localSheetId="3">#REF!</definedName>
    <definedName name="_MMM07">#REF!</definedName>
    <definedName name="_MMM08" localSheetId="2">#REF!</definedName>
    <definedName name="_MMM08" localSheetId="3">#REF!</definedName>
    <definedName name="_MMM08">#REF!</definedName>
    <definedName name="_MMM09" localSheetId="2">#REF!</definedName>
    <definedName name="_MMM09" localSheetId="3">#REF!</definedName>
    <definedName name="_MMM09">#REF!</definedName>
    <definedName name="_MMM10" localSheetId="2">#REF!</definedName>
    <definedName name="_MMM10" localSheetId="3">#REF!</definedName>
    <definedName name="_MMM10">#REF!</definedName>
    <definedName name="_MMM11" localSheetId="2">#REF!</definedName>
    <definedName name="_MMM11" localSheetId="3">#REF!</definedName>
    <definedName name="_MMM11">#REF!</definedName>
    <definedName name="_MMM12" localSheetId="2">#REF!</definedName>
    <definedName name="_MMM12" localSheetId="3">#REF!</definedName>
    <definedName name="_MMM12">#REF!</definedName>
    <definedName name="_MMM13" localSheetId="2">#REF!</definedName>
    <definedName name="_MMM13" localSheetId="3">#REF!</definedName>
    <definedName name="_MMM13">#REF!</definedName>
    <definedName name="_MMM14" localSheetId="2">#REF!</definedName>
    <definedName name="_MMM14" localSheetId="3">#REF!</definedName>
    <definedName name="_MMM14">#REF!</definedName>
    <definedName name="_MMM15" localSheetId="2">#REF!</definedName>
    <definedName name="_MMM15" localSheetId="3">#REF!</definedName>
    <definedName name="_MMM15">#REF!</definedName>
    <definedName name="_MMM16" localSheetId="2">#REF!</definedName>
    <definedName name="_MMM16" localSheetId="3">#REF!</definedName>
    <definedName name="_MMM16">#REF!</definedName>
    <definedName name="_MMM17" localSheetId="2">#REF!</definedName>
    <definedName name="_MMM17" localSheetId="3">#REF!</definedName>
    <definedName name="_MMM17">#REF!</definedName>
    <definedName name="_MMM18" localSheetId="2">#REF!</definedName>
    <definedName name="_MMM18" localSheetId="3">#REF!</definedName>
    <definedName name="_MMM18">#REF!</definedName>
    <definedName name="_MMM19" localSheetId="2">#REF!</definedName>
    <definedName name="_MMM19" localSheetId="3">#REF!</definedName>
    <definedName name="_MMM19">#REF!</definedName>
    <definedName name="_MMM20" localSheetId="2">#REF!</definedName>
    <definedName name="_MMM20" localSheetId="3">#REF!</definedName>
    <definedName name="_MMM20">#REF!</definedName>
    <definedName name="_MMM21" localSheetId="2">#REF!</definedName>
    <definedName name="_MMM21" localSheetId="3">#REF!</definedName>
    <definedName name="_MMM21">#REF!</definedName>
    <definedName name="_MMM22" localSheetId="2">#REF!</definedName>
    <definedName name="_MMM22" localSheetId="3">#REF!</definedName>
    <definedName name="_MMM22">#REF!</definedName>
    <definedName name="_MMM23" localSheetId="2">#REF!</definedName>
    <definedName name="_MMM23" localSheetId="3">#REF!</definedName>
    <definedName name="_MMM23">#REF!</definedName>
    <definedName name="_MMM24" localSheetId="2">#REF!</definedName>
    <definedName name="_MMM24" localSheetId="3">#REF!</definedName>
    <definedName name="_MMM24">#REF!</definedName>
    <definedName name="_MMM25" localSheetId="2">#REF!</definedName>
    <definedName name="_MMM25" localSheetId="3">#REF!</definedName>
    <definedName name="_MMM25">#REF!</definedName>
    <definedName name="_MMM26" localSheetId="2">#REF!</definedName>
    <definedName name="_MMM26" localSheetId="3">#REF!</definedName>
    <definedName name="_MMM26">#REF!</definedName>
    <definedName name="_MMM27" localSheetId="2">#REF!</definedName>
    <definedName name="_MMM27" localSheetId="3">#REF!</definedName>
    <definedName name="_MMM27">#REF!</definedName>
    <definedName name="_MMM28" localSheetId="2">#REF!</definedName>
    <definedName name="_MMM28" localSheetId="3">#REF!</definedName>
    <definedName name="_MMM28">#REF!</definedName>
    <definedName name="_MMM29" localSheetId="2">#REF!</definedName>
    <definedName name="_MMM29" localSheetId="3">#REF!</definedName>
    <definedName name="_MMM29">#REF!</definedName>
    <definedName name="_MMM30" localSheetId="2">#REF!</definedName>
    <definedName name="_MMM30" localSheetId="3">#REF!</definedName>
    <definedName name="_MMM30">#REF!</definedName>
    <definedName name="_MMM31" localSheetId="2">#REF!</definedName>
    <definedName name="_MMM31" localSheetId="3">#REF!</definedName>
    <definedName name="_MMM31">#REF!</definedName>
    <definedName name="_MMM32" localSheetId="2">#REF!</definedName>
    <definedName name="_MMM32" localSheetId="3">#REF!</definedName>
    <definedName name="_MMM32">#REF!</definedName>
    <definedName name="_MMM33" localSheetId="2">#REF!</definedName>
    <definedName name="_MMM33" localSheetId="3">#REF!</definedName>
    <definedName name="_MMM33">#REF!</definedName>
    <definedName name="_MMM34" localSheetId="2">#REF!</definedName>
    <definedName name="_MMM34" localSheetId="3">#REF!</definedName>
    <definedName name="_MMM34">#REF!</definedName>
    <definedName name="_MMM35" localSheetId="2">#REF!</definedName>
    <definedName name="_MMM35" localSheetId="3">#REF!</definedName>
    <definedName name="_MMM35">#REF!</definedName>
    <definedName name="_MMM36" localSheetId="2">#REF!</definedName>
    <definedName name="_MMM36" localSheetId="3">#REF!</definedName>
    <definedName name="_MMM36">#REF!</definedName>
    <definedName name="_MMM37" localSheetId="2">#REF!</definedName>
    <definedName name="_MMM37" localSheetId="3">#REF!</definedName>
    <definedName name="_MMM37">#REF!</definedName>
    <definedName name="_MMM38" localSheetId="2">#REF!</definedName>
    <definedName name="_MMM38" localSheetId="3">#REF!</definedName>
    <definedName name="_MMM38">'[13]4-Basic Price'!#REF!</definedName>
    <definedName name="_MMM39" localSheetId="2">#REF!</definedName>
    <definedName name="_MMM39" localSheetId="3">#REF!</definedName>
    <definedName name="_MMM39">#REF!</definedName>
    <definedName name="_MMM40" localSheetId="2">#REF!</definedName>
    <definedName name="_MMM40" localSheetId="3">#REF!</definedName>
    <definedName name="_MMM40">#REF!</definedName>
    <definedName name="_MMM41" localSheetId="2">#REF!</definedName>
    <definedName name="_MMM41" localSheetId="3">#REF!</definedName>
    <definedName name="_MMM41">#REF!</definedName>
    <definedName name="_MMM411" localSheetId="2">#REF!</definedName>
    <definedName name="_MMM411" localSheetId="3">#REF!</definedName>
    <definedName name="_MMM411">#REF!</definedName>
    <definedName name="_MMM42" localSheetId="2">#REF!</definedName>
    <definedName name="_MMM42" localSheetId="3">#REF!</definedName>
    <definedName name="_MMM42">#REF!</definedName>
    <definedName name="_MMM43" localSheetId="2">#REF!</definedName>
    <definedName name="_MMM43" localSheetId="3">#REF!</definedName>
    <definedName name="_MMM43">#REF!</definedName>
    <definedName name="_MMM44" localSheetId="2">#REF!</definedName>
    <definedName name="_MMM44" localSheetId="3">#REF!</definedName>
    <definedName name="_MMM44">#REF!</definedName>
    <definedName name="_MMM45" localSheetId="2">#REF!</definedName>
    <definedName name="_MMM45" localSheetId="3">#REF!</definedName>
    <definedName name="_MMM45">#REF!</definedName>
    <definedName name="_MMM46" localSheetId="2">#REF!</definedName>
    <definedName name="_MMM46" localSheetId="3">#REF!</definedName>
    <definedName name="_MMM46">#REF!</definedName>
    <definedName name="_MMM47" localSheetId="2">#REF!</definedName>
    <definedName name="_MMM47" localSheetId="3">#REF!</definedName>
    <definedName name="_MMM47">#REF!</definedName>
    <definedName name="_MMM48" localSheetId="2">#REF!</definedName>
    <definedName name="_MMM48" localSheetId="3">#REF!</definedName>
    <definedName name="_MMM48">#REF!</definedName>
    <definedName name="_MMM49" localSheetId="2">#REF!</definedName>
    <definedName name="_MMM49" localSheetId="3">#REF!</definedName>
    <definedName name="_MMM49">#REF!</definedName>
    <definedName name="_MMM50" localSheetId="2">#REF!</definedName>
    <definedName name="_MMM50" localSheetId="3">#REF!</definedName>
    <definedName name="_MMM50">#REF!</definedName>
    <definedName name="_MMM51" localSheetId="2">#REF!</definedName>
    <definedName name="_MMM51" localSheetId="3">#REF!</definedName>
    <definedName name="_MMM51">#REF!</definedName>
    <definedName name="_MMM52" localSheetId="2">#REF!</definedName>
    <definedName name="_MMM52" localSheetId="3">#REF!</definedName>
    <definedName name="_MMM52">#REF!</definedName>
    <definedName name="_MMM53" localSheetId="2">#REF!</definedName>
    <definedName name="_MMM53" localSheetId="3">#REF!</definedName>
    <definedName name="_MMM53">#REF!</definedName>
    <definedName name="_MMM54" localSheetId="2">#REF!</definedName>
    <definedName name="_MMM54" localSheetId="3">#REF!</definedName>
    <definedName name="_MMM54">#REF!</definedName>
    <definedName name="_MMM57" localSheetId="3">#REF!</definedName>
    <definedName name="_MMM57">#REF!</definedName>
    <definedName name="_MMM58" localSheetId="3">#REF!</definedName>
    <definedName name="_MMM58">#REF!</definedName>
    <definedName name="_MMM59" localSheetId="3">#REF!</definedName>
    <definedName name="_MMM59">#REF!</definedName>
    <definedName name="_MMM60" localSheetId="3">#REF!</definedName>
    <definedName name="_MMM60">#REF!</definedName>
    <definedName name="_MMM61" localSheetId="3">#REF!</definedName>
    <definedName name="_MMM61">#REF!</definedName>
    <definedName name="_MMM62" localSheetId="3">#REF!</definedName>
    <definedName name="_MMM62">#REF!</definedName>
    <definedName name="_MMM63" localSheetId="3">#REF!</definedName>
    <definedName name="_MMM63">#REF!</definedName>
    <definedName name="_MMM64" localSheetId="3">#REF!</definedName>
    <definedName name="_MMM64">#REF!</definedName>
    <definedName name="_MMM65" localSheetId="3">#REF!</definedName>
    <definedName name="_MMM65">#REF!</definedName>
    <definedName name="_MMM66" localSheetId="3">#REF!</definedName>
    <definedName name="_MMM66">#REF!</definedName>
    <definedName name="_mu1" localSheetId="3">#REF!</definedName>
    <definedName name="_mu1">#REF!</definedName>
    <definedName name="_mu2" localSheetId="3">#REF!</definedName>
    <definedName name="_mu2">#REF!</definedName>
    <definedName name="_mul12" localSheetId="3">#REF!</definedName>
    <definedName name="_mul12">#REF!</definedName>
    <definedName name="_mul9" localSheetId="3">#REF!</definedName>
    <definedName name="_mul9">#REF!</definedName>
    <definedName name="_mvd1" localSheetId="3">#REF!</definedName>
    <definedName name="_mvd1">#REF!</definedName>
    <definedName name="_mvd2" localSheetId="3">#REF!</definedName>
    <definedName name="_mvd2">#REF!</definedName>
    <definedName name="_mvd3" localSheetId="3">#REF!</definedName>
    <definedName name="_mvd3">#REF!</definedName>
    <definedName name="_mvd4" localSheetId="3">#REF!</definedName>
    <definedName name="_mvd4">#REF!</definedName>
    <definedName name="_NCL100" localSheetId="3">#REF!</definedName>
    <definedName name="_NCL100">#REF!</definedName>
    <definedName name="_NCL200" localSheetId="3">#REF!</definedName>
    <definedName name="_NCL200">#REF!</definedName>
    <definedName name="_NCL250" localSheetId="3">#REF!</definedName>
    <definedName name="_NCL250">#REF!</definedName>
    <definedName name="_nin190" localSheetId="3">#REF!</definedName>
    <definedName name="_nin190">#REF!</definedName>
    <definedName name="_nym34" localSheetId="3">#REF!</definedName>
    <definedName name="_nym34">#REF!</definedName>
    <definedName name="_nym46" localSheetId="3">#REF!</definedName>
    <definedName name="_nym46">#REF!</definedName>
    <definedName name="_nyy2416" localSheetId="3">#REF!</definedName>
    <definedName name="_nyy2416">#REF!</definedName>
    <definedName name="_nyy244" localSheetId="3">#REF!</definedName>
    <definedName name="_nyy244">#REF!</definedName>
    <definedName name="_nyy246" localSheetId="3">#REF!</definedName>
    <definedName name="_nyy246">#REF!</definedName>
    <definedName name="_nyy34" localSheetId="3">#REF!</definedName>
    <definedName name="_nyy34">#REF!</definedName>
    <definedName name="_nyy410" localSheetId="3">#REF!</definedName>
    <definedName name="_nyy410">#REF!</definedName>
    <definedName name="_nyy41010" localSheetId="3">#REF!</definedName>
    <definedName name="_nyy41010">#REF!</definedName>
    <definedName name="_nyy412050" localSheetId="3">#REF!</definedName>
    <definedName name="_nyy412050">#REF!</definedName>
    <definedName name="_nyy412070" localSheetId="3">#REF!</definedName>
    <definedName name="_nyy412070">#REF!</definedName>
    <definedName name="_nyy415070" localSheetId="3">#REF!</definedName>
    <definedName name="_nyy415070">#REF!</definedName>
    <definedName name="_nyy416" localSheetId="3">#REF!</definedName>
    <definedName name="_nyy416">#REF!</definedName>
    <definedName name="_nyy41616" localSheetId="3">#REF!</definedName>
    <definedName name="_nyy41616">#REF!</definedName>
    <definedName name="_nyy42525" localSheetId="3">#REF!</definedName>
    <definedName name="_nyy42525">#REF!</definedName>
    <definedName name="_nyy43535" localSheetId="3">#REF!</definedName>
    <definedName name="_nyy43535">#REF!</definedName>
    <definedName name="_nyy44" localSheetId="3">#REF!</definedName>
    <definedName name="_nyy44">#REF!</definedName>
    <definedName name="_nyy444" localSheetId="3">#REF!</definedName>
    <definedName name="_nyy444">#REF!</definedName>
    <definedName name="_nyy45050" localSheetId="3">#REF!</definedName>
    <definedName name="_nyy45050">#REF!</definedName>
    <definedName name="_nyy46" localSheetId="3">#REF!</definedName>
    <definedName name="_nyy46">#REF!</definedName>
    <definedName name="_nyy466" localSheetId="3">#REF!</definedName>
    <definedName name="_nyy466">#REF!</definedName>
    <definedName name="_nyy47050" localSheetId="3">#REF!</definedName>
    <definedName name="_nyy47050">#REF!</definedName>
    <definedName name="_nyy47070" localSheetId="3">#REF!</definedName>
    <definedName name="_nyy47070">#REF!</definedName>
    <definedName name="_nyy49570" localSheetId="3">#REF!</definedName>
    <definedName name="_nyy49570">#REF!</definedName>
    <definedName name="_Order1" localSheetId="2" hidden="1">255</definedName>
    <definedName name="_Order1" localSheetId="3" hidden="1">255</definedName>
    <definedName name="_Order1" hidden="1">0</definedName>
    <definedName name="_Order2" hidden="1">255</definedName>
    <definedName name="_P" localSheetId="2">'[21]1_boq'!#REF!</definedName>
    <definedName name="_P" localSheetId="3">'[21]1_boq'!#REF!</definedName>
    <definedName name="_P">'[12]1_boq'!#REF!</definedName>
    <definedName name="_PA1" localSheetId="3">#REF!</definedName>
    <definedName name="_PA1">#REF!</definedName>
    <definedName name="_PA10" localSheetId="3">#REF!</definedName>
    <definedName name="_PA10">#REF!</definedName>
    <definedName name="_PA2" localSheetId="3">#REF!</definedName>
    <definedName name="_PA2">#REF!</definedName>
    <definedName name="_PA3" localSheetId="3">#REF!</definedName>
    <definedName name="_PA3">#REF!</definedName>
    <definedName name="_PA4" localSheetId="3">#REF!</definedName>
    <definedName name="_PA4">#REF!</definedName>
    <definedName name="_PA5" localSheetId="3">#REF!</definedName>
    <definedName name="_PA5">#REF!</definedName>
    <definedName name="_PA6" localSheetId="3">#REF!</definedName>
    <definedName name="_PA6">#REF!</definedName>
    <definedName name="_PA7" localSheetId="3">#REF!</definedName>
    <definedName name="_PA7">#REF!</definedName>
    <definedName name="_PA8" localSheetId="3">#REF!</definedName>
    <definedName name="_PA8">#REF!</definedName>
    <definedName name="_PA9" localSheetId="3">#REF!</definedName>
    <definedName name="_PA9">#REF!</definedName>
    <definedName name="_pab125" localSheetId="3">#REF!</definedName>
    <definedName name="_pab125">#REF!</definedName>
    <definedName name="_pab126" localSheetId="3">#REF!</definedName>
    <definedName name="_pab126">#REF!</definedName>
    <definedName name="_pab65" localSheetId="3">#REF!</definedName>
    <definedName name="_pab65">#REF!</definedName>
    <definedName name="_PB1" localSheetId="3">#REF!</definedName>
    <definedName name="_PB1">#REF!</definedName>
    <definedName name="_PB2" localSheetId="3">#REF!</definedName>
    <definedName name="_PB2">#REF!</definedName>
    <definedName name="_PB3" localSheetId="3">#REF!</definedName>
    <definedName name="_PB3">#REF!</definedName>
    <definedName name="_pb34" localSheetId="3">#REF!</definedName>
    <definedName name="_pb34">#REF!</definedName>
    <definedName name="_pb4" localSheetId="3">#REF!</definedName>
    <definedName name="_pb4">#REF!</definedName>
    <definedName name="_pbf3" localSheetId="3">#REF!</definedName>
    <definedName name="_pbf3">#REF!</definedName>
    <definedName name="_pbf4" localSheetId="3">#REF!</definedName>
    <definedName name="_pbf4">#REF!</definedName>
    <definedName name="_PBK175" localSheetId="3">#REF!</definedName>
    <definedName name="_PBK175">#REF!</definedName>
    <definedName name="_PBK225" localSheetId="3">#REF!</definedName>
    <definedName name="_PBK225">#REF!</definedName>
    <definedName name="_pbs100" localSheetId="3">#REF!</definedName>
    <definedName name="_pbs100">#REF!</definedName>
    <definedName name="_pbs15" localSheetId="3">#REF!</definedName>
    <definedName name="_pbs15">#REF!</definedName>
    <definedName name="_pbs150" localSheetId="3">#REF!</definedName>
    <definedName name="_pbs150">#REF!</definedName>
    <definedName name="_pbs40" localSheetId="3">#REF!</definedName>
    <definedName name="_pbs40">#REF!</definedName>
    <definedName name="_pbs50" localSheetId="3">#REF!</definedName>
    <definedName name="_pbs50">#REF!</definedName>
    <definedName name="_pbs65" localSheetId="3">#REF!</definedName>
    <definedName name="_pbs65">#REF!</definedName>
    <definedName name="_pbs80" localSheetId="3">#REF!</definedName>
    <definedName name="_pbs80">#REF!</definedName>
    <definedName name="_pc1" localSheetId="3">#REF!</definedName>
    <definedName name="_pc1">#REF!</definedName>
    <definedName name="_pc10" localSheetId="3">#REF!</definedName>
    <definedName name="_pc10">#REF!</definedName>
    <definedName name="_pc12" localSheetId="3">#REF!</definedName>
    <definedName name="_pc12">#REF!</definedName>
    <definedName name="_pc2" localSheetId="3">#REF!</definedName>
    <definedName name="_pc2">#REF!</definedName>
    <definedName name="_pc3" localSheetId="3">#REF!</definedName>
    <definedName name="_pc3">#REF!</definedName>
    <definedName name="_pc4" localSheetId="3">#REF!</definedName>
    <definedName name="_pc4">#REF!</definedName>
    <definedName name="_PC450" localSheetId="3">#REF!</definedName>
    <definedName name="_PC450">#REF!</definedName>
    <definedName name="_pc5" localSheetId="3">#REF!</definedName>
    <definedName name="_pc5">#REF!</definedName>
    <definedName name="_pc6" localSheetId="3">#REF!</definedName>
    <definedName name="_pc6">#REF!</definedName>
    <definedName name="_PC600" localSheetId="3">#REF!</definedName>
    <definedName name="_PC600">#REF!</definedName>
    <definedName name="_pc8" localSheetId="3">#REF!</definedName>
    <definedName name="_pc8">#REF!</definedName>
    <definedName name="_PCD10" localSheetId="3">#REF!</definedName>
    <definedName name="_PCD10">#REF!</definedName>
    <definedName name="_PCD3" localSheetId="3">#REF!</definedName>
    <definedName name="_PCD3">#REF!</definedName>
    <definedName name="_PCD6" localSheetId="3">#REF!</definedName>
    <definedName name="_PCD6">#REF!</definedName>
    <definedName name="_PCD8" localSheetId="3">#REF!</definedName>
    <definedName name="_PCD8">#REF!</definedName>
    <definedName name="_pcf10" localSheetId="3">#REF!</definedName>
    <definedName name="_pcf10">#REF!</definedName>
    <definedName name="_pcf12" localSheetId="3">#REF!</definedName>
    <definedName name="_pcf12">#REF!</definedName>
    <definedName name="_pcf3" localSheetId="3">#REF!</definedName>
    <definedName name="_pcf3">#REF!</definedName>
    <definedName name="_pcf4" localSheetId="3">#REF!</definedName>
    <definedName name="_pcf4">#REF!</definedName>
    <definedName name="_pcf5" localSheetId="3">#REF!</definedName>
    <definedName name="_pcf5">#REF!</definedName>
    <definedName name="_pcf6" localSheetId="3">#REF!</definedName>
    <definedName name="_pcf6">#REF!</definedName>
    <definedName name="_pcf8" localSheetId="3">#REF!</definedName>
    <definedName name="_pcf8">#REF!</definedName>
    <definedName name="_pd1" localSheetId="3">#REF!</definedName>
    <definedName name="_pd1">#REF!</definedName>
    <definedName name="_pd2" localSheetId="3">#REF!</definedName>
    <definedName name="_pd2">#REF!</definedName>
    <definedName name="_pd3" localSheetId="3">#REF!</definedName>
    <definedName name="_pd3">#REF!</definedName>
    <definedName name="_pdf3" localSheetId="3">#REF!</definedName>
    <definedName name="_pdf3">#REF!</definedName>
    <definedName name="_PJ2" localSheetId="3">#REF!</definedName>
    <definedName name="_PJ2">#REF!</definedName>
    <definedName name="_PJ3" localSheetId="3">#REF!</definedName>
    <definedName name="_PJ3">#REF!</definedName>
    <definedName name="_PL1" localSheetId="3">#REF!</definedName>
    <definedName name="_PL1">#REF!</definedName>
    <definedName name="_PL2" localSheetId="3">#REF!</definedName>
    <definedName name="_PL2">#REF!</definedName>
    <definedName name="_PL3" localSheetId="3">#REF!</definedName>
    <definedName name="_PL3">#REF!</definedName>
    <definedName name="_ply3">[10]BAHAN!#REF!</definedName>
    <definedName name="_ply4">[10]BAHAN!#REF!</definedName>
    <definedName name="_ply6">[10]BAHAN!#REF!</definedName>
    <definedName name="_po1000" localSheetId="3">#REF!</definedName>
    <definedName name="_po1000">#REF!</definedName>
    <definedName name="_por4040" localSheetId="3">#REF!</definedName>
    <definedName name="_por4040">#REF!</definedName>
    <definedName name="_ptg1" localSheetId="3">#REF!</definedName>
    <definedName name="_ptg1">#REF!</definedName>
    <definedName name="_ptg2" localSheetId="3">#REF!</definedName>
    <definedName name="_ptg2">#REF!</definedName>
    <definedName name="_pvc05" localSheetId="3">#REF!</definedName>
    <definedName name="_pvc05">#REF!</definedName>
    <definedName name="_PVC1" localSheetId="2">#REF!</definedName>
    <definedName name="_pvc1" localSheetId="3">#REF!</definedName>
    <definedName name="_PVC1" localSheetId="11">#REF!</definedName>
    <definedName name="_PVC1">#REF!</definedName>
    <definedName name="_pvc105" localSheetId="3">#REF!</definedName>
    <definedName name="_pvc105">#REF!</definedName>
    <definedName name="_pvc2" localSheetId="3">#REF!</definedName>
    <definedName name="_PVC2" localSheetId="11">#REF!</definedName>
    <definedName name="_PVC2">#REF!</definedName>
    <definedName name="_pvc212" localSheetId="3">#REF!</definedName>
    <definedName name="_pvc212">#REF!</definedName>
    <definedName name="_pvc3" localSheetId="2">#REF!</definedName>
    <definedName name="_pvc3" localSheetId="3">#REF!</definedName>
    <definedName name="_pvc3">[10]BAHAN!#REF!</definedName>
    <definedName name="_pvc4" localSheetId="3">#REF!</definedName>
    <definedName name="_PVC4" localSheetId="11">#REF!</definedName>
    <definedName name="_PVC4">#REF!</definedName>
    <definedName name="_PVC6" localSheetId="3">#REF!</definedName>
    <definedName name="_PVC6">#REF!</definedName>
    <definedName name="_PVC8" localSheetId="3">#REF!</definedName>
    <definedName name="_PVC8">#REF!</definedName>
    <definedName name="_Q" localSheetId="3">#REF!</definedName>
    <definedName name="_Q">#REF!</definedName>
    <definedName name="_QS1" localSheetId="3">#REF!</definedName>
    <definedName name="_QS1">#REF!</definedName>
    <definedName name="_QS10" localSheetId="3">#REF!</definedName>
    <definedName name="_QS10">#REF!</definedName>
    <definedName name="_QS11" localSheetId="3">#REF!</definedName>
    <definedName name="_QS11">#REF!</definedName>
    <definedName name="_QS12" localSheetId="3">#REF!</definedName>
    <definedName name="_QS12">#REF!</definedName>
    <definedName name="_QS13" localSheetId="3">#REF!</definedName>
    <definedName name="_QS13">#REF!</definedName>
    <definedName name="_QS14" localSheetId="3">#REF!</definedName>
    <definedName name="_QS14">#REF!</definedName>
    <definedName name="_QS15" localSheetId="3">#REF!</definedName>
    <definedName name="_QS15">#REF!</definedName>
    <definedName name="_QS16" localSheetId="3">#REF!</definedName>
    <definedName name="_QS16">#REF!</definedName>
    <definedName name="_QS17" localSheetId="3">#REF!</definedName>
    <definedName name="_QS17">#REF!</definedName>
    <definedName name="_QS18" localSheetId="3">#REF!</definedName>
    <definedName name="_QS18">#REF!</definedName>
    <definedName name="_QS19" localSheetId="3">#REF!</definedName>
    <definedName name="_QS19">#REF!</definedName>
    <definedName name="_QS2" localSheetId="3">#REF!</definedName>
    <definedName name="_QS2">#REF!</definedName>
    <definedName name="_QS20" localSheetId="3">#REF!</definedName>
    <definedName name="_QS20">#REF!</definedName>
    <definedName name="_QS21" localSheetId="3">#REF!</definedName>
    <definedName name="_QS21">#REF!</definedName>
    <definedName name="_QS3" localSheetId="3">#REF!</definedName>
    <definedName name="_QS3">#REF!</definedName>
    <definedName name="_QS4" localSheetId="3">#REF!</definedName>
    <definedName name="_QS4">#REF!</definedName>
    <definedName name="_QS5" localSheetId="3">#REF!</definedName>
    <definedName name="_QS5">#REF!</definedName>
    <definedName name="_QS6" localSheetId="3">#REF!</definedName>
    <definedName name="_QS6">#REF!</definedName>
    <definedName name="_QS7" localSheetId="3">#REF!</definedName>
    <definedName name="_QS7">#REF!</definedName>
    <definedName name="_QS8" localSheetId="3">#REF!</definedName>
    <definedName name="_QS8">#REF!</definedName>
    <definedName name="_QS9" localSheetId="3">#REF!</definedName>
    <definedName name="_QS9">#REF!</definedName>
    <definedName name="_rbf2" localSheetId="3">#REF!</definedName>
    <definedName name="_rbf2">#REF!</definedName>
    <definedName name="_rbf3" localSheetId="3">#REF!</definedName>
    <definedName name="_rbf3">#REF!</definedName>
    <definedName name="_rbf4" localSheetId="3">#REF!</definedName>
    <definedName name="_rbf4">#REF!</definedName>
    <definedName name="_rd1" localSheetId="3">#REF!</definedName>
    <definedName name="_rd1">#REF!</definedName>
    <definedName name="_rd2" localSheetId="3">#REF!</definedName>
    <definedName name="_rd2">#REF!</definedName>
    <definedName name="_rd3" localSheetId="3">#REF!</definedName>
    <definedName name="_rd3">#REF!</definedName>
    <definedName name="_rd4" localSheetId="3">#REF!</definedName>
    <definedName name="_rd4">#REF!</definedName>
    <definedName name="_rd6" localSheetId="3">#REF!</definedName>
    <definedName name="_rd6">#REF!</definedName>
    <definedName name="_rd8" localSheetId="3">#REF!</definedName>
    <definedName name="_rd8">#REF!</definedName>
    <definedName name="_Regression_Int">1</definedName>
    <definedName name="_Regression_X" localSheetId="3" hidden="1">#REF!</definedName>
    <definedName name="_Regression_X" hidden="1">#REF!</definedName>
    <definedName name="_rk100" localSheetId="3">#REF!</definedName>
    <definedName name="_rk100">#REF!</definedName>
    <definedName name="_rk150" localSheetId="3">#REF!</definedName>
    <definedName name="_rk150">#REF!</definedName>
    <definedName name="_rk200" localSheetId="3">#REF!</definedName>
    <definedName name="_rk200">#REF!</definedName>
    <definedName name="_rk300" localSheetId="3">#REF!</definedName>
    <definedName name="_rk300">#REF!</definedName>
    <definedName name="_rk400" localSheetId="3">#REF!</definedName>
    <definedName name="_rk400">#REF!</definedName>
    <definedName name="_rk500" localSheetId="3">#REF!</definedName>
    <definedName name="_rk500">#REF!</definedName>
    <definedName name="_rk600" localSheetId="3">#REF!</definedName>
    <definedName name="_rk600">#REF!</definedName>
    <definedName name="_rkl1000" localSheetId="3">#REF!</definedName>
    <definedName name="_rkl1000">#REF!</definedName>
    <definedName name="_rkl1200" localSheetId="3">#REF!</definedName>
    <definedName name="_rkl1200">#REF!</definedName>
    <definedName name="_rkl200" localSheetId="3">#REF!</definedName>
    <definedName name="_rkl200">#REF!</definedName>
    <definedName name="_rkl300" localSheetId="3">#REF!</definedName>
    <definedName name="_rkl300">#REF!</definedName>
    <definedName name="_rkl400" localSheetId="3">#REF!</definedName>
    <definedName name="_rkl400">#REF!</definedName>
    <definedName name="_rkl500" localSheetId="3">#REF!</definedName>
    <definedName name="_rkl500">#REF!</definedName>
    <definedName name="_rkl600" localSheetId="3">#REF!</definedName>
    <definedName name="_rkl600">#REF!</definedName>
    <definedName name="_rkl700" localSheetId="3">#REF!</definedName>
    <definedName name="_rkl700">#REF!</definedName>
    <definedName name="_rkl800" localSheetId="3">#REF!</definedName>
    <definedName name="_rkl800">#REF!</definedName>
    <definedName name="_rmk250" localSheetId="3">#REF!</definedName>
    <definedName name="_rmk250">#REF!</definedName>
    <definedName name="_RMK275" localSheetId="3">#REF!</definedName>
    <definedName name="_RMK275">#REF!</definedName>
    <definedName name="_RMK300" localSheetId="3">#REF!</definedName>
    <definedName name="_RMK300">#REF!</definedName>
    <definedName name="_S" localSheetId="2">#REF!</definedName>
    <definedName name="_S" localSheetId="3">#REF!</definedName>
    <definedName name="_S">'[12]1_boq'!#REF!</definedName>
    <definedName name="_S_6" localSheetId="3">#REF!</definedName>
    <definedName name="_S_6">#REF!</definedName>
    <definedName name="_SAK1" localSheetId="2">#REF!</definedName>
    <definedName name="_SAK1" localSheetId="3">#REF!</definedName>
    <definedName name="_SAK1" localSheetId="11">#REF!</definedName>
    <definedName name="_SAK1">#REF!</definedName>
    <definedName name="_sc1" localSheetId="3">#REF!</definedName>
    <definedName name="_sc1">#REF!</definedName>
    <definedName name="_SC2" localSheetId="3">#REF!</definedName>
    <definedName name="_SC2">#REF!</definedName>
    <definedName name="_sc3" localSheetId="3">#REF!</definedName>
    <definedName name="_sc3">#REF!</definedName>
    <definedName name="_sfv150" localSheetId="3">#REF!</definedName>
    <definedName name="_sfv150">#REF!</definedName>
    <definedName name="_sh1040" localSheetId="3">#REF!</definedName>
    <definedName name="_sh1040">#REF!</definedName>
    <definedName name="_SN3" localSheetId="3">#REF!</definedName>
    <definedName name="_SN3">#REF!</definedName>
    <definedName name="_Sort" localSheetId="2" hidden="1">#REF!</definedName>
    <definedName name="_Sort" localSheetId="3" hidden="1">#REF!</definedName>
    <definedName name="_Sort" hidden="1">[19]Schdule!$Z$16:$Z$112</definedName>
    <definedName name="_st1" localSheetId="3">#REF!</definedName>
    <definedName name="_st1">#REF!</definedName>
    <definedName name="_st2" localSheetId="3">#REF!</definedName>
    <definedName name="_st2">#REF!</definedName>
    <definedName name="_st3" localSheetId="3">#REF!</definedName>
    <definedName name="_st3">#REF!</definedName>
    <definedName name="_std100" localSheetId="3">#REF!</definedName>
    <definedName name="_std100">#REF!</definedName>
    <definedName name="_std150" localSheetId="3">#REF!</definedName>
    <definedName name="_std150">#REF!</definedName>
    <definedName name="_std2" localSheetId="3">#REF!</definedName>
    <definedName name="_std2">#REF!</definedName>
    <definedName name="_std3" localSheetId="3">#REF!</definedName>
    <definedName name="_std3">#REF!</definedName>
    <definedName name="_std4" localSheetId="3">#REF!</definedName>
    <definedName name="_std4">#REF!</definedName>
    <definedName name="_std50" localSheetId="3">#REF!</definedName>
    <definedName name="_std50">#REF!</definedName>
    <definedName name="_std65" localSheetId="3">#REF!</definedName>
    <definedName name="_std65">#REF!</definedName>
    <definedName name="_T916889" localSheetId="3">#REF!</definedName>
    <definedName name="_T916889">#REF!</definedName>
    <definedName name="_TA01" localSheetId="3">#REF!</definedName>
    <definedName name="_TA01">#REF!</definedName>
    <definedName name="_TA67" localSheetId="3">#REF!</definedName>
    <definedName name="_TA67">#REF!</definedName>
    <definedName name="_TA78" localSheetId="3">#REF!</definedName>
    <definedName name="_TA78">#REF!</definedName>
    <definedName name="_TA89" localSheetId="3">#REF!</definedName>
    <definedName name="_TA89">#REF!</definedName>
    <definedName name="_TA90" localSheetId="3">#REF!</definedName>
    <definedName name="_TA90">#REF!</definedName>
    <definedName name="_ti100" localSheetId="3">#REF!</definedName>
    <definedName name="_ti100">#REF!</definedName>
    <definedName name="_ti120" localSheetId="3">#REF!</definedName>
    <definedName name="_ti120">#REF!</definedName>
    <definedName name="_ti50" localSheetId="3">#REF!</definedName>
    <definedName name="_ti50">#REF!</definedName>
    <definedName name="_ti60" localSheetId="3">#REF!</definedName>
    <definedName name="_ti60">#REF!</definedName>
    <definedName name="_ti80" localSheetId="3">#REF!</definedName>
    <definedName name="_ti80">#REF!</definedName>
    <definedName name="_TL1" localSheetId="3">#REF!</definedName>
    <definedName name="_TL1">#REF!</definedName>
    <definedName name="_tl120" localSheetId="3">#REF!</definedName>
    <definedName name="_tl120">#REF!</definedName>
    <definedName name="_tl140" localSheetId="3">#REF!</definedName>
    <definedName name="_tl140">#REF!</definedName>
    <definedName name="_TL2" localSheetId="3">#REF!</definedName>
    <definedName name="_TL2">#REF!</definedName>
    <definedName name="_TL240" localSheetId="3">#REF!</definedName>
    <definedName name="_TL240">#REF!</definedName>
    <definedName name="_TL3" localSheetId="3">#REF!</definedName>
    <definedName name="_TL3">#REF!</definedName>
    <definedName name="_TLA120" localSheetId="3">#REF!</definedName>
    <definedName name="_TLA120">#REF!</definedName>
    <definedName name="_TLA35" localSheetId="3">#REF!</definedName>
    <definedName name="_TLA35">#REF!</definedName>
    <definedName name="_TLA50" localSheetId="3">#REF!</definedName>
    <definedName name="_TLA50">#REF!</definedName>
    <definedName name="_TLA70" localSheetId="3">#REF!</definedName>
    <definedName name="_TLA70">#REF!</definedName>
    <definedName name="_TLA95" localSheetId="3">#REF!</definedName>
    <definedName name="_TLA95">#REF!</definedName>
    <definedName name="_tlc20" localSheetId="3">#REF!</definedName>
    <definedName name="_tlc20">#REF!</definedName>
    <definedName name="_tok2" localSheetId="2">#REF!</definedName>
    <definedName name="_tok2" localSheetId="3">#REF!</definedName>
    <definedName name="_tok2">#REF!</definedName>
    <definedName name="_tp30" localSheetId="3">#REF!</definedName>
    <definedName name="_tp30">#REF!</definedName>
    <definedName name="_tp40" localSheetId="3">#REF!</definedName>
    <definedName name="_tp40">#REF!</definedName>
    <definedName name="_trp6" localSheetId="3">#REF!</definedName>
    <definedName name="_trp6">#REF!</definedName>
    <definedName name="_tsv25" localSheetId="3">#REF!</definedName>
    <definedName name="_tsv25">#REF!</definedName>
    <definedName name="_uls60" localSheetId="3">#REF!</definedName>
    <definedName name="_uls60">#REF!</definedName>
    <definedName name="_utd1" localSheetId="3">#REF!</definedName>
    <definedName name="_utd1">#REF!</definedName>
    <definedName name="_utd2" localSheetId="3">#REF!</definedName>
    <definedName name="_utd2">#REF!</definedName>
    <definedName name="_utd3" localSheetId="3">#REF!</definedName>
    <definedName name="_utd3">#REF!</definedName>
    <definedName name="_vcd2" localSheetId="3">#REF!</definedName>
    <definedName name="_vcd2">#REF!</definedName>
    <definedName name="_vcd3" localSheetId="3">#REF!</definedName>
    <definedName name="_vcd3">#REF!</definedName>
    <definedName name="_vcd4" localSheetId="3">#REF!</definedName>
    <definedName name="_vcd4">#REF!</definedName>
    <definedName name="_VL100" localSheetId="3">#REF!</definedName>
    <definedName name="_VL100">#REF!</definedName>
    <definedName name="_VL200" localSheetId="3">#REF!</definedName>
    <definedName name="_VL200">#REF!</definedName>
    <definedName name="_VL250" localSheetId="3">#REF!</definedName>
    <definedName name="_VL250">#REF!</definedName>
    <definedName name="_VS2">#REF!</definedName>
    <definedName name="_W" localSheetId="3">#REF!</definedName>
    <definedName name="_W">#REF!</definedName>
    <definedName name="_WAK1" localSheetId="3">#REF!</definedName>
    <definedName name="_WAK1">#REF!</definedName>
    <definedName name="_WAK2" localSheetId="3">#REF!</definedName>
    <definedName name="_WAK2">#REF!</definedName>
    <definedName name="_WC1" localSheetId="3">#REF!</definedName>
    <definedName name="_WC1">#REF!</definedName>
    <definedName name="_WC2" localSheetId="3">#REF!</definedName>
    <definedName name="_WC2">#REF!</definedName>
    <definedName name="_WC3" localSheetId="3">#REF!</definedName>
    <definedName name="_WC3">#REF!</definedName>
    <definedName name="_we3" localSheetId="3">#REF!</definedName>
    <definedName name="_we3">#REF!</definedName>
    <definedName name="_wm16" localSheetId="3">#REF!</definedName>
    <definedName name="_wm16">#REF!</definedName>
    <definedName name="_WM420" localSheetId="3">#REF!</definedName>
    <definedName name="_WM420">#REF!</definedName>
    <definedName name="_x_6" localSheetId="3">#REF!</definedName>
    <definedName name="_x_6">#REF!</definedName>
    <definedName name="a" localSheetId="2">#REF!</definedName>
    <definedName name="A" localSheetId="3" hidden="1">#REF!</definedName>
    <definedName name="a" hidden="1">'[22]ANL-EI'!#REF!</definedName>
    <definedName name="A.1" localSheetId="2">#N/A</definedName>
    <definedName name="A.1" localSheetId="3">#N/A</definedName>
    <definedName name="A.1">#N/A</definedName>
    <definedName name="A.10">#N/A</definedName>
    <definedName name="A.11">#N/A</definedName>
    <definedName name="A.12">#N/A</definedName>
    <definedName name="A.120" localSheetId="2">#REF!</definedName>
    <definedName name="A.120" localSheetId="3">#REF!</definedName>
    <definedName name="A.120" localSheetId="11">#REF!</definedName>
    <definedName name="A.120">#REF!</definedName>
    <definedName name="A.16" localSheetId="2">#REF!</definedName>
    <definedName name="A.16" localSheetId="3">#REF!</definedName>
    <definedName name="A.16">#REF!</definedName>
    <definedName name="A.16A" localSheetId="2">#REF!</definedName>
    <definedName name="A.16A" localSheetId="3">#REF!</definedName>
    <definedName name="A.16A">#REF!</definedName>
    <definedName name="A.18" localSheetId="2">#REF!</definedName>
    <definedName name="A.18" localSheetId="3">#REF!</definedName>
    <definedName name="A.18">#N/A</definedName>
    <definedName name="A.18.A">#N/A</definedName>
    <definedName name="A.18a" localSheetId="2">#REF!</definedName>
    <definedName name="A.18a" localSheetId="3">#REF!</definedName>
    <definedName name="A.18a">[8]Anl!#REF!</definedName>
    <definedName name="A.18b">#REF!</definedName>
    <definedName name="A.2" localSheetId="2">#REF!</definedName>
    <definedName name="A.2" localSheetId="3">#REF!</definedName>
    <definedName name="A.2">#N/A</definedName>
    <definedName name="A.3" localSheetId="2">#REF!</definedName>
    <definedName name="A.3" localSheetId="3">#REF!</definedName>
    <definedName name="A.3">#N/A</definedName>
    <definedName name="A.4" localSheetId="2">#REF!</definedName>
    <definedName name="A.4" localSheetId="3">#REF!</definedName>
    <definedName name="A.4">#N/A</definedName>
    <definedName name="A.5" localSheetId="2">#REF!</definedName>
    <definedName name="A.5" localSheetId="3">#REF!</definedName>
    <definedName name="A.5">#N/A</definedName>
    <definedName name="A.6">#N/A</definedName>
    <definedName name="A.60" localSheetId="2">#REF!</definedName>
    <definedName name="A.60" localSheetId="3">#REF!</definedName>
    <definedName name="A.60">#REF!</definedName>
    <definedName name="A.9" localSheetId="2">#REF!</definedName>
    <definedName name="A.9" localSheetId="3">#REF!</definedName>
    <definedName name="A.9">#N/A</definedName>
    <definedName name="A.90" localSheetId="2">#REF!</definedName>
    <definedName name="A.90" localSheetId="3">#REF!</definedName>
    <definedName name="A.90">#REF!</definedName>
    <definedName name="a.Bahan">[23]INPUT!$B$46</definedName>
    <definedName name="a.Bh">[23]INPUT!$B$36</definedName>
    <definedName name="a.Btg">[23]INPUT!$B$34</definedName>
    <definedName name="a.Kg">[23]INPUT!$B$33</definedName>
    <definedName name="a.Lbr">[23]INPUT!$B$35</definedName>
    <definedName name="a.Ls">[23]INPUT!$B$43</definedName>
    <definedName name="a.Ltr">[23]INPUT!$B$42</definedName>
    <definedName name="a.M">[23]INPUT!$B$31</definedName>
    <definedName name="a.M²">[23]INPUT!$B$30</definedName>
    <definedName name="a.M³">[23]INPUT!$B$29</definedName>
    <definedName name="a.OH">[23]INPUT!$B$28</definedName>
    <definedName name="a.Rol">[23]INPUT!$B$38</definedName>
    <definedName name="a.Set">[23]INPUT!$B$39</definedName>
    <definedName name="a.Ttk">[23]INPUT!$B$41</definedName>
    <definedName name="a.Unit">[23]INPUT!$B$40</definedName>
    <definedName name="a.Upah">[23]INPUT!$B$45</definedName>
    <definedName name="a.Upah_bahan">[23]INPUT!$B$44</definedName>
    <definedName name="a.Zak">[23]INPUT!$B$32</definedName>
    <definedName name="A_1" localSheetId="3">#REF!</definedName>
    <definedName name="A_1">#REF!</definedName>
    <definedName name="A_18">[10]ANALISA!#REF!</definedName>
    <definedName name="A_18A">[24]Analisa!$L$22</definedName>
    <definedName name="A_2" localSheetId="3">#REF!</definedName>
    <definedName name="A_2">#REF!</definedName>
    <definedName name="a1..2349" localSheetId="3">#REF!</definedName>
    <definedName name="a1..2349">#REF!</definedName>
    <definedName name="A1_" localSheetId="3">#REF!</definedName>
    <definedName name="A1_">#REF!</definedName>
    <definedName name="A10_" localSheetId="3">#REF!</definedName>
    <definedName name="A10_">#REF!</definedName>
    <definedName name="A11_" localSheetId="3">#REF!</definedName>
    <definedName name="A11_">#REF!</definedName>
    <definedName name="A12_" localSheetId="3">#REF!</definedName>
    <definedName name="A12_">#REF!</definedName>
    <definedName name="A120_" localSheetId="3">#REF!</definedName>
    <definedName name="A120_">#REF!</definedName>
    <definedName name="A13_" localSheetId="3">#REF!</definedName>
    <definedName name="A13_">#REF!</definedName>
    <definedName name="A2_" localSheetId="3">#REF!</definedName>
    <definedName name="A2_">#REF!</definedName>
    <definedName name="A3_" localSheetId="3">#REF!</definedName>
    <definedName name="A3_">#REF!</definedName>
    <definedName name="A35_" localSheetId="3">#REF!</definedName>
    <definedName name="A35_">#REF!</definedName>
    <definedName name="A4_" localSheetId="3">#REF!</definedName>
    <definedName name="A4_">#REF!</definedName>
    <definedName name="A5_" localSheetId="3">#REF!</definedName>
    <definedName name="A5_">#REF!</definedName>
    <definedName name="A50_" localSheetId="3">#REF!</definedName>
    <definedName name="A50_">#REF!</definedName>
    <definedName name="A6_" localSheetId="3">#REF!</definedName>
    <definedName name="A6_">#REF!</definedName>
    <definedName name="A7_" localSheetId="3">#REF!</definedName>
    <definedName name="A7_">#REF!</definedName>
    <definedName name="A70_" localSheetId="3">#REF!</definedName>
    <definedName name="A70_">#REF!</definedName>
    <definedName name="A8_" localSheetId="3">#REF!</definedName>
    <definedName name="A8_">#REF!</definedName>
    <definedName name="A9_" localSheetId="3">#REF!</definedName>
    <definedName name="A9_">#REF!</definedName>
    <definedName name="A95_" localSheetId="3">#REF!</definedName>
    <definedName name="A95_">#REF!</definedName>
    <definedName name="aa">[23]INPUT!$A$4</definedName>
    <definedName name="aaa" localSheetId="2">#REF!</definedName>
    <definedName name="aaa" localSheetId="3">#REF!</definedName>
    <definedName name="aaa">[23]INPUT!$E$4</definedName>
    <definedName name="aaaaaaaaaaaaaaaaaaaaaa" localSheetId="3">#REF!</definedName>
    <definedName name="aaaaaaaaaaaaaaaaaaaaaa">#REF!</definedName>
    <definedName name="Aanstampeng" localSheetId="3">#REF!</definedName>
    <definedName name="Aanstampeng">#REF!</definedName>
    <definedName name="Aanstm" localSheetId="3">#REF!</definedName>
    <definedName name="Aanstm">#REF!</definedName>
    <definedName name="aax" localSheetId="3">#REF!</definedName>
    <definedName name="aax">#REF!</definedName>
    <definedName name="ab" localSheetId="3">#REF!</definedName>
    <definedName name="ab">#REF!</definedName>
    <definedName name="abatu" localSheetId="3">#REF!</definedName>
    <definedName name="abatu">#REF!</definedName>
    <definedName name="abatukali14" localSheetId="3">#REF!</definedName>
    <definedName name="abatukali14">#REF!</definedName>
    <definedName name="abatutela14m3" localSheetId="3">#REF!</definedName>
    <definedName name="abatutela14m3">#REF!</definedName>
    <definedName name="ABC" localSheetId="2">#REF!</definedName>
    <definedName name="ABC" localSheetId="3">#REF!</definedName>
    <definedName name="ABC">#REF!</definedName>
    <definedName name="abekessloof" localSheetId="3">#REF!</definedName>
    <definedName name="abekessloof">#REF!</definedName>
    <definedName name="abesibet" localSheetId="3">#REF!</definedName>
    <definedName name="abesibet">#REF!</definedName>
    <definedName name="abesiM" localSheetId="3">#REF!</definedName>
    <definedName name="abesiM">#REF!</definedName>
    <definedName name="abeton123" localSheetId="3">#REF!</definedName>
    <definedName name="abeton123">#REF!</definedName>
    <definedName name="abeton135" localSheetId="3">#REF!</definedName>
    <definedName name="abeton135">#REF!</definedName>
    <definedName name="abongkarbekessloof" localSheetId="3">#REF!</definedName>
    <definedName name="abongkarbekessloof">#REF!</definedName>
    <definedName name="ABX" localSheetId="3">#REF!</definedName>
    <definedName name="ABX">#REF!</definedName>
    <definedName name="AC" localSheetId="3">#REF!</definedName>
    <definedName name="AC">#REF!</definedName>
    <definedName name="AC120_" localSheetId="3">#REF!</definedName>
    <definedName name="AC120_">#REF!</definedName>
    <definedName name="AC35_" localSheetId="3">#REF!</definedName>
    <definedName name="AC35_">#REF!</definedName>
    <definedName name="AC50_" localSheetId="3">#REF!</definedName>
    <definedName name="AC50_">#REF!</definedName>
    <definedName name="AC70_" localSheetId="3">#REF!</definedName>
    <definedName name="AC70_">#REF!</definedName>
    <definedName name="AC95_" localSheetId="3">#REF!</definedName>
    <definedName name="AC95_">#REF!</definedName>
    <definedName name="ACBC" localSheetId="2">#REF!</definedName>
    <definedName name="ACBC" localSheetId="3">#REF!</definedName>
    <definedName name="ACBC">#REF!</definedName>
    <definedName name="ACDC" localSheetId="2">[25]Analisa!$G$86</definedName>
    <definedName name="ACDC" localSheetId="3">[25]Analisa!$G$86</definedName>
    <definedName name="ACI" localSheetId="2">#REF!</definedName>
    <definedName name="ACI" localSheetId="3">#REF!</definedName>
    <definedName name="ACI" localSheetId="11">#REF!</definedName>
    <definedName name="ACI">#REF!</definedName>
    <definedName name="acian" localSheetId="3">#REF!</definedName>
    <definedName name="acian">#REF!</definedName>
    <definedName name="ACWC" localSheetId="2">#REF!</definedName>
    <definedName name="ACWC" localSheetId="3">#REF!</definedName>
    <definedName name="ACWC">#REF!</definedName>
    <definedName name="ACX" localSheetId="3">#REF!</definedName>
    <definedName name="ACX">#REF!</definedName>
    <definedName name="adakah">'[17]Upah&amp;Bahan'!$C$21</definedName>
    <definedName name="Address" localSheetId="3">#REF!</definedName>
    <definedName name="Address">#REF!</definedName>
    <definedName name="adh" localSheetId="2" hidden="1">{"'Sheet1'!$A$1"}</definedName>
    <definedName name="adh" localSheetId="3" hidden="1">{"'Sheet1'!$A$1"}</definedName>
    <definedName name="adh" hidden="1">{"'Sheet1'!$A$1"}</definedName>
    <definedName name="adukan">#REF!</definedName>
    <definedName name="ADX" localSheetId="3">#REF!</definedName>
    <definedName name="ADX">#REF!</definedName>
    <definedName name="afa" localSheetId="2" hidden="1">{"'Sheet1'!$A$1"}</definedName>
    <definedName name="afa" localSheetId="3" hidden="1">{"'Sheet1'!$A$1"}</definedName>
    <definedName name="afa" hidden="1">{"'Sheet1'!$A$1"}</definedName>
    <definedName name="aga">#REF!</definedName>
    <definedName name="agaliantanah" localSheetId="3">#REF!</definedName>
    <definedName name="agaliantanah">#REF!</definedName>
    <definedName name="agam" localSheetId="3">#REF!</definedName>
    <definedName name="agam">#REF!</definedName>
    <definedName name="agama" localSheetId="3">#REF!</definedName>
    <definedName name="agama">#REF!</definedName>
    <definedName name="agar">'[17]Kuantitas &amp; Harga'!#REF!</definedName>
    <definedName name="AGENTENG" localSheetId="3">#REF!</definedName>
    <definedName name="AGENTENG">#REF!</definedName>
    <definedName name="agiv2" localSheetId="3">#REF!</definedName>
    <definedName name="agiv2">#REF!</definedName>
    <definedName name="AGREGAT" localSheetId="2">#REF!</definedName>
    <definedName name="AGREGAT" localSheetId="3">#REF!</definedName>
    <definedName name="AGREGAT">'[26]Kuantitas &amp; Harga'!#REF!</definedName>
    <definedName name="AGREGATA" localSheetId="2">#REF!</definedName>
    <definedName name="AGREGATA" localSheetId="3">#REF!</definedName>
    <definedName name="AGREGATA">'[27]Agregat Halus &amp; Kasar'!$A$1:$K$120</definedName>
    <definedName name="AGREGATB" localSheetId="2">#REF!</definedName>
    <definedName name="AGREGATB" localSheetId="3">#REF!</definedName>
    <definedName name="AGREGATB">'[27]Agregat Halus &amp; Kasar'!$A$121:$K$240</definedName>
    <definedName name="AGREGATC">'[27]Agregat Halus &amp; Kasar'!$A$367:$K$486</definedName>
    <definedName name="AH">[10]ANALISA!#REF!</definedName>
    <definedName name="ahs" localSheetId="3">#REF!</definedName>
    <definedName name="ahs">#REF!</definedName>
    <definedName name="ahs_9" localSheetId="3">#REF!</definedName>
    <definedName name="ahs_9">#REF!</definedName>
    <definedName name="airkerja" localSheetId="3">#REF!</definedName>
    <definedName name="airkerja">#REF!</definedName>
    <definedName name="ajunk" localSheetId="3" hidden="1">#REF!</definedName>
    <definedName name="ajunk" hidden="1">#REF!</definedName>
    <definedName name="AKKK" localSheetId="2" hidden="1">'[28]ANL-EI'!#REF!</definedName>
    <definedName name="AKKK" localSheetId="3" hidden="1">'[28]ANL-EI'!#REF!</definedName>
    <definedName name="AKKK" hidden="1">'[29]ANL-EI'!#REF!</definedName>
    <definedName name="akses" localSheetId="3">#REF!</definedName>
    <definedName name="akses">#REF!</definedName>
    <definedName name="aku">'[17]Upah&amp;Bahan'!$C$16</definedName>
    <definedName name="alaina" localSheetId="3">#REF!</definedName>
    <definedName name="alaina">#REF!</definedName>
    <definedName name="ALAT" localSheetId="2">#REF!</definedName>
    <definedName name="ALAT" localSheetId="3">#REF!</definedName>
    <definedName name="ALAT" localSheetId="11">#REF!</definedName>
    <definedName name="ALAT">#REF!</definedName>
    <definedName name="Alat_Asphalt_Distributor" localSheetId="3">#REF!</definedName>
    <definedName name="Alat_Asphalt_Distributor">#REF!</definedName>
    <definedName name="alat_bantu" localSheetId="3">#REF!</definedName>
    <definedName name="alat_bantu">#REF!</definedName>
    <definedName name="Alat_Loader" localSheetId="3">#REF!</definedName>
    <definedName name="Alat_Loader">#REF!</definedName>
    <definedName name="alatbantu" localSheetId="3">#REF!</definedName>
    <definedName name="alatbantu">#REF!</definedName>
    <definedName name="ALATUTAMA" localSheetId="2">#REF!</definedName>
    <definedName name="ALATUTAMA" localSheetId="3">#REF!</definedName>
    <definedName name="ALATUTAMA">#REF!</definedName>
    <definedName name="alba2.20" localSheetId="3">#REF!</definedName>
    <definedName name="alba2.20">#REF!</definedName>
    <definedName name="all_s" localSheetId="3">#REF!</definedName>
    <definedName name="all_s">#REF!</definedName>
    <definedName name="almfoil" localSheetId="3">#REF!</definedName>
    <definedName name="almfoil">#REF!</definedName>
    <definedName name="ALOKASI" localSheetId="3" hidden="1">#REF!</definedName>
    <definedName name="ALOKASI" hidden="1">#REF!</definedName>
    <definedName name="alumunium_foil" localSheetId="3">#REF!</definedName>
    <definedName name="alumunium_foil">#REF!</definedName>
    <definedName name="AMOUNT">[30]MFC!#REF!</definedName>
    <definedName name="AMP" localSheetId="2">#REF!</definedName>
    <definedName name="AMP" localSheetId="3">#REF!</definedName>
    <definedName name="AMP">#REF!</definedName>
    <definedName name="AMPAR23" localSheetId="3">#REF!</definedName>
    <definedName name="AMPAR23">#REF!</definedName>
    <definedName name="AMPAR57" localSheetId="3">#REF!</definedName>
    <definedName name="AMPAR57">#REF!</definedName>
    <definedName name="ampelas" localSheetId="3">#REF!</definedName>
    <definedName name="ampelas">#REF!</definedName>
    <definedName name="ampelasbesi.kayu" localSheetId="3">#REF!</definedName>
    <definedName name="ampelasbesi.kayu">#REF!</definedName>
    <definedName name="amplas" localSheetId="3">#REF!</definedName>
    <definedName name="amplas">#REF!</definedName>
    <definedName name="amplasbesi" localSheetId="3">#REF!</definedName>
    <definedName name="amplasbesi">#REF!</definedName>
    <definedName name="amplaskayu" localSheetId="3">#REF!</definedName>
    <definedName name="amplaskayu">#REF!</definedName>
    <definedName name="an." localSheetId="2">[31]Anl!#REF!</definedName>
    <definedName name="an." localSheetId="3">[31]Anl!#REF!</definedName>
    <definedName name="an.">[8]Anl!#REF!</definedName>
    <definedName name="an.01">#REF!</definedName>
    <definedName name="an.02">#REF!</definedName>
    <definedName name="an.03">#REF!</definedName>
    <definedName name="an.04">#REF!</definedName>
    <definedName name="an.05">#REF!</definedName>
    <definedName name="an.06">#REF!</definedName>
    <definedName name="an.07">#REF!</definedName>
    <definedName name="an.08">#REF!</definedName>
    <definedName name="an.09">#REF!</definedName>
    <definedName name="an.10">#REF!</definedName>
    <definedName name="an.11">#REF!</definedName>
    <definedName name="an.12">#REF!</definedName>
    <definedName name="AN.13">#REF!</definedName>
    <definedName name="An.A.1" localSheetId="2">[31]Anl!#REF!</definedName>
    <definedName name="An.A.1" localSheetId="3">[31]Anl!#REF!</definedName>
    <definedName name="An.A.1">[8]Anl!#REF!</definedName>
    <definedName name="An.A.18" localSheetId="2">[31]Anl!#REF!</definedName>
    <definedName name="An.A.18" localSheetId="3">[31]Anl!#REF!</definedName>
    <definedName name="An.A.18">[8]Anl!#REF!</definedName>
    <definedName name="An.A.18a">[32]Anl!$L$42</definedName>
    <definedName name="AN.A9" localSheetId="2">[15]Anl!#REF!</definedName>
    <definedName name="AN.A9" localSheetId="3">[15]Anl!#REF!</definedName>
    <definedName name="AN.A9">[8]Anl!#REF!</definedName>
    <definedName name="An.G.14" localSheetId="2">[15]Anl!#REF!</definedName>
    <definedName name="An.G.14" localSheetId="3">[15]Anl!#REF!</definedName>
    <definedName name="An.G.14">[8]Anl!#REF!</definedName>
    <definedName name="An.G.43." localSheetId="2">[15]Anl!#REF!</definedName>
    <definedName name="An.G.43." localSheetId="3">[15]Anl!#REF!</definedName>
    <definedName name="An.G.43.">[8]Anl!#REF!</definedName>
    <definedName name="an.prtsi" localSheetId="3">#REF!</definedName>
    <definedName name="an.prtsi">#REF!</definedName>
    <definedName name="AN_CK" localSheetId="3">#REF!</definedName>
    <definedName name="AN_CK">#REF!</definedName>
    <definedName name="anabjkc" localSheetId="3">#REF!</definedName>
    <definedName name="anabjkc">#REF!</definedName>
    <definedName name="anacnp" localSheetId="3">#REF!</definedName>
    <definedName name="anacnp">#REF!</definedName>
    <definedName name="anak" localSheetId="2">#REF!</definedName>
    <definedName name="anak" localSheetId="3">#REF!</definedName>
    <definedName name="anak">'[17]Upah&amp;Bahan'!$C$19</definedName>
    <definedName name="ANAK1" localSheetId="3">#REF!</definedName>
    <definedName name="ANAK1">#REF!</definedName>
    <definedName name="ANAK2" localSheetId="3">#REF!</definedName>
    <definedName name="ANAK2">#REF!</definedName>
    <definedName name="ANAK3" localSheetId="3">#REF!</definedName>
    <definedName name="ANAK3">#REF!</definedName>
    <definedName name="anak4" localSheetId="3">#REF!</definedName>
    <definedName name="anak4">#REF!</definedName>
    <definedName name="anak5" localSheetId="3">#REF!</definedName>
    <definedName name="anak5">#REF!</definedName>
    <definedName name="anak6" localSheetId="3">#REF!</definedName>
    <definedName name="anak6">#REF!</definedName>
    <definedName name="anak7" localSheetId="3">#REF!</definedName>
    <definedName name="anak7">#REF!</definedName>
    <definedName name="anak8" localSheetId="3">#REF!</definedName>
    <definedName name="anak8">#REF!</definedName>
    <definedName name="ANALAT" localSheetId="3">#REF!</definedName>
    <definedName name="ANALAT">#REF!</definedName>
    <definedName name="analisa" localSheetId="3">#REF!</definedName>
    <definedName name="ANALISA">#REF!</definedName>
    <definedName name="Analisa_EI_635" localSheetId="3">#REF!</definedName>
    <definedName name="Analisa_EI_635">#REF!</definedName>
    <definedName name="Analisa_EI_636" localSheetId="3">#REF!</definedName>
    <definedName name="Analisa_EI_636">#REF!</definedName>
    <definedName name="Analisa101C">'[33]Analisa HSP'!$U$410</definedName>
    <definedName name="anaplat" localSheetId="3">#REF!</definedName>
    <definedName name="anaplat">#REF!</definedName>
    <definedName name="anatb" localSheetId="3">#REF!</definedName>
    <definedName name="anatb">#REF!</definedName>
    <definedName name="andar">[34]Alat!$BO$467</definedName>
    <definedName name="andars">[34]Alat!$BO$506</definedName>
    <definedName name="ANG_10" localSheetId="2">#REF!</definedName>
    <definedName name="ANG_10" localSheetId="3">#REF!</definedName>
    <definedName name="ANG_10" localSheetId="11">#REF!</definedName>
    <definedName name="ANG_10">#REF!</definedName>
    <definedName name="ANG_20" localSheetId="2">#REF!</definedName>
    <definedName name="ANG_20" localSheetId="3">#REF!</definedName>
    <definedName name="ANG_20">#REF!</definedName>
    <definedName name="ANG_30" localSheetId="3">#REF!</definedName>
    <definedName name="ANG_30">#REF!</definedName>
    <definedName name="ANG_KAYU" localSheetId="3">#REF!</definedName>
    <definedName name="ANG_KAYU">#REF!</definedName>
    <definedName name="ANG_SEMEN" localSheetId="3">#REF!</definedName>
    <definedName name="ANG_SEMEN">#REF!</definedName>
    <definedName name="angka1" localSheetId="3">#REF!</definedName>
    <definedName name="angka1">#REF!</definedName>
    <definedName name="angka3" localSheetId="3">#REF!</definedName>
    <definedName name="angka3">#REF!</definedName>
    <definedName name="angka4" localSheetId="3">#REF!</definedName>
    <definedName name="angka4">#REF!</definedName>
    <definedName name="ANGKATGALIAN" localSheetId="3">#REF!</definedName>
    <definedName name="ANGKATGALIAN">#REF!</definedName>
    <definedName name="ANGKER">[10]BAHAN!#REF!</definedName>
    <definedName name="Angker_kusen" localSheetId="3">#REF!</definedName>
    <definedName name="Angker_kusen">#REF!</definedName>
    <definedName name="angker12" localSheetId="3">#REF!</definedName>
    <definedName name="angker12">#REF!</definedName>
    <definedName name="angker16" localSheetId="3">#REF!</definedName>
    <definedName name="angker16">#REF!</definedName>
    <definedName name="angker161" localSheetId="3">#REF!</definedName>
    <definedName name="angker161">#REF!</definedName>
    <definedName name="angker19" localSheetId="3">#REF!</definedName>
    <definedName name="angker19">#REF!</definedName>
    <definedName name="angker32" localSheetId="3">#REF!</definedName>
    <definedName name="angker32">#REF!</definedName>
    <definedName name="angkerbaut" localSheetId="3">#REF!</definedName>
    <definedName name="angkerbaut">#REF!</definedName>
    <definedName name="angkur12" localSheetId="3">#REF!</definedName>
    <definedName name="angkur12">#REF!</definedName>
    <definedName name="angkur16" localSheetId="3">#REF!</definedName>
    <definedName name="angkur16">#REF!</definedName>
    <definedName name="angkur19" localSheetId="3">#REF!</definedName>
    <definedName name="angkur19">#REF!</definedName>
    <definedName name="angkur20" localSheetId="3">#REF!</definedName>
    <definedName name="angkur20">#REF!</definedName>
    <definedName name="angkut120" localSheetId="3">#REF!</definedName>
    <definedName name="angkut120">#REF!</definedName>
    <definedName name="Angsana" localSheetId="3">#REF!</definedName>
    <definedName name="Angsana">#REF!</definedName>
    <definedName name="ANJINGGGG" localSheetId="3">#REF!</definedName>
    <definedName name="ANJINGGGG">#REF!</definedName>
    <definedName name="ankurd20" localSheetId="3">#REF!</definedName>
    <definedName name="ankurd20">#REF!</definedName>
    <definedName name="anlapen" localSheetId="3">#REF!</definedName>
    <definedName name="anlapen">#REF!</definedName>
    <definedName name="anlaston4" localSheetId="3">#REF!</definedName>
    <definedName name="anlaston4">#REF!</definedName>
    <definedName name="anlatasbusir" localSheetId="3">#REF!</definedName>
    <definedName name="anlatasbusir">#REF!</definedName>
    <definedName name="anlataston" localSheetId="3">#REF!</definedName>
    <definedName name="anlataston">#REF!</definedName>
    <definedName name="ANLDASAR" localSheetId="3">#REF!</definedName>
    <definedName name="ANLDASAR">#REF!</definedName>
    <definedName name="anlpsresap" localSheetId="3">#REF!</definedName>
    <definedName name="anlpsresap">#REF!</definedName>
    <definedName name="AnlSirtu">#REF!</definedName>
    <definedName name="Anlurugpasir">#REF!</definedName>
    <definedName name="ann" localSheetId="2">[31]Anl!#REF!</definedName>
    <definedName name="ann" localSheetId="3">[31]Anl!#REF!</definedName>
    <definedName name="ann">[8]Anl!#REF!</definedName>
    <definedName name="anperekat" localSheetId="3">#REF!</definedName>
    <definedName name="anperekat">#REF!</definedName>
    <definedName name="anti" localSheetId="3">#REF!</definedName>
    <definedName name="anti">#REF!</definedName>
    <definedName name="antirayap" localSheetId="3">#REF!</definedName>
    <definedName name="antirayap">#REF!</definedName>
    <definedName name="apakah">'[17]Upah&amp;Bahan'!$C$20</definedName>
    <definedName name="apasbaty14" localSheetId="3">#REF!</definedName>
    <definedName name="apasbaty14">#REF!</definedName>
    <definedName name="aples12" localSheetId="3">#REF!</definedName>
    <definedName name="aples12">#REF!</definedName>
    <definedName name="aples13" localSheetId="3">#REF!</definedName>
    <definedName name="aples13">#REF!</definedName>
    <definedName name="aquarium" localSheetId="3">#REF!</definedName>
    <definedName name="aquarium">#REF!</definedName>
    <definedName name="ardekskecil" localSheetId="3">#REF!</definedName>
    <definedName name="ardekskecil">#REF!</definedName>
    <definedName name="area" localSheetId="3">#REF!</definedName>
    <definedName name="area">#REF!</definedName>
    <definedName name="ars" localSheetId="3">#REF!</definedName>
    <definedName name="ars">#REF!</definedName>
    <definedName name="arsitek" localSheetId="3">#REF!</definedName>
    <definedName name="arsitek">#REF!</definedName>
    <definedName name="arsitektur" localSheetId="3">#REF!</definedName>
    <definedName name="arsitektur">#REF!</definedName>
    <definedName name="artdinding1" localSheetId="3">#REF!</definedName>
    <definedName name="artdinding1">#REF!</definedName>
    <definedName name="ARTDINDING2" localSheetId="3">#REF!</definedName>
    <definedName name="ARTDINDING2">#REF!</definedName>
    <definedName name="artdinding3" localSheetId="3">#REF!</definedName>
    <definedName name="artdinding3">#REF!</definedName>
    <definedName name="artkusenpintu1" localSheetId="3">#REF!</definedName>
    <definedName name="artkusenpintu1">#REF!</definedName>
    <definedName name="ARTKUSENPINTU2" localSheetId="3">#REF!</definedName>
    <definedName name="ARTKUSENPINTU2">#REF!</definedName>
    <definedName name="artkusenpintu3" localSheetId="3">#REF!</definedName>
    <definedName name="artkusenpintu3">#REF!</definedName>
    <definedName name="artlantai1" localSheetId="3">#REF!</definedName>
    <definedName name="artlantai1">#REF!</definedName>
    <definedName name="ARTLANTAI2" localSheetId="3">#REF!</definedName>
    <definedName name="ARTLANTAI2">#REF!</definedName>
    <definedName name="ARTLANTAI3" localSheetId="3">#REF!</definedName>
    <definedName name="ARTLANTAI3">#REF!</definedName>
    <definedName name="artpengecatan1" localSheetId="3">#REF!</definedName>
    <definedName name="artpengecatan1">#REF!</definedName>
    <definedName name="artpengecatan2" localSheetId="3">#REF!</definedName>
    <definedName name="artpengecatan2">#REF!</definedName>
    <definedName name="artpengecatan3" localSheetId="3">#REF!</definedName>
    <definedName name="artpengecatan3">#REF!</definedName>
    <definedName name="artperlengkapan1" localSheetId="3">#REF!</definedName>
    <definedName name="artperlengkapan1">#REF!</definedName>
    <definedName name="artperlengkapan2" localSheetId="3">#REF!</definedName>
    <definedName name="artperlengkapan2">#REF!</definedName>
    <definedName name="artperlengkapan3" localSheetId="3">#REF!</definedName>
    <definedName name="artperlengkapan3">#REF!</definedName>
    <definedName name="artplafond1" localSheetId="3">#REF!</definedName>
    <definedName name="artplafond1">#REF!</definedName>
    <definedName name="artplafond2" localSheetId="3">#REF!</definedName>
    <definedName name="artplafond2">#REF!</definedName>
    <definedName name="artplafond3" localSheetId="3">#REF!</definedName>
    <definedName name="artplafond3">#REF!</definedName>
    <definedName name="artsanitair1" localSheetId="3">#REF!</definedName>
    <definedName name="artsanitair1">#REF!</definedName>
    <definedName name="artsanitair2" localSheetId="3">#REF!</definedName>
    <definedName name="artsanitair2">#REF!</definedName>
    <definedName name="artsanitair3" localSheetId="3">#REF!</definedName>
    <definedName name="artsanitair3">#REF!</definedName>
    <definedName name="as" localSheetId="2">#REF!</definedName>
    <definedName name="as" localSheetId="3">#REF!</definedName>
    <definedName name="as">'[35]Upah&amp;Bahan'!$C$54</definedName>
    <definedName name="asbes">[36]cover!#REF!</definedName>
    <definedName name="Asbes_gelombang" localSheetId="3">#REF!</definedName>
    <definedName name="Asbes_gelombang">#REF!</definedName>
    <definedName name="asbul" localSheetId="3">#REF!</definedName>
    <definedName name="asbul">#REF!</definedName>
    <definedName name="asd" localSheetId="2" hidden="1">[37]TJ1Q47!$E$7:$E$31</definedName>
    <definedName name="asd" localSheetId="3" hidden="1">[37]TJ1Q47!$E$7:$E$31</definedName>
    <definedName name="asdf" localSheetId="2" hidden="1">{"'Sheet1'!$A$1"}</definedName>
    <definedName name="asdf" localSheetId="3" hidden="1">{"'Sheet1'!$A$1"}</definedName>
    <definedName name="asdf" hidden="1">{"'Sheet1'!$A$1"}</definedName>
    <definedName name="ASE" localSheetId="2" hidden="1">{"'Sheet1'!$A$1"}</definedName>
    <definedName name="ASE" localSheetId="3" hidden="1">{"'Sheet1'!$A$1"}</definedName>
    <definedName name="asp">#REF!</definedName>
    <definedName name="ASPAL" localSheetId="2">#REF!</definedName>
    <definedName name="ASPAL" localSheetId="3">#REF!</definedName>
    <definedName name="ASPAL">'[26]Kuantitas &amp; Harga'!#REF!</definedName>
    <definedName name="Aspalan" localSheetId="3">#REF!</definedName>
    <definedName name="Aspalan">#REF!</definedName>
    <definedName name="aspalconcrete" localSheetId="3">#REF!</definedName>
    <definedName name="aspalconcrete">#REF!</definedName>
    <definedName name="aspalemulsi" localSheetId="3">#REF!</definedName>
    <definedName name="aspalemulsi">#REF!</definedName>
    <definedName name="asuransi" localSheetId="3">#REF!</definedName>
    <definedName name="asuransi">#REF!</definedName>
    <definedName name="aswer" localSheetId="3" hidden="1">#REF!</definedName>
    <definedName name="aswer" hidden="1">#REF!</definedName>
    <definedName name="ATAP" localSheetId="2">#REF!</definedName>
    <definedName name="ATAP" localSheetId="3">#REF!</definedName>
    <definedName name="ATAP">[10]BAHAN!#REF!</definedName>
    <definedName name="atap.2">[10]BAHAN!$L$42</definedName>
    <definedName name="atap.metal">[10]BAHAN!#REF!</definedName>
    <definedName name="Atap.seng">[10]ANALISA!#REF!</definedName>
    <definedName name="atap.zinc">[10]BAHAN!#REF!</definedName>
    <definedName name="Atap_asbes_gelombang_0_3_mm" localSheetId="3">#REF!</definedName>
    <definedName name="Atap_asbes_gelombang_0_3_mm">#REF!</definedName>
    <definedName name="atap_seng" localSheetId="3">#REF!</definedName>
    <definedName name="atap_seng">#REF!</definedName>
    <definedName name="atapasbesglbg" localSheetId="3">#REF!</definedName>
    <definedName name="atapasbesglbg">#REF!</definedName>
    <definedName name="ataponduline">[36]cover!#REF!</definedName>
    <definedName name="atapzync" localSheetId="3">#REF!</definedName>
    <definedName name="atapzync">#REF!</definedName>
    <definedName name="atar" localSheetId="2">#REF!</definedName>
    <definedName name="atar" localSheetId="3">#REF!</definedName>
    <definedName name="atar">#REF!</definedName>
    <definedName name="atazync" localSheetId="3">#REF!</definedName>
    <definedName name="atazync">#REF!</definedName>
    <definedName name="ATB" localSheetId="2">#REF!</definedName>
    <definedName name="ATB" localSheetId="3">#REF!</definedName>
    <definedName name="ATB" localSheetId="11">#REF!</definedName>
    <definedName name="ATB">#REF!</definedName>
    <definedName name="atc" localSheetId="3">#REF!</definedName>
    <definedName name="atc">#REF!</definedName>
    <definedName name="ATSAMF" localSheetId="3">#REF!</definedName>
    <definedName name="ATSAMF">#REF!</definedName>
    <definedName name="audy">'[17]Kuantitas &amp; Harga'!#REF!</definedName>
    <definedName name="auruganpasir" localSheetId="3">#REF!</definedName>
    <definedName name="auruganpasir">#REF!</definedName>
    <definedName name="Avoor_Stenlis_Steel" localSheetId="3">#REF!</definedName>
    <definedName name="Avoor_Stenlis_Steel">#REF!</definedName>
    <definedName name="B.1\STP">#REF!</definedName>
    <definedName name="b.1001">[35]ANGKUT!$H$24</definedName>
    <definedName name="b.11">[35]ANGKUT!$H$15</definedName>
    <definedName name="B.2\STP" localSheetId="3">#REF!</definedName>
    <definedName name="B.2\STP">#REF!</definedName>
    <definedName name="b.22">[35]ANGKUT!$H$16</definedName>
    <definedName name="b.31">[35]ANGKUT!$H$17</definedName>
    <definedName name="B.36" localSheetId="3">#REF!</definedName>
    <definedName name="B.36">#REF!</definedName>
    <definedName name="b.41">[35]ANGKUT!$H$18</definedName>
    <definedName name="b.51">[35]ANGKUT!$H$19</definedName>
    <definedName name="b.61">[35]ANGKUT!$H$20</definedName>
    <definedName name="b.71">[35]ANGKUT!$H$21</definedName>
    <definedName name="b.8" localSheetId="3">#REF!</definedName>
    <definedName name="b.8">#REF!</definedName>
    <definedName name="b.81">[35]ANGKUT!$H$22</definedName>
    <definedName name="b.9" localSheetId="3">#REF!</definedName>
    <definedName name="b.9">#REF!</definedName>
    <definedName name="b.91">[35]ANGKUT!$H$23</definedName>
    <definedName name="B.Aparatur">#REF!</definedName>
    <definedName name="b.l" localSheetId="3">#REF!</definedName>
    <definedName name="b.l">#REF!</definedName>
    <definedName name="B.Publik">#REF!</definedName>
    <definedName name="b.super.5.10" localSheetId="3">#REF!</definedName>
    <definedName name="b.super.5.10">#REF!</definedName>
    <definedName name="B_1" localSheetId="3">#REF!</definedName>
    <definedName name="B_1">#REF!</definedName>
    <definedName name="B_KolomBalokPraktis">'[38]Analisa Harga Satuan'!$G$1193</definedName>
    <definedName name="B_MejaDapur">'[38]Analisa Harga Satuan'!$G$1878</definedName>
    <definedName name="b1.1" localSheetId="3">#REF!</definedName>
    <definedName name="b1.1">#REF!</definedName>
    <definedName name="B1.2" localSheetId="3">#REF!</definedName>
    <definedName name="B1.2">#REF!</definedName>
    <definedName name="b1.3" localSheetId="3">#REF!</definedName>
    <definedName name="b1.3">#REF!</definedName>
    <definedName name="b1.4" localSheetId="3">#REF!</definedName>
    <definedName name="b1.4">#REF!</definedName>
    <definedName name="b1.5" localSheetId="3">#REF!</definedName>
    <definedName name="b1.5">#REF!</definedName>
    <definedName name="B1_" localSheetId="3">#REF!</definedName>
    <definedName name="B1_">#REF!</definedName>
    <definedName name="b10.1" localSheetId="3">#REF!</definedName>
    <definedName name="b10.1">#REF!</definedName>
    <definedName name="b10.2" localSheetId="3">#REF!</definedName>
    <definedName name="b10.2">#REF!</definedName>
    <definedName name="b10.3" localSheetId="3">#REF!</definedName>
    <definedName name="b10.3">#REF!</definedName>
    <definedName name="b10.4" localSheetId="3">#REF!</definedName>
    <definedName name="b10.4">#REF!</definedName>
    <definedName name="b10.5" localSheetId="3">#REF!</definedName>
    <definedName name="b10.5">#REF!</definedName>
    <definedName name="B10_" localSheetId="3">#REF!</definedName>
    <definedName name="B10_">#REF!</definedName>
    <definedName name="B11_" localSheetId="3">#REF!</definedName>
    <definedName name="B11_">#REF!</definedName>
    <definedName name="B12_" localSheetId="3">#REF!</definedName>
    <definedName name="B12_">#REF!</definedName>
    <definedName name="B13_" localSheetId="3">#REF!</definedName>
    <definedName name="B13_">#REF!</definedName>
    <definedName name="b2.1" localSheetId="3">#REF!</definedName>
    <definedName name="b2.1">#REF!</definedName>
    <definedName name="b2.2" localSheetId="3">#REF!</definedName>
    <definedName name="b2.2">#REF!</definedName>
    <definedName name="b2.3" localSheetId="3">#REF!</definedName>
    <definedName name="b2.3">#REF!</definedName>
    <definedName name="b2.4" localSheetId="3">#REF!</definedName>
    <definedName name="b2.4">#REF!</definedName>
    <definedName name="b2.5" localSheetId="3">#REF!</definedName>
    <definedName name="b2.5">#REF!</definedName>
    <definedName name="B2_" localSheetId="3">#REF!</definedName>
    <definedName name="B2_">#REF!</definedName>
    <definedName name="b3.1" localSheetId="3">#REF!</definedName>
    <definedName name="b3.1">#REF!</definedName>
    <definedName name="b3.2" localSheetId="3">#REF!</definedName>
    <definedName name="b3.2">#REF!</definedName>
    <definedName name="b3.3" localSheetId="3">#REF!</definedName>
    <definedName name="b3.3">#REF!</definedName>
    <definedName name="b3.4" localSheetId="3">#REF!</definedName>
    <definedName name="b3.4">#REF!</definedName>
    <definedName name="b3.5" localSheetId="3">#REF!</definedName>
    <definedName name="b3.5">#REF!</definedName>
    <definedName name="B3_" localSheetId="3">#REF!</definedName>
    <definedName name="B3_">#REF!</definedName>
    <definedName name="b3040b160" localSheetId="3">#REF!</definedName>
    <definedName name="b3040b160">#REF!</definedName>
    <definedName name="b4.1" localSheetId="3">#REF!</definedName>
    <definedName name="b4.1">#REF!</definedName>
    <definedName name="b4.2" localSheetId="3">#REF!</definedName>
    <definedName name="b4.2">#REF!</definedName>
    <definedName name="b4.3" localSheetId="3">#REF!</definedName>
    <definedName name="b4.3">#REF!</definedName>
    <definedName name="b4.4" localSheetId="3">#REF!</definedName>
    <definedName name="b4.4">#REF!</definedName>
    <definedName name="b4.5" localSheetId="3">#REF!</definedName>
    <definedName name="b4.5">#REF!</definedName>
    <definedName name="B4_" localSheetId="3">#REF!</definedName>
    <definedName name="B4_">#REF!</definedName>
    <definedName name="b5.1" localSheetId="3">#REF!</definedName>
    <definedName name="b5.1">#REF!</definedName>
    <definedName name="b5.2" localSheetId="3">#REF!</definedName>
    <definedName name="b5.2">#REF!</definedName>
    <definedName name="b5.3" localSheetId="3">#REF!</definedName>
    <definedName name="b5.3">#REF!</definedName>
    <definedName name="b5.4" localSheetId="3">#REF!</definedName>
    <definedName name="b5.4">#REF!</definedName>
    <definedName name="b5.5" localSheetId="3">#REF!</definedName>
    <definedName name="b5.5">#REF!</definedName>
    <definedName name="B5_" localSheetId="3">#REF!</definedName>
    <definedName name="B5_">#REF!</definedName>
    <definedName name="b6.1" localSheetId="3">#REF!</definedName>
    <definedName name="b6.1">#REF!</definedName>
    <definedName name="b6.2" localSheetId="3">#REF!</definedName>
    <definedName name="b6.2">#REF!</definedName>
    <definedName name="b6.3" localSheetId="3">#REF!</definedName>
    <definedName name="b6.3">#REF!</definedName>
    <definedName name="b6.4" localSheetId="3">#REF!</definedName>
    <definedName name="b6.4">#REF!</definedName>
    <definedName name="b6.5" localSheetId="3">#REF!</definedName>
    <definedName name="b6.5">#REF!</definedName>
    <definedName name="b6.6" localSheetId="3">#REF!</definedName>
    <definedName name="b6.6">#REF!</definedName>
    <definedName name="b6.7" localSheetId="3">#REF!</definedName>
    <definedName name="b6.7">#REF!</definedName>
    <definedName name="B6_" localSheetId="3">#REF!</definedName>
    <definedName name="B6_">#REF!</definedName>
    <definedName name="b7.1" localSheetId="3">#REF!</definedName>
    <definedName name="b7.1">#REF!</definedName>
    <definedName name="b7.2" localSheetId="3">#REF!</definedName>
    <definedName name="b7.2">#REF!</definedName>
    <definedName name="b7.3" localSheetId="3">#REF!</definedName>
    <definedName name="b7.3">#REF!</definedName>
    <definedName name="b7.4" localSheetId="3">#REF!</definedName>
    <definedName name="b7.4">#REF!</definedName>
    <definedName name="b7.5" localSheetId="3">#REF!</definedName>
    <definedName name="b7.5">#REF!</definedName>
    <definedName name="b7.6" localSheetId="3">#REF!</definedName>
    <definedName name="b7.6">#REF!</definedName>
    <definedName name="b7.7" localSheetId="3">#REF!</definedName>
    <definedName name="b7.7">#REF!</definedName>
    <definedName name="B7_" localSheetId="3">#REF!</definedName>
    <definedName name="B7_">#REF!</definedName>
    <definedName name="b8.1" localSheetId="3">#REF!</definedName>
    <definedName name="b8.1">#REF!</definedName>
    <definedName name="b8.2" localSheetId="3">#REF!</definedName>
    <definedName name="b8.2">#REF!</definedName>
    <definedName name="b8.3" localSheetId="3">#REF!</definedName>
    <definedName name="b8.3">#REF!</definedName>
    <definedName name="b8.4" localSheetId="3">#REF!</definedName>
    <definedName name="b8.4">#REF!</definedName>
    <definedName name="b8.5" localSheetId="3">#REF!</definedName>
    <definedName name="b8.5">#REF!</definedName>
    <definedName name="B8\trsbalokSMP" localSheetId="3">#REF!</definedName>
    <definedName name="B8\trsbalokSMP">#REF!</definedName>
    <definedName name="B8_" localSheetId="3">#REF!</definedName>
    <definedName name="B8_">#REF!</definedName>
    <definedName name="b9.2" localSheetId="3">#REF!</definedName>
    <definedName name="b9.2">#REF!</definedName>
    <definedName name="b9.3" localSheetId="3">#REF!</definedName>
    <definedName name="b9.3">#REF!</definedName>
    <definedName name="b9.4" localSheetId="3">#REF!</definedName>
    <definedName name="b9.4">#REF!</definedName>
    <definedName name="b9.5" localSheetId="3">#REF!</definedName>
    <definedName name="b9.5">#REF!</definedName>
    <definedName name="B9\trsbalokSMP" localSheetId="3">#REF!</definedName>
    <definedName name="B9\trsbalokSMP">#REF!</definedName>
    <definedName name="B9_" localSheetId="3">#REF!</definedName>
    <definedName name="B9_">#REF!</definedName>
    <definedName name="babekb" localSheetId="3">#REF!</definedName>
    <definedName name="babekb">#REF!</definedName>
    <definedName name="backhoe">#REF!</definedName>
    <definedName name="bagaiman">'[17]Upah&amp;Bahan'!$C$23</definedName>
    <definedName name="BAGIAN_1_6" localSheetId="3">#REF!</definedName>
    <definedName name="BAGIAN_1_6">#REF!</definedName>
    <definedName name="BAHU" localSheetId="2">#REF!</definedName>
    <definedName name="BAHU" localSheetId="3">#REF!</definedName>
    <definedName name="BAHU">'[26]Kuantitas &amp; Harga'!#REF!</definedName>
    <definedName name="Baja" localSheetId="3">#REF!</definedName>
    <definedName name="baja">#REF!</definedName>
    <definedName name="Baja_Canal_U_50.38.5" localSheetId="3">#REF!</definedName>
    <definedName name="Baja_Canal_U_50.38.5">#REF!</definedName>
    <definedName name="bajacanal" localSheetId="3">#REF!</definedName>
    <definedName name="bajacanal">#REF!</definedName>
    <definedName name="bajacnp" localSheetId="3">#REF!</definedName>
    <definedName name="bajacnp">#REF!</definedName>
    <definedName name="bajaiwf" localSheetId="3">#REF!</definedName>
    <definedName name="bajaiwf">#REF!</definedName>
    <definedName name="bajaringan" localSheetId="3">#REF!</definedName>
    <definedName name="bajaringan">#REF!</definedName>
    <definedName name="bajasiku" localSheetId="3">#REF!</definedName>
    <definedName name="bajasiku">#REF!</definedName>
    <definedName name="bajaunp" localSheetId="3">#REF!</definedName>
    <definedName name="bajaunp">#REF!</definedName>
    <definedName name="Bak_air_fiber_glass_1m" localSheetId="3">#REF!</definedName>
    <definedName name="Bak_air_fiber_glass_1m">#REF!</definedName>
    <definedName name="Bak_mandi_fiber_glass_50x50x50_lapis_porselin" localSheetId="3">#REF!</definedName>
    <definedName name="Bak_mandi_fiber_glass_50x50x50_lapis_porselin">#REF!</definedName>
    <definedName name="Bak_Septictank" localSheetId="3">#REF!</definedName>
    <definedName name="Bak_Septictank">#REF!</definedName>
    <definedName name="bakair" localSheetId="3">#REF!</definedName>
    <definedName name="bakair">#REF!</definedName>
    <definedName name="BAKAL1.4" localSheetId="2">#REF!</definedName>
    <definedName name="BAKAL1.4" localSheetId="3">#REF!</definedName>
    <definedName name="BAKAL1.4">#REF!</definedName>
    <definedName name="bakbunga" localSheetId="3">#REF!</definedName>
    <definedName name="bakbunga">#REF!</definedName>
    <definedName name="BakCuciPiring">'[38]Analisa Harga Satuan'!$G$1865</definedName>
    <definedName name="BakMandiFiber">'[38]Analisa Harga Satuan'!$G$1817</definedName>
    <definedName name="baksampah" localSheetId="3">#REF!</definedName>
    <definedName name="baksampah">#REF!</definedName>
    <definedName name="ball" localSheetId="3">#REF!</definedName>
    <definedName name="ball">#REF!</definedName>
    <definedName name="Balok">#REF!</definedName>
    <definedName name="balok.ges" localSheetId="3">#REF!</definedName>
    <definedName name="balok.ges">#REF!</definedName>
    <definedName name="balok\b1.1GWT" localSheetId="3">#REF!</definedName>
    <definedName name="balok\b1.1GWT">#REF!</definedName>
    <definedName name="balok\b1.2GWT" localSheetId="3">#REF!</definedName>
    <definedName name="balok\b1.2GWT">#REF!</definedName>
    <definedName name="balok\b1.3GWT" localSheetId="3">#REF!</definedName>
    <definedName name="balok\b1.3GWT">#REF!</definedName>
    <definedName name="balok\b2.1GWT" localSheetId="3">#REF!</definedName>
    <definedName name="balok\b2.1GWT">#REF!</definedName>
    <definedName name="balok_kayu_borneo" localSheetId="3">#REF!</definedName>
    <definedName name="balok_kayu_borneo">#REF!</definedName>
    <definedName name="balokbekis" localSheetId="3">#REF!</definedName>
    <definedName name="balokbekis">#REF!</definedName>
    <definedName name="balokbs" localSheetId="3">#REF!</definedName>
    <definedName name="balokbs">#REF!</definedName>
    <definedName name="baloklantaiI">[39]Analisis!#REF!</definedName>
    <definedName name="baloklantaiII">[39]Analisis!#REF!</definedName>
    <definedName name="balokposjaga" localSheetId="3">#REF!</definedName>
    <definedName name="balokposjaga">#REF!</definedName>
    <definedName name="Bambujepang" localSheetId="3">#REF!</definedName>
    <definedName name="Bambujepang">#REF!</definedName>
    <definedName name="bantu">#REF!</definedName>
    <definedName name="bar_bender" localSheetId="3">#REF!</definedName>
    <definedName name="bar_bender">#REF!</definedName>
    <definedName name="bar_cutter" localSheetId="3">#REF!</definedName>
    <definedName name="bar_cutter">#REF!</definedName>
    <definedName name="BARRET" localSheetId="2">#REF!</definedName>
    <definedName name="BARRET" localSheetId="3">#REF!</definedName>
    <definedName name="BARRET">#REF!</definedName>
    <definedName name="Baru" localSheetId="3" hidden="1">#REF!</definedName>
    <definedName name="Baru" hidden="1">#REF!</definedName>
    <definedName name="basaom" localSheetId="3">#REF!</definedName>
    <definedName name="basaom">#REF!</definedName>
    <definedName name="basdim" localSheetId="3">#REF!</definedName>
    <definedName name="basdim">#REF!</definedName>
    <definedName name="basdoc" localSheetId="3">#REF!</definedName>
    <definedName name="basdoc">#REF!</definedName>
    <definedName name="base_plate" localSheetId="3">#REF!</definedName>
    <definedName name="base_plate">#REF!</definedName>
    <definedName name="BaseA" localSheetId="3">#REF!</definedName>
    <definedName name="BaseA">#REF!</definedName>
    <definedName name="BaseB" localSheetId="3">#REF!</definedName>
    <definedName name="BaseB">#REF!</definedName>
    <definedName name="BaseC" localSheetId="3">#REF!</definedName>
    <definedName name="BaseC">#REF!</definedName>
    <definedName name="Basecoarse" localSheetId="2">#REF!</definedName>
    <definedName name="Basecoarse" localSheetId="3">#REF!</definedName>
    <definedName name="Basecoarse">#REF!</definedName>
    <definedName name="basecorse30" localSheetId="3">#REF!</definedName>
    <definedName name="basecorse30">#REF!</definedName>
    <definedName name="basfs" localSheetId="3">#REF!</definedName>
    <definedName name="basfs">#REF!</definedName>
    <definedName name="basi" localSheetId="3">#REF!</definedName>
    <definedName name="basi">#REF!</definedName>
    <definedName name="basitc" localSheetId="3">#REF!</definedName>
    <definedName name="basitc">#REF!</definedName>
    <definedName name="basrtu" localSheetId="3">#REF!</definedName>
    <definedName name="basrtu">#REF!</definedName>
    <definedName name="bastw" localSheetId="3">#REF!</definedName>
    <definedName name="bastw">#REF!</definedName>
    <definedName name="bata" localSheetId="3">#REF!</definedName>
    <definedName name="bata">#REF!</definedName>
    <definedName name="BATA1.2" localSheetId="2">#REF!</definedName>
    <definedName name="BATA1.2" localSheetId="3">#REF!</definedName>
    <definedName name="BATA1.2">#REF!</definedName>
    <definedName name="BATA1.4" localSheetId="3">#REF!</definedName>
    <definedName name="BATA1.4">#REF!</definedName>
    <definedName name="bata12">#REF!</definedName>
    <definedName name="bata14">#REF!</definedName>
    <definedName name="Bata16">'[38]Analisa Harga Satuan'!$G$1269</definedName>
    <definedName name="Bata161bata">'[38]Analisa Harga Satuan'!$G$1284</definedName>
    <definedName name="bataberongga" localSheetId="3">#REF!</definedName>
    <definedName name="bataberongga">#REF!</definedName>
    <definedName name="batak1" localSheetId="3">#REF!</definedName>
    <definedName name="batak1">#REF!</definedName>
    <definedName name="batak2" localSheetId="3">#REF!</definedName>
    <definedName name="batak2">#REF!</definedName>
    <definedName name="BataKerawang">'[38]Analisa Harga Satuan'!$G$1299</definedName>
    <definedName name="bathtub" localSheetId="3">#REF!</definedName>
    <definedName name="bathtub">#REF!</definedName>
    <definedName name="batu" localSheetId="3">#REF!</definedName>
    <definedName name="batu">#REF!</definedName>
    <definedName name="batu_apung" localSheetId="3">#REF!</definedName>
    <definedName name="batu_apung">#REF!</definedName>
    <definedName name="batu_bata" localSheetId="2">#REF!</definedName>
    <definedName name="batu_bata" localSheetId="3">#REF!</definedName>
    <definedName name="BATU_BATA">[10]BAHAN!$L$25</definedName>
    <definedName name="Batu_bata_besar" localSheetId="3">#REF!</definedName>
    <definedName name="Batu_bata_besar">#REF!</definedName>
    <definedName name="Batu_bata_kecil" localSheetId="3">#REF!</definedName>
    <definedName name="Batu_bata_kecil">#REF!</definedName>
    <definedName name="Batu_belah" localSheetId="3">#REF!</definedName>
    <definedName name="Batu_belah">#REF!</definedName>
    <definedName name="batu_candi" localSheetId="3">#REF!</definedName>
    <definedName name="batu_candi">#REF!</definedName>
    <definedName name="Batu_Cor_0__5__1" localSheetId="3">#REF!</definedName>
    <definedName name="Batu_Cor_0__5__1">#REF!</definedName>
    <definedName name="Batu_Cor_1_2" localSheetId="3">#REF!</definedName>
    <definedName name="Batu_Cor_1_2">#REF!</definedName>
    <definedName name="Batu_Cor_2_3" localSheetId="3">#REF!</definedName>
    <definedName name="Batu_Cor_2_3">#REF!</definedName>
    <definedName name="Batu_Cor_3_5" localSheetId="3">#REF!</definedName>
    <definedName name="Batu_Cor_3_5">#REF!</definedName>
    <definedName name="Batu_Cor_5_7" localSheetId="3">#REF!</definedName>
    <definedName name="Batu_Cor_5_7">#REF!</definedName>
    <definedName name="Batu_kacang" localSheetId="3">#REF!</definedName>
    <definedName name="Batu_kacang">#REF!</definedName>
    <definedName name="batu_kali" localSheetId="3">#REF!</definedName>
    <definedName name="batu_kali">#REF!</definedName>
    <definedName name="batu_kerikil">[40]Bahan!$M$18</definedName>
    <definedName name="BATU_KORAL">[40]Bahan!$M$17</definedName>
    <definedName name="Batu_pecah_0_5___1" localSheetId="3">#REF!</definedName>
    <definedName name="Batu_pecah_0_5___1">#REF!</definedName>
    <definedName name="Batu_pecah_1_2" localSheetId="3">#REF!</definedName>
    <definedName name="Batu_pecah_1_2">#REF!</definedName>
    <definedName name="Batu_pecah_2_3" localSheetId="3">#REF!</definedName>
    <definedName name="Batu_pecah_2_3">#REF!</definedName>
    <definedName name="Batu_pecah_3_5" localSheetId="3">#REF!</definedName>
    <definedName name="Batu_pecah_3_5">#REF!</definedName>
    <definedName name="Batu_pecah_5_7" localSheetId="3">#REF!</definedName>
    <definedName name="Batu_pecah_5_7">#REF!</definedName>
    <definedName name="batu_tempel" localSheetId="3">#REF!</definedName>
    <definedName name="batu_tempel">#REF!</definedName>
    <definedName name="BATUALAM" localSheetId="3">#REF!</definedName>
    <definedName name="BATUALAM">#REF!</definedName>
    <definedName name="Batubelah" localSheetId="2">#REF!</definedName>
    <definedName name="Batubelah" localSheetId="3">#REF!</definedName>
    <definedName name="BATUBELAH">#REF!</definedName>
    <definedName name="batucandi" localSheetId="3">#REF!</definedName>
    <definedName name="batucandi">#REF!</definedName>
    <definedName name="BATUKALI" localSheetId="2">'[27]Analisa Quarry'!$A$226:$J$311</definedName>
    <definedName name="BATUKALI" localSheetId="3">'[27]Analisa Quarry'!$A$226:$J$311</definedName>
    <definedName name="BATUKALI">#REF!</definedName>
    <definedName name="batukarang" localSheetId="3">#REF!</definedName>
    <definedName name="batukarang">#REF!</definedName>
    <definedName name="batukosong">[39]Analisis!#REF!</definedName>
    <definedName name="batukrop" localSheetId="3">#REF!</definedName>
    <definedName name="batukrop">#REF!</definedName>
    <definedName name="batusaring">#REF!</definedName>
    <definedName name="baut" localSheetId="3">#REF!</definedName>
    <definedName name="baut">#REF!</definedName>
    <definedName name="baut12" localSheetId="3">#REF!</definedName>
    <definedName name="baut12">#REF!</definedName>
    <definedName name="baut16" localSheetId="3">#REF!</definedName>
    <definedName name="baut16">#REF!</definedName>
    <definedName name="baut19" localSheetId="3">#REF!</definedName>
    <definedName name="baut19">#REF!</definedName>
    <definedName name="BAX" localSheetId="3">#REF!</definedName>
    <definedName name="BAX">#REF!</definedName>
    <definedName name="bb">[41]INPUT!$A$6</definedName>
    <definedName name="bbalok">#REF!</definedName>
    <definedName name="bbalok_6" localSheetId="3">#REF!</definedName>
    <definedName name="bbalok_6">#REF!</definedName>
    <definedName name="bbalpres" localSheetId="3">#REF!</definedName>
    <definedName name="bbalpres">#REF!</definedName>
    <definedName name="BBASE" localSheetId="3">#REF!</definedName>
    <definedName name="BBASE">#REF!</definedName>
    <definedName name="bbb">[41]INPUT!$E$6</definedName>
    <definedName name="bbl">#REF!</definedName>
    <definedName name="BBX" localSheetId="3">#REF!</definedName>
    <definedName name="BBX">#REF!</definedName>
    <definedName name="BCA" localSheetId="2">#REF!</definedName>
    <definedName name="BCA" localSheetId="3">#REF!</definedName>
    <definedName name="BCA">#REF!</definedName>
    <definedName name="bcor" localSheetId="3">#REF!</definedName>
    <definedName name="bcor">#REF!</definedName>
    <definedName name="BCX" localSheetId="3">#REF!</definedName>
    <definedName name="BCX">#REF!</definedName>
    <definedName name="bdh" localSheetId="2" hidden="1">{"'Sheet1'!$A$1"}</definedName>
    <definedName name="bdh" localSheetId="3" hidden="1">{"'Sheet1'!$A$1"}</definedName>
    <definedName name="bdh" hidden="1">{"'Sheet1'!$A$1"}</definedName>
    <definedName name="bdinding">#REF!</definedName>
    <definedName name="bdinding_6" localSheetId="3">#REF!</definedName>
    <definedName name="bdinding_6">#REF!</definedName>
    <definedName name="be">#REF!</definedName>
    <definedName name="bedah" localSheetId="3">#REF!</definedName>
    <definedName name="bedah">#REF!</definedName>
    <definedName name="beinraad" localSheetId="3">#REF!</definedName>
    <definedName name="beinraad">#REF!</definedName>
    <definedName name="bek_b" localSheetId="3">#REF!</definedName>
    <definedName name="bek_b">#REF!</definedName>
    <definedName name="bek_d" localSheetId="3">#REF!</definedName>
    <definedName name="bek_d">#REF!</definedName>
    <definedName name="bek_k" localSheetId="3">#REF!</definedName>
    <definedName name="bek_k">#REF!</definedName>
    <definedName name="bek_l" localSheetId="3">#REF!</definedName>
    <definedName name="bek_l">#REF!</definedName>
    <definedName name="bek_pc" localSheetId="3">#REF!</definedName>
    <definedName name="bek_pc">#REF!</definedName>
    <definedName name="BEKBALOK" localSheetId="3">#REF!</definedName>
    <definedName name="BEKBALOK">#REF!</definedName>
    <definedName name="BEKBATA" localSheetId="3">#REF!</definedName>
    <definedName name="BEKBATA">#REF!</definedName>
    <definedName name="bekistb" localSheetId="3">#REF!</definedName>
    <definedName name="bekistb">#REF!</definedName>
    <definedName name="bekisting" localSheetId="3" hidden="1">#REF!</definedName>
    <definedName name="bekisting" hidden="1">#REF!</definedName>
    <definedName name="bekistp" localSheetId="3">#REF!</definedName>
    <definedName name="bekistp">#REF!</definedName>
    <definedName name="BEKOLOM" localSheetId="3">#REF!</definedName>
    <definedName name="BEKOLOM">#REF!</definedName>
    <definedName name="bekpan" localSheetId="3">#REF!</definedName>
    <definedName name="bekpan">#REF!</definedName>
    <definedName name="beksloff" localSheetId="3">#REF!</definedName>
    <definedName name="beksloff">#REF!</definedName>
    <definedName name="bel" localSheetId="3">#REF!</definedName>
    <definedName name="bel">#REF!</definedName>
    <definedName name="BEN" localSheetId="3">#REF!</definedName>
    <definedName name="BEN">#REF!</definedName>
    <definedName name="Benang" localSheetId="3">#REF!</definedName>
    <definedName name="Benang">#REF!</definedName>
    <definedName name="Benang_nilon_putih" localSheetId="3">#REF!</definedName>
    <definedName name="Benang_nilon_putih">#REF!</definedName>
    <definedName name="Bender">#REF!</definedName>
    <definedName name="bendrat" localSheetId="3">#REF!</definedName>
    <definedName name="bendrat">#REF!</definedName>
    <definedName name="BERI">#REF!</definedName>
    <definedName name="BERII" localSheetId="3">#REF!</definedName>
    <definedName name="BERII">#REF!</definedName>
    <definedName name="BERIII" localSheetId="3">#REF!</definedName>
    <definedName name="BERIII">#REF!</definedName>
    <definedName name="BERIV" localSheetId="3">#REF!</definedName>
    <definedName name="BERIV">#REF!</definedName>
    <definedName name="bersalin" localSheetId="3">#REF!</definedName>
    <definedName name="bersalin">#REF!</definedName>
    <definedName name="BERV" localSheetId="3">#REF!</definedName>
    <definedName name="BERV">#REF!</definedName>
    <definedName name="Besi" localSheetId="3">#REF!</definedName>
    <definedName name="Besi">#REF!</definedName>
    <definedName name="Besi.8" localSheetId="3">#REF!</definedName>
    <definedName name="Besi.8">#REF!</definedName>
    <definedName name="besi_6" localSheetId="3">#REF!</definedName>
    <definedName name="besi_6">#REF!</definedName>
    <definedName name="besi_beton" localSheetId="2">#REF!</definedName>
    <definedName name="besi_beton" localSheetId="3">#REF!</definedName>
    <definedName name="BESI_BETON">[10]BAHAN!$L$27</definedName>
    <definedName name="besi_l_70" localSheetId="3">#REF!</definedName>
    <definedName name="besi_l_70">#REF!</definedName>
    <definedName name="Besi_plat_untuk_pintu_besi" localSheetId="3">#REF!</definedName>
    <definedName name="Besi_plat_untuk_pintu_besi">#REF!</definedName>
    <definedName name="Besi_profile___besi_Canal" localSheetId="3">#REF!</definedName>
    <definedName name="Besi_profile___besi_Canal">#REF!</definedName>
    <definedName name="Besi_profile_WF" localSheetId="3">#REF!</definedName>
    <definedName name="Besi_profile_WF">#REF!</definedName>
    <definedName name="Besi_siku_50x50x5__P_6M" localSheetId="3">#REF!</definedName>
    <definedName name="Besi_siku_50x50x5__P_6M">#REF!</definedName>
    <definedName name="besi10" localSheetId="3">#REF!</definedName>
    <definedName name="besi10">#REF!</definedName>
    <definedName name="besi13u" localSheetId="3">#REF!</definedName>
    <definedName name="besi13u">#REF!</definedName>
    <definedName name="besi16" localSheetId="3">#REF!</definedName>
    <definedName name="besi16">#REF!</definedName>
    <definedName name="besi16sii" localSheetId="3">#REF!</definedName>
    <definedName name="besi16sii">#REF!</definedName>
    <definedName name="besi16u" localSheetId="3">#REF!</definedName>
    <definedName name="besi16u">#REF!</definedName>
    <definedName name="besi19u" localSheetId="3">#REF!</definedName>
    <definedName name="besi19u">#REF!</definedName>
    <definedName name="BESI1KG" localSheetId="3">#REF!</definedName>
    <definedName name="BESI1KG">#REF!</definedName>
    <definedName name="BESI1M3" localSheetId="3">#REF!</definedName>
    <definedName name="BESI1M3">#REF!</definedName>
    <definedName name="besi22" localSheetId="3">#REF!</definedName>
    <definedName name="besi22">#REF!</definedName>
    <definedName name="besi24" localSheetId="3">#REF!</definedName>
    <definedName name="besi24">#REF!</definedName>
    <definedName name="besi25" localSheetId="3">#REF!</definedName>
    <definedName name="besi25">#REF!</definedName>
    <definedName name="besi39" localSheetId="3">#REF!</definedName>
    <definedName name="besi39">#REF!</definedName>
    <definedName name="besi6.sii" localSheetId="3">#REF!</definedName>
    <definedName name="besi6.sii">#REF!</definedName>
    <definedName name="besi6sii" localSheetId="3">#REF!</definedName>
    <definedName name="besi6sii">#REF!</definedName>
    <definedName name="besi8" localSheetId="3">#REF!</definedName>
    <definedName name="besi8">#REF!</definedName>
    <definedName name="besi8sii" localSheetId="3">#REF!</definedName>
    <definedName name="besi8sii">#REF!</definedName>
    <definedName name="besibet" localSheetId="3">#REF!</definedName>
    <definedName name="besibet">#REF!</definedName>
    <definedName name="besibeton10s" localSheetId="3">#REF!</definedName>
    <definedName name="besibeton10s">#REF!</definedName>
    <definedName name="besibeton12s" localSheetId="3">#REF!</definedName>
    <definedName name="besibeton12s">#REF!</definedName>
    <definedName name="besibeton16s" localSheetId="3">#REF!</definedName>
    <definedName name="besibeton16s">#REF!</definedName>
    <definedName name="besibeton8s" localSheetId="3">#REF!</definedName>
    <definedName name="besibeton8s">#REF!</definedName>
    <definedName name="besii" localSheetId="3">#REF!</definedName>
    <definedName name="besii">#REF!</definedName>
    <definedName name="besipegangan">[36]cover!#REF!</definedName>
    <definedName name="besiplat" localSheetId="3">#REF!</definedName>
    <definedName name="besiplat">#REF!</definedName>
    <definedName name="besiplat3" localSheetId="3">#REF!</definedName>
    <definedName name="besiplat3">#REF!</definedName>
    <definedName name="BESIPLAT4" localSheetId="3">#REF!</definedName>
    <definedName name="BESIPLAT4">#REF!</definedName>
    <definedName name="besisiku" localSheetId="3">#REF!</definedName>
    <definedName name="besisiku">#REF!</definedName>
    <definedName name="besisiku75757" localSheetId="3">#REF!</definedName>
    <definedName name="besisiku75757">#REF!</definedName>
    <definedName name="BesiU24" localSheetId="3">#REF!</definedName>
    <definedName name="BesiU24">#REF!</definedName>
    <definedName name="BesiU39" localSheetId="3">#REF!</definedName>
    <definedName name="BesiU39">#REF!</definedName>
    <definedName name="betok350" localSheetId="3">#REF!</definedName>
    <definedName name="betok350">#REF!</definedName>
    <definedName name="beton" localSheetId="3">#REF!</definedName>
    <definedName name="beton">#REF!</definedName>
    <definedName name="beton.225m" localSheetId="3">#REF!</definedName>
    <definedName name="beton.225m">#REF!</definedName>
    <definedName name="beton.tumbuk" localSheetId="3">#REF!</definedName>
    <definedName name="beton.tumbuk">#REF!</definedName>
    <definedName name="beton_k175" localSheetId="3">#REF!</definedName>
    <definedName name="beton_k175">#REF!</definedName>
    <definedName name="beton_k225" localSheetId="3">#REF!</definedName>
    <definedName name="beton_k225">#REF!</definedName>
    <definedName name="beton_k300" localSheetId="3">#REF!</definedName>
    <definedName name="beton_k300">#REF!</definedName>
    <definedName name="Beton_roster" localSheetId="3">#REF!</definedName>
    <definedName name="Beton_roster">#REF!</definedName>
    <definedName name="BETON135" localSheetId="3">#REF!</definedName>
    <definedName name="Beton135">#REF!</definedName>
    <definedName name="Beton136">#REF!</definedName>
    <definedName name="beton175m" localSheetId="3">#REF!</definedName>
    <definedName name="beton175m">#REF!</definedName>
    <definedName name="beton175R" localSheetId="3">#REF!</definedName>
    <definedName name="beton175R">#REF!</definedName>
    <definedName name="Beton225" localSheetId="3">#REF!</definedName>
    <definedName name="Beton225">#REF!</definedName>
    <definedName name="beton225r" localSheetId="3">#REF!</definedName>
    <definedName name="beton225r">#REF!</definedName>
    <definedName name="beton250m" localSheetId="3">#REF!</definedName>
    <definedName name="beton250m">#REF!</definedName>
    <definedName name="beton250r" localSheetId="3">#REF!</definedName>
    <definedName name="beton250r">#REF!</definedName>
    <definedName name="Beton300" localSheetId="3">#REF!</definedName>
    <definedName name="Beton300">#REF!</definedName>
    <definedName name="Beton400" localSheetId="3">#REF!</definedName>
    <definedName name="Beton400">#REF!</definedName>
    <definedName name="BETONBERT" localSheetId="3">#REF!</definedName>
    <definedName name="BETONBERT">#REF!</definedName>
    <definedName name="BetonBO" localSheetId="3">#REF!</definedName>
    <definedName name="BetonBO">#REF!</definedName>
    <definedName name="betonk250" localSheetId="3">#REF!</definedName>
    <definedName name="betonk250">#REF!</definedName>
    <definedName name="betonk300" localSheetId="3">#REF!</definedName>
    <definedName name="betonk300">#REF!</definedName>
    <definedName name="betonk350" localSheetId="3">#REF!</definedName>
    <definedName name="betonk350">#REF!</definedName>
    <definedName name="betonmassa">#REF!</definedName>
    <definedName name="Beugel_kalung" localSheetId="3">#REF!</definedName>
    <definedName name="Beugel_kalung">#REF!</definedName>
    <definedName name="Beugel_plat" localSheetId="3">#REF!</definedName>
    <definedName name="Beugel_plat">#REF!</definedName>
    <definedName name="bg" localSheetId="3">#REF!</definedName>
    <definedName name="bg">#REF!</definedName>
    <definedName name="BGF" localSheetId="2" hidden="1">{"'Sheet1'!$A$1"}</definedName>
    <definedName name="BGF" localSheetId="3" hidden="1">{"'Sheet1'!$A$1"}</definedName>
    <definedName name="BGF" hidden="1">{"'Sheet1'!$A$1"}</definedName>
    <definedName name="bgsbm12">#REF!</definedName>
    <definedName name="bgsbm9" localSheetId="3">#REF!</definedName>
    <definedName name="bgsbm9">#REF!</definedName>
    <definedName name="bgsbtk" localSheetId="3">#REF!</definedName>
    <definedName name="bgsbtk">#REF!</definedName>
    <definedName name="bgskm12" localSheetId="3">#REF!</definedName>
    <definedName name="bgskm12">#REF!</definedName>
    <definedName name="bgskm9" localSheetId="3">#REF!</definedName>
    <definedName name="bgskm9">#REF!</definedName>
    <definedName name="bgsm12" localSheetId="3">#REF!</definedName>
    <definedName name="bgsm12">#REF!</definedName>
    <definedName name="bgsm9" localSheetId="3">#REF!</definedName>
    <definedName name="bgsm9">#REF!</definedName>
    <definedName name="BH" localSheetId="3">#REF!</definedName>
    <definedName name="BH">#REF!</definedName>
    <definedName name="biayanyambungtp" localSheetId="3">#REF!</definedName>
    <definedName name="biayanyambungtp">#REF!</definedName>
    <definedName name="biayapotongtp" localSheetId="3">#REF!</definedName>
    <definedName name="biayapotongtp">#REF!</definedName>
    <definedName name="BIDA" localSheetId="3">#REF!</definedName>
    <definedName name="BIDA">#REF!</definedName>
    <definedName name="BIDB" localSheetId="3">#REF!</definedName>
    <definedName name="BIDB">#REF!</definedName>
    <definedName name="BIDC" localSheetId="3">#REF!</definedName>
    <definedName name="BIDC">#REF!</definedName>
    <definedName name="BINDER" localSheetId="3">#REF!</definedName>
    <definedName name="BINDER">#REF!</definedName>
    <definedName name="binjai" localSheetId="3">#REF!</definedName>
    <definedName name="binjai">#REF!</definedName>
    <definedName name="BIPROFIL">#N/A</definedName>
    <definedName name="Bis_beton_dia_100_cm_p_50_cm" localSheetId="3">#REF!</definedName>
    <definedName name="Bis_beton_dia_100_cm_p_50_cm">#REF!</definedName>
    <definedName name="Bis_beton_dia_60_cm_P_100_cm" localSheetId="3">#REF!</definedName>
    <definedName name="Bis_beton_dia_60_cm_P_100_cm">#REF!</definedName>
    <definedName name="Bis_beton_dia_80_cm_p_50_cm" localSheetId="3">#REF!</definedName>
    <definedName name="Bis_beton_dia_80_cm_p_50_cm">#REF!</definedName>
    <definedName name="BJ" localSheetId="3">#REF!</definedName>
    <definedName name="BJ">#REF!</definedName>
    <definedName name="Bjepang" localSheetId="3">#REF!</definedName>
    <definedName name="Bjepang">#REF!</definedName>
    <definedName name="bk" localSheetId="3">#REF!</definedName>
    <definedName name="bk">#REF!</definedName>
    <definedName name="BK.1\selasar" localSheetId="3">#REF!</definedName>
    <definedName name="BK.1\selasar">#REF!</definedName>
    <definedName name="BK.2\selasar" localSheetId="3">#REF!</definedName>
    <definedName name="BK.2\selasar">#REF!</definedName>
    <definedName name="BK.3\selasar" localSheetId="3">#REF!</definedName>
    <definedName name="BK.3\selasar">#REF!</definedName>
    <definedName name="BK.4\selasar" localSheetId="3">#REF!</definedName>
    <definedName name="BK.4\selasar">#REF!</definedName>
    <definedName name="BK.5\selasar" localSheetId="3">#REF!</definedName>
    <definedName name="BK.5\selasar">#REF!</definedName>
    <definedName name="bkali" localSheetId="3">#REF!</definedName>
    <definedName name="bkali">#REF!</definedName>
    <definedName name="bkbat" localSheetId="3">#REF!</definedName>
    <definedName name="bkbat">#REF!</definedName>
    <definedName name="bkbeton60.60.100" localSheetId="3">#REF!</definedName>
    <definedName name="bkbeton60.60.100">#REF!</definedName>
    <definedName name="BKI.6\selasar" localSheetId="3">#REF!</definedName>
    <definedName name="BKI.6\selasar">#REF!</definedName>
    <definedName name="bkolom" localSheetId="3">#REF!</definedName>
    <definedName name="bkolom">#REF!</definedName>
    <definedName name="bkolom_6" localSheetId="3">#REF!</definedName>
    <definedName name="bkolom_6">#REF!</definedName>
    <definedName name="Bks1\2bata" localSheetId="3">#REF!</definedName>
    <definedName name="Bks1\2bata">#REF!</definedName>
    <definedName name="Bks1\4bata" localSheetId="3">#REF!</definedName>
    <definedName name="Bks1\4bata">#REF!</definedName>
    <definedName name="bksbalok" localSheetId="3">#REF!</definedName>
    <definedName name="bksbalok">#REF!</definedName>
    <definedName name="Bksbata" localSheetId="3">#REF!</definedName>
    <definedName name="Bksbata">#REF!</definedName>
    <definedName name="bkskolom" localSheetId="3">#REF!</definedName>
    <definedName name="bkskolom">#REF!</definedName>
    <definedName name="bksplat" localSheetId="3">#REF!</definedName>
    <definedName name="bksplat">#REF!</definedName>
    <definedName name="bkspondasi" localSheetId="3">#REF!</definedName>
    <definedName name="bkspondasi">#REF!</definedName>
    <definedName name="bksslof" localSheetId="3">#REF!</definedName>
    <definedName name="bksslof">#REF!</definedName>
    <definedName name="BkstMulti12" localSheetId="3">#REF!</definedName>
    <definedName name="BkstMulti12">#REF!</definedName>
    <definedName name="BkstMulti9" localSheetId="3">#REF!</definedName>
    <definedName name="BkstMulti9">#REF!</definedName>
    <definedName name="BkstPpn" localSheetId="3">#REF!</definedName>
    <definedName name="BkstPpn">#REF!</definedName>
    <definedName name="BL\selasar" localSheetId="3">#REF!</definedName>
    <definedName name="BL\selasar">#REF!</definedName>
    <definedName name="BL_1" localSheetId="3">#REF!</definedName>
    <definedName name="BL_1">#REF!</definedName>
    <definedName name="BL_10" localSheetId="3">#REF!</definedName>
    <definedName name="BL_10">#REF!</definedName>
    <definedName name="BL_11" localSheetId="3">#REF!</definedName>
    <definedName name="BL_11">#REF!</definedName>
    <definedName name="BL_13" localSheetId="3">#REF!</definedName>
    <definedName name="BL_13">#REF!</definedName>
    <definedName name="BL_17" localSheetId="3">#REF!</definedName>
    <definedName name="BL_17">#REF!</definedName>
    <definedName name="BL_17A" localSheetId="3">#REF!</definedName>
    <definedName name="BL_17A">#REF!</definedName>
    <definedName name="BL_17B" localSheetId="3">#REF!</definedName>
    <definedName name="BL_17B">#REF!</definedName>
    <definedName name="BL_2" localSheetId="3">#REF!</definedName>
    <definedName name="BL_2">#REF!</definedName>
    <definedName name="BL_3" localSheetId="3">#REF!</definedName>
    <definedName name="BL_3">#REF!</definedName>
    <definedName name="BL_4" localSheetId="3">#REF!</definedName>
    <definedName name="BL_4">#REF!</definedName>
    <definedName name="BL_5" localSheetId="3">#REF!</definedName>
    <definedName name="BL_5">#REF!</definedName>
    <definedName name="BL_6" localSheetId="3">#REF!</definedName>
    <definedName name="BL_6">#REF!</definedName>
    <definedName name="BL_7" localSheetId="3">#REF!</definedName>
    <definedName name="BL_7">#REF!</definedName>
    <definedName name="BL_9" localSheetId="3">#REF!</definedName>
    <definedName name="BL_9">#REF!</definedName>
    <definedName name="bln" localSheetId="2">#REF!</definedName>
    <definedName name="bln" localSheetId="3">#REF!</definedName>
    <definedName name="bln">#REF!</definedName>
    <definedName name="bm.f" localSheetId="3">#REF!</definedName>
    <definedName name="bm.f">#REF!</definedName>
    <definedName name="bmcb" localSheetId="3">#REF!</definedName>
    <definedName name="bmcb">#REF!</definedName>
    <definedName name="BODEM" localSheetId="2">#REF!</definedName>
    <definedName name="BODEM" localSheetId="3">#REF!</definedName>
    <definedName name="BODEM">#REF!</definedName>
    <definedName name="boker">'[17]Kuantitas &amp; Harga'!#REF!</definedName>
    <definedName name="boplank" localSheetId="3">#REF!</definedName>
    <definedName name="boplank">#REF!</definedName>
    <definedName name="boq.prtsi" localSheetId="3">#REF!</definedName>
    <definedName name="boq.prtsi">#REF!</definedName>
    <definedName name="border" localSheetId="3">#REF!</definedName>
    <definedName name="border">#REF!</definedName>
    <definedName name="border8x20" localSheetId="3">#REF!</definedName>
    <definedName name="border8x20">#REF!</definedName>
    <definedName name="border8x25" localSheetId="3">#REF!</definedName>
    <definedName name="border8x25">#REF!</definedName>
    <definedName name="border8x30" localSheetId="3">#REF!</definedName>
    <definedName name="border8x30">#REF!</definedName>
    <definedName name="borneo6.12" localSheetId="3">#REF!</definedName>
    <definedName name="borneo6.12">#REF!</definedName>
    <definedName name="bouplank">[39]Analisis!#REF!</definedName>
    <definedName name="bouwplnk" localSheetId="3">#REF!</definedName>
    <definedName name="bouwplnk">#REF!</definedName>
    <definedName name="BOX.40.50" localSheetId="3">#REF!</definedName>
    <definedName name="BOX.40.50">#REF!</definedName>
    <definedName name="BOX.80.120" localSheetId="3">#REF!</definedName>
    <definedName name="BOX.80.120">#REF!</definedName>
    <definedName name="Box_zekering__1_group" localSheetId="3">#REF!</definedName>
    <definedName name="Box_zekering__1_group">#REF!</definedName>
    <definedName name="Box_zekering__2_group" localSheetId="3">#REF!</definedName>
    <definedName name="Box_zekering__2_group">#REF!</definedName>
    <definedName name="Box_zekering__3_group" localSheetId="3">#REF!</definedName>
    <definedName name="Box_zekering__3_group">#REF!</definedName>
    <definedName name="bp" localSheetId="3">#REF!</definedName>
    <definedName name="bp">#REF!</definedName>
    <definedName name="BP.5" localSheetId="3">#REF!</definedName>
    <definedName name="BP.5">#REF!</definedName>
    <definedName name="bpile" localSheetId="3">#REF!</definedName>
    <definedName name="bpile">#REF!</definedName>
    <definedName name="bpile_6" localSheetId="3">#REF!</definedName>
    <definedName name="bpile_6">#REF!</definedName>
    <definedName name="bpl2x9" localSheetId="3">#REF!</definedName>
    <definedName name="bpl2x9">#REF!</definedName>
    <definedName name="bpl2x9nb" localSheetId="3">#REF!</definedName>
    <definedName name="bpl2x9nb">#REF!</definedName>
    <definedName name="bpl32nb" localSheetId="3">#REF!</definedName>
    <definedName name="bpl32nb">#REF!</definedName>
    <definedName name="bpl9nb" localSheetId="3">#REF!</definedName>
    <definedName name="bpl9nb">#REF!</definedName>
    <definedName name="bplat" localSheetId="3">#REF!</definedName>
    <definedName name="bplat">#REF!</definedName>
    <definedName name="bplat_6" localSheetId="3">#REF!</definedName>
    <definedName name="bplat_6">#REF!</definedName>
    <definedName name="bpolos" localSheetId="3">#REF!</definedName>
    <definedName name="bpolos">#REF!</definedName>
    <definedName name="bpond" localSheetId="3">#REF!</definedName>
    <definedName name="bpond">#REF!</definedName>
    <definedName name="bq">#REF!</definedName>
    <definedName name="BQEX">[42]BQ!$B$12:$K$425</definedName>
    <definedName name="BR" localSheetId="3">#REF!</definedName>
    <definedName name="BR">#REF!</definedName>
    <definedName name="BR.1" localSheetId="3">#REF!</definedName>
    <definedName name="BR.1">#REF!</definedName>
    <definedName name="BR.1\ramp" localSheetId="3">#REF!</definedName>
    <definedName name="BR.1\ramp">#REF!</definedName>
    <definedName name="brc_m5" localSheetId="3">#REF!</definedName>
    <definedName name="brc_m5">#REF!</definedName>
    <definedName name="brc_m6" localSheetId="3">#REF!</definedName>
    <definedName name="brc_m6">#REF!</definedName>
    <definedName name="brs" localSheetId="3">#REF!</definedName>
    <definedName name="brs">#REF!</definedName>
    <definedName name="BS" localSheetId="3">#REF!</definedName>
    <definedName name="BS">#REF!</definedName>
    <definedName name="BS.1\selasar" localSheetId="3">#REF!</definedName>
    <definedName name="BS.1\selasar">#REF!</definedName>
    <definedName name="BS.2\selasar" localSheetId="3">#REF!</definedName>
    <definedName name="BS.2\selasar">#REF!</definedName>
    <definedName name="bs.s" localSheetId="3">#REF!</definedName>
    <definedName name="bs.s">#REF!</definedName>
    <definedName name="bs.str" localSheetId="3">#REF!</definedName>
    <definedName name="bs.str">#REF!</definedName>
    <definedName name="bsk">#REF!</definedName>
    <definedName name="BSP\perKG" localSheetId="3">#REF!</definedName>
    <definedName name="BSP\perKG">#REF!</definedName>
    <definedName name="BSP11\2HITAM" localSheetId="3">#REF!</definedName>
    <definedName name="BSP11\2HITAM">#REF!</definedName>
    <definedName name="BSP11\2MEDIUM" localSheetId="3">#REF!</definedName>
    <definedName name="BSP11\2MEDIUM">#REF!</definedName>
    <definedName name="BSP1HITAM" localSheetId="3">#REF!</definedName>
    <definedName name="BSP1HITAM">#REF!</definedName>
    <definedName name="BSP2.5HITAM" localSheetId="3">#REF!</definedName>
    <definedName name="BSP2.5HITAM">#REF!</definedName>
    <definedName name="BSP2.5PUTIH" localSheetId="3">#REF!</definedName>
    <definedName name="BSP2.5PUTIH">#REF!</definedName>
    <definedName name="BSP2HITAM" localSheetId="3">#REF!</definedName>
    <definedName name="BSP2HITAM">#REF!</definedName>
    <definedName name="BSP2PUTIH" localSheetId="3">#REF!</definedName>
    <definedName name="BSP2PUTIH">#REF!</definedName>
    <definedName name="BSP3MEDIUM" localSheetId="3">#REF!</definedName>
    <definedName name="BSP3MEDIUM">#REF!</definedName>
    <definedName name="bssengkang" localSheetId="3">#REF!</definedName>
    <definedName name="bssengkang">#REF!</definedName>
    <definedName name="BsSikuDN" localSheetId="3">#REF!</definedName>
    <definedName name="BsSikuDN">#REF!</definedName>
    <definedName name="bstulangan" localSheetId="3">#REF!</definedName>
    <definedName name="bstulangan">#REF!</definedName>
    <definedName name="btangga" localSheetId="3">#REF!</definedName>
    <definedName name="btangga">#REF!</definedName>
    <definedName name="BTG.1A" localSheetId="3">#REF!</definedName>
    <definedName name="BTG.1A">#REF!</definedName>
    <definedName name="btg1a" localSheetId="3">#REF!</definedName>
    <definedName name="btg1a">#REF!</definedName>
    <definedName name="btg2a" localSheetId="3">#REF!</definedName>
    <definedName name="btg2a">#REF!</definedName>
    <definedName name="btg2b" localSheetId="3">#REF!</definedName>
    <definedName name="btg2b">#REF!</definedName>
    <definedName name="bthitam" localSheetId="3">#REF!</definedName>
    <definedName name="bthitam">#REF!</definedName>
    <definedName name="btl" localSheetId="3" hidden="1">#REF!</definedName>
    <definedName name="btl" hidden="1">#REF!</definedName>
    <definedName name="BTM" localSheetId="3">#REF!</definedName>
    <definedName name="BTM">#REF!</definedName>
    <definedName name="btn" localSheetId="3">#REF!</definedName>
    <definedName name="btn">#REF!</definedName>
    <definedName name="btn_6" localSheetId="3">#REF!</definedName>
    <definedName name="btn_6">#REF!</definedName>
    <definedName name="btn_8" localSheetId="3">#REF!</definedName>
    <definedName name="btn_8">#REF!</definedName>
    <definedName name="btnpeninggielevasi" localSheetId="3">#REF!</definedName>
    <definedName name="btnpeninggielevasi">#REF!</definedName>
    <definedName name="btparas" localSheetId="3">#REF!</definedName>
    <definedName name="btparas">#REF!</definedName>
    <definedName name="btsikat" localSheetId="3">#REF!</definedName>
    <definedName name="btsikat">#REF!</definedName>
    <definedName name="bttemplek" localSheetId="3">#REF!</definedName>
    <definedName name="bttemplek">#REF!</definedName>
    <definedName name="btul24" localSheetId="3">#REF!</definedName>
    <definedName name="btul24">#REF!</definedName>
    <definedName name="btul39" localSheetId="3">#REF!</definedName>
    <definedName name="btul39">#REF!</definedName>
    <definedName name="buangan" localSheetId="3">#REF!</definedName>
    <definedName name="buangan">#REF!</definedName>
    <definedName name="Buangan_air_bak_mandi_dari_kuningan" localSheetId="3">#REF!</definedName>
    <definedName name="Buangan_air_bak_mandi_dari_kuningan">#REF!</definedName>
    <definedName name="buangkeruk" localSheetId="3">#REF!</definedName>
    <definedName name="buangkeruk">#REF!</definedName>
    <definedName name="Bubungan_press_pejaten" localSheetId="3">#REF!</definedName>
    <definedName name="Bubungan_press_pejaten">#REF!</definedName>
    <definedName name="Bubungan_seng_gelombang" localSheetId="3">#REF!</definedName>
    <definedName name="Bubungan_seng_gelombang">#REF!</definedName>
    <definedName name="bubunganardeks" localSheetId="3">#REF!</definedName>
    <definedName name="bubunganardeks">#REF!</definedName>
    <definedName name="bubunganseng">[39]Analisis!#REF!</definedName>
    <definedName name="budi" localSheetId="3">#REF!</definedName>
    <definedName name="budi">#REF!</definedName>
    <definedName name="bugenteng" localSheetId="3">#REF!</definedName>
    <definedName name="bugenteng">#REF!</definedName>
    <definedName name="buis.80" localSheetId="3">#REF!</definedName>
    <definedName name="buis.80">#REF!</definedName>
    <definedName name="buis.tl" localSheetId="3">#REF!</definedName>
    <definedName name="buis.tl">#REF!</definedName>
    <definedName name="Buis_beton__ø_1_m" localSheetId="3">#REF!</definedName>
    <definedName name="Buis_beton__ø_1_m">#REF!</definedName>
    <definedName name="Buis_beton__ø_20" localSheetId="3">#REF!</definedName>
    <definedName name="Buis_beton__ø_20">#REF!</definedName>
    <definedName name="Buis_beton__ø_30" localSheetId="3">#REF!</definedName>
    <definedName name="Buis_beton__ø_30">#REF!</definedName>
    <definedName name="Buis_beton_1_2_ø_20" localSheetId="3">#REF!</definedName>
    <definedName name="Buis_beton_1_2_ø_20">#REF!</definedName>
    <definedName name="Buis_beton_1_2_ø_30" localSheetId="3">#REF!</definedName>
    <definedName name="Buis_beton_1_2_ø_30">#REF!</definedName>
    <definedName name="buis40" localSheetId="3">#REF!</definedName>
    <definedName name="buis40">#REF!</definedName>
    <definedName name="buisbeton40" localSheetId="3">#REF!</definedName>
    <definedName name="buisbeton40">#REF!</definedName>
    <definedName name="BUISTON" localSheetId="2">#REF!</definedName>
    <definedName name="BUISTON" localSheetId="3">#REF!</definedName>
    <definedName name="BUISTON">#REF!</definedName>
    <definedName name="BUISTON20" localSheetId="3">#REF!</definedName>
    <definedName name="BUISTON20">#REF!</definedName>
    <definedName name="buiston40" localSheetId="3">#REF!</definedName>
    <definedName name="buiston40">#REF!</definedName>
    <definedName name="Buldozer" localSheetId="3">#REF!</definedName>
    <definedName name="buldozer">#REF!</definedName>
    <definedName name="bulir" localSheetId="3">#REF!</definedName>
    <definedName name="bulir">#REF!</definedName>
    <definedName name="bulldozer" localSheetId="2">#REF!</definedName>
    <definedName name="bulldozer" localSheetId="3">#REF!</definedName>
    <definedName name="BULLDOZER">#REF!</definedName>
    <definedName name="Bungurjepang" localSheetId="3">#REF!</definedName>
    <definedName name="Bungurjepang">#REF!</definedName>
    <definedName name="buruh" localSheetId="3">#REF!</definedName>
    <definedName name="buruh">#REF!</definedName>
    <definedName name="bus_50" localSheetId="3">#REF!</definedName>
    <definedName name="bus_50">#REF!</definedName>
    <definedName name="busa">[10]BAHAN!#REF!</definedName>
    <definedName name="BV.1" localSheetId="3">#REF!</definedName>
    <definedName name="BV.1">#REF!</definedName>
    <definedName name="BV.2" localSheetId="3">#REF!</definedName>
    <definedName name="BV.2">#REF!</definedName>
    <definedName name="BV.3" localSheetId="3">#REF!</definedName>
    <definedName name="BV.3">#REF!</definedName>
    <definedName name="BV.4" localSheetId="3">#REF!</definedName>
    <definedName name="BV.4">#REF!</definedName>
    <definedName name="bvd2.5" localSheetId="3">#REF!</definedName>
    <definedName name="bvd2.5">#REF!</definedName>
    <definedName name="bvnbv" localSheetId="3">#REF!</definedName>
    <definedName name="bvnbv">#REF!</definedName>
    <definedName name="bwic_a" localSheetId="3">#REF!</definedName>
    <definedName name="bwic_a">#REF!</definedName>
    <definedName name="bwic_b" localSheetId="3">#REF!</definedName>
    <definedName name="bwic_b">#REF!</definedName>
    <definedName name="bwic_c" localSheetId="3">#REF!</definedName>
    <definedName name="bwic_c">#REF!</definedName>
    <definedName name="c.mowi.luar" localSheetId="3">#REF!</definedName>
    <definedName name="c.mowi.luar">#REF!</definedName>
    <definedName name="c.vinilex.dlm" localSheetId="3">#REF!</definedName>
    <definedName name="c.vinilex.dlm">#REF!</definedName>
    <definedName name="c.vinilex.sjs" localSheetId="3">#REF!</definedName>
    <definedName name="c.vinilex.sjs">#REF!</definedName>
    <definedName name="C_" localSheetId="3">#REF!</definedName>
    <definedName name="C_">#REF!</definedName>
    <definedName name="C_1" localSheetId="3">#REF!</definedName>
    <definedName name="C_1">#REF!</definedName>
    <definedName name="C_2" localSheetId="3">#REF!</definedName>
    <definedName name="C_2">#REF!</definedName>
    <definedName name="CABOK" localSheetId="3">#REF!</definedName>
    <definedName name="CABOK">#REF!</definedName>
    <definedName name="Cabutsheet" localSheetId="3">#REF!</definedName>
    <definedName name="Cabutsheet">#REF!</definedName>
    <definedName name="CAKIL" localSheetId="3">#REF!</definedName>
    <definedName name="CAKIL">#REF!</definedName>
    <definedName name="calci" localSheetId="3">#REF!</definedName>
    <definedName name="calci">#REF!</definedName>
    <definedName name="calsium" localSheetId="3">#REF!</definedName>
    <definedName name="calsium">#REF!</definedName>
    <definedName name="campuranpanaslatasir">#REF!</definedName>
    <definedName name="canal" localSheetId="3">#REF!</definedName>
    <definedName name="canal">#REF!</definedName>
    <definedName name="canal_c" localSheetId="3">#REF!</definedName>
    <definedName name="canal_c">#REF!</definedName>
    <definedName name="Cansteen" localSheetId="2">[25]Analisa!$G$1084</definedName>
    <definedName name="Cansteen" localSheetId="3">[25]Analisa!$G$1084</definedName>
    <definedName name="CASHFLOW" localSheetId="3">#REF!</definedName>
    <definedName name="CASHFLOW">#REF!</definedName>
    <definedName name="casingpvc2">[10]BAHAN!#REF!</definedName>
    <definedName name="casingpvc2.5">[10]BAHAN!#REF!</definedName>
    <definedName name="casingpvc4">[10]BAHAN!#REF!</definedName>
    <definedName name="CASTOPER" localSheetId="3">#REF!</definedName>
    <definedName name="CASTOPER">#REF!</definedName>
    <definedName name="castoper40" localSheetId="3">#REF!</definedName>
    <definedName name="castoper40">#REF!</definedName>
    <definedName name="castoper60" localSheetId="3">#REF!</definedName>
    <definedName name="castoper60">#REF!</definedName>
    <definedName name="cat" localSheetId="3">#REF!</definedName>
    <definedName name="cat">#REF!</definedName>
    <definedName name="cat.dasar">[10]BAHAN!#REF!</definedName>
    <definedName name="cat.menie">[10]ANALISA!#REF!</definedName>
    <definedName name="cat.papan">[10]BAHAN!#REF!</definedName>
    <definedName name="Cat_besi_merk_platon" localSheetId="3">#REF!</definedName>
    <definedName name="Cat_besi_merk_platon">#REF!</definedName>
    <definedName name="cat_dasar" localSheetId="3">#REF!</definedName>
    <definedName name="cat_dasar">#REF!</definedName>
    <definedName name="cat_kayu" localSheetId="2">#REF!</definedName>
    <definedName name="cat_kayu" localSheetId="3">#REF!</definedName>
    <definedName name="Cat_Kayu">'[38]Analisa Harga Satuan'!$G$2673</definedName>
    <definedName name="CAT_KILAT">[10]BAHAN!$L$40</definedName>
    <definedName name="Cat_manie_besi__kayu" localSheetId="3">#REF!</definedName>
    <definedName name="Cat_manie_besi__kayu">#REF!</definedName>
    <definedName name="CAT_MENIE">[10]BAHAN!#REF!</definedName>
    <definedName name="cat_papan">[43]BAHAN!$L$20</definedName>
    <definedName name="cat_tembok" localSheetId="2">#REF!</definedName>
    <definedName name="cat_tembok" localSheetId="3">#REF!</definedName>
    <definedName name="CAT_TEMBOK">[10]BAHAN!$L$41</definedName>
    <definedName name="Cat_tembok_merk_platon" localSheetId="3">#REF!</definedName>
    <definedName name="Cat_tembok_merk_platon">#REF!</definedName>
    <definedName name="catalkali" localSheetId="3">#REF!</definedName>
    <definedName name="catalkali">#REF!</definedName>
    <definedName name="catbesi" localSheetId="3">#REF!</definedName>
    <definedName name="catbesi">#REF!</definedName>
    <definedName name="CATBOK" localSheetId="2">#REF!</definedName>
    <definedName name="CATBOK" localSheetId="3">#REF!</definedName>
    <definedName name="CATBOK" localSheetId="11">#REF!</definedName>
    <definedName name="CATBOK">#REF!</definedName>
    <definedName name="CATDALAM" localSheetId="3">#REF!</definedName>
    <definedName name="CATDALAM">#REF!</definedName>
    <definedName name="catdasar" localSheetId="3">#REF!</definedName>
    <definedName name="catdasar">#REF!</definedName>
    <definedName name="catdlm" localSheetId="3">#REF!</definedName>
    <definedName name="catdlm">#REF!</definedName>
    <definedName name="catdocu\nonjasa" localSheetId="3">#REF!</definedName>
    <definedName name="catdocu\nonjasa">#REF!</definedName>
    <definedName name="catduco" localSheetId="3">#REF!</definedName>
    <definedName name="catduco">#REF!</definedName>
    <definedName name="Category_Optional_Field" localSheetId="3">#REF!</definedName>
    <definedName name="Category_Optional_Field">#REF!</definedName>
    <definedName name="Category_Optional_Fields" localSheetId="3">#REF!</definedName>
    <definedName name="Category_Optional_Fields">#REF!</definedName>
    <definedName name="Catexterior">'[38]Analisa Harga Satuan'!$G$2699</definedName>
    <definedName name="catgenteng" localSheetId="3">#REF!</definedName>
    <definedName name="catgenteng">#REF!</definedName>
    <definedName name="CatInterior">'[38]Analisa Harga Satuan'!$G$2712</definedName>
    <definedName name="catkayu" localSheetId="3">#REF!</definedName>
    <definedName name="catkayu">#REF!</definedName>
    <definedName name="catkayumtrendah" localSheetId="3">#REF!</definedName>
    <definedName name="catkayumtrendah">#REF!</definedName>
    <definedName name="catkosen">[39]Analisis!#REF!</definedName>
    <definedName name="catkym" localSheetId="3">#REF!</definedName>
    <definedName name="catkym">#REF!</definedName>
    <definedName name="catkymttinggi" localSheetId="3">#REF!</definedName>
    <definedName name="catkymttinggi">#REF!</definedName>
    <definedName name="catkymututinggi" localSheetId="3">#REF!</definedName>
    <definedName name="catkymututinggi">#REF!</definedName>
    <definedName name="catkyt" localSheetId="3">#REF!</definedName>
    <definedName name="catkyt">#REF!</definedName>
    <definedName name="CATLAT" localSheetId="2">#REF!</definedName>
    <definedName name="CATLAT" localSheetId="3">#REF!</definedName>
    <definedName name="CATLAT">#REF!</definedName>
    <definedName name="CATLUAR" localSheetId="3">#REF!</definedName>
    <definedName name="CATLUAR">#REF!</definedName>
    <definedName name="catm" localSheetId="3">#REF!</definedName>
    <definedName name="catm">#REF!</definedName>
    <definedName name="catmarka" localSheetId="3">#REF!</definedName>
    <definedName name="catmarka">#REF!</definedName>
    <definedName name="catmarka10" localSheetId="3">#REF!</definedName>
    <definedName name="catmarka10">#REF!</definedName>
    <definedName name="catmarka15" localSheetId="3">#REF!</definedName>
    <definedName name="catmarka15">#REF!</definedName>
    <definedName name="catmarka5" localSheetId="3">#REF!</definedName>
    <definedName name="catmarka5">#REF!</definedName>
    <definedName name="catmarkam2" localSheetId="3">#REF!</definedName>
    <definedName name="catmarkam2">#REF!</definedName>
    <definedName name="CATMENI" localSheetId="2">#REF!</definedName>
    <definedName name="CATMENI" localSheetId="3">#REF!</definedName>
    <definedName name="CATMENI">#REF!</definedName>
    <definedName name="Catminyak" localSheetId="2">[25]Analisa!$G$1071</definedName>
    <definedName name="Catminyak" localSheetId="3">[25]Analisa!$G$1071</definedName>
    <definedName name="CatPlafond">'[38]Analisa Harga Satuan'!$G$2725</definedName>
    <definedName name="catplapond" localSheetId="3">#REF!</definedName>
    <definedName name="catplapond">#REF!</definedName>
    <definedName name="cattembok">[39]Analisis!#REF!</definedName>
    <definedName name="CB.10" localSheetId="3">#REF!</definedName>
    <definedName name="CB.10">#REF!</definedName>
    <definedName name="CB.15" localSheetId="3">#REF!</definedName>
    <definedName name="CB.15">#REF!</definedName>
    <definedName name="CB.20" localSheetId="3">#REF!</definedName>
    <definedName name="CB.20">#REF!</definedName>
    <definedName name="cc" localSheetId="2">#REF!</definedName>
    <definedName name="cc" localSheetId="3">#REF!</definedName>
    <definedName name="cc">[41]INPUT!$A$8</definedName>
    <definedName name="cc_11" localSheetId="3">#REF!</definedName>
    <definedName name="cc_11">#REF!</definedName>
    <definedName name="cc_11_6" localSheetId="3">#REF!</definedName>
    <definedName name="cc_11_6">#REF!</definedName>
    <definedName name="cc_6" localSheetId="3">#REF!</definedName>
    <definedName name="cc_6">#REF!</definedName>
    <definedName name="cc_8" localSheetId="3">#REF!</definedName>
    <definedName name="cc_8">#REF!</definedName>
    <definedName name="cc_8_6" localSheetId="3">#REF!</definedName>
    <definedName name="cc_8_6">#REF!</definedName>
    <definedName name="cc_9" localSheetId="3">#REF!</definedName>
    <definedName name="cc_9">#REF!</definedName>
    <definedName name="cc_9_6" localSheetId="3">#REF!</definedName>
    <definedName name="cc_9_6">#REF!</definedName>
    <definedName name="ccc">[41]INPUT!$E$8</definedName>
    <definedName name="cccccccccccccccccccc" localSheetId="3">#REF!</definedName>
    <definedName name="cccccccccccccccccccc">#REF!</definedName>
    <definedName name="CCS" localSheetId="3">#REF!</definedName>
    <definedName name="CCS">#REF!</definedName>
    <definedName name="cd" localSheetId="3">#REF!</definedName>
    <definedName name="cd">#REF!</definedName>
    <definedName name="CDB_ICI">#N/A</definedName>
    <definedName name="CDB_MATX">#N/A</definedName>
    <definedName name="CDB_VINI">#N/A</definedName>
    <definedName name="CDD" localSheetId="3">#REF!</definedName>
    <definedName name="CDD">#REF!</definedName>
    <definedName name="CDU_ICI">#N/A</definedName>
    <definedName name="CDU_MATX">#N/A</definedName>
    <definedName name="CDU_VINI">#N/A</definedName>
    <definedName name="ce" localSheetId="3">#REF!</definedName>
    <definedName name="ce">#REF!</definedName>
    <definedName name="ce_6" localSheetId="3">#REF!</definedName>
    <definedName name="ce_6">#REF!</definedName>
    <definedName name="cek" localSheetId="2">[20]Rekap!#REF!</definedName>
    <definedName name="cek" localSheetId="3">[20]Rekap!#REF!</definedName>
    <definedName name="cek">[16]Rekap!$H$28</definedName>
    <definedName name="cendana" localSheetId="2">#REF!</definedName>
    <definedName name="cendana" localSheetId="3">#REF!</definedName>
    <definedName name="cendana">#REF!</definedName>
    <definedName name="Ceremai" localSheetId="3">#REF!</definedName>
    <definedName name="Ceremai">#REF!</definedName>
    <definedName name="Cermin5mm">'[38]Analisa Harga Satuan'!$G$2286</definedName>
    <definedName name="cerucuk" localSheetId="3">#REF!</definedName>
    <definedName name="cerucuk">#REF!</definedName>
    <definedName name="Cerucuk__Gelam_0_8__10_cm" localSheetId="3">#REF!</definedName>
    <definedName name="Cerucuk__Gelam_0_8__10_cm">#REF!</definedName>
    <definedName name="cetakan">#REF!</definedName>
    <definedName name="CFALL" localSheetId="3">#REF!</definedName>
    <definedName name="CFALL">#REF!</definedName>
    <definedName name="CH" localSheetId="3">#REF!</definedName>
    <definedName name="CH">#REF!</definedName>
    <definedName name="cinta" localSheetId="3">#REF!</definedName>
    <definedName name="cinta">#REF!</definedName>
    <definedName name="cip1.25" localSheetId="3">#REF!</definedName>
    <definedName name="cip1.25">#REF!</definedName>
    <definedName name="cip1.5" localSheetId="3">#REF!</definedName>
    <definedName name="cip1.5">#REF!</definedName>
    <definedName name="cipf10" localSheetId="3">#REF!</definedName>
    <definedName name="cipf10">#REF!</definedName>
    <definedName name="cipf3" localSheetId="3">#REF!</definedName>
    <definedName name="cipf3">#REF!</definedName>
    <definedName name="cipf4" localSheetId="3">#REF!</definedName>
    <definedName name="cipf4">#REF!</definedName>
    <definedName name="cipf6" localSheetId="3">#REF!</definedName>
    <definedName name="cipf6">#REF!</definedName>
    <definedName name="cipf8" localSheetId="3">#REF!</definedName>
    <definedName name="cipf8">#REF!</definedName>
    <definedName name="City" localSheetId="3">#REF!</definedName>
    <definedName name="City">#REF!</definedName>
    <definedName name="cjongkok" localSheetId="3">#REF!</definedName>
    <definedName name="cjongkok">#REF!</definedName>
    <definedName name="CK" localSheetId="3">#REF!</definedName>
    <definedName name="CK">#REF!</definedName>
    <definedName name="ck_6" localSheetId="3">#REF!</definedName>
    <definedName name="ck_6">#REF!</definedName>
    <definedName name="cl" localSheetId="3">#REF!</definedName>
    <definedName name="cl">#REF!</definedName>
    <definedName name="CLEANOUT" localSheetId="2">#REF!</definedName>
    <definedName name="CLEANOUT" localSheetId="3">#REF!</definedName>
    <definedName name="CLEANOUT">#REF!</definedName>
    <definedName name="Clearmelamik" localSheetId="3">#REF!</definedName>
    <definedName name="Clearmelamik">#REF!</definedName>
    <definedName name="closeddu" localSheetId="3">#REF!</definedName>
    <definedName name="closeddu">#REF!</definedName>
    <definedName name="closedina" localSheetId="3">#REF!</definedName>
    <definedName name="closedina">#REF!</definedName>
    <definedName name="closedjo" localSheetId="3">#REF!</definedName>
    <definedName name="closedjo">#REF!</definedName>
    <definedName name="CLOSET" localSheetId="3">#REF!</definedName>
    <definedName name="CLOSET">#REF!</definedName>
    <definedName name="Closet.c420" localSheetId="3">#REF!</definedName>
    <definedName name="Closet.c420">#REF!</definedName>
    <definedName name="Closet.ddk" localSheetId="3">#REF!</definedName>
    <definedName name="Closet.ddk">#REF!</definedName>
    <definedName name="closet.jkok" localSheetId="3">#REF!</definedName>
    <definedName name="closet.jkok">#REF!</definedName>
    <definedName name="closet_jongkok" localSheetId="3">#REF!</definedName>
    <definedName name="closet_jongkok">#REF!</definedName>
    <definedName name="closet_toto" localSheetId="3">#REF!</definedName>
    <definedName name="closet_toto">#REF!</definedName>
    <definedName name="ClosetCE9" localSheetId="3">#REF!</definedName>
    <definedName name="ClosetCE9">#REF!</definedName>
    <definedName name="closetduduk" localSheetId="3">#REF!</definedName>
    <definedName name="closetduduk">#REF!</definedName>
    <definedName name="ClosetjongkokCE7" localSheetId="3">#REF!</definedName>
    <definedName name="ClosetjongkokCE7">#REF!</definedName>
    <definedName name="CLUBHOUSE" localSheetId="3">#REF!</definedName>
    <definedName name="CLUBHOUSE">#REF!</definedName>
    <definedName name="CLVC3">0.1</definedName>
    <definedName name="CLVCTB">#REF!</definedName>
    <definedName name="cnp" localSheetId="3">#REF!</definedName>
    <definedName name="cnp">#REF!</definedName>
    <definedName name="CO" localSheetId="3">#REF!</definedName>
    <definedName name="CO">#REF!</definedName>
    <definedName name="COAT" localSheetId="3">#REF!</definedName>
    <definedName name="COAT">#REF!</definedName>
    <definedName name="Coatingprimer" localSheetId="3">#REF!</definedName>
    <definedName name="Coatingprimer">#REF!</definedName>
    <definedName name="Code" localSheetId="3" hidden="1">#REF!</definedName>
    <definedName name="Code" hidden="1">#REF!</definedName>
    <definedName name="Cöï_ly_vaän_chuyeãn" localSheetId="3">#REF!</definedName>
    <definedName name="Cöï_ly_vaän_chuyeãn">#REF!</definedName>
    <definedName name="CÖÏ_LY_VAÄN_CHUYEÅN" localSheetId="3">#REF!</definedName>
    <definedName name="CÖÏ_LY_VAÄN_CHUYEÅN">#REF!</definedName>
    <definedName name="comp" localSheetId="3">#REF!</definedName>
    <definedName name="comp">#REF!</definedName>
    <definedName name="Company" localSheetId="3">#REF!</definedName>
    <definedName name="Company">#REF!</definedName>
    <definedName name="compresor">#REF!</definedName>
    <definedName name="COMPRESSOR" localSheetId="2">#REF!</definedName>
    <definedName name="Compressor" localSheetId="3">#REF!</definedName>
    <definedName name="COMPRESSOR">#REF!</definedName>
    <definedName name="CON" localSheetId="3">#REF!</definedName>
    <definedName name="CON">#REF!</definedName>
    <definedName name="Conblok" localSheetId="3">#REF!</definedName>
    <definedName name="Conblok">#REF!</definedName>
    <definedName name="concrate">#REF!</definedName>
    <definedName name="concrete">'[44]WF '!#REF!</definedName>
    <definedName name="concrete_mixer" localSheetId="3">#REF!</definedName>
    <definedName name="concrete_mixer">#REF!</definedName>
    <definedName name="concrete_nail" localSheetId="3">#REF!</definedName>
    <definedName name="concrete_nail">#REF!</definedName>
    <definedName name="concrete_vibrator" localSheetId="3">#REF!</definedName>
    <definedName name="concrete_vibrator">#REF!</definedName>
    <definedName name="CONCRETEMIXER" localSheetId="2">#REF!</definedName>
    <definedName name="CONCRETEMIXER" localSheetId="3">#REF!</definedName>
    <definedName name="CONCRETEMIXER">#REF!</definedName>
    <definedName name="Concretepump" localSheetId="3">#REF!</definedName>
    <definedName name="Concretepump">#REF!</definedName>
    <definedName name="CONCRETEVIBRO" localSheetId="2">#REF!</definedName>
    <definedName name="CONCRETEVIBRO" localSheetId="3">#REF!</definedName>
    <definedName name="CONCRETEVIBRO">#REF!</definedName>
    <definedName name="Contract_Categories" localSheetId="3">#REF!</definedName>
    <definedName name="Contract_Categories">#REF!</definedName>
    <definedName name="Contract_Optional_Field" localSheetId="3">#REF!</definedName>
    <definedName name="Contract_Optional_Field">#REF!</definedName>
    <definedName name="Contract_Resource_Categories" localSheetId="3">#REF!</definedName>
    <definedName name="Contract_Resource_Categories">#REF!</definedName>
    <definedName name="Contract_Resources" localSheetId="3">#REF!</definedName>
    <definedName name="Contract_Resources">#REF!</definedName>
    <definedName name="Contracts" localSheetId="3">#REF!</definedName>
    <definedName name="Contracts">#REF!</definedName>
    <definedName name="COR.123" localSheetId="3">#REF!</definedName>
    <definedName name="COR.123">#REF!</definedName>
    <definedName name="COR.135" localSheetId="3">#REF!</definedName>
    <definedName name="COR.135">#REF!</definedName>
    <definedName name="CorBeton175">'[45]An. Beton'!#REF!</definedName>
    <definedName name="CorBeton225">'[45]An. Beton'!#REF!</definedName>
    <definedName name="Cost_Categories" localSheetId="3">#REF!</definedName>
    <definedName name="Cost_Categories">#REF!</definedName>
    <definedName name="Country" localSheetId="3">#REF!</definedName>
    <definedName name="Country">#REF!</definedName>
    <definedName name="cover" localSheetId="3">#REF!</definedName>
    <definedName name="cover">#REF!</definedName>
    <definedName name="cpump" localSheetId="3">#REF!</definedName>
    <definedName name="cpump">#REF!</definedName>
    <definedName name="CPVC100" localSheetId="3">#REF!</definedName>
    <definedName name="CPVC100">#REF!</definedName>
    <definedName name="cr">'[35]Upah&amp;Bahan'!$U$1213</definedName>
    <definedName name="cra">'[35]Upah&amp;Bahan'!$U$1157</definedName>
    <definedName name="CRANE" localSheetId="2">#REF!</definedName>
    <definedName name="CRANE" localSheetId="3">#REF!</definedName>
    <definedName name="CRANE">#REF!</definedName>
    <definedName name="Crane35" localSheetId="3">#REF!</definedName>
    <definedName name="Crane35">#REF!</definedName>
    <definedName name="craz">'[35]Upah&amp;Bahan'!$U$1101</definedName>
    <definedName name="crazy">'[35]Upah&amp;Bahan'!$U$1045</definedName>
    <definedName name="CRD" localSheetId="3">#REF!</definedName>
    <definedName name="CRD">#REF!</definedName>
    <definedName name="CRS" localSheetId="3">#REF!</definedName>
    <definedName name="CRS">#REF!</definedName>
    <definedName name="CRSH" localSheetId="3">#REF!</definedName>
    <definedName name="CRSH">#REF!</definedName>
    <definedName name="CS" localSheetId="2">#REF!</definedName>
    <definedName name="CS" localSheetId="3">#REF!</definedName>
    <definedName name="cs">[14]BPS!#REF!</definedName>
    <definedName name="csd3p" localSheetId="3">#REF!</definedName>
    <definedName name="csd3p">#REF!</definedName>
    <definedName name="csddg1p" localSheetId="3">#REF!</definedName>
    <definedName name="csddg1p">#REF!</definedName>
    <definedName name="csddt1p" localSheetId="3">#REF!</definedName>
    <definedName name="csddt1p">#REF!</definedName>
    <definedName name="csht3p" localSheetId="3">#REF!</definedName>
    <definedName name="csht3p">#REF!</definedName>
    <definedName name="CSSSSSS" localSheetId="3">#REF!</definedName>
    <definedName name="CSSSSSS">#REF!</definedName>
    <definedName name="ct" localSheetId="3">#REF!</definedName>
    <definedName name="ct">#REF!</definedName>
    <definedName name="CUPI" localSheetId="2">#REF!</definedName>
    <definedName name="CUPI" localSheetId="3">#REF!</definedName>
    <definedName name="CUPI">#REF!</definedName>
    <definedName name="Currency" localSheetId="3">#REF!</definedName>
    <definedName name="Currency">#REF!</definedName>
    <definedName name="curve1" localSheetId="2" hidden="1">{"'Sheet1'!$A$1"}</definedName>
    <definedName name="curve1" localSheetId="3" hidden="1">{"'Sheet1'!$A$1"}</definedName>
    <definedName name="curve1" hidden="1">{"'Sheet1'!$A$1"}</definedName>
    <definedName name="Cutter">#REF!</definedName>
    <definedName name="cvPT">[41]INPUT!$E$18</definedName>
    <definedName name="CW_1" localSheetId="3">#REF!</definedName>
    <definedName name="CW_1">#REF!</definedName>
    <definedName name="CW_2" localSheetId="3">#REF!</definedName>
    <definedName name="CW_2">#REF!</definedName>
    <definedName name="CW_3" localSheetId="3">#REF!</definedName>
    <definedName name="CW_3">#REF!</definedName>
    <definedName name="CW_4" localSheetId="3">#REF!</definedName>
    <definedName name="CW_4">#REF!</definedName>
    <definedName name="CW_6" localSheetId="3">#REF!</definedName>
    <definedName name="CW_6">#REF!</definedName>
    <definedName name="CX" localSheetId="3">#REF!</definedName>
    <definedName name="CX">#REF!</definedName>
    <definedName name="cy">#REF!</definedName>
    <definedName name="cycllop" localSheetId="3">#REF!</definedName>
    <definedName name="cycllop">#REF!</definedName>
    <definedName name="cycloop">[39]Analisis!#REF!</definedName>
    <definedName name="cz" localSheetId="3">#REF!</definedName>
    <definedName name="cz">#REF!</definedName>
    <definedName name="D" localSheetId="2">#REF!</definedName>
    <definedName name="D" localSheetId="3">#REF!</definedName>
    <definedName name="D">'[46]Bhn+Uph'!$B$15:$E$634</definedName>
    <definedName name="D_1" localSheetId="3">#REF!</definedName>
    <definedName name="D_1">#REF!</definedName>
    <definedName name="da" localSheetId="2" hidden="1">[37]TJ1Q47!$J$7:$J$31</definedName>
    <definedName name="da" localSheetId="3" hidden="1">[37]TJ1Q47!$J$7:$J$31</definedName>
    <definedName name="daa" localSheetId="3">#REF!</definedName>
    <definedName name="daa">#REF!</definedName>
    <definedName name="Dadapmerah" localSheetId="3">#REF!</definedName>
    <definedName name="Dadapmerah">#REF!</definedName>
    <definedName name="DAERAH" localSheetId="3">#REF!</definedName>
    <definedName name="DAERAH">#REF!</definedName>
    <definedName name="Daf.4" localSheetId="3">#REF!</definedName>
    <definedName name="Daf.4">#REF!</definedName>
    <definedName name="DAF_10" localSheetId="3">#REF!</definedName>
    <definedName name="DAF_10">#REF!</definedName>
    <definedName name="DAF_4" localSheetId="3">#REF!</definedName>
    <definedName name="DAF_4">#REF!</definedName>
    <definedName name="DAF3_1" localSheetId="3">#REF!</definedName>
    <definedName name="DAF3_1">#REF!</definedName>
    <definedName name="DAF3_10" localSheetId="3">#REF!</definedName>
    <definedName name="DAF3_10">#REF!</definedName>
    <definedName name="DAF3_11" localSheetId="3">#REF!</definedName>
    <definedName name="DAF3_11">#REF!</definedName>
    <definedName name="DAF3_12" localSheetId="3">#REF!</definedName>
    <definedName name="DAF3_12">#REF!</definedName>
    <definedName name="DAF3_13" localSheetId="3">#REF!</definedName>
    <definedName name="DAF3_13">#REF!</definedName>
    <definedName name="DAF3_14" localSheetId="3">#REF!</definedName>
    <definedName name="DAF3_14">#REF!</definedName>
    <definedName name="DAF3_15" localSheetId="3">#REF!</definedName>
    <definedName name="DAF3_15">#REF!</definedName>
    <definedName name="DAF3_16" localSheetId="3">#REF!</definedName>
    <definedName name="DAF3_16">#REF!</definedName>
    <definedName name="DAF3_17" localSheetId="3">#REF!</definedName>
    <definedName name="DAF3_17">#REF!</definedName>
    <definedName name="DAF3_18" localSheetId="3">#REF!</definedName>
    <definedName name="DAF3_18">#REF!</definedName>
    <definedName name="DAF3_19" localSheetId="3">#REF!</definedName>
    <definedName name="DAF3_19">#REF!</definedName>
    <definedName name="DAF3_2" localSheetId="3">#REF!</definedName>
    <definedName name="DAF3_2">#REF!</definedName>
    <definedName name="DAF3_20" localSheetId="3">#REF!</definedName>
    <definedName name="DAF3_20">#REF!</definedName>
    <definedName name="DAF3_21" localSheetId="3">#REF!</definedName>
    <definedName name="DAF3_21">#REF!</definedName>
    <definedName name="DAF3_3" localSheetId="3">#REF!</definedName>
    <definedName name="DAF3_3">#REF!</definedName>
    <definedName name="DAF3_4" localSheetId="3">#REF!</definedName>
    <definedName name="DAF3_4">#REF!</definedName>
    <definedName name="DAF3_5" localSheetId="3">#REF!</definedName>
    <definedName name="DAF3_5">#REF!</definedName>
    <definedName name="DAF3_6" localSheetId="3">#REF!</definedName>
    <definedName name="DAF3_6">#REF!</definedName>
    <definedName name="DAF3_7" localSheetId="3">#REF!</definedName>
    <definedName name="DAF3_7">#REF!</definedName>
    <definedName name="DAF3_8" localSheetId="3">#REF!</definedName>
    <definedName name="DAF3_8">#REF!</definedName>
    <definedName name="DAF3_9" localSheetId="3">#REF!</definedName>
    <definedName name="DAF3_9">#REF!</definedName>
    <definedName name="dafar">#REF!</definedName>
    <definedName name="DAFTARSEWA" localSheetId="2">#REF!</definedName>
    <definedName name="DAFTARSEWA" localSheetId="3">#REF!</definedName>
    <definedName name="DAFTARSEWA" localSheetId="11">#REF!</definedName>
    <definedName name="DAFTARSEWA">#REF!</definedName>
    <definedName name="daftr">'[47]4-Basic Price'!#REF!</definedName>
    <definedName name="dak" localSheetId="3">#REF!</definedName>
    <definedName name="dak">#REF!</definedName>
    <definedName name="dalam" localSheetId="3">#REF!</definedName>
    <definedName name="dalam">#REF!</definedName>
    <definedName name="dapat" localSheetId="3">#REF!</definedName>
    <definedName name="dapat">#REF!</definedName>
    <definedName name="data1" localSheetId="3" hidden="1">#REF!</definedName>
    <definedName name="data1" hidden="1">#REF!</definedName>
    <definedName name="data2" localSheetId="3" hidden="1">#REF!</definedName>
    <definedName name="data2" hidden="1">#REF!</definedName>
    <definedName name="data3" localSheetId="3" hidden="1">#REF!</definedName>
    <definedName name="data3" hidden="1">#REF!</definedName>
    <definedName name="_xlnm.Database" localSheetId="3">#REF!</definedName>
    <definedName name="_xlnm.Database">#REF!</definedName>
    <definedName name="DATAUPAH" localSheetId="2">'[20]4-Basic Price'!$F$11:$H$44</definedName>
    <definedName name="DATAUPAH" localSheetId="3">'[20]4-Basic Price'!$F$11:$H$44</definedName>
    <definedName name="DATAUPAH">#REF!</definedName>
    <definedName name="daunpintuhollow30\nonjasa" localSheetId="3">#REF!</definedName>
    <definedName name="daunpintuhollow30\nonjasa">#REF!</definedName>
    <definedName name="daunpintusiku30\nonjasa" localSheetId="3">#REF!</definedName>
    <definedName name="daunpintusiku30\nonjasa">#REF!</definedName>
    <definedName name="daunpintuukir\nonjasa" localSheetId="3">#REF!</definedName>
    <definedName name="daunpintuukir\nonjasa">#REF!</definedName>
    <definedName name="DAX" localSheetId="3">#REF!</definedName>
    <definedName name="DAX">#REF!</definedName>
    <definedName name="day" localSheetId="3">#REF!</definedName>
    <definedName name="day">#REF!</definedName>
    <definedName name="DAYWORKS" localSheetId="2">#REF!</definedName>
    <definedName name="DAYWORKS" localSheetId="3">#REF!</definedName>
    <definedName name="DAYWORKS">'[48]K&amp;H'!#REF!</definedName>
    <definedName name="DBX" localSheetId="3">#REF!</definedName>
    <definedName name="DBX">#REF!</definedName>
    <definedName name="dc" localSheetId="3">#REF!</definedName>
    <definedName name="dc">#REF!</definedName>
    <definedName name="DCX" localSheetId="3">#REF!</definedName>
    <definedName name="DCX">#REF!</definedName>
    <definedName name="dd" localSheetId="2">#REF!</definedName>
    <definedName name="dd" localSheetId="3">#REF!</definedName>
    <definedName name="dd">[30]MFC!#REF!</definedName>
    <definedName name="ddd">[41]INPUT!$E$10</definedName>
    <definedName name="dddd">#REF!</definedName>
    <definedName name="ddsd">#REF!</definedName>
    <definedName name="DDX" localSheetId="3">#REF!</definedName>
    <definedName name="DDX">#REF!</definedName>
    <definedName name="Debu_batu" localSheetId="3">#REF!</definedName>
    <definedName name="Debu_batu">#REF!</definedName>
    <definedName name="Deckslab316" localSheetId="3">#REF!</definedName>
    <definedName name="Deckslab316">#REF!</definedName>
    <definedName name="Deckslab400" localSheetId="3">#REF!</definedName>
    <definedName name="Deckslab400">#REF!</definedName>
    <definedName name="ded">[14]BPS!#REF!</definedName>
    <definedName name="deg" localSheetId="2" hidden="1">{"'Sheet1'!$A$1"}</definedName>
    <definedName name="deg" localSheetId="3" hidden="1">{"'Sheet1'!$A$1"}</definedName>
    <definedName name="deg" hidden="1">{"'Sheet1'!$A$1"}</definedName>
    <definedName name="Dekor">#REF!</definedName>
    <definedName name="dempul">[36]cover!#REF!</definedName>
    <definedName name="Dempul_kayu" localSheetId="3">#REF!</definedName>
    <definedName name="Dempul_kayu">#REF!</definedName>
    <definedName name="Dempulduco" localSheetId="3">#REF!</definedName>
    <definedName name="Dempulduco">#REF!</definedName>
    <definedName name="Dempulkayumtmenengah" localSheetId="3">#REF!</definedName>
    <definedName name="Dempulkayumtmenengah">#REF!</definedName>
    <definedName name="dengan">'[17]Upah&amp;Bahan'!$C$24</definedName>
    <definedName name="DER" localSheetId="2" hidden="1">{"'Sheet1'!$A$1"}</definedName>
    <definedName name="DER" localSheetId="3" hidden="1">{"'Sheet1'!$A$1"}</definedName>
    <definedName name="DER" hidden="1">{"'Sheet1'!$A$1"}</definedName>
    <definedName name="deryt" localSheetId="2" hidden="1">{"'Sheet1'!$A$1"}</definedName>
    <definedName name="deryt" localSheetId="3" hidden="1">{"'Sheet1'!$A$1"}</definedName>
    <definedName name="deryt" hidden="1">{"'Sheet1'!$A$1"}</definedName>
    <definedName name="des" localSheetId="2">#REF!</definedName>
    <definedName name="des" localSheetId="3">#REF!</definedName>
    <definedName name="des">#REF!</definedName>
    <definedName name="detib2100">#REF!</definedName>
    <definedName name="detib2120" localSheetId="3">#REF!</definedName>
    <definedName name="detib2120">#REF!</definedName>
    <definedName name="detib250" localSheetId="3">#REF!</definedName>
    <definedName name="detib250">#REF!</definedName>
    <definedName name="detib260" localSheetId="3">#REF!</definedName>
    <definedName name="detib260">#REF!</definedName>
    <definedName name="detib280" localSheetId="3">#REF!</definedName>
    <definedName name="detib280">#REF!</definedName>
    <definedName name="DFDF" localSheetId="3">#REF!</definedName>
    <definedName name="DFDF">#REF!</definedName>
    <definedName name="dff" localSheetId="2" hidden="1">{"'Sheet1'!$A$1"}</definedName>
    <definedName name="dff" localSheetId="3" hidden="1">{"'Sheet1'!$A$1"}</definedName>
    <definedName name="dff" hidden="1">{"'Sheet1'!$A$1"}</definedName>
    <definedName name="dfff" localSheetId="2" hidden="1">{"'Sheet1'!$A$1"}</definedName>
    <definedName name="dfff" localSheetId="3" hidden="1">{"'Sheet1'!$A$1"}</definedName>
    <definedName name="dfff" hidden="1">{"'Sheet1'!$A$1"}</definedName>
    <definedName name="dffhh" localSheetId="2" hidden="1">{"'Sheet1'!$A$1"}</definedName>
    <definedName name="dffhh" localSheetId="3" hidden="1">{"'Sheet1'!$A$1"}</definedName>
    <definedName name="dffhh" hidden="1">{"'Sheet1'!$A$1"}</definedName>
    <definedName name="DFGASD" localSheetId="2" hidden="1">[37]TJ1Q47!$E$7:$E$31</definedName>
    <definedName name="DFGASD" localSheetId="3" hidden="1">[37]TJ1Q47!$E$7:$E$31</definedName>
    <definedName name="DFGDSFGDSFG" localSheetId="2" hidden="1">[37]TJ1Q47!$E$7:$E$31</definedName>
    <definedName name="DFGDSFGDSFG" localSheetId="3" hidden="1">[37]TJ1Q47!$E$7:$E$31</definedName>
    <definedName name="dfghh" localSheetId="2" hidden="1">{"'Sheet1'!$A$1"}</definedName>
    <definedName name="dfghh" localSheetId="3" hidden="1">{"'Sheet1'!$A$1"}</definedName>
    <definedName name="dfghh" hidden="1">{"'Sheet1'!$A$1"}</definedName>
    <definedName name="DFGHJK" localSheetId="2" hidden="1">[6]TJ1Q47!$G$7:$G$31</definedName>
    <definedName name="DFGHJK" localSheetId="3" hidden="1">[6]TJ1Q47!$G$7:$G$31</definedName>
    <definedName name="dfgrg" localSheetId="2" hidden="1">{"'Sheet1'!$A$1"}</definedName>
    <definedName name="dfgrg" localSheetId="3" hidden="1">{"'Sheet1'!$A$1"}</definedName>
    <definedName name="dfgrg" hidden="1">{"'Sheet1'!$A$1"}</definedName>
    <definedName name="dfhh" localSheetId="2" hidden="1">{"'Sheet1'!$A$1"}</definedName>
    <definedName name="dfhh" localSheetId="3" hidden="1">{"'Sheet1'!$A$1"}</definedName>
    <definedName name="dfhh" hidden="1">{"'Sheet1'!$A$1"}</definedName>
    <definedName name="dfr" localSheetId="2" hidden="1">[49]TJ1Q47!$G$7:$G$31</definedName>
    <definedName name="dfr" localSheetId="3" hidden="1">[49]TJ1Q47!$G$7:$G$31</definedName>
    <definedName name="dfyhj" localSheetId="2" hidden="1">{"'Sheet1'!$A$1"}</definedName>
    <definedName name="dfyhj" localSheetId="3" hidden="1">{"'Sheet1'!$A$1"}</definedName>
    <definedName name="dfyhj" hidden="1">{"'Sheet1'!$A$1"}</definedName>
    <definedName name="dgadga" localSheetId="2" hidden="1">'[50]ANL-EI'!#REF!</definedName>
    <definedName name="dgadga" localSheetId="3" hidden="1">'[50]ANL-EI'!#REF!</definedName>
    <definedName name="dgadga" hidden="1">'[22]ANL-EI'!#REF!</definedName>
    <definedName name="dge4g" localSheetId="2" hidden="1">{"'Sheet1'!$A$1"}</definedName>
    <definedName name="dge4g" localSheetId="3" hidden="1">{"'Sheet1'!$A$1"}</definedName>
    <definedName name="dge4g" hidden="1">{"'Sheet1'!$A$1"}</definedName>
    <definedName name="dgk">#REF!</definedName>
    <definedName name="dgnc" localSheetId="3">#REF!</definedName>
    <definedName name="dgnc">#REF!</definedName>
    <definedName name="dgvl" localSheetId="3">#REF!</definedName>
    <definedName name="dgvl">#REF!</definedName>
    <definedName name="dhdh" localSheetId="2" hidden="1">{"'Sheet1'!$A$1"}</definedName>
    <definedName name="dhdh" localSheetId="3" hidden="1">{"'Sheet1'!$A$1"}</definedName>
    <definedName name="dhdh" hidden="1">{"'Sheet1'!$A$1"}</definedName>
    <definedName name="dhj" localSheetId="2" hidden="1">{"'Sheet1'!$A$1"}</definedName>
    <definedName name="dhj" localSheetId="3" hidden="1">{"'Sheet1'!$A$1"}</definedName>
    <definedName name="dhj" hidden="1">{"'Sheet1'!$A$1"}</definedName>
    <definedName name="dhjrt" localSheetId="2" hidden="1">{"'Sheet1'!$A$1"}</definedName>
    <definedName name="dhjrt" localSheetId="3" hidden="1">{"'Sheet1'!$A$1"}</definedName>
    <definedName name="dhjrt" hidden="1">{"'Sheet1'!$A$1"}</definedName>
    <definedName name="DI_1">#REF!</definedName>
    <definedName name="DI_10" localSheetId="3">#REF!</definedName>
    <definedName name="DI_10">#REF!</definedName>
    <definedName name="DI_11" localSheetId="3">#REF!</definedName>
    <definedName name="DI_11">#REF!</definedName>
    <definedName name="DI_12" localSheetId="3">#REF!</definedName>
    <definedName name="DI_12">#REF!</definedName>
    <definedName name="DI_13" localSheetId="3">#REF!</definedName>
    <definedName name="DI_13">#REF!</definedName>
    <definedName name="DI_2" localSheetId="3">#REF!</definedName>
    <definedName name="DI_2">#REF!</definedName>
    <definedName name="DI_3" localSheetId="3">#REF!</definedName>
    <definedName name="DI_3">#REF!</definedName>
    <definedName name="DI_4" localSheetId="3">#REF!</definedName>
    <definedName name="DI_4">#REF!</definedName>
    <definedName name="DI_5" localSheetId="3">#REF!</definedName>
    <definedName name="DI_5">#REF!</definedName>
    <definedName name="DI_6" localSheetId="3">#REF!</definedName>
    <definedName name="DI_6">#REF!</definedName>
    <definedName name="DI_7" localSheetId="3">#REF!</definedName>
    <definedName name="DI_7">#REF!</definedName>
    <definedName name="DI_8" localSheetId="3">#REF!</definedName>
    <definedName name="DI_8">#REF!</definedName>
    <definedName name="DI_9" localSheetId="3">#REF!</definedName>
    <definedName name="DI_9">#REF!</definedName>
    <definedName name="Diapragma316" localSheetId="3">#REF!</definedName>
    <definedName name="Diapragma316">#REF!</definedName>
    <definedName name="Diapragma400" localSheetId="3">#REF!</definedName>
    <definedName name="Diapragma400">#REF!</definedName>
    <definedName name="diapragma405" localSheetId="3">#REF!</definedName>
    <definedName name="diapragma405">#REF!</definedName>
    <definedName name="Dibuat_Oleh">[23]INPUT!$A$24</definedName>
    <definedName name="diesel_hammer" localSheetId="3">#REF!</definedName>
    <definedName name="diesel_hammer">#REF!</definedName>
    <definedName name="DIGIT" localSheetId="3">#REF!</definedName>
    <definedName name="DIGIT">#REF!</definedName>
    <definedName name="DII_1" localSheetId="3">#REF!</definedName>
    <definedName name="DII_1">#REF!</definedName>
    <definedName name="DII_10" localSheetId="3">#REF!</definedName>
    <definedName name="DII_10">#REF!</definedName>
    <definedName name="DII_11" localSheetId="3">#REF!</definedName>
    <definedName name="DII_11">#REF!</definedName>
    <definedName name="DII_12" localSheetId="3">#REF!</definedName>
    <definedName name="DII_12">#REF!</definedName>
    <definedName name="DII_13" localSheetId="3">#REF!</definedName>
    <definedName name="DII_13">#REF!</definedName>
    <definedName name="DII_2" localSheetId="3">#REF!</definedName>
    <definedName name="DII_2">#REF!</definedName>
    <definedName name="DII_3" localSheetId="3">#REF!</definedName>
    <definedName name="DII_3">#REF!</definedName>
    <definedName name="DII_4" localSheetId="3">#REF!</definedName>
    <definedName name="DII_4">#REF!</definedName>
    <definedName name="DII_5" localSheetId="3">#REF!</definedName>
    <definedName name="DII_5">#REF!</definedName>
    <definedName name="DII_6" localSheetId="3">#REF!</definedName>
    <definedName name="DII_6">#REF!</definedName>
    <definedName name="DII_7" localSheetId="3">#REF!</definedName>
    <definedName name="DII_7">#REF!</definedName>
    <definedName name="DII_8" localSheetId="3">#REF!</definedName>
    <definedName name="DII_8">#REF!</definedName>
    <definedName name="DII_9" localSheetId="3">#REF!</definedName>
    <definedName name="DII_9">#REF!</definedName>
    <definedName name="DIII_1" localSheetId="3">#REF!</definedName>
    <definedName name="DIII_1">#REF!</definedName>
    <definedName name="DIII_10" localSheetId="3">#REF!</definedName>
    <definedName name="DIII_10">#REF!</definedName>
    <definedName name="DIII_11" localSheetId="3">#REF!</definedName>
    <definedName name="DIII_11">#REF!</definedName>
    <definedName name="DIII_12" localSheetId="3">#REF!</definedName>
    <definedName name="DIII_12">#REF!</definedName>
    <definedName name="DIII_13" localSheetId="3">#REF!</definedName>
    <definedName name="DIII_13">#REF!</definedName>
    <definedName name="DIII_2" localSheetId="3">#REF!</definedName>
    <definedName name="DIII_2">#REF!</definedName>
    <definedName name="DIII_3" localSheetId="3">#REF!</definedName>
    <definedName name="DIII_3">#REF!</definedName>
    <definedName name="DIII_4" localSheetId="3">#REF!</definedName>
    <definedName name="DIII_4">#REF!</definedName>
    <definedName name="DIII_5" localSheetId="3">#REF!</definedName>
    <definedName name="DIII_5">#REF!</definedName>
    <definedName name="DIII_6" localSheetId="3">#REF!</definedName>
    <definedName name="DIII_6">#REF!</definedName>
    <definedName name="DIII_7" localSheetId="3">#REF!</definedName>
    <definedName name="DIII_7">#REF!</definedName>
    <definedName name="DIII_8" localSheetId="3">#REF!</definedName>
    <definedName name="DIII_8">#REF!</definedName>
    <definedName name="DIII_9" localSheetId="3">#REF!</definedName>
    <definedName name="DIII_9">#REF!</definedName>
    <definedName name="dinding_zincalume" localSheetId="3">#REF!</definedName>
    <definedName name="dinding_zincalume">#REF!</definedName>
    <definedName name="dinding1" localSheetId="3">#REF!</definedName>
    <definedName name="dinding1">#REF!</definedName>
    <definedName name="direksikit" localSheetId="3">#REF!</definedName>
    <definedName name="direksikit">#REF!</definedName>
    <definedName name="discbaja_6" localSheetId="3">#REF!</definedName>
    <definedName name="discbaja_6">#REF!</definedName>
    <definedName name="disceuro" localSheetId="3">#REF!</definedName>
    <definedName name="disceuro">#REF!</definedName>
    <definedName name="Discount" localSheetId="3" hidden="1">#REF!</definedName>
    <definedName name="Discount" hidden="1">#REF!</definedName>
    <definedName name="discpel" localSheetId="3">#REF!</definedName>
    <definedName name="discpel">#REF!</definedName>
    <definedName name="discpel_6" localSheetId="3">#REF!</definedName>
    <definedName name="discpel_6">#REF!</definedName>
    <definedName name="discpin" localSheetId="3">#REF!</definedName>
    <definedName name="discpin">#REF!</definedName>
    <definedName name="discpin_6" localSheetId="3">#REF!</definedName>
    <definedName name="discpin_6">#REF!</definedName>
    <definedName name="DISCRM" localSheetId="3">#REF!</definedName>
    <definedName name="DISCRM">#REF!</definedName>
    <definedName name="DISCRM_6" localSheetId="3">#REF!</definedName>
    <definedName name="DISCRM_6">#REF!</definedName>
    <definedName name="discsan" localSheetId="3">#REF!</definedName>
    <definedName name="discsan">#REF!</definedName>
    <definedName name="discseis" localSheetId="3">#REF!</definedName>
    <definedName name="discseis">#REF!</definedName>
    <definedName name="discseis_6" localSheetId="3">#REF!</definedName>
    <definedName name="discseis_6">#REF!</definedName>
    <definedName name="Disetujui_Oleh">[23]INPUT!$A$20</definedName>
    <definedName name="display_area_2" localSheetId="3" hidden="1">#REF!</definedName>
    <definedName name="display_area_2" hidden="1">#REF!</definedName>
    <definedName name="DISPOSAL" localSheetId="3">#REF!</definedName>
    <definedName name="DISPOSAL">#REF!</definedName>
    <definedName name="div" localSheetId="3">#REF!</definedName>
    <definedName name="div">#REF!</definedName>
    <definedName name="DIV10ASB">'[51]Kuantitas &amp; Harga'!$H$499</definedName>
    <definedName name="DIV1ASB">'[51]Kuantitas &amp; Harga'!$H$21</definedName>
    <definedName name="DIV2ASB">'[51]Kuantitas &amp; Harga'!$H$40</definedName>
    <definedName name="DIV3ASB">'[51]Kuantitas &amp; Harga'!$H$65</definedName>
    <definedName name="DIV4ASB">'[51]Kuantitas &amp; Harga'!$H$99</definedName>
    <definedName name="DIV5ASB">'[51]Kuantitas &amp; Harga'!$H$114</definedName>
    <definedName name="DIV6ASB">'[51]Kuantitas &amp; Harga'!$H$183</definedName>
    <definedName name="DIV7ASB">'[51]Kuantitas &amp; Harga'!$H$362</definedName>
    <definedName name="DIV8ASB">'[51]Kuantitas &amp; Harga'!$H$436</definedName>
    <definedName name="DIV9ASB">'[51]Kuantitas &amp; Harga'!$H$483</definedName>
    <definedName name="DIVISI">#REF!</definedName>
    <definedName name="dka" localSheetId="3">#REF!</definedName>
    <definedName name="dka">#REF!</definedName>
    <definedName name="dkk" localSheetId="3">#REF!</definedName>
    <definedName name="dkk">#REF!</definedName>
    <definedName name="dl20dl" localSheetId="3">#REF!</definedName>
    <definedName name="dl20dl">#REF!</definedName>
    <definedName name="dlh20c" localSheetId="3">#REF!</definedName>
    <definedName name="dlh20c">#REF!</definedName>
    <definedName name="dlh20nb" localSheetId="3">#REF!</definedName>
    <definedName name="dlh20nb">#REF!</definedName>
    <definedName name="dlh50nb" localSheetId="3">#REF!</definedName>
    <definedName name="dlh50nb">#REF!</definedName>
    <definedName name="dlpar150" localSheetId="3">#REF!</definedName>
    <definedName name="dlpar150">#REF!</definedName>
    <definedName name="dlpar38120" localSheetId="3">#REF!</definedName>
    <definedName name="dlpar38120">#REF!</definedName>
    <definedName name="dlpar56150" localSheetId="3">#REF!</definedName>
    <definedName name="dlpar56150">#REF!</definedName>
    <definedName name="dlpar75" localSheetId="3">#REF!</definedName>
    <definedName name="dlpar75">#REF!</definedName>
    <definedName name="dlpl18" localSheetId="3">#REF!</definedName>
    <definedName name="dlpl18">#REF!</definedName>
    <definedName name="dlpl18nb" localSheetId="3">#REF!</definedName>
    <definedName name="dlpl18nb">#REF!</definedName>
    <definedName name="dlpl1x13" localSheetId="3">#REF!</definedName>
    <definedName name="dlpl1x13">#REF!</definedName>
    <definedName name="dlpl1x13nb" localSheetId="3">#REF!</definedName>
    <definedName name="dlpl1x13nb">#REF!</definedName>
    <definedName name="dlpl2x18" localSheetId="3">#REF!</definedName>
    <definedName name="dlpl2x18">#REF!</definedName>
    <definedName name="dlpl2x18nb" localSheetId="3">#REF!</definedName>
    <definedName name="dlpl2x18nb">#REF!</definedName>
    <definedName name="dlpl9" localSheetId="3">#REF!</definedName>
    <definedName name="dlpl9">#REF!</definedName>
    <definedName name="dlpl9nb" localSheetId="3">#REF!</definedName>
    <definedName name="dlpl9nb">#REF!</definedName>
    <definedName name="dlplc13w" localSheetId="3">#REF!</definedName>
    <definedName name="dlplc13w">#REF!</definedName>
    <definedName name="dlplc13wbimc" localSheetId="3">#REF!</definedName>
    <definedName name="dlplc13wbimc">#REF!</definedName>
    <definedName name="dlplc2x13" localSheetId="3">#REF!</definedName>
    <definedName name="dlplc2x13">#REF!</definedName>
    <definedName name="dlplc2x13nb" localSheetId="3">#REF!</definedName>
    <definedName name="dlplc2x13nb">#REF!</definedName>
    <definedName name="dlwwh20" localSheetId="3">#REF!</definedName>
    <definedName name="dlwwh20">#REF!</definedName>
    <definedName name="dlwwh20nb" localSheetId="3">#REF!</definedName>
    <definedName name="dlwwh20nb">#REF!</definedName>
    <definedName name="Dnding.sirih">[10]ANALISA!#REF!</definedName>
    <definedName name="DODOL" localSheetId="3">#REF!</definedName>
    <definedName name="DODOL">#REF!</definedName>
    <definedName name="dol" localSheetId="3">#REF!</definedName>
    <definedName name="dol">#REF!</definedName>
    <definedName name="dol_6" localSheetId="3">#REF!</definedName>
    <definedName name="dol_6">#REF!</definedName>
    <definedName name="Dolar" localSheetId="3">#REF!</definedName>
    <definedName name="Dolar">#REF!</definedName>
    <definedName name="dolken" localSheetId="3">#REF!</definedName>
    <definedName name="dolken">#REF!</definedName>
    <definedName name="Dolken__4___6__cm" localSheetId="3">#REF!</definedName>
    <definedName name="Dolken__4___6__cm">#REF!</definedName>
    <definedName name="Dolken_7_cm" localSheetId="3">#REF!</definedName>
    <definedName name="Dolken_7_cm">#REF!</definedName>
    <definedName name="Dollar" localSheetId="3">#REF!</definedName>
    <definedName name="Dollar">#REF!</definedName>
    <definedName name="DOMBA" localSheetId="3">#REF!</definedName>
    <definedName name="DOMBA">#REF!</definedName>
    <definedName name="Doorclosergriff983" localSheetId="3">#REF!</definedName>
    <definedName name="Doorclosergriff983">#REF!</definedName>
    <definedName name="doorcluser\nonjasa" localSheetId="3">#REF!</definedName>
    <definedName name="doorcluser\nonjasa">#REF!</definedName>
    <definedName name="doorstop\nonjasa" localSheetId="3">#REF!</definedName>
    <definedName name="doorstop\nonjasa">#REF!</definedName>
    <definedName name="DoorstopDKS887PB\SN" localSheetId="3">#REF!</definedName>
    <definedName name="DoorstopDKS887PB\SN">#REF!</definedName>
    <definedName name="Doubleclindergrif" localSheetId="3">#REF!</definedName>
    <definedName name="Doubleclindergrif">#REF!</definedName>
    <definedName name="doublecylinder\nonjasa" localSheetId="3">#REF!</definedName>
    <definedName name="doublecylinder\nonjasa">#REF!</definedName>
    <definedName name="DoublerobehookTS118WS" localSheetId="3">#REF!</definedName>
    <definedName name="DoublerobehookTS118WS">#REF!</definedName>
    <definedName name="Dozzer" localSheetId="3">#REF!</definedName>
    <definedName name="Dozzer">#REF!</definedName>
    <definedName name="dpa" localSheetId="3">#REF!</definedName>
    <definedName name="dpa">#REF!</definedName>
    <definedName name="DPJ_B_M">#N/A</definedName>
    <definedName name="DPJ_B_MB">#N/A</definedName>
    <definedName name="dpk" localSheetId="3">#REF!</definedName>
    <definedName name="dpk">#REF!</definedName>
    <definedName name="DRAINASE" localSheetId="2">#REF!</definedName>
    <definedName name="DRAINASE" localSheetId="3">#REF!</definedName>
    <definedName name="DRAINASE">#REF!</definedName>
    <definedName name="drilb2100">#REF!</definedName>
    <definedName name="drilb2120" localSheetId="3">#REF!</definedName>
    <definedName name="drilb2120">#REF!</definedName>
    <definedName name="drilb250" localSheetId="3">#REF!</definedName>
    <definedName name="drilb250">#REF!</definedName>
    <definedName name="drilb260" localSheetId="3">#REF!</definedName>
    <definedName name="drilb260">#REF!</definedName>
    <definedName name="drilb280" localSheetId="3">#REF!</definedName>
    <definedName name="drilb280">#REF!</definedName>
    <definedName name="drildl3a100" localSheetId="3">#REF!</definedName>
    <definedName name="drildl3a100">#REF!</definedName>
    <definedName name="drildl3a120" localSheetId="3">#REF!</definedName>
    <definedName name="drildl3a120">#REF!</definedName>
    <definedName name="drildl3a50" localSheetId="3">#REF!</definedName>
    <definedName name="drildl3a50">#REF!</definedName>
    <definedName name="drildl3a60" localSheetId="3">#REF!</definedName>
    <definedName name="drildl3a60">#REF!</definedName>
    <definedName name="drildl3a80" localSheetId="3">#REF!</definedName>
    <definedName name="drildl3a80">#REF!</definedName>
    <definedName name="drill1100" localSheetId="3">#REF!</definedName>
    <definedName name="drill1100">#REF!</definedName>
    <definedName name="drill1120" localSheetId="3">#REF!</definedName>
    <definedName name="drill1120">#REF!</definedName>
    <definedName name="drill150" localSheetId="3">#REF!</definedName>
    <definedName name="drill150">#REF!</definedName>
    <definedName name="drill160" localSheetId="3">#REF!</definedName>
    <definedName name="drill160">#REF!</definedName>
    <definedName name="drill180" localSheetId="3">#REF!</definedName>
    <definedName name="drill180">#REF!</definedName>
    <definedName name="drill3100" localSheetId="3">#REF!</definedName>
    <definedName name="drill3100">#REF!</definedName>
    <definedName name="drill3120" localSheetId="3">#REF!</definedName>
    <definedName name="drill3120">#REF!</definedName>
    <definedName name="drill350" localSheetId="3">#REF!</definedName>
    <definedName name="drill350">#REF!</definedName>
    <definedName name="drill360" localSheetId="3">#REF!</definedName>
    <definedName name="drill360">#REF!</definedName>
    <definedName name="drill380" localSheetId="3">#REF!</definedName>
    <definedName name="drill380">#REF!</definedName>
    <definedName name="drill5100" localSheetId="3">#REF!</definedName>
    <definedName name="drill5100">#REF!</definedName>
    <definedName name="drill5120" localSheetId="3">#REF!</definedName>
    <definedName name="drill5120">#REF!</definedName>
    <definedName name="drill550" localSheetId="3">#REF!</definedName>
    <definedName name="drill550">#REF!</definedName>
    <definedName name="drill560" localSheetId="3">#REF!</definedName>
    <definedName name="drill560">#REF!</definedName>
    <definedName name="drill580" localSheetId="3">#REF!</definedName>
    <definedName name="drill580">#REF!</definedName>
    <definedName name="drill5a100" localSheetId="3">#REF!</definedName>
    <definedName name="drill5a100">#REF!</definedName>
    <definedName name="drill5a120" localSheetId="3">#REF!</definedName>
    <definedName name="drill5a120">#REF!</definedName>
    <definedName name="drill5a50" localSheetId="3">#REF!</definedName>
    <definedName name="drill5a50">#REF!</definedName>
    <definedName name="drill5a60" localSheetId="3">#REF!</definedName>
    <definedName name="drill5a60">#REF!</definedName>
    <definedName name="drill5a80" localSheetId="3">#REF!</definedName>
    <definedName name="drill5a80">#REF!</definedName>
    <definedName name="drill6a100" localSheetId="3">#REF!</definedName>
    <definedName name="drill6a100">#REF!</definedName>
    <definedName name="drill6a120" localSheetId="3">#REF!</definedName>
    <definedName name="drill6a120">#REF!</definedName>
    <definedName name="drill6a50" localSheetId="3">#REF!</definedName>
    <definedName name="drill6a50">#REF!</definedName>
    <definedName name="drill6a60" localSheetId="3">#REF!</definedName>
    <definedName name="drill6a60">#REF!</definedName>
    <definedName name="drill6a80" localSheetId="3">#REF!</definedName>
    <definedName name="drill6a80">#REF!</definedName>
    <definedName name="drillug100" localSheetId="3">#REF!</definedName>
    <definedName name="drillug100">#REF!</definedName>
    <definedName name="drillug120" localSheetId="3">#REF!</definedName>
    <definedName name="drillug120">#REF!</definedName>
    <definedName name="drillug50" localSheetId="3">#REF!</definedName>
    <definedName name="drillug50">#REF!</definedName>
    <definedName name="drillug60" localSheetId="3">#REF!</definedName>
    <definedName name="drillug60">#REF!</definedName>
    <definedName name="drillug80" localSheetId="3">#REF!</definedName>
    <definedName name="drillug80">#REF!</definedName>
    <definedName name="drkeet" localSheetId="3">#REF!</definedName>
    <definedName name="drkeet">#REF!</definedName>
    <definedName name="DRM18W" localSheetId="2">#REF!</definedName>
    <definedName name="DRM18W" localSheetId="3">#REF!</definedName>
    <definedName name="DRM18W" localSheetId="11">#REF!</definedName>
    <definedName name="DRM18W">#REF!</definedName>
    <definedName name="drumpencampur">#REF!</definedName>
    <definedName name="drumpenyemprot">#REF!</definedName>
    <definedName name="ds1pnc" localSheetId="3">#REF!</definedName>
    <definedName name="ds1pnc">#REF!</definedName>
    <definedName name="ds1pvl" localSheetId="3">#REF!</definedName>
    <definedName name="ds1pvl">#REF!</definedName>
    <definedName name="ds3pnc" localSheetId="3">#REF!</definedName>
    <definedName name="ds3pnc">#REF!</definedName>
    <definedName name="ds3pvl" localSheetId="3">#REF!</definedName>
    <definedName name="ds3pvl">#REF!</definedName>
    <definedName name="dsdw">#REF!</definedName>
    <definedName name="dsf" localSheetId="2" hidden="1">{"'Sheet1'!$A$1"}</definedName>
    <definedName name="dsf" localSheetId="3" hidden="1">{"'Sheet1'!$A$1"}</definedName>
    <definedName name="dsf" hidden="1">{"'Sheet1'!$A$1"}</definedName>
    <definedName name="dsilb2100">#REF!</definedName>
    <definedName name="dsilb2120" localSheetId="3">#REF!</definedName>
    <definedName name="dsilb2120">#REF!</definedName>
    <definedName name="dsilb250" localSheetId="3">#REF!</definedName>
    <definedName name="dsilb250">#REF!</definedName>
    <definedName name="dsilb260" localSheetId="3">#REF!</definedName>
    <definedName name="dsilb260">#REF!</definedName>
    <definedName name="dsilb280" localSheetId="3">#REF!</definedName>
    <definedName name="dsilb280">#REF!</definedName>
    <definedName name="dsildb2100" localSheetId="3">#REF!</definedName>
    <definedName name="dsildb2100">#REF!</definedName>
    <definedName name="dsildb2120" localSheetId="3">#REF!</definedName>
    <definedName name="dsildb2120">#REF!</definedName>
    <definedName name="dsildb250" localSheetId="3">#REF!</definedName>
    <definedName name="dsildb250">#REF!</definedName>
    <definedName name="dsildb260" localSheetId="3">#REF!</definedName>
    <definedName name="dsildb260">#REF!</definedName>
    <definedName name="dsildb280" localSheetId="3">#REF!</definedName>
    <definedName name="dsildb280">#REF!</definedName>
    <definedName name="dsildl1100" localSheetId="3">#REF!</definedName>
    <definedName name="dsildl1100">#REF!</definedName>
    <definedName name="dsildl1120" localSheetId="3">#REF!</definedName>
    <definedName name="dsildl1120">#REF!</definedName>
    <definedName name="dsildl150" localSheetId="3">#REF!</definedName>
    <definedName name="dsildl150">#REF!</definedName>
    <definedName name="dsildl160" localSheetId="3">#REF!</definedName>
    <definedName name="dsildl160">#REF!</definedName>
    <definedName name="dsildl180" localSheetId="3">#REF!</definedName>
    <definedName name="dsildl180">#REF!</definedName>
    <definedName name="dsildl3100" localSheetId="3">#REF!</definedName>
    <definedName name="dsildl3100">#REF!</definedName>
    <definedName name="dsildl3120" localSheetId="3">#REF!</definedName>
    <definedName name="dsildl3120">#REF!</definedName>
    <definedName name="dsildl350" localSheetId="3">#REF!</definedName>
    <definedName name="dsildl350">#REF!</definedName>
    <definedName name="dsildl360" localSheetId="3">#REF!</definedName>
    <definedName name="dsildl360">#REF!</definedName>
    <definedName name="dsildl380" localSheetId="3">#REF!</definedName>
    <definedName name="dsildl380">#REF!</definedName>
    <definedName name="dsildl3a100" localSheetId="3">#REF!</definedName>
    <definedName name="dsildl3a100">#REF!</definedName>
    <definedName name="dsildl3a120" localSheetId="3">#REF!</definedName>
    <definedName name="dsildl3a120">#REF!</definedName>
    <definedName name="dsildl3a50" localSheetId="3">#REF!</definedName>
    <definedName name="dsildl3a50">#REF!</definedName>
    <definedName name="dsildl3a60" localSheetId="3">#REF!</definedName>
    <definedName name="dsildl3a60">#REF!</definedName>
    <definedName name="dsildl3a80" localSheetId="3">#REF!</definedName>
    <definedName name="dsildl3a80">#REF!</definedName>
    <definedName name="dsildl5100" localSheetId="3">#REF!</definedName>
    <definedName name="dsildl5100">#REF!</definedName>
    <definedName name="dsildl5120" localSheetId="3">#REF!</definedName>
    <definedName name="dsildl5120">#REF!</definedName>
    <definedName name="dsildl550" localSheetId="3">#REF!</definedName>
    <definedName name="dsildl550">#REF!</definedName>
    <definedName name="dsildl560" localSheetId="3">#REF!</definedName>
    <definedName name="dsildl560">#REF!</definedName>
    <definedName name="dsildl580" localSheetId="3">#REF!</definedName>
    <definedName name="dsildl580">#REF!</definedName>
    <definedName name="dsildl5a100" localSheetId="3">#REF!</definedName>
    <definedName name="dsildl5a100">#REF!</definedName>
    <definedName name="dsildl5a120" localSheetId="3">#REF!</definedName>
    <definedName name="dsildl5a120">#REF!</definedName>
    <definedName name="dsildl5a50" localSheetId="3">#REF!</definedName>
    <definedName name="dsildl5a50">#REF!</definedName>
    <definedName name="dsildl5a60" localSheetId="3">#REF!</definedName>
    <definedName name="dsildl5a60">#REF!</definedName>
    <definedName name="dsildl5a80" localSheetId="3">#REF!</definedName>
    <definedName name="dsildl5a80">#REF!</definedName>
    <definedName name="dsildl6a100" localSheetId="3">#REF!</definedName>
    <definedName name="dsildl6a100">#REF!</definedName>
    <definedName name="dsildl6a120" localSheetId="3">#REF!</definedName>
    <definedName name="dsildl6a120">#REF!</definedName>
    <definedName name="dsildl6a50" localSheetId="3">#REF!</definedName>
    <definedName name="dsildl6a50">#REF!</definedName>
    <definedName name="dsildl6a60" localSheetId="3">#REF!</definedName>
    <definedName name="dsildl6a60">#REF!</definedName>
    <definedName name="dsildl6a80" localSheetId="3">#REF!</definedName>
    <definedName name="dsildl6a80">#REF!</definedName>
    <definedName name="dsildlug100" localSheetId="3">#REF!</definedName>
    <definedName name="dsildlug100">#REF!</definedName>
    <definedName name="dsildlug120" localSheetId="3">#REF!</definedName>
    <definedName name="dsildlug120">#REF!</definedName>
    <definedName name="dsildlug50" localSheetId="3">#REF!</definedName>
    <definedName name="dsildlug50">#REF!</definedName>
    <definedName name="dsildlug60" localSheetId="3">#REF!</definedName>
    <definedName name="dsildlug60">#REF!</definedName>
    <definedName name="dsildlug80" localSheetId="3">#REF!</definedName>
    <definedName name="dsildlug80">#REF!</definedName>
    <definedName name="dsill1100" localSheetId="3">#REF!</definedName>
    <definedName name="dsill1100">#REF!</definedName>
    <definedName name="dsill1120" localSheetId="3">#REF!</definedName>
    <definedName name="dsill1120">#REF!</definedName>
    <definedName name="dsill150" localSheetId="3">#REF!</definedName>
    <definedName name="dsill150">#REF!</definedName>
    <definedName name="dsill160" localSheetId="3">#REF!</definedName>
    <definedName name="dsill160">#REF!</definedName>
    <definedName name="dsill180" localSheetId="3">#REF!</definedName>
    <definedName name="dsill180">#REF!</definedName>
    <definedName name="dsill3100" localSheetId="3">#REF!</definedName>
    <definedName name="dsill3100">#REF!</definedName>
    <definedName name="dsill3120" localSheetId="3">#REF!</definedName>
    <definedName name="dsill3120">#REF!</definedName>
    <definedName name="dsill350" localSheetId="3">#REF!</definedName>
    <definedName name="dsill350">#REF!</definedName>
    <definedName name="dsill360" localSheetId="3">#REF!</definedName>
    <definedName name="dsill360">#REF!</definedName>
    <definedName name="dsill380" localSheetId="3">#REF!</definedName>
    <definedName name="dsill380">#REF!</definedName>
    <definedName name="dsill3a100" localSheetId="3">#REF!</definedName>
    <definedName name="dsill3a100">#REF!</definedName>
    <definedName name="dsill3a120" localSheetId="3">#REF!</definedName>
    <definedName name="dsill3a120">#REF!</definedName>
    <definedName name="dsill3a50" localSheetId="3">#REF!</definedName>
    <definedName name="dsill3a50">#REF!</definedName>
    <definedName name="dsill3a60" localSheetId="3">#REF!</definedName>
    <definedName name="dsill3a60">#REF!</definedName>
    <definedName name="dsill3a80" localSheetId="3">#REF!</definedName>
    <definedName name="dsill3a80">#REF!</definedName>
    <definedName name="dsill5100" localSheetId="3">#REF!</definedName>
    <definedName name="dsill5100">#REF!</definedName>
    <definedName name="dsill5120" localSheetId="3">#REF!</definedName>
    <definedName name="dsill5120">#REF!</definedName>
    <definedName name="dsill550" localSheetId="3">#REF!</definedName>
    <definedName name="dsill550">#REF!</definedName>
    <definedName name="dsill560" localSheetId="3">#REF!</definedName>
    <definedName name="dsill560">#REF!</definedName>
    <definedName name="dsill580" localSheetId="3">#REF!</definedName>
    <definedName name="dsill580">#REF!</definedName>
    <definedName name="dsill5a100" localSheetId="3">#REF!</definedName>
    <definedName name="dsill5a100">#REF!</definedName>
    <definedName name="dsill5a120" localSheetId="3">#REF!</definedName>
    <definedName name="dsill5a120">#REF!</definedName>
    <definedName name="dsill5a50" localSheetId="3">#REF!</definedName>
    <definedName name="dsill5a50">#REF!</definedName>
    <definedName name="dsill5a60" localSheetId="3">#REF!</definedName>
    <definedName name="dsill5a60">#REF!</definedName>
    <definedName name="dsill5a80" localSheetId="3">#REF!</definedName>
    <definedName name="dsill5a80">#REF!</definedName>
    <definedName name="dsill6a100" localSheetId="3">#REF!</definedName>
    <definedName name="dsill6a100">#REF!</definedName>
    <definedName name="dsill6a120" localSheetId="3">#REF!</definedName>
    <definedName name="dsill6a120">#REF!</definedName>
    <definedName name="dsill6a50" localSheetId="3">#REF!</definedName>
    <definedName name="dsill6a50">#REF!</definedName>
    <definedName name="dsill6a60" localSheetId="3">#REF!</definedName>
    <definedName name="dsill6a60">#REF!</definedName>
    <definedName name="dsill6a80" localSheetId="3">#REF!</definedName>
    <definedName name="dsill6a80">#REF!</definedName>
    <definedName name="dsillug100" localSheetId="3">#REF!</definedName>
    <definedName name="dsillug100">#REF!</definedName>
    <definedName name="dsillug120" localSheetId="3">#REF!</definedName>
    <definedName name="dsillug120">#REF!</definedName>
    <definedName name="dsillug50" localSheetId="3">#REF!</definedName>
    <definedName name="dsillug50">#REF!</definedName>
    <definedName name="dsillug60" localSheetId="3">#REF!</definedName>
    <definedName name="dsillug60">#REF!</definedName>
    <definedName name="dsillug80" localSheetId="3">#REF!</definedName>
    <definedName name="dsillug80">#REF!</definedName>
    <definedName name="dstib2100" localSheetId="3">#REF!</definedName>
    <definedName name="dstib2100">#REF!</definedName>
    <definedName name="dstib2120" localSheetId="3">#REF!</definedName>
    <definedName name="dstib2120">#REF!</definedName>
    <definedName name="dstib250" localSheetId="3">#REF!</definedName>
    <definedName name="dstib250">#REF!</definedName>
    <definedName name="dstib260" localSheetId="3">#REF!</definedName>
    <definedName name="dstib260">#REF!</definedName>
    <definedName name="dstib280" localSheetId="3">#REF!</definedName>
    <definedName name="dstib280">#REF!</definedName>
    <definedName name="DTengkel" localSheetId="3">#REF!</definedName>
    <definedName name="DTengkel">#REF!</definedName>
    <definedName name="dthhh" localSheetId="2" hidden="1">{"'Sheet1'!$A$1"}</definedName>
    <definedName name="dthhh" localSheetId="3" hidden="1">{"'Sheet1'!$A$1"}</definedName>
    <definedName name="dthhh" hidden="1">{"'Sheet1'!$A$1"}</definedName>
    <definedName name="dthrtj" localSheetId="2" hidden="1">{"'Sheet1'!$A$1"}</definedName>
    <definedName name="dthrtj" localSheetId="3" hidden="1">{"'Sheet1'!$A$1"}</definedName>
    <definedName name="dthrtj" hidden="1">{"'Sheet1'!$A$1"}</definedName>
    <definedName name="DTPX_R_M">#N/A</definedName>
    <definedName name="DTtronton">#REF!</definedName>
    <definedName name="dua" localSheetId="3">#REF!</definedName>
    <definedName name="dua">#REF!</definedName>
    <definedName name="duco" localSheetId="3">#REF!</definedName>
    <definedName name="duco">#REF!</definedName>
    <definedName name="duiker" localSheetId="3">#REF!</definedName>
    <definedName name="duiker">#REF!</definedName>
    <definedName name="duiker40" localSheetId="3">#REF!</definedName>
    <definedName name="duiker40">#REF!</definedName>
    <definedName name="duikerU40" localSheetId="3">#REF!</definedName>
    <definedName name="duikerU40">#REF!</definedName>
    <definedName name="duikerU60" localSheetId="3">#REF!</definedName>
    <definedName name="duikerU60">#REF!</definedName>
    <definedName name="dump_truck" localSheetId="3">#REF!</definedName>
    <definedName name="dump_truck">#REF!</definedName>
    <definedName name="DUMPTRUCK1" localSheetId="2">#REF!</definedName>
    <definedName name="DUMPTRUCK1" localSheetId="3">#REF!</definedName>
    <definedName name="DUMPTRUCK1">#REF!</definedName>
    <definedName name="DUMPTRUCK2" localSheetId="2">#REF!</definedName>
    <definedName name="DUMPTRUCK2" localSheetId="3">#REF!</definedName>
    <definedName name="DUMPTRUCK2">#REF!</definedName>
    <definedName name="dumptruck5ton">#REF!</definedName>
    <definedName name="DV_1" localSheetId="3">#REF!</definedName>
    <definedName name="DV_1">#REF!</definedName>
    <definedName name="DV_10" localSheetId="3">#REF!</definedName>
    <definedName name="DV_10">#REF!</definedName>
    <definedName name="DV_11" localSheetId="3">#REF!</definedName>
    <definedName name="DV_11">#REF!</definedName>
    <definedName name="DV_12" localSheetId="3">#REF!</definedName>
    <definedName name="DV_12">#REF!</definedName>
    <definedName name="DV_13" localSheetId="3">#REF!</definedName>
    <definedName name="DV_13">#REF!</definedName>
    <definedName name="DV_2" localSheetId="3">#REF!</definedName>
    <definedName name="DV_2">#REF!</definedName>
    <definedName name="DV_3" localSheetId="3">#REF!</definedName>
    <definedName name="DV_3">#REF!</definedName>
    <definedName name="DV_4" localSheetId="3">#REF!</definedName>
    <definedName name="DV_4">#REF!</definedName>
    <definedName name="DV_5" localSheetId="3">#REF!</definedName>
    <definedName name="DV_5">#REF!</definedName>
    <definedName name="DV_6" localSheetId="3">#REF!</definedName>
    <definedName name="DV_6">#REF!</definedName>
    <definedName name="DV_7" localSheetId="3">#REF!</definedName>
    <definedName name="DV_7">#REF!</definedName>
    <definedName name="DV_8" localSheetId="3">#REF!</definedName>
    <definedName name="DV_8">#REF!</definedName>
    <definedName name="DV_9" localSheetId="3">#REF!</definedName>
    <definedName name="DV_9">#REF!</definedName>
    <definedName name="dvve" localSheetId="2" hidden="1">{"'Sheet1'!$A$1"}</definedName>
    <definedName name="dvve" localSheetId="3" hidden="1">{"'Sheet1'!$A$1"}</definedName>
    <definedName name="dvve" hidden="1">{"'Sheet1'!$A$1"}</definedName>
    <definedName name="e">#REF!</definedName>
    <definedName name="E.001" localSheetId="2">#REF!</definedName>
    <definedName name="E.001" localSheetId="3">#REF!</definedName>
    <definedName name="E.001">#REF!</definedName>
    <definedName name="e.002">'[35]Upah&amp;Bahan'!$U$205</definedName>
    <definedName name="E.010" localSheetId="3">#REF!</definedName>
    <definedName name="E.010">#REF!</definedName>
    <definedName name="e.011">'[35]Upah&amp;Bahan'!$U$261</definedName>
    <definedName name="E.020" localSheetId="3">#REF!</definedName>
    <definedName name="E.020">#REF!</definedName>
    <definedName name="E.031" localSheetId="3">#REF!</definedName>
    <definedName name="E.031">#REF!</definedName>
    <definedName name="e.032">'[35]Upah&amp;Bahan'!$U$317</definedName>
    <definedName name="E.040" localSheetId="3">#REF!</definedName>
    <definedName name="E.040">#REF!</definedName>
    <definedName name="e.041">'[35]Upah&amp;Bahan'!$U$1493</definedName>
    <definedName name="e.049">'[17]Upah&amp;Bahan'!$U$1493</definedName>
    <definedName name="e.051">'[35]Upah&amp;Bahan'!$U$373</definedName>
    <definedName name="E.052" localSheetId="3">#REF!</definedName>
    <definedName name="E.052">#REF!</definedName>
    <definedName name="E.053" localSheetId="3">#REF!</definedName>
    <definedName name="E.053">#REF!</definedName>
    <definedName name="e.054">'[35]Upah&amp;Bahan'!$U$429</definedName>
    <definedName name="e.059">'[17]Upah&amp;Bahan'!$U$373</definedName>
    <definedName name="E.080" localSheetId="3">#REF!</definedName>
    <definedName name="E.080">#REF!</definedName>
    <definedName name="E.081" localSheetId="3">#REF!</definedName>
    <definedName name="E.081">#REF!</definedName>
    <definedName name="E.082" localSheetId="3">#REF!</definedName>
    <definedName name="E.082">#REF!</definedName>
    <definedName name="e.083">'[35]Upah&amp;Bahan'!$U$485</definedName>
    <definedName name="E.084" localSheetId="3">#REF!</definedName>
    <definedName name="E.084">#REF!</definedName>
    <definedName name="e.085">'[35]Upah&amp;Bahan'!$U$541</definedName>
    <definedName name="e.086">'[35]Upah&amp;Bahan'!$U$597</definedName>
    <definedName name="E.087" localSheetId="3">#REF!</definedName>
    <definedName name="E.087">#REF!</definedName>
    <definedName name="E.088" localSheetId="3">#REF!</definedName>
    <definedName name="E.088">#REF!</definedName>
    <definedName name="E.089" localSheetId="3">#REF!</definedName>
    <definedName name="E.089">#REF!</definedName>
    <definedName name="E.091" localSheetId="3">#REF!</definedName>
    <definedName name="E.091">#REF!</definedName>
    <definedName name="e.105">'[17]Upah&amp;Bahan'!$U$1269</definedName>
    <definedName name="e.106">'[17]Upah&amp;Bahan'!$U$1325</definedName>
    <definedName name="e.107">'[17]Upah&amp;Bahan'!$U$1381</definedName>
    <definedName name="e.108">'[17]Upah&amp;Bahan'!$U$1437</definedName>
    <definedName name="e.109">'[17]Kuantitas &amp; Harga'!#REF!</definedName>
    <definedName name="E.13" localSheetId="3">#REF!</definedName>
    <definedName name="E.13">#REF!</definedName>
    <definedName name="E.153" localSheetId="3">#REF!</definedName>
    <definedName name="E.153">#REF!</definedName>
    <definedName name="E.154" localSheetId="3">#REF!</definedName>
    <definedName name="E.154">#REF!</definedName>
    <definedName name="E.155" localSheetId="3">#REF!</definedName>
    <definedName name="E.155">#REF!</definedName>
    <definedName name="e.156">'[35]Upah&amp;Bahan'!$U$1549</definedName>
    <definedName name="E.157" localSheetId="3">#REF!</definedName>
    <definedName name="E.157">#REF!</definedName>
    <definedName name="e.159" localSheetId="3">#REF!</definedName>
    <definedName name="e.159">#REF!</definedName>
    <definedName name="E.182" localSheetId="3">#REF!</definedName>
    <definedName name="E.182">#REF!</definedName>
    <definedName name="e.190" localSheetId="3">#REF!</definedName>
    <definedName name="e.190">#REF!</definedName>
    <definedName name="E.2" localSheetId="3">#REF!</definedName>
    <definedName name="E.2">#REF!</definedName>
    <definedName name="e.211" localSheetId="3">#REF!</definedName>
    <definedName name="e.211">#REF!</definedName>
    <definedName name="E.212" localSheetId="3">#REF!</definedName>
    <definedName name="E.212">#REF!</definedName>
    <definedName name="E.213" localSheetId="3">#REF!</definedName>
    <definedName name="E.213">#REF!</definedName>
    <definedName name="e.214" localSheetId="3">#REF!</definedName>
    <definedName name="e.214">#REF!</definedName>
    <definedName name="E.221" localSheetId="3">#REF!</definedName>
    <definedName name="E.221">#REF!</definedName>
    <definedName name="e.225" localSheetId="3">#REF!</definedName>
    <definedName name="e.225">#REF!</definedName>
    <definedName name="E.251" localSheetId="3">#REF!</definedName>
    <definedName name="E.251">#REF!</definedName>
    <definedName name="E.252" localSheetId="3">#REF!</definedName>
    <definedName name="E.252">#REF!</definedName>
    <definedName name="E.253" localSheetId="3">#REF!</definedName>
    <definedName name="E.253">#REF!</definedName>
    <definedName name="e.254" localSheetId="3">#REF!</definedName>
    <definedName name="e.254">#REF!</definedName>
    <definedName name="e.255" localSheetId="3">#REF!</definedName>
    <definedName name="e.255">#REF!</definedName>
    <definedName name="e.258" localSheetId="3">#REF!</definedName>
    <definedName name="e.258">#REF!</definedName>
    <definedName name="e.259" localSheetId="3">#REF!</definedName>
    <definedName name="e.259">#REF!</definedName>
    <definedName name="E.301" localSheetId="3">#REF!</definedName>
    <definedName name="E.301">#REF!</definedName>
    <definedName name="E.341" localSheetId="3">#REF!</definedName>
    <definedName name="E.341">#REF!</definedName>
    <definedName name="E.401" localSheetId="3">#REF!</definedName>
    <definedName name="E.401">#REF!</definedName>
    <definedName name="e.402" localSheetId="3">#REF!</definedName>
    <definedName name="e.402">#REF!</definedName>
    <definedName name="e.500">'[17]Kuantitas &amp; Harga'!#REF!</definedName>
    <definedName name="e.58">'[17]Upah&amp;Bahan'!$U$429</definedName>
    <definedName name="e.90">'[17]Upah&amp;Bahan'!$U$709</definedName>
    <definedName name="e.91">'[17]Upah&amp;Bahan'!$U$765</definedName>
    <definedName name="e.92">'[17]Upah&amp;Bahan'!$U$821</definedName>
    <definedName name="e.93">'[17]Upah&amp;Bahan'!$U$1672</definedName>
    <definedName name="e.94">'[17]Upah&amp;Bahan'!$U$877</definedName>
    <definedName name="e.97">'[17]Upah&amp;Bahan'!$U$1549</definedName>
    <definedName name="e.98">'[17]Upah&amp;Bahan'!$U$933</definedName>
    <definedName name="e.99">'[17]Upah&amp;Bahan'!$U$989</definedName>
    <definedName name="e.kamu">'[17]Upah&amp;Bahan'!$U$485</definedName>
    <definedName name="e.kemana">'[17]Upah&amp;Bahan'!$U$597</definedName>
    <definedName name="e.mau">'[17]Upah&amp;Bahan'!$U$541</definedName>
    <definedName name="e.syal">'[17]Upah&amp;Bahan'!$U$653</definedName>
    <definedName name="E_1" localSheetId="3">#REF!</definedName>
    <definedName name="E_1">#REF!</definedName>
    <definedName name="E_10" localSheetId="3">#REF!</definedName>
    <definedName name="E_10">#REF!</definedName>
    <definedName name="E_11" localSheetId="3">#REF!</definedName>
    <definedName name="E_11">#REF!</definedName>
    <definedName name="E_12" localSheetId="3">#REF!</definedName>
    <definedName name="E_12">#REF!</definedName>
    <definedName name="E_13" localSheetId="3">#REF!</definedName>
    <definedName name="E_13">#REF!</definedName>
    <definedName name="E_2" localSheetId="3">#REF!</definedName>
    <definedName name="E_2">#REF!</definedName>
    <definedName name="E_3" localSheetId="3">#REF!</definedName>
    <definedName name="E_3">#REF!</definedName>
    <definedName name="E_4" localSheetId="3">#REF!</definedName>
    <definedName name="E_4">#REF!</definedName>
    <definedName name="E_5" localSheetId="3">#REF!</definedName>
    <definedName name="E_5">#REF!</definedName>
    <definedName name="E_6" localSheetId="3">#REF!</definedName>
    <definedName name="E_6">#REF!</definedName>
    <definedName name="E_7" localSheetId="3">#REF!</definedName>
    <definedName name="E_7">#REF!</definedName>
    <definedName name="E_8" localSheetId="3">#REF!</definedName>
    <definedName name="E_8">#REF!</definedName>
    <definedName name="E_9" localSheetId="3">#REF!</definedName>
    <definedName name="E_9">#REF!</definedName>
    <definedName name="EC" localSheetId="2">#REF!</definedName>
    <definedName name="EC" localSheetId="3">#REF!</definedName>
    <definedName name="EC">#REF!</definedName>
    <definedName name="ecrazy">'[35]Upah&amp;Bahan'!$U$877</definedName>
    <definedName name="ee" localSheetId="2">#REF!</definedName>
    <definedName name="ee" localSheetId="3">#REF!</definedName>
    <definedName name="ee">[23]INPUT!$A$12</definedName>
    <definedName name="eee">[23]INPUT!$E$12</definedName>
    <definedName name="EEE06REV" localSheetId="2">'[52]5-Peralatan'!$AW$13</definedName>
    <definedName name="EEE06REV" localSheetId="3">'[52]5-Peralatan'!$AW$13</definedName>
    <definedName name="EEE06REV">'[53]5-Peralatan'!$AW$13</definedName>
    <definedName name="EEE09REV1" localSheetId="2">'[52]5-Peralatan'!$AW$16</definedName>
    <definedName name="EEE09REV1" localSheetId="3">'[52]5-Peralatan'!$AW$16</definedName>
    <definedName name="EEE09REV1">'[53]5-Peralatan'!$AW$16</definedName>
    <definedName name="EEE17REV" localSheetId="2">'[52]5-Peralatan'!$AW$24</definedName>
    <definedName name="EEE17REV" localSheetId="3">'[52]5-Peralatan'!$AW$24</definedName>
    <definedName name="EEE17REV">'[53]5-Peralatan'!$AW$24</definedName>
    <definedName name="EEE17REV1" localSheetId="2">'[52]5-Peralatan'!$AW$24</definedName>
    <definedName name="EEE17REV1" localSheetId="3">'[52]5-Peralatan'!$AW$24</definedName>
    <definedName name="EEE17REV1">'[53]5-Peralatan'!$AW$24</definedName>
    <definedName name="EEX" localSheetId="3">#REF!</definedName>
    <definedName name="EEX">#REF!</definedName>
    <definedName name="ef" localSheetId="2" hidden="1">{"'Sheet1'!$A$1"}</definedName>
    <definedName name="ef" localSheetId="3" hidden="1">{"'Sheet1'!$A$1"}</definedName>
    <definedName name="ef" hidden="1">{"'Sheet1'!$A$1"}</definedName>
    <definedName name="efg" localSheetId="2" hidden="1">{"'Sheet1'!$A$1"}</definedName>
    <definedName name="efg" localSheetId="3" hidden="1">{"'Sheet1'!$A$1"}</definedName>
    <definedName name="efg" hidden="1">{"'Sheet1'!$A$1"}</definedName>
    <definedName name="EFWEWEF">#REF!</definedName>
    <definedName name="EFX" localSheetId="3">#REF!</definedName>
    <definedName name="EFX">#REF!</definedName>
    <definedName name="EGX" localSheetId="3">#REF!</definedName>
    <definedName name="EGX">#REF!</definedName>
    <definedName name="EHX" localSheetId="3">#REF!</definedName>
    <definedName name="EHX">#REF!</definedName>
    <definedName name="ejjj" localSheetId="2" hidden="1">{"'Sheet1'!$A$1"}</definedName>
    <definedName name="ejjj" localSheetId="3" hidden="1">{"'Sheet1'!$A$1"}</definedName>
    <definedName name="ejjj" hidden="1">{"'Sheet1'!$A$1"}</definedName>
    <definedName name="EJX">#REF!</definedName>
    <definedName name="ekspagnolet" localSheetId="3">#REF!</definedName>
    <definedName name="ekspagnolet">#REF!</definedName>
    <definedName name="EKX" localSheetId="3">#REF!</definedName>
    <definedName name="EKX">#REF!</definedName>
    <definedName name="El" localSheetId="3">#REF!</definedName>
    <definedName name="El">#REF!</definedName>
    <definedName name="ElastomericA" localSheetId="3">#REF!</definedName>
    <definedName name="ElastomericA">#REF!</definedName>
    <definedName name="ElastomericB" localSheetId="3">#REF!</definedName>
    <definedName name="ElastomericB">#REF!</definedName>
    <definedName name="elbow">[10]BAHAN!#REF!</definedName>
    <definedName name="elek" localSheetId="3">#REF!</definedName>
    <definedName name="elek">#REF!</definedName>
    <definedName name="ELX" localSheetId="3">#REF!</definedName>
    <definedName name="ELX">#REF!</definedName>
    <definedName name="Email" localSheetId="3">#REF!</definedName>
    <definedName name="Email">#REF!</definedName>
    <definedName name="embankment" localSheetId="3">#REF!</definedName>
    <definedName name="embankment">#REF!</definedName>
    <definedName name="ember" localSheetId="3">#REF!</definedName>
    <definedName name="ember">#REF!</definedName>
    <definedName name="engsel" localSheetId="2">#REF!</definedName>
    <definedName name="engsel" localSheetId="3">#REF!</definedName>
    <definedName name="Engsel">[36]cover!#REF!</definedName>
    <definedName name="engsel.panjang">[10]BAHAN!#REF!</definedName>
    <definedName name="engsel.pintu\ps" localSheetId="3">#REF!</definedName>
    <definedName name="engsel.pintu\ps">#REF!</definedName>
    <definedName name="Engsel_kuningan" localSheetId="3">#REF!</definedName>
    <definedName name="Engsel_kuningan">#REF!</definedName>
    <definedName name="Engsel_pintu__H__besar" localSheetId="3">#REF!</definedName>
    <definedName name="Engsel_pintu__H__besar">#REF!</definedName>
    <definedName name="engsel1.5pair" localSheetId="3">#REF!</definedName>
    <definedName name="engsel1.5pair">#REF!</definedName>
    <definedName name="engsel3pairs" localSheetId="3">#REF!</definedName>
    <definedName name="engsel3pairs">#REF!</definedName>
    <definedName name="Engsel4kend" localSheetId="3">#REF!</definedName>
    <definedName name="Engsel4kend">#REF!</definedName>
    <definedName name="engseljendela" localSheetId="2">#REF!</definedName>
    <definedName name="engseljendela" localSheetId="3">#REF!</definedName>
    <definedName name="engseljendela">[36]cover!#REF!</definedName>
    <definedName name="engseljendela3\nonjasa" localSheetId="3">#REF!</definedName>
    <definedName name="engseljendela3\nonjasa">#REF!</definedName>
    <definedName name="engselnilon3" localSheetId="3">#REF!</definedName>
    <definedName name="engselnilon3">#REF!</definedName>
    <definedName name="engselpanjang">[43]BAHAN!$L$24</definedName>
    <definedName name="engselpintu" localSheetId="2">#REF!</definedName>
    <definedName name="engselpintu" localSheetId="3">#REF!</definedName>
    <definedName name="Engselpintu">[36]cover!#REF!</definedName>
    <definedName name="engselpintu4\nonjasa" localSheetId="3">#REF!</definedName>
    <definedName name="engselpintu4\nonjasa">#REF!</definedName>
    <definedName name="ENTRANCE" localSheetId="3">#REF!</definedName>
    <definedName name="ENTRANCE">#REF!</definedName>
    <definedName name="eol" localSheetId="3">#REF!</definedName>
    <definedName name="eol">#REF!</definedName>
    <definedName name="epoxy" localSheetId="3">#REF!</definedName>
    <definedName name="epoxy">#REF!</definedName>
    <definedName name="er" localSheetId="2">#REF!</definedName>
    <definedName name="er" localSheetId="3">#REF!</definedName>
    <definedName name="er">#REF!</definedName>
    <definedName name="erection" localSheetId="3">#REF!</definedName>
    <definedName name="erection">#REF!</definedName>
    <definedName name="erhe" localSheetId="2" hidden="1">{"'Sheet1'!$A$1"}</definedName>
    <definedName name="erhe" localSheetId="3" hidden="1">{"'Sheet1'!$A$1"}</definedName>
    <definedName name="erhe" hidden="1">{"'Sheet1'!$A$1"}</definedName>
    <definedName name="eru" localSheetId="2" hidden="1">{"'Sheet1'!$A$1"}</definedName>
    <definedName name="eru" localSheetId="3" hidden="1">{"'Sheet1'!$A$1"}</definedName>
    <definedName name="eru" hidden="1">{"'Sheet1'!$A$1"}</definedName>
    <definedName name="eryrt" localSheetId="2" hidden="1">{"'Sheet1'!$A$1"}</definedName>
    <definedName name="eryrt" localSheetId="3" hidden="1">{"'Sheet1'!$A$1"}</definedName>
    <definedName name="eryrt" hidden="1">{"'Sheet1'!$A$1"}</definedName>
    <definedName name="ess60b">#REF!</definedName>
    <definedName name="ess60black" localSheetId="3">#REF!</definedName>
    <definedName name="ess60black">#REF!</definedName>
    <definedName name="eter">#REF!</definedName>
    <definedName name="Eternit__100_x_100_cm_3_mm_ex._atrisco" localSheetId="3">#REF!</definedName>
    <definedName name="Eternit__100_x_100_cm_3_mm_ex._atrisco">#REF!</definedName>
    <definedName name="Eternit_Harplek_1_x_1_cm" localSheetId="3">#REF!</definedName>
    <definedName name="Eternit_Harplek_1_x_1_cm">#REF!</definedName>
    <definedName name="ewg" localSheetId="2" hidden="1">{"'Sheet1'!$A$1"}</definedName>
    <definedName name="ewg" localSheetId="3" hidden="1">{"'Sheet1'!$A$1"}</definedName>
    <definedName name="ewg" hidden="1">{"'Sheet1'!$A$1"}</definedName>
    <definedName name="Excavator" localSheetId="2">#REF!</definedName>
    <definedName name="Excavator" localSheetId="3">#REF!</definedName>
    <definedName name="EXCAVATOR">#REF!</definedName>
    <definedName name="Excel_BuiltIn_Print_Area" localSheetId="3">#REF!</definedName>
    <definedName name="Excel_BuiltIn_Print_Area">#REF!</definedName>
    <definedName name="Excel_BuiltIn_Print_Area_1" localSheetId="3">#REF!</definedName>
    <definedName name="Excel_BuiltIn_Print_Area_1">#REF!</definedName>
    <definedName name="Excel_BuiltIn_Print_Area_1_1" localSheetId="3">#REF!</definedName>
    <definedName name="Excel_BuiltIn_Print_Area_1_1">#REF!</definedName>
    <definedName name="Excel_BuiltIn_Print_Area_1_1_1" localSheetId="3">#REF!</definedName>
    <definedName name="Excel_BuiltIn_Print_Area_1_1_1">#REF!</definedName>
    <definedName name="Excel_BuiltIn_Print_Area_1_1_1_1" localSheetId="3">#REF!</definedName>
    <definedName name="Excel_BuiltIn_Print_Area_1_1_1_1">#REF!</definedName>
    <definedName name="Excel_BuiltIn_Print_Area_1_1_1_1_1" localSheetId="3">#REF!</definedName>
    <definedName name="Excel_BuiltIn_Print_Area_1_1_1_1_1">#REF!</definedName>
    <definedName name="Excel_BuiltIn_Print_Area_1_1_1_1_2" localSheetId="3">#REF!</definedName>
    <definedName name="Excel_BuiltIn_Print_Area_1_1_1_1_2">#REF!</definedName>
    <definedName name="Excel_BuiltIn_Print_Area_1_1_1_1_4" localSheetId="3">#REF!</definedName>
    <definedName name="Excel_BuiltIn_Print_Area_1_1_1_1_4">#REF!</definedName>
    <definedName name="Excel_BuiltIn_Print_Area_1_1_1_1_5" localSheetId="3">#REF!</definedName>
    <definedName name="Excel_BuiltIn_Print_Area_1_1_1_1_5">#REF!</definedName>
    <definedName name="Excel_BuiltIn_Print_Area_1_1_1_2" localSheetId="3">#REF!</definedName>
    <definedName name="Excel_BuiltIn_Print_Area_1_1_1_2">#REF!</definedName>
    <definedName name="Excel_BuiltIn_Print_Area_1_1_1_4" localSheetId="3">#REF!</definedName>
    <definedName name="Excel_BuiltIn_Print_Area_1_1_1_4">#REF!</definedName>
    <definedName name="Excel_BuiltIn_Print_Area_1_1_1_5" localSheetId="3">#REF!</definedName>
    <definedName name="Excel_BuiltIn_Print_Area_1_1_1_5">#REF!</definedName>
    <definedName name="Excel_BuiltIn_Print_Area_1_1_2" localSheetId="3">#REF!</definedName>
    <definedName name="Excel_BuiltIn_Print_Area_1_1_2">#REF!</definedName>
    <definedName name="Excel_BuiltIn_Print_Area_1_1_4" localSheetId="3">#REF!</definedName>
    <definedName name="Excel_BuiltIn_Print_Area_1_1_4">#REF!</definedName>
    <definedName name="Excel_BuiltIn_Print_Area_1_1_5" localSheetId="3">#REF!</definedName>
    <definedName name="Excel_BuiltIn_Print_Area_1_1_5">#REF!</definedName>
    <definedName name="Excel_BuiltIn_Print_Area_1_1_8" localSheetId="3">#REF!</definedName>
    <definedName name="Excel_BuiltIn_Print_Area_1_1_8">#REF!</definedName>
    <definedName name="Excel_BuiltIn_Print_Area_1_2" localSheetId="3">#REF!</definedName>
    <definedName name="Excel_BuiltIn_Print_Area_1_2">#REF!</definedName>
    <definedName name="Excel_BuiltIn_Print_Area_1_4" localSheetId="3">#REF!</definedName>
    <definedName name="Excel_BuiltIn_Print_Area_1_4">#REF!</definedName>
    <definedName name="Excel_BuiltIn_Print_Area_1_5" localSheetId="3">#REF!</definedName>
    <definedName name="Excel_BuiltIn_Print_Area_1_5">#REF!</definedName>
    <definedName name="Excel_BuiltIn_Print_Area_10" localSheetId="3">#REF!</definedName>
    <definedName name="Excel_BuiltIn_Print_Area_10">#REF!</definedName>
    <definedName name="Excel_BuiltIn_Print_Area_10_1" localSheetId="3">#REF!</definedName>
    <definedName name="Excel_BuiltIn_Print_Area_10_1">#REF!</definedName>
    <definedName name="Excel_BuiltIn_Print_Area_11" localSheetId="3">#REF!</definedName>
    <definedName name="Excel_BuiltIn_Print_Area_11">#REF!</definedName>
    <definedName name="Excel_BuiltIn_Print_Area_13" localSheetId="3">#REF!</definedName>
    <definedName name="Excel_BuiltIn_Print_Area_13">#REF!</definedName>
    <definedName name="Excel_BuiltIn_Print_Area_2" localSheetId="3">#REF!</definedName>
    <definedName name="Excel_BuiltIn_Print_Area_2">#REF!</definedName>
    <definedName name="Excel_BuiltIn_Print_Area_2_1" localSheetId="3">#REF!,#REF!</definedName>
    <definedName name="Excel_BuiltIn_Print_Area_2_1">#REF!,#REF!</definedName>
    <definedName name="Excel_BuiltIn_Print_Area_3" localSheetId="3">#REF!</definedName>
    <definedName name="Excel_BuiltIn_Print_Area_3">#REF!</definedName>
    <definedName name="Excel_BuiltIn_Print_Area_3_1" localSheetId="3">#REF!</definedName>
    <definedName name="Excel_BuiltIn_Print_Area_3_1">#REF!</definedName>
    <definedName name="Excel_BuiltIn_Print_Area_3_1_1" localSheetId="3">#REF!</definedName>
    <definedName name="Excel_BuiltIn_Print_Area_3_1_1">#REF!</definedName>
    <definedName name="Excel_BuiltIn_Print_Area_3_1_2" localSheetId="3">#REF!</definedName>
    <definedName name="Excel_BuiltIn_Print_Area_3_1_2">#REF!</definedName>
    <definedName name="Excel_BuiltIn_Print_Area_3_1_4" localSheetId="3">#REF!</definedName>
    <definedName name="Excel_BuiltIn_Print_Area_3_1_4">#REF!</definedName>
    <definedName name="Excel_BuiltIn_Print_Area_3_1_5" localSheetId="3">#REF!</definedName>
    <definedName name="Excel_BuiltIn_Print_Area_3_1_5">#REF!</definedName>
    <definedName name="Excel_BuiltIn_Print_Area_4_1" localSheetId="3">#REF!</definedName>
    <definedName name="Excel_BuiltIn_Print_Area_4_1">#REF!</definedName>
    <definedName name="Excel_BuiltIn_Print_Area_5" localSheetId="3">#REF!</definedName>
    <definedName name="Excel_BuiltIn_Print_Area_5">#REF!</definedName>
    <definedName name="Excel_BuiltIn_Print_Area_5_1" localSheetId="3">#REF!</definedName>
    <definedName name="Excel_BuiltIn_Print_Area_5_1">#REF!</definedName>
    <definedName name="Excel_BuiltIn_Print_Area_6" localSheetId="3">#REF!</definedName>
    <definedName name="Excel_BuiltIn_Print_Area_6">#REF!</definedName>
    <definedName name="Excel_BuiltIn_Print_Area_6_1" localSheetId="3">#REF!</definedName>
    <definedName name="Excel_BuiltIn_Print_Area_6_1">#REF!</definedName>
    <definedName name="Excel_BuiltIn_Print_Area_6_6" localSheetId="3">#REF!</definedName>
    <definedName name="Excel_BuiltIn_Print_Area_6_6">#REF!</definedName>
    <definedName name="Excel_BuiltIn_Print_Area_7" localSheetId="3">#REF!</definedName>
    <definedName name="Excel_BuiltIn_Print_Area_7">#REF!</definedName>
    <definedName name="Excel_BuiltIn_Print_Area_7_1" localSheetId="3">#REF!</definedName>
    <definedName name="Excel_BuiltIn_Print_Area_7_1">#REF!</definedName>
    <definedName name="Excel_BuiltIn_Print_Area_7_6" localSheetId="3">#REF!</definedName>
    <definedName name="Excel_BuiltIn_Print_Area_7_6">#REF!</definedName>
    <definedName name="Excel_BuiltIn_Print_Area_8" localSheetId="3">#REF!</definedName>
    <definedName name="Excel_BuiltIn_Print_Area_8">#REF!</definedName>
    <definedName name="Excel_BuiltIn_Print_Area_8_1" localSheetId="3">#REF!</definedName>
    <definedName name="Excel_BuiltIn_Print_Area_8_1">#REF!</definedName>
    <definedName name="Excel_BuiltIn_Print_Area_9" localSheetId="3">#REF!</definedName>
    <definedName name="Excel_BuiltIn_Print_Area_9">#REF!</definedName>
    <definedName name="Excel_BuiltIn_Print_Area_9_1" localSheetId="3">#REF!</definedName>
    <definedName name="Excel_BuiltIn_Print_Area_9_1">#REF!</definedName>
    <definedName name="Excel_BuiltIn_Print_Titles" localSheetId="3">#REF!</definedName>
    <definedName name="Excel_BuiltIn_Print_Titles">#REF!</definedName>
    <definedName name="Excel_BuiltIn_Print_Titles_1" localSheetId="3">#REF!</definedName>
    <definedName name="Excel_BuiltIn_Print_Titles_1">#REF!</definedName>
    <definedName name="Excel_BuiltIn_Print_Titles_10" localSheetId="3">#REF!</definedName>
    <definedName name="Excel_BuiltIn_Print_Titles_10">#REF!</definedName>
    <definedName name="Excel_BuiltIn_Print_Titles_13" localSheetId="3">#REF!</definedName>
    <definedName name="Excel_BuiltIn_Print_Titles_13">#REF!</definedName>
    <definedName name="Excel_BuiltIn_Print_Titles_2" localSheetId="3">#REF!</definedName>
    <definedName name="Excel_BuiltIn_Print_Titles_2">#REF!</definedName>
    <definedName name="Excel_BuiltIn_Print_Titles_2_1" localSheetId="3">#REF!</definedName>
    <definedName name="Excel_BuiltIn_Print_Titles_2_1">#REF!</definedName>
    <definedName name="Excel_BuiltIn_Print_Titles_3" localSheetId="3">#REF!</definedName>
    <definedName name="Excel_BuiltIn_Print_Titles_3">#REF!</definedName>
    <definedName name="Excel_BuiltIn_Print_Titles_3_1" localSheetId="3">#REF!</definedName>
    <definedName name="Excel_BuiltIn_Print_Titles_3_1">#REF!</definedName>
    <definedName name="Excel_BuiltIn_Print_Titles_3_1_1" localSheetId="3">#REF!</definedName>
    <definedName name="Excel_BuiltIn_Print_Titles_3_1_1">#REF!</definedName>
    <definedName name="Excel_BuiltIn_Print_Titles_4_1" localSheetId="3">#REF!</definedName>
    <definedName name="Excel_BuiltIn_Print_Titles_4_1">#REF!</definedName>
    <definedName name="Excel_BuiltIn_Print_Titles_5_1" localSheetId="3">#REF!</definedName>
    <definedName name="Excel_BuiltIn_Print_Titles_5_1">#REF!</definedName>
    <definedName name="Excel_BuiltIn_Print_Titles_6" localSheetId="3">#REF!</definedName>
    <definedName name="Excel_BuiltIn_Print_Titles_6">#REF!</definedName>
    <definedName name="Excel_BuiltIn_Print_Titles_6_1" localSheetId="3">#REF!</definedName>
    <definedName name="Excel_BuiltIn_Print_Titles_6_1">#REF!</definedName>
    <definedName name="Excel_BuiltIn_Print_Titles_6_1_1" localSheetId="3">#REF!</definedName>
    <definedName name="Excel_BuiltIn_Print_Titles_6_1_1">#REF!</definedName>
    <definedName name="Excel_BuiltIn_Print_Titles_6_6" localSheetId="3">#REF!</definedName>
    <definedName name="Excel_BuiltIn_Print_Titles_6_6">#REF!</definedName>
    <definedName name="Excel_BuiltIn_Print_Titles_7" localSheetId="3">#REF!</definedName>
    <definedName name="Excel_BuiltIn_Print_Titles_7">#REF!</definedName>
    <definedName name="Excel_BuiltIn_Print_Titles_7_1" localSheetId="3">#REF!</definedName>
    <definedName name="Excel_BuiltIn_Print_Titles_7_1">#REF!</definedName>
    <definedName name="Excel_BuiltIn_Print_Titles_7_6" localSheetId="3">#REF!</definedName>
    <definedName name="Excel_BuiltIn_Print_Titles_7_6">#REF!</definedName>
    <definedName name="Excel_BuiltIn_Print_Titles_8" localSheetId="3">#REF!</definedName>
    <definedName name="Excel_BuiltIn_Print_Titles_8">#REF!</definedName>
    <definedName name="Excel_BuiltIn_Print_Titles_8_1" localSheetId="3">#REF!</definedName>
    <definedName name="Excel_BuiltIn_Print_Titles_8_1">#REF!</definedName>
    <definedName name="Excel_BuiltIn_Print_Titles_8_1_1" localSheetId="3">#REF!</definedName>
    <definedName name="Excel_BuiltIn_Print_Titles_8_1_1">#REF!</definedName>
    <definedName name="Excel_BuiltIn_Print_Titles_9" localSheetId="3">#REF!</definedName>
    <definedName name="Excel_BuiltIn_Print_Titles_9">#REF!</definedName>
    <definedName name="Excel_BuiltIn_Print_Titles_9_1" localSheetId="3">#REF!</definedName>
    <definedName name="Excel_BuiltIn_Print_Titles_9_1">#REF!</definedName>
    <definedName name="Expantion" localSheetId="3">#REF!</definedName>
    <definedName name="Expantion">#REF!</definedName>
    <definedName name="EXT" localSheetId="3" hidden="1">#REF!</definedName>
    <definedName name="EXT" hidden="1">#REF!</definedName>
    <definedName name="EXTRA" localSheetId="3">#REF!</definedName>
    <definedName name="EXTRA">#REF!</definedName>
    <definedName name="f" localSheetId="2">#REF!</definedName>
    <definedName name="f" localSheetId="3">#REF!</definedName>
    <definedName name="f">'[35]Upah&amp;Bahan'!$U$1612</definedName>
    <definedName name="F.1" localSheetId="2">#REF!</definedName>
    <definedName name="F.1" localSheetId="3">#REF!</definedName>
    <definedName name="F.1">#REF!</definedName>
    <definedName name="F.10">#N/A</definedName>
    <definedName name="F.10.A">#N/A</definedName>
    <definedName name="F.10.B">#N/A</definedName>
    <definedName name="F.10.C">#N/A</definedName>
    <definedName name="F.10.D">#N/A</definedName>
    <definedName name="F.10.E">#N/A</definedName>
    <definedName name="F.16">#N/A</definedName>
    <definedName name="F.16.A">#N/A</definedName>
    <definedName name="F.1A" localSheetId="2">#REF!</definedName>
    <definedName name="F.1A" localSheetId="3">#REF!</definedName>
    <definedName name="F.1A">#REF!</definedName>
    <definedName name="f.1b">#REF!</definedName>
    <definedName name="F.1c">#REF!</definedName>
    <definedName name="F.1d">#REF!</definedName>
    <definedName name="F.21" localSheetId="2">#REF!</definedName>
    <definedName name="F.21" localSheetId="3">#REF!</definedName>
    <definedName name="F.21">#N/A</definedName>
    <definedName name="F.21.A">#N/A</definedName>
    <definedName name="F.21A" localSheetId="2">#REF!</definedName>
    <definedName name="F.21A" localSheetId="3">#REF!</definedName>
    <definedName name="F.21A">#REF!</definedName>
    <definedName name="F.22" localSheetId="2">#REF!</definedName>
    <definedName name="F.22" localSheetId="3">#REF!</definedName>
    <definedName name="F.22">#N/A</definedName>
    <definedName name="F.22.A">#N/A</definedName>
    <definedName name="F.22a" localSheetId="3">#REF!</definedName>
    <definedName name="F.22a">#REF!</definedName>
    <definedName name="F.22b" localSheetId="3">#REF!</definedName>
    <definedName name="F.22b">#REF!</definedName>
    <definedName name="F.23a" localSheetId="3">#REF!</definedName>
    <definedName name="F.23a">#REF!</definedName>
    <definedName name="F.23b" localSheetId="3">#REF!</definedName>
    <definedName name="F.23b">#REF!</definedName>
    <definedName name="F.26">#REF!</definedName>
    <definedName name="F.27" localSheetId="2">#REF!</definedName>
    <definedName name="F.27" localSheetId="3">#REF!</definedName>
    <definedName name="F.27">#N/A</definedName>
    <definedName name="F.27.A">#N/A</definedName>
    <definedName name="F.27a">[10]ANALISA!#REF!</definedName>
    <definedName name="F.30">#N/A</definedName>
    <definedName name="F.30.A">#N/A</definedName>
    <definedName name="F.33">#N/A</definedName>
    <definedName name="F.33.A">#N/A</definedName>
    <definedName name="F.33.B">#N/A</definedName>
    <definedName name="F.33.C">#N/A</definedName>
    <definedName name="F.33.D">#N/A</definedName>
    <definedName name="F.33a" localSheetId="2">#REF!</definedName>
    <definedName name="F.33a" localSheetId="3">#REF!</definedName>
    <definedName name="F.33A" localSheetId="11">[8]Anl!#REF!</definedName>
    <definedName name="F.33A">[8]Anl!#REF!</definedName>
    <definedName name="F.33b">#REF!</definedName>
    <definedName name="F.33c">#REF!</definedName>
    <definedName name="F.33D" localSheetId="2">#REF!</definedName>
    <definedName name="F.33D" localSheetId="3">#REF!</definedName>
    <definedName name="F.33D" localSheetId="11">#REF!</definedName>
    <definedName name="F.33D">#REF!</definedName>
    <definedName name="F.34" localSheetId="2">#REF!</definedName>
    <definedName name="F.34" localSheetId="3">#REF!</definedName>
    <definedName name="F.34">#N/A</definedName>
    <definedName name="F.34.A">#N/A</definedName>
    <definedName name="F.36" localSheetId="2">#N/A</definedName>
    <definedName name="F.36" localSheetId="3">#N/A</definedName>
    <definedName name="F.36">#N/A</definedName>
    <definedName name="F.36.A">#N/A</definedName>
    <definedName name="F.36a" localSheetId="3">#REF!</definedName>
    <definedName name="F.36a">#REF!</definedName>
    <definedName name="F.36d" localSheetId="3">#REF!</definedName>
    <definedName name="F.36d">#REF!</definedName>
    <definedName name="F.36f" localSheetId="3">#REF!</definedName>
    <definedName name="F.36f">#REF!</definedName>
    <definedName name="F.37">#N/A</definedName>
    <definedName name="F.37.A">#N/A</definedName>
    <definedName name="F.37.B">#N/A</definedName>
    <definedName name="F.37A">[10]ANALISA!#REF!</definedName>
    <definedName name="F.60">[10]ANALISA!#REF!</definedName>
    <definedName name="F.6A" localSheetId="2">#REF!</definedName>
    <definedName name="F.6A" localSheetId="3">#REF!</definedName>
    <definedName name="F.6A">#REF!</definedName>
    <definedName name="F.8" localSheetId="2">#REF!</definedName>
    <definedName name="F.8" localSheetId="3">#REF!</definedName>
    <definedName name="F.8">#N/A</definedName>
    <definedName name="F.8.1" localSheetId="2">[15]Anl!#REF!</definedName>
    <definedName name="F.8.1" localSheetId="3">[15]Anl!#REF!</definedName>
    <definedName name="F.8.1" localSheetId="11">[8]Anl!#REF!</definedName>
    <definedName name="F.8.1">[8]Anl!#REF!</definedName>
    <definedName name="F.8.2" localSheetId="2">[15]Anl!#REF!</definedName>
    <definedName name="F.8.2" localSheetId="3">[15]Anl!#REF!</definedName>
    <definedName name="F.8.2">[8]Anl!#REF!</definedName>
    <definedName name="F.8A" localSheetId="2">#REF!</definedName>
    <definedName name="F.8A" localSheetId="3">#REF!</definedName>
    <definedName name="F.8A" localSheetId="11">#REF!</definedName>
    <definedName name="F.8A">#REF!</definedName>
    <definedName name="f.drain" localSheetId="3">#REF!</definedName>
    <definedName name="f.drain">#REF!</definedName>
    <definedName name="F.x1" localSheetId="3">#REF!</definedName>
    <definedName name="F.x1">#REF!</definedName>
    <definedName name="F.x2" localSheetId="3">#REF!</definedName>
    <definedName name="F.x2">#REF!</definedName>
    <definedName name="F_1" localSheetId="3">#REF!</definedName>
    <definedName name="F_1">#REF!</definedName>
    <definedName name="F_10" localSheetId="3">#REF!</definedName>
    <definedName name="F_10">#REF!</definedName>
    <definedName name="F_11" localSheetId="3">#REF!</definedName>
    <definedName name="F_11">#REF!</definedName>
    <definedName name="F_12" localSheetId="3">#REF!</definedName>
    <definedName name="F_12">#REF!</definedName>
    <definedName name="F_13" localSheetId="3">#REF!</definedName>
    <definedName name="F_13">#REF!</definedName>
    <definedName name="F_2" localSheetId="3">#REF!</definedName>
    <definedName name="F_2">#REF!</definedName>
    <definedName name="F_21">[24]Analisa!$L$55</definedName>
    <definedName name="F_22">[24]Analisa!$L$68</definedName>
    <definedName name="F_3" localSheetId="3">#REF!</definedName>
    <definedName name="F_3">#REF!</definedName>
    <definedName name="F_34A">[24]Analisa!$L$111</definedName>
    <definedName name="F_4" localSheetId="3">#REF!</definedName>
    <definedName name="F_4">#REF!</definedName>
    <definedName name="F_5" localSheetId="3">#REF!</definedName>
    <definedName name="F_5">#REF!</definedName>
    <definedName name="f_6" localSheetId="3">#REF!</definedName>
    <definedName name="f_6">#REF!</definedName>
    <definedName name="F_60">[24]Analisa!$L$123</definedName>
    <definedName name="F_7" localSheetId="3">#REF!</definedName>
    <definedName name="F_7">#REF!</definedName>
    <definedName name="F_8" localSheetId="3">#REF!</definedName>
    <definedName name="F_8">#REF!</definedName>
    <definedName name="F_9" localSheetId="3">#REF!</definedName>
    <definedName name="F_9">#REF!</definedName>
    <definedName name="faab" localSheetId="3">#REF!</definedName>
    <definedName name="faab">#REF!</definedName>
    <definedName name="FAC">#REF!</definedName>
    <definedName name="facm" localSheetId="3">#REF!</definedName>
    <definedName name="facm">#REF!</definedName>
    <definedName name="facp" localSheetId="3">#REF!</definedName>
    <definedName name="facp">#REF!</definedName>
    <definedName name="faeol" localSheetId="3">#REF!</definedName>
    <definedName name="faeol">#REF!</definedName>
    <definedName name="fahd" localSheetId="3">#REF!</definedName>
    <definedName name="fahd">#REF!</definedName>
    <definedName name="fahdt" localSheetId="3">#REF!</definedName>
    <definedName name="fahdt">#REF!</definedName>
    <definedName name="fahs" localSheetId="3">#REF!</definedName>
    <definedName name="fahs">#REF!</definedName>
    <definedName name="fail" localSheetId="3">#REF!</definedName>
    <definedName name="fail">#REF!</definedName>
    <definedName name="faitc" localSheetId="3">#REF!</definedName>
    <definedName name="faitc">#REF!</definedName>
    <definedName name="Fak.bend" localSheetId="3">#REF!</definedName>
    <definedName name="Fak.bend">#REF!</definedName>
    <definedName name="Fak.hook" localSheetId="3">#REF!</definedName>
    <definedName name="Fak.hook">#REF!</definedName>
    <definedName name="Fak.Ovrlp" localSheetId="3">#REF!</definedName>
    <definedName name="Fak.Ovrlp">#REF!</definedName>
    <definedName name="Fak.Waste.atas" localSheetId="3">#REF!</definedName>
    <definedName name="Fak.Waste.atas">#REF!</definedName>
    <definedName name="Fak.Waste.bwh" localSheetId="3">#REF!</definedName>
    <definedName name="Fak.Waste.bwh">#REF!</definedName>
    <definedName name="faki" localSheetId="3">#REF!</definedName>
    <definedName name="faki">#REF!</definedName>
    <definedName name="faktd" localSheetId="3">#REF!</definedName>
    <definedName name="faktd">#REF!</definedName>
    <definedName name="fam" localSheetId="3">#REF!</definedName>
    <definedName name="fam">#REF!</definedName>
    <definedName name="famcp" localSheetId="3">#REF!</definedName>
    <definedName name="famcp">#REF!</definedName>
    <definedName name="faoi" localSheetId="3">#REF!</definedName>
    <definedName name="faoi">#REF!</definedName>
    <definedName name="far" localSheetId="3">#REF!</definedName>
    <definedName name="far">#REF!</definedName>
    <definedName name="fasd" localSheetId="3">#REF!</definedName>
    <definedName name="fasd">#REF!</definedName>
    <definedName name="fasdt" localSheetId="3">#REF!</definedName>
    <definedName name="fasdt">#REF!</definedName>
    <definedName name="fat" localSheetId="3">#REF!</definedName>
    <definedName name="fat">#REF!</definedName>
    <definedName name="fatimah">'[35]Upah&amp;Bahan'!$C$43</definedName>
    <definedName name="FAWEFAWEE" localSheetId="2" hidden="1">#REF!</definedName>
    <definedName name="FAWEFAWEE" localSheetId="3" hidden="1">#REF!</definedName>
    <definedName name="FAWEFAWEE" hidden="1">#REF!</definedName>
    <definedName name="Fax" localSheetId="3">#REF!</definedName>
    <definedName name="Fax">#REF!</definedName>
    <definedName name="fc\PR.1ramp" localSheetId="3">#REF!</definedName>
    <definedName name="fc\PR.1ramp">#REF!</definedName>
    <definedName name="fc\tp.1gwt" localSheetId="3">#REF!</definedName>
    <definedName name="fc\tp.1gwt">#REF!</definedName>
    <definedName name="fc\tp.2gwt" localSheetId="3">#REF!</definedName>
    <definedName name="fc\tp.2gwt">#REF!</definedName>
    <definedName name="fc\tp.3gwt" localSheetId="3">#REF!</definedName>
    <definedName name="fc\tp.3gwt">#REF!</definedName>
    <definedName name="fc\tp.4gwt" localSheetId="3">#REF!</definedName>
    <definedName name="fc\tp.4gwt">#REF!</definedName>
    <definedName name="fc\tp1.selasar" localSheetId="3">#REF!</definedName>
    <definedName name="fc\tp1.selasar">#REF!</definedName>
    <definedName name="fc\tp2.selasar" localSheetId="3">#REF!</definedName>
    <definedName name="fc\tp2.selasar">#REF!</definedName>
    <definedName name="fc2b" localSheetId="3">#REF!</definedName>
    <definedName name="fc2b">#REF!</definedName>
    <definedName name="fc3a" localSheetId="3">#REF!</definedName>
    <definedName name="fc3a">#REF!</definedName>
    <definedName name="fc3b" localSheetId="3">#REF!</definedName>
    <definedName name="fc3b">#REF!</definedName>
    <definedName name="fc4a" localSheetId="3">#REF!</definedName>
    <definedName name="fc4a">#REF!</definedName>
    <definedName name="FCode" localSheetId="3" hidden="1">#REF!</definedName>
    <definedName name="FCode" hidden="1">#REF!</definedName>
    <definedName name="fd" localSheetId="3">#REF!</definedName>
    <definedName name="fd">#REF!</definedName>
    <definedName name="fdr" localSheetId="3">#REF!</definedName>
    <definedName name="fdr">#REF!</definedName>
    <definedName name="feco25" localSheetId="3">#REF!</definedName>
    <definedName name="feco25">#REF!</definedName>
    <definedName name="fedc2" localSheetId="3">#REF!</definedName>
    <definedName name="fedc2">#REF!</definedName>
    <definedName name="fedc35" localSheetId="3">#REF!</definedName>
    <definedName name="fedc35">#REF!</definedName>
    <definedName name="FEE" localSheetId="3">#REF!</definedName>
    <definedName name="FEE">#REF!</definedName>
    <definedName name="ferro">[39]Analisis!#REF!</definedName>
    <definedName name="FEX" localSheetId="3">#REF!</definedName>
    <definedName name="FEX">#REF!</definedName>
    <definedName name="ff" localSheetId="3">#REF!</definedName>
    <definedName name="ff">#REF!</definedName>
    <definedName name="ffff">[14]BPS!#REF!</definedName>
    <definedName name="fffff" localSheetId="3">#REF!</definedName>
    <definedName name="fffff">#REF!</definedName>
    <definedName name="FFX" localSheetId="3">#REF!</definedName>
    <definedName name="FFX">#REF!</definedName>
    <definedName name="FG" localSheetId="3">#REF!</definedName>
    <definedName name="FG">#REF!</definedName>
    <definedName name="FGHDSFGHSFD" localSheetId="2" hidden="1">[37]TJ1Q47!$N$7:$N$31</definedName>
    <definedName name="FGHDSFGHSFD" localSheetId="3" hidden="1">[37]TJ1Q47!$N$7:$N$31</definedName>
    <definedName name="FGHFDGH" localSheetId="2" hidden="1">[37]TJ1Q47!$H$7:$H$31</definedName>
    <definedName name="FGHFDGH" localSheetId="3" hidden="1">[37]TJ1Q47!$H$7:$H$31</definedName>
    <definedName name="FGHFHGJFG" localSheetId="2" hidden="1">[6]TJ1Q47!$G$7:$G$31</definedName>
    <definedName name="FGHFHGJFG" localSheetId="3" hidden="1">[6]TJ1Q47!$G$7:$G$31</definedName>
    <definedName name="fghhh" localSheetId="2" hidden="1">{"'Sheet1'!$A$1"}</definedName>
    <definedName name="fghhh" localSheetId="3" hidden="1">{"'Sheet1'!$A$1"}</definedName>
    <definedName name="fghhh" hidden="1">{"'Sheet1'!$A$1"}</definedName>
    <definedName name="fgjf" localSheetId="2" hidden="1">{"'Sheet1'!$A$1"}</definedName>
    <definedName name="fgjf" localSheetId="3" hidden="1">{"'Sheet1'!$A$1"}</definedName>
    <definedName name="fgjf" hidden="1">{"'Sheet1'!$A$1"}</definedName>
    <definedName name="fgjfj" localSheetId="2" hidden="1">{"'Sheet1'!$A$1"}</definedName>
    <definedName name="fgjfj" localSheetId="3" hidden="1">{"'Sheet1'!$A$1"}</definedName>
    <definedName name="fgjfj" hidden="1">{"'Sheet1'!$A$1"}</definedName>
    <definedName name="FGX">#REF!</definedName>
    <definedName name="fhhh" localSheetId="2" hidden="1">{"'Sheet1'!$A$1"}</definedName>
    <definedName name="fhhh" localSheetId="3" hidden="1">{"'Sheet1'!$A$1"}</definedName>
    <definedName name="fhhh" hidden="1">{"'Sheet1'!$A$1"}</definedName>
    <definedName name="FHX">#REF!</definedName>
    <definedName name="Fibermesh">[36]cover!#REF!</definedName>
    <definedName name="filler">#REF!</definedName>
    <definedName name="fillerlatasir">#REF!</definedName>
    <definedName name="FILLL" localSheetId="3" hidden="1">#REF!</definedName>
    <definedName name="FILLL" hidden="1">#REF!</definedName>
    <definedName name="filter_aquarium" localSheetId="3">#REF!</definedName>
    <definedName name="filter_aquarium">#REF!</definedName>
    <definedName name="finalisasi">#N/A</definedName>
    <definedName name="FINISHER" localSheetId="2">#REF!</definedName>
    <definedName name="FINISHER" localSheetId="3">#REF!</definedName>
    <definedName name="FINISHER" localSheetId="11">#REF!</definedName>
    <definedName name="FINISHER">#REF!</definedName>
    <definedName name="FIRST_FLOOR" localSheetId="3">#REF!</definedName>
    <definedName name="FIRST_FLOOR">#REF!</definedName>
    <definedName name="fit" localSheetId="3">#REF!</definedName>
    <definedName name="fit">#REF!</definedName>
    <definedName name="fit100l" localSheetId="3">#REF!</definedName>
    <definedName name="fit100l">#REF!</definedName>
    <definedName name="FixedshowerTX422S" localSheetId="3">#REF!</definedName>
    <definedName name="FixedshowerTX422S">#REF!</definedName>
    <definedName name="fjkk" localSheetId="2" hidden="1">{"'Sheet1'!$A$1"}</definedName>
    <definedName name="fjkk" localSheetId="3" hidden="1">{"'Sheet1'!$A$1"}</definedName>
    <definedName name="fjkk" hidden="1">{"'Sheet1'!$A$1"}</definedName>
    <definedName name="fjr" localSheetId="2" hidden="1">{"'Sheet1'!$A$1"}</definedName>
    <definedName name="fjr" localSheetId="3" hidden="1">{"'Sheet1'!$A$1"}</definedName>
    <definedName name="fjr" hidden="1">{"'Sheet1'!$A$1"}</definedName>
    <definedName name="fjt" localSheetId="2" hidden="1">{"'Sheet1'!$A$1"}</definedName>
    <definedName name="fjt" localSheetId="3" hidden="1">{"'Sheet1'!$A$1"}</definedName>
    <definedName name="fjt" hidden="1">{"'Sheet1'!$A$1"}</definedName>
    <definedName name="FJX">#REF!</definedName>
    <definedName name="fkx" localSheetId="3">#REF!</definedName>
    <definedName name="fkx">#REF!</definedName>
    <definedName name="FLATBEDTRUCK" localSheetId="2">#REF!</definedName>
    <definedName name="FLATBEDTRUCK" localSheetId="3">#REF!</definedName>
    <definedName name="FLATBEDTRUCK">#REF!</definedName>
    <definedName name="FLENS_PVC4">[54]BAHAN!$L$33</definedName>
    <definedName name="flens4">[10]BAHAN!#REF!</definedName>
    <definedName name="flmh400" localSheetId="3">#REF!</definedName>
    <definedName name="flmh400">#REF!</definedName>
    <definedName name="floor_deck" localSheetId="3">#REF!</definedName>
    <definedName name="floor_deck">#REF!</definedName>
    <definedName name="Floor_drain_plastik_biasa" localSheetId="3">#REF!</definedName>
    <definedName name="Floor_drain_plastik_biasa">#REF!</definedName>
    <definedName name="floordrain" localSheetId="3">#REF!</definedName>
    <definedName name="FLOORDRAIN">#REF!</definedName>
    <definedName name="FloordrainTX1B" localSheetId="3">#REF!</definedName>
    <definedName name="FloordrainTX1B">#REF!</definedName>
    <definedName name="floorhardener" localSheetId="3">#REF!</definedName>
    <definedName name="floorhardener">#REF!</definedName>
    <definedName name="Floorhardener3kg">'[38]Analisa Harga Satuan'!$G$1459</definedName>
    <definedName name="floorhardenernatural" localSheetId="3">#REF!</definedName>
    <definedName name="floorhardenernatural">#REF!</definedName>
    <definedName name="floorhardenerwarna" localSheetId="3">#REF!</definedName>
    <definedName name="floorhardenerwarna">#REF!</definedName>
    <definedName name="floorhardinernatural" localSheetId="3">#REF!</definedName>
    <definedName name="floorhardinernatural">#REF!</definedName>
    <definedName name="FLR" localSheetId="3">#REF!</definedName>
    <definedName name="FLR">#REF!</definedName>
    <definedName name="flushbolt" localSheetId="3">#REF!</definedName>
    <definedName name="flushbolt">#REF!</definedName>
    <definedName name="flx" localSheetId="3">#REF!</definedName>
    <definedName name="flx">#REF!</definedName>
    <definedName name="FO" localSheetId="3">#REF!</definedName>
    <definedName name="FO">#REF!</definedName>
    <definedName name="foil" localSheetId="3">#REF!</definedName>
    <definedName name="foil">#REF!</definedName>
    <definedName name="FOR" localSheetId="3">#REF!</definedName>
    <definedName name="FOR">#REF!</definedName>
    <definedName name="form" localSheetId="3">#REF!</definedName>
    <definedName name="form">#REF!</definedName>
    <definedName name="FORM1011">#REF!</definedName>
    <definedName name="FORM1012">#REF!</definedName>
    <definedName name="FORM1013" localSheetId="3">#REF!</definedName>
    <definedName name="FORM1013">#REF!</definedName>
    <definedName name="FORM1014">#REF!</definedName>
    <definedName name="FORM1015">#REF!</definedName>
    <definedName name="FORM21" localSheetId="2">#REF!</definedName>
    <definedName name="FORM21" localSheetId="3">#REF!</definedName>
    <definedName name="FORM21">'[55]3-DIV2'!$L$1:$V$61</definedName>
    <definedName name="FORM22E" localSheetId="2">#REF!</definedName>
    <definedName name="FORM22E" localSheetId="3">#REF!</definedName>
    <definedName name="FORM22E">'[55]3-DIV2'!#REF!</definedName>
    <definedName name="FORM22L" localSheetId="2">#REF!</definedName>
    <definedName name="FORM22L" localSheetId="3">#REF!</definedName>
    <definedName name="FORM22L">'[55]3-DIV2'!$L$121:$V$121</definedName>
    <definedName name="FORM231" localSheetId="2">#REF!</definedName>
    <definedName name="FORM231" localSheetId="3">#REF!</definedName>
    <definedName name="FORM231">'[55]3-DIV2'!$L$123:$V$183</definedName>
    <definedName name="FORM232" localSheetId="2">#REF!</definedName>
    <definedName name="FORM232" localSheetId="3">#REF!</definedName>
    <definedName name="FORM232">'[55]3-DIV2'!$L$243:$V$303</definedName>
    <definedName name="FORM233" localSheetId="2">#REF!</definedName>
    <definedName name="FORM233" localSheetId="3">#REF!</definedName>
    <definedName name="FORM233">'[55]3-DIV2'!$L$363:$V$423</definedName>
    <definedName name="Form234" localSheetId="2">#REF!</definedName>
    <definedName name="Form234" localSheetId="3">#REF!</definedName>
    <definedName name="Form234">'[55]3-DIV2'!$L$483:$V$543</definedName>
    <definedName name="FORM234L" localSheetId="3">#REF!</definedName>
    <definedName name="FORM234L">#REF!</definedName>
    <definedName name="Form235" localSheetId="2">#REF!</definedName>
    <definedName name="Form235" localSheetId="3">#REF!</definedName>
    <definedName name="Form235">'[55]3-DIV2'!$L$603:$V$663</definedName>
    <definedName name="Form236" localSheetId="2">#REF!</definedName>
    <definedName name="Form236" localSheetId="3">#REF!</definedName>
    <definedName name="Form236">'[55]3-DIV2'!$L$854:$V$914</definedName>
    <definedName name="FORM241" localSheetId="2">#REF!</definedName>
    <definedName name="FORM241" localSheetId="3">#REF!</definedName>
    <definedName name="FORM241">'[55]3-DIV2'!#REF!</definedName>
    <definedName name="FORM242" localSheetId="2">#REF!</definedName>
    <definedName name="FORM242" localSheetId="3">#REF!</definedName>
    <definedName name="FORM242">'[55]3-DIV2'!$L$978:$V$1038</definedName>
    <definedName name="FORM243" localSheetId="2">#REF!</definedName>
    <definedName name="FORM243" localSheetId="3">#REF!</definedName>
    <definedName name="FORM243">'[55]3-DIV2'!$L$1039:$V$1100</definedName>
    <definedName name="FORM311" localSheetId="2">#REF!</definedName>
    <definedName name="FORM311" localSheetId="3">#REF!</definedName>
    <definedName name="FORM311">'[56]3-DIV3'!$L$1:$V$61</definedName>
    <definedName name="FORM312" localSheetId="2">#REF!</definedName>
    <definedName name="FORM312" localSheetId="3">#REF!</definedName>
    <definedName name="FORM312">'[56]3-DIV3'!$L$121:$V$181</definedName>
    <definedName name="FORM313" localSheetId="2">#REF!</definedName>
    <definedName name="FORM313" localSheetId="3">#REF!</definedName>
    <definedName name="FORM313">'[56]3-DIV3'!$L$255:$V$315</definedName>
    <definedName name="FORM314" localSheetId="2">#REF!</definedName>
    <definedName name="FORM314" localSheetId="3">#REF!</definedName>
    <definedName name="FORM314">'[56]3-DIV3'!$L$375:$V$435</definedName>
    <definedName name="FORM315" localSheetId="2">#REF!</definedName>
    <definedName name="FORM315" localSheetId="3">#REF!</definedName>
    <definedName name="FORM315">'[56]3-DIV3'!$L$1766:$V$1826</definedName>
    <definedName name="FORM316">'[27]Div 3'!#REF!</definedName>
    <definedName name="FORM319" localSheetId="2">'[57]3-DIV3'!$L$1886:$V$1946</definedName>
    <definedName name="FORM319" localSheetId="3">'[57]3-DIV3'!$L$1886:$V$1946</definedName>
    <definedName name="FORM319">'[56]3-DIV3'!$L$1886:$V$1946</definedName>
    <definedName name="FORM321" localSheetId="2">#REF!</definedName>
    <definedName name="FORM321" localSheetId="3">#REF!</definedName>
    <definedName name="FORM321">'[27]Div 3'!$M$150:$W$207</definedName>
    <definedName name="FORM322" localSheetId="2">#REF!</definedName>
    <definedName name="FORM322" localSheetId="3">#REF!</definedName>
    <definedName name="FORM322">'[56]3-DIV3'!$L$1947:$V$2007</definedName>
    <definedName name="FORM323" localSheetId="2">#REF!</definedName>
    <definedName name="FORM323" localSheetId="3">#REF!</definedName>
    <definedName name="FORM323">'[56]3-DIV3'!$L$2126:$V$2186</definedName>
    <definedName name="FORM323L" localSheetId="2">#REF!</definedName>
    <definedName name="FORM323L" localSheetId="3">#REF!</definedName>
    <definedName name="FORM323L">#REF!</definedName>
    <definedName name="FORM324" localSheetId="2">'[57]3-DIV3'!$L$2305:$V$2365</definedName>
    <definedName name="FORM324" localSheetId="3">'[57]3-DIV3'!$L$2305:$V$2365</definedName>
    <definedName name="FORM324">'[56]3-DIV3'!$L$2305:$V$2365</definedName>
    <definedName name="FORM33" localSheetId="2">#REF!</definedName>
    <definedName name="FORM33" localSheetId="3">#REF!</definedName>
    <definedName name="FORM33">'[48]G&amp;T'!#REF!</definedName>
    <definedName name="FORM331" localSheetId="2">#REF!</definedName>
    <definedName name="FORM331" localSheetId="3">#REF!</definedName>
    <definedName name="FORM331">'[56]3-DIV3'!$L$2427:$V$2487</definedName>
    <definedName name="FORM346" localSheetId="2">#REF!</definedName>
    <definedName name="FORM346" localSheetId="3">#REF!</definedName>
    <definedName name="FORM346">'[56]3-DIV3'!$L$2547:$V$2607</definedName>
    <definedName name="FORM421" localSheetId="2">#REF!</definedName>
    <definedName name="FORM421" localSheetId="3">#REF!</definedName>
    <definedName name="FORM421">'[58]3-DIV4'!$L$1:$V$61</definedName>
    <definedName name="FORM422" localSheetId="2">#REF!</definedName>
    <definedName name="FORM422" localSheetId="3">#REF!</definedName>
    <definedName name="FORM422">'[58]3-DIV4'!$L$180:$V$240</definedName>
    <definedName name="FORM423" localSheetId="2">#REF!</definedName>
    <definedName name="FORM423" localSheetId="3">#REF!</definedName>
    <definedName name="FORM423">'[58]3-DIV4'!$L$479:$V$539</definedName>
    <definedName name="FORM424" localSheetId="2">#REF!</definedName>
    <definedName name="FORM424" localSheetId="3">#REF!</definedName>
    <definedName name="FORM424">'[58]3-DIV4'!$L$359:$V$419</definedName>
    <definedName name="FORM425" localSheetId="2">#REF!</definedName>
    <definedName name="FORM425" localSheetId="3">#REF!</definedName>
    <definedName name="FORM425">'[58]3-DIV4'!$L$718:$V$778</definedName>
    <definedName name="FORM426" localSheetId="2">#REF!</definedName>
    <definedName name="FORM426" localSheetId="3">#REF!</definedName>
    <definedName name="FORM426">'[58]3-DIV4'!$L$897:$V$957</definedName>
    <definedName name="FORM427" localSheetId="2">#REF!</definedName>
    <definedName name="FORM427" localSheetId="3">#REF!</definedName>
    <definedName name="FORM427">'[58]3-DIV4'!$L$1017:$V$1077</definedName>
    <definedName name="FORM511" localSheetId="2">'[59]3-DIV5'!$L$1:$V$61</definedName>
    <definedName name="FORM511" localSheetId="3">'[59]3-DIV5'!$L$1:$V$61</definedName>
    <definedName name="FORM511">'[60]3-DIV5'!$L$1:$V$61</definedName>
    <definedName name="FORM512" localSheetId="2">'[59]3-DIV5'!$L$180:$V$240</definedName>
    <definedName name="FORM512" localSheetId="3">'[59]3-DIV5'!$L$180:$V$240</definedName>
    <definedName name="FORM512">'[60]3-DIV5'!$L$180:$V$240</definedName>
    <definedName name="FORM521" localSheetId="2">'[59]3-DIV5'!$L$359:$V$419</definedName>
    <definedName name="FORM521" localSheetId="3">'[59]3-DIV5'!$L$359:$V$419</definedName>
    <definedName name="FORM521">'[60]3-DIV5'!$L$359:$V$419</definedName>
    <definedName name="FORM522" localSheetId="2">'[59]3-DIV5'!$L$3075:$V$3135</definedName>
    <definedName name="FORM522" localSheetId="3">'[59]3-DIV5'!$L$3075:$V$3135</definedName>
    <definedName name="FORM522">'[60]3-DIV5'!$L$3075:$V$3135</definedName>
    <definedName name="FORM541" localSheetId="2">'[59]3-DIV5'!$L$3254:$V$3314</definedName>
    <definedName name="FORM541" localSheetId="3">'[59]3-DIV5'!$L$3254:$V$3314</definedName>
    <definedName name="FORM541">'[60]3-DIV5'!$L$3254:$V$3314</definedName>
    <definedName name="FORM542" localSheetId="2">'[59]3-DIV5'!$L$3374:$V$3434</definedName>
    <definedName name="FORM542" localSheetId="3">'[59]3-DIV5'!$L$3374:$V$3434</definedName>
    <definedName name="FORM542">'[60]3-DIV5'!$L$3374:$V$3434</definedName>
    <definedName name="FORM55s" localSheetId="2">[48]Lapis!#REF!</definedName>
    <definedName name="FORM55s" localSheetId="3">[48]Lapis!#REF!</definedName>
    <definedName name="FORM55s">[48]Lapis!#REF!</definedName>
    <definedName name="FORM611" localSheetId="2">#REF!</definedName>
    <definedName name="FORM611" localSheetId="3">#REF!</definedName>
    <definedName name="FORM611">#REF!</definedName>
    <definedName name="FORM612" localSheetId="2">#REF!</definedName>
    <definedName name="FORM612" localSheetId="3">#REF!</definedName>
    <definedName name="FORM612">#REF!</definedName>
    <definedName name="FORM621" localSheetId="2">#REF!</definedName>
    <definedName name="FORM621" localSheetId="3">#REF!</definedName>
    <definedName name="FORM621">#REF!</definedName>
    <definedName name="FORM622" localSheetId="3">#REF!</definedName>
    <definedName name="FORM622">#REF!</definedName>
    <definedName name="FORM623" localSheetId="3">#REF!</definedName>
    <definedName name="FORM623">#REF!</definedName>
    <definedName name="FORM624" localSheetId="2">#REF!</definedName>
    <definedName name="FORM624" localSheetId="3">#REF!</definedName>
    <definedName name="FORM624">[61]ATB!#REF!</definedName>
    <definedName name="FORM631" localSheetId="2">#REF!</definedName>
    <definedName name="FORM631" localSheetId="3">#REF!</definedName>
    <definedName name="FORM631">#REF!</definedName>
    <definedName name="FORM632" localSheetId="2">#REF!</definedName>
    <definedName name="FORM632" localSheetId="3">#REF!</definedName>
    <definedName name="FORM632">#REF!</definedName>
    <definedName name="FORM633" localSheetId="2">#REF!</definedName>
    <definedName name="FORM633" localSheetId="3">#REF!</definedName>
    <definedName name="FORM633">#REF!</definedName>
    <definedName name="FORM634" localSheetId="3">#REF!</definedName>
    <definedName name="FORM634">#REF!</definedName>
    <definedName name="FORM635" localSheetId="3">#REF!</definedName>
    <definedName name="FORM635">#REF!</definedName>
    <definedName name="FORM635A" localSheetId="3">#REF!</definedName>
    <definedName name="FORM635A">#REF!</definedName>
    <definedName name="FORM636">#REF!</definedName>
    <definedName name="FORM637">#REF!</definedName>
    <definedName name="FORM641L" localSheetId="3">#REF!</definedName>
    <definedName name="FORM641L">#REF!</definedName>
    <definedName name="FORM642" localSheetId="3">#REF!</definedName>
    <definedName name="FORM642">#REF!</definedName>
    <definedName name="FORM65">#REF!</definedName>
    <definedName name="FORM651" localSheetId="2">#REF!</definedName>
    <definedName name="FORM651" localSheetId="3">#REF!</definedName>
    <definedName name="FORM651">[61]ATB!#REF!</definedName>
    <definedName name="FORM661" localSheetId="2">#REF!</definedName>
    <definedName name="FORM661" localSheetId="3">#REF!</definedName>
    <definedName name="FORM661">[61]ATB!#REF!</definedName>
    <definedName name="FORM662" localSheetId="2">#REF!</definedName>
    <definedName name="FORM662" localSheetId="3">#REF!</definedName>
    <definedName name="FORM662">[61]ATB!#REF!</definedName>
    <definedName name="FORM66PERATA" localSheetId="2">#REF!</definedName>
    <definedName name="FORM66PERATA" localSheetId="3">#REF!</definedName>
    <definedName name="FORM66PERATA">#REF!</definedName>
    <definedName name="FORM66PERMUKAAN" localSheetId="2">#REF!</definedName>
    <definedName name="FORM66PERMUKAAN" localSheetId="3">#REF!</definedName>
    <definedName name="FORM66PERMUKAAN">#REF!</definedName>
    <definedName name="FORM7101" localSheetId="2">#REF!</definedName>
    <definedName name="FORM7101" localSheetId="3">#REF!</definedName>
    <definedName name="FORM7101">#REF!</definedName>
    <definedName name="FORM7102" localSheetId="3">#REF!</definedName>
    <definedName name="FORM7102">#REF!</definedName>
    <definedName name="FORM7103" localSheetId="3">#REF!</definedName>
    <definedName name="FORM7103">#REF!</definedName>
    <definedName name="FORM711" localSheetId="3">#REF!</definedName>
    <definedName name="FORM711">#REF!</definedName>
    <definedName name="FORM712" localSheetId="3">#REF!</definedName>
    <definedName name="FORM712">#REF!</definedName>
    <definedName name="FORM713" localSheetId="3">#REF!</definedName>
    <definedName name="FORM713">#REF!</definedName>
    <definedName name="FORM714" localSheetId="3">#REF!</definedName>
    <definedName name="FORM714">#REF!</definedName>
    <definedName name="FORM715" localSheetId="3">#REF!</definedName>
    <definedName name="FORM715">#REF!</definedName>
    <definedName name="FORM716" localSheetId="3">#REF!</definedName>
    <definedName name="FORM716">#REF!</definedName>
    <definedName name="FORM717" localSheetId="3">#REF!</definedName>
    <definedName name="FORM717">#REF!</definedName>
    <definedName name="FORM718" localSheetId="3">#REF!</definedName>
    <definedName name="FORM718">#REF!</definedName>
    <definedName name="FORM721">#REF!</definedName>
    <definedName name="FORM731">#REF!</definedName>
    <definedName name="FORM732">#REF!</definedName>
    <definedName name="FORM733">#REF!</definedName>
    <definedName name="FORM734">#REF!</definedName>
    <definedName name="FORM735">#REF!</definedName>
    <definedName name="FORM73PL" localSheetId="2">#REF!</definedName>
    <definedName name="FORM73PL" localSheetId="3">#REF!</definedName>
    <definedName name="FORM73PL">'[27]Div 7'!#REF!</definedName>
    <definedName name="FORM73UL" localSheetId="2">#REF!</definedName>
    <definedName name="FORM73UL" localSheetId="3">#REF!</definedName>
    <definedName name="FORM73UL">'[27]Div 7'!#REF!</definedName>
    <definedName name="FORM744">#REF!</definedName>
    <definedName name="FORM745">#REF!</definedName>
    <definedName name="FORM751" localSheetId="2">#REF!</definedName>
    <definedName name="FORM751" localSheetId="3">#REF!</definedName>
    <definedName name="FORM751">'[62]K.175 - K.225'!#REF!</definedName>
    <definedName name="FORM752" localSheetId="2">#REF!</definedName>
    <definedName name="FORM752" localSheetId="3">#REF!</definedName>
    <definedName name="FORM752">'[62]K.175 - K.225'!#REF!</definedName>
    <definedName name="FORM753">'[62]K.175 - K.225'!#REF!</definedName>
    <definedName name="FORM7610" localSheetId="2">#REF!</definedName>
    <definedName name="FORM7610" localSheetId="3">#REF!</definedName>
    <definedName name="FORM7610">#REF!</definedName>
    <definedName name="FORM7611" localSheetId="2">#REF!</definedName>
    <definedName name="FORM7611" localSheetId="3">#REF!</definedName>
    <definedName name="FORM7611">'[27]Div 7'!#REF!</definedName>
    <definedName name="FORM7612" localSheetId="2">#REF!</definedName>
    <definedName name="FORM7612" localSheetId="3">#REF!</definedName>
    <definedName name="FORM7612">'[27]Div 7'!#REF!</definedName>
    <definedName name="FORM7612a" localSheetId="2">#REF!</definedName>
    <definedName name="FORM7612a" localSheetId="3">#REF!</definedName>
    <definedName name="FORM7612a">#REF!</definedName>
    <definedName name="FORM7612b" localSheetId="2">#REF!</definedName>
    <definedName name="FORM7612b" localSheetId="3">#REF!</definedName>
    <definedName name="FORM7612b">#REF!</definedName>
    <definedName name="FORM7612c">#REF!</definedName>
    <definedName name="FORM7613" localSheetId="2">#REF!</definedName>
    <definedName name="FORM7613" localSheetId="3">#REF!</definedName>
    <definedName name="FORM7613">'[27]Div 7'!#REF!</definedName>
    <definedName name="FORM7613a">#REF!</definedName>
    <definedName name="FORM7613b">#REF!</definedName>
    <definedName name="FORM7613c">#REF!</definedName>
    <definedName name="FORM7614" localSheetId="2">#REF!</definedName>
    <definedName name="FORM7614" localSheetId="3">#REF!</definedName>
    <definedName name="FORM7614">'[27]Div 7'!#REF!</definedName>
    <definedName name="FORM7614a">#REF!</definedName>
    <definedName name="FORM7614b">#REF!</definedName>
    <definedName name="FORM7614c">#REF!</definedName>
    <definedName name="FORM7614d">#REF!</definedName>
    <definedName name="FORM7614e">#REF!</definedName>
    <definedName name="FORM7615" localSheetId="2">#REF!</definedName>
    <definedName name="FORM7615" localSheetId="3">#REF!</definedName>
    <definedName name="FORM7615">'[27]Div 7'!#REF!</definedName>
    <definedName name="FORM7616" localSheetId="2">#REF!</definedName>
    <definedName name="FORM7616" localSheetId="3">#REF!</definedName>
    <definedName name="FORM7616">'[27]Div 7'!#REF!</definedName>
    <definedName name="FORM7617" localSheetId="2">#REF!</definedName>
    <definedName name="FORM7617" localSheetId="3">#REF!</definedName>
    <definedName name="FORM7617">'[27]Div 7'!#REF!</definedName>
    <definedName name="FORM7618" localSheetId="3">#REF!</definedName>
    <definedName name="FORM7618">#REF!</definedName>
    <definedName name="FORM7619" localSheetId="3">#REF!</definedName>
    <definedName name="FORM7619">#REF!</definedName>
    <definedName name="FORM7620" localSheetId="2">#REF!</definedName>
    <definedName name="FORM7620" localSheetId="3">#REF!</definedName>
    <definedName name="FORM7620">'[27]Div 7'!#REF!</definedName>
    <definedName name="FORM7621" localSheetId="2">#REF!</definedName>
    <definedName name="FORM7621" localSheetId="3">#REF!</definedName>
    <definedName name="FORM7621">'[27]Div 7'!#REF!</definedName>
    <definedName name="FORM7625" localSheetId="2">#REF!</definedName>
    <definedName name="FORM7625" localSheetId="3">#REF!</definedName>
    <definedName name="FORM7625">'[27]Div 7'!#REF!</definedName>
    <definedName name="FORM7626" localSheetId="2">#REF!</definedName>
    <definedName name="FORM7626" localSheetId="3">#REF!</definedName>
    <definedName name="FORM7626">'[27]Div 7'!#REF!</definedName>
    <definedName name="FORM767" localSheetId="2">#REF!</definedName>
    <definedName name="FORM767" localSheetId="3">#REF!</definedName>
    <definedName name="FORM767">'[27]Div 7'!#REF!</definedName>
    <definedName name="FORM768" localSheetId="3">#REF!</definedName>
    <definedName name="FORM768">#REF!</definedName>
    <definedName name="FORM769" localSheetId="3">#REF!</definedName>
    <definedName name="FORM769">#REF!</definedName>
    <definedName name="FORM76X" localSheetId="3">#REF!</definedName>
    <definedName name="FORM76X">#REF!</definedName>
    <definedName name="FORM771" localSheetId="2">#REF!</definedName>
    <definedName name="FORM771" localSheetId="3">#REF!</definedName>
    <definedName name="FORM771">'[27]Div 7'!#REF!</definedName>
    <definedName name="FORM771a">#REF!</definedName>
    <definedName name="FORM771b">#REF!</definedName>
    <definedName name="FORM771c">#REF!</definedName>
    <definedName name="FORM771d">#REF!</definedName>
    <definedName name="FORM772a">#REF!</definedName>
    <definedName name="FORM772b">#REF!</definedName>
    <definedName name="FORM772c">#REF!</definedName>
    <definedName name="FORM772d">#REF!</definedName>
    <definedName name="FORM775" localSheetId="2">#REF!</definedName>
    <definedName name="FORM775" localSheetId="3">#REF!</definedName>
    <definedName name="FORM775">'[27]Div 7'!#REF!</definedName>
    <definedName name="FORM79" localSheetId="2">#REF!</definedName>
    <definedName name="FORM79" localSheetId="3">#REF!</definedName>
    <definedName name="FORM79">'[27]Div 7'!#REF!</definedName>
    <definedName name="FORM79L" localSheetId="2">#REF!</definedName>
    <definedName name="FORM79L" localSheetId="3">#REF!</definedName>
    <definedName name="FORM79L">'[27]Div 7'!$L$11:$V$73</definedName>
    <definedName name="FORM79manual">#REF!</definedName>
    <definedName name="FORM79mekanis">#REF!</definedName>
    <definedName name="FORM811">#REF!</definedName>
    <definedName name="FORM812">#REF!</definedName>
    <definedName name="FORM813">#REF!</definedName>
    <definedName name="FORM814">#REF!</definedName>
    <definedName name="FORM815">#REF!</definedName>
    <definedName name="FORM817" localSheetId="3">#REF!</definedName>
    <definedName name="FORM817">#REF!</definedName>
    <definedName name="FORM818">#REF!</definedName>
    <definedName name="FORM819">#REF!</definedName>
    <definedName name="FORM82">#REF!</definedName>
    <definedName name="FORM83">'[27]Div 8'!#REF!</definedName>
    <definedName name="FORM841">#REF!</definedName>
    <definedName name="FORM8410">#REF!</definedName>
    <definedName name="FORM842">#REF!</definedName>
    <definedName name="FORM844">#REF!</definedName>
    <definedName name="FORM845">#REF!</definedName>
    <definedName name="FORM846">#REF!</definedName>
    <definedName name="FORM847">#REF!</definedName>
    <definedName name="FORM910" localSheetId="3">#REF!</definedName>
    <definedName name="FORM910">#REF!</definedName>
    <definedName name="FORM911" localSheetId="3">#REF!</definedName>
    <definedName name="FORM911">#REF!</definedName>
    <definedName name="FORM912" localSheetId="3">#REF!</definedName>
    <definedName name="FORM912">#REF!</definedName>
    <definedName name="FORM913" localSheetId="3">#REF!</definedName>
    <definedName name="FORM913">#REF!</definedName>
    <definedName name="FORM914" localSheetId="3">#REF!</definedName>
    <definedName name="FORM914">#REF!</definedName>
    <definedName name="FORM915" localSheetId="3">#REF!</definedName>
    <definedName name="FORM915">#REF!</definedName>
    <definedName name="FORM916" localSheetId="3">#REF!</definedName>
    <definedName name="FORM916">#REF!</definedName>
    <definedName name="FORM917" localSheetId="3">#REF!</definedName>
    <definedName name="FORM917">#REF!</definedName>
    <definedName name="FORM918" localSheetId="3">#REF!</definedName>
    <definedName name="FORM918">#REF!</definedName>
    <definedName name="FORM919" localSheetId="3">#REF!</definedName>
    <definedName name="FORM919">#REF!</definedName>
    <definedName name="FORM920" localSheetId="3">#REF!</definedName>
    <definedName name="FORM920">#REF!</definedName>
    <definedName name="FORM94" localSheetId="3">#REF!</definedName>
    <definedName name="FORM94">#REF!</definedName>
    <definedName name="FORM95" localSheetId="3">#REF!</definedName>
    <definedName name="FORM95">#REF!</definedName>
    <definedName name="FORM96" localSheetId="3">#REF!</definedName>
    <definedName name="FORM96">#REF!</definedName>
    <definedName name="FORM97" localSheetId="3">#REF!</definedName>
    <definedName name="FORM97">#REF!</definedName>
    <definedName name="FORM98" localSheetId="3">#REF!</definedName>
    <definedName name="FORM98">#REF!</definedName>
    <definedName name="FORM99" localSheetId="3">#REF!</definedName>
    <definedName name="FORM99">#REF!</definedName>
    <definedName name="FORMGEOTEKSTIL" localSheetId="3">#REF!</definedName>
    <definedName name="FORMGEOTEKSTIL">#REF!</definedName>
    <definedName name="formikakembang" localSheetId="3">#REF!</definedName>
    <definedName name="formikakembang">#REF!</definedName>
    <definedName name="formikapolos" localSheetId="3">#REF!</definedName>
    <definedName name="formikapolos">#REF!</definedName>
    <definedName name="formikaputih" localSheetId="3">#REF!</definedName>
    <definedName name="formikaputih">#REF!</definedName>
    <definedName name="formikawarna" localSheetId="3">#REF!</definedName>
    <definedName name="formikawarna">#REF!</definedName>
    <definedName name="FR" localSheetId="3">#REF!</definedName>
    <definedName name="FR">#REF!</definedName>
    <definedName name="frc42115070" localSheetId="3">#REF!</definedName>
    <definedName name="frc42115070">#REF!</definedName>
    <definedName name="frc4x10" localSheetId="3">#REF!</definedName>
    <definedName name="frc4x10">#REF!</definedName>
    <definedName name="frc4x1x400" localSheetId="3">#REF!</definedName>
    <definedName name="frc4x1x400">#REF!</definedName>
    <definedName name="frc4x25" localSheetId="3">#REF!</definedName>
    <definedName name="frc4x25">#REF!</definedName>
    <definedName name="frc4x300" localSheetId="3">#REF!</definedName>
    <definedName name="frc4x300">#REF!</definedName>
    <definedName name="frc4x35" localSheetId="3">#REF!</definedName>
    <definedName name="frc4x35">#REF!</definedName>
    <definedName name="frc4x95" localSheetId="3">#REF!</definedName>
    <definedName name="frc4x95">#REF!</definedName>
    <definedName name="frc5x4" localSheetId="3">#REF!</definedName>
    <definedName name="frc5x4">#REF!</definedName>
    <definedName name="frc5x6" localSheetId="3">#REF!</definedName>
    <definedName name="frc5x6">#REF!</definedName>
    <definedName name="FRRDS">#REF!</definedName>
    <definedName name="frsk" localSheetId="3">#REF!</definedName>
    <definedName name="frsk">#REF!</definedName>
    <definedName name="fs" localSheetId="3">#REF!</definedName>
    <definedName name="fs">#REF!</definedName>
    <definedName name="fsvd100" localSheetId="3">#REF!</definedName>
    <definedName name="fsvd100">#REF!</definedName>
    <definedName name="fsvd150" localSheetId="3">#REF!</definedName>
    <definedName name="fsvd150">#REF!</definedName>
    <definedName name="fsvd65" localSheetId="3">#REF!</definedName>
    <definedName name="fsvd65">#REF!</definedName>
    <definedName name="ftgj" localSheetId="2" hidden="1">{"'Sheet1'!$A$1"}</definedName>
    <definedName name="ftgj" localSheetId="3" hidden="1">{"'Sheet1'!$A$1"}</definedName>
    <definedName name="ftgj" hidden="1">{"'Sheet1'!$A$1"}</definedName>
    <definedName name="ftgregh">#REF!</definedName>
    <definedName name="ftiyio" localSheetId="2" hidden="1">{"'Sheet1'!$A$1"}</definedName>
    <definedName name="ftiyio" localSheetId="3" hidden="1">{"'Sheet1'!$A$1"}</definedName>
    <definedName name="ftiyio" hidden="1">{"'Sheet1'!$A$1"}</definedName>
    <definedName name="FULVIMIXER">#REF!</definedName>
    <definedName name="Furnica___Melamin____1_2_x_2_4__m" localSheetId="3">#REF!</definedName>
    <definedName name="Furnica___Melamin____1_2_x_2_4__m">#REF!</definedName>
    <definedName name="FURNITURE__FURNISHING" localSheetId="3">#REF!</definedName>
    <definedName name="FURNITURE__FURNISHING">#REF!</definedName>
    <definedName name="g" localSheetId="2">#REF!</definedName>
    <definedName name="g" localSheetId="3">#REF!</definedName>
    <definedName name="g" hidden="1">#REF!</definedName>
    <definedName name="G.14" localSheetId="3">#REF!</definedName>
    <definedName name="G.14">#REF!</definedName>
    <definedName name="G.17" localSheetId="3">#REF!</definedName>
    <definedName name="G.17">#REF!</definedName>
    <definedName name="G.18" localSheetId="3">#REF!</definedName>
    <definedName name="G.18">#REF!</definedName>
    <definedName name="G.19" localSheetId="3">#REF!</definedName>
    <definedName name="G.19">#REF!</definedName>
    <definedName name="G.2">#REF!</definedName>
    <definedName name="G.20" localSheetId="3">#REF!</definedName>
    <definedName name="G.20">#REF!</definedName>
    <definedName name="G.21" localSheetId="3">#REF!</definedName>
    <definedName name="G.21">#REF!</definedName>
    <definedName name="g.2a">#REF!</definedName>
    <definedName name="g.2b">#REF!</definedName>
    <definedName name="g.32a">#REF!</definedName>
    <definedName name="G.32H" localSheetId="3">#REF!</definedName>
    <definedName name="G.32H">#REF!</definedName>
    <definedName name="G.32M" localSheetId="3">#REF!</definedName>
    <definedName name="G.32M">#REF!</definedName>
    <definedName name="G.33.B">#N/A</definedName>
    <definedName name="G.33.F">#N/A</definedName>
    <definedName name="G.33.M">#N/A</definedName>
    <definedName name="G.33b">#REF!</definedName>
    <definedName name="G.33H" localSheetId="2">[31]Anl!#REF!</definedName>
    <definedName name="G.33H" localSheetId="3">[31]Anl!#REF!</definedName>
    <definedName name="G.33H">[8]Anl!#REF!</definedName>
    <definedName name="G.33i" localSheetId="2">#REF!</definedName>
    <definedName name="G.33i" localSheetId="3">#REF!</definedName>
    <definedName name="G.33I" localSheetId="11">#REF!</definedName>
    <definedName name="G.33I">#REF!</definedName>
    <definedName name="G.33k" localSheetId="3">#REF!</definedName>
    <definedName name="G.33k">#REF!</definedName>
    <definedName name="G.33M" localSheetId="2">#REF!</definedName>
    <definedName name="G.33M" localSheetId="3">#REF!</definedName>
    <definedName name="G.33M">#REF!</definedName>
    <definedName name="G.41" localSheetId="2">#REF!</definedName>
    <definedName name="G.41" localSheetId="3">#REF!</definedName>
    <definedName name="G.41">#N/A</definedName>
    <definedName name="G.41.A">#N/A</definedName>
    <definedName name="G.41A" localSheetId="2">#REF!</definedName>
    <definedName name="G.41A" localSheetId="3">#REF!</definedName>
    <definedName name="G.41A">#REF!</definedName>
    <definedName name="G.41B" localSheetId="2">#REF!</definedName>
    <definedName name="G.41B" localSheetId="3">#REF!</definedName>
    <definedName name="G.41B">#REF!</definedName>
    <definedName name="g.41c">#REF!</definedName>
    <definedName name="g.42">[10]ANALISA!#REF!</definedName>
    <definedName name="G.43" localSheetId="2">#REF!</definedName>
    <definedName name="G.43" localSheetId="3">#REF!</definedName>
    <definedName name="G.43">#REF!</definedName>
    <definedName name="G.43.A">#N/A</definedName>
    <definedName name="G.43.B">#N/A</definedName>
    <definedName name="G.43a">#REF!</definedName>
    <definedName name="G.43b">#REF!</definedName>
    <definedName name="G.44" localSheetId="2">#REF!</definedName>
    <definedName name="G.44" localSheetId="3">#REF!</definedName>
    <definedName name="G.44">#REF!</definedName>
    <definedName name="G.50.H">#N/A</definedName>
    <definedName name="G.50.K">#N/A</definedName>
    <definedName name="G.50.P">#N/A</definedName>
    <definedName name="G.50H" localSheetId="2">#REF!</definedName>
    <definedName name="G.50H" localSheetId="3">#REF!</definedName>
    <definedName name="G.50H">#REF!</definedName>
    <definedName name="G.50I" localSheetId="2">#REF!</definedName>
    <definedName name="G.50I" localSheetId="3">#REF!</definedName>
    <definedName name="G.50I">#REF!</definedName>
    <definedName name="G.50K" localSheetId="2">#REF!</definedName>
    <definedName name="G.50K" localSheetId="3">#REF!</definedName>
    <definedName name="G.50K">#REF!</definedName>
    <definedName name="G.50p" localSheetId="2">#REF!</definedName>
    <definedName name="G.50p" localSheetId="3">#REF!</definedName>
    <definedName name="G.50P">[32]Anl!$L$116</definedName>
    <definedName name="G.50q">#REF!</definedName>
    <definedName name="G.51C" localSheetId="2">#REF!</definedName>
    <definedName name="G.51c" localSheetId="3">#REF!</definedName>
    <definedName name="G.51C">#REF!</definedName>
    <definedName name="G.53">#N/A</definedName>
    <definedName name="G.60A" localSheetId="3">#REF!</definedName>
    <definedName name="G.60A">#REF!</definedName>
    <definedName name="G.67">#N/A</definedName>
    <definedName name="G.68" localSheetId="2">[15]Anl!#REF!</definedName>
    <definedName name="G.68" localSheetId="3">[15]Anl!#REF!</definedName>
    <definedName name="G.68">[8]Anl!#REF!</definedName>
    <definedName name="G.68.A">#N/A</definedName>
    <definedName name="G.68.B">#N/A</definedName>
    <definedName name="G.68.C">#N/A</definedName>
    <definedName name="G.68.D">#N/A</definedName>
    <definedName name="G.69.A">#N/A</definedName>
    <definedName name="G.69.B">#N/A</definedName>
    <definedName name="G.69.C">#N/A</definedName>
    <definedName name="G.69.D">#N/A</definedName>
    <definedName name="G.69.E">#N/A</definedName>
    <definedName name="G.69.F">#N/A</definedName>
    <definedName name="G.69.G">#N/A</definedName>
    <definedName name="G.69.H">#N/A</definedName>
    <definedName name="G.69.I">#N/A</definedName>
    <definedName name="G.69A" localSheetId="2">#REF!</definedName>
    <definedName name="G.69A" localSheetId="3">#REF!</definedName>
    <definedName name="G.69A">#REF!</definedName>
    <definedName name="G.69b" localSheetId="2">#REF!</definedName>
    <definedName name="G.69b" localSheetId="3">#REF!</definedName>
    <definedName name="G.69B">#REF!</definedName>
    <definedName name="G.69c">#REF!</definedName>
    <definedName name="G.72" localSheetId="2">[31]Anl!#REF!</definedName>
    <definedName name="G.72" localSheetId="3">[31]Anl!#REF!</definedName>
    <definedName name="G.72">[8]Anl!#REF!</definedName>
    <definedName name="G.72A" localSheetId="2">[31]Anl!#REF!</definedName>
    <definedName name="G.72A" localSheetId="3">[31]Anl!#REF!</definedName>
    <definedName name="G.72A">[8]Anl!#REF!</definedName>
    <definedName name="g.72c">[10]ANALISA!#REF!</definedName>
    <definedName name="G.Kramik" localSheetId="2">#REF!</definedName>
    <definedName name="G.Kramik" localSheetId="3">#REF!</definedName>
    <definedName name="G.Kramik">#REF!</definedName>
    <definedName name="G_1" localSheetId="3">#REF!</definedName>
    <definedName name="G_1">#REF!</definedName>
    <definedName name="G_10" localSheetId="3">#REF!</definedName>
    <definedName name="G_10">#REF!</definedName>
    <definedName name="G_11" localSheetId="3">#REF!</definedName>
    <definedName name="G_11">#REF!</definedName>
    <definedName name="G_12" localSheetId="3">#REF!</definedName>
    <definedName name="G_12">#REF!</definedName>
    <definedName name="G_13" localSheetId="3">#REF!</definedName>
    <definedName name="G_13">#REF!</definedName>
    <definedName name="G_14">[10]ANALISA!#REF!</definedName>
    <definedName name="G_2" localSheetId="3">#REF!</definedName>
    <definedName name="G_2">#REF!</definedName>
    <definedName name="G_3" localSheetId="3">#REF!</definedName>
    <definedName name="G_3">#REF!</definedName>
    <definedName name="G_4" localSheetId="3">#REF!</definedName>
    <definedName name="G_4">#REF!</definedName>
    <definedName name="G_5" localSheetId="3">#REF!</definedName>
    <definedName name="G_5">#REF!</definedName>
    <definedName name="G_6" localSheetId="3">#REF!</definedName>
    <definedName name="G_6">#REF!</definedName>
    <definedName name="G_67">[10]ANALISA!#REF!</definedName>
    <definedName name="G_7" localSheetId="3">#REF!</definedName>
    <definedName name="G_7">#REF!</definedName>
    <definedName name="g_72c">[10]ANALISA!#REF!</definedName>
    <definedName name="g_72d">[10]ANALISA!#REF!</definedName>
    <definedName name="G_8" localSheetId="3">#REF!</definedName>
    <definedName name="G_8">#REF!</definedName>
    <definedName name="g_9" localSheetId="3">#REF!</definedName>
    <definedName name="g_9">#REF!</definedName>
    <definedName name="g_9wp" localSheetId="3">#REF!</definedName>
    <definedName name="g_9wp">#REF!</definedName>
    <definedName name="G50K" localSheetId="3">#REF!</definedName>
    <definedName name="G50K">#REF!</definedName>
    <definedName name="G50p" localSheetId="3">#REF!</definedName>
    <definedName name="G50p">#REF!</definedName>
    <definedName name="gab">[10]ANALISA!#REF!</definedName>
    <definedName name="gaji" localSheetId="3">#REF!</definedName>
    <definedName name="gaji">#REF!</definedName>
    <definedName name="Gal.Sal" localSheetId="3">#REF!</definedName>
    <definedName name="Gal.Sal">#REF!</definedName>
    <definedName name="GALI" localSheetId="3">#REF!</definedName>
    <definedName name="gali">#REF!</definedName>
    <definedName name="galian" localSheetId="2">#REF!</definedName>
    <definedName name="Galian" localSheetId="3">#REF!</definedName>
    <definedName name="GALIAN" localSheetId="11">#REF!</definedName>
    <definedName name="GALIAN">#REF!</definedName>
    <definedName name="GALIANTAN1" localSheetId="3">#REF!</definedName>
    <definedName name="GALIANTAN1">#REF!</definedName>
    <definedName name="galiantanahaberat" localSheetId="3">#REF!</definedName>
    <definedName name="galiantanahaberat">#REF!</definedName>
    <definedName name="galiantanahlebih1mnonPPN" localSheetId="3">#REF!</definedName>
    <definedName name="galiantanahlebih1mnonPPN">#REF!</definedName>
    <definedName name="galiantanahnonPPN" localSheetId="3">#REF!</definedName>
    <definedName name="galiantanahnonPPN">#REF!</definedName>
    <definedName name="GALKON" localSheetId="3">#REF!</definedName>
    <definedName name="GALKON">#REF!</definedName>
    <definedName name="GALUH" localSheetId="3">#REF!</definedName>
    <definedName name="GALUH">#REF!</definedName>
    <definedName name="GANDA" localSheetId="3">#REF!</definedName>
    <definedName name="GANDA">#REF!</definedName>
    <definedName name="GANDAA" localSheetId="3">#REF!</definedName>
    <definedName name="GANDAA">#REF!</definedName>
    <definedName name="GANJIL" localSheetId="3">#REF!</definedName>
    <definedName name="GANJIL">#REF!</definedName>
    <definedName name="Gas_oxytilyn" localSheetId="3">#REF!</definedName>
    <definedName name="Gas_oxytilyn">#REF!</definedName>
    <definedName name="GATA" localSheetId="2">[31]Anl!#REF!</definedName>
    <definedName name="GATA" localSheetId="3">[31]Anl!#REF!</definedName>
    <definedName name="GATA" localSheetId="11">[8]Anl!#REF!</definedName>
    <definedName name="GATA">[8]Anl!#REF!</definedName>
    <definedName name="gb30x45" localSheetId="3">#REF!</definedName>
    <definedName name="gb30x45">#REF!</definedName>
    <definedName name="GC" localSheetId="2">#REF!</definedName>
    <definedName name="GC" localSheetId="3">#REF!</definedName>
    <definedName name="GC" localSheetId="11">#REF!</definedName>
    <definedName name="GC">#REF!</definedName>
    <definedName name="gddh" localSheetId="2">[31]Anl!#REF!</definedName>
    <definedName name="gddh" localSheetId="3">[31]Anl!#REF!</definedName>
    <definedName name="gddh">[8]Anl!#REF!</definedName>
    <definedName name="gdga" localSheetId="2" hidden="1">'[50]ANL-EI'!#REF!</definedName>
    <definedName name="gdga" localSheetId="3" hidden="1">'[50]ANL-EI'!#REF!</definedName>
    <definedName name="gdga" hidden="1">'[22]ANL-EI'!#REF!</definedName>
    <definedName name="gea">#REF!</definedName>
    <definedName name="Gembok3RRC" localSheetId="3">#REF!</definedName>
    <definedName name="Gembok3RRC">#REF!</definedName>
    <definedName name="GENSET" localSheetId="2">#REF!</definedName>
    <definedName name="GENSET" localSheetId="3">#REF!</definedName>
    <definedName name="GENSET">#REF!</definedName>
    <definedName name="GENTENG" localSheetId="3">#REF!</definedName>
    <definedName name="GENTENG">#REF!</definedName>
    <definedName name="genteng_beton" localSheetId="3">#REF!</definedName>
    <definedName name="genteng_beton">#REF!</definedName>
    <definedName name="Genteng_bubungan_soka" localSheetId="3">#REF!</definedName>
    <definedName name="Genteng_bubungan_soka">#REF!</definedName>
    <definedName name="Genteng_lokal" localSheetId="3">#REF!</definedName>
    <definedName name="Genteng_lokal">#REF!</definedName>
    <definedName name="Genteng_Plentong" localSheetId="3">#REF!</definedName>
    <definedName name="Genteng_Plentong">#REF!</definedName>
    <definedName name="Genteng_press_pejaten" localSheetId="3">#REF!</definedName>
    <definedName name="Genteng_press_pejaten">#REF!</definedName>
    <definedName name="Genteng_soka_kodok" localSheetId="3">#REF!</definedName>
    <definedName name="Genteng_soka_kodok">#REF!</definedName>
    <definedName name="GentengMetal">'[38]Analisa Harga Satuan'!$G$2627</definedName>
    <definedName name="GENTENGMULTI" localSheetId="3">#REF!</definedName>
    <definedName name="GENTENGMULTI">#REF!</definedName>
    <definedName name="gentengtilup" localSheetId="3">#REF!</definedName>
    <definedName name="gentengtilup">#REF!</definedName>
    <definedName name="Geotextile" localSheetId="3">#REF!</definedName>
    <definedName name="Geotextile">#REF!</definedName>
    <definedName name="gergajibesi" localSheetId="3">#REF!</definedName>
    <definedName name="gergajibesi">#REF!</definedName>
    <definedName name="gersel" localSheetId="3">#REF!</definedName>
    <definedName name="gersel">#REF!</definedName>
    <definedName name="gethh" localSheetId="2" hidden="1">{"'Sheet1'!$A$1"}</definedName>
    <definedName name="gethh" localSheetId="3" hidden="1">{"'Sheet1'!$A$1"}</definedName>
    <definedName name="gethh" hidden="1">{"'Sheet1'!$A$1"}</definedName>
    <definedName name="gevel">[39]Analisis!#REF!</definedName>
    <definedName name="gfbhyr" localSheetId="2" hidden="1">{"'Sheet1'!$A$1"}</definedName>
    <definedName name="gfbhyr" localSheetId="3" hidden="1">{"'Sheet1'!$A$1"}</definedName>
    <definedName name="gfbhyr" hidden="1">{"'Sheet1'!$A$1"}</definedName>
    <definedName name="gfhh" localSheetId="2" hidden="1">{"'Sheet1'!$A$1"}</definedName>
    <definedName name="gfhh" localSheetId="3" hidden="1">{"'Sheet1'!$A$1"}</definedName>
    <definedName name="gfhh" hidden="1">{"'Sheet1'!$A$1"}</definedName>
    <definedName name="gfj" localSheetId="2" hidden="1">{"'Sheet1'!$A$1"}</definedName>
    <definedName name="gfj" localSheetId="3" hidden="1">{"'Sheet1'!$A$1"}</definedName>
    <definedName name="gfj" hidden="1">{"'Sheet1'!$A$1"}</definedName>
    <definedName name="gfjr" localSheetId="2" hidden="1">{"'Sheet1'!$A$1"}</definedName>
    <definedName name="gfjr" localSheetId="3" hidden="1">{"'Sheet1'!$A$1"}</definedName>
    <definedName name="gfjr" hidden="1">{"'Sheet1'!$A$1"}</definedName>
    <definedName name="gfthhh" localSheetId="2" hidden="1">{"'Sheet1'!$A$1"}</definedName>
    <definedName name="gfthhh" localSheetId="3" hidden="1">{"'Sheet1'!$A$1"}</definedName>
    <definedName name="gfthhh" hidden="1">{"'Sheet1'!$A$1"}</definedName>
    <definedName name="gg">#REF!</definedName>
    <definedName name="ghgfshshgyghdsfgdafg">#REF!</definedName>
    <definedName name="ghjj" localSheetId="2" hidden="1">{"'Sheet1'!$A$1"}</definedName>
    <definedName name="ghjj" localSheetId="3" hidden="1">{"'Sheet1'!$A$1"}</definedName>
    <definedName name="ghjj" hidden="1">{"'Sheet1'!$A$1"}</definedName>
    <definedName name="ghkm" localSheetId="2" hidden="1">{"'Sheet1'!$A$1"}</definedName>
    <definedName name="ghkm" localSheetId="3" hidden="1">{"'Sheet1'!$A$1"}</definedName>
    <definedName name="ghkm" hidden="1">{"'Sheet1'!$A$1"}</definedName>
    <definedName name="gi">'[35]Upah&amp;Bahan'!$U$821</definedName>
    <definedName name="gil">'[35]Upah&amp;Bahan'!$U$709</definedName>
    <definedName name="gila">'[35]Upah&amp;Bahan'!$U$653</definedName>
    <definedName name="GILAS" localSheetId="2">#REF!</definedName>
    <definedName name="GILAS" localSheetId="3">#REF!</definedName>
    <definedName name="GILAS">#REF!</definedName>
    <definedName name="GILLPOS" localSheetId="3">#REF!</definedName>
    <definedName name="GILLPOS">#REF!</definedName>
    <definedName name="GIP1\2" localSheetId="3">#REF!</definedName>
    <definedName name="GIP1\2">#REF!</definedName>
    <definedName name="GIP11\2" localSheetId="3">#REF!</definedName>
    <definedName name="GIP11\2">#REF!</definedName>
    <definedName name="GIP11\4" localSheetId="3">#REF!</definedName>
    <definedName name="GIP11\4">#REF!</definedName>
    <definedName name="GIP3\4" localSheetId="3">#REF!</definedName>
    <definedName name="GIP3\4">#REF!</definedName>
    <definedName name="gipair12" localSheetId="3">#REF!</definedName>
    <definedName name="gipair12">#REF!</definedName>
    <definedName name="gipairb1" localSheetId="3">#REF!</definedName>
    <definedName name="gipairb1">#REF!</definedName>
    <definedName name="gipairb112" localSheetId="3">#REF!</definedName>
    <definedName name="gipairb112">#REF!</definedName>
    <definedName name="gipairb2" localSheetId="3">#REF!</definedName>
    <definedName name="gipairb2">#REF!</definedName>
    <definedName name="gipairb212" localSheetId="3">#REF!</definedName>
    <definedName name="gipairb212">#REF!</definedName>
    <definedName name="GIPAIRB3" localSheetId="3">#REF!</definedName>
    <definedName name="GIPAIRB3">#REF!</definedName>
    <definedName name="gipairb34" localSheetId="3">#REF!</definedName>
    <definedName name="gipairb34">#REF!</definedName>
    <definedName name="gipairb4" localSheetId="3">#REF!</definedName>
    <definedName name="gipairb4">#REF!</definedName>
    <definedName name="gipairb6" localSheetId="3">#REF!</definedName>
    <definedName name="gipairb6">#REF!</definedName>
    <definedName name="GIPIPE" localSheetId="3">#REF!</definedName>
    <definedName name="GIPIPE">#REF!</definedName>
    <definedName name="gipsum">[63]BAHAN!$L$35</definedName>
    <definedName name="Girder316" localSheetId="3">#REF!</definedName>
    <definedName name="Girder316">#REF!</definedName>
    <definedName name="Girder400" localSheetId="3">#REF!</definedName>
    <definedName name="Girder400">#REF!</definedName>
    <definedName name="Girder405" localSheetId="3">#REF!</definedName>
    <definedName name="Girder405">#REF!</definedName>
    <definedName name="gj" localSheetId="2" hidden="1">{"'Sheet1'!$A$1"}</definedName>
    <definedName name="gj" localSheetId="3" hidden="1">{"'Sheet1'!$A$1"}</definedName>
    <definedName name="gj" hidden="1">{"'Sheet1'!$A$1"}</definedName>
    <definedName name="gjggg" localSheetId="2" hidden="1">{"'Sheet1'!$A$1"}</definedName>
    <definedName name="gjggg" localSheetId="3" hidden="1">{"'Sheet1'!$A$1"}</definedName>
    <definedName name="gjggg" hidden="1">{"'Sheet1'!$A$1"}</definedName>
    <definedName name="gjgj" localSheetId="2" hidden="1">{"'Sheet1'!$A$1"}</definedName>
    <definedName name="gjgj" localSheetId="3" hidden="1">{"'Sheet1'!$A$1"}</definedName>
    <definedName name="gjgj" hidden="1">{"'Sheet1'!$A$1"}</definedName>
    <definedName name="GL">#REF!</definedName>
    <definedName name="gl3p" localSheetId="3">#REF!</definedName>
    <definedName name="gl3p">#REF!</definedName>
    <definedName name="glasblock" localSheetId="3">#REF!</definedName>
    <definedName name="glasblock">#REF!</definedName>
    <definedName name="glass_block" localSheetId="3">#REF!</definedName>
    <definedName name="glass_block">#REF!</definedName>
    <definedName name="glass_wool" localSheetId="3">#REF!</definedName>
    <definedName name="glass_wool">#REF!</definedName>
    <definedName name="glasswoolWM6" localSheetId="3">#REF!</definedName>
    <definedName name="glasswoolWM6">#REF!</definedName>
    <definedName name="GONDOLA" localSheetId="3">#REF!</definedName>
    <definedName name="GONDOLA">#REF!</definedName>
    <definedName name="GONDOLA_A" localSheetId="3">#REF!</definedName>
    <definedName name="GONDOLA_A">#REF!</definedName>
    <definedName name="GONDOLA_B" localSheetId="3">#REF!</definedName>
    <definedName name="GONDOLA_B">#REF!</definedName>
    <definedName name="GONDOLA_C" localSheetId="3">#REF!</definedName>
    <definedName name="GONDOLA_C">#REF!</definedName>
    <definedName name="GORDING">[10]BAHAN!#REF!</definedName>
    <definedName name="govpd15" localSheetId="3">#REF!</definedName>
    <definedName name="govpd15">#REF!</definedName>
    <definedName name="gpek" localSheetId="3">#REF!</definedName>
    <definedName name="gpek">#REF!</definedName>
    <definedName name="grader" localSheetId="2">#REF!</definedName>
    <definedName name="Grader" localSheetId="3">#REF!</definedName>
    <definedName name="GRADER">#REF!</definedName>
    <definedName name="GRAND_PALEMBANG_HOTEL___PALEMBANG" localSheetId="3">#REF!</definedName>
    <definedName name="GRAND_PALEMBANG_HOTEL___PALEMBANG">#REF!</definedName>
    <definedName name="GRAND_PALEMBANG_HOTEL___PALEMBANG_6" localSheetId="3">#REF!</definedName>
    <definedName name="GRAND_PALEMBANG_HOTEL___PALEMBANG_6">#REF!</definedName>
    <definedName name="granito30x30" localSheetId="3">#REF!</definedName>
    <definedName name="granito30x30">#REF!</definedName>
    <definedName name="granito40p" localSheetId="3">#REF!</definedName>
    <definedName name="granito40p">#REF!</definedName>
    <definedName name="granito40x40" localSheetId="3">#REF!</definedName>
    <definedName name="granito40x40">#REF!</definedName>
    <definedName name="granito60x60" localSheetId="3">#REF!</definedName>
    <definedName name="granito60x60">#REF!</definedName>
    <definedName name="granitsolidex.cina" localSheetId="3">#REF!</definedName>
    <definedName name="granitsolidex.cina">#REF!</definedName>
    <definedName name="granitsolidex.italy" localSheetId="3">#REF!</definedName>
    <definedName name="granitsolidex.italy">#REF!</definedName>
    <definedName name="grassblock" localSheetId="3">#REF!</definedName>
    <definedName name="grassblock">#REF!</definedName>
    <definedName name="GRAVEL" localSheetId="2">#REF!</definedName>
    <definedName name="GRAVEL" localSheetId="3">#REF!</definedName>
    <definedName name="GRAVEL">#REF!</definedName>
    <definedName name="grc" localSheetId="3">#REF!</definedName>
    <definedName name="grc">#REF!</definedName>
    <definedName name="GRCcanopy" localSheetId="3">#REF!</definedName>
    <definedName name="GRCcanopy">#REF!</definedName>
    <definedName name="GRCclading" localSheetId="3">#REF!</definedName>
    <definedName name="GRCclading">#REF!</definedName>
    <definedName name="GRCkolom" localSheetId="3">#REF!</definedName>
    <definedName name="GRCkolom">#REF!</definedName>
    <definedName name="GRCkubah1" localSheetId="3">#REF!</definedName>
    <definedName name="GRCkubah1">#REF!</definedName>
    <definedName name="GRCkubah2" localSheetId="3">#REF!</definedName>
    <definedName name="GRCkubah2">#REF!</definedName>
    <definedName name="Grendel_kuningan" localSheetId="3">#REF!</definedName>
    <definedName name="Grendel_kuningan">#REF!</definedName>
    <definedName name="grendelbesar" localSheetId="3">#REF!</definedName>
    <definedName name="grendelbesar">#REF!</definedName>
    <definedName name="grendeljendela">[36]cover!#REF!</definedName>
    <definedName name="grendelkecil" localSheetId="3">#REF!</definedName>
    <definedName name="grendelkecil">#REF!</definedName>
    <definedName name="grendelsedang" localSheetId="3">#REF!</definedName>
    <definedName name="grendelsedang">#REF!</definedName>
    <definedName name="Grendeltanam1610.06" localSheetId="3">#REF!</definedName>
    <definedName name="Grendeltanam1610.06">#REF!</definedName>
    <definedName name="Grendeltanam1610.12" localSheetId="3">#REF!</definedName>
    <definedName name="Grendeltanam1610.12">#REF!</definedName>
    <definedName name="grendeltanamatas\nonjasa" localSheetId="3">#REF!</definedName>
    <definedName name="grendeltanamatas\nonjasa">#REF!</definedName>
    <definedName name="grendeltanambawah\nonjasa" localSheetId="3">#REF!</definedName>
    <definedName name="grendeltanambawah\nonjasa">#REF!</definedName>
    <definedName name="Greveldia20cm" localSheetId="3">#REF!</definedName>
    <definedName name="Greveldia20cm">#REF!</definedName>
    <definedName name="Greveldia30cm" localSheetId="3">#REF!</definedName>
    <definedName name="Greveldia30cm">#REF!</definedName>
    <definedName name="grg" localSheetId="2" hidden="1">{"'Sheet1'!$A$1"}</definedName>
    <definedName name="grg" localSheetId="3" hidden="1">{"'Sheet1'!$A$1"}</definedName>
    <definedName name="grg" hidden="1">{"'Sheet1'!$A$1"}</definedName>
    <definedName name="grilbesi">#REF!</definedName>
    <definedName name="GROSS" localSheetId="3">#REF!</definedName>
    <definedName name="GROSS">#REF!</definedName>
    <definedName name="GROSS1X" localSheetId="3">#REF!</definedName>
    <definedName name="GROSS1X">#REF!</definedName>
    <definedName name="GROUND_FLOOR" localSheetId="3">#REF!</definedName>
    <definedName name="GROUND_FLOOR">#REF!</definedName>
    <definedName name="grout" localSheetId="3">#REF!</definedName>
    <definedName name="grout">#REF!</definedName>
    <definedName name="grouting" localSheetId="3">#REF!</definedName>
    <definedName name="grouting">#REF!</definedName>
    <definedName name="groutink" localSheetId="3">#REF!</definedName>
    <definedName name="groutink">#REF!</definedName>
    <definedName name="gs110g" localSheetId="3">#REF!</definedName>
    <definedName name="gs110g">#REF!</definedName>
    <definedName name="gs14g" localSheetId="3">#REF!</definedName>
    <definedName name="gs14g">#REF!</definedName>
    <definedName name="gs55g" localSheetId="3">#REF!</definedName>
    <definedName name="gs55g">#REF!</definedName>
    <definedName name="gs6g" localSheetId="3">#REF!</definedName>
    <definedName name="gs6g">#REF!</definedName>
    <definedName name="gs80g" localSheetId="3">#REF!</definedName>
    <definedName name="gs80g">#REF!</definedName>
    <definedName name="GSS" localSheetId="3">#REF!</definedName>
    <definedName name="GSS">#REF!</definedName>
    <definedName name="gtanahbiasa" localSheetId="3">#REF!</definedName>
    <definedName name="gtanahbiasa">#REF!</definedName>
    <definedName name="GTberbatu" localSheetId="3">#REF!</definedName>
    <definedName name="GTberbatu">#REF!</definedName>
    <definedName name="Guidepost" localSheetId="3">#REF!</definedName>
    <definedName name="Guidepost">#REF!</definedName>
    <definedName name="Guidesign" localSheetId="3">#REF!</definedName>
    <definedName name="Guidesign">#REF!</definedName>
    <definedName name="gutter" localSheetId="3">#REF!</definedName>
    <definedName name="gutter">#REF!</definedName>
    <definedName name="gutter20" localSheetId="3">#REF!</definedName>
    <definedName name="gutter20">#REF!</definedName>
    <definedName name="gutter25" localSheetId="3">#REF!</definedName>
    <definedName name="gutter25">#REF!</definedName>
    <definedName name="gv1.25ab" localSheetId="3">#REF!</definedName>
    <definedName name="gv1.25ab">#REF!</definedName>
    <definedName name="gv1.5ab" localSheetId="3">#REF!</definedName>
    <definedName name="gv1.5ab">#REF!</definedName>
    <definedName name="gv12ab" localSheetId="3">#REF!</definedName>
    <definedName name="gv12ab">#REF!</definedName>
    <definedName name="gv1ab" localSheetId="3">#REF!</definedName>
    <definedName name="gv1ab">#REF!</definedName>
    <definedName name="gv34ab" localSheetId="3">#REF!</definedName>
    <definedName name="gv34ab">#REF!</definedName>
    <definedName name="gvd0.5" localSheetId="3">#REF!</definedName>
    <definedName name="gvd0.5">#REF!</definedName>
    <definedName name="gvd0.75" localSheetId="3">#REF!</definedName>
    <definedName name="gvd0.75">#REF!</definedName>
    <definedName name="gvd1.25" localSheetId="3">#REF!</definedName>
    <definedName name="gvd1.25">#REF!</definedName>
    <definedName name="gvd1.5" localSheetId="3">#REF!</definedName>
    <definedName name="gvd1.5">#REF!</definedName>
    <definedName name="gvd2.5" localSheetId="3">#REF!</definedName>
    <definedName name="gvd2.5">#REF!</definedName>
    <definedName name="gwwr" localSheetId="2" hidden="1">{"'Sheet1'!$A$1"}</definedName>
    <definedName name="gwwr" localSheetId="3" hidden="1">{"'Sheet1'!$A$1"}</definedName>
    <definedName name="gwwr" hidden="1">{"'Sheet1'!$A$1"}</definedName>
    <definedName name="GYFSUM">#REF!</definedName>
    <definedName name="gypsum" localSheetId="3">#REF!</definedName>
    <definedName name="gypsum">#REF!</definedName>
    <definedName name="gypsum.9" localSheetId="3">#REF!</definedName>
    <definedName name="gypsum.9">#REF!</definedName>
    <definedName name="gypsum.prf" localSheetId="3">#REF!</definedName>
    <definedName name="gypsum.prf">#REF!</definedName>
    <definedName name="gypsum_board_9mm" localSheetId="3">#REF!</definedName>
    <definedName name="gypsum_board_9mm">#REF!</definedName>
    <definedName name="gypsumboard">[10]ANALISA!#REF!</definedName>
    <definedName name="h" localSheetId="3">#REF!</definedName>
    <definedName name="h">#REF!</definedName>
    <definedName name="H.06">#REF!</definedName>
    <definedName name="H.10" localSheetId="2">#N/A</definedName>
    <definedName name="H.10" localSheetId="3">#N/A</definedName>
    <definedName name="H.10">#N/A</definedName>
    <definedName name="H.10.A">#N/A</definedName>
    <definedName name="H.10.B">#N/A</definedName>
    <definedName name="H.10.C">#N/A</definedName>
    <definedName name="H.10A" localSheetId="2">#REF!</definedName>
    <definedName name="H.10A" localSheetId="3">#REF!</definedName>
    <definedName name="H.10A">#REF!</definedName>
    <definedName name="h.10b">[10]ANALISA!#REF!</definedName>
    <definedName name="H.14">#N/A</definedName>
    <definedName name="H.14.A">#N/A</definedName>
    <definedName name="H.15" localSheetId="2">#REF!</definedName>
    <definedName name="H.15" localSheetId="3">#REF!</definedName>
    <definedName name="H.15" localSheetId="11">[8]Anl!#REF!</definedName>
    <definedName name="H.15">[8]Anl!#REF!</definedName>
    <definedName name="H.18">#N/A</definedName>
    <definedName name="H.18.A">#N/A</definedName>
    <definedName name="H.2" localSheetId="2">[15]Anl!#REF!</definedName>
    <definedName name="H.2" localSheetId="3">[15]Anl!#REF!</definedName>
    <definedName name="H.2">[8]Anl!#REF!</definedName>
    <definedName name="H.2Bs" localSheetId="3">#REF!</definedName>
    <definedName name="H.2Bs">#REF!</definedName>
    <definedName name="H.2m" localSheetId="3">#REF!</definedName>
    <definedName name="H.2m">#REF!</definedName>
    <definedName name="H.2n" localSheetId="3">#REF!</definedName>
    <definedName name="H.2n">#REF!</definedName>
    <definedName name="H.2s." localSheetId="3">#REF!</definedName>
    <definedName name="H.2s.">#REF!</definedName>
    <definedName name="H.2Sp." localSheetId="3">#REF!</definedName>
    <definedName name="H.2Sp.">#REF!</definedName>
    <definedName name="H.6">#N/A</definedName>
    <definedName name="H.6.A">#N/A</definedName>
    <definedName name="H.6.B">#N/A</definedName>
    <definedName name="H.6.C">#N/A</definedName>
    <definedName name="H.7">#N/A</definedName>
    <definedName name="H.7.A">#N/A</definedName>
    <definedName name="H.7.B">#N/A</definedName>
    <definedName name="H.7.C">#N/A</definedName>
    <definedName name="H.8">#N/A</definedName>
    <definedName name="H.8.A">#N/A</definedName>
    <definedName name="H.8.B">#N/A</definedName>
    <definedName name="H.8A" localSheetId="2">#REF!</definedName>
    <definedName name="H.8A" localSheetId="3">#REF!</definedName>
    <definedName name="H.8A">#REF!</definedName>
    <definedName name="h.8b">[10]ANALISA!#REF!</definedName>
    <definedName name="H.9">#N/A</definedName>
    <definedName name="H.9.A">#N/A</definedName>
    <definedName name="H.9.B">#N/A</definedName>
    <definedName name="H_10">[10]ANALISA!#REF!</definedName>
    <definedName name="h_4040" localSheetId="3">#REF!</definedName>
    <definedName name="h_4040">#REF!</definedName>
    <definedName name="H_8">[10]ANALISA!#REF!</definedName>
    <definedName name="H_8A">[24]Analisa!$L$242</definedName>
    <definedName name="H_talangseng" localSheetId="3">#REF!</definedName>
    <definedName name="H_talangseng">#REF!</definedName>
    <definedName name="HACIANLANTAI" localSheetId="3">#REF!</definedName>
    <definedName name="HACIANLANTAI">#REF!</definedName>
    <definedName name="HAGO" localSheetId="3">#REF!</definedName>
    <definedName name="HAGO">#REF!</definedName>
    <definedName name="hakangin" localSheetId="2">#REF!</definedName>
    <definedName name="hakangin" localSheetId="3">#REF!</definedName>
    <definedName name="hakangin">[36]cover!#REF!</definedName>
    <definedName name="Hammer">[64]rekap!$D$78</definedName>
    <definedName name="handle">[43]BAHAN!$L$23</definedName>
    <definedName name="HANDRAILING" localSheetId="3">#REF!</definedName>
    <definedName name="HANDRAILING">#REF!</definedName>
    <definedName name="HandshowerB250" localSheetId="3">#REF!</definedName>
    <definedName name="HandshowerB250">#REF!</definedName>
    <definedName name="HANGIN" localSheetId="2">#REF!</definedName>
    <definedName name="HANGIN" localSheetId="3">#REF!</definedName>
    <definedName name="HANGIN">#REF!</definedName>
    <definedName name="HANGKER16" localSheetId="3">#REF!</definedName>
    <definedName name="HANGKER16">#REF!</definedName>
    <definedName name="HANTISLIP2020" localSheetId="3">#REF!</definedName>
    <definedName name="HANTISLIP2020">#REF!</definedName>
    <definedName name="hardener" localSheetId="3">#REF!</definedName>
    <definedName name="hardener">#REF!</definedName>
    <definedName name="hardfoswn" localSheetId="3">#REF!</definedName>
    <definedName name="hardfoswn">#REF!</definedName>
    <definedName name="HARGA" localSheetId="2">#REF!</definedName>
    <definedName name="HARGA" localSheetId="3">#REF!</definedName>
    <definedName name="Harga">'[65]ANALISA QUARRY'!$B$1:$I$36</definedName>
    <definedName name="harga\" localSheetId="3">#REF!</definedName>
    <definedName name="harga\">#REF!</definedName>
    <definedName name="HARGA_BAHAN">#REF!</definedName>
    <definedName name="Harga_Satuan" localSheetId="3">#REF!</definedName>
    <definedName name="Harga_Satuan">#REF!</definedName>
    <definedName name="Harga_Total" localSheetId="3">#REF!</definedName>
    <definedName name="Harga_Total">#REF!</definedName>
    <definedName name="hargasatuan" localSheetId="2">#REF!</definedName>
    <definedName name="hargasatuan" localSheetId="3">#REF!</definedName>
    <definedName name="hari">'[35]Upah&amp;Bahan'!$C$41</definedName>
    <definedName name="HARMONIM">#N/A</definedName>
    <definedName name="HATAPARDEKS" localSheetId="3">#REF!</definedName>
    <definedName name="HATAPARDEKS">#REF!</definedName>
    <definedName name="HATAPARDEKSLEMBAR" localSheetId="3">#REF!</definedName>
    <definedName name="HATAPARDEKSLEMBAR">#REF!</definedName>
    <definedName name="HATAPSENG2" localSheetId="3">#REF!</definedName>
    <definedName name="HATAPSENG2">#REF!</definedName>
    <definedName name="HATAPSENG3" localSheetId="3">#REF!</definedName>
    <definedName name="HATAPSENG3">#REF!</definedName>
    <definedName name="HATAPTILUP" localSheetId="3">#REF!</definedName>
    <definedName name="HATAPTILUP">#REF!</definedName>
    <definedName name="HB.10" localSheetId="3">#REF!</definedName>
    <definedName name="HB.10">#REF!</definedName>
    <definedName name="HB.15" localSheetId="3">#REF!</definedName>
    <definedName name="HB.15">#REF!</definedName>
    <definedName name="HB.20" localSheetId="3">#REF!</definedName>
    <definedName name="HB.20">#REF!</definedName>
    <definedName name="HBAKAIR8080" localSheetId="3">#REF!</definedName>
    <definedName name="HBAKAIR8080">#REF!</definedName>
    <definedName name="HBAKAIR959590" localSheetId="3">#REF!</definedName>
    <definedName name="HBAKAIR959590">#REF!</definedName>
    <definedName name="HBAKBUNGA" localSheetId="3">#REF!</definedName>
    <definedName name="HBAKBUNGA">#REF!</definedName>
    <definedName name="HBAKPENETRASI" localSheetId="3">#REF!</definedName>
    <definedName name="HBAKPENETRASI">#REF!</definedName>
    <definedName name="HBATUKALI12" localSheetId="3">#REF!</definedName>
    <definedName name="HBATUKALI12">#REF!</definedName>
    <definedName name="HBATUKALI14" localSheetId="3">#REF!</definedName>
    <definedName name="HBATUKALI14">#REF!</definedName>
    <definedName name="HBATUKARANG12" localSheetId="3">#REF!</definedName>
    <definedName name="HBATUKARANG12">#REF!</definedName>
    <definedName name="HBATUKARANG14" localSheetId="3">#REF!</definedName>
    <definedName name="HBATUKARANG14">#REF!</definedName>
    <definedName name="HBATUKARANGKOSONG" localSheetId="3">#REF!</definedName>
    <definedName name="HBATUKARANGKOSONG">#REF!</definedName>
    <definedName name="HBATUKOSONG" localSheetId="3">#REF!</definedName>
    <definedName name="HBATUKOSONG">#REF!</definedName>
    <definedName name="HBATUTELA12M3" localSheetId="3">#REF!</definedName>
    <definedName name="HBATUTELA12M3">#REF!</definedName>
    <definedName name="hbatutela13" localSheetId="3">#REF!</definedName>
    <definedName name="hbatutela13">#REF!</definedName>
    <definedName name="HBATUTELA13M3" localSheetId="3">#REF!</definedName>
    <definedName name="HBATUTELA13M3">#REF!</definedName>
    <definedName name="HBATUTELA14" localSheetId="3">#REF!</definedName>
    <definedName name="HBATUTELA14">#REF!</definedName>
    <definedName name="HBATUTELA14M3" localSheetId="3">#REF!</definedName>
    <definedName name="HBATUTELA14M3">#REF!</definedName>
    <definedName name="Hbeam" localSheetId="3">#REF!</definedName>
    <definedName name="Hbeam">#REF!</definedName>
    <definedName name="HBEKESLANTAI" localSheetId="3">#REF!</definedName>
    <definedName name="HBEKESLANTAI">#REF!</definedName>
    <definedName name="HBEKESPONDASI" localSheetId="3">#REF!</definedName>
    <definedName name="HBEKESPONDASI">#REF!</definedName>
    <definedName name="HBEKESSLOOF" localSheetId="3">#REF!</definedName>
    <definedName name="HBEKESSLOOF">#REF!</definedName>
    <definedName name="HBEKESTING" localSheetId="3">#REF!</definedName>
    <definedName name="HBEKESTING">#REF!</definedName>
    <definedName name="HBEKESTINGPLAT" localSheetId="3">#REF!</definedName>
    <definedName name="HBEKESTINGPLAT">#REF!</definedName>
    <definedName name="HBEKESTINGSLOOF" localSheetId="3">#REF!</definedName>
    <definedName name="HBEKESTINGSLOOF">#REF!</definedName>
    <definedName name="hbekistingbetontulang" localSheetId="3">#REF!</definedName>
    <definedName name="hbekistingbetontulang">#REF!</definedName>
    <definedName name="HBESI19" localSheetId="3">#REF!</definedName>
    <definedName name="HBESI19">#REF!</definedName>
    <definedName name="HBESIBET" localSheetId="3">#REF!</definedName>
    <definedName name="HBESIBET">#REF!</definedName>
    <definedName name="HBESIBET12" localSheetId="3">#REF!</definedName>
    <definedName name="HBESIBET12">#REF!</definedName>
    <definedName name="HBESIBET16" localSheetId="3">#REF!</definedName>
    <definedName name="HBESIBET16">#REF!</definedName>
    <definedName name="hbesibetontulang" localSheetId="3">#REF!</definedName>
    <definedName name="hbesibetontulang">#REF!</definedName>
    <definedName name="HBESIPLAT" localSheetId="3">#REF!</definedName>
    <definedName name="HBESIPLAT">#REF!</definedName>
    <definedName name="HBESISIKU" localSheetId="3">#REF!</definedName>
    <definedName name="HBESISIKU">#REF!</definedName>
    <definedName name="hbesisloof" localSheetId="3">#REF!</definedName>
    <definedName name="hbesisloof">#REF!</definedName>
    <definedName name="HBETON123" localSheetId="3">#REF!</definedName>
    <definedName name="HBETON123">#REF!</definedName>
    <definedName name="HBETON12535" localSheetId="3">#REF!</definedName>
    <definedName name="HBETON12535">#REF!</definedName>
    <definedName name="HBETON135" localSheetId="3">#REF!</definedName>
    <definedName name="HBETON135">#REF!</definedName>
    <definedName name="HBETONK225" localSheetId="3">#REF!</definedName>
    <definedName name="HBETONK225">#REF!</definedName>
    <definedName name="HBETONPLAT" localSheetId="3">#REF!</definedName>
    <definedName name="HBETONPLAT">#REF!</definedName>
    <definedName name="hbetonringbalk" localSheetId="3">#REF!</definedName>
    <definedName name="hbetonringbalk">#REF!</definedName>
    <definedName name="hbetonsloof" localSheetId="3">#REF!</definedName>
    <definedName name="hbetonsloof">#REF!</definedName>
    <definedName name="hbetontulang" localSheetId="3">#REF!</definedName>
    <definedName name="hbetontulang">#REF!</definedName>
    <definedName name="HBETONTULANG123" localSheetId="3">#REF!</definedName>
    <definedName name="HBETONTULANG123">#REF!</definedName>
    <definedName name="HBETONTULANGPLAT" localSheetId="3">#REF!</definedName>
    <definedName name="HBETONTULANGPLAT">#REF!</definedName>
    <definedName name="HBETONTULANGSLOOF" localSheetId="3">#REF!</definedName>
    <definedName name="HBETONTULANGSLOOF">#REF!</definedName>
    <definedName name="HBONGBEKESLANTAI" localSheetId="3">#REF!</definedName>
    <definedName name="HBONGBEKESLANTAI">#REF!</definedName>
    <definedName name="HBONGBEKESPONDASI" localSheetId="3">#REF!</definedName>
    <definedName name="HBONGBEKESPONDASI">#REF!</definedName>
    <definedName name="HBONGBEKESSLOOF" localSheetId="3">#REF!</definedName>
    <definedName name="HBONGBEKESSLOOF">#REF!</definedName>
    <definedName name="HBOUPLANK" localSheetId="3">#REF!</definedName>
    <definedName name="HBOUPLANK">#REF!</definedName>
    <definedName name="HBOUWPLANK" localSheetId="3">#REF!</definedName>
    <definedName name="HBOUWPLANK">#REF!</definedName>
    <definedName name="HBRC120" localSheetId="3">#REF!</definedName>
    <definedName name="HBRC120">#REF!</definedName>
    <definedName name="HBRC90" localSheetId="3">#REF!</definedName>
    <definedName name="HBRC90">#REF!</definedName>
    <definedName name="HBUBUNGARDEKS" localSheetId="3">#REF!</definedName>
    <definedName name="HBUBUNGARDEKS">#REF!</definedName>
    <definedName name="HCATBESI" localSheetId="3">#REF!</definedName>
    <definedName name="HCATBESI">#REF!</definedName>
    <definedName name="HCATGENTENG" localSheetId="3">#REF!</definedName>
    <definedName name="HCATGENTENG">#REF!</definedName>
    <definedName name="HCATKAYU" localSheetId="3">#REF!</definedName>
    <definedName name="HCATKAYU">#REF!</definedName>
    <definedName name="HCATKAYUUL" localSheetId="3">#REF!</definedName>
    <definedName name="HCATKAYUUL">#REF!</definedName>
    <definedName name="HCATMENIKAYU" localSheetId="3">#REF!</definedName>
    <definedName name="HCATMENIKAYU">#REF!</definedName>
    <definedName name="HCATPLAFOND" localSheetId="3">#REF!</definedName>
    <definedName name="HCATPLAFOND">#REF!</definedName>
    <definedName name="hcatplafondulang" localSheetId="3">#REF!</definedName>
    <definedName name="hcatplafondulang">#REF!</definedName>
    <definedName name="HCATTEM" localSheetId="3">#REF!</definedName>
    <definedName name="HCATTEM">#REF!</definedName>
    <definedName name="HCATTEMUL" localSheetId="3">#REF!</definedName>
    <definedName name="HCATTEMUL">#REF!</definedName>
    <definedName name="HCATTILUP" localSheetId="3">#REF!</definedName>
    <definedName name="HCATTILUP">#REF!</definedName>
    <definedName name="HCLOSEDJONG" localSheetId="3">#REF!</definedName>
    <definedName name="HCLOSEDJONG">#REF!</definedName>
    <definedName name="HCLOSETJONGKOK" localSheetId="3">#REF!</definedName>
    <definedName name="HCLOSETJONGKOK">#REF!</definedName>
    <definedName name="HCOR135" localSheetId="3">#REF!</definedName>
    <definedName name="HCOR135">#REF!</definedName>
    <definedName name="HCORLAN" localSheetId="3">#REF!</definedName>
    <definedName name="HCORLAN">#REF!</definedName>
    <definedName name="HCORLANTAI" localSheetId="3">#REF!</definedName>
    <definedName name="HCORLANTAI">#REF!</definedName>
    <definedName name="HCORLANTAIM2" localSheetId="3">#REF!</definedName>
    <definedName name="HCORLANTAIM2">#REF!</definedName>
    <definedName name="HCORPLAT" localSheetId="3">#REF!</definedName>
    <definedName name="HCORPLAT">#REF!</definedName>
    <definedName name="HCORPONDASI" localSheetId="3">#REF!</definedName>
    <definedName name="HCORPONDASI">#REF!</definedName>
    <definedName name="HCORSLOOF" localSheetId="3">#REF!</definedName>
    <definedName name="HCORSLOOF">#REF!</definedName>
    <definedName name="hd" localSheetId="3">#REF!</definedName>
    <definedName name="hd">#REF!</definedName>
    <definedName name="HDINDINGDOBLETRIPLEKS" localSheetId="3">#REF!</definedName>
    <definedName name="HDINDINGDOBLETRIPLEKS">#REF!</definedName>
    <definedName name="HDINDINGDOPLETRIPLEKS" localSheetId="3">#REF!</definedName>
    <definedName name="HDINDINGDOPLETRIPLEKS">#REF!</definedName>
    <definedName name="hdindingpapan1" localSheetId="3">#REF!</definedName>
    <definedName name="hdindingpapan1">#REF!</definedName>
    <definedName name="HDINDINGPARTISITEAK" localSheetId="3">#REF!</definedName>
    <definedName name="HDINDINGPARTISITEAK">#REF!</definedName>
    <definedName name="HDINDINGSENGPLAT" localSheetId="3">#REF!</definedName>
    <definedName name="HDINDINGSENGPLAT">#REF!</definedName>
    <definedName name="HDINDINGTRIPLEKS" localSheetId="3">#REF!</definedName>
    <definedName name="HDINDINGTRIPLEKS">#REF!</definedName>
    <definedName name="HDINDINGTRIPLEKSSENG" localSheetId="3">#REF!</definedName>
    <definedName name="HDINDINGTRIPLEKSSENG">#REF!</definedName>
    <definedName name="hdw" localSheetId="3">#REF!</definedName>
    <definedName name="hdw">#REF!</definedName>
    <definedName name="Heä_soá_laép_xaø_H">1.7</definedName>
    <definedName name="heä_soá_sình_laày">#REF!</definedName>
    <definedName name="Head" localSheetId="3">#REF!</definedName>
    <definedName name="Head">#REF!</definedName>
    <definedName name="Head_6" localSheetId="3">#REF!</definedName>
    <definedName name="Head_6">#REF!</definedName>
    <definedName name="headshower" localSheetId="3">#REF!</definedName>
    <definedName name="headshower">#REF!</definedName>
    <definedName name="hedlingtp" localSheetId="3">#REF!</definedName>
    <definedName name="hedlingtp">#REF!</definedName>
    <definedName name="HEKSPAGNOLETE" localSheetId="3">#REF!</definedName>
    <definedName name="HEKSPAGNOLETE">#REF!</definedName>
    <definedName name="Heloconia" localSheetId="3">#REF!</definedName>
    <definedName name="Heloconia">#REF!</definedName>
    <definedName name="HENGSEL" localSheetId="3">#REF!</definedName>
    <definedName name="HENGSEL">#REF!</definedName>
    <definedName name="HENGSELJENDELA" localSheetId="3">#REF!</definedName>
    <definedName name="HENGSELJENDELA">#REF!</definedName>
    <definedName name="HENGSELPINTU" localSheetId="3">#REF!</definedName>
    <definedName name="HENGSELPINTU">#REF!</definedName>
    <definedName name="HEXAS" localSheetId="3">#REF!</definedName>
    <definedName name="HEXAS">#REF!</definedName>
    <definedName name="HFLOOR12" localSheetId="3">#REF!</definedName>
    <definedName name="HFLOOR12">#REF!</definedName>
    <definedName name="HFLOORDRAIN" localSheetId="3">#REF!</definedName>
    <definedName name="HFLOORDRAIN">#REF!</definedName>
    <definedName name="hfy" localSheetId="3" hidden="1">#REF!</definedName>
    <definedName name="hfy" hidden="1">#REF!</definedName>
    <definedName name="hg">'[35]Upah&amp;Bahan'!$C$55</definedName>
    <definedName name="HGALIAN" localSheetId="3">#REF!</definedName>
    <definedName name="HGALIAN">#REF!</definedName>
    <definedName name="HGALIANTANAH" localSheetId="3">#REF!</definedName>
    <definedName name="HGALIANTANAH">#REF!</definedName>
    <definedName name="HGIPAIRB1" localSheetId="3">#REF!</definedName>
    <definedName name="HGIPAIRB1">#REF!</definedName>
    <definedName name="HGIPAIRB112" localSheetId="3">#REF!</definedName>
    <definedName name="HGIPAIRB112">#REF!</definedName>
    <definedName name="HGIPAIRB2" localSheetId="3">#REF!</definedName>
    <definedName name="HGIPAIRB2">#REF!</definedName>
    <definedName name="HGIPAIRB212" localSheetId="3">#REF!</definedName>
    <definedName name="HGIPAIRB212">#REF!</definedName>
    <definedName name="HGIPAIRB3" localSheetId="3">#REF!</definedName>
    <definedName name="HGIPAIRB3">#REF!</definedName>
    <definedName name="HGIPAIRB34" localSheetId="3">#REF!</definedName>
    <definedName name="HGIPAIRB34">#REF!</definedName>
    <definedName name="HGIPAIRB4" localSheetId="3">#REF!</definedName>
    <definedName name="HGIPAIRB4">#REF!</definedName>
    <definedName name="HGIPAIRB6" localSheetId="3">#REF!</definedName>
    <definedName name="HGIPAIRB6">#REF!</definedName>
    <definedName name="HGIV1" localSheetId="3">#REF!</definedName>
    <definedName name="HGIV1">#REF!</definedName>
    <definedName name="HGIV12" localSheetId="3">#REF!</definedName>
    <definedName name="HGIV12">#REF!</definedName>
    <definedName name="HGIV2" localSheetId="3">#REF!</definedName>
    <definedName name="HGIV2">#REF!</definedName>
    <definedName name="HGIV3" localSheetId="3">#REF!</definedName>
    <definedName name="HGIV3">#REF!</definedName>
    <definedName name="HGIV34" localSheetId="3">#REF!</definedName>
    <definedName name="HGIV34">#REF!</definedName>
    <definedName name="HGIV4" localSheetId="3">#REF!</definedName>
    <definedName name="HGIV4">#REF!</definedName>
    <definedName name="hgjj" localSheetId="2" hidden="1">{"'Sheet1'!$A$1"}</definedName>
    <definedName name="hgjj" localSheetId="3" hidden="1">{"'Sheet1'!$A$1"}</definedName>
    <definedName name="hgjj" hidden="1">{"'Sheet1'!$A$1"}</definedName>
    <definedName name="HGORDING">#REF!</definedName>
    <definedName name="HGRENDEL" localSheetId="3">#REF!</definedName>
    <definedName name="HGRENDEL">#REF!</definedName>
    <definedName name="HGRENDELJENDELA" localSheetId="3">#REF!</definedName>
    <definedName name="HGRENDELJENDELA">#REF!</definedName>
    <definedName name="HH" localSheetId="2" hidden="1">{"'Sheet1'!$A$1"}</definedName>
    <definedName name="HH" localSheetId="3" hidden="1">{"'Sheet1'!$A$1"}</definedName>
    <definedName name="HH" hidden="1">{"'Sheet1'!$A$1"}</definedName>
    <definedName name="HHAK">#REF!</definedName>
    <definedName name="HiddenRows" localSheetId="3" hidden="1">#REF!</definedName>
    <definedName name="HiddenRows" hidden="1">#REF!</definedName>
    <definedName name="hil" localSheetId="3">#REF!</definedName>
    <definedName name="hil">#REF!</definedName>
    <definedName name="HJALUSI" localSheetId="3">#REF!</definedName>
    <definedName name="HJALUSI">#REF!</definedName>
    <definedName name="HJENDELAKREPYAK" localSheetId="3">#REF!</definedName>
    <definedName name="HJENDELAKREPYAK">#REF!</definedName>
    <definedName name="HJENDELAPANEL" localSheetId="3">#REF!</definedName>
    <definedName name="HJENDELAPANEL">#REF!</definedName>
    <definedName name="HJENDELAPANELKACA" localSheetId="3">#REF!</definedName>
    <definedName name="HJENDELAPANELKACA">#REF!</definedName>
    <definedName name="HJENDELAPANELKACABH" localSheetId="3">#REF!</definedName>
    <definedName name="HJENDELAPANELKACABH">#REF!</definedName>
    <definedName name="HJENDELAPANELKACAPOLOS" localSheetId="3">#REF!</definedName>
    <definedName name="HJENDELAPANELKACAPOLOS">#REF!</definedName>
    <definedName name="hjy" localSheetId="2" hidden="1">{"'Sheet1'!$A$1"}</definedName>
    <definedName name="hjy" localSheetId="3" hidden="1">{"'Sheet1'!$A$1"}</definedName>
    <definedName name="hjy" hidden="1">{"'Sheet1'!$A$1"}</definedName>
    <definedName name="HK">#REF!</definedName>
    <definedName name="HKACAPOLOS3" localSheetId="3">#REF!</definedName>
    <definedName name="HKACAPOLOS3">#REF!</definedName>
    <definedName name="HKACAPOLOS5" localSheetId="3">#REF!</definedName>
    <definedName name="HKACAPOLOS5">#REF!</definedName>
    <definedName name="HKACARAYBEN5" localSheetId="3">#REF!</definedName>
    <definedName name="HKACARAYBEN5">#REF!</definedName>
    <definedName name="HKAPBAJASIKU" localSheetId="3">#REF!</definedName>
    <definedName name="HKAPBAJASIKU">#REF!</definedName>
    <definedName name="HKASO" localSheetId="3">#REF!</definedName>
    <definedName name="HKASO">#REF!</definedName>
    <definedName name="HKAYUBULATBESI" localSheetId="3">#REF!</definedName>
    <definedName name="HKAYUBULATBESI">#REF!</definedName>
    <definedName name="HKER1020" localSheetId="3">#REF!</definedName>
    <definedName name="HKER1020">#REF!</definedName>
    <definedName name="HKER2020" localSheetId="3">#REF!</definedName>
    <definedName name="HKER2020">#REF!</definedName>
    <definedName name="HKER2025" localSheetId="3">#REF!</definedName>
    <definedName name="HKER2025">#REF!</definedName>
    <definedName name="HKER3030" localSheetId="3">#REF!</definedName>
    <definedName name="HKER3030">#REF!</definedName>
    <definedName name="HKERAWANG" localSheetId="3">#REF!</definedName>
    <definedName name="HKERAWANG">#REF!</definedName>
    <definedName name="HKERIKILTIM" localSheetId="3">#REF!</definedName>
    <definedName name="HKERIKILTIM">#REF!</definedName>
    <definedName name="hkolom30" localSheetId="3">#REF!</definedName>
    <definedName name="hkolom30">#REF!</definedName>
    <definedName name="HKOLOM30BA" localSheetId="3">#REF!</definedName>
    <definedName name="HKOLOM30BA">#REF!</definedName>
    <definedName name="HKOLOMDIA15" localSheetId="3">#REF!</definedName>
    <definedName name="HKOLOMDIA15">#REF!</definedName>
    <definedName name="HKOLOMPRAKTIS" localSheetId="3">#REF!</definedName>
    <definedName name="HKOLOMPRAKTIS">#REF!</definedName>
    <definedName name="HKONSTRUKSIBESI" localSheetId="3">#REF!</definedName>
    <definedName name="HKONSTRUKSIBESI">#REF!</definedName>
    <definedName name="HKRANAIR34" localSheetId="3">#REF!</definedName>
    <definedName name="HKRANAIR34">#REF!</definedName>
    <definedName name="HKUDA" localSheetId="3">#REF!</definedName>
    <definedName name="HKUDA">#REF!</definedName>
    <definedName name="HKUDABESAR7" localSheetId="3">#REF!</definedName>
    <definedName name="HKUDABESAR7">#REF!</definedName>
    <definedName name="HKUNCITANAM1" localSheetId="3">#REF!</definedName>
    <definedName name="HKUNCITANAM1">#REF!</definedName>
    <definedName name="HKUNCITANAM2" localSheetId="3">#REF!</definedName>
    <definedName name="HKUNCITANAM2">#REF!</definedName>
    <definedName name="HKUSEN" localSheetId="3">#REF!</definedName>
    <definedName name="HKUSEN">#REF!</definedName>
    <definedName name="HKUSENKAYU" localSheetId="3">#REF!</definedName>
    <definedName name="HKUSENKAYU">#REF!</definedName>
    <definedName name="HLAMBERSERING" localSheetId="3">#REF!</definedName>
    <definedName name="HLAMBERSERING">#REF!</definedName>
    <definedName name="HLAMPIJAR40" localSheetId="3">#REF!</definedName>
    <definedName name="HLAMPIJAR40">#REF!</definedName>
    <definedName name="HLAMPU1X40" localSheetId="3">#REF!</definedName>
    <definedName name="HLAMPU1X40">#REF!</definedName>
    <definedName name="HLANTAIBETON" localSheetId="3">#REF!</definedName>
    <definedName name="HLANTAIBETON">#REF!</definedName>
    <definedName name="HLANTAIKAYU" localSheetId="3">#REF!</definedName>
    <definedName name="HLANTAIKAYU">#REF!</definedName>
    <definedName name="HLES12" localSheetId="3">#REF!</definedName>
    <definedName name="HLES12">#REF!</definedName>
    <definedName name="HLIN1111" localSheetId="3">#REF!</definedName>
    <definedName name="HLIN1111">#REF!</definedName>
    <definedName name="HLISPLANKKAYU" localSheetId="3">#REF!</definedName>
    <definedName name="HLISPLANKKAYU">#REF!</definedName>
    <definedName name="hlisplankukir" localSheetId="3">#REF!</definedName>
    <definedName name="hlisplankukir">#REF!</definedName>
    <definedName name="HLISTKAYU" localSheetId="3">#REF!</definedName>
    <definedName name="HLISTKAYU">#REF!</definedName>
    <definedName name="HLISTPROFIL" localSheetId="3">#REF!</definedName>
    <definedName name="HLISTPROFIL">#REF!</definedName>
    <definedName name="HMANHOLE" localSheetId="3">#REF!</definedName>
    <definedName name="HMANHOLE">#REF!</definedName>
    <definedName name="HMENARA" localSheetId="3">#REF!</definedName>
    <definedName name="HMENARA">#REF!</definedName>
    <definedName name="HMENIBESI" localSheetId="3">#REF!</definedName>
    <definedName name="HMENIBESI">#REF!</definedName>
    <definedName name="HMOZAIK2020" localSheetId="3">#REF!</definedName>
    <definedName name="HMOZAIK2020">#REF!</definedName>
    <definedName name="HMOZAIK3030" localSheetId="3">#REF!</definedName>
    <definedName name="HMOZAIK3030">#REF!</definedName>
    <definedName name="HNACORAYBEN8" localSheetId="3">#REF!</definedName>
    <definedName name="HNACORAYBEN8">#REF!</definedName>
    <definedName name="HNAKOBENING6" localSheetId="3">#REF!</definedName>
    <definedName name="HNAKOBENING6">#REF!</definedName>
    <definedName name="HNAKOBENING8" localSheetId="3">#REF!</definedName>
    <definedName name="HNAKOBENING8">#REF!</definedName>
    <definedName name="HNOKSENG" localSheetId="3">#REF!</definedName>
    <definedName name="HNOKSENG">#REF!</definedName>
    <definedName name="HNOKSENG2" localSheetId="3">#REF!</definedName>
    <definedName name="HNOKSENG2">#REF!</definedName>
    <definedName name="hollo40x40" localSheetId="3">#REF!</definedName>
    <definedName name="hollo40x40">#REF!</definedName>
    <definedName name="hollow20x20" localSheetId="3">#REF!</definedName>
    <definedName name="hollow20x20">#REF!</definedName>
    <definedName name="hollow30x30" localSheetId="3">#REF!</definedName>
    <definedName name="hollow30x30">#REF!</definedName>
    <definedName name="hollow40x20" localSheetId="3">#REF!</definedName>
    <definedName name="hollow40x20">#REF!</definedName>
    <definedName name="homo3030" localSheetId="3">#REF!</definedName>
    <definedName name="homo3030">#REF!</definedName>
    <definedName name="homo3060" localSheetId="3">#REF!</definedName>
    <definedName name="homo3060">#REF!</definedName>
    <definedName name="homo40" localSheetId="3">#REF!</definedName>
    <definedName name="homo40">#REF!</definedName>
    <definedName name="homostep3030" localSheetId="3">#REF!</definedName>
    <definedName name="homostep3030">#REF!</definedName>
    <definedName name="homostep4040" localSheetId="3">#REF!</definedName>
    <definedName name="homostep4040">#REF!</definedName>
    <definedName name="horizontal" localSheetId="3">#REF!</definedName>
    <definedName name="horizontal">#REF!</definedName>
    <definedName name="horrybeam" localSheetId="3">#REF!</definedName>
    <definedName name="horrybeam">#REF!</definedName>
    <definedName name="HPAPANGRILLSENG" localSheetId="3">#REF!</definedName>
    <definedName name="HPAPANGRILLSENG">#REF!</definedName>
    <definedName name="hpbp">#REF!</definedName>
    <definedName name="HPINTUDOBLETRIPLEKSSENG" localSheetId="3">#REF!</definedName>
    <definedName name="HPINTUDOBLETRIPLEKSSENG">#REF!</definedName>
    <definedName name="HPINTUDOUBLETEAK" localSheetId="3">#REF!</definedName>
    <definedName name="HPINTUDOUBLETEAK">#REF!</definedName>
    <definedName name="HPINTUKACAKISIPOLOS5" localSheetId="3">#REF!</definedName>
    <definedName name="HPINTUKACAKISIPOLOS5">#REF!</definedName>
    <definedName name="HPINTUKACAPOLOS5" localSheetId="3">#REF!</definedName>
    <definedName name="HPINTUKACAPOLOS5">#REF!</definedName>
    <definedName name="HPINTUPANEL" localSheetId="3">#REF!</definedName>
    <definedName name="HPINTUPANEL">#REF!</definedName>
    <definedName name="HPINTUPANELBH" localSheetId="3">#REF!</definedName>
    <definedName name="HPINTUPANELBH">#REF!</definedName>
    <definedName name="HPINTUPANELKACABH" localSheetId="3">#REF!</definedName>
    <definedName name="HPINTUPANELKACABH">#REF!</definedName>
    <definedName name="HPINTUPANELKACAPOLOS" localSheetId="3">#REF!</definedName>
    <definedName name="HPINTUPANELKACAPOLOS">#REF!</definedName>
    <definedName name="HPINTUPANELKACARAY" localSheetId="3">#REF!</definedName>
    <definedName name="HPINTUPANELKACARAY">#REF!</definedName>
    <definedName name="HPINTUPANELSENG" localSheetId="3">#REF!</definedName>
    <definedName name="HPINTUPANELSENG">#REF!</definedName>
    <definedName name="HPINTUPANELSENGBH" localSheetId="3">#REF!</definedName>
    <definedName name="HPINTUPANELSENGBH">#REF!</definedName>
    <definedName name="HPINTUTRIPLEKS" localSheetId="3">#REF!</definedName>
    <definedName name="HPINTUTRIPLEKS">#REF!</definedName>
    <definedName name="HPINTUTRIPLEKSBH" localSheetId="3">#REF!</definedName>
    <definedName name="HPINTUTRIPLEKSBH">#REF!</definedName>
    <definedName name="HPIPASTENLESS" localSheetId="3">#REF!</definedName>
    <definedName name="HPIPASTENLESS">#REF!</definedName>
    <definedName name="hpkst">#REF!</definedName>
    <definedName name="HPL" localSheetId="2">[66]Bahan!$J$75</definedName>
    <definedName name="HPL" localSheetId="3">[66]Bahan!$J$75</definedName>
    <definedName name="HPL">[67]Bahan!$J$75</definedName>
    <definedName name="HPLAFONDTRIPLEKS" localSheetId="3">#REF!</definedName>
    <definedName name="HPLAFONDTRIPLEKS">#REF!</definedName>
    <definedName name="HPLAT4" localSheetId="3">#REF!</definedName>
    <definedName name="HPLAT4">#REF!</definedName>
    <definedName name="HPLES12" localSheetId="3">#REF!</definedName>
    <definedName name="HPLES12">#REF!</definedName>
    <definedName name="HPLES13" localSheetId="3">#REF!</definedName>
    <definedName name="HPLES13">#REF!</definedName>
    <definedName name="HPLES14" localSheetId="3">#REF!</definedName>
    <definedName name="HPLES14">#REF!</definedName>
    <definedName name="HPLESTER12" localSheetId="3">#REF!</definedName>
    <definedName name="HPLESTER12">#REF!</definedName>
    <definedName name="HPLESTER13" localSheetId="3">#REF!</definedName>
    <definedName name="HPLESTER13">#REF!</definedName>
    <definedName name="HPLINT1020" localSheetId="3">#REF!</definedName>
    <definedName name="HPLINT1020">#REF!</definedName>
    <definedName name="HPLINT1030" localSheetId="3">#REF!</definedName>
    <definedName name="HPLINT1030">#REF!</definedName>
    <definedName name="HPOLITUR" localSheetId="3">#REF!</definedName>
    <definedName name="HPOLITUR">#REF!</definedName>
    <definedName name="HPORSELIN1111" localSheetId="3">#REF!</definedName>
    <definedName name="HPORSELIN1111">#REF!</definedName>
    <definedName name="hppt">#REF!</definedName>
    <definedName name="HPVC1" localSheetId="3">#REF!</definedName>
    <definedName name="HPVC1">#REF!</definedName>
    <definedName name="HPVC2" localSheetId="3">#REF!</definedName>
    <definedName name="HPVC2">#REF!</definedName>
    <definedName name="HPVC3" localSheetId="3">#REF!</definedName>
    <definedName name="HPVC3">#REF!</definedName>
    <definedName name="HPVC4" localSheetId="3">#REF!</definedName>
    <definedName name="HPVC4">#REF!</definedName>
    <definedName name="HRBF2" localSheetId="3">#REF!</definedName>
    <definedName name="HRBF2">#REF!</definedName>
    <definedName name="HRBF3" localSheetId="3">#REF!</definedName>
    <definedName name="HRBF3">#REF!</definedName>
    <definedName name="HRBF4" localSheetId="3">#REF!</definedName>
    <definedName name="HRBF4">#REF!</definedName>
    <definedName name="HRESIDU" localSheetId="3">#REF!</definedName>
    <definedName name="HRESIDU">#REF!</definedName>
    <definedName name="HRINGBALK2035" localSheetId="3">#REF!</definedName>
    <definedName name="HRINGBALK2035">#REF!</definedName>
    <definedName name="HRINKBALK1520" localSheetId="3">#REF!</definedName>
    <definedName name="HRINKBALK1520">#REF!</definedName>
    <definedName name="HRS" localSheetId="2">#REF!</definedName>
    <definedName name="HRS" localSheetId="3">#REF!</definedName>
    <definedName name="HRS" localSheetId="11">#REF!</definedName>
    <definedName name="HRS">#REF!</definedName>
    <definedName name="HSAKGAN" localSheetId="3">#REF!</definedName>
    <definedName name="HSAKGAN">#REF!</definedName>
    <definedName name="HSAKTUNG" localSheetId="3">#REF!</definedName>
    <definedName name="HSAKTUNG">#REF!</definedName>
    <definedName name="HSALTER" localSheetId="3">#REF!</definedName>
    <definedName name="HSALTER">#REF!</definedName>
    <definedName name="HSCT3">0.1</definedName>
    <definedName name="HSD">#REF!</definedName>
    <definedName name="hsdc1" localSheetId="3">#REF!</definedName>
    <definedName name="hsdc1">#REF!</definedName>
    <definedName name="HSDN">2.5</definedName>
    <definedName name="HSEKERING">#REF!</definedName>
    <definedName name="HSEPTIC" localSheetId="3">#REF!</definedName>
    <definedName name="HSEPTIC">#REF!</definedName>
    <definedName name="HSEPTIC1" localSheetId="3">#REF!</definedName>
    <definedName name="HSEPTIC1">#REF!</definedName>
    <definedName name="HSEPTIC2" localSheetId="3">#REF!</definedName>
    <definedName name="HSEPTIC2">#REF!</definedName>
    <definedName name="HSHH" localSheetId="3">#REF!</definedName>
    <definedName name="HSHH">#REF!</definedName>
    <definedName name="HSHHUT" localSheetId="3">#REF!</definedName>
    <definedName name="HSHHUT">#REF!</definedName>
    <definedName name="HSLOOF1520" localSheetId="3">#REF!</definedName>
    <definedName name="HSLOOF1520">#REF!</definedName>
    <definedName name="HSOPI" localSheetId="3">#REF!</definedName>
    <definedName name="HSOPI">#REF!</definedName>
    <definedName name="hspt" localSheetId="3">#REF!</definedName>
    <definedName name="hspt">#REF!</definedName>
    <definedName name="HSSL" localSheetId="3">#REF!</definedName>
    <definedName name="HSSL">#REF!</definedName>
    <definedName name="hstopkon" localSheetId="3">#REF!</definedName>
    <definedName name="hstopkon">#REF!</definedName>
    <definedName name="HSTOPKRAN" localSheetId="3">#REF!</definedName>
    <definedName name="HSTOPKRAN">#REF!</definedName>
    <definedName name="hstopkran2" localSheetId="3">#REF!</definedName>
    <definedName name="hstopkran2">#REF!</definedName>
    <definedName name="HSTOPKRAN212" localSheetId="3">#REF!</definedName>
    <definedName name="HSTOPKRAN212">#REF!</definedName>
    <definedName name="HSTOPKRAN34" localSheetId="3">#REF!</definedName>
    <definedName name="HSTOPKRAN34">#REF!</definedName>
    <definedName name="HSTOPKRAN4" localSheetId="3">#REF!</definedName>
    <definedName name="HSTOPKRAN4">#REF!</definedName>
    <definedName name="HSTUT" localSheetId="3">#REF!</definedName>
    <definedName name="HSTUT">#REF!</definedName>
    <definedName name="hsut" localSheetId="3">#REF!</definedName>
    <definedName name="hsut">#REF!</definedName>
    <definedName name="HSVC1" localSheetId="3">#REF!</definedName>
    <definedName name="HSVC1">#REF!</definedName>
    <definedName name="HSVC2" localSheetId="3">#REF!</definedName>
    <definedName name="HSVC2">#REF!</definedName>
    <definedName name="HSVC3" localSheetId="3">#REF!</definedName>
    <definedName name="HSVC3">#REF!</definedName>
    <definedName name="hswt" localSheetId="3">#REF!</definedName>
    <definedName name="hswt">#REF!</definedName>
    <definedName name="HT" localSheetId="3">#REF!</definedName>
    <definedName name="HT">#REF!</definedName>
    <definedName name="HT_6" localSheetId="3">#REF!</definedName>
    <definedName name="HT_6">#REF!</definedName>
    <definedName name="HTALANGPVC" localSheetId="3">#REF!</definedName>
    <definedName name="HTALANGPVC">#REF!</definedName>
    <definedName name="Htalangseng" localSheetId="3">#REF!</definedName>
    <definedName name="Htalangseng">#REF!</definedName>
    <definedName name="HTANAHTIM" localSheetId="3">#REF!</definedName>
    <definedName name="HTANAHTIM">#REF!</definedName>
    <definedName name="HTANGPVC" localSheetId="3">#REF!</definedName>
    <definedName name="HTANGPVC">#REF!</definedName>
    <definedName name="HTELA14M3" localSheetId="3">#REF!</definedName>
    <definedName name="HTELA14M3">#REF!</definedName>
    <definedName name="hthjhj" localSheetId="2" hidden="1">{"'Sheet1'!$A$1"}</definedName>
    <definedName name="hthjhj" localSheetId="3" hidden="1">{"'Sheet1'!$A$1"}</definedName>
    <definedName name="hthjhj" hidden="1">{"'Sheet1'!$A$1"}</definedName>
    <definedName name="HTIANGBAJA">#REF!</definedName>
    <definedName name="HTIANGKAYUBESI" localSheetId="3">#REF!</definedName>
    <definedName name="HTIANGKAYUBESI">#REF!</definedName>
    <definedName name="HTIMKARANG" localSheetId="3">#REF!</definedName>
    <definedName name="HTIMKARANG">#REF!</definedName>
    <definedName name="HTML_CodePage" hidden="1">1252</definedName>
    <definedName name="HTML_Control" localSheetId="2" hidden="1">{"'Sheet1'!$A$1"}</definedName>
    <definedName name="HTML_Control" localSheetId="3" hidden="1">{"'Sheet1'!$A$1"}</definedName>
    <definedName name="HTML_Control" hidden="1">{"'Sheet1'!$A$1"}</definedName>
    <definedName name="HTML_Description" hidden="1">""</definedName>
    <definedName name="HTML_Email" hidden="1">""</definedName>
    <definedName name="HTML_Header" hidden="1">"Sheet1"</definedName>
    <definedName name="HTML_LastUpdate" hidden="1">"4/12/01"</definedName>
    <definedName name="HTML_LineAfter" hidden="1">FALSE</definedName>
    <definedName name="HTML_LineBefore" hidden="1">FALSE</definedName>
    <definedName name="HTML_Name" hidden="1">"TJ 2000"</definedName>
    <definedName name="HTML_OBDlg2" hidden="1">TRUE</definedName>
    <definedName name="HTML_OBDlg4" hidden="1">TRUE</definedName>
    <definedName name="HTML_OS" hidden="1">0</definedName>
    <definedName name="HTML_PathFile" hidden="1">"C:\WINDOWS\Favorites\MyHTML.htm"</definedName>
    <definedName name="HTML_Title" hidden="1">"Book1"</definedName>
    <definedName name="HTNC">#REF!</definedName>
    <definedName name="HTOPGAVEL" localSheetId="3">#REF!</definedName>
    <definedName name="HTOPGAVEL">#REF!</definedName>
    <definedName name="HTVL" localSheetId="3">#REF!</definedName>
    <definedName name="HTVL">#REF!</definedName>
    <definedName name="HUPAHPLAT" localSheetId="3">#REF!</definedName>
    <definedName name="HUPAHPLAT">#REF!</definedName>
    <definedName name="HUPAHSLOOF" localSheetId="3">#REF!</definedName>
    <definedName name="HUPAHSLOOF">#REF!</definedName>
    <definedName name="HURUGAN" localSheetId="3">#REF!</definedName>
    <definedName name="HURUGAN">#REF!</definedName>
    <definedName name="HURUGANKEMBALI" localSheetId="3">#REF!</definedName>
    <definedName name="HURUGANKEMBALI">#REF!</definedName>
    <definedName name="HURUGANPASIR" localSheetId="3">#REF!</definedName>
    <definedName name="HURUGANPASIR">#REF!</definedName>
    <definedName name="HVENTILASI" localSheetId="3">#REF!</definedName>
    <definedName name="HVENTILASI">#REF!</definedName>
    <definedName name="HWAFEL2020">#REF!</definedName>
    <definedName name="HWASHTAFEL" localSheetId="3">#REF!</definedName>
    <definedName name="HWASHTAFEL">#REF!</definedName>
    <definedName name="hx" localSheetId="2">#REF!</definedName>
    <definedName name="hx" localSheetId="3">#REF!</definedName>
    <definedName name="hx">#REF!</definedName>
    <definedName name="hyhkj" localSheetId="2" hidden="1">{"'Sheet1'!$A$1"}</definedName>
    <definedName name="hyhkj" localSheetId="3" hidden="1">{"'Sheet1'!$A$1"}</definedName>
    <definedName name="hyhkj" hidden="1">{"'Sheet1'!$A$1"}</definedName>
    <definedName name="hyu4t" localSheetId="2" hidden="1">{"'Sheet1'!$A$1"}</definedName>
    <definedName name="hyu4t" localSheetId="3" hidden="1">{"'Sheet1'!$A$1"}</definedName>
    <definedName name="hyu4t" hidden="1">{"'Sheet1'!$A$1"}</definedName>
    <definedName name="hyut" localSheetId="2" hidden="1">{"'Sheet1'!$A$1"}</definedName>
    <definedName name="hyut" localSheetId="3" hidden="1">{"'Sheet1'!$A$1"}</definedName>
    <definedName name="hyut" hidden="1">{"'Sheet1'!$A$1"}</definedName>
    <definedName name="I.2" localSheetId="2">#REF!</definedName>
    <definedName name="I.2" localSheetId="3">#REF!</definedName>
    <definedName name="I.2">#N/A</definedName>
    <definedName name="I.2.A" localSheetId="2">[15]Anl!#REF!</definedName>
    <definedName name="I.2.A" localSheetId="3">[15]Anl!#REF!</definedName>
    <definedName name="I.2.A" localSheetId="11">[8]Anl!#REF!</definedName>
    <definedName name="I.2.A">[8]Anl!#REF!</definedName>
    <definedName name="I.2.B" localSheetId="2">[15]Anl!#REF!</definedName>
    <definedName name="I.2.B" localSheetId="3">[15]Anl!#REF!</definedName>
    <definedName name="I.2.B" localSheetId="11">[8]Anl!#REF!</definedName>
    <definedName name="I.2.B">[8]Anl!#REF!</definedName>
    <definedName name="I_L1" localSheetId="3">#REF!</definedName>
    <definedName name="I_L1">#REF!</definedName>
    <definedName name="I_L2" localSheetId="3">#REF!</definedName>
    <definedName name="I_L2">#REF!</definedName>
    <definedName name="I_L3" localSheetId="3">#REF!</definedName>
    <definedName name="I_L3">#REF!</definedName>
    <definedName name="I_LATAP" localSheetId="3">#REF!</definedName>
    <definedName name="I_LATAP">#REF!</definedName>
    <definedName name="I_LD" localSheetId="3">#REF!</definedName>
    <definedName name="I_LD">#REF!</definedName>
    <definedName name="I_LPOS" localSheetId="3">#REF!</definedName>
    <definedName name="I_LPOS">#REF!</definedName>
    <definedName name="I_LU" localSheetId="3">#REF!</definedName>
    <definedName name="I_LU">#REF!</definedName>
    <definedName name="i2a" localSheetId="3">#REF!</definedName>
    <definedName name="i2a">#REF!</definedName>
    <definedName name="i2b" localSheetId="3">#REF!</definedName>
    <definedName name="i2b">#REF!</definedName>
    <definedName name="i2c" localSheetId="3">#REF!</definedName>
    <definedName name="i2c">#REF!</definedName>
    <definedName name="i2d" localSheetId="3">#REF!</definedName>
    <definedName name="i2d">#REF!</definedName>
    <definedName name="i2e" localSheetId="3">#REF!</definedName>
    <definedName name="i2e">#REF!</definedName>
    <definedName name="IA" localSheetId="3">#REF!</definedName>
    <definedName name="IA">#REF!</definedName>
    <definedName name="iat">'[17]Upah&amp;Bahan'!$C$55</definedName>
    <definedName name="ihb" localSheetId="3">#REF!</definedName>
    <definedName name="ihb">#REF!</definedName>
    <definedName name="ihbl" localSheetId="3">#REF!</definedName>
    <definedName name="ihbl">#REF!</definedName>
    <definedName name="II_L1" localSheetId="3">#REF!</definedName>
    <definedName name="II_L1">#REF!</definedName>
    <definedName name="II_L2" localSheetId="3">#REF!</definedName>
    <definedName name="II_L2">#REF!</definedName>
    <definedName name="II_L3" localSheetId="3">#REF!</definedName>
    <definedName name="II_L3">#REF!</definedName>
    <definedName name="II_LATAP" localSheetId="3">#REF!</definedName>
    <definedName name="II_LATAP">#REF!</definedName>
    <definedName name="II_LD" localSheetId="3">#REF!</definedName>
    <definedName name="II_LD">#REF!</definedName>
    <definedName name="II_LPOS" localSheetId="3">#REF!</definedName>
    <definedName name="II_LPOS">#REF!</definedName>
    <definedName name="II_LU" localSheetId="3">#REF!</definedName>
    <definedName name="II_LU">#REF!</definedName>
    <definedName name="III_L1" localSheetId="3">#REF!</definedName>
    <definedName name="III_L1">#REF!</definedName>
    <definedName name="III_L2" localSheetId="3">#REF!</definedName>
    <definedName name="III_L2">#REF!</definedName>
    <definedName name="III_L3" localSheetId="3">#REF!</definedName>
    <definedName name="III_L3">#REF!</definedName>
    <definedName name="III_LATAP" localSheetId="3">#REF!</definedName>
    <definedName name="III_LATAP">#REF!</definedName>
    <definedName name="III_LD" localSheetId="3">#REF!</definedName>
    <definedName name="III_LD">#REF!</definedName>
    <definedName name="III_LPOS" localSheetId="3">#REF!</definedName>
    <definedName name="III_LPOS">#REF!</definedName>
    <definedName name="III_LU" localSheetId="3">#REF!</definedName>
    <definedName name="III_LU">#REF!</definedName>
    <definedName name="IIIST">'[68]3TH'!$DR$13:$DR$504</definedName>
    <definedName name="ijuk" localSheetId="3">#REF!</definedName>
    <definedName name="ijuk">#REF!</definedName>
    <definedName name="IKATAN_ANGIN">[10]BAHAN!#REF!</definedName>
    <definedName name="ikiran">'[17]Upah&amp;Bahan'!$C$18</definedName>
    <definedName name="im" localSheetId="3">#REF!</definedName>
    <definedName name="im">#REF!</definedName>
    <definedName name="IN">[14]BPS!#REF!</definedName>
    <definedName name="INDEX_ARS" localSheetId="3">#REF!</definedName>
    <definedName name="INDEX_ARS">#REF!</definedName>
    <definedName name="index_arsitektur" localSheetId="3">#REF!</definedName>
    <definedName name="index_arsitektur">#REF!</definedName>
    <definedName name="INDEX_STR" localSheetId="3">#REF!</definedName>
    <definedName name="INDEX_STR">#REF!</definedName>
    <definedName name="INSTALASI" localSheetId="2">#REF!</definedName>
    <definedName name="INSTALASI" localSheetId="3">#REF!</definedName>
    <definedName name="INSTALASI" localSheetId="11">#REF!</definedName>
    <definedName name="INSTALASI">#REF!</definedName>
    <definedName name="ipp" localSheetId="3" hidden="1">#REF!</definedName>
    <definedName name="ipp" hidden="1">#REF!</definedName>
    <definedName name="irahu" localSheetId="3">#REF!</definedName>
    <definedName name="irahu">#REF!</definedName>
    <definedName name="isol" localSheetId="3">#REF!</definedName>
    <definedName name="isol">#REF!</definedName>
    <definedName name="Ist">'[14]1st'!$B$12:$B$503</definedName>
    <definedName name="item">'[17]Kuantitas &amp; Harga'!#REF!</definedName>
    <definedName name="ITEM_PEMBAYARAN_No.">#REF!</definedName>
    <definedName name="IV_L1" localSheetId="3">#REF!</definedName>
    <definedName name="IV_L1">#REF!</definedName>
    <definedName name="IV_L2" localSheetId="3">#REF!</definedName>
    <definedName name="IV_L2">#REF!</definedName>
    <definedName name="IV_L3" localSheetId="3">#REF!</definedName>
    <definedName name="IV_L3">#REF!</definedName>
    <definedName name="IV_LD" localSheetId="3">#REF!</definedName>
    <definedName name="IV_LD">#REF!</definedName>
    <definedName name="IV_UPOS" localSheetId="3">#REF!</definedName>
    <definedName name="IV_UPOS">#REF!</definedName>
    <definedName name="iwfbs" localSheetId="3">#REF!</definedName>
    <definedName name="iwfbs">#REF!</definedName>
    <definedName name="IX.c" localSheetId="3">#REF!</definedName>
    <definedName name="IX.c">#REF!</definedName>
    <definedName name="IXb" localSheetId="3">#REF!</definedName>
    <definedName name="IXb">#REF!</definedName>
    <definedName name="j" localSheetId="3">#REF!</definedName>
    <definedName name="j">#REF!</definedName>
    <definedName name="J.1" localSheetId="3">#REF!</definedName>
    <definedName name="J.1">#REF!</definedName>
    <definedName name="j.2" localSheetId="3">#REF!</definedName>
    <definedName name="j.2">#REF!</definedName>
    <definedName name="J.2aksen" localSheetId="3">#REF!</definedName>
    <definedName name="J.2aksen">#REF!</definedName>
    <definedName name="J.3" localSheetId="3">#REF!</definedName>
    <definedName name="J.3">#REF!</definedName>
    <definedName name="J.4" localSheetId="3">#REF!</definedName>
    <definedName name="J.4">#REF!</definedName>
    <definedName name="J.4aksen" localSheetId="3">#REF!</definedName>
    <definedName name="J.4aksen">#REF!</definedName>
    <definedName name="J.5" localSheetId="3">#REF!</definedName>
    <definedName name="J.5">#REF!</definedName>
    <definedName name="J.6" localSheetId="3">#REF!</definedName>
    <definedName name="J.6">#REF!</definedName>
    <definedName name="J.7" localSheetId="3">#REF!</definedName>
    <definedName name="J.7">#REF!</definedName>
    <definedName name="J.9" localSheetId="3">#REF!</definedName>
    <definedName name="J.9">#REF!</definedName>
    <definedName name="J.KACAALUM" localSheetId="3">#REF!</definedName>
    <definedName name="J.KACAALUM">#REF!</definedName>
    <definedName name="J.KACAKAYU" localSheetId="3">#REF!</definedName>
    <definedName name="J.KACAKAYU">#REF!</definedName>
    <definedName name="J_10" localSheetId="3">#REF!</definedName>
    <definedName name="J_10">#REF!</definedName>
    <definedName name="J_12" localSheetId="3">#REF!</definedName>
    <definedName name="J_12">#REF!</definedName>
    <definedName name="J_18" localSheetId="3">#REF!</definedName>
    <definedName name="J_18">#REF!</definedName>
    <definedName name="J_19" localSheetId="3">#REF!</definedName>
    <definedName name="J_19">#REF!</definedName>
    <definedName name="J_20" localSheetId="3">#REF!</definedName>
    <definedName name="J_20">#REF!</definedName>
    <definedName name="J_20A" localSheetId="3">#REF!</definedName>
    <definedName name="J_20A">#REF!</definedName>
    <definedName name="J_21" localSheetId="3">#REF!</definedName>
    <definedName name="J_21">#REF!</definedName>
    <definedName name="J_22" localSheetId="3">#REF!</definedName>
    <definedName name="J_22">#REF!</definedName>
    <definedName name="J_23" localSheetId="3">#REF!</definedName>
    <definedName name="J_23">#REF!</definedName>
    <definedName name="J_7" localSheetId="3">#REF!</definedName>
    <definedName name="J_7">#REF!</definedName>
    <definedName name="J_7A" localSheetId="3">#REF!</definedName>
    <definedName name="J_7A">#REF!</definedName>
    <definedName name="J_8" localSheetId="3">#REF!</definedName>
    <definedName name="J_8">#REF!</definedName>
    <definedName name="J_8A" localSheetId="3">#REF!</definedName>
    <definedName name="J_8A">#REF!</definedName>
    <definedName name="J_9" localSheetId="3">#REF!</definedName>
    <definedName name="J_9">#REF!</definedName>
    <definedName name="J_9A" localSheetId="3">#REF!</definedName>
    <definedName name="J_9A">#REF!</definedName>
    <definedName name="J1_1" localSheetId="3">#REF!</definedName>
    <definedName name="J1_1">#REF!</definedName>
    <definedName name="J11_BL8" localSheetId="3">#REF!</definedName>
    <definedName name="J11_BL8">#REF!</definedName>
    <definedName name="J2_1" localSheetId="3">#REF!</definedName>
    <definedName name="J2_1">#REF!</definedName>
    <definedName name="J3_2" localSheetId="3">#REF!</definedName>
    <definedName name="J3_2">#REF!</definedName>
    <definedName name="J4_2" localSheetId="3">#REF!</definedName>
    <definedName name="J4_2">#REF!</definedName>
    <definedName name="j5jj" localSheetId="2" hidden="1">{"'Sheet1'!$A$1"}</definedName>
    <definedName name="j5jj" localSheetId="3" hidden="1">{"'Sheet1'!$A$1"}</definedName>
    <definedName name="j5jj" hidden="1">{"'Sheet1'!$A$1"}</definedName>
    <definedName name="J7_BL8">#REF!</definedName>
    <definedName name="J8_BL8" localSheetId="3">#REF!</definedName>
    <definedName name="J8_BL8">#REF!</definedName>
    <definedName name="J9_BL8" localSheetId="3">#REF!</definedName>
    <definedName name="J9_BL8">#REF!</definedName>
    <definedName name="jab" localSheetId="3">#REF!</definedName>
    <definedName name="jab">#REF!</definedName>
    <definedName name="jabatan">[23]INPUT!$E$22</definedName>
    <definedName name="JACKHAMMER" localSheetId="2">#REF!</definedName>
    <definedName name="JACKHAMMER" localSheetId="3">#REF!</definedName>
    <definedName name="JACKHAMMER">#REF!</definedName>
    <definedName name="jalusi">[39]Analisis!#REF!</definedName>
    <definedName name="JALUSIDL">#N/A</definedName>
    <definedName name="JALUSIKAYU" localSheetId="3">#REF!</definedName>
    <definedName name="JALUSIKAYU">#REF!</definedName>
    <definedName name="jalusikayu\nonjasa" localSheetId="3">#REF!</definedName>
    <definedName name="jalusikayu\nonjasa">#REF!</definedName>
    <definedName name="JALUSIKM">#N/A</definedName>
    <definedName name="jang" localSheetId="3">#REF!</definedName>
    <definedName name="jang">#REF!</definedName>
    <definedName name="jangkus.bssengkang" localSheetId="3">#REF!</definedName>
    <definedName name="jangkus.bssengkang">#REF!</definedName>
    <definedName name="jangkus.lantaikerja" localSheetId="3">#REF!</definedName>
    <definedName name="jangkus.lantaikerja">#REF!</definedName>
    <definedName name="jangkus.pasangan.aanstamping" localSheetId="3">#REF!</definedName>
    <definedName name="jangkus.pasangan.aanstamping">#REF!</definedName>
    <definedName name="jangkusAanstampeng" localSheetId="3">#REF!</definedName>
    <definedName name="jangkusAanstampeng">#REF!</definedName>
    <definedName name="jangkusanstamping" localSheetId="3">#REF!</definedName>
    <definedName name="jangkusanstamping">#REF!</definedName>
    <definedName name="jangkusbetok350" localSheetId="3">#REF!</definedName>
    <definedName name="jangkusbetok350">#REF!</definedName>
    <definedName name="jangkusbetonk250" localSheetId="3">#REF!</definedName>
    <definedName name="jangkusbetonk250">#REF!</definedName>
    <definedName name="jangkusbetonk300" localSheetId="3">#REF!</definedName>
    <definedName name="jangkusbetonk300">#REF!</definedName>
    <definedName name="jangkusbkspondasi" localSheetId="3">#REF!</definedName>
    <definedName name="jangkusbkspondasi">#REF!</definedName>
    <definedName name="jangkusbksslof" localSheetId="3">#REF!</definedName>
    <definedName name="jangkusbksslof">#REF!</definedName>
    <definedName name="jangkusbstulangan" localSheetId="3">#REF!</definedName>
    <definedName name="jangkusbstulangan">#REF!</definedName>
    <definedName name="jangkusk100123" localSheetId="3">#REF!</definedName>
    <definedName name="jangkusk100123">#REF!</definedName>
    <definedName name="jangkusltkerja" localSheetId="3">#REF!</definedName>
    <definedName name="jangkusltkerja">#REF!</definedName>
    <definedName name="jangkuspondasi1.3" localSheetId="3">#REF!</definedName>
    <definedName name="jangkuspondasi1.3">#REF!</definedName>
    <definedName name="jangkuspondasi1.4" localSheetId="3">#REF!</definedName>
    <definedName name="jangkuspondasi1.4">#REF!</definedName>
    <definedName name="jangkuspondasi1.5" localSheetId="3">#REF!</definedName>
    <definedName name="jangkuspondasi1.5">#REF!</definedName>
    <definedName name="jangkusstampeng" localSheetId="3">#REF!</definedName>
    <definedName name="jangkusstampeng">#REF!</definedName>
    <definedName name="jangkuswstop150" localSheetId="3">#REF!</definedName>
    <definedName name="jangkuswstop150">#REF!</definedName>
    <definedName name="JASA" localSheetId="3">#REF!</definedName>
    <definedName name="JASA">#REF!</definedName>
    <definedName name="JASD" localSheetId="3">#REF!</definedName>
    <definedName name="JASD">#REF!</definedName>
    <definedName name="JEFTA" localSheetId="3">#REF!</definedName>
    <definedName name="JEFTA">#REF!</definedName>
    <definedName name="JEKAMATI">#N/A</definedName>
    <definedName name="Jend_1">'[38]Analisa Harga Satuan'!$G$2417</definedName>
    <definedName name="JendBV1">'[38]Analisa Harga Satuan'!$G$2448</definedName>
    <definedName name="JendBV2">'[38]Analisa Harga Satuan'!$G$2456</definedName>
    <definedName name="jendelaalum" localSheetId="3">#REF!</definedName>
    <definedName name="jendelaalum">#REF!</definedName>
    <definedName name="jendelaalumkaca\nonjasa" localSheetId="3">#REF!</definedName>
    <definedName name="jendelaalumkaca\nonjasa">#REF!</definedName>
    <definedName name="jendelakayukaca\nonjasa" localSheetId="3">#REF!</definedName>
    <definedName name="jendelakayukaca\nonjasa">#REF!</definedName>
    <definedName name="jfj" localSheetId="2" hidden="1">{"'Sheet1'!$A$1"}</definedName>
    <definedName name="jfj" localSheetId="3" hidden="1">{"'Sheet1'!$A$1"}</definedName>
    <definedName name="jfj" hidden="1">{"'Sheet1'!$A$1"}</definedName>
    <definedName name="jik">#REF!</definedName>
    <definedName name="jika">'[35]Upah&amp;Bahan'!$C$19</definedName>
    <definedName name="jj">#REF!</definedName>
    <definedName name="jjg.1m.KUSEKAYU" localSheetId="3">#REF!</definedName>
    <definedName name="jjg.1m.KUSEKAYU">#REF!</definedName>
    <definedName name="jjg.1m.KUSENALUM" localSheetId="3">#REF!</definedName>
    <definedName name="jjg.1m.KUSENALUM">#REF!</definedName>
    <definedName name="JJG.1m.kusenalumunium.3inci" localSheetId="3">#REF!</definedName>
    <definedName name="JJG.1m.kusenalumunium.3inci">#REF!</definedName>
    <definedName name="jjg.1m.KUSENBAJA" localSheetId="3">#REF!</definedName>
    <definedName name="jjg.1m.KUSENBAJA">#REF!</definedName>
    <definedName name="jjg.1m.KUSENBAJA1" localSheetId="3">#REF!</definedName>
    <definedName name="jjg.1m.KUSENBAJA1">#REF!</definedName>
    <definedName name="jjg.1m.KUSENBAJA2" localSheetId="3">#REF!</definedName>
    <definedName name="jjg.1m.KUSENBAJA2">#REF!</definedName>
    <definedName name="jjg.1m.KUSENSIKU" localSheetId="3">#REF!</definedName>
    <definedName name="jjg.1m.KUSENSIKU">#REF!</definedName>
    <definedName name="jjg.1m.KUSENSIKU4" localSheetId="3">#REF!</definedName>
    <definedName name="jjg.1m.KUSENSIKU4">#REF!</definedName>
    <definedName name="JJG.1m.raiillingtanggaBSP" localSheetId="3">#REF!</definedName>
    <definedName name="JJG.1m.raiillingtanggaBSP">#REF!</definedName>
    <definedName name="JJG.1m2.GRCcanopy.rangkachanal100" localSheetId="3">#REF!</definedName>
    <definedName name="JJG.1m2.GRCcanopy.rangkachanal100">#REF!</definedName>
    <definedName name="JJG.1m2.GRCcanopy.rangkaliftchanal100" localSheetId="3">#REF!</definedName>
    <definedName name="JJG.1m2.GRCcanopy.rangkaliftchanal100">#REF!</definedName>
    <definedName name="JJG.1m2.GRCclading.rangkahollow" localSheetId="3">#REF!</definedName>
    <definedName name="JJG.1m2.GRCclading.rangkahollow">#REF!</definedName>
    <definedName name="JJG.1m2.GRCrangkahollow.clading.relung.lisplank" localSheetId="3">#REF!</definedName>
    <definedName name="JJG.1m2.GRCrangkahollow.clading.relung.lisplank">#REF!</definedName>
    <definedName name="jjg.1m2.J.KACAALUM" localSheetId="3">#REF!</definedName>
    <definedName name="jjg.1m2.J.KACAALUM">#REF!</definedName>
    <definedName name="jjg.1m2.J.KACAKAYU" localSheetId="3">#REF!</definedName>
    <definedName name="jjg.1m2.J.KACAKAYU">#REF!</definedName>
    <definedName name="jjg.1m2.JALUSIKAYU" localSheetId="3">#REF!</definedName>
    <definedName name="jjg.1m2.JALUSIKAYU">#REF!</definedName>
    <definedName name="jjg.1m2.P.BAJAHOL" localSheetId="3">#REF!</definedName>
    <definedName name="jjg.1m2.P.BAJAHOL">#REF!</definedName>
    <definedName name="jjg.1m2.P.BAJASIKU" localSheetId="3">#REF!</definedName>
    <definedName name="jjg.1m2.P.BAJASIKU">#REF!</definedName>
    <definedName name="jjg.1m2.P.KACAALUM" localSheetId="3">#REF!</definedName>
    <definedName name="jjg.1m2.P.KACAALUM">#REF!</definedName>
    <definedName name="jjg.1m2.P.KACAKAYU" localSheetId="3">#REF!</definedName>
    <definedName name="jjg.1m2.P.KACAKAYU">#REF!</definedName>
    <definedName name="jjg.1m2.PINTUTRIPLEK" localSheetId="3">#REF!</definedName>
    <definedName name="jjg.1m2.PINTUTRIPLEK">#REF!</definedName>
    <definedName name="jjg.1m2.PINTUTRIPLEMELAMINTO" localSheetId="3">#REF!</definedName>
    <definedName name="jjg.1m2.PINTUTRIPLEMELAMINTO">#REF!</definedName>
    <definedName name="jjg.1m2.PINTUUKIR" localSheetId="3">#REF!</definedName>
    <definedName name="jjg.1m2.PINTUUKIR">#REF!</definedName>
    <definedName name="jjg.1m2.TR.HOLLOW" localSheetId="3">#REF!</definedName>
    <definedName name="jjg.1m2.TR.HOLLOW">#REF!</definedName>
    <definedName name="JJG.1set.asbuilt.drawing" localSheetId="3">#REF!</definedName>
    <definedName name="JJG.1set.asbuilt.drawing">#REF!</definedName>
    <definedName name="JJG.1set.asbuiltdrawing" localSheetId="3">#REF!</definedName>
    <definedName name="JJG.1set.asbuiltdrawing">#REF!</definedName>
    <definedName name="JJG.1setpoto" localSheetId="3">#REF!</definedName>
    <definedName name="JJG.1setpoto">#REF!</definedName>
    <definedName name="JJG.1sheet.doublecylinder" localSheetId="3">#REF!</definedName>
    <definedName name="JJG.1sheet.doublecylinder">#REF!</definedName>
    <definedName name="JJG.1unit.BV.1" localSheetId="3">#REF!</definedName>
    <definedName name="JJG.1unit.BV.1">#REF!</definedName>
    <definedName name="JJG.1unit.BV.2" localSheetId="3">#REF!</definedName>
    <definedName name="JJG.1unit.BV.2">#REF!</definedName>
    <definedName name="JJG.1unit.BV.3" localSheetId="3">#REF!</definedName>
    <definedName name="JJG.1unit.BV.3">#REF!</definedName>
    <definedName name="JJG.1unit.BV.4" localSheetId="3">#REF!</definedName>
    <definedName name="JJG.1unit.BV.4">#REF!</definedName>
    <definedName name="JJG.1unit.GRCkolomrangkahollow" localSheetId="3">#REF!</definedName>
    <definedName name="JJG.1unit.GRCkolomrangkahollow">#REF!</definedName>
    <definedName name="JJG.1unit.GRCkubah.type1.rangkaBSP2inci" localSheetId="3">#REF!</definedName>
    <definedName name="JJG.1unit.GRCkubah.type1.rangkaBSP2inci">#REF!</definedName>
    <definedName name="JJG.1unit.GRCkubah.type2.rangkaBSP2inci" localSheetId="3">#REF!</definedName>
    <definedName name="JJG.1unit.GRCkubah.type2.rangkaBSP2inci">#REF!</definedName>
    <definedName name="JJG.1unit.GRCkubah1.rangkahollow" localSheetId="3">#REF!</definedName>
    <definedName name="JJG.1unit.GRCkubah1.rangkahollow">#REF!</definedName>
    <definedName name="JJG.1unit.GRCrangkaBSP2in.KR.5" localSheetId="3">#REF!</definedName>
    <definedName name="JJG.1unit.GRCrangkaBSP2in.KR.5">#REF!</definedName>
    <definedName name="JJG.1unit.GRCrangkaBSP2in.KR.6" localSheetId="3">#REF!</definedName>
    <definedName name="JJG.1unit.GRCrangkaBSP2in.KR.6">#REF!</definedName>
    <definedName name="JJG.1unit.GRCrangkaBSP2in.KR.7" localSheetId="3">#REF!</definedName>
    <definedName name="JJG.1unit.GRCrangkaBSP2in.KR.7">#REF!</definedName>
    <definedName name="JJG.1unit.GRCrangkaBSP2in.KR.8" localSheetId="3">#REF!</definedName>
    <definedName name="JJG.1unit.GRCrangkaBSP2in.KR.8">#REF!</definedName>
    <definedName name="JJG.1unit.GRCrangkaBSP2in.KR.9" localSheetId="3">#REF!</definedName>
    <definedName name="JJG.1unit.GRCrangkaBSP2in.KR.9">#REF!</definedName>
    <definedName name="JJG.1unit.GRCrangkahollw.KR.5" localSheetId="3">#REF!</definedName>
    <definedName name="JJG.1unit.GRCrangkahollw.KR.5">#REF!</definedName>
    <definedName name="JJG.1unit.J.1" localSheetId="3">#REF!</definedName>
    <definedName name="JJG.1unit.J.1">#REF!</definedName>
    <definedName name="JJG.1unit.j.2" localSheetId="3">#REF!</definedName>
    <definedName name="JJG.1unit.j.2">#REF!</definedName>
    <definedName name="JJG.1unit.J.2aksen" localSheetId="3">#REF!</definedName>
    <definedName name="JJG.1unit.J.2aksen">#REF!</definedName>
    <definedName name="JJG.1unit.J.3" localSheetId="3">#REF!</definedName>
    <definedName name="JJG.1unit.J.3">#REF!</definedName>
    <definedName name="JJG.1unit.J.4" localSheetId="3">#REF!</definedName>
    <definedName name="JJG.1unit.J.4">#REF!</definedName>
    <definedName name="JJG.1unit.J.4aksen" localSheetId="3">#REF!</definedName>
    <definedName name="JJG.1unit.J.4aksen">#REF!</definedName>
    <definedName name="JJG.1unit.J.5" localSheetId="3">#REF!</definedName>
    <definedName name="JJG.1unit.J.5">#REF!</definedName>
    <definedName name="JJG.1unit.J.6" localSheetId="3">#REF!</definedName>
    <definedName name="JJG.1unit.J.6">#REF!</definedName>
    <definedName name="JJG.1unit.J.7" localSheetId="3">#REF!</definedName>
    <definedName name="JJG.1unit.J.7">#REF!</definedName>
    <definedName name="JJG.1unit.J.9" localSheetId="3">#REF!</definedName>
    <definedName name="JJG.1unit.J.9">#REF!</definedName>
    <definedName name="JJG.1unit.P.1" localSheetId="3">#REF!</definedName>
    <definedName name="JJG.1unit.P.1">#REF!</definedName>
    <definedName name="JJG.1unit.P.10" localSheetId="3">#REF!</definedName>
    <definedName name="JJG.1unit.P.10">#REF!</definedName>
    <definedName name="JJG.1unit.P.2" localSheetId="3">#REF!</definedName>
    <definedName name="JJG.1unit.P.2">#REF!</definedName>
    <definedName name="JJG.1unit.P.2aksen" localSheetId="3">#REF!</definedName>
    <definedName name="JJG.1unit.P.2aksen">#REF!</definedName>
    <definedName name="JJG.1unit.P.3" localSheetId="3">#REF!</definedName>
    <definedName name="JJG.1unit.P.3">#REF!</definedName>
    <definedName name="JJG.1unit.P.3aksen" localSheetId="3">#REF!</definedName>
    <definedName name="JJG.1unit.P.3aksen">#REF!</definedName>
    <definedName name="JJG.1unit.p.4" localSheetId="3">#REF!</definedName>
    <definedName name="JJG.1unit.p.4">#REF!</definedName>
    <definedName name="JJG.1unit.p.4aksen" localSheetId="3">#REF!</definedName>
    <definedName name="JJG.1unit.p.4aksen">#REF!</definedName>
    <definedName name="JJG.1unit.P.5" localSheetId="3">#REF!</definedName>
    <definedName name="JJG.1unit.P.5">#REF!</definedName>
    <definedName name="JJG.1unit.P.6" localSheetId="3">#REF!</definedName>
    <definedName name="JJG.1unit.P.6">#REF!</definedName>
    <definedName name="JJG.1unit.P.7" localSheetId="3">#REF!</definedName>
    <definedName name="JJG.1unit.P.7">#REF!</definedName>
    <definedName name="JJG.1unit.P.8" localSheetId="3">#REF!</definedName>
    <definedName name="JJG.1unit.P.8">#REF!</definedName>
    <definedName name="JJG.1unit.P.PS" localSheetId="3">#REF!</definedName>
    <definedName name="JJG.1unit.P.PS">#REF!</definedName>
    <definedName name="JJG.1unit.P.PSaksen" localSheetId="3">#REF!</definedName>
    <definedName name="JJG.1unit.P.PSaksen">#REF!</definedName>
    <definedName name="JJG.1unit.panelGRC.rangkahollow.kolomselasar" localSheetId="3">#REF!</definedName>
    <definedName name="JJG.1unit.panelGRC.rangkahollow.kolomselasar">#REF!</definedName>
    <definedName name="JJG.1unit.pasang.girderkap.100\150ton" localSheetId="3">#REF!</definedName>
    <definedName name="JJG.1unit.pasang.girderkap.100\150ton">#REF!</definedName>
    <definedName name="JJG.1unit.PJ.1" localSheetId="3">#REF!</definedName>
    <definedName name="JJG.1unit.PJ.1">#REF!</definedName>
    <definedName name="JJG.1unit.PJ.2" localSheetId="3">#REF!</definedName>
    <definedName name="JJG.1unit.PJ.2">#REF!</definedName>
    <definedName name="JJG.1unit.PJ.3" localSheetId="3">#REF!</definedName>
    <definedName name="JJG.1unit.PJ.3">#REF!</definedName>
    <definedName name="JJG.1unit.PJ.4" localSheetId="3">#REF!</definedName>
    <definedName name="JJG.1unit.PJ.4">#REF!</definedName>
    <definedName name="JJG.1unit.S.1" localSheetId="3">#REF!</definedName>
    <definedName name="JJG.1unit.S.1">#REF!</definedName>
    <definedName name="JJG.1unit.S.10" localSheetId="3">#REF!</definedName>
    <definedName name="JJG.1unit.S.10">#REF!</definedName>
    <definedName name="JJG.1unit.S.11" localSheetId="3">#REF!</definedName>
    <definedName name="JJG.1unit.S.11">#REF!</definedName>
    <definedName name="jjg.1unit.S.12" localSheetId="3">#REF!</definedName>
    <definedName name="jjg.1unit.S.12">#REF!</definedName>
    <definedName name="JJG.1unit.S.13" localSheetId="3">#REF!</definedName>
    <definedName name="JJG.1unit.S.13">#REF!</definedName>
    <definedName name="JJG.1unit.S.14" localSheetId="3">#REF!</definedName>
    <definedName name="JJG.1unit.S.14">#REF!</definedName>
    <definedName name="JJG.1unit.S.15" localSheetId="3">#REF!</definedName>
    <definedName name="JJG.1unit.S.15">#REF!</definedName>
    <definedName name="JJG.1unit.S.16" localSheetId="3">#REF!</definedName>
    <definedName name="JJG.1unit.S.16">#REF!</definedName>
    <definedName name="JJG.1unit.S.17" localSheetId="3">#REF!</definedName>
    <definedName name="JJG.1unit.S.17">#REF!</definedName>
    <definedName name="JJG.1unit.S.2" localSheetId="3">#REF!</definedName>
    <definedName name="JJG.1unit.S.2">#REF!</definedName>
    <definedName name="JJG.1unit.S.3" localSheetId="3">#REF!</definedName>
    <definedName name="JJG.1unit.S.3">#REF!</definedName>
    <definedName name="JJG.1unit.S.4" localSheetId="3">#REF!</definedName>
    <definedName name="JJG.1unit.S.4">#REF!</definedName>
    <definedName name="JJG.1unit.S.5" localSheetId="3">#REF!</definedName>
    <definedName name="JJG.1unit.S.5">#REF!</definedName>
    <definedName name="JJG.1unit.S.5A" localSheetId="3">#REF!</definedName>
    <definedName name="JJG.1unit.S.5A">#REF!</definedName>
    <definedName name="JJG.1unit.S.6" localSheetId="3">#REF!</definedName>
    <definedName name="JJG.1unit.S.6">#REF!</definedName>
    <definedName name="JJG.1unit.S.7" localSheetId="3">#REF!</definedName>
    <definedName name="JJG.1unit.S.7">#REF!</definedName>
    <definedName name="JJG.1unit.S.8" localSheetId="3">#REF!</definedName>
    <definedName name="JJG.1unit.S.8">#REF!</definedName>
    <definedName name="JJG.1unit.S.9" localSheetId="3">#REF!</definedName>
    <definedName name="JJG.1unit.S.9">#REF!</definedName>
    <definedName name="JJG.1unitS.8A" localSheetId="3">#REF!</definedName>
    <definedName name="JJG.1unitS.8A">#REF!</definedName>
    <definedName name="JJG.acian.beton.exposed" localSheetId="3">#REF!</definedName>
    <definedName name="JJG.acian.beton.exposed">#REF!</definedName>
    <definedName name="JJG.alumuniumfoil.primary.smart.foam.8mm" localSheetId="3">#REF!</definedName>
    <definedName name="JJG.alumuniumfoil.primary.smart.foam.8mm">#REF!</definedName>
    <definedName name="JJG.amparan.basecouse.t30cm" localSheetId="3">#REF!</definedName>
    <definedName name="JJG.amparan.basecouse.t30cm">#REF!</definedName>
    <definedName name="JJG.astek.tenagakerja" localSheetId="3">#REF!</definedName>
    <definedName name="JJG.astek.tenagakerja">#REF!</definedName>
    <definedName name="JJG.atapbajaringan" localSheetId="3">#REF!</definedName>
    <definedName name="JJG.atapbajaringan">#REF!</definedName>
    <definedName name="JJG.atappolycarbonat.rangkahollow" localSheetId="3">#REF!</definedName>
    <definedName name="JJG.atappolycarbonat.rangkahollow">#REF!</definedName>
    <definedName name="JJG.bambujepang" localSheetId="3">#REF!</definedName>
    <definedName name="JJG.bambujepang">#REF!</definedName>
    <definedName name="JJG.basecorse30" localSheetId="3">#REF!</definedName>
    <definedName name="JJG.basecorse30">#REF!</definedName>
    <definedName name="jjg.betonlintel.praktis150x200" localSheetId="3">#REF!</definedName>
    <definedName name="jjg.betonlintel.praktis150x200">#REF!</definedName>
    <definedName name="JJG.bongkaran.betonbertulang" localSheetId="3">#REF!</definedName>
    <definedName name="JJG.bongkaran.betonbertulang">#REF!</definedName>
    <definedName name="JJG.bongkaran.dindingtembokbata" localSheetId="3">#REF!</definedName>
    <definedName name="JJG.bongkaran.dindingtembokbata">#REF!</definedName>
    <definedName name="jjg.BSP\perKG" localSheetId="3">#REF!</definedName>
    <definedName name="jjg.BSP\perKG">#REF!</definedName>
    <definedName name="JJG.bungurjepang" localSheetId="3">#REF!</definedName>
    <definedName name="JJG.bungurjepang">#REF!</definedName>
    <definedName name="JJG.carstoper.tempatpalkir" localSheetId="3">#REF!</definedName>
    <definedName name="JJG.carstoper.tempatpalkir">#REF!</definedName>
    <definedName name="JJG.CARTOPER.4" localSheetId="3">#REF!</definedName>
    <definedName name="JJG.CARTOPER.4">#REF!</definedName>
    <definedName name="JJg.cat.marka\m2" localSheetId="3">#REF!</definedName>
    <definedName name="JJg.cat.marka\m2">#REF!</definedName>
    <definedName name="JJG.catmarka.m2" localSheetId="3">#REF!</definedName>
    <definedName name="JJG.catmarka.m2">#REF!</definedName>
    <definedName name="JJG.catplapond" localSheetId="3">#REF!</definedName>
    <definedName name="JJG.catplapond">#REF!</definedName>
    <definedName name="JJG.duikerU60" localSheetId="3">#REF!</definedName>
    <definedName name="JJG.duikerU60">#REF!</definedName>
    <definedName name="JJG.finishing.catplapond" localSheetId="3">#REF!</definedName>
    <definedName name="JJG.finishing.catplapond">#REF!</definedName>
    <definedName name="JJG.finishing.pekcatdalam" localSheetId="3">#REF!</definedName>
    <definedName name="JJG.finishing.pekcatdalam">#REF!</definedName>
    <definedName name="JJG.finishing.pekcatluar" localSheetId="3">#REF!</definedName>
    <definedName name="JJG.finishing.pekcatluar">#REF!</definedName>
    <definedName name="JJG.finishingmelamik" localSheetId="3">#REF!</definedName>
    <definedName name="JJG.finishingmelamik">#REF!</definedName>
    <definedName name="jjg.floorhardener" localSheetId="3">#REF!</definedName>
    <definedName name="jjg.floorhardener">#REF!</definedName>
    <definedName name="jjg.floorhardener.natural" localSheetId="3">#REF!</definedName>
    <definedName name="jjg.floorhardener.natural">#REF!</definedName>
    <definedName name="JJG.FLOORHARDENERWARNA" localSheetId="3">#REF!</definedName>
    <definedName name="JJG.FLOORHARDENERWARNA">#REF!</definedName>
    <definedName name="JJG.galiandalam1m" localSheetId="3">#REF!</definedName>
    <definedName name="JJG.galiandalam1m">#REF!</definedName>
    <definedName name="JJG.galiandalam2m" localSheetId="3">#REF!</definedName>
    <definedName name="JJG.galiandalam2m">#REF!</definedName>
    <definedName name="JJG.GILLPOS.grillhollow" localSheetId="3">#REF!</definedName>
    <definedName name="JJG.GILLPOS.grillhollow">#REF!</definedName>
    <definedName name="JJG.grillhollow.posjaga" localSheetId="3">#REF!</definedName>
    <definedName name="JJG.grillhollow.posjaga">#REF!</definedName>
    <definedName name="JJG.grouting" localSheetId="3">#REF!</definedName>
    <definedName name="JJG.grouting">#REF!</definedName>
    <definedName name="JJG.HANDRAILING" localSheetId="3">#REF!</definedName>
    <definedName name="JJG.HANDRAILING">#REF!</definedName>
    <definedName name="JJG.jaringkawatgalpanis.pengamanproyek" localSheetId="3">#REF!</definedName>
    <definedName name="JJG.jaringkawatgalpanis.pengamanproyek">#REF!</definedName>
    <definedName name="JJG.keamananproyek" localSheetId="3">#REF!</definedName>
    <definedName name="JJG.keamananproyek">#REF!</definedName>
    <definedName name="jjg.keramik20x20unpolised" localSheetId="3">#REF!</definedName>
    <definedName name="jjg.keramik20x20unpolised">#REF!</definedName>
    <definedName name="jjg.keramik25x25unpolised" localSheetId="3">#REF!</definedName>
    <definedName name="jjg.keramik25x25unpolised">#REF!</definedName>
    <definedName name="jjg.keramik33x33polised" localSheetId="3">#REF!</definedName>
    <definedName name="jjg.keramik33x33polised">#REF!</definedName>
    <definedName name="jjg.keramik33x33unpolised" localSheetId="3">#REF!</definedName>
    <definedName name="jjg.keramik33x33unpolised">#REF!</definedName>
    <definedName name="jjg.keramik40x40polised" localSheetId="3">#REF!</definedName>
    <definedName name="jjg.keramik40x40polised">#REF!</definedName>
    <definedName name="jjg.keramik40x40unpolised" localSheetId="3">#REF!</definedName>
    <definedName name="jjg.keramik40x40unpolised">#REF!</definedName>
    <definedName name="JJG.kiarapayung" localSheetId="3">#REF!</definedName>
    <definedName name="JJG.kiarapayung">#REF!</definedName>
    <definedName name="JJG.klameof.irian" localSheetId="3">#REF!</definedName>
    <definedName name="JJG.klameof.irian">#REF!</definedName>
    <definedName name="jjg.kolompraktis.150x150" localSheetId="3">#REF!</definedName>
    <definedName name="jjg.kolompraktis.150x150">#REF!</definedName>
    <definedName name="JJG.kuda2kayu" localSheetId="3">#REF!</definedName>
    <definedName name="JJG.kuda2kayu">#REF!</definedName>
    <definedName name="jjg.lantaibetonsikat" localSheetId="3">#REF!</definedName>
    <definedName name="jjg.lantaibetonsikat">#REF!</definedName>
    <definedName name="JJG.lapisan.hotmix5cm" localSheetId="3">#REF!</definedName>
    <definedName name="JJG.lapisan.hotmix5cm">#REF!</definedName>
    <definedName name="JJG.lapisanhotmix5cm" localSheetId="3">#REF!</definedName>
    <definedName name="JJG.lapisanhotmix5cm">#REF!</definedName>
    <definedName name="JJG.lapisi" localSheetId="3">#REF!</definedName>
    <definedName name="JJG.lapisi">#REF!</definedName>
    <definedName name="JJG.liliparis" localSheetId="3">#REF!</definedName>
    <definedName name="JJG.liliparis">#REF!</definedName>
    <definedName name="JJG.lisplankkayu3x20" localSheetId="3">#REF!</definedName>
    <definedName name="JJG.lisplankkayu3x20">#REF!</definedName>
    <definedName name="JJG.lisplankkayu3x30" localSheetId="3">#REF!</definedName>
    <definedName name="JJG.lisplankkayu3x30">#REF!</definedName>
    <definedName name="JJG.loadingtest\65ton" localSheetId="3">#REF!</definedName>
    <definedName name="JJG.loadingtest\65ton">#REF!</definedName>
    <definedName name="JJG.loadingtest\ton" localSheetId="3">#REF!</definedName>
    <definedName name="JJG.loadingtest\ton">#REF!</definedName>
    <definedName name="JJG.mob.demob.alat.tenagakerja" localSheetId="3">#REF!</definedName>
    <definedName name="JJG.mob.demob.alat.tenagakerja">#REF!</definedName>
    <definedName name="JJG.nokasbes" localSheetId="3">#REF!</definedName>
    <definedName name="JJG.nokasbes">#REF!</definedName>
    <definedName name="JJG.nokbeton" localSheetId="3">#REF!</definedName>
    <definedName name="JJG.nokbeton">#REF!</definedName>
    <definedName name="JJG.nokkeramik" localSheetId="3">#REF!</definedName>
    <definedName name="JJG.nokkeramik">#REF!</definedName>
    <definedName name="JJG.nokpalentong" localSheetId="3">#REF!</definedName>
    <definedName name="JJG.nokpalentong">#REF!</definedName>
    <definedName name="JJG.onderlaght" localSheetId="3">#REF!</definedName>
    <definedName name="JJG.onderlaght">#REF!</definedName>
    <definedName name="JJG.pagarbetonpracetak.5x50x213" localSheetId="3">#REF!</definedName>
    <definedName name="JJG.pagarbetonpracetak.5x50x213">#REF!</definedName>
    <definedName name="JJG.palembismarkia" localSheetId="3">#REF!</definedName>
    <definedName name="JJG.palembismarkia">#REF!</definedName>
    <definedName name="JJG.Papannamaunit" localSheetId="3">#REF!</definedName>
    <definedName name="JJG.Papannamaunit">#REF!</definedName>
    <definedName name="JJG.pasang.alumuniumfoil.8mm" localSheetId="3">#REF!</definedName>
    <definedName name="JJG.pasang.alumuniumfoil.8mm">#REF!</definedName>
    <definedName name="JJG.pasang.atapzincalum" localSheetId="3">#REF!</definedName>
    <definedName name="JJG.pasang.atapzincalum">#REF!</definedName>
    <definedName name="JJG.pasang.bataberongga" localSheetId="3">#REF!</definedName>
    <definedName name="JJG.pasang.bataberongga">#REF!</definedName>
    <definedName name="JJG.pasang.batamerah1.5" localSheetId="3">#REF!</definedName>
    <definedName name="JJG.pasang.batamerah1.5">#REF!</definedName>
    <definedName name="JJG.pasang.batamerah1.6" localSheetId="3">#REF!</definedName>
    <definedName name="JJG.pasang.batamerah1.6">#REF!</definedName>
    <definedName name="JJG.pasang.batamerah1.8" localSheetId="3">#REF!</definedName>
    <definedName name="JJG.pasang.batamerah1.8">#REF!</definedName>
    <definedName name="JJG.pasang.batu.tempel.hitam" localSheetId="3">#REF!</definedName>
    <definedName name="JJG.pasang.batu.tempel.hitam">#REF!</definedName>
    <definedName name="JJG.pasang.batuparas" localSheetId="3">#REF!</definedName>
    <definedName name="JJG.pasang.batuparas">#REF!</definedName>
    <definedName name="JJG.pasang.batusikat" localSheetId="3">#REF!</definedName>
    <definedName name="JJG.pasang.batusikat">#REF!</definedName>
    <definedName name="JJG.pasang.boplank" localSheetId="3">#REF!</definedName>
    <definedName name="JJG.pasang.boplank">#REF!</definedName>
    <definedName name="JJG.pasang.border8x25" localSheetId="3">#REF!</definedName>
    <definedName name="JJG.pasang.border8x25">#REF!</definedName>
    <definedName name="JJG.pasang.bouuwplank.pengukuran" localSheetId="3">#REF!</definedName>
    <definedName name="JJG.pasang.bouuwplank.pengukuran">#REF!</definedName>
    <definedName name="JJG.pasang.CB.10" localSheetId="3">#REF!</definedName>
    <definedName name="JJG.pasang.CB.10">#REF!</definedName>
    <definedName name="JJG.pasang.CB.15" localSheetId="3">#REF!</definedName>
    <definedName name="JJG.pasang.CB.15">#REF!</definedName>
    <definedName name="JJG.pasang.CB.20" localSheetId="3">#REF!</definedName>
    <definedName name="JJG.pasang.CB.20">#REF!</definedName>
    <definedName name="JJG.pasang.doorcluser\set" localSheetId="3">#REF!</definedName>
    <definedName name="JJG.pasang.doorcluser\set">#REF!</definedName>
    <definedName name="JJG.pasang.doorstop\bh" localSheetId="3">#REF!</definedName>
    <definedName name="JJG.pasang.doorstop\bh">#REF!</definedName>
    <definedName name="JJG.pasang.engseljendela3inci\ps" localSheetId="3">#REF!</definedName>
    <definedName name="JJG.pasang.engseljendela3inci\ps">#REF!</definedName>
    <definedName name="JJG.pasang.glassblock" localSheetId="3">#REF!</definedName>
    <definedName name="JJG.pasang.glassblock">#REF!</definedName>
    <definedName name="JJG.pasang.glasswool.WM6" localSheetId="3">#REF!</definedName>
    <definedName name="JJG.pasang.glasswool.WM6">#REF!</definedName>
    <definedName name="JJG.pasang.glasswoolWM6" localSheetId="3">#REF!</definedName>
    <definedName name="JJG.pasang.glasswoolWM6">#REF!</definedName>
    <definedName name="JJG.pasang.grassblock" localSheetId="3">#REF!</definedName>
    <definedName name="JJG.pasang.grassblock">#REF!</definedName>
    <definedName name="JJG.pasang.grendeltanamatas\bh" localSheetId="3">#REF!</definedName>
    <definedName name="JJG.pasang.grendeltanamatas\bh">#REF!</definedName>
    <definedName name="JJG.pasang.grendeltanambawah\buah" localSheetId="3">#REF!</definedName>
    <definedName name="JJG.pasang.grendeltanambawah\buah">#REF!</definedName>
    <definedName name="JJG.pasang.HB.10" localSheetId="3">#REF!</definedName>
    <definedName name="JJG.pasang.HB.10">#REF!</definedName>
    <definedName name="JJG.pasang.HB.15" localSheetId="3">#REF!</definedName>
    <definedName name="JJG.pasang.HB.15">#REF!</definedName>
    <definedName name="JJG.pasang.HB.20" localSheetId="3">#REF!</definedName>
    <definedName name="JJG.pasang.HB.20">#REF!</definedName>
    <definedName name="JJG.pasang.kacaburam5mm\m2" localSheetId="3">#REF!</definedName>
    <definedName name="JJG.pasang.kacaburam5mm\m2">#REF!</definedName>
    <definedName name="JJG.pasang.kacacermin5mm\m2" localSheetId="3">#REF!</definedName>
    <definedName name="JJG.pasang.kacacermin5mm\m2">#REF!</definedName>
    <definedName name="JJG.pasang.kacapolos5mm\m2" localSheetId="3">#REF!</definedName>
    <definedName name="JJG.pasang.kacapolos5mm\m2">#REF!</definedName>
    <definedName name="JJG.pasang.kacapolos6mm\m2" localSheetId="3">#REF!</definedName>
    <definedName name="JJG.pasang.kacapolos6mm\m2">#REF!</definedName>
    <definedName name="JJG.pasang.kacapolos8mm\m2" localSheetId="3">#REF!</definedName>
    <definedName name="JJG.pasang.kacapolos8mm\m2">#REF!</definedName>
    <definedName name="JJG.pasang.kacawarna8mm\m2" localSheetId="3">#REF!</definedName>
    <definedName name="JJG.pasang.kacawarna8mm\m2">#REF!</definedName>
    <definedName name="JJG.pasang.karpet.nilon" localSheetId="3">#REF!</definedName>
    <definedName name="JJG.pasang.karpet.nilon">#REF!</definedName>
    <definedName name="JJG.pasang.karpetlokal.wool.nilon" localSheetId="3">#REF!</definedName>
    <definedName name="JJG.pasang.karpetlokal.wool.nilon">#REF!</definedName>
    <definedName name="JJG.pasang.lantaimarmer40x40" localSheetId="3">#REF!</definedName>
    <definedName name="JJG.pasang.lantaimarmer40x40">#REF!</definedName>
    <definedName name="JJG.pasang.lantaimarmer60x60" localSheetId="3">#REF!</definedName>
    <definedName name="JJG.pasang.lantaimarmer60x60">#REF!</definedName>
    <definedName name="JJG.pasang.lantaiparquet" localSheetId="3">#REF!</definedName>
    <definedName name="JJG.pasang.lantaiparquet">#REF!</definedName>
    <definedName name="JJG.pasang.lantaivinyl" localSheetId="3">#REF!</definedName>
    <definedName name="JJG.pasang.lantaivinyl">#REF!</definedName>
    <definedName name="JJG.pasang.leper.handle\ps" localSheetId="3">#REF!</definedName>
    <definedName name="JJG.pasang.leper.handle\ps">#REF!</definedName>
    <definedName name="JJG.pasang.lisgyfsum" localSheetId="3">#REF!</definedName>
    <definedName name="JJG.pasang.lisgyfsum">#REF!</definedName>
    <definedName name="JJG.pasang.monoblock.typeCW420J\S516std.set" localSheetId="3">#REF!</definedName>
    <definedName name="JJG.pasang.monoblock.typeCW420J\S516std.set">#REF!</definedName>
    <definedName name="JJG.pasang.monoblock.typeCW867NJ.set" localSheetId="3">#REF!</definedName>
    <definedName name="JJG.pasang.monoblock.typeCW867NJ.set">#REF!</definedName>
    <definedName name="JJG.pasang.pagarproyek" localSheetId="3">#REF!</definedName>
    <definedName name="JJG.pasang.pagarproyek">#REF!</definedName>
    <definedName name="JJG.pasang.pavingblock.natural6cm" localSheetId="3">#REF!</definedName>
    <definedName name="JJG.pasang.pavingblock.natural6cm">#REF!</definedName>
    <definedName name="JJG.pasang.pavingblock.warna6cm" localSheetId="3">#REF!</definedName>
    <definedName name="JJG.pasang.pavingblock.warna6cm">#REF!</definedName>
    <definedName name="JJG.pasang.platlisplank.1.2mm" localSheetId="3">#REF!</definedName>
    <definedName name="JJG.pasang.platlisplank.1.2mm">#REF!</definedName>
    <definedName name="JJG.pasang.roster10x20" localSheetId="3">#REF!</definedName>
    <definedName name="JJG.pasang.roster10x20">#REF!</definedName>
    <definedName name="JJG.pasang.rosterbeton10x20" localSheetId="3">#REF!</definedName>
    <definedName name="JJG.pasang.rosterbeton10x20">#REF!</definedName>
    <definedName name="JJG.pasang.rosterbeton20x20" localSheetId="3">#REF!</definedName>
    <definedName name="JJG.pasang.rosterbeton20x20">#REF!</definedName>
    <definedName name="JJG.pasang.rosterkeramik20x20" localSheetId="3">#REF!</definedName>
    <definedName name="JJG.pasang.rosterkeramik20x20">#REF!</definedName>
    <definedName name="JJG.pasang.rosterterawang12x11x24" localSheetId="3">#REF!</definedName>
    <definedName name="JJG.pasang.rosterterawang12x11x24">#REF!</definedName>
    <definedName name="JJG.pasang.senggelombang" localSheetId="3">#REF!</definedName>
    <definedName name="JJG.pasang.senggelombang">#REF!</definedName>
    <definedName name="JJG.pasang.slotrambucis\bh" localSheetId="3">#REF!</definedName>
    <definedName name="JJG.pasang.slotrambucis\bh">#REF!</definedName>
    <definedName name="JJG.pasang.slotrambucis\ps" localSheetId="3">#REF!</definedName>
    <definedName name="JJG.pasang.slotrambucis\ps">#REF!</definedName>
    <definedName name="JJG.pasang.sparingPVC2.1\2" localSheetId="3">#REF!</definedName>
    <definedName name="JJG.pasang.sparingPVC2.1\2">#REF!</definedName>
    <definedName name="JJG.pasang.sparingPVC3" localSheetId="3">#REF!</definedName>
    <definedName name="JJG.pasang.sparingPVC3">#REF!</definedName>
    <definedName name="JJG.pasang.sparingPVC4" localSheetId="3">#REF!</definedName>
    <definedName name="JJG.pasang.sparingPVC4">#REF!</definedName>
    <definedName name="JJG.pasang.stairnozing" localSheetId="3">#REF!</definedName>
    <definedName name="JJG.pasang.stairnozing">#REF!</definedName>
    <definedName name="JJG.pasang.stairnozing10x33" localSheetId="3">#REF!</definedName>
    <definedName name="JJG.pasang.stairnozing10x33">#REF!</definedName>
    <definedName name="JJG.pasang.stayjendela\ps" localSheetId="3">#REF!</definedName>
    <definedName name="JJG.pasang.stayjendela\ps">#REF!</definedName>
    <definedName name="JJG.pasang.talangbjls40" localSheetId="3">#REF!</definedName>
    <definedName name="JJG.pasang.talangbjls40">#REF!</definedName>
    <definedName name="JJG.pasang.talangdtr\jr.zincalume" localSheetId="3">#REF!</definedName>
    <definedName name="JJG.pasang.talangdtr\jr.zincalume">#REF!</definedName>
    <definedName name="JJG.pasang.talangvertikalPVC21\2" localSheetId="3">#REF!</definedName>
    <definedName name="JJG.pasang.talangvertikalPVC21\2">#REF!</definedName>
    <definedName name="JJG.pasang.talangvertikalPVC3" localSheetId="3">#REF!</definedName>
    <definedName name="JJG.pasang.talangvertikalPVC3">#REF!</definedName>
    <definedName name="JJG.pasang.talangvertikalPVC4" localSheetId="3">#REF!</definedName>
    <definedName name="JJG.pasang.talangvertikalPVC4">#REF!</definedName>
    <definedName name="JJG.pasang.urinaltype.U370M.set" localSheetId="3">#REF!</definedName>
    <definedName name="JJG.pasang.urinaltype.U370M.set">#REF!</definedName>
    <definedName name="JJG.pasang.wastafeltype.L237V1B.setgantung" localSheetId="3">#REF!</definedName>
    <definedName name="JJG.pasang.wastafeltype.L237V1B.setgantung">#REF!</definedName>
    <definedName name="JJG.pasang.wastafeltype.L521V1A.setmeja" localSheetId="3">#REF!</definedName>
    <definedName name="JJG.pasang.wastafeltype.L521V1A.setmeja">#REF!</definedName>
    <definedName name="JJG.pasangan.batamerah1.3" localSheetId="3">#REF!</definedName>
    <definedName name="JJG.pasangan.batamerah1.3">#REF!</definedName>
    <definedName name="jjg.pasangancansteen15x30x40" localSheetId="3">#REF!</definedName>
    <definedName name="jjg.pasangancansteen15x30x40">#REF!</definedName>
    <definedName name="jjg.pasangancansteen15x30x60" localSheetId="3">#REF!</definedName>
    <definedName name="jjg.pasangancansteen15x30x60">#REF!</definedName>
    <definedName name="JJG.pasangbaturesapan\m3" localSheetId="3">#REF!</definedName>
    <definedName name="JJG.pasangbaturesapan\m3">#REF!</definedName>
    <definedName name="JJG.pasangborder8x20" localSheetId="3">#REF!</definedName>
    <definedName name="JJG.pasangborder8x20">#REF!</definedName>
    <definedName name="JJG.pasangcansteen.15x30x40" localSheetId="3">#REF!</definedName>
    <definedName name="JJG.pasangcansteen.15x30x40">#REF!</definedName>
    <definedName name="JJG.pasangcansteen.15x30x60" localSheetId="3">#REF!</definedName>
    <definedName name="JJG.pasangcansteen.15x30x60">#REF!</definedName>
    <definedName name="JJG.pasangdindingkeramik20x25" localSheetId="3">#REF!</definedName>
    <definedName name="JJG.pasangdindingkeramik20x25">#REF!</definedName>
    <definedName name="JJG.pasangdindingkeramik20x33" localSheetId="3">#REF!</definedName>
    <definedName name="JJG.pasangdindingkeramik20x33">#REF!</definedName>
    <definedName name="JJG.pasangdindingkeramik25x45" localSheetId="3">#REF!</definedName>
    <definedName name="JJG.pasangdindingkeramik25x45">#REF!</definedName>
    <definedName name="JJG.pasangengsel.pintu4inci\ps" localSheetId="3">#REF!</definedName>
    <definedName name="JJG.pasangengsel.pintu4inci\ps">#REF!</definedName>
    <definedName name="JJG.pasanggranitsolid" localSheetId="3">#REF!</definedName>
    <definedName name="JJG.pasanggranitsolid">#REF!</definedName>
    <definedName name="JJG.pasangkarpetlokal.pulwool" localSheetId="3">#REF!</definedName>
    <definedName name="JJG.pasangkarpetlokal.pulwool">#REF!</definedName>
    <definedName name="JJG.pasangkeramiklantai30x30.Unpolised" localSheetId="3">#REF!</definedName>
    <definedName name="JJG.pasangkeramiklantai30x30.Unpolised">#REF!</definedName>
    <definedName name="JJG.pasangkeramiklantai60x60.polised" localSheetId="3">#REF!</definedName>
    <definedName name="JJG.pasangkeramiklantai60x60.polised">#REF!</definedName>
    <definedName name="JJG.pasangkeramiklantai60x60.Unpolised" localSheetId="3">#REF!</definedName>
    <definedName name="JJG.pasangkeramiklantai60x60.Unpolised">#REF!</definedName>
    <definedName name="JJG.pasangkuncitanam\set" localSheetId="3">#REF!</definedName>
    <definedName name="JJG.pasangkuncitanam\set">#REF!</definedName>
    <definedName name="JJG.pasanglantai.granito30x30" localSheetId="3">#REF!</definedName>
    <definedName name="JJG.pasanglantai.granito30x30">#REF!</definedName>
    <definedName name="JJG.pasanglantai.granito40x40" localSheetId="3">#REF!</definedName>
    <definedName name="JJG.pasanglantai.granito40x40">#REF!</definedName>
    <definedName name="JJG.pasanglantai.granito60x60" localSheetId="3">#REF!</definedName>
    <definedName name="JJG.pasanglantai.granito60x60">#REF!</definedName>
    <definedName name="JJG.pasanglantaikayu.pabrikasi" localSheetId="3">#REF!</definedName>
    <definedName name="JJG.pasanglantaikayu.pabrikasi">#REF!</definedName>
    <definedName name="JJG.pasanglantaikeramik30x30.polised" localSheetId="3">#REF!</definedName>
    <definedName name="JJG.pasanglantaikeramik30x30.polised">#REF!</definedName>
    <definedName name="JJG.pasangmarmer.solid" localSheetId="3">#REF!</definedName>
    <definedName name="JJG.pasangmarmer.solid">#REF!</definedName>
    <definedName name="JJG.pasangrosterkeramik10x20" localSheetId="3">#REF!</definedName>
    <definedName name="JJG.pasangrosterkeramik10x20">#REF!</definedName>
    <definedName name="JJG.pelatduiker.8x60x100" localSheetId="3">#REF!</definedName>
    <definedName name="JJG.pelatduiker.8x60x100">#REF!</definedName>
    <definedName name="JJG.pelatduiker.8x80x100" localSheetId="3">#REF!</definedName>
    <definedName name="JJG.pelatduiker.8x80x100">#REF!</definedName>
    <definedName name="JJG.pembersihan.perataan.lahanproyek" localSheetId="3">#REF!</definedName>
    <definedName name="JJG.pembersihan.perataan.lahanproyek">#REF!</definedName>
    <definedName name="JJG.pembuatan.bedengburuh" localSheetId="3">#REF!</definedName>
    <definedName name="JJG.pembuatan.bedengburuh">#REF!</definedName>
    <definedName name="JJG.pembuatan.direksikeet" localSheetId="3">#REF!</definedName>
    <definedName name="JJG.pembuatan.direksikeet">#REF!</definedName>
    <definedName name="JJG.pembuatan.direksikit" localSheetId="3">#REF!</definedName>
    <definedName name="JJG.pembuatan.direksikit">#REF!</definedName>
    <definedName name="JJG.pembuatan.jalansementara" localSheetId="3">#REF!</definedName>
    <definedName name="JJG.pembuatan.jalansementara">#REF!</definedName>
    <definedName name="JJG.pembuatan.loskerja.losbahan" localSheetId="3">#REF!</definedName>
    <definedName name="JJG.pembuatan.loskerja.losbahan">#REF!</definedName>
    <definedName name="JJG.pembuatan.posjaga.darikayu" localSheetId="3">#REF!</definedName>
    <definedName name="JJG.pembuatan.posjaga.darikayu">#REF!</definedName>
    <definedName name="JJG.pembuatan.sumurresapan.dalam\unit" localSheetId="3">#REF!</definedName>
    <definedName name="JJG.pembuatan.sumurresapan.dalam\unit">#REF!</definedName>
    <definedName name="JJg.pembuatan.sumurresapan.dalkal\unit" localSheetId="3">#REF!</definedName>
    <definedName name="JJg.pembuatan.sumurresapan.dalkal\unit">#REF!</definedName>
    <definedName name="JJG.pemuatan.sumurgali.dia100cm\m" localSheetId="3">#REF!</definedName>
    <definedName name="JJG.pemuatan.sumurgali.dia100cm\m">#REF!</definedName>
    <definedName name="JJG.penetrasi" localSheetId="3">#REF!</definedName>
    <definedName name="JJG.penetrasi">#REF!</definedName>
    <definedName name="JJG.penutup.plapond.calciboard" localSheetId="3">#REF!</definedName>
    <definedName name="JJG.penutup.plapond.calciboard">#REF!</definedName>
    <definedName name="JJG.penutup.plapond.GYFSUM" localSheetId="3">#REF!</definedName>
    <definedName name="JJG.penutup.plapond.GYFSUM">#REF!</definedName>
    <definedName name="JJG.penutup.plapondgyfsum" localSheetId="3">#REF!</definedName>
    <definedName name="JJG.penutup.plapondgyfsum">#REF!</definedName>
    <definedName name="JJG.penutupatap.asbesgelombang" localSheetId="3">#REF!</definedName>
    <definedName name="JJG.penutupatap.asbesgelombang">#REF!</definedName>
    <definedName name="JJG.penutupatap.gentengbeton" localSheetId="3">#REF!</definedName>
    <definedName name="JJG.penutupatap.gentengbeton">#REF!</definedName>
    <definedName name="JJG.penutupatap.gentengkeramik" localSheetId="3">#REF!</definedName>
    <definedName name="JJG.penutupatap.gentengkeramik">#REF!</definedName>
    <definedName name="JJG.penutupatapgentengpalentong" localSheetId="3">#REF!</definedName>
    <definedName name="JJG.penutupatapgentengpalentong">#REF!</definedName>
    <definedName name="JJG.penyediaan.airkerja" localSheetId="3">#REF!</definedName>
    <definedName name="JJG.penyediaan.airkerja">#REF!</definedName>
    <definedName name="JJG.penyediaan.liftbarangsementara" localSheetId="3">#REF!</definedName>
    <definedName name="JJG.penyediaan.liftbarangsementara">#REF!</definedName>
    <definedName name="JJG.penyediaan.lkerja" localSheetId="3">#REF!</definedName>
    <definedName name="JJG.penyediaan.lkerja">#REF!</definedName>
    <definedName name="JJG.penyediaan.saranaairkerja" localSheetId="3">#REF!</definedName>
    <definedName name="JJG.penyediaan.saranaairkerja">#REF!</definedName>
    <definedName name="JJG.plapond.calciboard.rangkahollow" localSheetId="3">#REF!</definedName>
    <definedName name="JJG.plapond.calciboard.rangkahollow">#REF!</definedName>
    <definedName name="JJG.plapond.gyfsum.rangkahollow" localSheetId="3">#REF!</definedName>
    <definedName name="JJG.plapond.gyfsum.rangkahollow">#REF!</definedName>
    <definedName name="JJG.plapond.gyfsum.rangkasuspen" localSheetId="3">#REF!</definedName>
    <definedName name="JJG.plapond.gyfsum.rangkasuspen">#REF!</definedName>
    <definedName name="JJG.plapondcalsiboard.rangkakayu" localSheetId="3">#REF!</definedName>
    <definedName name="JJG.plapondcalsiboard.rangkakayu">#REF!</definedName>
    <definedName name="JJG.plapondGRC.rangka.Hollow" localSheetId="3">#REF!</definedName>
    <definedName name="JJG.plapondGRC.rangka.Hollow">#REF!</definedName>
    <definedName name="JJG.plapondGRC.rangkakayu" localSheetId="3">#REF!</definedName>
    <definedName name="JJG.plapondGRC.rangkakayu">#REF!</definedName>
    <definedName name="JJG.plapondgyfsum.rangkakayu" localSheetId="3">#REF!</definedName>
    <definedName name="JJG.plapondgyfsum.rangkakayu">#REF!</definedName>
    <definedName name="JJG.pohon.angsana\unit" localSheetId="3">#REF!</definedName>
    <definedName name="JJG.pohon.angsana\unit">#REF!</definedName>
    <definedName name="JJG.pohon.ceremai" localSheetId="3">#REF!</definedName>
    <definedName name="JJG.pohon.ceremai">#REF!</definedName>
    <definedName name="JJG.pohon.dadapmerah" localSheetId="3">#REF!</definedName>
    <definedName name="JJG.pohon.dadapmerah">#REF!</definedName>
    <definedName name="JJG.pohon.kacapiring" localSheetId="3">#REF!</definedName>
    <definedName name="JJG.pohon.kacapiring">#REF!</definedName>
    <definedName name="JJG.pohon.kecapi" localSheetId="3">#REF!</definedName>
    <definedName name="JJG.pohon.kecapi">#REF!</definedName>
    <definedName name="JJG.pohon.perduoleander\unit" localSheetId="3">#REF!</definedName>
    <definedName name="JJG.pohon.perduoleander\unit">#REF!</definedName>
    <definedName name="JJG.pohon.sukun" localSheetId="3">#REF!</definedName>
    <definedName name="JJG.pohon.sukun">#REF!</definedName>
    <definedName name="JJG.pohon.taiwanbeuti\unit" localSheetId="3">#REF!</definedName>
    <definedName name="JJG.pohon.taiwanbeuti\unit">#REF!</definedName>
    <definedName name="JJG.pohonbambukuning\unit" localSheetId="3">#REF!</definedName>
    <definedName name="JJG.pohonbambukuning\unit">#REF!</definedName>
    <definedName name="JJG.pohoncemara\unit" localSheetId="3">#REF!</definedName>
    <definedName name="JJG.pohoncemara\unit">#REF!</definedName>
    <definedName name="JJG.pohonketapang\unit" localSheetId="3">#REF!</definedName>
    <definedName name="JJG.pohonketapang\unit">#REF!</definedName>
    <definedName name="JJG.pohonlantana\unit" localSheetId="3">#REF!</definedName>
    <definedName name="JJG.pohonlantana\unit">#REF!</definedName>
    <definedName name="JJG.pohonmanggis\unit" localSheetId="3">#REF!</definedName>
    <definedName name="JJG.pohonmanggis\unit">#REF!</definedName>
    <definedName name="JJG.pohonnangka" localSheetId="3">#REF!</definedName>
    <definedName name="JJG.pohonnangka">#REF!</definedName>
    <definedName name="JJG.pohonpalemraja\unit" localSheetId="3">#REF!</definedName>
    <definedName name="JJG.pohonpalemraja\unit">#REF!</definedName>
    <definedName name="JJG.pohonthetehan\unit" localSheetId="3">#REF!</definedName>
    <definedName name="JJG.pohonthetehan\unit">#REF!</definedName>
    <definedName name="JJG.RAILING1" localSheetId="3">#REF!</definedName>
    <definedName name="JJG.RAILING1">#REF!</definedName>
    <definedName name="jjg.RAILING2" localSheetId="3">#REF!</definedName>
    <definedName name="jjg.RAILING2">#REF!</definedName>
    <definedName name="JJG.RAILING3" localSheetId="3">#REF!</definedName>
    <definedName name="JJG.RAILING3">#REF!</definedName>
    <definedName name="JJG.rangkaatapkayu" localSheetId="3">#REF!</definedName>
    <definedName name="JJG.rangkaatapkayu">#REF!</definedName>
    <definedName name="JJG.rangkahollow" localSheetId="3">#REF!</definedName>
    <definedName name="JJG.rangkahollow">#REF!</definedName>
    <definedName name="JJG.rangkametal" localSheetId="3">#REF!</definedName>
    <definedName name="JJG.rangkametal">#REF!</definedName>
    <definedName name="JJG.rumputgajah\m2" localSheetId="3">#REF!</definedName>
    <definedName name="JJG.rumputgajah\m2">#REF!</definedName>
    <definedName name="JJG.rumputjepang\m2" localSheetId="3">#REF!</definedName>
    <definedName name="JJG.rumputjepang\m2">#REF!</definedName>
    <definedName name="JJG.rumputpeking\m2" localSheetId="3">#REF!</definedName>
    <definedName name="JJG.rumputpeking\m2">#REF!</definedName>
    <definedName name="JJG.saluranairhujan.grevel20cm" localSheetId="3">#REF!</definedName>
    <definedName name="JJG.saluranairhujan.grevel20cm">#REF!</definedName>
    <definedName name="JJG.saluranU.40batu" localSheetId="3">#REF!</definedName>
    <definedName name="JJG.saluranU.40batu">#REF!</definedName>
    <definedName name="JJG.saluraU.60batu" localSheetId="3">#REF!</definedName>
    <definedName name="JJG.saluraU.60batu">#REF!</definedName>
    <definedName name="JJG.sondir\titik" localSheetId="3">#REF!</definedName>
    <definedName name="JJG.sondir\titik">#REF!</definedName>
    <definedName name="JJG.stanlagh" localSheetId="3">#REF!</definedName>
    <definedName name="JJG.stanlagh">#REF!</definedName>
    <definedName name="JJG.tanaman.heloconia" localSheetId="3">#REF!</definedName>
    <definedName name="JJG.tanaman.heloconia">#REF!</definedName>
    <definedName name="jjg.tiangpancang25x25cm" localSheetId="3">#REF!</definedName>
    <definedName name="jjg.tiangpancang25x25cm">#REF!</definedName>
    <definedName name="jjg.tiangpancang30x30cm" localSheetId="3">#REF!</definedName>
    <definedName name="jjg.tiangpancang30x30cm">#REF!</definedName>
    <definedName name="jjg.tiangpancang35x35cm" localSheetId="3">#REF!</definedName>
    <definedName name="jjg.tiangpancang35x35cm">#REF!</definedName>
    <definedName name="jjg.tiangpancang40x40cm" localSheetId="3">#REF!</definedName>
    <definedName name="jjg.tiangpancang40x40cm">#REF!</definedName>
    <definedName name="jjg.tiangpancang45x45cm" localSheetId="3">#REF!</definedName>
    <definedName name="jjg.tiangpancang45x45cm">#REF!</definedName>
    <definedName name="JJG.tservice" localSheetId="3">#REF!</definedName>
    <definedName name="JJG.tservice">#REF!</definedName>
    <definedName name="JJG.tutupmhsiku" localSheetId="3">#REF!</definedName>
    <definedName name="JJG.tutupmhsiku">#REF!</definedName>
    <definedName name="JJGacian" localSheetId="3">#REF!</definedName>
    <definedName name="JJGacian">#REF!</definedName>
    <definedName name="JJGborder" localSheetId="3">#REF!</definedName>
    <definedName name="JJGborder">#REF!</definedName>
    <definedName name="JJGbttemplek" localSheetId="3">#REF!</definedName>
    <definedName name="JJGbttemplek">#REF!</definedName>
    <definedName name="JJGcalci" localSheetId="3">#REF!</definedName>
    <definedName name="JJGcalci">#REF!</definedName>
    <definedName name="JJGcalciboard" localSheetId="3">#REF!</definedName>
    <definedName name="JJGcalciboard">#REF!</definedName>
    <definedName name="jjgcatduco" localSheetId="3">#REF!</definedName>
    <definedName name="jjgcatduco">#REF!</definedName>
    <definedName name="JJGgrassblock" localSheetId="3">#REF!</definedName>
    <definedName name="JJGgrassblock">#REF!</definedName>
    <definedName name="JJGGRC" localSheetId="3">#REF!</definedName>
    <definedName name="JJGGRC">#REF!</definedName>
    <definedName name="JJGgroutink" localSheetId="3">#REF!</definedName>
    <definedName name="JJGgroutink">#REF!</definedName>
    <definedName name="JJGkeramik20x20" localSheetId="3">#REF!</definedName>
    <definedName name="JJGkeramik20x20">#REF!</definedName>
    <definedName name="JJGkeramik20x20meja" localSheetId="3">#REF!</definedName>
    <definedName name="JJGkeramik20x20meja">#REF!</definedName>
    <definedName name="JJGkeramik25x25" localSheetId="3">#REF!</definedName>
    <definedName name="JJGkeramik25x25">#REF!</definedName>
    <definedName name="JJGkeramik25x45" localSheetId="3">#REF!</definedName>
    <definedName name="JJGkeramik25x45">#REF!</definedName>
    <definedName name="JJGkeramik30x30" localSheetId="3">#REF!</definedName>
    <definedName name="JJGkeramik30x30">#REF!</definedName>
    <definedName name="JJGkeramik33x33polised" localSheetId="3">#REF!</definedName>
    <definedName name="JJGkeramik33x33polised">#REF!</definedName>
    <definedName name="JJGkeramik40x40" localSheetId="3">#REF!</definedName>
    <definedName name="JJGkeramik40x40">#REF!</definedName>
    <definedName name="JJGkeramik40x40polised" localSheetId="3">#REF!</definedName>
    <definedName name="JJGkeramik40x40polised">#REF!</definedName>
    <definedName name="JJGnatural" localSheetId="3">#REF!</definedName>
    <definedName name="JJGnatural">#REF!</definedName>
    <definedName name="JJGnozing" localSheetId="3">#REF!</definedName>
    <definedName name="JJGnozing">#REF!</definedName>
    <definedName name="JJGpaglasblock1.3" localSheetId="3">#REF!</definedName>
    <definedName name="JJGpaglasblock1.3">#REF!</definedName>
    <definedName name="JJGparas" localSheetId="3">#REF!</definedName>
    <definedName name="JJGparas">#REF!</definedName>
    <definedName name="JJGpasbat1.5" localSheetId="3">#REF!</definedName>
    <definedName name="JJGpasbat1.5">#REF!</definedName>
    <definedName name="JJGpasbata1.3" localSheetId="3">#REF!</definedName>
    <definedName name="JJGpasbata1.3">#REF!</definedName>
    <definedName name="JJGpenutup.plapond.GRC" localSheetId="3">#REF!</definedName>
    <definedName name="JJGpenutup.plapond.GRC">#REF!</definedName>
    <definedName name="JJGplesteran1.3" localSheetId="3">#REF!</definedName>
    <definedName name="JJGplesteran1.3">#REF!</definedName>
    <definedName name="JJGplesteran1.5" localSheetId="3">#REF!</definedName>
    <definedName name="JJGplesteran1.5">#REF!</definedName>
    <definedName name="JJGplinkeramik10x40" localSheetId="3">#REF!</definedName>
    <definedName name="JJGplinkeramik10x40">#REF!</definedName>
    <definedName name="JJGrolagbata" localSheetId="3">#REF!</definedName>
    <definedName name="JJGrolagbata">#REF!</definedName>
    <definedName name="JJGroster" localSheetId="3">#REF!</definedName>
    <definedName name="JJGroster">#REF!</definedName>
    <definedName name="JJGsikat" localSheetId="3">#REF!</definedName>
    <definedName name="JJGsikat">#REF!</definedName>
    <definedName name="JJGwarna" localSheetId="3">#REF!</definedName>
    <definedName name="JJGwarna">#REF!</definedName>
    <definedName name="JOINF" localSheetId="3">#REF!</definedName>
    <definedName name="JOINF">#REF!</definedName>
    <definedName name="JOINS" localSheetId="3">#REF!</definedName>
    <definedName name="JOINS">#REF!</definedName>
    <definedName name="jopie">'[17]Upah&amp;Bahan'!#REF!</definedName>
    <definedName name="JPEMBA" localSheetId="2">#REF!</definedName>
    <definedName name="JPEMBA" localSheetId="3">#REF!</definedName>
    <definedName name="JPEMBA">'[12]1_boq'!#REF!</definedName>
    <definedName name="JPENING" localSheetId="2">#REF!</definedName>
    <definedName name="JPENING" localSheetId="3">#REF!</definedName>
    <definedName name="JPENING">'[12]1_boq'!#REF!</definedName>
    <definedName name="JREHAB" localSheetId="2">#REF!</definedName>
    <definedName name="JREHAB" localSheetId="3">#REF!</definedName>
    <definedName name="JREHAB">'[12]1_boq'!#REF!</definedName>
    <definedName name="jry" localSheetId="2" hidden="1">{"'Sheet1'!$A$1"}</definedName>
    <definedName name="jry" localSheetId="3" hidden="1">{"'Sheet1'!$A$1"}</definedName>
    <definedName name="jry" hidden="1">{"'Sheet1'!$A$1"}</definedName>
    <definedName name="JUDUL" localSheetId="2">#REF!</definedName>
    <definedName name="JUDUL" localSheetId="3">#REF!</definedName>
    <definedName name="JUDUL" localSheetId="11">#REF!</definedName>
    <definedName name="JUDUL">#REF!</definedName>
    <definedName name="JUMLAH">#REF!</definedName>
    <definedName name="JURAIDAL" localSheetId="2">#REF!</definedName>
    <definedName name="JURAIDAL" localSheetId="3">#REF!</definedName>
    <definedName name="JURAIDAL">#REF!</definedName>
    <definedName name="JUTA" localSheetId="3">#REF!</definedName>
    <definedName name="JUTA">#REF!</definedName>
    <definedName name="jyj" localSheetId="2" hidden="1">{"'Sheet1'!$A$1"}</definedName>
    <definedName name="jyj" localSheetId="3" hidden="1">{"'Sheet1'!$A$1"}</definedName>
    <definedName name="jyj" hidden="1">{"'Sheet1'!$A$1"}</definedName>
    <definedName name="k" localSheetId="2">'[35]Upah&amp;Bahan'!$U$1437</definedName>
    <definedName name="k" localSheetId="3">'[35]Upah&amp;Bahan'!$U$1437</definedName>
    <definedName name="K">'[69]Analisa Harga Satuan'!$G$1688</definedName>
    <definedName name="K.010">#REF!</definedName>
    <definedName name="K.011" localSheetId="3">#REF!</definedName>
    <definedName name="K.011">#REF!</definedName>
    <definedName name="K.012" localSheetId="2">#REF!</definedName>
    <definedName name="K.012" localSheetId="3">#REF!</definedName>
    <definedName name="K.012">#REF!</definedName>
    <definedName name="K.013" localSheetId="3">#REF!</definedName>
    <definedName name="K.013">#REF!</definedName>
    <definedName name="K.014" localSheetId="3">#REF!</definedName>
    <definedName name="K.014">#REF!</definedName>
    <definedName name="K.016" localSheetId="3">#REF!</definedName>
    <definedName name="K.016">#REF!</definedName>
    <definedName name="K.017" localSheetId="2">#REF!</definedName>
    <definedName name="K.017" localSheetId="3">#REF!</definedName>
    <definedName name="K.017">#REF!</definedName>
    <definedName name="K.018" localSheetId="3">#REF!</definedName>
    <definedName name="K.018">#REF!</definedName>
    <definedName name="K.020" localSheetId="3">#REF!</definedName>
    <definedName name="K.020">#REF!</definedName>
    <definedName name="K.024" localSheetId="3">#REF!</definedName>
    <definedName name="K.024">#REF!</definedName>
    <definedName name="K.025" localSheetId="3">#REF!</definedName>
    <definedName name="K.025">#REF!</definedName>
    <definedName name="K.026" localSheetId="3">#REF!</definedName>
    <definedName name="K.026">#REF!</definedName>
    <definedName name="K.035" localSheetId="3">#REF!</definedName>
    <definedName name="K.035">#REF!</definedName>
    <definedName name="K.040" localSheetId="3">#REF!</definedName>
    <definedName name="K.040">#REF!</definedName>
    <definedName name="K.110" localSheetId="3">#REF!</definedName>
    <definedName name="K.110">#REF!</definedName>
    <definedName name="K.111" localSheetId="3">#REF!</definedName>
    <definedName name="K.111">#REF!</definedName>
    <definedName name="K.112" localSheetId="3">#REF!</definedName>
    <definedName name="K.112">#REF!</definedName>
    <definedName name="K.113" localSheetId="3">#REF!</definedName>
    <definedName name="K.113">#REF!</definedName>
    <definedName name="K.114" localSheetId="3">#REF!</definedName>
    <definedName name="K.114">#REF!</definedName>
    <definedName name="K.115" localSheetId="3">#REF!</definedName>
    <definedName name="K.115">#REF!</definedName>
    <definedName name="K.116" localSheetId="3">#REF!</definedName>
    <definedName name="K.116">#REF!</definedName>
    <definedName name="K.127" localSheetId="3">#REF!</definedName>
    <definedName name="K.127">#REF!</definedName>
    <definedName name="K.139" localSheetId="3">#REF!</definedName>
    <definedName name="K.139">#REF!</definedName>
    <definedName name="K.18" localSheetId="2">#REF!</definedName>
    <definedName name="K.18" localSheetId="3">#REF!</definedName>
    <definedName name="K.18">#REF!</definedName>
    <definedName name="K.210" localSheetId="3">#REF!</definedName>
    <definedName name="K.210">#REF!</definedName>
    <definedName name="K.211" localSheetId="3">#REF!</definedName>
    <definedName name="K.211">#REF!</definedName>
    <definedName name="K.220" localSheetId="3">#REF!</definedName>
    <definedName name="K.220">#REF!</definedName>
    <definedName name="K.221" localSheetId="3">#REF!</definedName>
    <definedName name="K.221">#REF!</definedName>
    <definedName name="K.224" localSheetId="2">#REF!</definedName>
    <definedName name="K.224" localSheetId="3">#REF!</definedName>
    <definedName name="K.224">#REF!</definedName>
    <definedName name="k.225" localSheetId="3">#REF!</definedName>
    <definedName name="K.225">#REF!</definedName>
    <definedName name="K.23A" localSheetId="2">[15]Anl!#REF!</definedName>
    <definedName name="K.23A" localSheetId="3">[15]Anl!#REF!</definedName>
    <definedName name="K.23A">[8]Anl!#REF!</definedName>
    <definedName name="K.23B" localSheetId="2">[15]Anl!#REF!</definedName>
    <definedName name="K.23B" localSheetId="3">[15]Anl!#REF!</definedName>
    <definedName name="K.23B">[8]Anl!#REF!</definedName>
    <definedName name="K.23C" localSheetId="2">[15]Anl!#REF!</definedName>
    <definedName name="K.23C" localSheetId="3">[15]Anl!#REF!</definedName>
    <definedName name="K.23C">[8]Anl!#REF!</definedName>
    <definedName name="k.275" localSheetId="3">#REF!</definedName>
    <definedName name="k.275">#REF!</definedName>
    <definedName name="k.300" localSheetId="3">#REF!</definedName>
    <definedName name="k.300">#REF!</definedName>
    <definedName name="K.310" localSheetId="3">#REF!</definedName>
    <definedName name="K.310">#REF!</definedName>
    <definedName name="K.311" localSheetId="3">#REF!</definedName>
    <definedName name="K.311">#REF!</definedName>
    <definedName name="K.314" localSheetId="3">#REF!</definedName>
    <definedName name="K.314">#REF!</definedName>
    <definedName name="K.320" localSheetId="3">#REF!</definedName>
    <definedName name="K.320">#REF!</definedName>
    <definedName name="K.321" localSheetId="2">#REF!</definedName>
    <definedName name="K.321" localSheetId="3">#REF!</definedName>
    <definedName name="K.321" localSheetId="11">#REF!</definedName>
    <definedName name="K.321">#REF!</definedName>
    <definedName name="K.341" localSheetId="3">#REF!</definedName>
    <definedName name="K.341">#REF!</definedName>
    <definedName name="K.342" localSheetId="3">#REF!</definedName>
    <definedName name="K.342">#REF!</definedName>
    <definedName name="K.35" localSheetId="2">#REF!</definedName>
    <definedName name="K.35" localSheetId="3">#REF!</definedName>
    <definedName name="K.35">#REF!</definedName>
    <definedName name="k.35a">#REF!</definedName>
    <definedName name="k.35b">#REF!</definedName>
    <definedName name="k.400" localSheetId="3">#REF!</definedName>
    <definedName name="k.400">#REF!</definedName>
    <definedName name="K.410" localSheetId="3">#REF!</definedName>
    <definedName name="K.410">#REF!</definedName>
    <definedName name="K.411" localSheetId="3">#REF!</definedName>
    <definedName name="K.411">#REF!</definedName>
    <definedName name="K.420" localSheetId="3">#REF!</definedName>
    <definedName name="K.420">#REF!</definedName>
    <definedName name="K.421" localSheetId="3">#REF!</definedName>
    <definedName name="K.421">#REF!</definedName>
    <definedName name="K.422" localSheetId="3">#REF!</definedName>
    <definedName name="K.422">#REF!</definedName>
    <definedName name="K.423" localSheetId="3">#REF!</definedName>
    <definedName name="K.423">#REF!</definedName>
    <definedName name="K.424" localSheetId="3">#REF!</definedName>
    <definedName name="K.424">#REF!</definedName>
    <definedName name="K.510" localSheetId="3">#REF!</definedName>
    <definedName name="K.510">#REF!</definedName>
    <definedName name="K.511" localSheetId="3">#REF!</definedName>
    <definedName name="K.511">#REF!</definedName>
    <definedName name="K.512" localSheetId="3">#REF!</definedName>
    <definedName name="K.512">#REF!</definedName>
    <definedName name="K.513" localSheetId="3">#REF!</definedName>
    <definedName name="K.513">#REF!</definedName>
    <definedName name="K.514" localSheetId="3">#REF!</definedName>
    <definedName name="K.514">#REF!</definedName>
    <definedName name="K.515" localSheetId="3">#REF!</definedName>
    <definedName name="K.515">#REF!</definedName>
    <definedName name="K.516" localSheetId="3">#REF!</definedName>
    <definedName name="K.516">#REF!</definedName>
    <definedName name="K.517" localSheetId="3">#REF!</definedName>
    <definedName name="K.517">#REF!</definedName>
    <definedName name="K.520" localSheetId="3">#REF!</definedName>
    <definedName name="K.520">#REF!</definedName>
    <definedName name="K.521" localSheetId="3">#REF!</definedName>
    <definedName name="K.521">#REF!</definedName>
    <definedName name="K.522" localSheetId="3">#REF!</definedName>
    <definedName name="K.522">#REF!</definedName>
    <definedName name="K.528" localSheetId="3">#REF!</definedName>
    <definedName name="K.528">#REF!</definedName>
    <definedName name="K.612" localSheetId="3">#REF!</definedName>
    <definedName name="K.612">#REF!</definedName>
    <definedName name="K.615" localSheetId="3">#REF!</definedName>
    <definedName name="K.615">#REF!</definedName>
    <definedName name="K.616" localSheetId="3">#REF!</definedName>
    <definedName name="K.616">#REF!</definedName>
    <definedName name="K.618" localSheetId="2">#REF!</definedName>
    <definedName name="K.618" localSheetId="3">#REF!</definedName>
    <definedName name="K.618">#REF!</definedName>
    <definedName name="K.621" localSheetId="3">#REF!</definedName>
    <definedName name="K.621">#REF!</definedName>
    <definedName name="K.636" localSheetId="2">#REF!</definedName>
    <definedName name="K.636" localSheetId="3">#REF!</definedName>
    <definedName name="K.636">#REF!</definedName>
    <definedName name="K.638" localSheetId="3">#REF!</definedName>
    <definedName name="K.638">#REF!</definedName>
    <definedName name="K.638A" localSheetId="3">#REF!</definedName>
    <definedName name="K.638A">#REF!</definedName>
    <definedName name="K.639" localSheetId="3">#REF!</definedName>
    <definedName name="K.639">#REF!</definedName>
    <definedName name="K.641" localSheetId="3">#REF!</definedName>
    <definedName name="K.641">#REF!</definedName>
    <definedName name="K.705" localSheetId="3">#REF!</definedName>
    <definedName name="K.705">#REF!</definedName>
    <definedName name="K.705A" localSheetId="3">#REF!</definedName>
    <definedName name="K.705A">#REF!</definedName>
    <definedName name="K.710" localSheetId="2">#REF!</definedName>
    <definedName name="K.710" localSheetId="3">#REF!</definedName>
    <definedName name="K.710">#REF!</definedName>
    <definedName name="K.715" localSheetId="2">#REF!</definedName>
    <definedName name="K.715" localSheetId="3">#REF!</definedName>
    <definedName name="K.715">#REF!</definedName>
    <definedName name="K.719" localSheetId="3">#REF!</definedName>
    <definedName name="K.719">#REF!</definedName>
    <definedName name="K.720" localSheetId="2">#REF!</definedName>
    <definedName name="K.720" localSheetId="3">#REF!</definedName>
    <definedName name="K.720">#REF!</definedName>
    <definedName name="K.721" localSheetId="2">#REF!</definedName>
    <definedName name="K.721" localSheetId="3">#REF!</definedName>
    <definedName name="K.721">#REF!</definedName>
    <definedName name="K.722" localSheetId="3">#REF!</definedName>
    <definedName name="K.722">#REF!</definedName>
    <definedName name="K.724" localSheetId="3">#REF!</definedName>
    <definedName name="K.724">#REF!</definedName>
    <definedName name="K.725" localSheetId="3">#REF!</definedName>
    <definedName name="K.725">#REF!</definedName>
    <definedName name="K.810" localSheetId="3">#REF!</definedName>
    <definedName name="K.810">#REF!</definedName>
    <definedName name="K.810A" localSheetId="3">#REF!</definedName>
    <definedName name="K.810A">#REF!</definedName>
    <definedName name="K.880" localSheetId="3">#REF!</definedName>
    <definedName name="K.880">#REF!</definedName>
    <definedName name="K.885" localSheetId="3">#REF!</definedName>
    <definedName name="K.885">#REF!</definedName>
    <definedName name="K.A18" localSheetId="3">#REF!</definedName>
    <definedName name="K.A18">#REF!</definedName>
    <definedName name="k.Harga">[23]INPUT!$B$53</definedName>
    <definedName name="k.Jumlah">[23]INPUT!$B$55</definedName>
    <definedName name="k.Jumlah__1_____2">[23]INPUT!$B$67</definedName>
    <definedName name="k.Jumlah_1">[23]INPUT!$B$65</definedName>
    <definedName name="k.Jumlah_2">[23]INPUT!$B$66</definedName>
    <definedName name="k.Jumlah3">[23]INPUT!$B$64</definedName>
    <definedName name="k.Koef.">[23]INPUT!$B$63</definedName>
    <definedName name="k.lnt.rmn.20.20.crk" localSheetId="3">#REF!</definedName>
    <definedName name="k.lnt.rmn.20.20.crk">#REF!</definedName>
    <definedName name="k.lnt.rmn.20.20.pls" localSheetId="3">#REF!</definedName>
    <definedName name="k.lnt.rmn.20.20.pls">#REF!</definedName>
    <definedName name="k.No.">[23]INPUT!$B$61</definedName>
    <definedName name="k.rmmn.30.30.pls" localSheetId="3">#REF!</definedName>
    <definedName name="k.rmmn.30.30.pls">#REF!</definedName>
    <definedName name="k.rmn.30.30.crk" localSheetId="3">#REF!</definedName>
    <definedName name="k.rmn.30.30.crk">#REF!</definedName>
    <definedName name="k.roman.40.40.polos" localSheetId="3">#REF!</definedName>
    <definedName name="k.roman.40.40.polos">#REF!</definedName>
    <definedName name="k.Rp">[23]INPUT!$B$52</definedName>
    <definedName name="k.Satuan">[23]INPUT!$B$54</definedName>
    <definedName name="k.Stn.">[23]INPUT!$B$59</definedName>
    <definedName name="k.tukang" localSheetId="3">#REF!</definedName>
    <definedName name="k.tukang">#REF!</definedName>
    <definedName name="k.Uraian">[23]INPUT!$B$58</definedName>
    <definedName name="k.zink" localSheetId="3">#REF!</definedName>
    <definedName name="k.zink">#REF!</definedName>
    <definedName name="K_0_5K23">#N/A</definedName>
    <definedName name="k_035">#REF!</definedName>
    <definedName name="k_23_kilat">[10]ANALISA!#REF!</definedName>
    <definedName name="k_300" localSheetId="3">#REF!</definedName>
    <definedName name="k_300">#REF!</definedName>
    <definedName name="K_350" localSheetId="3">#REF!</definedName>
    <definedName name="K_350">#REF!</definedName>
    <definedName name="K_720">#REF!</definedName>
    <definedName name="K_TUKANG" localSheetId="2">#REF!</definedName>
    <definedName name="K_TUKANG" localSheetId="3">#REF!</definedName>
    <definedName name="K_TUKANG">#REF!</definedName>
    <definedName name="K_TUNGGU">#N/A</definedName>
    <definedName name="k100ltkerja" localSheetId="3">#REF!</definedName>
    <definedName name="k100ltkerja">#REF!</definedName>
    <definedName name="k10dasar" localSheetId="3">#REF!</definedName>
    <definedName name="k10dasar">#REF!</definedName>
    <definedName name="k10lt1" localSheetId="3">#REF!</definedName>
    <definedName name="k10lt1">#REF!</definedName>
    <definedName name="k10lt2" localSheetId="3">#REF!</definedName>
    <definedName name="k10lt2">#REF!</definedName>
    <definedName name="k10lt3" localSheetId="3">#REF!</definedName>
    <definedName name="k10lt3">#REF!</definedName>
    <definedName name="k15x30x40" localSheetId="3">#REF!</definedName>
    <definedName name="k15x30x40">#REF!</definedName>
    <definedName name="k15x30x60" localSheetId="3">#REF!</definedName>
    <definedName name="k15x30x60">#REF!</definedName>
    <definedName name="k1dasar" localSheetId="3">#REF!</definedName>
    <definedName name="k1dasar">#REF!</definedName>
    <definedName name="k1lt1" localSheetId="3">#REF!</definedName>
    <definedName name="k1lt1">#REF!</definedName>
    <definedName name="k1lt2" localSheetId="3">#REF!</definedName>
    <definedName name="k1lt2">#REF!</definedName>
    <definedName name="k1lt3" localSheetId="3">#REF!</definedName>
    <definedName name="k1lt3">#REF!</definedName>
    <definedName name="K23_K18">#N/A</definedName>
    <definedName name="K23K6ICI">#N/A</definedName>
    <definedName name="K23K6WN">#N/A</definedName>
    <definedName name="k2dasar" localSheetId="3">#REF!</definedName>
    <definedName name="k2dasar">#REF!</definedName>
    <definedName name="k2lantai2" localSheetId="3">#REF!</definedName>
    <definedName name="k2lantai2">#REF!</definedName>
    <definedName name="k2lt1" localSheetId="3">#REF!</definedName>
    <definedName name="k2lt1">#REF!</definedName>
    <definedName name="k2lt2" localSheetId="3">#REF!</definedName>
    <definedName name="k2lt2">#REF!</definedName>
    <definedName name="k2lt3" localSheetId="3">#REF!</definedName>
    <definedName name="k2lt3">#REF!</definedName>
    <definedName name="k3dasar" localSheetId="3">#REF!</definedName>
    <definedName name="k3dasar">#REF!</definedName>
    <definedName name="k3lantai3" localSheetId="3">#REF!</definedName>
    <definedName name="k3lantai3">#REF!</definedName>
    <definedName name="k3lt.3" localSheetId="3">#REF!</definedName>
    <definedName name="k3lt.3">#REF!</definedName>
    <definedName name="k3lt1" localSheetId="3">#REF!</definedName>
    <definedName name="k3lt1">#REF!</definedName>
    <definedName name="k3lt2" localSheetId="3">#REF!</definedName>
    <definedName name="k3lt2">#REF!</definedName>
    <definedName name="k3lt3" localSheetId="3">#REF!</definedName>
    <definedName name="k3lt3">#REF!</definedName>
    <definedName name="k4dasar" localSheetId="3">#REF!</definedName>
    <definedName name="k4dasar">#REF!</definedName>
    <definedName name="k4lt1" localSheetId="3">#REF!</definedName>
    <definedName name="k4lt1">#REF!</definedName>
    <definedName name="k4lt2" localSheetId="3">#REF!</definedName>
    <definedName name="k4lt2">#REF!</definedName>
    <definedName name="k4lt3" localSheetId="3">#REF!</definedName>
    <definedName name="k4lt3">#REF!</definedName>
    <definedName name="k4lt4" localSheetId="3">#REF!</definedName>
    <definedName name="k4lt4">#REF!</definedName>
    <definedName name="k5dasar" localSheetId="3">#REF!</definedName>
    <definedName name="k5dasar">#REF!</definedName>
    <definedName name="k5lt1" localSheetId="3">#REF!</definedName>
    <definedName name="k5lt1">#REF!</definedName>
    <definedName name="k5lt2" localSheetId="3">#REF!</definedName>
    <definedName name="k5lt2">#REF!</definedName>
    <definedName name="k5lt3" localSheetId="3">#REF!</definedName>
    <definedName name="k5lt3">#REF!</definedName>
    <definedName name="k6dasar" localSheetId="3">#REF!</definedName>
    <definedName name="k6dasar">#REF!</definedName>
    <definedName name="k6lt1" localSheetId="3">#REF!</definedName>
    <definedName name="k6lt1">#REF!</definedName>
    <definedName name="k6lt2" localSheetId="3">#REF!</definedName>
    <definedName name="k6lt2">#REF!</definedName>
    <definedName name="k6lt3" localSheetId="3">#REF!</definedName>
    <definedName name="k6lt3">#REF!</definedName>
    <definedName name="k7dasar" localSheetId="3">#REF!</definedName>
    <definedName name="k7dasar">#REF!</definedName>
    <definedName name="k7lt1" localSheetId="3">#REF!</definedName>
    <definedName name="k7lt1">#REF!</definedName>
    <definedName name="k7lt2" localSheetId="3">#REF!</definedName>
    <definedName name="k7lt2">#REF!</definedName>
    <definedName name="k7lt3" localSheetId="3">#REF!</definedName>
    <definedName name="k7lt3">#REF!</definedName>
    <definedName name="k8dasar" localSheetId="3">#REF!</definedName>
    <definedName name="k8dasar">#REF!</definedName>
    <definedName name="k8lt1" localSheetId="3">#REF!</definedName>
    <definedName name="k8lt1">#REF!</definedName>
    <definedName name="k8lt2" localSheetId="3">#REF!</definedName>
    <definedName name="k8lt2">#REF!</definedName>
    <definedName name="k8lt3" localSheetId="3">#REF!</definedName>
    <definedName name="k8lt3">#REF!</definedName>
    <definedName name="k9dasar" localSheetId="3">#REF!</definedName>
    <definedName name="k9dasar">#REF!</definedName>
    <definedName name="K9K23K30">#N/A</definedName>
    <definedName name="k9lt1" localSheetId="3">#REF!</definedName>
    <definedName name="k9lt1">#REF!</definedName>
    <definedName name="k9lt2" localSheetId="3">#REF!</definedName>
    <definedName name="k9lt2">#REF!</definedName>
    <definedName name="k9lt3" localSheetId="3">#REF!</definedName>
    <definedName name="k9lt3">#REF!</definedName>
    <definedName name="ka">'[35]Upah&amp;Bahan'!$U$1381</definedName>
    <definedName name="kab" localSheetId="2">#REF!</definedName>
    <definedName name="kab" localSheetId="3">#REF!</definedName>
    <definedName name="kab">#REF!</definedName>
    <definedName name="Kab.">#REF!</definedName>
    <definedName name="KABELBIASA" localSheetId="3">#REF!</definedName>
    <definedName name="KABELBIASA">#REF!</definedName>
    <definedName name="KABELNGA" localSheetId="3">#REF!</definedName>
    <definedName name="KABELNGA">#REF!</definedName>
    <definedName name="kaca" localSheetId="2">#REF!</definedName>
    <definedName name="kaca" localSheetId="3">#REF!</definedName>
    <definedName name="kaca">[39]Analisis!#REF!</definedName>
    <definedName name="kaca.8" localSheetId="3">#REF!</definedName>
    <definedName name="kaca.8">#REF!</definedName>
    <definedName name="kaca.es" localSheetId="3">#REF!</definedName>
    <definedName name="kaca.es">#REF!</definedName>
    <definedName name="kaca.p.5" localSheetId="3">#REF!</definedName>
    <definedName name="kaca.p.5">#REF!</definedName>
    <definedName name="Kaca_3_mm" localSheetId="3">#REF!</definedName>
    <definedName name="Kaca_3_mm">#REF!</definedName>
    <definedName name="Kaca_5mm" localSheetId="3">#REF!</definedName>
    <definedName name="Kaca_5mm">#REF!</definedName>
    <definedName name="KACA_A" localSheetId="3">#REF!</definedName>
    <definedName name="KACA_A">#REF!</definedName>
    <definedName name="KACA_B" localSheetId="3">#REF!</definedName>
    <definedName name="KACA_B">#REF!</definedName>
    <definedName name="KACA_BASE" localSheetId="3">#REF!</definedName>
    <definedName name="KACA_BASE">#REF!</definedName>
    <definedName name="KACA_C" localSheetId="3">#REF!</definedName>
    <definedName name="KACA_C">#REF!</definedName>
    <definedName name="Kaca_nako_reyben_5mm" localSheetId="3">#REF!</definedName>
    <definedName name="Kaca_nako_reyben_5mm">#REF!</definedName>
    <definedName name="kaca_polos_5mm" localSheetId="3">#REF!</definedName>
    <definedName name="kaca_polos_5mm">#REF!</definedName>
    <definedName name="kaca_rayband_5mm" localSheetId="3">#REF!</definedName>
    <definedName name="kaca_rayband_5mm">#REF!</definedName>
    <definedName name="kaca5mm\nonjasa" localSheetId="3">#REF!</definedName>
    <definedName name="kaca5mm\nonjasa">#REF!</definedName>
    <definedName name="kaca5mmburam\nonjasa" localSheetId="3">#REF!</definedName>
    <definedName name="kaca5mmburam\nonjasa">#REF!</definedName>
    <definedName name="kaca6mm" localSheetId="3">#REF!</definedName>
    <definedName name="kaca6mm">#REF!</definedName>
    <definedName name="kaca6mm\nonjasa" localSheetId="3">#REF!</definedName>
    <definedName name="kaca6mm\nonjasa">#REF!</definedName>
    <definedName name="kaca8mm\nonjasa" localSheetId="3">#REF!</definedName>
    <definedName name="kaca8mm\nonjasa">#REF!</definedName>
    <definedName name="kacabening3" localSheetId="3">#REF!</definedName>
    <definedName name="kacabening3">#REF!</definedName>
    <definedName name="kacabening5" localSheetId="3">#REF!</definedName>
    <definedName name="kacabening5">#REF!</definedName>
    <definedName name="kacaburam5mm" localSheetId="3">#REF!</definedName>
    <definedName name="kacaburam5mm">#REF!</definedName>
    <definedName name="kacacermin5mm" localSheetId="3">#REF!</definedName>
    <definedName name="kacacermin5mm">#REF!</definedName>
    <definedName name="kacacermin5mm\nonjasa" localSheetId="3">#REF!</definedName>
    <definedName name="kacacermin5mm\nonjasa">#REF!</definedName>
    <definedName name="kacaloper3" localSheetId="3">#REF!</definedName>
    <definedName name="kacaloper3">#REF!</definedName>
    <definedName name="kacamati">[39]Analisis!#REF!</definedName>
    <definedName name="kacapolos5mm" localSheetId="3">#REF!</definedName>
    <definedName name="kacapolos5mm">#REF!</definedName>
    <definedName name="kacapolos6mm" localSheetId="3">#REF!</definedName>
    <definedName name="kacapolos6mm">#REF!</definedName>
    <definedName name="Kacaryben_5_mm" localSheetId="3">#REF!</definedName>
    <definedName name="Kacaryben_5_mm">#REF!</definedName>
    <definedName name="kacatented8mm" localSheetId="3">#REF!</definedName>
    <definedName name="kacatented8mm">#REF!</definedName>
    <definedName name="kacawarna8mm\nonjasa" localSheetId="3">#REF!</definedName>
    <definedName name="kacawarna8mm\nonjasa">#REF!</definedName>
    <definedName name="kain_sintetis" localSheetId="3">#REF!</definedName>
    <definedName name="kain_sintetis">#REF!</definedName>
    <definedName name="Kait_angin" localSheetId="3">#REF!</definedName>
    <definedName name="Kait_angin">#REF!</definedName>
    <definedName name="kaki">'[17]Upah&amp;Bahan'!$C$52</definedName>
    <definedName name="kal">'[35]Upah&amp;Bahan'!$U$1325</definedName>
    <definedName name="kalas" localSheetId="3">#REF!</definedName>
    <definedName name="kalas">#REF!</definedName>
    <definedName name="KALI" localSheetId="2">#REF!</definedName>
    <definedName name="KALI" localSheetId="3">#REF!</definedName>
    <definedName name="kali">'[35]Upah&amp;Bahan'!$U$1269</definedName>
    <definedName name="kalut">'[17]Upah&amp;Bahan'!$C$20</definedName>
    <definedName name="kamu">'[35]Upah&amp;Bahan'!$C$20</definedName>
    <definedName name="kan" localSheetId="3">#REF!</definedName>
    <definedName name="kan">#REF!</definedName>
    <definedName name="kansteen_abuabu" localSheetId="3">#REF!</definedName>
    <definedName name="kansteen_abuabu">#REF!</definedName>
    <definedName name="kanstenbtn" localSheetId="3">#REF!</definedName>
    <definedName name="kanstenbtn">#REF!</definedName>
    <definedName name="kaol">'[17]Kuantitas &amp; Harga'!#REF!</definedName>
    <definedName name="kapur" localSheetId="2">#REF!</definedName>
    <definedName name="kapur" localSheetId="3">#REF!</definedName>
    <definedName name="Kapur">'[70]Hrg STn 09'!$I$38</definedName>
    <definedName name="Kapur_pasang" localSheetId="3">#REF!</definedName>
    <definedName name="Kapur_pasang">#REF!</definedName>
    <definedName name="karangtim" localSheetId="3">#REF!</definedName>
    <definedName name="karangtim">#REF!</definedName>
    <definedName name="karekkaca" localSheetId="3">#REF!</definedName>
    <definedName name="karekkaca">#REF!</definedName>
    <definedName name="Karpet_talang" localSheetId="3">#REF!</definedName>
    <definedName name="Karpet_talang">#REF!</definedName>
    <definedName name="karpetfeltex.wool.nylon" localSheetId="3">#REF!</definedName>
    <definedName name="karpetfeltex.wool.nylon">#REF!</definedName>
    <definedName name="karpetfeltexwool" localSheetId="3">#REF!</definedName>
    <definedName name="karpetfeltexwool">#REF!</definedName>
    <definedName name="karpetnylon.lokal" localSheetId="3">#REF!</definedName>
    <definedName name="karpetnylon.lokal">#REF!</definedName>
    <definedName name="karung" localSheetId="3">#REF!</definedName>
    <definedName name="karung">#REF!</definedName>
    <definedName name="KASARHALUS" localSheetId="2">#REF!</definedName>
    <definedName name="KASARHALUS" localSheetId="3">#REF!</definedName>
    <definedName name="KASARHALUS">'[20]Agg Halus &amp; Kasar'!$A$1:$J$116</definedName>
    <definedName name="kasih" localSheetId="3">#REF!</definedName>
    <definedName name="kasih">#REF!</definedName>
    <definedName name="KASIHAN" localSheetId="3">#REF!</definedName>
    <definedName name="KASIHAN">#REF!</definedName>
    <definedName name="Kawat" localSheetId="3">#REF!</definedName>
    <definedName name="kawat">#REF!</definedName>
    <definedName name="kawat.licin">[10]BAHAN!#REF!</definedName>
    <definedName name="kawat_ayam" localSheetId="3">#REF!</definedName>
    <definedName name="kawat_ayam">#REF!</definedName>
    <definedName name="KAWAT_BETON">[10]BAHAN!$L$28</definedName>
    <definedName name="Kawat_duri" localSheetId="3">#REF!</definedName>
    <definedName name="Kawat_duri">#REF!</definedName>
    <definedName name="kawat_las" localSheetId="2">#REF!</definedName>
    <definedName name="kawat_las" localSheetId="3">#REF!</definedName>
    <definedName name="KAWAT_LAS">[10]BAHAN!#REF!</definedName>
    <definedName name="kawatbet" localSheetId="3">#REF!</definedName>
    <definedName name="kawatbet">#REF!</definedName>
    <definedName name="kawatbt" localSheetId="3">#REF!</definedName>
    <definedName name="kawatbt">#REF!</definedName>
    <definedName name="kawatlas" localSheetId="3">#REF!</definedName>
    <definedName name="kawatlas">#REF!</definedName>
    <definedName name="Kayu" localSheetId="3">#REF!</definedName>
    <definedName name="kayu">#REF!</definedName>
    <definedName name="kayu.bulau">[10]BAHAN!#REF!</definedName>
    <definedName name="Kayu_bakar" localSheetId="3">#REF!</definedName>
    <definedName name="Kayu_bakar">#REF!</definedName>
    <definedName name="kayu_bekisting" localSheetId="3">#REF!</definedName>
    <definedName name="kayu_bekisting">#REF!</definedName>
    <definedName name="KAYU_BULAT">[40]Bahan!$M$46</definedName>
    <definedName name="KAYU_DAMAR">[40]Bahan!$M$47</definedName>
    <definedName name="Kayu_klas_II" localSheetId="3">#REF!</definedName>
    <definedName name="Kayu_klas_II">#REF!</definedName>
    <definedName name="Kayu_klas_III" localSheetId="3">#REF!</definedName>
    <definedName name="Kayu_klas_III">#REF!</definedName>
    <definedName name="Kayu_klas_IV" localSheetId="3">#REF!</definedName>
    <definedName name="Kayu_klas_IV">#REF!</definedName>
    <definedName name="kayu_klas2">[71]BAHAN!$N$44</definedName>
    <definedName name="KAYU_KLS_I">[10]BAHAN!#REF!</definedName>
    <definedName name="KAYU_KLS_II">[10]BAHAN!$L$31</definedName>
    <definedName name="KAYU_KLS_III">[10]BAHAN!$L$32</definedName>
    <definedName name="KAYU_KLS_IV">[10]BAHAN!$L$33</definedName>
    <definedName name="kayu_kusen_oven" localSheetId="3">#REF!</definedName>
    <definedName name="kayu_kusen_oven">#REF!</definedName>
    <definedName name="Kayu_lokal" localSheetId="3">#REF!</definedName>
    <definedName name="Kayu_lokal">#REF!</definedName>
    <definedName name="KAYU_MERANTI">[40]Bahan!$M$48</definedName>
    <definedName name="kayu510" localSheetId="3">#REF!</definedName>
    <definedName name="kayu510">#REF!</definedName>
    <definedName name="kayuacuan">#REF!</definedName>
    <definedName name="kayubakar" localSheetId="3">#REF!</definedName>
    <definedName name="kayubakar">#REF!</definedName>
    <definedName name="kayubekisting" localSheetId="3">#REF!</definedName>
    <definedName name="kayubekisting">#REF!</definedName>
    <definedName name="kayubesi" localSheetId="3">#REF!</definedName>
    <definedName name="kayubesi">#REF!</definedName>
    <definedName name="kayubulat">[72]BAHAN!$N$25</definedName>
    <definedName name="kayudolken" localSheetId="3">#REF!</definedName>
    <definedName name="kayudolken">#REF!</definedName>
    <definedName name="kayujatikelasII" localSheetId="3">#REF!</definedName>
    <definedName name="kayujatikelasII">#REF!</definedName>
    <definedName name="kayujatikls1" localSheetId="3">#REF!</definedName>
    <definedName name="kayujatikls1">#REF!</definedName>
    <definedName name="kayukelas1" localSheetId="3">#REF!</definedName>
    <definedName name="kayukelas1">#REF!</definedName>
    <definedName name="kayukelas2" localSheetId="3">#REF!</definedName>
    <definedName name="kayukelas2">#REF!</definedName>
    <definedName name="kayukelas3" localSheetId="3">#REF!</definedName>
    <definedName name="kayukelas3">#REF!</definedName>
    <definedName name="KAYULINGGUA" localSheetId="3">#REF!</definedName>
    <definedName name="KAYULINGGUA">#REF!</definedName>
    <definedName name="kayumatoa" localSheetId="3">#REF!</definedName>
    <definedName name="kayumatoa">#REF!</definedName>
    <definedName name="kayumatoa510" localSheetId="3">#REF!</definedName>
    <definedName name="kayumatoa510">#REF!</definedName>
    <definedName name="KayuSeumantok">'[73]Daftar upah'!$G$56</definedName>
    <definedName name="kayustut" localSheetId="3">#REF!</definedName>
    <definedName name="kayustut">#REF!</definedName>
    <definedName name="KB" localSheetId="2">#REF!</definedName>
    <definedName name="KB" localSheetId="3">#REF!</definedName>
    <definedName name="KB">#REF!</definedName>
    <definedName name="kbl.sr" localSheetId="3">#REF!</definedName>
    <definedName name="kbl.sr">#REF!</definedName>
    <definedName name="KBULAT" localSheetId="3">#REF!</definedName>
    <definedName name="KBULAT">#REF!</definedName>
    <definedName name="Kcapiring" localSheetId="3">#REF!</definedName>
    <definedName name="Kcapiring">#REF!</definedName>
    <definedName name="kcb" localSheetId="3">#REF!</definedName>
    <definedName name="kcb">#REF!</definedName>
    <definedName name="kcermin" localSheetId="3">#REF!</definedName>
    <definedName name="kcermin">#REF!</definedName>
    <definedName name="kd" localSheetId="3">#REF!</definedName>
    <definedName name="kd">#REF!</definedName>
    <definedName name="kd_2020_6" localSheetId="3">#REF!</definedName>
    <definedName name="kd_2020_6">#REF!</definedName>
    <definedName name="kdc" localSheetId="3">#REF!</definedName>
    <definedName name="kdc">#REF!</definedName>
    <definedName name="kdinding" localSheetId="3">#REF!</definedName>
    <definedName name="kdinding">#REF!</definedName>
    <definedName name="KDL" localSheetId="2">#REF!</definedName>
    <definedName name="KDL" localSheetId="3">#REF!</definedName>
    <definedName name="KDL">#REF!</definedName>
    <definedName name="ke">'[17]Kuantitas &amp; Harga'!#REF!</definedName>
    <definedName name="keadaan">'[17]Upah&amp;Bahan'!$C$26</definedName>
    <definedName name="keamanan" localSheetId="3">#REF!</definedName>
    <definedName name="keamanan">#REF!</definedName>
    <definedName name="kec" localSheetId="2">#REF!</definedName>
    <definedName name="kec" localSheetId="3">#REF!</definedName>
    <definedName name="kec">#REF!</definedName>
    <definedName name="Kecapi" localSheetId="3">#REF!</definedName>
    <definedName name="Kecapi">#REF!</definedName>
    <definedName name="KEMENTERIAN_KELAUTAN_DAN_PERIKANAN">[23]INPUT!$E$2</definedName>
    <definedName name="Kenek" localSheetId="2">#REF!</definedName>
    <definedName name="Kenek" localSheetId="3">#REF!</definedName>
    <definedName name="kenek">#REF!</definedName>
    <definedName name="Keni_gip__ø_1_2" localSheetId="3">#REF!</definedName>
    <definedName name="Keni_gip__ø_1_2">#REF!</definedName>
    <definedName name="Keni_gip__ø_3_4" localSheetId="3">#REF!</definedName>
    <definedName name="Keni_gip__ø_3_4">#REF!</definedName>
    <definedName name="Keni_pvc__ø_2___maspion_D" localSheetId="3">#REF!</definedName>
    <definedName name="Keni_pvc__ø_2___maspion_D">#REF!</definedName>
    <definedName name="Keni_pvc__ø_4___maspion_D" localSheetId="3">#REF!</definedName>
    <definedName name="Keni_pvc__ø_4___maspion_D">#REF!</definedName>
    <definedName name="KEP">#REF!</definedName>
    <definedName name="Kep_Tk_Batu">[74]Upah!$C$12</definedName>
    <definedName name="Kep_Tk_Cat">[75]Upah!$D$21</definedName>
    <definedName name="KEPALA" localSheetId="2">#REF!</definedName>
    <definedName name="KEPALA" localSheetId="3">#REF!</definedName>
    <definedName name="KEPALA">#REF!</definedName>
    <definedName name="kepala_tk_batu" localSheetId="3">#REF!</definedName>
    <definedName name="kepala_tk_batu">#REF!</definedName>
    <definedName name="kepala_tk_besi" localSheetId="3">#REF!</definedName>
    <definedName name="kepala_tk_besi">#REF!</definedName>
    <definedName name="kepala_tk_cat" localSheetId="3">#REF!</definedName>
    <definedName name="kepala_tk_cat">#REF!</definedName>
    <definedName name="kepala_tk_kayu" localSheetId="3">#REF!</definedName>
    <definedName name="kepala_tk_kayu">#REF!</definedName>
    <definedName name="KEPALA_TUKANG">'[76]Harga Bahan'!$H$147</definedName>
    <definedName name="Kepalatukang">[64]rekap!$D$6</definedName>
    <definedName name="kepalatukanglas">[36]cover!#REF!</definedName>
    <definedName name="KEPTU" localSheetId="2">#REF!</definedName>
    <definedName name="KEPTU" localSheetId="3">#REF!</definedName>
    <definedName name="KEPTU">#REF!</definedName>
    <definedName name="keptukang" localSheetId="3">#REF!</definedName>
    <definedName name="keptukang">#REF!</definedName>
    <definedName name="keramik_10_20" localSheetId="3">#REF!</definedName>
    <definedName name="keramik_10_20">#REF!</definedName>
    <definedName name="keramik_20_20" localSheetId="3">#REF!</definedName>
    <definedName name="keramik_20_20">#REF!</definedName>
    <definedName name="KERAMIK_20X20">[40]Bahan!$M$54</definedName>
    <definedName name="KERAMIK_20X25">[40]Bahan!$M$55</definedName>
    <definedName name="keramik_30_30" localSheetId="3">#REF!</definedName>
    <definedName name="keramik_30_30">#REF!</definedName>
    <definedName name="keramik_30x30">[40]Bahan!$M$56</definedName>
    <definedName name="keramik_40_40" localSheetId="3">#REF!</definedName>
    <definedName name="keramik_40_40">#REF!</definedName>
    <definedName name="KERAMIK_40X40">[40]Bahan!$M$57</definedName>
    <definedName name="keramik_homogeous_40" localSheetId="3">#REF!</definedName>
    <definedName name="keramik_homogeous_40">#REF!</definedName>
    <definedName name="Keramik_kuku_macan__30x30__cm" localSheetId="3">#REF!</definedName>
    <definedName name="Keramik_kuku_macan__30x30__cm">#REF!</definedName>
    <definedName name="Keramik_roman__10x20__cm_list" localSheetId="3">#REF!</definedName>
    <definedName name="Keramik_roman__10x20__cm_list">#REF!</definedName>
    <definedName name="Keramik_roman__20x25__cm_warna_muda" localSheetId="3">#REF!</definedName>
    <definedName name="Keramik_roman__20x25__cm_warna_muda">#REF!</definedName>
    <definedName name="Keramik_roman__20x25__cm_warna_tua" localSheetId="3">#REF!</definedName>
    <definedName name="Keramik_roman__20x25__cm_warna_tua">#REF!</definedName>
    <definedName name="Keramik_roman__30x30__cm_standart" localSheetId="3">#REF!</definedName>
    <definedName name="Keramik_roman__30x30__cm_standart">#REF!</definedName>
    <definedName name="Keramik_superItali___32_x_32__cm_Q32" localSheetId="3">#REF!</definedName>
    <definedName name="Keramik_superItali___32_x_32__cm_Q32">#REF!</definedName>
    <definedName name="keramik20">[36]cover!#REF!</definedName>
    <definedName name="keramik20x20" localSheetId="3">#REF!</definedName>
    <definedName name="keramik20x20">#REF!</definedName>
    <definedName name="keramik20x20meja" localSheetId="3">#REF!</definedName>
    <definedName name="keramik20x20meja">#REF!</definedName>
    <definedName name="keramik20x20polis" localSheetId="3">#REF!</definedName>
    <definedName name="keramik20x20polis">#REF!</definedName>
    <definedName name="keramik20x20unpol" localSheetId="3">#REF!</definedName>
    <definedName name="keramik20x20unpol">#REF!</definedName>
    <definedName name="keramik20x25polis" localSheetId="3">#REF!</definedName>
    <definedName name="keramik20x25polis">#REF!</definedName>
    <definedName name="keramik20x25unpol" localSheetId="3">#REF!</definedName>
    <definedName name="keramik20x25unpol">#REF!</definedName>
    <definedName name="keramik20x33polis" localSheetId="3">#REF!</definedName>
    <definedName name="keramik20x33polis">#REF!</definedName>
    <definedName name="keramik20x33unpol" localSheetId="3">#REF!</definedName>
    <definedName name="keramik20x33unpol">#REF!</definedName>
    <definedName name="keramik25">[36]cover!#REF!</definedName>
    <definedName name="keramik25x25" localSheetId="3">#REF!</definedName>
    <definedName name="keramik25x25">#REF!</definedName>
    <definedName name="keramik25x45" localSheetId="3">#REF!</definedName>
    <definedName name="keramik25x45">#REF!</definedName>
    <definedName name="keramik25x50polis" localSheetId="3">#REF!</definedName>
    <definedName name="keramik25x50polis">#REF!</definedName>
    <definedName name="keramik25x50unpol" localSheetId="3">#REF!</definedName>
    <definedName name="keramik25x50unpol">#REF!</definedName>
    <definedName name="keramik30">[10]BAHAN!$L$50</definedName>
    <definedName name="keramik30x30" localSheetId="3">#REF!</definedName>
    <definedName name="keramik30x30">#REF!</definedName>
    <definedName name="keramik40">[77]BAHAN!$N$42</definedName>
    <definedName name="keramik40x40" localSheetId="3">#REF!</definedName>
    <definedName name="keramik40x40">#REF!</definedName>
    <definedName name="keramik60x60polis" localSheetId="3">#REF!</definedName>
    <definedName name="keramik60x60polis">#REF!</definedName>
    <definedName name="keramik60x60unpol" localSheetId="3">#REF!</definedName>
    <definedName name="keramik60x60unpol">#REF!</definedName>
    <definedName name="KeramikDinding2025">'[38]Analisa Harga Satuan'!$G$1720</definedName>
    <definedName name="KeramikLantai2020">'[38]Analisa Harga Satuan'!$G$1688</definedName>
    <definedName name="KeramikLantai3030">'[38]Analisa Harga Satuan'!$G$1672</definedName>
    <definedName name="KeramikStep1020">'[38]Analisa Harga Satuan'!$G$1752</definedName>
    <definedName name="KERAMIM_10X20">[40]Bahan!$M$53</definedName>
    <definedName name="keranti2020" localSheetId="3">#REF!</definedName>
    <definedName name="keranti2020">#REF!</definedName>
    <definedName name="kerawang" localSheetId="2">#REF!</definedName>
    <definedName name="kerawang" localSheetId="3">#REF!</definedName>
    <definedName name="kerawang">[39]Analisis!#REF!</definedName>
    <definedName name="kerdin" localSheetId="3">#REF!</definedName>
    <definedName name="kerdin">#REF!</definedName>
    <definedName name="kerikil">#REF!</definedName>
    <definedName name="KERIKIL_TDK">[10]BAHAN!#REF!</definedName>
    <definedName name="kerikilbet" localSheetId="3">#REF!</definedName>
    <definedName name="kerikilbet">#REF!</definedName>
    <definedName name="kerikiljagung">[36]cover!#REF!</definedName>
    <definedName name="kerikilpecahtersaring">#REF!</definedName>
    <definedName name="kerikilsungaitidaktersaring">#REF!</definedName>
    <definedName name="kerja" localSheetId="3">#REF!</definedName>
    <definedName name="kerja">#REF!</definedName>
    <definedName name="KERNET">[10]UPAH!$K$23</definedName>
    <definedName name="kertas.pasir">[10]BAHAN!#REF!</definedName>
    <definedName name="kertim" localSheetId="3">#REF!</definedName>
    <definedName name="kertim">#REF!</definedName>
    <definedName name="keruksaluran" localSheetId="3">#REF!</definedName>
    <definedName name="keruksaluran">#REF!</definedName>
    <definedName name="KES.A" localSheetId="2">#REF!</definedName>
    <definedName name="KES.A" localSheetId="3">#REF!</definedName>
    <definedName name="KES.A">#REF!</definedName>
    <definedName name="KES.B" localSheetId="2">#REF!</definedName>
    <definedName name="KES.B" localSheetId="3">#REF!</definedName>
    <definedName name="KES.B">#REF!</definedName>
    <definedName name="KES.C" localSheetId="2">#REF!</definedName>
    <definedName name="KES.C" localSheetId="3">#REF!</definedName>
    <definedName name="KES.C">#REF!</definedName>
    <definedName name="KES.D" localSheetId="3">#REF!</definedName>
    <definedName name="KES.D">#REF!</definedName>
    <definedName name="KES.E" localSheetId="3">#REF!</definedName>
    <definedName name="KES.E">#REF!</definedName>
    <definedName name="kesehatan" localSheetId="3">#REF!</definedName>
    <definedName name="kesehatan">#REF!</definedName>
    <definedName name="Ketapang" localSheetId="3">#REF!</definedName>
    <definedName name="Ketapang">#REF!</definedName>
    <definedName name="kfs" localSheetId="3">#REF!</definedName>
    <definedName name="kfs">#REF!</definedName>
    <definedName name="kgs" localSheetId="3">#REF!</definedName>
    <definedName name="kgs">#REF!</definedName>
    <definedName name="khas8" localSheetId="3">#REF!</definedName>
    <definedName name="khas8">#REF!</definedName>
    <definedName name="khd" localSheetId="3">#REF!</definedName>
    <definedName name="khd">#REF!</definedName>
    <definedName name="Kiarapayung" localSheetId="3">#REF!</definedName>
    <definedName name="Kiarapayung">#REF!</definedName>
    <definedName name="Kichenzink1lb" localSheetId="3">#REF!</definedName>
    <definedName name="Kichenzink1lb">#REF!</definedName>
    <definedName name="kickers" localSheetId="3">#REF!</definedName>
    <definedName name="kickers">#REF!</definedName>
    <definedName name="kitc100x2x0.6" localSheetId="3">#REF!</definedName>
    <definedName name="kitc100x2x0.6">#REF!</definedName>
    <definedName name="kitc2x100x2x0.6" localSheetId="3">#REF!</definedName>
    <definedName name="kitc2x100x2x0.6">#REF!</definedName>
    <definedName name="kitchen" localSheetId="3">#REF!</definedName>
    <definedName name="kitchen">#REF!</definedName>
    <definedName name="kitchen_zink" localSheetId="3">#REF!</definedName>
    <definedName name="kitchen_zink">#REF!</definedName>
    <definedName name="kji" localSheetId="3">#REF!</definedName>
    <definedName name="kji">#REF!</definedName>
    <definedName name="KK" localSheetId="2" hidden="1">{"'Sheet1'!$A$1"}</definedName>
    <definedName name="KK" localSheetId="3" hidden="1">{"'Sheet1'!$A$1"}</definedName>
    <definedName name="KK" hidden="1">{"'Sheet1'!$A$1"}</definedName>
    <definedName name="KK_KYMRT">#N/A</definedName>
    <definedName name="kk10a">#REF!</definedName>
    <definedName name="kk16a" localSheetId="3">#REF!</definedName>
    <definedName name="kk16a">#REF!</definedName>
    <definedName name="kkm" localSheetId="3">#REF!</definedName>
    <definedName name="kkm">#REF!</definedName>
    <definedName name="kknym" localSheetId="3">#REF!</definedName>
    <definedName name="kknym">#REF!</definedName>
    <definedName name="kknymhy" localSheetId="3">#REF!</definedName>
    <definedName name="kknymhy">#REF!</definedName>
    <definedName name="kkt" localSheetId="3">#REF!</definedName>
    <definedName name="kkt">#REF!</definedName>
    <definedName name="kkts" localSheetId="3">#REF!</definedName>
    <definedName name="kkts">#REF!</definedName>
    <definedName name="KL" localSheetId="2">#REF!</definedName>
    <definedName name="KL" localSheetId="3">#REF!</definedName>
    <definedName name="KL">#REF!</definedName>
    <definedName name="KL\selasar" localSheetId="3">#REF!</definedName>
    <definedName name="KL\selasar">#REF!</definedName>
    <definedName name="kl_2020" localSheetId="3">#REF!</definedName>
    <definedName name="kl_2020">#REF!</definedName>
    <definedName name="kl_2025" localSheetId="3">#REF!</definedName>
    <definedName name="kl_2025">#REF!</definedName>
    <definedName name="kl_3030" localSheetId="3">#REF!</definedName>
    <definedName name="kl_3030">#REF!</definedName>
    <definedName name="Klameofirian" localSheetId="3">#REF!</definedName>
    <definedName name="Klameofirian">#REF!</definedName>
    <definedName name="klb" localSheetId="3">#REF!</definedName>
    <definedName name="klb">#REF!</definedName>
    <definedName name="klem.k" localSheetId="3">#REF!</definedName>
    <definedName name="klem.k">#REF!</definedName>
    <definedName name="klemkukumacan1" localSheetId="3">#REF!</definedName>
    <definedName name="klemkukumacan1">#REF!</definedName>
    <definedName name="klemkukumacan4" localSheetId="3">#REF!</definedName>
    <definedName name="klemkukumacan4">#REF!</definedName>
    <definedName name="klengkung" localSheetId="3">#REF!</definedName>
    <definedName name="klengkung">#REF!</definedName>
    <definedName name="klep">[10]BAHAN!#REF!</definedName>
    <definedName name="KLEP_POMPA">[54]BAHAN!$L$42</definedName>
    <definedName name="KLJ" localSheetId="2" hidden="1">{"'Sheet1'!$A$1"}</definedName>
    <definedName name="KLJ" localSheetId="3" hidden="1">{"'Sheet1'!$A$1"}</definedName>
    <definedName name="KLJ" hidden="1">{"'Sheet1'!$A$1"}</definedName>
    <definedName name="KLMPRAKTIS">#REF!</definedName>
    <definedName name="KlosedJongkok">'[38]Analisa Harga Satuan'!$G$1769</definedName>
    <definedName name="Kloset_duduk_KIA_warna_muda" localSheetId="3">#REF!</definedName>
    <definedName name="Kloset_duduk_KIA_warna_muda">#REF!</definedName>
    <definedName name="Kloset_duduk_KIA_warna_tua" localSheetId="3">#REF!</definedName>
    <definedName name="Kloset_duduk_KIA_warna_tua">#REF!</definedName>
    <definedName name="Kloset_jongkok_KIA_warna_muda" localSheetId="3">#REF!</definedName>
    <definedName name="Kloset_jongkok_KIA_warna_muda">#REF!</definedName>
    <definedName name="Kloset_jongkok_KIA_warna_tua" localSheetId="3">#REF!</definedName>
    <definedName name="Kloset_jongkok_KIA_warna_tua">#REF!</definedName>
    <definedName name="Kloset_monoblok_biasa" localSheetId="3">#REF!</definedName>
    <definedName name="Kloset_monoblok_biasa">#REF!</definedName>
    <definedName name="klp" localSheetId="3">#REF!</definedName>
    <definedName name="klp">#REF!</definedName>
    <definedName name="klurs">'[35]Upah&amp;Bahan'!$C$61</definedName>
    <definedName name="km" localSheetId="3">#REF!</definedName>
    <definedName name="km">#REF!</definedName>
    <definedName name="KMB" localSheetId="2">#REF!</definedName>
    <definedName name="KMB" localSheetId="3">#REF!</definedName>
    <definedName name="KMB">#REF!</definedName>
    <definedName name="kmcs" localSheetId="3">#REF!</definedName>
    <definedName name="kmcs">#REF!</definedName>
    <definedName name="kmm" localSheetId="3">#REF!</definedName>
    <definedName name="kmm">#REF!</definedName>
    <definedName name="kmp.banjar" localSheetId="3">#REF!</definedName>
    <definedName name="kmp.banjar">#REF!</definedName>
    <definedName name="KMpost" localSheetId="3">#REF!</definedName>
    <definedName name="KMpost">#REF!</definedName>
    <definedName name="KMR" localSheetId="2">#REF!</definedName>
    <definedName name="KMR" localSheetId="3">#REF!</definedName>
    <definedName name="KMR">#REF!</definedName>
    <definedName name="kmts" localSheetId="3">#REF!</definedName>
    <definedName name="kmts">#REF!</definedName>
    <definedName name="kneegiv" localSheetId="3">#REF!</definedName>
    <definedName name="kneegiv">#REF!</definedName>
    <definedName name="kneepvc" localSheetId="3">#REF!</definedName>
    <definedName name="kneepvc">#REF!</definedName>
    <definedName name="Knek" localSheetId="3">#REF!</definedName>
    <definedName name="Knek">#REF!</definedName>
    <definedName name="kobes" localSheetId="3">#REF!</definedName>
    <definedName name="kobes">#REF!</definedName>
    <definedName name="kobet" localSheetId="3">#REF!</definedName>
    <definedName name="kobet">#REF!</definedName>
    <definedName name="KODE" localSheetId="3">#REF!</definedName>
    <definedName name="kode">#REF!</definedName>
    <definedName name="koef1" localSheetId="3">#REF!</definedName>
    <definedName name="koef1">#REF!</definedName>
    <definedName name="koefaspal" localSheetId="3">#REF!</definedName>
    <definedName name="koefaspal">#REF!</definedName>
    <definedName name="koefatap" localSheetId="3">#REF!</definedName>
    <definedName name="koefatap">#REF!</definedName>
    <definedName name="koefbatu" localSheetId="3">#REF!</definedName>
    <definedName name="koefbatu">#REF!</definedName>
    <definedName name="koefbesi" localSheetId="3">#REF!</definedName>
    <definedName name="koefbesi">#REF!</definedName>
    <definedName name="koefcat" localSheetId="3">#REF!</definedName>
    <definedName name="koefcat">#REF!</definedName>
    <definedName name="koefgiv" localSheetId="3">#REF!</definedName>
    <definedName name="koefgiv">#REF!</definedName>
    <definedName name="koefjalan" localSheetId="3">#REF!</definedName>
    <definedName name="koefjalan">#REF!</definedName>
    <definedName name="koefkaca" localSheetId="3">#REF!</definedName>
    <definedName name="koefkaca">#REF!</definedName>
    <definedName name="koefkapur" localSheetId="3">#REF!</definedName>
    <definedName name="koefkapur">#REF!</definedName>
    <definedName name="koefkarang" localSheetId="3">#REF!</definedName>
    <definedName name="koefkarang">#REF!</definedName>
    <definedName name="koefkawat" localSheetId="3">#REF!</definedName>
    <definedName name="koefkawat">#REF!</definedName>
    <definedName name="koefkayu" localSheetId="3">#REF!</definedName>
    <definedName name="koefkayu">#REF!</definedName>
    <definedName name="koefkep" localSheetId="3">#REF!</definedName>
    <definedName name="koefkep">#REF!</definedName>
    <definedName name="koefkerikil" localSheetId="3">#REF!</definedName>
    <definedName name="koefkerikil">#REF!</definedName>
    <definedName name="koefkunci" localSheetId="3">#REF!</definedName>
    <definedName name="koefkunci">#REF!</definedName>
    <definedName name="koeflantai" localSheetId="3">#REF!</definedName>
    <definedName name="koeflantai">#REF!</definedName>
    <definedName name="koeflingg" localSheetId="3">#REF!</definedName>
    <definedName name="koeflingg">#REF!</definedName>
    <definedName name="koeflingk" localSheetId="3">#REF!</definedName>
    <definedName name="koeflingk">#REF!</definedName>
    <definedName name="koeflistrik" localSheetId="3">#REF!</definedName>
    <definedName name="koeflistrik">#REF!</definedName>
    <definedName name="koeflovers" localSheetId="3">#REF!</definedName>
    <definedName name="koeflovers">#REF!</definedName>
    <definedName name="koefman" localSheetId="3">#REF!</definedName>
    <definedName name="koefman">#REF!</definedName>
    <definedName name="koefpaku" localSheetId="3">#REF!</definedName>
    <definedName name="koefpaku">#REF!</definedName>
    <definedName name="koefpasir" localSheetId="3">#REF!</definedName>
    <definedName name="koefpasir">#REF!</definedName>
    <definedName name="koefpek" localSheetId="3">#REF!</definedName>
    <definedName name="koefpek">#REF!</definedName>
    <definedName name="koefplafond" localSheetId="3">#REF!</definedName>
    <definedName name="koefplafond">#REF!</definedName>
    <definedName name="koefpvc" localSheetId="3">#REF!</definedName>
    <definedName name="koefpvc">#REF!</definedName>
    <definedName name="koefsanitair" localSheetId="3">#REF!</definedName>
    <definedName name="koefsanitair">#REF!</definedName>
    <definedName name="koefsemen" localSheetId="3">#REF!</definedName>
    <definedName name="koefsemen">#REF!</definedName>
    <definedName name="koeftanah" localSheetId="3">#REF!</definedName>
    <definedName name="koeftanah">#REF!</definedName>
    <definedName name="koeftripleks" localSheetId="3">#REF!</definedName>
    <definedName name="koeftripleks">#REF!</definedName>
    <definedName name="koeftuk" localSheetId="3">#REF!</definedName>
    <definedName name="koeftuk">#REF!</definedName>
    <definedName name="kof" localSheetId="3">#REF!</definedName>
    <definedName name="kof">#REF!</definedName>
    <definedName name="koi" localSheetId="3">#REF!</definedName>
    <definedName name="koi">#REF!</definedName>
    <definedName name="koling" localSheetId="3">#REF!</definedName>
    <definedName name="koling">#REF!</definedName>
    <definedName name="kolom\k.1GWT" localSheetId="3">#REF!</definedName>
    <definedName name="kolom\k.1GWT">#REF!</definedName>
    <definedName name="kolomlantaiI">#REF!</definedName>
    <definedName name="KON" localSheetId="3">#REF!</definedName>
    <definedName name="KON">#REF!</definedName>
    <definedName name="Konci_pintu" localSheetId="3">#REF!</definedName>
    <definedName name="Konci_pintu">#REF!</definedName>
    <definedName name="Konci_pintu_cylinder" localSheetId="3">#REF!</definedName>
    <definedName name="Konci_pintu_cylinder">#REF!</definedName>
    <definedName name="koral">[10]BAHAN!#REF!</definedName>
    <definedName name="koral_sikat" localSheetId="3">#REF!</definedName>
    <definedName name="koral_sikat">#REF!</definedName>
    <definedName name="KOSEN" localSheetId="2">#REF!</definedName>
    <definedName name="KOSEN" localSheetId="3">#REF!</definedName>
    <definedName name="KOSEN">#REF!</definedName>
    <definedName name="koutv" localSheetId="3">#REF!</definedName>
    <definedName name="koutv">#REF!</definedName>
    <definedName name="kp1ph" localSheetId="3">#REF!</definedName>
    <definedName name="kp1ph">#REF!</definedName>
    <definedName name="kpb">#REF!</definedName>
    <definedName name="KPL_ANAL">[1]A!$W$10:$AD$13</definedName>
    <definedName name="kplesteranlama" localSheetId="3">#REF!</definedName>
    <definedName name="kplesteranlama">#REF!</definedName>
    <definedName name="kpo" localSheetId="3">#REF!</definedName>
    <definedName name="kpo">#REF!</definedName>
    <definedName name="KPS" localSheetId="3">#REF!</definedName>
    <definedName name="KPS">#REF!</definedName>
    <definedName name="kr" localSheetId="3">#REF!</definedName>
    <definedName name="KR">#REF!</definedName>
    <definedName name="KR.1" localSheetId="3">#REF!</definedName>
    <definedName name="KR.1">#REF!</definedName>
    <definedName name="KR.5" localSheetId="3">#REF!</definedName>
    <definedName name="KR.5">#REF!</definedName>
    <definedName name="KR.6" localSheetId="3">#REF!</definedName>
    <definedName name="KR.6">#REF!</definedName>
    <definedName name="KR.7" localSheetId="3">#REF!</definedName>
    <definedName name="KR.7">#REF!</definedName>
    <definedName name="KR.8" localSheetId="3">#REF!</definedName>
    <definedName name="KR.8">#REF!</definedName>
    <definedName name="KR.9" localSheetId="3">#REF!</definedName>
    <definedName name="KR.9">#REF!</definedName>
    <definedName name="KR20X20" localSheetId="3">#REF!</definedName>
    <definedName name="KR20X20">#REF!</definedName>
    <definedName name="KR2X2" localSheetId="3">#REF!</definedName>
    <definedName name="KR2X2">#REF!</definedName>
    <definedName name="KR30X30" localSheetId="3">#REF!</definedName>
    <definedName name="KR30X30">#REF!</definedName>
    <definedName name="KRAN" localSheetId="3">#REF!</definedName>
    <definedName name="KRAN">#REF!</definedName>
    <definedName name="kran.bbk" localSheetId="3">#REF!</definedName>
    <definedName name="kran.bbk">#REF!</definedName>
    <definedName name="kran.ddg" localSheetId="3">#REF!</definedName>
    <definedName name="kran.ddg">#REF!</definedName>
    <definedName name="Kran_air__ø_3_4" localSheetId="3">#REF!</definedName>
    <definedName name="Kran_air__ø_3_4">#REF!</definedName>
    <definedName name="Kran_air_biasa" localSheetId="3">#REF!</definedName>
    <definedName name="Kran_air_biasa">#REF!</definedName>
    <definedName name="Kran_air_handel_kit_ø_1_2" localSheetId="3">#REF!</definedName>
    <definedName name="Kran_air_handel_kit_ø_1_2">#REF!</definedName>
    <definedName name="kranair34" localSheetId="3">#REF!</definedName>
    <definedName name="kranair34">#REF!</definedName>
    <definedName name="KranAngsa">'[38]Analisa Harga Satuan'!$G$1837</definedName>
    <definedName name="kranddg" localSheetId="3">#REF!</definedName>
    <definedName name="kranddg">#REF!</definedName>
    <definedName name="KranShower">'[38]Analisa Harga Satuan'!$G$1780</definedName>
    <definedName name="KranT23B13V7N" localSheetId="3">#REF!</definedName>
    <definedName name="KranT23B13V7N">#REF!</definedName>
    <definedName name="KranT30AR13V7N" localSheetId="3">#REF!</definedName>
    <definedName name="KranT30AR13V7N">#REF!</definedName>
    <definedName name="KranTX603KM" localSheetId="3">#REF!</definedName>
    <definedName name="KranTX603KM">#REF!</definedName>
    <definedName name="krazu" localSheetId="3">#REF!</definedName>
    <definedName name="krazu">#REF!</definedName>
    <definedName name="KRDIN20X20" localSheetId="2">#REF!</definedName>
    <definedName name="KRDIN20X20" localSheetId="3">#REF!</definedName>
    <definedName name="KRDIN20X20">#REF!</definedName>
    <definedName name="krm20ms" localSheetId="3">#REF!</definedName>
    <definedName name="krm20ms">#REF!</definedName>
    <definedName name="krm20rm" localSheetId="3">#REF!</definedName>
    <definedName name="krm20rm">#REF!</definedName>
    <definedName name="krm25rm" localSheetId="3">#REF!</definedName>
    <definedName name="krm25rm">#REF!</definedName>
    <definedName name="krm30m" localSheetId="3">#REF!</definedName>
    <definedName name="krm30m">#REF!</definedName>
    <definedName name="krm30ms" localSheetId="3">#REF!</definedName>
    <definedName name="krm30ms">#REF!</definedName>
    <definedName name="krm30r" localSheetId="3">#REF!</definedName>
    <definedName name="krm30r">#REF!</definedName>
    <definedName name="krm40ms" localSheetId="3">#REF!</definedName>
    <definedName name="krm40ms">#REF!</definedName>
    <definedName name="KRMDDG20" localSheetId="3">#REF!</definedName>
    <definedName name="KRMDDG20">#REF!</definedName>
    <definedName name="KRMDDG30" localSheetId="3">#REF!</definedName>
    <definedName name="KRMDDG30">#REF!</definedName>
    <definedName name="krmi30x30polis" localSheetId="3">#REF!</definedName>
    <definedName name="krmi30x30polis">#REF!</definedName>
    <definedName name="krmk20x20" localSheetId="3">#REF!</definedName>
    <definedName name="krmk20x20">#REF!</definedName>
    <definedName name="krmk20x20unpol" localSheetId="3">#REF!</definedName>
    <definedName name="krmk20x20unpol">#REF!</definedName>
    <definedName name="krmk25x25" localSheetId="3">#REF!</definedName>
    <definedName name="krmk25x25">#REF!</definedName>
    <definedName name="krmk25x45" localSheetId="3">#REF!</definedName>
    <definedName name="krmk25x45">#REF!</definedName>
    <definedName name="krmk30x30unpol" localSheetId="3">#REF!</definedName>
    <definedName name="krmk30x30unpol">#REF!</definedName>
    <definedName name="krmk33x33" localSheetId="3">#REF!</definedName>
    <definedName name="krmk33x33">#REF!</definedName>
    <definedName name="krmk40x40" localSheetId="3">#REF!</definedName>
    <definedName name="krmk40x40">#REF!</definedName>
    <definedName name="KRMLT20" localSheetId="3">#REF!</definedName>
    <definedName name="KRMLT20">#REF!</definedName>
    <definedName name="krmlt20rm" localSheetId="3">#REF!</definedName>
    <definedName name="krmlt20rm">#REF!</definedName>
    <definedName name="KRMLT30" localSheetId="3">#REF!</definedName>
    <definedName name="KRMLT30">#REF!</definedName>
    <definedName name="KRMLT40" localSheetId="3">#REF!</definedName>
    <definedName name="KRMLT40">#REF!</definedName>
    <definedName name="KS.1\selasr" localSheetId="3">#REF!</definedName>
    <definedName name="KS.1\selasr">#REF!</definedName>
    <definedName name="KS.2\selasar" localSheetId="3">#REF!</definedName>
    <definedName name="KS.2\selasar">#REF!</definedName>
    <definedName name="KS.2A\selasar" localSheetId="3">#REF!</definedName>
    <definedName name="KS.2A\selasar">#REF!</definedName>
    <definedName name="KSK" localSheetId="2">#REF!</definedName>
    <definedName name="ksk" localSheetId="3">#REF!</definedName>
    <definedName name="KSK">#REF!</definedName>
    <definedName name="ksl" localSheetId="3">#REF!</definedName>
    <definedName name="ksl">#REF!</definedName>
    <definedName name="ksp" localSheetId="3">#REF!</definedName>
    <definedName name="ksp">#REF!</definedName>
    <definedName name="ksr" localSheetId="3">#REF!</definedName>
    <definedName name="ksr">#REF!</definedName>
    <definedName name="kst" localSheetId="3">#REF!</definedName>
    <definedName name="kst">#REF!</definedName>
    <definedName name="kt" localSheetId="3">#REF!</definedName>
    <definedName name="kt">#REF!</definedName>
    <definedName name="ktcat" localSheetId="3">#REF!</definedName>
    <definedName name="ktcat">#REF!</definedName>
    <definedName name="KTD" localSheetId="2">#REF!</definedName>
    <definedName name="KTD" localSheetId="3">#REF!</definedName>
    <definedName name="KTD">#REF!</definedName>
    <definedName name="ktg1adasar" localSheetId="3">#REF!</definedName>
    <definedName name="ktg1adasar">#REF!</definedName>
    <definedName name="ktg1dasar" localSheetId="3">#REF!</definedName>
    <definedName name="ktg1dasar">#REF!</definedName>
    <definedName name="ktg2dasar" localSheetId="3">#REF!</definedName>
    <definedName name="ktg2dasar">#REF!</definedName>
    <definedName name="ktg2dsar" localSheetId="3">#REF!</definedName>
    <definedName name="ktg2dsar">#REF!</definedName>
    <definedName name="ktk">#REF!</definedName>
    <definedName name="ktk.b" localSheetId="3">#REF!</definedName>
    <definedName name="ktk.b">#REF!</definedName>
    <definedName name="ktk.bs" localSheetId="3">#REF!</definedName>
    <definedName name="ktk.bs">#REF!</definedName>
    <definedName name="ktk.c" localSheetId="3">#REF!</definedName>
    <definedName name="ktk.c">#REF!</definedName>
    <definedName name="ktk.k" localSheetId="3">#REF!</definedName>
    <definedName name="ktk.k">#REF!</definedName>
    <definedName name="ktk.L" localSheetId="3">#REF!</definedName>
    <definedName name="ktk.L">#REF!</definedName>
    <definedName name="ktk.Ls" localSheetId="3">#REF!</definedName>
    <definedName name="ktk.Ls">#REF!</definedName>
    <definedName name="KTKG" localSheetId="3">#REF!</definedName>
    <definedName name="KTKG">#REF!</definedName>
    <definedName name="ktlas" localSheetId="3">#REF!</definedName>
    <definedName name="ktlas">#REF!</definedName>
    <definedName name="ktlistrk" localSheetId="3">#REF!</definedName>
    <definedName name="ktlistrk">#REF!</definedName>
    <definedName name="ktplambing" localSheetId="3">#REF!</definedName>
    <definedName name="ktplambing">#REF!</definedName>
    <definedName name="ktpm" localSheetId="3">#REF!</definedName>
    <definedName name="ktpm">#REF!</definedName>
    <definedName name="ktukangbatu" localSheetId="3">#REF!</definedName>
    <definedName name="ktukangbatu">#REF!</definedName>
    <definedName name="ktukangkayu" localSheetId="3">#REF!</definedName>
    <definedName name="ktukangkayu">#REF!</definedName>
    <definedName name="ku">'[17]Upah&amp;Bahan'!$C$41</definedName>
    <definedName name="kua" localSheetId="3">#REF!</definedName>
    <definedName name="kua">#REF!</definedName>
    <definedName name="KUANTITAS" localSheetId="3">#REF!</definedName>
    <definedName name="KUANTITAS">#REF!</definedName>
    <definedName name="kuasplat" localSheetId="3">#REF!</definedName>
    <definedName name="kuasplat">#REF!</definedName>
    <definedName name="kuasrol" localSheetId="3">#REF!</definedName>
    <definedName name="kuasrol">#REF!</definedName>
    <definedName name="KUDA" localSheetId="3">#REF!</definedName>
    <definedName name="KUDA">#REF!</definedName>
    <definedName name="kudakuda">[39]Analisis!#REF!</definedName>
    <definedName name="kulit">[43]BAHAN!$L$29</definedName>
    <definedName name="kunci.808">[10]BAHAN!#REF!</definedName>
    <definedName name="KUNCI_TANAM">[10]BAHAN!$L$82</definedName>
    <definedName name="Kunci_tanam_2_x_putar" localSheetId="3">#REF!</definedName>
    <definedName name="Kunci_tanam_2_x_putar">#REF!</definedName>
    <definedName name="kunci1slaag" localSheetId="3">#REF!</definedName>
    <definedName name="kunci1slaag">#REF!</definedName>
    <definedName name="kunci2slaag" localSheetId="3">#REF!</definedName>
    <definedName name="kunci2slaag">#REF!</definedName>
    <definedName name="Kunci2slag">[36]cover!#REF!</definedName>
    <definedName name="Kunci2slagmmenengah" localSheetId="3">#REF!</definedName>
    <definedName name="Kunci2slagmmenengah">#REF!</definedName>
    <definedName name="kunci808">[43]BAHAN!$L$22</definedName>
    <definedName name="kuncigembok" localSheetId="3">#REF!</definedName>
    <definedName name="kuncigembok">#REF!</definedName>
    <definedName name="kuncipintu\nonjasa" localSheetId="3">#REF!</definedName>
    <definedName name="kuncipintu\nonjasa">#REF!</definedName>
    <definedName name="kuncitanam" localSheetId="3">#REF!</definedName>
    <definedName name="kuncitanam">#REF!</definedName>
    <definedName name="kunciyaleDN" localSheetId="3">#REF!</definedName>
    <definedName name="kunciyaleDN">#REF!</definedName>
    <definedName name="KURMURID">#N/A</definedName>
    <definedName name="kurs">[35]ANGKUT!$H$42</definedName>
    <definedName name="KURSGURU">#N/A</definedName>
    <definedName name="kursi">'[35]Upah&amp;Bahan'!$C$90</definedName>
    <definedName name="kursi.guru">[10]ANALISA!#REF!</definedName>
    <definedName name="kursi_guru">[43]ANALISA!$N$34</definedName>
    <definedName name="KUSEKAYU" localSheetId="3">#REF!</definedName>
    <definedName name="KUSEKAYU">#REF!</definedName>
    <definedName name="kusen" localSheetId="2">#REF!</definedName>
    <definedName name="kusen" localSheetId="3">#REF!</definedName>
    <definedName name="kusen">#REF!</definedName>
    <definedName name="kusen.alum" localSheetId="2">#REF!</definedName>
    <definedName name="kusen.alum" localSheetId="3">#REF!</definedName>
    <definedName name="kusen.alum">#REF!</definedName>
    <definedName name="kusen.c.100\nonjasa" localSheetId="3">#REF!</definedName>
    <definedName name="kusen.c.100\nonjasa">#REF!</definedName>
    <definedName name="kusen.c.125\nonjasa" localSheetId="3">#REF!</definedName>
    <definedName name="kusen.c.125\nonjasa">#REF!</definedName>
    <definedName name="kusen.c.150\nonjasa" localSheetId="3">#REF!</definedName>
    <definedName name="kusen.c.150\nonjasa">#REF!</definedName>
    <definedName name="kusen.siku.40\nonjasa" localSheetId="3">#REF!</definedName>
    <definedName name="kusen.siku.40\nonjasa">#REF!</definedName>
    <definedName name="kusen.siku50\nonjasa" localSheetId="3">#REF!</definedName>
    <definedName name="kusen.siku50\nonjasa">#REF!</definedName>
    <definedName name="KUSEN__PINTU__JENDELA__ALAT_ALAT_PENGGANTUNG_DAN_CURTAIN_WALL" localSheetId="3">#REF!</definedName>
    <definedName name="KUSEN__PINTU__JENDELA__ALAT_ALAT_PENGGANTUNG_DAN_CURTAIN_WALL">#REF!</definedName>
    <definedName name="KUSEN__PINTU__JENDELA__ALAT_ALAT_PENGGANTUNG_DAN_CURTAIN_WALL_5" localSheetId="3">#REF!</definedName>
    <definedName name="KUSEN__PINTU__JENDELA__ALAT_ALAT_PENGGANTUNG_DAN_CURTAIN_WALL_5">#REF!</definedName>
    <definedName name="KUSEN_A" localSheetId="3">#REF!</definedName>
    <definedName name="KUSEN_A">#REF!</definedName>
    <definedName name="kusen_aluminium" localSheetId="3">#REF!</definedName>
    <definedName name="kusen_aluminium">#REF!</definedName>
    <definedName name="KUSEN_B" localSheetId="3">#REF!</definedName>
    <definedName name="KUSEN_B">#REF!</definedName>
    <definedName name="KUSEN_BASE" localSheetId="3">#REF!</definedName>
    <definedName name="KUSEN_BASE">#REF!</definedName>
    <definedName name="KUSEN_C" localSheetId="3">#REF!</definedName>
    <definedName name="KUSEN_C">#REF!</definedName>
    <definedName name="KUSENALUM" localSheetId="3">#REF!</definedName>
    <definedName name="KUSENALUM">#REF!</definedName>
    <definedName name="kusenalum\nonjasa" localSheetId="3">#REF!</definedName>
    <definedName name="kusenalum\nonjasa">#REF!</definedName>
    <definedName name="kusenalum3" localSheetId="3">#REF!</definedName>
    <definedName name="kusenalum3">#REF!</definedName>
    <definedName name="kusenalum4" localSheetId="3">#REF!</definedName>
    <definedName name="kusenalum4">#REF!</definedName>
    <definedName name="kusenalume3\nonojasa" localSheetId="3">#REF!</definedName>
    <definedName name="kusenalume3\nonojasa">#REF!</definedName>
    <definedName name="KUSENBAJA" localSheetId="3">#REF!</definedName>
    <definedName name="KUSENBAJA">#REF!</definedName>
    <definedName name="KUSENBAJA1" localSheetId="3">#REF!</definedName>
    <definedName name="KUSENBAJA1">#REF!</definedName>
    <definedName name="KUSENBAJA2" localSheetId="3">#REF!</definedName>
    <definedName name="KUSENBAJA2">#REF!</definedName>
    <definedName name="kusenkayu\nonjasa" localSheetId="3">#REF!</definedName>
    <definedName name="kusenkayu\nonjasa">#REF!</definedName>
    <definedName name="KusenPA1">'[38]Analisa Harga Satuan'!$G$2333</definedName>
    <definedName name="KusenPA2">'[38]Analisa Harga Satuan'!$G$2345</definedName>
    <definedName name="KusenPA3">'[38]Analisa Harga Satuan'!$G$2358</definedName>
    <definedName name="KusenPA4">'[38]Analisa Harga Satuan'!$G$2370</definedName>
    <definedName name="KusenPA5">'[38]Analisa Harga Satuan'!$G$2382</definedName>
    <definedName name="KusenPA6">'[38]Analisa Harga Satuan'!$G$2394</definedName>
    <definedName name="KusenPA7">'[38]Analisa Harga Satuan'!$G$2406</definedName>
    <definedName name="KusenPB1Besi">'[38]Analisa Harga Satuan'!$G$2321</definedName>
    <definedName name="kusenpintu1" localSheetId="3">#REF!</definedName>
    <definedName name="kusenpintu1">#REF!</definedName>
    <definedName name="KUSENSIKU" localSheetId="3">#REF!</definedName>
    <definedName name="KUSENSIKU">#REF!</definedName>
    <definedName name="KUSENSIKU4" localSheetId="3">#REF!</definedName>
    <definedName name="KUSENSIKU4">#REF!</definedName>
    <definedName name="KUSENSIKU5" localSheetId="3">#REF!</definedName>
    <definedName name="KUSENSIKU5">#REF!</definedName>
    <definedName name="KUSTA" localSheetId="3">#REF!</definedName>
    <definedName name="KUSTA">#REF!</definedName>
    <definedName name="kutp" localSheetId="3">#REF!</definedName>
    <definedName name="kutp">#REF!</definedName>
    <definedName name="KUZEN">[10]BAHAN!#REF!</definedName>
    <definedName name="Kwas" localSheetId="3">#REF!</definedName>
    <definedName name="Kwas">#REF!</definedName>
    <definedName name="kwh1st" localSheetId="3">#REF!</definedName>
    <definedName name="kwh1st">#REF!</definedName>
    <definedName name="kwh3st" localSheetId="3">#REF!</definedName>
    <definedName name="kwh3st">#REF!</definedName>
    <definedName name="ky" localSheetId="3">#REF!</definedName>
    <definedName name="ky">#REF!</definedName>
    <definedName name="KYBSP" localSheetId="3">#REF!</definedName>
    <definedName name="KYBSP">#REF!</definedName>
    <definedName name="kzink" localSheetId="3">#REF!</definedName>
    <definedName name="kzink">#REF!</definedName>
    <definedName name="l" localSheetId="2">#REF!</definedName>
    <definedName name="l" localSheetId="3">#REF!</definedName>
    <definedName name="l">[14]BPS!#REF!</definedName>
    <definedName name="L.061" localSheetId="2">#REF!</definedName>
    <definedName name="L.061" localSheetId="3">#REF!</definedName>
    <definedName name="L.061">#REF!</definedName>
    <definedName name="L.062">'[78]Upah Kerja'!$E$17</definedName>
    <definedName name="l.068" localSheetId="3">#REF!</definedName>
    <definedName name="l.068">#REF!</definedName>
    <definedName name="L.071" localSheetId="3">#REF!</definedName>
    <definedName name="L.071">#REF!</definedName>
    <definedName name="L.073" localSheetId="2">#REF!</definedName>
    <definedName name="L.073" localSheetId="3">#REF!</definedName>
    <definedName name="L.073">#REF!</definedName>
    <definedName name="l.075" localSheetId="3">#REF!</definedName>
    <definedName name="l.075">#REF!</definedName>
    <definedName name="L.079" localSheetId="2">#REF!</definedName>
    <definedName name="L.079" localSheetId="3">#REF!</definedName>
    <definedName name="L.079">#REF!</definedName>
    <definedName name="L.081" localSheetId="3">#REF!</definedName>
    <definedName name="L.081">#REF!</definedName>
    <definedName name="L.082" localSheetId="3">#REF!</definedName>
    <definedName name="L.082">#REF!</definedName>
    <definedName name="L.083" localSheetId="3">#REF!</definedName>
    <definedName name="L.083">#REF!</definedName>
    <definedName name="l.085" localSheetId="3">#REF!</definedName>
    <definedName name="l.085">#REF!</definedName>
    <definedName name="L.091" localSheetId="3">#REF!</definedName>
    <definedName name="L.091">#REF!</definedName>
    <definedName name="l.095" localSheetId="3">#REF!</definedName>
    <definedName name="l.095">#REF!</definedName>
    <definedName name="L.099" localSheetId="3">#REF!</definedName>
    <definedName name="L.099">#REF!</definedName>
    <definedName name="L.101" localSheetId="3">#REF!</definedName>
    <definedName name="L.101">#REF!</definedName>
    <definedName name="L.103" localSheetId="3">#REF!</definedName>
    <definedName name="L.103">#REF!</definedName>
    <definedName name="l.105" localSheetId="3">#REF!</definedName>
    <definedName name="l.105">#REF!</definedName>
    <definedName name="L.106" localSheetId="3">#REF!</definedName>
    <definedName name="L.106">#REF!</definedName>
    <definedName name="l.107" localSheetId="3">#REF!</definedName>
    <definedName name="l.107">#REF!</definedName>
    <definedName name="L.15A" localSheetId="3">#REF!</definedName>
    <definedName name="L.15A">#REF!</definedName>
    <definedName name="L.4">#N/A</definedName>
    <definedName name="L.4.A">#N/A</definedName>
    <definedName name="L.5">#N/A</definedName>
    <definedName name="L.9">#N/A</definedName>
    <definedName name="L.9.A">#N/A</definedName>
    <definedName name="l.xl40" localSheetId="3">#REF!</definedName>
    <definedName name="l.xl40">#REF!</definedName>
    <definedName name="L_A" localSheetId="3">#REF!</definedName>
    <definedName name="L_A">#REF!</definedName>
    <definedName name="L_B" localSheetId="3">#REF!</definedName>
    <definedName name="L_B">#REF!</definedName>
    <definedName name="L_BASE" localSheetId="3">#REF!</definedName>
    <definedName name="L_BASE">#REF!</definedName>
    <definedName name="L_bowh_ø_2___maspion_D" localSheetId="3">#REF!</definedName>
    <definedName name="L_bowh_ø_2___maspion_D">#REF!</definedName>
    <definedName name="L_bowh_ø_4___maspion_D" localSheetId="3">#REF!</definedName>
    <definedName name="L_bowh_ø_4___maspion_D">#REF!</definedName>
    <definedName name="L_C" localSheetId="3">#REF!</definedName>
    <definedName name="L_C">#REF!</definedName>
    <definedName name="l1ti50" localSheetId="3">#REF!</definedName>
    <definedName name="l1ti50">#REF!</definedName>
    <definedName name="l1ti60" localSheetId="3">#REF!</definedName>
    <definedName name="l1ti60">#REF!</definedName>
    <definedName name="l3l100" localSheetId="3">#REF!</definedName>
    <definedName name="l3l100">#REF!</definedName>
    <definedName name="l3l50" localSheetId="3">#REF!</definedName>
    <definedName name="l3l50">#REF!</definedName>
    <definedName name="l3l60" localSheetId="3">#REF!</definedName>
    <definedName name="l3l60">#REF!</definedName>
    <definedName name="l3l70" localSheetId="3">#REF!</definedName>
    <definedName name="l3l70">#REF!</definedName>
    <definedName name="l3l80" localSheetId="3">#REF!</definedName>
    <definedName name="l3l80">#REF!</definedName>
    <definedName name="l3ld100" localSheetId="3">#REF!</definedName>
    <definedName name="l3ld100">#REF!</definedName>
    <definedName name="l3ld50" localSheetId="3">#REF!</definedName>
    <definedName name="l3ld50">#REF!</definedName>
    <definedName name="l3ld60" localSheetId="3">#REF!</definedName>
    <definedName name="l3ld60">#REF!</definedName>
    <definedName name="l3ld70" localSheetId="3">#REF!</definedName>
    <definedName name="l3ld70">#REF!</definedName>
    <definedName name="l3ld80" localSheetId="3">#REF!</definedName>
    <definedName name="l3ld80">#REF!</definedName>
    <definedName name="l3ti50" localSheetId="3">#REF!</definedName>
    <definedName name="l3ti50">#REF!</definedName>
    <definedName name="l3ti60" localSheetId="3">#REF!</definedName>
    <definedName name="l3ti60">#REF!</definedName>
    <definedName name="l3ti80" localSheetId="3">#REF!</definedName>
    <definedName name="l3ti80">#REF!</definedName>
    <definedName name="l3tisf50" localSheetId="3">#REF!</definedName>
    <definedName name="l3tisf50">#REF!</definedName>
    <definedName name="l3tisf60" localSheetId="3">#REF!</definedName>
    <definedName name="l3tisf60">#REF!</definedName>
    <definedName name="laba" localSheetId="3">#REF!</definedName>
    <definedName name="laba">#REF!</definedName>
    <definedName name="laden" localSheetId="3">#REF!</definedName>
    <definedName name="laden">#REF!</definedName>
    <definedName name="lagi">'[17]Upah&amp;Bahan'!$C$27</definedName>
    <definedName name="LAIN" localSheetId="2">[15]Rab!#REF!</definedName>
    <definedName name="LAIN" localSheetId="3">[15]Rab!#REF!</definedName>
    <definedName name="LAIN">[8]Rab!#REF!</definedName>
    <definedName name="LAINLAIN" localSheetId="2">#REF!</definedName>
    <definedName name="LAINLAIN" localSheetId="3">#REF!</definedName>
    <definedName name="LAINLAIN">#REF!</definedName>
    <definedName name="laker" localSheetId="3">#REF!</definedName>
    <definedName name="laker">#REF!</definedName>
    <definedName name="laki" localSheetId="3">#REF!</definedName>
    <definedName name="laki">#REF!</definedName>
    <definedName name="laku">'[35]Upah&amp;Bahan'!$C$18</definedName>
    <definedName name="lama">'[17]Upah&amp;Bahan'!$C$47</definedName>
    <definedName name="Lampu_Pijar_25_watt_philips" localSheetId="3">#REF!</definedName>
    <definedName name="Lampu_Pijar_25_watt_philips">#REF!</definedName>
    <definedName name="Lampu_TL_20_watt" localSheetId="3">#REF!</definedName>
    <definedName name="Lampu_TL_20_watt">#REF!</definedName>
    <definedName name="Lampu_TL_40_watt" localSheetId="3">#REF!</definedName>
    <definedName name="Lampu_TL_40_watt">#REF!</definedName>
    <definedName name="lampu1X40" localSheetId="3">#REF!</definedName>
    <definedName name="lampu1X40">#REF!</definedName>
    <definedName name="lampupijar40" localSheetId="3">#REF!</definedName>
    <definedName name="lampupijar40">#REF!</definedName>
    <definedName name="lantai_beton" localSheetId="3">#REF!</definedName>
    <definedName name="lantai_beton">#REF!</definedName>
    <definedName name="LANTAI_P3" localSheetId="3">#REF!</definedName>
    <definedName name="LANTAI_P3">#REF!</definedName>
    <definedName name="LANTAICOR" localSheetId="2">#REF!</definedName>
    <definedName name="LANTAICOR" localSheetId="3">#REF!</definedName>
    <definedName name="LANTAICOR" localSheetId="11">#REF!</definedName>
    <definedName name="LANTAICOR">#REF!</definedName>
    <definedName name="lantaikayupabrikasi" localSheetId="3">#REF!</definedName>
    <definedName name="lantaikayupabrikasi">#REF!</definedName>
    <definedName name="lantaikeramik">[39]Analisis!#REF!</definedName>
    <definedName name="Lantana" localSheetId="3">#REF!</definedName>
    <definedName name="Lantana">#REF!</definedName>
    <definedName name="LAPISI" localSheetId="3">#REF!</definedName>
    <definedName name="LAPISI">#REF!</definedName>
    <definedName name="Laporan.HAr" localSheetId="3" hidden="1">#REF!</definedName>
    <definedName name="Laporan.HAr" hidden="1">#REF!</definedName>
    <definedName name="las.dop" localSheetId="3">#REF!</definedName>
    <definedName name="las.dop">#REF!</definedName>
    <definedName name="latai">[39]Analisis!#REF!</definedName>
    <definedName name="LaunchingBox" localSheetId="3">#REF!</definedName>
    <definedName name="LaunchingBox">#REF!</definedName>
    <definedName name="LE" localSheetId="3">#REF!</definedName>
    <definedName name="LE">#REF!</definedName>
    <definedName name="leb" localSheetId="3">#REF!</definedName>
    <definedName name="leb">#REF!</definedName>
    <definedName name="lem">[43]BAHAN!$L$25</definedName>
    <definedName name="lem.kayu">[10]BAHAN!#REF!</definedName>
    <definedName name="lem_aibon" localSheetId="3">#REF!</definedName>
    <definedName name="lem_aibon">#REF!</definedName>
    <definedName name="LEM_OBAT">#N/A</definedName>
    <definedName name="lemkuning" localSheetId="3">#REF!</definedName>
    <definedName name="lemkuning">#REF!</definedName>
    <definedName name="lempinil" localSheetId="3">#REF!</definedName>
    <definedName name="lempinil">#REF!</definedName>
    <definedName name="lemputih" localSheetId="3">#REF!</definedName>
    <definedName name="lemputih">#REF!</definedName>
    <definedName name="lemPVC" localSheetId="3">#REF!</definedName>
    <definedName name="lemPVC">#REF!</definedName>
    <definedName name="LEMRBUKU">#N/A</definedName>
    <definedName name="len">[14]BPS!#REF!</definedName>
    <definedName name="leper.handle\ps" localSheetId="3">#REF!</definedName>
    <definedName name="leper.handle\ps">#REF!</definedName>
    <definedName name="leperhandle\nonjasa" localSheetId="3">#REF!</definedName>
    <definedName name="leperhandle\nonjasa">#REF!</definedName>
    <definedName name="Leverhandlegriff1224\2051.f1" localSheetId="3">#REF!</definedName>
    <definedName name="Leverhandlegriff1224\2051.f1">#REF!</definedName>
    <definedName name="LG" localSheetId="2">#REF!</definedName>
    <definedName name="LG" localSheetId="3">#REF!</definedName>
    <definedName name="LG">#REF!</definedName>
    <definedName name="lg_4" localSheetId="3">#REF!</definedName>
    <definedName name="lg_4">#REF!</definedName>
    <definedName name="lg_5" localSheetId="3">#REF!</definedName>
    <definedName name="lg_5">#REF!</definedName>
    <definedName name="lg_7" localSheetId="3">#REF!</definedName>
    <definedName name="lg_7">#REF!</definedName>
    <definedName name="lgld100" localSheetId="3">#REF!</definedName>
    <definedName name="lgld100">#REF!</definedName>
    <definedName name="lgld70" localSheetId="3">#REF!</definedName>
    <definedName name="lgld70">#REF!</definedName>
    <definedName name="lgld80" localSheetId="3">#REF!</definedName>
    <definedName name="lgld80">#REF!</definedName>
    <definedName name="lgti50" localSheetId="3">#REF!</definedName>
    <definedName name="lgti50">#REF!</definedName>
    <definedName name="lgti60" localSheetId="3">#REF!</definedName>
    <definedName name="lgti60">#REF!</definedName>
    <definedName name="lgti70" localSheetId="3">#REF!</definedName>
    <definedName name="lgti70">#REF!</definedName>
    <definedName name="lgtisf50" localSheetId="3">#REF!</definedName>
    <definedName name="lgtisf50">#REF!</definedName>
    <definedName name="lgtisf60" localSheetId="3">#REF!</definedName>
    <definedName name="lgtisf60">#REF!</definedName>
    <definedName name="lgyf" localSheetId="3">#REF!</definedName>
    <definedName name="lgyf">#REF!</definedName>
    <definedName name="lgyf7" localSheetId="3">#REF!</definedName>
    <definedName name="lgyf7">#REF!</definedName>
    <definedName name="lgyf8" localSheetId="3">#REF!</definedName>
    <definedName name="lgyf8">#REF!</definedName>
    <definedName name="licin">[72]BAHAN!$N$53</definedName>
    <definedName name="liftbarang" localSheetId="3">#REF!</definedName>
    <definedName name="liftbarang">#REF!</definedName>
    <definedName name="Liliparis" localSheetId="3">#REF!</definedName>
    <definedName name="Liliparis">#REF!</definedName>
    <definedName name="lima" localSheetId="3">#REF!</definedName>
    <definedName name="lima">#REF!</definedName>
    <definedName name="liquit" localSheetId="3">#REF!</definedName>
    <definedName name="liquit">#REF!</definedName>
    <definedName name="lis" localSheetId="3">#REF!</definedName>
    <definedName name="lis">#REF!</definedName>
    <definedName name="lisplank">[39]Analisis!#REF!</definedName>
    <definedName name="list" localSheetId="3">#REF!</definedName>
    <definedName name="list">#REF!</definedName>
    <definedName name="list_6" localSheetId="3">#REF!</definedName>
    <definedName name="list_6">#REF!</definedName>
    <definedName name="List_tengah" localSheetId="3">#REF!</definedName>
    <definedName name="List_tengah">#REF!</definedName>
    <definedName name="List5cm">'[38]Analisa Harga Satuan'!$G$2522</definedName>
    <definedName name="listgyp" localSheetId="3">#REF!</definedName>
    <definedName name="listgyp">#REF!</definedName>
    <definedName name="listkayu" localSheetId="3">#REF!</definedName>
    <definedName name="listkayu">#REF!</definedName>
    <definedName name="listkayubesi" localSheetId="3">#REF!</definedName>
    <definedName name="listkayubesi">#REF!</definedName>
    <definedName name="LISTPLANK" localSheetId="2">#REF!</definedName>
    <definedName name="LISTPLANK" localSheetId="3">#REF!</definedName>
    <definedName name="LISTPLANK">#REF!</definedName>
    <definedName name="Listplank330">'[38]Analisa Harga Satuan'!$G$2576</definedName>
    <definedName name="listprofil" localSheetId="3">#REF!</definedName>
    <definedName name="listprofil">#REF!</definedName>
    <definedName name="lkerja" localSheetId="3">#REF!</definedName>
    <definedName name="lkerja">#REF!</definedName>
    <definedName name="Lkg" localSheetId="2">#REF!</definedName>
    <definedName name="Lkg" localSheetId="3">#REF!</definedName>
    <definedName name="Lkg">#REF!</definedName>
    <definedName name="LL" localSheetId="2" hidden="1">{"'Sheet1'!$A$1"}</definedName>
    <definedName name="LL" localSheetId="3" hidden="1">{"'Sheet1'!$A$1"}</definedName>
    <definedName name="ll">#REF!</definedName>
    <definedName name="LM_ARSIP">#N/A</definedName>
    <definedName name="LM_INSTR">#N/A</definedName>
    <definedName name="LM_KARTU">#N/A</definedName>
    <definedName name="Lmk">#REF!</definedName>
    <definedName name="loader115">#REF!</definedName>
    <definedName name="loaderwheel80hp">#REF!</definedName>
    <definedName name="LOBBY" localSheetId="3">#REF!</definedName>
    <definedName name="LOBBY">#REF!</definedName>
    <definedName name="LOBY_A" localSheetId="3">#REF!</definedName>
    <definedName name="LOBY_A">#REF!</definedName>
    <definedName name="LOBY_B" localSheetId="3">#REF!</definedName>
    <definedName name="LOBY_B">#REF!</definedName>
    <definedName name="LOBY_BASE" localSheetId="3">#REF!</definedName>
    <definedName name="LOBY_BASE">#REF!</definedName>
    <definedName name="LOBY_C" localSheetId="3">#REF!</definedName>
    <definedName name="LOBY_C">#REF!</definedName>
    <definedName name="lockset" localSheetId="3">#REF!</definedName>
    <definedName name="lockset">#REF!</definedName>
    <definedName name="losbahan" localSheetId="3">#REF!</definedName>
    <definedName name="losbahan">#REF!</definedName>
    <definedName name="lover8" localSheetId="3">#REF!</definedName>
    <definedName name="lover8">#REF!</definedName>
    <definedName name="loverbening6" localSheetId="3">#REF!</definedName>
    <definedName name="loverbening6">#REF!</definedName>
    <definedName name="loverbening8" localSheetId="3">#REF!</definedName>
    <definedName name="loverbening8">#REF!</definedName>
    <definedName name="lp100nb" localSheetId="3">#REF!</definedName>
    <definedName name="lp100nb">#REF!</definedName>
    <definedName name="lp36nb" localSheetId="3">#REF!</definedName>
    <definedName name="lp36nb">#REF!</definedName>
    <definedName name="LPAA">#REF!</definedName>
    <definedName name="LPBC">#REF!</definedName>
    <definedName name="ltkerja" localSheetId="3">#REF!</definedName>
    <definedName name="ltkerja">#REF!</definedName>
    <definedName name="luas" localSheetId="3">#REF!</definedName>
    <definedName name="luas">#REF!</definedName>
    <definedName name="luas_a" localSheetId="3">#REF!</definedName>
    <definedName name="luas_a">#REF!</definedName>
    <definedName name="Luas_Bangunan" localSheetId="3">#REF!</definedName>
    <definedName name="Luas_Bangunan">#REF!</definedName>
    <definedName name="luas_s" localSheetId="3">#REF!</definedName>
    <definedName name="luas_s">#REF!</definedName>
    <definedName name="M.010" localSheetId="2">#REF!</definedName>
    <definedName name="M.010" localSheetId="3">#REF!</definedName>
    <definedName name="M.010">#REF!</definedName>
    <definedName name="M.023" localSheetId="2">#REF!</definedName>
    <definedName name="M.023" localSheetId="3">#REF!</definedName>
    <definedName name="M.023">#REF!</definedName>
    <definedName name="M.024" localSheetId="2">#REF!</definedName>
    <definedName name="M.024" localSheetId="3">#REF!</definedName>
    <definedName name="M.024">#REF!</definedName>
    <definedName name="M.025" localSheetId="3">#REF!</definedName>
    <definedName name="M.025">#REF!</definedName>
    <definedName name="m.028" localSheetId="3">#REF!</definedName>
    <definedName name="m.028">#REF!</definedName>
    <definedName name="m.029" localSheetId="3">#REF!</definedName>
    <definedName name="m.029">#REF!</definedName>
    <definedName name="M.040" localSheetId="3">#REF!</definedName>
    <definedName name="M.040">#REF!</definedName>
    <definedName name="M.041" localSheetId="3">#REF!</definedName>
    <definedName name="M.041">#REF!</definedName>
    <definedName name="M.042" localSheetId="3">#REF!</definedName>
    <definedName name="M.042">#REF!</definedName>
    <definedName name="m.045" localSheetId="3">#REF!</definedName>
    <definedName name="m.045">#REF!</definedName>
    <definedName name="m.047" localSheetId="3">#REF!</definedName>
    <definedName name="m.047">#REF!</definedName>
    <definedName name="m.048" localSheetId="3">#REF!</definedName>
    <definedName name="m.048">#REF!</definedName>
    <definedName name="m.049">'[17]Upah&amp;Bahan'!$C$44</definedName>
    <definedName name="M.050">[79]Material!$J$24</definedName>
    <definedName name="M.061" localSheetId="3">#REF!</definedName>
    <definedName name="M.061">#REF!</definedName>
    <definedName name="M.065" localSheetId="3">#REF!</definedName>
    <definedName name="M.065">#REF!</definedName>
    <definedName name="m.068">'[17]Upah&amp;Bahan'!$C$90</definedName>
    <definedName name="m.069">'[17]Upah&amp;Bahan'!$C$83</definedName>
    <definedName name="M.080" localSheetId="3">#REF!</definedName>
    <definedName name="M.080">#REF!</definedName>
    <definedName name="m.089">'[17]Upah&amp;Bahan'!$C$62</definedName>
    <definedName name="m.105" localSheetId="3">#REF!</definedName>
    <definedName name="m.105">#REF!</definedName>
    <definedName name="M.166" localSheetId="3">#REF!</definedName>
    <definedName name="M.166">#REF!</definedName>
    <definedName name="M.167" localSheetId="3">#REF!</definedName>
    <definedName name="M.167">#REF!</definedName>
    <definedName name="m.169" localSheetId="3">#REF!</definedName>
    <definedName name="m.169">#REF!</definedName>
    <definedName name="M.170" localSheetId="3">#REF!</definedName>
    <definedName name="M.170">#REF!</definedName>
    <definedName name="M.180" localSheetId="3">#REF!</definedName>
    <definedName name="M.180">#REF!</definedName>
    <definedName name="m.190">'[35]Upah&amp;Bahan'!$C$100</definedName>
    <definedName name="m.68">'[17]Upah&amp;Bahan'!$C$61</definedName>
    <definedName name="M1_2BIRO">#N/A</definedName>
    <definedName name="M10aa1p" localSheetId="3">#REF!</definedName>
    <definedName name="M10aa1p">#REF!</definedName>
    <definedName name="M12ba3p" localSheetId="3">#REF!</definedName>
    <definedName name="M12ba3p">#REF!</definedName>
    <definedName name="M12bb1p" localSheetId="3">#REF!</definedName>
    <definedName name="M12bb1p">#REF!</definedName>
    <definedName name="M12cbnc" localSheetId="3">#REF!</definedName>
    <definedName name="M12cbnc">#REF!</definedName>
    <definedName name="M12cbvl" localSheetId="3">#REF!</definedName>
    <definedName name="M12cbvl">#REF!</definedName>
    <definedName name="M14bb1p" localSheetId="3">#REF!</definedName>
    <definedName name="M14bb1p">#REF!</definedName>
    <definedName name="m8aanc" localSheetId="3">#REF!</definedName>
    <definedName name="m8aanc">#REF!</definedName>
    <definedName name="m8aavl" localSheetId="3">#REF!</definedName>
    <definedName name="m8aavl">#REF!</definedName>
    <definedName name="ma" localSheetId="3">#REF!</definedName>
    <definedName name="ma">#REF!</definedName>
    <definedName name="Ma3pnc" localSheetId="3">#REF!</definedName>
    <definedName name="Ma3pnc">#REF!</definedName>
    <definedName name="Ma3pvl" localSheetId="3">#REF!</definedName>
    <definedName name="Ma3pvl">#REF!</definedName>
    <definedName name="Maa3pnc" localSheetId="3">#REF!</definedName>
    <definedName name="Maa3pnc">#REF!</definedName>
    <definedName name="Maa3pvl" localSheetId="3">#REF!</definedName>
    <definedName name="Maa3pvl">#REF!</definedName>
    <definedName name="mader">[80]Alat!$BO$427</definedName>
    <definedName name="maka">'[35]Upah&amp;Bahan'!$C$44</definedName>
    <definedName name="MAL1M2" localSheetId="2">#REF!</definedName>
    <definedName name="MAL1M2" localSheetId="3">#REF!</definedName>
    <definedName name="MAL1M2">#REF!</definedName>
    <definedName name="MAL1M3" localSheetId="2">#REF!</definedName>
    <definedName name="MAL1M3" localSheetId="3">#REF!</definedName>
    <definedName name="MAL1M3">#REF!</definedName>
    <definedName name="mAN" localSheetId="3">#REF!</definedName>
    <definedName name="mAN">#REF!</definedName>
    <definedName name="mandor" localSheetId="2">#REF!</definedName>
    <definedName name="mandor" localSheetId="3">#REF!</definedName>
    <definedName name="MANDOR">#REF!</definedName>
    <definedName name="Manggis" localSheetId="3">#REF!</definedName>
    <definedName name="Manggis">#REF!</definedName>
    <definedName name="manhole" localSheetId="3">#REF!</definedName>
    <definedName name="manhole">#REF!</definedName>
    <definedName name="manhole60x100" localSheetId="3">#REF!</definedName>
    <definedName name="manhole60x100">#REF!</definedName>
    <definedName name="manhole60x60" localSheetId="3">#REF!</definedName>
    <definedName name="manhole60x60">#REF!</definedName>
    <definedName name="mark_up" localSheetId="3">#REF!</definedName>
    <definedName name="mark_up">#REF!</definedName>
    <definedName name="Mark_UpA" localSheetId="3">#REF!</definedName>
    <definedName name="Mark_UpA">#REF!</definedName>
    <definedName name="Mark_UpB" localSheetId="3">#REF!</definedName>
    <definedName name="Mark_UpB">#REF!</definedName>
    <definedName name="Marka" localSheetId="3">#REF!</definedName>
    <definedName name="Marka">#REF!</definedName>
    <definedName name="MARKUP" localSheetId="3">#REF!</definedName>
    <definedName name="MARKUP">#REF!</definedName>
    <definedName name="Markup_Pek" localSheetId="3">#REF!</definedName>
    <definedName name="Markup_Pek">#REF!</definedName>
    <definedName name="Markup_Upah" localSheetId="3">#REF!</definedName>
    <definedName name="Markup_Upah">#REF!</definedName>
    <definedName name="marmer.solid" localSheetId="3">#REF!</definedName>
    <definedName name="marmer.solid">#REF!</definedName>
    <definedName name="marmer_40_60" localSheetId="3">#REF!</definedName>
    <definedName name="marmer_40_60">#REF!</definedName>
    <definedName name="marmer_60_60" localSheetId="3">#REF!</definedName>
    <definedName name="marmer_60_60">#REF!</definedName>
    <definedName name="marmer40x40" localSheetId="3">#REF!</definedName>
    <definedName name="marmer40x40">#REF!</definedName>
    <definedName name="marmer60x60" localSheetId="3">#REF!</definedName>
    <definedName name="marmer60x60">#REF!</definedName>
    <definedName name="mars" localSheetId="3">#REF!</definedName>
    <definedName name="mars">#REF!</definedName>
    <definedName name="mat" localSheetId="3">#REF!</definedName>
    <definedName name="mat">#REF!</definedName>
    <definedName name="mata">'[35]Upah&amp;Bahan'!$C$52</definedName>
    <definedName name="Mata_bor" localSheetId="3">#REF!</definedName>
    <definedName name="Mata_bor">#REF!</definedName>
    <definedName name="Mata_gergaji" localSheetId="3">#REF!</definedName>
    <definedName name="Mata_gergaji">#REF!</definedName>
    <definedName name="matahari">'[35]Upah&amp;Bahan'!$C$51</definedName>
    <definedName name="matakran" localSheetId="3">#REF!</definedName>
    <definedName name="matakran">#REF!</definedName>
    <definedName name="MATERIAL" localSheetId="2">#REF!</definedName>
    <definedName name="MATERIAL" localSheetId="3">#REF!</definedName>
    <definedName name="MATERIAL">#REF!</definedName>
    <definedName name="materials" localSheetId="2">'[81]HARGA DASAR'!$C$16:$F$406</definedName>
    <definedName name="materials" localSheetId="3">'[81]HARGA DASAR'!$C$16:$F$406</definedName>
    <definedName name="matger" localSheetId="3">#REF!</definedName>
    <definedName name="matger">#REF!</definedName>
    <definedName name="matrix" localSheetId="3">#REF!</definedName>
    <definedName name="matrix">#REF!</definedName>
    <definedName name="mau">'[17]Upah&amp;Bahan'!$C$54</definedName>
    <definedName name="Mba1p" localSheetId="3">#REF!</definedName>
    <definedName name="Mba1p">#REF!</definedName>
    <definedName name="Mba3p" localSheetId="3">#REF!</definedName>
    <definedName name="Mba3p">#REF!</definedName>
    <definedName name="mbahan" localSheetId="3">#REF!</definedName>
    <definedName name="mbahan">#REF!</definedName>
    <definedName name="mbaja_6" localSheetId="3">#REF!</definedName>
    <definedName name="mbaja_6">#REF!</definedName>
    <definedName name="mbb_6" localSheetId="3">#REF!</definedName>
    <definedName name="mbb_6">#REF!</definedName>
    <definedName name="Mbb3p" localSheetId="3">#REF!</definedName>
    <definedName name="Mbb3p">#REF!</definedName>
    <definedName name="mbbek" localSheetId="3">#REF!</definedName>
    <definedName name="mbbek">#REF!</definedName>
    <definedName name="mbbek_6" localSheetId="3">#REF!</definedName>
    <definedName name="mbbek_6">#REF!</definedName>
    <definedName name="MBBESI" localSheetId="3">#REF!</definedName>
    <definedName name="MBBESI">#REF!</definedName>
    <definedName name="MBBESI_6" localSheetId="3">#REF!</definedName>
    <definedName name="MBBESI_6">#REF!</definedName>
    <definedName name="mbbrick" localSheetId="3">#REF!</definedName>
    <definedName name="mbbrick">#REF!</definedName>
    <definedName name="mbbrick_6" localSheetId="3">#REF!</definedName>
    <definedName name="mbbrick_6">#REF!</definedName>
    <definedName name="mbbwat" localSheetId="3">#REF!</definedName>
    <definedName name="mbbwat">#REF!</definedName>
    <definedName name="mbbwat_6" localSheetId="3">#REF!</definedName>
    <definedName name="mbbwat_6">#REF!</definedName>
    <definedName name="MBCW420JS516STD" localSheetId="3">#REF!</definedName>
    <definedName name="MBCW420JS516STD">#REF!</definedName>
    <definedName name="mbesi_6" localSheetId="3">#REF!</definedName>
    <definedName name="mbesi_6">#REF!</definedName>
    <definedName name="mbhn_6" localSheetId="3">#REF!</definedName>
    <definedName name="mbhn_6">#REF!</definedName>
    <definedName name="Mbn1p" localSheetId="3">#REF!</definedName>
    <definedName name="Mbn1p">#REF!</definedName>
    <definedName name="mbtn_6" localSheetId="3">#REF!</definedName>
    <definedName name="mbtn_6">#REF!</definedName>
    <definedName name="mbw" localSheetId="3">#REF!</definedName>
    <definedName name="mbw">#REF!</definedName>
    <definedName name="mbw_6" localSheetId="3">#REF!</definedName>
    <definedName name="mbw_6">#REF!</definedName>
    <definedName name="mcat" localSheetId="3">#REF!</definedName>
    <definedName name="mcat">#REF!</definedName>
    <definedName name="mcb.4" localSheetId="3">#REF!</definedName>
    <definedName name="mcb.4">#REF!</definedName>
    <definedName name="mcb.6" localSheetId="3">#REF!</definedName>
    <definedName name="mcb.6">#REF!</definedName>
    <definedName name="mccb.250" localSheetId="3">#REF!</definedName>
    <definedName name="mccb.250">#REF!</definedName>
    <definedName name="mccb.80" localSheetId="3">#REF!</definedName>
    <definedName name="mccb.80">#REF!</definedName>
    <definedName name="mcrane" localSheetId="3">#REF!</definedName>
    <definedName name="mcrane">#REF!</definedName>
    <definedName name="mcs" localSheetId="3">#REF!</definedName>
    <definedName name="mcs">#REF!</definedName>
    <definedName name="MDP" localSheetId="3">#REF!</definedName>
    <definedName name="MDP">#REF!</definedName>
    <definedName name="mdr" localSheetId="2">#REF!</definedName>
    <definedName name="mdr" localSheetId="3">#REF!</definedName>
    <definedName name="mdr" localSheetId="11">#REF!</definedName>
    <definedName name="mdr">#REF!</definedName>
    <definedName name="ME" localSheetId="3">#REF!</definedName>
    <definedName name="ME">#REF!</definedName>
    <definedName name="me_6" localSheetId="3">#REF!</definedName>
    <definedName name="me_6">#REF!</definedName>
    <definedName name="Medan__19_April_2010">[23]INPUT!$E$16</definedName>
    <definedName name="medan3.4" localSheetId="3">#REF!</definedName>
    <definedName name="medan3.4">#REF!</definedName>
    <definedName name="medan5.10" localSheetId="3">#REF!</definedName>
    <definedName name="medan5.10">#REF!</definedName>
    <definedName name="medan5.7" localSheetId="3">#REF!</definedName>
    <definedName name="medan5.7">#REF!</definedName>
    <definedName name="medan6.12" localSheetId="3">#REF!</definedName>
    <definedName name="medan6.12">#REF!</definedName>
    <definedName name="medan8.15" localSheetId="3">#REF!</definedName>
    <definedName name="medan8.15">#REF!</definedName>
    <definedName name="megatik" localSheetId="3">#REF!</definedName>
    <definedName name="megatik">#REF!</definedName>
    <definedName name="meja" localSheetId="2">#REF!</definedName>
    <definedName name="meja" localSheetId="3">#REF!</definedName>
    <definedName name="meja">'[35]Upah&amp;Bahan'!$C$83</definedName>
    <definedName name="meja.guru">[10]ANALISA!#REF!</definedName>
    <definedName name="meja.murid">[10]ANALISA!#REF!</definedName>
    <definedName name="MEJA_GURU">[43]ANALISA!$N$11</definedName>
    <definedName name="meja_murid">[43]ANALISA!$N$53</definedName>
    <definedName name="MEJAGURU">#N/A</definedName>
    <definedName name="MEJMURID">#N/A</definedName>
    <definedName name="mekanik" localSheetId="3">#REF!</definedName>
    <definedName name="mekanik">#REF!</definedName>
    <definedName name="MEKANIKAL" localSheetId="3">#REF!</definedName>
    <definedName name="MEKANIKAL">#REF!</definedName>
    <definedName name="mel." localSheetId="3">#REF!</definedName>
    <definedName name="mel.">#REF!</definedName>
    <definedName name="melamik\nonjasa" localSheetId="3">#REF!</definedName>
    <definedName name="melamik\nonjasa">#REF!</definedName>
    <definedName name="melaminto" localSheetId="3">#REF!</definedName>
    <definedName name="melaminto">#REF!</definedName>
    <definedName name="melas" localSheetId="3">#REF!</definedName>
    <definedName name="melas">#REF!</definedName>
    <definedName name="membrane" localSheetId="3">#REF!</definedName>
    <definedName name="membrane">#REF!</definedName>
    <definedName name="MEMEK" localSheetId="3">#REF!</definedName>
    <definedName name="MEMEK">#REF!</definedName>
    <definedName name="memscreed" localSheetId="3">#REF!</definedName>
    <definedName name="memscreed">#REF!</definedName>
    <definedName name="mengapa">'[17]Kuantitas &amp; Harga'!#REF!</definedName>
    <definedName name="MENI" localSheetId="2">#REF!</definedName>
    <definedName name="MENI" localSheetId="3">#REF!</definedName>
    <definedName name="MENI">#REF!</definedName>
    <definedName name="menibesi" localSheetId="3">#REF!</definedName>
    <definedName name="menibesi">#REF!</definedName>
    <definedName name="Menibesimtmenengah" localSheetId="3">#REF!</definedName>
    <definedName name="Menibesimtmenengah">#REF!</definedName>
    <definedName name="menie_kayu" localSheetId="3">#REF!</definedName>
    <definedName name="menie_kayu">#REF!</definedName>
    <definedName name="menikayu" localSheetId="3">#REF!</definedName>
    <definedName name="menikayu">#REF!</definedName>
    <definedName name="menikayumtmenengah" localSheetId="3">#REF!</definedName>
    <definedName name="menikayumtmenengah">#REF!</definedName>
    <definedName name="menizynch" localSheetId="3">#REF!</definedName>
    <definedName name="menizynch">#REF!</definedName>
    <definedName name="MENUBOQ" localSheetId="2">#REF!</definedName>
    <definedName name="MENUBOQ" localSheetId="3">#REF!</definedName>
    <definedName name="MENUBOQ" localSheetId="11">'[12]1_boq'!#REF!</definedName>
    <definedName name="MENUBOQ">'[12]1_boq'!#REF!</definedName>
    <definedName name="menunggu">'[17]Upah&amp;Bahan'!$C$17</definedName>
    <definedName name="mesger" localSheetId="3">#REF!</definedName>
    <definedName name="mesger">#REF!</definedName>
    <definedName name="mesh" localSheetId="3">#REF!</definedName>
    <definedName name="mesh">#REF!</definedName>
    <definedName name="Mesin_bor" localSheetId="3">#REF!</definedName>
    <definedName name="Mesin_bor">#REF!</definedName>
    <definedName name="Mesin_gergaji" localSheetId="3">#REF!</definedName>
    <definedName name="Mesin_gergaji">#REF!</definedName>
    <definedName name="mesin_las" localSheetId="3">#REF!</definedName>
    <definedName name="mesin_las">#REF!</definedName>
    <definedName name="Mesin_Potong_ChainShaw" localSheetId="3">#REF!</definedName>
    <definedName name="Mesin_Potong_ChainShaw">#REF!</definedName>
    <definedName name="Mesin_potong_plat" localSheetId="3">#REF!</definedName>
    <definedName name="Mesin_potong_plat">#REF!</definedName>
    <definedName name="mesingilas3roda">#REF!</definedName>
    <definedName name="mesingilaskaret">#REF!</definedName>
    <definedName name="mesingilastendem">#REF!</definedName>
    <definedName name="MILYAR" localSheetId="3">#REF!</definedName>
    <definedName name="MILYAR">#REF!</definedName>
    <definedName name="mingg" localSheetId="3">#REF!</definedName>
    <definedName name="mingg">#REF!</definedName>
    <definedName name="Minivibro" localSheetId="3">#REF!</definedName>
    <definedName name="Minivibro">#REF!</definedName>
    <definedName name="MINOR" localSheetId="2">#REF!</definedName>
    <definedName name="MINOR" localSheetId="3">#REF!</definedName>
    <definedName name="minyak">#REF!</definedName>
    <definedName name="Minyak_cat" localSheetId="3">#REF!</definedName>
    <definedName name="Minyak_cat">#REF!</definedName>
    <definedName name="Minyakbekisting" localSheetId="3">#REF!</definedName>
    <definedName name="Minyakbekisting">#REF!</definedName>
    <definedName name="minyakcat" localSheetId="3">#REF!</definedName>
    <definedName name="minyakcat">#REF!</definedName>
    <definedName name="minyakcatstd" localSheetId="3">#REF!</definedName>
    <definedName name="minyakcatstd">#REF!</definedName>
    <definedName name="minyakmelamik" localSheetId="3">#REF!</definedName>
    <definedName name="minyakmelamik">#REF!</definedName>
    <definedName name="MISTIL" localSheetId="3">#REF!</definedName>
    <definedName name="MISTIL">#REF!</definedName>
    <definedName name="Mixer" localSheetId="3">#REF!</definedName>
    <definedName name="Mixer">#REF!</definedName>
    <definedName name="MJRAPAT">#N/A</definedName>
    <definedName name="MK_DLAUT">#N/A</definedName>
    <definedName name="mlex.w" localSheetId="2">#REF!</definedName>
    <definedName name="mlex.w" localSheetId="3">#REF!</definedName>
    <definedName name="mlex.w">#REF!</definedName>
    <definedName name="MM" localSheetId="3">#REF!</definedName>
    <definedName name="MM">#REF!</definedName>
    <definedName name="MMM">#REF!</definedName>
    <definedName name="MMM17A" localSheetId="2">#REF!</definedName>
    <definedName name="MMM17A" localSheetId="3">#REF!</definedName>
    <definedName name="MMM17A">#REF!</definedName>
    <definedName name="MMM35A" localSheetId="2">#REF!</definedName>
    <definedName name="MMM35A" localSheetId="3">#REF!</definedName>
    <definedName name="MMM35A">#REF!</definedName>
    <definedName name="mobdemobtp" localSheetId="3">#REF!</definedName>
    <definedName name="mobdemobtp">#REF!</definedName>
    <definedName name="MOBILISASI" localSheetId="2">#REF!</definedName>
    <definedName name="MOBILISASI" localSheetId="3">#REF!</definedName>
    <definedName name="MOBILISASI">#REF!</definedName>
    <definedName name="Mobilization" localSheetId="3">#REF!</definedName>
    <definedName name="Mobilization">#REF!</definedName>
    <definedName name="mobtp" localSheetId="3">#REF!</definedName>
    <definedName name="mobtp">#REF!</definedName>
    <definedName name="molen">#REF!</definedName>
    <definedName name="molenbeton">#REF!</definedName>
    <definedName name="mortalMU" localSheetId="3">#REF!</definedName>
    <definedName name="mortalMU">#REF!</definedName>
    <definedName name="MORTAR13" localSheetId="3">#REF!</definedName>
    <definedName name="MORTAR13">#REF!</definedName>
    <definedName name="MOTOR_GRADER">#REF!</definedName>
    <definedName name="mowi.w.shield" localSheetId="3">#REF!</definedName>
    <definedName name="mowi.w.shield">#REF!</definedName>
    <definedName name="mowi.ws" localSheetId="3">#REF!</definedName>
    <definedName name="mowi.ws">#REF!</definedName>
    <definedName name="mozaik2020" localSheetId="3">#REF!</definedName>
    <definedName name="mozaik2020">#REF!</definedName>
    <definedName name="mozaik3030" localSheetId="3">#REF!</definedName>
    <definedName name="mozaik3030">#REF!</definedName>
    <definedName name="MP_21" localSheetId="3">#REF!</definedName>
    <definedName name="MP_21">#REF!</definedName>
    <definedName name="MP_221" localSheetId="3">#REF!</definedName>
    <definedName name="MP_221">#REF!</definedName>
    <definedName name="MP_222" localSheetId="3">#REF!</definedName>
    <definedName name="MP_222">#REF!</definedName>
    <definedName name="MP_311" localSheetId="3">#REF!</definedName>
    <definedName name="MP_311">#REF!</definedName>
    <definedName name="MP_311a" localSheetId="3">#REF!</definedName>
    <definedName name="MP_311a">#REF!</definedName>
    <definedName name="MP_312" localSheetId="3">#REF!</definedName>
    <definedName name="MP_312">#REF!</definedName>
    <definedName name="MP_312b" localSheetId="3">#REF!</definedName>
    <definedName name="MP_312b">#REF!</definedName>
    <definedName name="MP_321" localSheetId="3">#REF!</definedName>
    <definedName name="MP_321">#REF!</definedName>
    <definedName name="MP_322" localSheetId="3">#REF!</definedName>
    <definedName name="MP_322">#REF!</definedName>
    <definedName name="MP_33" localSheetId="3">#REF!</definedName>
    <definedName name="MP_33">#REF!</definedName>
    <definedName name="MP_511" localSheetId="3">#REF!</definedName>
    <definedName name="MP_511">#REF!</definedName>
    <definedName name="MP_512" localSheetId="3">#REF!</definedName>
    <definedName name="MP_512">#REF!</definedName>
    <definedName name="MP_513" localSheetId="3">#REF!</definedName>
    <definedName name="MP_513">#REF!</definedName>
    <definedName name="MP_52" localSheetId="3">#REF!</definedName>
    <definedName name="MP_52">#REF!</definedName>
    <definedName name="MP_55" localSheetId="3">#REF!</definedName>
    <definedName name="MP_55">#REF!</definedName>
    <definedName name="MPERIKSA">#N/A</definedName>
    <definedName name="mpre" localSheetId="3">#REF!</definedName>
    <definedName name="mpre">#REF!</definedName>
    <definedName name="mprel_6" localSheetId="3">#REF!</definedName>
    <definedName name="mprel_6">#REF!</definedName>
    <definedName name="mprt" localSheetId="3">#REF!</definedName>
    <definedName name="mprt">#REF!</definedName>
    <definedName name="mprt_6" localSheetId="3">#REF!</definedName>
    <definedName name="mprt_6">#REF!</definedName>
    <definedName name="MR.12" localSheetId="2">#REF!</definedName>
    <definedName name="MR.12" localSheetId="3">#REF!</definedName>
    <definedName name="MR.12" localSheetId="11">#REF!</definedName>
    <definedName name="MR.12">#REF!</definedName>
    <definedName name="mr.15" localSheetId="3">#REF!</definedName>
    <definedName name="mr.15">#REF!</definedName>
    <definedName name="mr.19" localSheetId="3">#REF!</definedName>
    <definedName name="mr.19">#REF!</definedName>
    <definedName name="mrab" localSheetId="3">#REF!</definedName>
    <definedName name="mrab">#REF!</definedName>
    <definedName name="ms" localSheetId="3">#REF!</definedName>
    <definedName name="ms">#REF!</definedName>
    <definedName name="MTMAC12" localSheetId="3">#REF!</definedName>
    <definedName name="MTMAC12">#REF!</definedName>
    <definedName name="mtram" localSheetId="3">#REF!</definedName>
    <definedName name="mtram">#REF!</definedName>
    <definedName name="mts" localSheetId="3">#REF!</definedName>
    <definedName name="mts">#REF!</definedName>
    <definedName name="MTX" localSheetId="3">#REF!</definedName>
    <definedName name="MTX">#REF!</definedName>
    <definedName name="MU" localSheetId="2">#REF!</definedName>
    <definedName name="MU" localSheetId="3">#REF!</definedName>
    <definedName name="mu">'[17]Upah&amp;Bahan'!$C$15</definedName>
    <definedName name="mu_200" localSheetId="3">#REF!</definedName>
    <definedName name="mu_200">#REF!</definedName>
    <definedName name="mu_6" localSheetId="3">#REF!</definedName>
    <definedName name="mu_6">#REF!</definedName>
    <definedName name="mua" localSheetId="3">#REF!</definedName>
    <definedName name="mua">#REF!</definedName>
    <definedName name="mua_6" localSheetId="3">#REF!</definedName>
    <definedName name="mua_6">#REF!</definedName>
    <definedName name="mualat" localSheetId="3">#REF!</definedName>
    <definedName name="mualat">#REF!</definedName>
    <definedName name="mualat_6" localSheetId="3">#REF!</definedName>
    <definedName name="mualat_6">#REF!</definedName>
    <definedName name="mubesi" localSheetId="3">#REF!</definedName>
    <definedName name="mubesi">#REF!</definedName>
    <definedName name="mubhn" localSheetId="3">#REF!</definedName>
    <definedName name="mubhn">#REF!</definedName>
    <definedName name="mubtn" localSheetId="3">#REF!</definedName>
    <definedName name="mubtn">#REF!</definedName>
    <definedName name="muc" localSheetId="3">#REF!</definedName>
    <definedName name="muc">#REF!</definedName>
    <definedName name="muka">'[35]Upah&amp;Bahan'!$C$42</definedName>
    <definedName name="multi.18" localSheetId="3">#REF!</definedName>
    <definedName name="multi.18">#REF!</definedName>
    <definedName name="multi.4" localSheetId="3">#REF!</definedName>
    <definedName name="multi.4">#REF!</definedName>
    <definedName name="multi.6" localSheetId="3">#REF!</definedName>
    <definedName name="multi.6">#REF!</definedName>
    <definedName name="multi.9" localSheetId="3">#REF!</definedName>
    <definedName name="multi.9">#REF!</definedName>
    <definedName name="multi12" localSheetId="3">#REF!</definedName>
    <definedName name="multi12">#REF!</definedName>
    <definedName name="multi18" localSheetId="3">#REF!</definedName>
    <definedName name="multi18">#REF!</definedName>
    <definedName name="multi3" localSheetId="3">#REF!</definedName>
    <definedName name="multi3">#REF!</definedName>
    <definedName name="multi4" localSheetId="3">#REF!</definedName>
    <definedName name="multi4">#REF!</definedName>
    <definedName name="multi6" localSheetId="3">#REF!</definedName>
    <definedName name="multi6">#REF!</definedName>
    <definedName name="multi9" localSheetId="3">#REF!</definedName>
    <definedName name="multi9">#REF!</definedName>
    <definedName name="multicolour">[39]Analisis!#REF!</definedName>
    <definedName name="multiplek" localSheetId="3">#REF!</definedName>
    <definedName name="multiplek">#REF!</definedName>
    <definedName name="multiplek_12mm" localSheetId="3">#REF!</definedName>
    <definedName name="multiplek_12mm">#REF!</definedName>
    <definedName name="multiplek_4mm" localSheetId="3">#REF!</definedName>
    <definedName name="multiplek_4mm">#REF!</definedName>
    <definedName name="multiplek_6mm" localSheetId="3">#REF!</definedName>
    <definedName name="multiplek_6mm">#REF!</definedName>
    <definedName name="multiplek_9mm" localSheetId="3">#REF!</definedName>
    <definedName name="multiplek_9mm">#REF!</definedName>
    <definedName name="multipleks948" localSheetId="3">#REF!</definedName>
    <definedName name="multipleks948">#REF!</definedName>
    <definedName name="mume_6" localSheetId="3">#REF!</definedName>
    <definedName name="mume_6">#REF!</definedName>
    <definedName name="mup" localSheetId="3">#REF!</definedName>
    <definedName name="mup">#REF!</definedName>
    <definedName name="mup_6" localSheetId="3">#REF!</definedName>
    <definedName name="mup_6">#REF!</definedName>
    <definedName name="mupah" localSheetId="3">#REF!</definedName>
    <definedName name="mupah">#REF!</definedName>
    <definedName name="mupan" localSheetId="3">#REF!</definedName>
    <definedName name="mupan">#REF!</definedName>
    <definedName name="mupre2" localSheetId="3">#REF!</definedName>
    <definedName name="mupre2">#REF!</definedName>
    <definedName name="mupres" localSheetId="3">#REF!</definedName>
    <definedName name="mupres">#REF!</definedName>
    <definedName name="murbaut16" localSheetId="3">#REF!</definedName>
    <definedName name="murbaut16">#REF!</definedName>
    <definedName name="murbaut19" localSheetId="3">#REF!</definedName>
    <definedName name="murbaut19">#REF!</definedName>
    <definedName name="murbaut22" localSheetId="3">#REF!</definedName>
    <definedName name="murbaut22">#REF!</definedName>
    <definedName name="murbaut32" localSheetId="3">#REF!</definedName>
    <definedName name="murbaut32">#REF!</definedName>
    <definedName name="mus" localSheetId="3">#REF!</definedName>
    <definedName name="mus">#REF!</definedName>
    <definedName name="musan" localSheetId="3">#REF!</definedName>
    <definedName name="musan">#REF!</definedName>
    <definedName name="mvd0.75" localSheetId="3">#REF!</definedName>
    <definedName name="mvd0.75">#REF!</definedName>
    <definedName name="mvd1.25" localSheetId="3">#REF!</definedName>
    <definedName name="mvd1.25">#REF!</definedName>
    <definedName name="mvd1.5" localSheetId="3">#REF!</definedName>
    <definedName name="mvd1.5">#REF!</definedName>
    <definedName name="mvd2.5" localSheetId="3">#REF!</definedName>
    <definedName name="mvd2.5">#REF!</definedName>
    <definedName name="n1pig" localSheetId="3">#REF!</definedName>
    <definedName name="n1pig">#REF!</definedName>
    <definedName name="n1pind" localSheetId="3">#REF!</definedName>
    <definedName name="n1pind">#REF!</definedName>
    <definedName name="n1ping" localSheetId="3">#REF!</definedName>
    <definedName name="n1ping">#REF!</definedName>
    <definedName name="n1pint" localSheetId="3">#REF!</definedName>
    <definedName name="n1pint">#REF!</definedName>
    <definedName name="NA" localSheetId="3">#REF!</definedName>
    <definedName name="NA">#REF!</definedName>
    <definedName name="NACO_4">[24]BAHAN!$L$43</definedName>
    <definedName name="NACO4">[10]BAHAN!#REF!</definedName>
    <definedName name="NACO4a">[10]BAHAN!#REF!</definedName>
    <definedName name="NACO6">[10]BAHAN!#REF!</definedName>
    <definedName name="naco8">[10]BAHAN!#REF!</definedName>
    <definedName name="NAIL" localSheetId="3">#REF!</definedName>
    <definedName name="NAIL">#REF!</definedName>
    <definedName name="NAMA" localSheetId="2">#REF!</definedName>
    <definedName name="NAMA" localSheetId="3">#REF!</definedName>
    <definedName name="NAMA">#REF!</definedName>
    <definedName name="Name" localSheetId="3">#REF!</definedName>
    <definedName name="Name">#REF!</definedName>
    <definedName name="Nangka" localSheetId="3">#REF!</definedName>
    <definedName name="Nangka">#REF!</definedName>
    <definedName name="natural" localSheetId="3">#REF!</definedName>
    <definedName name="natural">#REF!</definedName>
    <definedName name="nc1p" localSheetId="3">#REF!</definedName>
    <definedName name="nc1p">#REF!</definedName>
    <definedName name="nc3p" localSheetId="3">#REF!</definedName>
    <definedName name="nc3p">#REF!</definedName>
    <definedName name="NCBD100" localSheetId="3">#REF!</definedName>
    <definedName name="NCBD100">#REF!</definedName>
    <definedName name="NCBD200" localSheetId="3">#REF!</definedName>
    <definedName name="NCBD200">#REF!</definedName>
    <definedName name="NCBD250" localSheetId="3">#REF!</definedName>
    <definedName name="NCBD250">#REF!</definedName>
    <definedName name="nctram" localSheetId="3">#REF!</definedName>
    <definedName name="nctram">#REF!</definedName>
    <definedName name="NCVC100" localSheetId="3">#REF!</definedName>
    <definedName name="NCVC100">#REF!</definedName>
    <definedName name="NCVC200" localSheetId="3">#REF!</definedName>
    <definedName name="NCVC200">#REF!</definedName>
    <definedName name="NCVC250" localSheetId="3">#REF!</definedName>
    <definedName name="NCVC250">#REF!</definedName>
    <definedName name="NCVC3P" localSheetId="3">#REF!</definedName>
    <definedName name="NCVC3P">#REF!</definedName>
    <definedName name="neng">'[35]Upah&amp;Bahan'!$C$47</definedName>
    <definedName name="NEW" localSheetId="3">#REF!</definedName>
    <definedName name="NEW">#REF!</definedName>
    <definedName name="NGRA" localSheetId="3">#REF!</definedName>
    <definedName name="NGRA">#REF!</definedName>
    <definedName name="nhn" localSheetId="3">#REF!</definedName>
    <definedName name="nhn">#REF!</definedName>
    <definedName name="NI">[14]BPS!#REF!</definedName>
    <definedName name="nig" localSheetId="3">#REF!</definedName>
    <definedName name="nig">#REF!</definedName>
    <definedName name="nig1p" localSheetId="3">#REF!</definedName>
    <definedName name="nig1p">#REF!</definedName>
    <definedName name="nig3p" localSheetId="3">#REF!</definedName>
    <definedName name="nig3p">#REF!</definedName>
    <definedName name="nignc1p" localSheetId="3">#REF!</definedName>
    <definedName name="nignc1p">#REF!</definedName>
    <definedName name="nigvl1p" localSheetId="3">#REF!</definedName>
    <definedName name="nigvl1p">#REF!</definedName>
    <definedName name="nin" localSheetId="3">#REF!</definedName>
    <definedName name="nin">#REF!</definedName>
    <definedName name="nin14nc3p" localSheetId="3">#REF!</definedName>
    <definedName name="nin14nc3p">#REF!</definedName>
    <definedName name="nin14vl3p" localSheetId="3">#REF!</definedName>
    <definedName name="nin14vl3p">#REF!</definedName>
    <definedName name="nin1903p" localSheetId="3">#REF!</definedName>
    <definedName name="nin1903p">#REF!</definedName>
    <definedName name="nin190nc3p" localSheetId="3">#REF!</definedName>
    <definedName name="nin190nc3p">#REF!</definedName>
    <definedName name="nin190vl3p" localSheetId="3">#REF!</definedName>
    <definedName name="nin190vl3p">#REF!</definedName>
    <definedName name="nin2903p" localSheetId="3">#REF!</definedName>
    <definedName name="nin2903p">#REF!</definedName>
    <definedName name="nin290nc3p" localSheetId="3">#REF!</definedName>
    <definedName name="nin290nc3p">#REF!</definedName>
    <definedName name="nin290vl3p" localSheetId="3">#REF!</definedName>
    <definedName name="nin290vl3p">#REF!</definedName>
    <definedName name="nin3p" localSheetId="3">#REF!</definedName>
    <definedName name="nin3p">#REF!</definedName>
    <definedName name="nind" localSheetId="3">#REF!</definedName>
    <definedName name="nind">#REF!</definedName>
    <definedName name="nind1p" localSheetId="3">#REF!</definedName>
    <definedName name="nind1p">#REF!</definedName>
    <definedName name="nind3p" localSheetId="3">#REF!</definedName>
    <definedName name="nind3p">#REF!</definedName>
    <definedName name="nindnc1p" localSheetId="3">#REF!</definedName>
    <definedName name="nindnc1p">#REF!</definedName>
    <definedName name="nindnc3p" localSheetId="3">#REF!</definedName>
    <definedName name="nindnc3p">#REF!</definedName>
    <definedName name="nindvl1p" localSheetId="3">#REF!</definedName>
    <definedName name="nindvl1p">#REF!</definedName>
    <definedName name="nindvl3p" localSheetId="3">#REF!</definedName>
    <definedName name="nindvl3p">#REF!</definedName>
    <definedName name="ning1p" localSheetId="3">#REF!</definedName>
    <definedName name="ning1p">#REF!</definedName>
    <definedName name="ningnc1p" localSheetId="3">#REF!</definedName>
    <definedName name="ningnc1p">#REF!</definedName>
    <definedName name="ningvl1p" localSheetId="3">#REF!</definedName>
    <definedName name="ningvl1p">#REF!</definedName>
    <definedName name="ninnc3p" localSheetId="3">#REF!</definedName>
    <definedName name="ninnc3p">#REF!</definedName>
    <definedName name="nint1p" localSheetId="3">#REF!</definedName>
    <definedName name="nint1p">#REF!</definedName>
    <definedName name="nintnc1p" localSheetId="3">#REF!</definedName>
    <definedName name="nintnc1p">#REF!</definedName>
    <definedName name="nintvl1p" localSheetId="3">#REF!</definedName>
    <definedName name="nintvl1p">#REF!</definedName>
    <definedName name="ninvl3p" localSheetId="3">#REF!</definedName>
    <definedName name="ninvl3p">#REF!</definedName>
    <definedName name="nipDIR">[41]INPUT!$E$22</definedName>
    <definedName name="nipTA">[41]INPUT!$E$26</definedName>
    <definedName name="nl" localSheetId="3">#REF!</definedName>
    <definedName name="nl">#REF!</definedName>
    <definedName name="nl1p" localSheetId="3">#REF!</definedName>
    <definedName name="nl1p">#REF!</definedName>
    <definedName name="nl3p" localSheetId="3">#REF!</definedName>
    <definedName name="nl3p">#REF!</definedName>
    <definedName name="nlnc3p" localSheetId="3">#REF!</definedName>
    <definedName name="nlnc3p">#REF!</definedName>
    <definedName name="nlnc3pha" localSheetId="3">#REF!</definedName>
    <definedName name="nlnc3pha">#REF!</definedName>
    <definedName name="NLTK1p" localSheetId="3">#REF!</definedName>
    <definedName name="NLTK1p">#REF!</definedName>
    <definedName name="nlvl3p" localSheetId="3">#REF!</definedName>
    <definedName name="nlvl3p">#REF!</definedName>
    <definedName name="nn" localSheetId="3">#REF!</definedName>
    <definedName name="nn">#REF!</definedName>
    <definedName name="nn1p" localSheetId="3">#REF!</definedName>
    <definedName name="nn1p">#REF!</definedName>
    <definedName name="nn3p" localSheetId="3">#REF!</definedName>
    <definedName name="nn3p">#REF!</definedName>
    <definedName name="nnnc3p" localSheetId="3">#REF!</definedName>
    <definedName name="nnnc3p">#REF!</definedName>
    <definedName name="nnvl3p" localSheetId="3">#REF!</definedName>
    <definedName name="nnvl3p">#REF!</definedName>
    <definedName name="No" localSheetId="3">#REF!</definedName>
    <definedName name="No">#REF!</definedName>
    <definedName name="nock_genteng_beton" localSheetId="3">#REF!</definedName>
    <definedName name="nock_genteng_beton">#REF!</definedName>
    <definedName name="Nok" localSheetId="3">#REF!</definedName>
    <definedName name="Nok">#REF!</definedName>
    <definedName name="Nokataproof" localSheetId="3">#REF!</definedName>
    <definedName name="Nokataproof">#REF!</definedName>
    <definedName name="NokGentengMetal">'[38]Analisa Harga Satuan'!$G$2637</definedName>
    <definedName name="nokmetal" localSheetId="3">#REF!</definedName>
    <definedName name="nokmetal">#REF!</definedName>
    <definedName name="NOKMULTI" localSheetId="3">#REF!</definedName>
    <definedName name="NOKMULTI">#REF!</definedName>
    <definedName name="nokseng" localSheetId="3">#REF!</definedName>
    <definedName name="nokseng">#REF!</definedName>
    <definedName name="NOMOR" localSheetId="3">#REF!</definedName>
    <definedName name="NOMOR">#REF!</definedName>
    <definedName name="nosing" localSheetId="3">#REF!</definedName>
    <definedName name="nosing">#REF!</definedName>
    <definedName name="nozing" localSheetId="3">#REF!</definedName>
    <definedName name="nozing">#REF!</definedName>
    <definedName name="NTSD" localSheetId="3">#REF!</definedName>
    <definedName name="NTSD">#REF!</definedName>
    <definedName name="nya.25" localSheetId="3">#REF!</definedName>
    <definedName name="nya.25">#REF!</definedName>
    <definedName name="nyfgby3x6lt" localSheetId="3">#REF!</definedName>
    <definedName name="nyfgby3x6lt">#REF!</definedName>
    <definedName name="nyfgby410" localSheetId="3">#REF!</definedName>
    <definedName name="nyfgby410">#REF!</definedName>
    <definedName name="nyfgby4x6lt" localSheetId="3">#REF!</definedName>
    <definedName name="nyfgby4x6lt">#REF!</definedName>
    <definedName name="nyfgby4x95" localSheetId="3">#REF!</definedName>
    <definedName name="nyfgby4x95">#REF!</definedName>
    <definedName name="nyfgby5x6lt" localSheetId="3">#REF!</definedName>
    <definedName name="nyfgby5x6lt">#REF!</definedName>
    <definedName name="nym32.5" localSheetId="3">#REF!</definedName>
    <definedName name="nym32.5">#REF!</definedName>
    <definedName name="nym3x2.5flt" localSheetId="3">#REF!</definedName>
    <definedName name="nym3x2.5flt">#REF!</definedName>
    <definedName name="nym42.5" localSheetId="3">#REF!</definedName>
    <definedName name="nym42.5">#REF!</definedName>
    <definedName name="nyy.3.2" localSheetId="3">#REF!</definedName>
    <definedName name="nyy.3.2">#REF!</definedName>
    <definedName name="nyy.4.16" localSheetId="3">#REF!</definedName>
    <definedName name="nyy.4.16">#REF!</definedName>
    <definedName name="nyy11x1x500" localSheetId="3">#REF!</definedName>
    <definedName name="nyy11x1x500">#REF!</definedName>
    <definedName name="nyy14x1x500" localSheetId="3">#REF!</definedName>
    <definedName name="nyy14x1x500">#REF!</definedName>
    <definedName name="nyy16x1x500" localSheetId="3">#REF!</definedName>
    <definedName name="nyy16x1x500">#REF!</definedName>
    <definedName name="nyy18x1x500" localSheetId="3">#REF!</definedName>
    <definedName name="nyy18x1x500">#REF!</definedName>
    <definedName name="nyy21x1x500" localSheetId="3">#REF!</definedName>
    <definedName name="nyy21x1x500">#REF!</definedName>
    <definedName name="nyy2415070" localSheetId="3">#REF!</definedName>
    <definedName name="nyy2415070">#REF!</definedName>
    <definedName name="nyy25x1x500" localSheetId="3">#REF!</definedName>
    <definedName name="nyy25x1x500">#REF!</definedName>
    <definedName name="nyy2x4x16" localSheetId="3">#REF!</definedName>
    <definedName name="nyy2x4x16">#REF!</definedName>
    <definedName name="nyy32.5" localSheetId="3">#REF!</definedName>
    <definedName name="nyy32.5">#REF!</definedName>
    <definedName name="nyy3x6" localSheetId="3">#REF!</definedName>
    <definedName name="nyy3x6">#REF!</definedName>
    <definedName name="nyy42.5" localSheetId="3">#REF!</definedName>
    <definedName name="nyy42.5">#REF!</definedName>
    <definedName name="nyy42115070" localSheetId="3">#REF!</definedName>
    <definedName name="nyy42115070">#REF!</definedName>
    <definedName name="nyy4212470" localSheetId="3">#REF!</definedName>
    <definedName name="nyy4212470">#REF!</definedName>
    <definedName name="nyy4x10" localSheetId="3">#REF!</definedName>
    <definedName name="nyy4x10">#REF!</definedName>
    <definedName name="nyy4x120" localSheetId="3">#REF!</definedName>
    <definedName name="nyy4x120">#REF!</definedName>
    <definedName name="nyy4x16" localSheetId="3">#REF!</definedName>
    <definedName name="nyy4x16">#REF!</definedName>
    <definedName name="nyy4x185" localSheetId="3">#REF!</definedName>
    <definedName name="nyy4x185">#REF!</definedName>
    <definedName name="nyy4x1x300" localSheetId="3">#REF!</definedName>
    <definedName name="nyy4x1x300">#REF!</definedName>
    <definedName name="nyy4x1x400" localSheetId="3">#REF!</definedName>
    <definedName name="nyy4x1x400">#REF!</definedName>
    <definedName name="nyy4x1x500" localSheetId="3">#REF!</definedName>
    <definedName name="nyy4x1x500">#REF!</definedName>
    <definedName name="nyy4x25" localSheetId="3">#REF!</definedName>
    <definedName name="nyy4x25">#REF!</definedName>
    <definedName name="nyy4x50" localSheetId="3">#REF!</definedName>
    <definedName name="nyy4x50">#REF!</definedName>
    <definedName name="nyy4x70" localSheetId="3">#REF!</definedName>
    <definedName name="nyy4x70">#REF!</definedName>
    <definedName name="nyy4x95" localSheetId="3">#REF!</definedName>
    <definedName name="nyy4x95">#REF!</definedName>
    <definedName name="nyy5x4" localSheetId="3">#REF!</definedName>
    <definedName name="nyy5x4">#REF!</definedName>
    <definedName name="nyy5x6" localSheetId="3">#REF!</definedName>
    <definedName name="nyy5x6">#REF!</definedName>
    <definedName name="nyy7x1x300" localSheetId="3">#REF!</definedName>
    <definedName name="nyy7x1x300">#REF!</definedName>
    <definedName name="nyy7x1x500" localSheetId="3">#REF!</definedName>
    <definedName name="nyy7x1x500">#REF!</definedName>
    <definedName name="O" localSheetId="2">#REF!</definedName>
    <definedName name="O" localSheetId="3">#REF!</definedName>
    <definedName name="O">#REF!</definedName>
    <definedName name="ok" localSheetId="3">#REF!</definedName>
    <definedName name="ok">#REF!</definedName>
    <definedName name="oke" localSheetId="3" hidden="1">#REF!</definedName>
    <definedName name="oke" hidden="1">#REF!</definedName>
    <definedName name="oker" localSheetId="3">#REF!</definedName>
    <definedName name="oker">#REF!</definedName>
    <definedName name="oksi" localSheetId="3">#REF!</definedName>
    <definedName name="oksi">#REF!</definedName>
    <definedName name="onderlaght">#REF!</definedName>
    <definedName name="oooooo">[80]Peralatan!$AW$26</definedName>
    <definedName name="OPERATING_EQUIPMENT">#REF!</definedName>
    <definedName name="operator" localSheetId="3">#REF!</definedName>
    <definedName name="operator">#REF!</definedName>
    <definedName name="opr" localSheetId="2">#REF!</definedName>
    <definedName name="opr" localSheetId="3">#REF!</definedName>
    <definedName name="opr">#REF!</definedName>
    <definedName name="opskantor" localSheetId="3">#REF!</definedName>
    <definedName name="opskantor">#REF!</definedName>
    <definedName name="OrderTable" localSheetId="3" hidden="1">#REF!</definedName>
    <definedName name="OrderTable" hidden="1">#REF!</definedName>
    <definedName name="oscar">[10]BAHAN!#REF!</definedName>
    <definedName name="OT" localSheetId="2">#REF!</definedName>
    <definedName name="ot" localSheetId="3">#REF!</definedName>
    <definedName name="OT">#REF!</definedName>
    <definedName name="outv" localSheetId="3">#REF!</definedName>
    <definedName name="outv">#REF!</definedName>
    <definedName name="outvl" localSheetId="3">#REF!</definedName>
    <definedName name="outvl">#REF!</definedName>
    <definedName name="OVER" localSheetId="3">#REF!</definedName>
    <definedName name="OVER">#REF!</definedName>
    <definedName name="Oxigen" localSheetId="3">#REF!</definedName>
    <definedName name="Oxigen">#REF!</definedName>
    <definedName name="p">#REF!</definedName>
    <definedName name="P.1" localSheetId="3">#REF!</definedName>
    <definedName name="P.1">#REF!</definedName>
    <definedName name="P.10" localSheetId="3">#REF!</definedName>
    <definedName name="P.10">#REF!</definedName>
    <definedName name="P.2" localSheetId="3">#REF!</definedName>
    <definedName name="P.2">#REF!</definedName>
    <definedName name="P.2aksen" localSheetId="3">#REF!</definedName>
    <definedName name="P.2aksen">#REF!</definedName>
    <definedName name="P.3" localSheetId="3">#REF!</definedName>
    <definedName name="P.3">#REF!</definedName>
    <definedName name="P.3aksen" localSheetId="3">#REF!</definedName>
    <definedName name="P.3aksen">#REF!</definedName>
    <definedName name="p.4" localSheetId="3">#REF!</definedName>
    <definedName name="p.4">#REF!</definedName>
    <definedName name="p.4aksen" localSheetId="3">#REF!</definedName>
    <definedName name="p.4aksen">#REF!</definedName>
    <definedName name="P.5" localSheetId="3">#REF!</definedName>
    <definedName name="P.5">#REF!</definedName>
    <definedName name="P.6" localSheetId="3">#REF!</definedName>
    <definedName name="P.6">#REF!</definedName>
    <definedName name="P.7" localSheetId="3">#REF!</definedName>
    <definedName name="P.7">#REF!</definedName>
    <definedName name="P.8" localSheetId="3">#REF!</definedName>
    <definedName name="P.8">#REF!</definedName>
    <definedName name="P.BAJAHOL" localSheetId="3">#REF!</definedName>
    <definedName name="P.BAJAHOL">#REF!</definedName>
    <definedName name="P.BAJASIKU" localSheetId="3">#REF!</definedName>
    <definedName name="P.BAJASIKU">#REF!</definedName>
    <definedName name="p.bI" localSheetId="3">#REF!</definedName>
    <definedName name="p.bI">#REF!</definedName>
    <definedName name="P.KACAALUM" localSheetId="3">#REF!</definedName>
    <definedName name="P.KACAALUM">#REF!</definedName>
    <definedName name="P.KACAKAYU" localSheetId="3">#REF!</definedName>
    <definedName name="P.KACAKAYU">#REF!</definedName>
    <definedName name="p.kmp.smrd.3.20" localSheetId="3">#REF!</definedName>
    <definedName name="p.kmp.smrd.3.20">#REF!</definedName>
    <definedName name="p.meka" localSheetId="3">#REF!</definedName>
    <definedName name="p.meka">#REF!</definedName>
    <definedName name="p.petir" localSheetId="3">#REF!</definedName>
    <definedName name="p.petir">#REF!</definedName>
    <definedName name="P.PS" localSheetId="3">#REF!</definedName>
    <definedName name="P.PS">#REF!</definedName>
    <definedName name="P.PSaksen" localSheetId="3">#REF!</definedName>
    <definedName name="P.PSaksen">#REF!</definedName>
    <definedName name="P.RUTIN" localSheetId="2">#REF!</definedName>
    <definedName name="P.RUTIN" localSheetId="3">#REF!</definedName>
    <definedName name="P.RUTIN">#REF!</definedName>
    <definedName name="p.triplek" localSheetId="3">#REF!</definedName>
    <definedName name="p.triplek">#REF!</definedName>
    <definedName name="p1ti50" localSheetId="3">#REF!</definedName>
    <definedName name="p1ti50">#REF!</definedName>
    <definedName name="p1ti60" localSheetId="3">#REF!</definedName>
    <definedName name="p1ti60">#REF!</definedName>
    <definedName name="p1ti70" localSheetId="3">#REF!</definedName>
    <definedName name="p1ti70">#REF!</definedName>
    <definedName name="p1ti80" localSheetId="3">#REF!</definedName>
    <definedName name="p1ti80">#REF!</definedName>
    <definedName name="p1tif50" localSheetId="3">#REF!</definedName>
    <definedName name="p1tif50">#REF!</definedName>
    <definedName name="p2ti50" localSheetId="3">#REF!</definedName>
    <definedName name="p2ti50">#REF!</definedName>
    <definedName name="p2ti60" localSheetId="3">#REF!</definedName>
    <definedName name="p2ti60">#REF!</definedName>
    <definedName name="p2ti70" localSheetId="3">#REF!</definedName>
    <definedName name="p2ti70">#REF!</definedName>
    <definedName name="p2ti80" localSheetId="3">#REF!</definedName>
    <definedName name="p2ti80">#REF!</definedName>
    <definedName name="p2tif50" localSheetId="3">#REF!</definedName>
    <definedName name="p2tif50">#REF!</definedName>
    <definedName name="p3al50" localSheetId="3">#REF!</definedName>
    <definedName name="p3al50">#REF!</definedName>
    <definedName name="p3al60" localSheetId="3">#REF!</definedName>
    <definedName name="p3al60">#REF!</definedName>
    <definedName name="p3al70" localSheetId="3">#REF!</definedName>
    <definedName name="p3al70">#REF!</definedName>
    <definedName name="p3al80" localSheetId="3">#REF!</definedName>
    <definedName name="p3al80">#REF!</definedName>
    <definedName name="p3ati50" localSheetId="3">#REF!</definedName>
    <definedName name="p3ati50">#REF!</definedName>
    <definedName name="p3ati60" localSheetId="3">#REF!</definedName>
    <definedName name="p3ati60">#REF!</definedName>
    <definedName name="p3atif50" localSheetId="3">#REF!</definedName>
    <definedName name="p3atif50">#REF!</definedName>
    <definedName name="p3atifr50" localSheetId="3">#REF!</definedName>
    <definedName name="p3atifr50">#REF!</definedName>
    <definedName name="p3atifr60" localSheetId="3">#REF!</definedName>
    <definedName name="p3atifr60">#REF!</definedName>
    <definedName name="p3ti50" localSheetId="3">#REF!</definedName>
    <definedName name="p3ti50">#REF!</definedName>
    <definedName name="p3ti60" localSheetId="3">#REF!</definedName>
    <definedName name="p3ti60">#REF!</definedName>
    <definedName name="p3ti70" localSheetId="3">#REF!</definedName>
    <definedName name="p3ti70">#REF!</definedName>
    <definedName name="p3ti80" localSheetId="3">#REF!</definedName>
    <definedName name="p3ti80">#REF!</definedName>
    <definedName name="p3tif50" localSheetId="3">#REF!</definedName>
    <definedName name="p3tif50">#REF!</definedName>
    <definedName name="pa" localSheetId="3">#REF!</definedName>
    <definedName name="pa">#REF!</definedName>
    <definedName name="PA6A" localSheetId="3">#REF!</definedName>
    <definedName name="PA6A">#REF!</definedName>
    <definedName name="Paanstm" localSheetId="3">#REF!</definedName>
    <definedName name="Paanstm">#REF!</definedName>
    <definedName name="pabf125" localSheetId="3">#REF!</definedName>
    <definedName name="pabf125">#REF!</definedName>
    <definedName name="pabf65" localSheetId="3">#REF!</definedName>
    <definedName name="pabf65">#REF!</definedName>
    <definedName name="PAciDd" localSheetId="3">#REF!</definedName>
    <definedName name="PAciDd">#REF!</definedName>
    <definedName name="pagarproyek" localSheetId="3">#REF!</definedName>
    <definedName name="pagarproyek">#REF!</definedName>
    <definedName name="paglasblock1.3" localSheetId="3">#REF!</definedName>
    <definedName name="paglasblock1.3">#REF!</definedName>
    <definedName name="PAJAK" localSheetId="3">#REF!</definedName>
    <definedName name="PAJAK">#REF!</definedName>
    <definedName name="paket" localSheetId="3">#REF!</definedName>
    <definedName name="paket">#REF!</definedName>
    <definedName name="Paku" localSheetId="3">#REF!</definedName>
    <definedName name="PAKU">#REF!</definedName>
    <definedName name="paku.2">[10]BAHAN!#REF!</definedName>
    <definedName name="paku.seng">[10]BAHAN!#REF!</definedName>
    <definedName name="PAKU_BIASA">[40]Bahan!$M$74</definedName>
    <definedName name="paku_payung" localSheetId="3">#REF!</definedName>
    <definedName name="paku_payung">#REF!</definedName>
    <definedName name="paku_peluru" localSheetId="3">#REF!</definedName>
    <definedName name="paku_peluru">#REF!</definedName>
    <definedName name="Paku_sekrup" localSheetId="3">#REF!</definedName>
    <definedName name="Paku_sekrup">#REF!</definedName>
    <definedName name="Paku_seng" localSheetId="2">#REF!</definedName>
    <definedName name="Paku_seng" localSheetId="3">#REF!</definedName>
    <definedName name="PAKU_SENG">[40]Bahan!$M$75</definedName>
    <definedName name="PAKU_SKRUP">[10]BAHAN!$L$44</definedName>
    <definedName name="paku_triplek" localSheetId="3">#REF!</definedName>
    <definedName name="paku_triplek">#REF!</definedName>
    <definedName name="paku5.7.10" localSheetId="3">#REF!</definedName>
    <definedName name="paku5.7.10">#REF!</definedName>
    <definedName name="pakuasbes">[36]cover!#REF!</definedName>
    <definedName name="pakuatap" localSheetId="3">#REF!</definedName>
    <definedName name="pakuatap">#REF!</definedName>
    <definedName name="pakuatapulir" localSheetId="3">#REF!</definedName>
    <definedName name="pakuatapulir">#REF!</definedName>
    <definedName name="pakubiasa" localSheetId="3">#REF!</definedName>
    <definedName name="pakubiasa">#REF!</definedName>
    <definedName name="pakuonduline">[36]cover!#REF!</definedName>
    <definedName name="pakusekrup" localSheetId="3">#REF!</definedName>
    <definedName name="pakusekrup">#REF!</definedName>
    <definedName name="palatlisplank" localSheetId="3">#REF!</definedName>
    <definedName name="palatlisplank">#REF!</definedName>
    <definedName name="palm" localSheetId="3">#REF!</definedName>
    <definedName name="palm">#REF!</definedName>
    <definedName name="pan">#REF!</definedName>
    <definedName name="pancang3030" localSheetId="3">#REF!</definedName>
    <definedName name="pancang3030">#REF!</definedName>
    <definedName name="pancang4040" localSheetId="3">#REF!</definedName>
    <definedName name="pancang4040">#REF!</definedName>
    <definedName name="pancang450" localSheetId="3">#REF!</definedName>
    <definedName name="pancang450">#REF!</definedName>
    <definedName name="pancang600" localSheetId="3">#REF!</definedName>
    <definedName name="pancang600">#REF!</definedName>
    <definedName name="Pancangsheet" localSheetId="3">#REF!</definedName>
    <definedName name="Pancangsheet">#REF!</definedName>
    <definedName name="papan" localSheetId="3">#REF!</definedName>
    <definedName name="papan">#REF!</definedName>
    <definedName name="papan.m.3.20" localSheetId="3">#REF!</definedName>
    <definedName name="papan.m.3.20">#REF!</definedName>
    <definedName name="papan.tulis">[10]ANALISA!#REF!</definedName>
    <definedName name="papan_3_30_kamperoven" localSheetId="3">#REF!</definedName>
    <definedName name="papan_3_30_kamperoven">#REF!</definedName>
    <definedName name="papan_bekisting_20_20" localSheetId="3">#REF!</definedName>
    <definedName name="papan_bekisting_20_20">#REF!</definedName>
    <definedName name="papan_tulis">[43]ANALISA!$N$72</definedName>
    <definedName name="papanbekis" localSheetId="3">#REF!</definedName>
    <definedName name="papanbekis">#REF!</definedName>
    <definedName name="papankayuborneo" localSheetId="3">#REF!</definedName>
    <definedName name="papankayuborneo">#REF!</definedName>
    <definedName name="papannama" localSheetId="3">#REF!</definedName>
    <definedName name="papannama">#REF!</definedName>
    <definedName name="Papannama\m2" localSheetId="3">#REF!</definedName>
    <definedName name="Papannama\m2">#REF!</definedName>
    <definedName name="Papannamaunit" localSheetId="3">#REF!</definedName>
    <definedName name="Papannamaunit">#REF!</definedName>
    <definedName name="PapanRuiter">'[38]Analisa Harga Satuan'!$G$2596</definedName>
    <definedName name="paper" localSheetId="3">#REF!</definedName>
    <definedName name="paper">#REF!</definedName>
    <definedName name="PaperholderTOT703AC" localSheetId="3">#REF!</definedName>
    <definedName name="PaperholderTOT703AC">#REF!</definedName>
    <definedName name="PaperholderTS116R" localSheetId="3">#REF!</definedName>
    <definedName name="PaperholderTS116R">#REF!</definedName>
    <definedName name="PAR" localSheetId="2">#REF!</definedName>
    <definedName name="par" localSheetId="3">#REF!</definedName>
    <definedName name="PAR">#REF!</definedName>
    <definedName name="paras" localSheetId="3">#REF!</definedName>
    <definedName name="paras">#REF!</definedName>
    <definedName name="parquetjati" localSheetId="3">#REF!</definedName>
    <definedName name="parquetjati">#REF!</definedName>
    <definedName name="partgyp" localSheetId="3">#REF!</definedName>
    <definedName name="partgyp">#REF!</definedName>
    <definedName name="PARTIS" localSheetId="2">[31]Anl!#REF!</definedName>
    <definedName name="PARTIS" localSheetId="3">[31]Anl!#REF!</definedName>
    <definedName name="PARTIS" localSheetId="11">[8]Anl!#REF!</definedName>
    <definedName name="PARTIS">[8]Anl!#REF!</definedName>
    <definedName name="PARTISI" localSheetId="3">#REF!</definedName>
    <definedName name="PARTISI">#REF!</definedName>
    <definedName name="Pas">#REF!</definedName>
    <definedName name="pasanganbatamerah1_2" localSheetId="3">#REF!</definedName>
    <definedName name="pasanganbatamerah1_2">#REF!</definedName>
    <definedName name="pasbamer3" localSheetId="3">#REF!</definedName>
    <definedName name="pasbamer3">#REF!</definedName>
    <definedName name="pasbat1.5" localSheetId="3">#REF!</definedName>
    <definedName name="pasbat1.5">#REF!</definedName>
    <definedName name="pasbata1.3" localSheetId="3">#REF!</definedName>
    <definedName name="pasbata1.3">#REF!</definedName>
    <definedName name="PASBATA13" localSheetId="3">#REF!</definedName>
    <definedName name="PASBATA13">#REF!</definedName>
    <definedName name="PASBATA15" localSheetId="3">#REF!</definedName>
    <definedName name="PASBATA15">#REF!</definedName>
    <definedName name="PASBATU" localSheetId="3">#REF!</definedName>
    <definedName name="PASBATU">#REF!</definedName>
    <definedName name="PasBouwp" localSheetId="3">#REF!</definedName>
    <definedName name="PasBouwp">#REF!</definedName>
    <definedName name="pasbs4" localSheetId="3">#REF!</definedName>
    <definedName name="pasbs4">#REF!</definedName>
    <definedName name="pasbt12" localSheetId="3">#REF!</definedName>
    <definedName name="pasbt12">#REF!</definedName>
    <definedName name="PasBtKl" localSheetId="3">#REF!</definedName>
    <definedName name="PasBtKl">#REF!</definedName>
    <definedName name="pasgranit" localSheetId="3">#REF!</definedName>
    <definedName name="pasgranit">#REF!</definedName>
    <definedName name="pasir" localSheetId="2">#REF!</definedName>
    <definedName name="PASIR" localSheetId="3">#REF!</definedName>
    <definedName name="pasir" localSheetId="11">#REF!</definedName>
    <definedName name="pasir">#REF!</definedName>
    <definedName name="pasir_beton" localSheetId="3">#REF!</definedName>
    <definedName name="pasir_beton">#REF!</definedName>
    <definedName name="Pasir_kasar_ayak" localSheetId="3">#REF!</definedName>
    <definedName name="Pasir_kasar_ayak">#REF!</definedName>
    <definedName name="pasir_pasang" localSheetId="2">#REF!</definedName>
    <definedName name="pasir_pasang" localSheetId="3">#REF!</definedName>
    <definedName name="PASIR_PASANG">[10]BAHAN!$L$16</definedName>
    <definedName name="Pasir_pasangan" localSheetId="3">#REF!</definedName>
    <definedName name="Pasir_pasangan">#REF!</definedName>
    <definedName name="pasir_urug" localSheetId="2">#REF!</definedName>
    <definedName name="pasir_urug" localSheetId="3">#REF!</definedName>
    <definedName name="PASIR_URUG">[10]BAHAN!#REF!</definedName>
    <definedName name="pasir3" localSheetId="2">#REF!</definedName>
    <definedName name="pasir3" localSheetId="3">#REF!</definedName>
    <definedName name="pasir3">#REF!</definedName>
    <definedName name="pasirayakkasar">#REF!</definedName>
    <definedName name="pasirbet" localSheetId="3">#REF!</definedName>
    <definedName name="pasirbet">#REF!</definedName>
    <definedName name="pasirp" localSheetId="3">#REF!</definedName>
    <definedName name="pasirp">#REF!</definedName>
    <definedName name="pasirpas" localSheetId="3">#REF!</definedName>
    <definedName name="pasirpas">#REF!</definedName>
    <definedName name="PASIRURUG" localSheetId="2">#REF!</definedName>
    <definedName name="PASIRURUG" localSheetId="3">#REF!</definedName>
    <definedName name="PASIRURUG">#REF!</definedName>
    <definedName name="paskeramik30x30" localSheetId="3">#REF!</definedName>
    <definedName name="paskeramik30x30">#REF!</definedName>
    <definedName name="PASU" localSheetId="3">#REF!</definedName>
    <definedName name="PASU">#REF!</definedName>
    <definedName name="pav8csk" localSheetId="3">#REF!</definedName>
    <definedName name="pav8csk">#REF!</definedName>
    <definedName name="PAVING" localSheetId="3">#REF!</definedName>
    <definedName name="PAVING">#REF!</definedName>
    <definedName name="paving.b" localSheetId="3">#REF!</definedName>
    <definedName name="paving.b">#REF!</definedName>
    <definedName name="paving_block_8cm" localSheetId="3">#REF!</definedName>
    <definedName name="paving_block_8cm">#REF!</definedName>
    <definedName name="Paving_tebal_8_cm" localSheetId="3">#REF!</definedName>
    <definedName name="Paving_tebal_8_cm">#REF!</definedName>
    <definedName name="paving8CI" localSheetId="3">#REF!</definedName>
    <definedName name="paving8CI">#REF!</definedName>
    <definedName name="pavingblock" localSheetId="3">#REF!</definedName>
    <definedName name="pavingblock">#REF!</definedName>
    <definedName name="PB" localSheetId="3">#REF!</definedName>
    <definedName name="PB">#REF!</definedName>
    <definedName name="pb_1" localSheetId="3">#REF!</definedName>
    <definedName name="pb_1">#REF!</definedName>
    <definedName name="pb_1.5" localSheetId="3">#REF!</definedName>
    <definedName name="pb_1.5">#REF!</definedName>
    <definedName name="pb_10" localSheetId="3">#REF!</definedName>
    <definedName name="pb_10">#REF!</definedName>
    <definedName name="pb_2" localSheetId="3">#REF!</definedName>
    <definedName name="pb_2">#REF!</definedName>
    <definedName name="pb_3" localSheetId="3">#REF!</definedName>
    <definedName name="pb_3">#REF!</definedName>
    <definedName name="pb0.5" localSheetId="3">#REF!</definedName>
    <definedName name="pb0.5">#REF!</definedName>
    <definedName name="pb1.25" localSheetId="3">#REF!</definedName>
    <definedName name="pb1.25">#REF!</definedName>
    <definedName name="pb1.5" localSheetId="3">#REF!</definedName>
    <definedName name="pb1.5">#REF!</definedName>
    <definedName name="pb2.5" localSheetId="3">#REF!</definedName>
    <definedName name="pb2.5">#REF!</definedName>
    <definedName name="PBBu24" localSheetId="3">#REF!</definedName>
    <definedName name="PBBu24">#REF!</definedName>
    <definedName name="PBBU39" localSheetId="3">#REF!</definedName>
    <definedName name="PBBU39">#REF!</definedName>
    <definedName name="PBekM" localSheetId="3">#REF!</definedName>
    <definedName name="PBekM">#REF!</definedName>
    <definedName name="PBekP" localSheetId="3">#REF!</definedName>
    <definedName name="PBekP">#REF!</definedName>
    <definedName name="PBetBks" localSheetId="3">#REF!</definedName>
    <definedName name="PBetBks">#REF!</definedName>
    <definedName name="PBetFun" localSheetId="3">#REF!</definedName>
    <definedName name="PBetFun">#REF!</definedName>
    <definedName name="PBetPl" localSheetId="3">#REF!</definedName>
    <definedName name="PBetPl">#REF!</definedName>
    <definedName name="PBetPr" localSheetId="3">#REF!</definedName>
    <definedName name="PBetPr">#REF!</definedName>
    <definedName name="PBetStr" localSheetId="3">#REF!</definedName>
    <definedName name="PBetStr">#REF!</definedName>
    <definedName name="pbf2.5" localSheetId="3">#REF!</definedName>
    <definedName name="pbf2.5">#REF!</definedName>
    <definedName name="pbnatural" localSheetId="3">#REF!</definedName>
    <definedName name="pbnatural">#REF!</definedName>
    <definedName name="pbondek" localSheetId="3">#REF!</definedName>
    <definedName name="pbondek">#REF!</definedName>
    <definedName name="PBouwp" localSheetId="3">#REF!</definedName>
    <definedName name="PBouwp">#REF!</definedName>
    <definedName name="pbp">#REF!</definedName>
    <definedName name="pBRC150" localSheetId="3">#REF!</definedName>
    <definedName name="pBRC150">#REF!</definedName>
    <definedName name="pbsf100" localSheetId="3">#REF!</definedName>
    <definedName name="pbsf100">#REF!</definedName>
    <definedName name="pbsf150" localSheetId="3">#REF!</definedName>
    <definedName name="pbsf150">#REF!</definedName>
    <definedName name="pbsf65" localSheetId="3">#REF!</definedName>
    <definedName name="pbsf65">#REF!</definedName>
    <definedName name="pbsf80" localSheetId="3">#REF!</definedName>
    <definedName name="pbsf80">#REF!</definedName>
    <definedName name="PBSiku" localSheetId="3">#REF!</definedName>
    <definedName name="PBSiku">#REF!</definedName>
    <definedName name="PBTempel" localSheetId="3">#REF!</definedName>
    <definedName name="PBTempel">#REF!</definedName>
    <definedName name="pbtk14" localSheetId="3">#REF!</definedName>
    <definedName name="pbtk14">#REF!</definedName>
    <definedName name="pbtki14" localSheetId="3">#REF!</definedName>
    <definedName name="pbtki14">#REF!</definedName>
    <definedName name="PBtKl14" localSheetId="3">#REF!</definedName>
    <definedName name="PBtKl14">#REF!</definedName>
    <definedName name="PBtKl15" localSheetId="3">#REF!</definedName>
    <definedName name="PBtKl15">#REF!</definedName>
    <definedName name="PBtM2" localSheetId="3">#REF!</definedName>
    <definedName name="PBtM2">#REF!</definedName>
    <definedName name="PBtM2K" localSheetId="3">#REF!</definedName>
    <definedName name="PBtM2K">#REF!</definedName>
    <definedName name="PBtM3" localSheetId="3">#REF!</definedName>
    <definedName name="PBtM3">#REF!</definedName>
    <definedName name="PBtM3K" localSheetId="3">#REF!</definedName>
    <definedName name="PBtM3K">#REF!</definedName>
    <definedName name="PBtM4" localSheetId="3">#REF!</definedName>
    <definedName name="PBtM4">#REF!</definedName>
    <definedName name="PBtM4K" localSheetId="3">#REF!</definedName>
    <definedName name="PBtM4K">#REF!</definedName>
    <definedName name="PBtX4" localSheetId="3">#REF!</definedName>
    <definedName name="PBtX4">#REF!</definedName>
    <definedName name="pbwarna" localSheetId="3">#REF!</definedName>
    <definedName name="pbwarna">#REF!</definedName>
    <definedName name="pc" localSheetId="3">#REF!</definedName>
    <definedName name="PC">#REF!</definedName>
    <definedName name="pc0.75" localSheetId="3">#REF!</definedName>
    <definedName name="pc0.75">#REF!</definedName>
    <definedName name="pc1.25" localSheetId="3">#REF!</definedName>
    <definedName name="pc1.25">#REF!</definedName>
    <definedName name="pc1.5" localSheetId="3">#REF!</definedName>
    <definedName name="pc1.5">#REF!</definedName>
    <definedName name="pc2.5" localSheetId="3">#REF!</definedName>
    <definedName name="pc2.5">#REF!</definedName>
    <definedName name="PC450B" localSheetId="3">#REF!</definedName>
    <definedName name="PC450B">#REF!</definedName>
    <definedName name="PC450U" localSheetId="3">#REF!</definedName>
    <definedName name="PC450U">#REF!</definedName>
    <definedName name="PC600B" localSheetId="3">#REF!</definedName>
    <definedName name="PC600B">#REF!</definedName>
    <definedName name="PC600U" localSheetId="3">#REF!</definedName>
    <definedName name="PC600U">#REF!</definedName>
    <definedName name="PCatIC" localSheetId="3">#REF!</definedName>
    <definedName name="PCatIC">#REF!</definedName>
    <definedName name="PCatKy" localSheetId="3">#REF!</definedName>
    <definedName name="PCatKy">#REF!</definedName>
    <definedName name="PCatVn" localSheetId="3">#REF!</definedName>
    <definedName name="PCatVn">#REF!</definedName>
    <definedName name="PCcurb" localSheetId="3">#REF!</definedName>
    <definedName name="PCcurb">#REF!</definedName>
    <definedName name="pcf2.5" localSheetId="3">#REF!</definedName>
    <definedName name="pcf2.5">#REF!</definedName>
    <definedName name="pd0.75" localSheetId="3">#REF!</definedName>
    <definedName name="pd0.75">#REF!</definedName>
    <definedName name="pd1.25" localSheetId="3">#REF!</definedName>
    <definedName name="pd1.25">#REF!</definedName>
    <definedName name="pd1.5" localSheetId="3">#REF!</definedName>
    <definedName name="pd1.5">#REF!</definedName>
    <definedName name="PDnKc" localSheetId="3">#REF!</definedName>
    <definedName name="PDnKc">#REF!</definedName>
    <definedName name="PDnKcJt" localSheetId="3">#REF!</definedName>
    <definedName name="PDnKcJt">#REF!</definedName>
    <definedName name="PE">[82]PE!$B$8:$J$144</definedName>
    <definedName name="PEDESTRIANROLLER" localSheetId="3">#REF!</definedName>
    <definedName name="PEDESTRIANROLLER">#REF!</definedName>
    <definedName name="pegal">'[17]Upah&amp;Bahan'!$C$42</definedName>
    <definedName name="pegangan">[10]BAHAN!#REF!</definedName>
    <definedName name="PEK" localSheetId="3">#REF!</definedName>
    <definedName name="PEK">#REF!</definedName>
    <definedName name="PEK.SIPIL">'[83]1_boq'!#REF!</definedName>
    <definedName name="pek_6" localSheetId="3">#REF!</definedName>
    <definedName name="pek_6">#REF!</definedName>
    <definedName name="pekcatdalam" localSheetId="3">#REF!</definedName>
    <definedName name="pekcatdalam">#REF!</definedName>
    <definedName name="pekcatluar" localSheetId="3">#REF!</definedName>
    <definedName name="pekcatluar">#REF!</definedName>
    <definedName name="PEKERATLT" localSheetId="3">#REF!</definedName>
    <definedName name="PEKERATLT">#REF!</definedName>
    <definedName name="pekerja" localSheetId="2">#REF!</definedName>
    <definedName name="pekerja" localSheetId="3">#REF!</definedName>
    <definedName name="PEKERJA">#REF!</definedName>
    <definedName name="Pekerja_T">[74]Upah!$C$9</definedName>
    <definedName name="PEKERJAAN__A_C" localSheetId="3">#REF!</definedName>
    <definedName name="PEKERJAAN__A_C">#REF!</definedName>
    <definedName name="PEKERJAAN_CAT" localSheetId="3">#REF!</definedName>
    <definedName name="PEKERJAAN_CAT">#REF!</definedName>
    <definedName name="PEKERJAAN_CCTV__SOUND_SYSTEM____MATV" localSheetId="3">#REF!</definedName>
    <definedName name="PEKERJAAN_CCTV__SOUND_SYSTEM____MATV">#REF!</definedName>
    <definedName name="PEKERJAAN_DINDING_DAN_FINISHING_DINDING" localSheetId="3">#REF!</definedName>
    <definedName name="PEKERJAAN_DINDING_DAN_FINISHING_DINDING">#REF!</definedName>
    <definedName name="PEKERJAAN_FINISHING_LANTAI" localSheetId="3">#REF!</definedName>
    <definedName name="PEKERJAAN_FINISHING_LANTAI">#REF!</definedName>
    <definedName name="PEKERJAAN_GONDOLA" localSheetId="3">#REF!</definedName>
    <definedName name="PEKERJAAN_GONDOLA">#REF!</definedName>
    <definedName name="PEKERJAAN_LIFT_ex_KOREA" localSheetId="3">#REF!</definedName>
    <definedName name="PEKERJAAN_LIFT_ex_KOREA">#REF!</definedName>
    <definedName name="PEKERJAAN_LISTRIK___GENSET" localSheetId="3">#REF!</definedName>
    <definedName name="PEKERJAAN_LISTRIK___GENSET">#REF!</definedName>
    <definedName name="PEKERJAAN_LUAR" localSheetId="3">#REF!</definedName>
    <definedName name="PEKERJAAN_LUAR">#REF!</definedName>
    <definedName name="PEKERJAAN_PLAFOND" localSheetId="3">#REF!</definedName>
    <definedName name="PEKERJAAN_PLAFOND">#REF!</definedName>
    <definedName name="PEKERJAAN_PLUMBING___SANITARY" localSheetId="3">#REF!</definedName>
    <definedName name="PEKERJAAN_PLUMBING___SANITARY">#REF!</definedName>
    <definedName name="PEKERJAAN_PONDASI" localSheetId="3">#REF!</definedName>
    <definedName name="PEKERJAAN_PONDASI">#REF!</definedName>
    <definedName name="PEKERJAAN_RAILING_DAN_LAIN___LAIN" localSheetId="3">#REF!</definedName>
    <definedName name="PEKERJAAN_RAILING_DAN_LAIN___LAIN">#REF!</definedName>
    <definedName name="PEKERJAAN_SPRINKLER___FIRE_FIGHTING" localSheetId="3">#REF!</definedName>
    <definedName name="PEKERJAAN_SPRINKLER___FIRE_FIGHTING">#REF!</definedName>
    <definedName name="PEKERJAAN_STRUKTUR_ATAS_DAN_ATAP" localSheetId="3">#REF!</definedName>
    <definedName name="PEKERJAAN_STRUKTUR_ATAS_DAN_ATAP">#REF!</definedName>
    <definedName name="PEKERJAAN_SUB_STRUKTUR" localSheetId="3">#REF!</definedName>
    <definedName name="PEKERJAAN_SUB_STRUKTUR">#REF!</definedName>
    <definedName name="PEKERJAAN_TANAH" localSheetId="3">#REF!</definedName>
    <definedName name="PEKERJAAN_TANAH">#REF!</definedName>
    <definedName name="PEKERJAAN_TELEPON" localSheetId="3">#REF!</definedName>
    <definedName name="PEKERJAAN_TELEPON">#REF!</definedName>
    <definedName name="pelatddg\W1.1GWT" localSheetId="3">#REF!</definedName>
    <definedName name="pelatddg\W1.1GWT">#REF!</definedName>
    <definedName name="pelatddg\W1.2GWT" localSheetId="3">#REF!</definedName>
    <definedName name="pelatddg\W1.2GWT">#REF!</definedName>
    <definedName name="pelatddg\W2.1GWT" localSheetId="3">#REF!</definedName>
    <definedName name="pelatddg\W2.1GWT">#REF!</definedName>
    <definedName name="pelatddg\W2.2GWT" localSheetId="3">#REF!</definedName>
    <definedName name="pelatddg\W2.2GWT">#REF!</definedName>
    <definedName name="pelatddg200" localSheetId="3">#REF!</definedName>
    <definedName name="pelatddg200">#REF!</definedName>
    <definedName name="pelatddg250" localSheetId="3">#REF!</definedName>
    <definedName name="pelatddg250">#REF!</definedName>
    <definedName name="pelatddg300" localSheetId="3">#REF!</definedName>
    <definedName name="pelatddg300">#REF!</definedName>
    <definedName name="pelatlab" localSheetId="3">#REF!</definedName>
    <definedName name="pelatlab">#REF!</definedName>
    <definedName name="PELATRAMP" localSheetId="3">#REF!</definedName>
    <definedName name="PELATRAMP">#REF!</definedName>
    <definedName name="pelats.7" localSheetId="3">#REF!</definedName>
    <definedName name="pelats.7">#REF!</definedName>
    <definedName name="pelatS1" localSheetId="3">#REF!</definedName>
    <definedName name="pelatS1">#REF!</definedName>
    <definedName name="pelats120" localSheetId="3">#REF!</definedName>
    <definedName name="pelats120">#REF!</definedName>
    <definedName name="pelats120.7" localSheetId="3">#REF!</definedName>
    <definedName name="pelats120.7">#REF!</definedName>
    <definedName name="pelatS2" localSheetId="3">#REF!</definedName>
    <definedName name="pelatS2">#REF!</definedName>
    <definedName name="pelatS3" localSheetId="3">#REF!</definedName>
    <definedName name="pelatS3">#REF!</definedName>
    <definedName name="pelatS4" localSheetId="3">#REF!</definedName>
    <definedName name="pelatS4">#REF!</definedName>
    <definedName name="pelats5" localSheetId="3">#REF!</definedName>
    <definedName name="pelats5">#REF!</definedName>
    <definedName name="pelats6" localSheetId="3">#REF!</definedName>
    <definedName name="pelats6">#REF!</definedName>
    <definedName name="pelats7" localSheetId="3">#REF!</definedName>
    <definedName name="pelats7">#REF!</definedName>
    <definedName name="pelats8" localSheetId="3">#REF!</definedName>
    <definedName name="pelats8">#REF!</definedName>
    <definedName name="pelatvoly" localSheetId="3">#REF!</definedName>
    <definedName name="pelatvoly">#REF!</definedName>
    <definedName name="pemacangan" localSheetId="3">#REF!</definedName>
    <definedName name="pemacangan">#REF!</definedName>
    <definedName name="pemadatansirtu" localSheetId="3">#REF!</definedName>
    <definedName name="pemadatansirtu">#REF!</definedName>
    <definedName name="pemadatantanah" localSheetId="3">#REF!</definedName>
    <definedName name="pemadatantanah">#REF!</definedName>
    <definedName name="peman30" localSheetId="3">#REF!</definedName>
    <definedName name="peman30">#REF!</definedName>
    <definedName name="peman40" localSheetId="3">#REF!</definedName>
    <definedName name="peman40">#REF!</definedName>
    <definedName name="pemancangan30" localSheetId="3">#REF!</definedName>
    <definedName name="pemancangan30">#REF!</definedName>
    <definedName name="PEMASARAN" localSheetId="3">#REF!</definedName>
    <definedName name="PEMASARAN">#REF!</definedName>
    <definedName name="pemb.sop" localSheetId="3">#REF!</definedName>
    <definedName name="pemb.sop">#REF!</definedName>
    <definedName name="pembantuoperator" localSheetId="3">#REF!</definedName>
    <definedName name="pembantuoperator">#REF!</definedName>
    <definedName name="pembersihan" localSheetId="2">#REF!</definedName>
    <definedName name="pembersihan" localSheetId="3">#REF!</definedName>
    <definedName name="pembersihan">[39]Analisis!#REF!</definedName>
    <definedName name="Pembesian" localSheetId="3">#REF!</definedName>
    <definedName name="Pembesian">#REF!</definedName>
    <definedName name="Pembongkaran" localSheetId="2">[84]NP!$L$841:$V$901</definedName>
    <definedName name="Pembongkaran" localSheetId="3">[84]NP!$L$841:$V$901</definedName>
    <definedName name="Pembongkaran">[85]NP!$L$841:$V$901</definedName>
    <definedName name="pemeliharaan" localSheetId="3">#REF!</definedName>
    <definedName name="pemeliharaan">#REF!</definedName>
    <definedName name="pemmekanik" localSheetId="3">#REF!</definedName>
    <definedName name="pemmekanik">#REF!</definedName>
    <definedName name="pemsopir" localSheetId="3">#REF!</definedName>
    <definedName name="pemsopir">#REF!</definedName>
    <definedName name="penetrasi" localSheetId="3">#REF!</definedName>
    <definedName name="penetrasi">#REF!</definedName>
    <definedName name="PENGECATAN1" localSheetId="3">#REF!</definedName>
    <definedName name="PENGECATAN1">#REF!</definedName>
    <definedName name="Pengesahan.">#REF!</definedName>
    <definedName name="Penggalian_1_m3_tanah_biasa_sedalam_1_m">#REF!</definedName>
    <definedName name="penghampar">#REF!</definedName>
    <definedName name="PENUTUP">#N/A</definedName>
    <definedName name="penyaring">#REF!</definedName>
    <definedName name="penyemprot1000">#REF!</definedName>
    <definedName name="perancah">#REF!</definedName>
    <definedName name="PErcB">#REF!</definedName>
    <definedName name="perdinas" localSheetId="3">#REF!</definedName>
    <definedName name="perdinas">#REF!</definedName>
    <definedName name="Perduoleander" localSheetId="3">#REF!</definedName>
    <definedName name="Perduoleander">#REF!</definedName>
    <definedName name="PEREKAT" localSheetId="2">[31]Anl!#REF!</definedName>
    <definedName name="PEREKAT" localSheetId="3">[31]Anl!#REF!</definedName>
    <definedName name="PEREKAT" localSheetId="11">[8]Anl!#REF!</definedName>
    <definedName name="PEREKAT">[8]Anl!#REF!</definedName>
    <definedName name="PEREKAT1.3" localSheetId="2">#REF!</definedName>
    <definedName name="PEREKAT1.3" localSheetId="3">#REF!</definedName>
    <definedName name="PEREKAT1.3" localSheetId="11">#REF!</definedName>
    <definedName name="PEREKAT1.3">#REF!</definedName>
    <definedName name="PERIODIK" localSheetId="2">#REF!</definedName>
    <definedName name="PERIODIK" localSheetId="3">#REF!</definedName>
    <definedName name="PERIODIK">#REF!</definedName>
    <definedName name="PERLENGKAPAN1" localSheetId="3">#REF!</definedName>
    <definedName name="PERLENGKAPAN1">#REF!</definedName>
    <definedName name="pg" localSheetId="3">#REF!</definedName>
    <definedName name="pg">#REF!</definedName>
    <definedName name="PG.1" localSheetId="3">#REF!</definedName>
    <definedName name="PG.1">#REF!</definedName>
    <definedName name="PG.2" localSheetId="3">#REF!</definedName>
    <definedName name="PG.2">#REF!</definedName>
    <definedName name="PGaliB" localSheetId="3">#REF!</definedName>
    <definedName name="PGaliB">#REF!</definedName>
    <definedName name="PGaliD" localSheetId="3">#REF!</definedName>
    <definedName name="PGaliD">#REF!</definedName>
    <definedName name="PGB" localSheetId="3">#REF!</definedName>
    <definedName name="PGB">#REF!</definedName>
    <definedName name="pgc" localSheetId="3">#REF!</definedName>
    <definedName name="pgc">#REF!</definedName>
    <definedName name="Pgravel" localSheetId="3">#REF!</definedName>
    <definedName name="Pgravel">#REF!</definedName>
    <definedName name="ph" localSheetId="3">#REF!</definedName>
    <definedName name="ph">#REF!</definedName>
    <definedName name="Phone">#REF!</definedName>
    <definedName name="pibrator" localSheetId="3">#REF!</definedName>
    <definedName name="pibrator">#REF!</definedName>
    <definedName name="pijar" localSheetId="3">#REF!</definedName>
    <definedName name="pijar">#REF!</definedName>
    <definedName name="PIJENKACA" localSheetId="3">#REF!</definedName>
    <definedName name="PIJENKACA">#REF!</definedName>
    <definedName name="PIJENPANEL" localSheetId="3">#REF!</definedName>
    <definedName name="PIJENPANEL">#REF!</definedName>
    <definedName name="PIJENTRIPLEK" localSheetId="3">#REF!</definedName>
    <definedName name="PIJENTRIPLEK">#REF!</definedName>
    <definedName name="PIM" localSheetId="3">#REF!</definedName>
    <definedName name="PIM">#REF!</definedName>
    <definedName name="pimpinan">[23]INPUT!$E$20</definedName>
    <definedName name="PINTU_A" localSheetId="3">#REF!</definedName>
    <definedName name="PINTU_A">#REF!</definedName>
    <definedName name="PINTU_B" localSheetId="3">#REF!</definedName>
    <definedName name="PINTU_B">#REF!</definedName>
    <definedName name="PINTU_BASE" localSheetId="3">#REF!</definedName>
    <definedName name="PINTU_BASE">#REF!</definedName>
    <definedName name="PINTU_C" localSheetId="3">#REF!</definedName>
    <definedName name="PINTU_C">#REF!</definedName>
    <definedName name="pintualum.rkaca" localSheetId="3">#REF!</definedName>
    <definedName name="pintualum.rkaca">#REF!</definedName>
    <definedName name="pintualumrangkakaca\nonjasa" localSheetId="3">#REF!</definedName>
    <definedName name="pintualumrangkakaca\nonjasa">#REF!</definedName>
    <definedName name="pintudorong" localSheetId="3">#REF!</definedName>
    <definedName name="pintudorong">#REF!</definedName>
    <definedName name="pintudouble" localSheetId="3">#REF!</definedName>
    <definedName name="pintudouble">#REF!</definedName>
    <definedName name="pintuengkel" localSheetId="3">#REF!</definedName>
    <definedName name="pintuengkel">#REF!</definedName>
    <definedName name="PINTUKACA" localSheetId="3">#REF!</definedName>
    <definedName name="PINTUKACA">#REF!</definedName>
    <definedName name="PINTUKACAALUM" localSheetId="3">#REF!</definedName>
    <definedName name="PINTUKACAALUM">#REF!</definedName>
    <definedName name="PINTUKACAKAYU" localSheetId="3">#REF!</definedName>
    <definedName name="PINTUKACAKAYU">#REF!</definedName>
    <definedName name="pintupanel">[39]Analisis!#REF!</definedName>
    <definedName name="pinturangkakacakayu\nonjasa" localSheetId="3">#REF!</definedName>
    <definedName name="pinturangkakacakayu\nonjasa">#REF!</definedName>
    <definedName name="PINTUTRIPLEK" localSheetId="3">#REF!</definedName>
    <definedName name="PINTUTRIPLEK">#REF!</definedName>
    <definedName name="pintutriplek\nonjasa" localSheetId="3">#REF!</definedName>
    <definedName name="pintutriplek\nonjasa">#REF!</definedName>
    <definedName name="pintutriplekmelamin\nonjasa" localSheetId="3">#REF!</definedName>
    <definedName name="pintutriplekmelamin\nonjasa">#REF!</definedName>
    <definedName name="PINTUTRIPLEMELAMINTO" localSheetId="3">#REF!</definedName>
    <definedName name="PINTUTRIPLEMELAMINTO">#REF!</definedName>
    <definedName name="PINTUUKIR" localSheetId="3">#REF!</definedName>
    <definedName name="PINTUUKIR">#REF!</definedName>
    <definedName name="pipa">#REF!</definedName>
    <definedName name="pipa.isap">[10]BAHAN!#REF!</definedName>
    <definedName name="Pipa.l" localSheetId="3">#REF!</definedName>
    <definedName name="Pipa.l">#REF!</definedName>
    <definedName name="Pipa_GI_ø_1_1_4" localSheetId="3">#REF!</definedName>
    <definedName name="Pipa_GI_ø_1_1_4">#REF!</definedName>
    <definedName name="Pipa_GI_ø_2_1_2" localSheetId="3">#REF!</definedName>
    <definedName name="Pipa_GI_ø_2_1_2">#REF!</definedName>
    <definedName name="pipa_gip_2" localSheetId="3">#REF!</definedName>
    <definedName name="pipa_gip_2">#REF!</definedName>
    <definedName name="pipa_gip_3" localSheetId="3">#REF!</definedName>
    <definedName name="pipa_gip_3">#REF!</definedName>
    <definedName name="Pipa_GIP_ø_1_1_2__medium_class" localSheetId="3">#REF!</definedName>
    <definedName name="Pipa_GIP_ø_1_1_2__medium_class">#REF!</definedName>
    <definedName name="PIPA_PVC1">[54]BAHAN!$L$32</definedName>
    <definedName name="PIPA_PVC2">[54]BAHAN!$L$31</definedName>
    <definedName name="PIPA_PVC25">[54]BAHAN!$L$30</definedName>
    <definedName name="PIPA_PVC4">[54]BAHAN!$L$29</definedName>
    <definedName name="pipa_pvc6inc" localSheetId="3">#REF!</definedName>
    <definedName name="pipa_pvc6inc">#REF!</definedName>
    <definedName name="Pipa_rilling_steinles_steel_ø_2" localSheetId="3">#REF!</definedName>
    <definedName name="Pipa_rilling_steinles_steel_ø_2">#REF!</definedName>
    <definedName name="Pipa_variasi_rilling_steinles_steel_ø_3_4" localSheetId="3">#REF!</definedName>
    <definedName name="Pipa_variasi_rilling_steinles_steel_ø_3_4">#REF!</definedName>
    <definedName name="PIPA100" localSheetId="3">#REF!</definedName>
    <definedName name="PIPA100">#REF!</definedName>
    <definedName name="PIPA100L" localSheetId="3">#REF!</definedName>
    <definedName name="PIPA100L">#REF!</definedName>
    <definedName name="PIPA125" localSheetId="3">#REF!</definedName>
    <definedName name="PIPA125">#REF!</definedName>
    <definedName name="PIPA150" localSheetId="3">#REF!</definedName>
    <definedName name="PIPA150">#REF!</definedName>
    <definedName name="PIPA20" localSheetId="3">#REF!</definedName>
    <definedName name="PIPA20">#REF!</definedName>
    <definedName name="PIPA200" localSheetId="3">#REF!</definedName>
    <definedName name="PIPA200">#REF!</definedName>
    <definedName name="PIPA25" localSheetId="3">#REF!</definedName>
    <definedName name="PIPA25">#REF!</definedName>
    <definedName name="PIPA300" localSheetId="3">#REF!</definedName>
    <definedName name="PIPA300">#REF!</definedName>
    <definedName name="PIPA32" localSheetId="3">#REF!</definedName>
    <definedName name="PIPA32">#REF!</definedName>
    <definedName name="PIPA40" localSheetId="3">#REF!</definedName>
    <definedName name="PIPA40">#REF!</definedName>
    <definedName name="PIPA50" localSheetId="3">#REF!</definedName>
    <definedName name="PIPA50">#REF!</definedName>
    <definedName name="PIPA65" localSheetId="3">#REF!</definedName>
    <definedName name="PIPA65">#REF!</definedName>
    <definedName name="PIPA80" localSheetId="3">#REF!</definedName>
    <definedName name="PIPA80">#REF!</definedName>
    <definedName name="pipastaenless" localSheetId="3">#REF!</definedName>
    <definedName name="pipastaenless">#REF!</definedName>
    <definedName name="PIUTANGHOTMIX" localSheetId="3">#REF!</definedName>
    <definedName name="PIUTANGHOTMIX">#REF!</definedName>
    <definedName name="PJ.1" localSheetId="3">#REF!</definedName>
    <definedName name="PJ.1">#REF!</definedName>
    <definedName name="PJ.2" localSheetId="3">#REF!</definedName>
    <definedName name="PJ.2">#REF!</definedName>
    <definedName name="PJ.3" localSheetId="3">#REF!</definedName>
    <definedName name="PJ.3">#REF!</definedName>
    <definedName name="PJ.4" localSheetId="3">#REF!</definedName>
    <definedName name="PJ.4">#REF!</definedName>
    <definedName name="pka" localSheetId="3">#REF!</definedName>
    <definedName name="pka">#REF!</definedName>
    <definedName name="PKD12p" localSheetId="3">#REF!</definedName>
    <definedName name="PKD12p">#REF!</definedName>
    <definedName name="PKD12w" localSheetId="3">#REF!</definedName>
    <definedName name="PKD12w">#REF!</definedName>
    <definedName name="pkhak" localSheetId="3">#REF!</definedName>
    <definedName name="pkhak">#REF!</definedName>
    <definedName name="pkj" localSheetId="3">#REF!</definedName>
    <definedName name="pkj">#REF!</definedName>
    <definedName name="PKL33p" localSheetId="3">#REF!</definedName>
    <definedName name="PKL33p">#REF!</definedName>
    <definedName name="PKL33w" localSheetId="3">#REF!</definedName>
    <definedName name="PKL33w">#REF!</definedName>
    <definedName name="PKmpS" localSheetId="3">#REF!</definedName>
    <definedName name="PKmpS">#REF!</definedName>
    <definedName name="pkst">#REF!</definedName>
    <definedName name="PL" localSheetId="3">#REF!</definedName>
    <definedName name="PL">#REF!</definedName>
    <definedName name="PLAFON" localSheetId="3">#REF!</definedName>
    <definedName name="PLAFON">#REF!</definedName>
    <definedName name="plafond_gyptile" localSheetId="3">#REF!</definedName>
    <definedName name="plafond_gyptile">#REF!</definedName>
    <definedName name="PLAFOND1" localSheetId="3">#REF!</definedName>
    <definedName name="PLAFOND1">#REF!</definedName>
    <definedName name="PlafondGRC4mm">'[38]Analisa Harga Satuan'!$G$2490</definedName>
    <definedName name="PlafondGypsumRHollow">'[38]Analisa Harga Satuan'!$G$2501</definedName>
    <definedName name="plafondplywood">[39]Analisis!#REF!</definedName>
    <definedName name="plafondreider">[39]Analisis!#REF!</definedName>
    <definedName name="plamir" localSheetId="3">#REF!</definedName>
    <definedName name="plamir">#REF!</definedName>
    <definedName name="Plamir_tembok" localSheetId="3">#REF!</definedName>
    <definedName name="Plamir_tembok">#REF!</definedName>
    <definedName name="plamur_kayu" localSheetId="3">#REF!</definedName>
    <definedName name="plamur_kayu">#REF!</definedName>
    <definedName name="plamur_tembok" localSheetId="3">#REF!</definedName>
    <definedName name="plamur_tembok">#REF!</definedName>
    <definedName name="plantshurb" localSheetId="3">#REF!</definedName>
    <definedName name="plantshurb">#REF!</definedName>
    <definedName name="planttree" localSheetId="3">#REF!</definedName>
    <definedName name="planttree">#REF!</definedName>
    <definedName name="Plap" localSheetId="3">#REF!</definedName>
    <definedName name="Plap">#REF!</definedName>
    <definedName name="plaponcalci" localSheetId="3">#REF!</definedName>
    <definedName name="plaponcalci">#REF!</definedName>
    <definedName name="plapondsuspen" localSheetId="3">#REF!</definedName>
    <definedName name="plapondsuspen">#REF!</definedName>
    <definedName name="plapongrc" localSheetId="3">#REF!</definedName>
    <definedName name="plapongrc">#REF!</definedName>
    <definedName name="plapongyf" localSheetId="3">#REF!</definedName>
    <definedName name="plapongyf">#REF!</definedName>
    <definedName name="PLas" localSheetId="3">#REF!</definedName>
    <definedName name="PLas">#REF!</definedName>
    <definedName name="plat" localSheetId="2">#REF!</definedName>
    <definedName name="plat" localSheetId="3">#REF!</definedName>
    <definedName name="plat">[39]Analisis!#REF!</definedName>
    <definedName name="plat.besi">[10]BAHAN!#REF!</definedName>
    <definedName name="PLAT_SENG">[40]Bahan!$M$79</definedName>
    <definedName name="platbaja" localSheetId="3">#REF!</definedName>
    <definedName name="platbaja">#REF!</definedName>
    <definedName name="plate" localSheetId="3">#REF!</definedName>
    <definedName name="plate">#REF!</definedName>
    <definedName name="PLATROL30" localSheetId="3">#REF!</definedName>
    <definedName name="PLATROL30">#REF!</definedName>
    <definedName name="plb" localSheetId="3">#REF!</definedName>
    <definedName name="plb">#REF!</definedName>
    <definedName name="PLBS" localSheetId="3">#REF!</definedName>
    <definedName name="PLBS">#REF!</definedName>
    <definedName name="PLBSM" localSheetId="3">#REF!</definedName>
    <definedName name="PLBSM">#REF!</definedName>
    <definedName name="PLD" localSheetId="3">#REF!</definedName>
    <definedName name="PLD">#REF!</definedName>
    <definedName name="PLES12" localSheetId="3">#REF!</definedName>
    <definedName name="PLES12">#REF!</definedName>
    <definedName name="Ples13_15cm">'[38]Analisa Harga Satuan'!$G$1529</definedName>
    <definedName name="Ples16_15cm">'[38]Analisa Harga Satuan'!$G$1571</definedName>
    <definedName name="PlesDD14" localSheetId="3">#REF!</definedName>
    <definedName name="PlesDD14">#REF!</definedName>
    <definedName name="Plest_Screet13_35cm">'[38]Analisa Harga Satuan'!$G$1655</definedName>
    <definedName name="PLEST1.2" localSheetId="2">#REF!</definedName>
    <definedName name="PLEST1.2" localSheetId="3">#REF!</definedName>
    <definedName name="PLEST1.2">#REF!</definedName>
    <definedName name="PLEST1.3" localSheetId="2">#REF!</definedName>
    <definedName name="PLEST1.3" localSheetId="3">#REF!</definedName>
    <definedName name="PLEST1.3">#REF!</definedName>
    <definedName name="PLEST1.4" localSheetId="2">#REF!</definedName>
    <definedName name="PLEST1.4" localSheetId="3">#REF!</definedName>
    <definedName name="PLEST1.4">#REF!</definedName>
    <definedName name="plester" localSheetId="3">#REF!</definedName>
    <definedName name="plester">#REF!</definedName>
    <definedName name="plester12">#REF!</definedName>
    <definedName name="PLESTER13" localSheetId="3">#REF!</definedName>
    <definedName name="PLESTER13">#REF!</definedName>
    <definedName name="plester14">#REF!</definedName>
    <definedName name="PLESTER15" localSheetId="3">#REF!</definedName>
    <definedName name="PLESTER15">#REF!</definedName>
    <definedName name="plester3" localSheetId="3">#REF!</definedName>
    <definedName name="plester3">#REF!</definedName>
    <definedName name="plesteran1.3" localSheetId="3">#REF!</definedName>
    <definedName name="plesteran1.3">#REF!</definedName>
    <definedName name="plesteran1.5" localSheetId="3">#REF!</definedName>
    <definedName name="plesteran1.5">#REF!</definedName>
    <definedName name="plfgyp" localSheetId="3">#REF!</definedName>
    <definedName name="plfgyp">#REF!</definedName>
    <definedName name="plin10x30" localSheetId="3">#REF!</definedName>
    <definedName name="plin10x30">#REF!</definedName>
    <definedName name="plin10x40" localSheetId="3">#REF!</definedName>
    <definedName name="plin10x40">#REF!</definedName>
    <definedName name="plin10x60" localSheetId="3">#REF!</definedName>
    <definedName name="plin10x60">#REF!</definedName>
    <definedName name="plingranito10x30" localSheetId="3">#REF!</definedName>
    <definedName name="plingranito10x30">#REF!</definedName>
    <definedName name="plingranito10x40" localSheetId="3">#REF!</definedName>
    <definedName name="plingranito10x40">#REF!</definedName>
    <definedName name="plingranito10x60" localSheetId="3">#REF!</definedName>
    <definedName name="plingranito10x60">#REF!</definedName>
    <definedName name="plinkeramik10x40" localSheetId="3">#REF!</definedName>
    <definedName name="plinkeramik10x40">#REF!</definedName>
    <definedName name="PLINT" localSheetId="3">#REF!</definedName>
    <definedName name="PLINT">#REF!</definedName>
    <definedName name="plint_keramik_10_20" localSheetId="3">#REF!</definedName>
    <definedName name="plint_keramik_10_20">#REF!</definedName>
    <definedName name="plint_keramik_10_30" localSheetId="3">#REF!</definedName>
    <definedName name="plint_keramik_10_30">#REF!</definedName>
    <definedName name="plint1020" localSheetId="3">#REF!</definedName>
    <definedName name="plint1020">#REF!</definedName>
    <definedName name="Plint1030">'[38]Analisa Harga Satuan'!$G$1736</definedName>
    <definedName name="plint20" localSheetId="3">#REF!</definedName>
    <definedName name="plint20">#REF!</definedName>
    <definedName name="plint30" localSheetId="3">#REF!</definedName>
    <definedName name="plint30">#REF!</definedName>
    <definedName name="plint40" localSheetId="3">#REF!</definedName>
    <definedName name="plint40">#REF!</definedName>
    <definedName name="plitur">[10]BAHAN!#REF!</definedName>
    <definedName name="Pliturjadi" localSheetId="3">#REF!</definedName>
    <definedName name="Pliturjadi">#REF!</definedName>
    <definedName name="PLKerja" localSheetId="3">#REF!</definedName>
    <definedName name="PLKerja">#REF!</definedName>
    <definedName name="PLKRA" localSheetId="2">#REF!</definedName>
    <definedName name="PLKRA" localSheetId="3">#REF!</definedName>
    <definedName name="PLKRA">#REF!</definedName>
    <definedName name="Plmbismarkia" localSheetId="3">#REF!</definedName>
    <definedName name="Plmbismarkia">#REF!</definedName>
    <definedName name="Plmraja" localSheetId="3">#REF!</definedName>
    <definedName name="Plmraja">#REF!</definedName>
    <definedName name="Plmraja100" localSheetId="3">#REF!</definedName>
    <definedName name="Plmraja100">#REF!</definedName>
    <definedName name="plum" localSheetId="3">#REF!</definedName>
    <definedName name="plum">#REF!</definedName>
    <definedName name="PLYWOOD_6">[40]Bahan!$M$85</definedName>
    <definedName name="plywood_9mm" localSheetId="3">#REF!</definedName>
    <definedName name="plywood_9mm">#REF!</definedName>
    <definedName name="Plywood15" localSheetId="3">#REF!</definedName>
    <definedName name="Plywood15">#REF!</definedName>
    <definedName name="plywood4">[10]BAHAN!#REF!</definedName>
    <definedName name="PM" localSheetId="2">#REF!</definedName>
    <definedName name="PM" localSheetId="3">#REF!</definedName>
    <definedName name="PM">#REF!</definedName>
    <definedName name="pmalam" localSheetId="3">#REF!</definedName>
    <definedName name="pmalam">#REF!</definedName>
    <definedName name="Pmlm" localSheetId="3">#REF!</definedName>
    <definedName name="Pmlm">#REF!</definedName>
    <definedName name="pohonbambukuning\unit" localSheetId="3">#REF!</definedName>
    <definedName name="pohonbambukuning\unit">#REF!</definedName>
    <definedName name="pohoncemara\unit" localSheetId="3">#REF!</definedName>
    <definedName name="pohoncemara\unit">#REF!</definedName>
    <definedName name="pohonketapang\unit" localSheetId="3">#REF!</definedName>
    <definedName name="pohonketapang\unit">#REF!</definedName>
    <definedName name="pohonlantana\unit" localSheetId="3">#REF!</definedName>
    <definedName name="pohonlantana\unit">#REF!</definedName>
    <definedName name="pohonmanggis\unit" localSheetId="3">#REF!</definedName>
    <definedName name="pohonmanggis\unit">#REF!</definedName>
    <definedName name="pohonpalemraja\unit" localSheetId="3">#REF!</definedName>
    <definedName name="pohonpalemraja\unit">#REF!</definedName>
    <definedName name="pohonthetehan\unit" localSheetId="3">#REF!</definedName>
    <definedName name="pohonthetehan\unit">#REF!</definedName>
    <definedName name="politur" localSheetId="3">#REF!</definedName>
    <definedName name="politur">#REF!</definedName>
    <definedName name="poly" localSheetId="3">#REF!</definedName>
    <definedName name="poly">#REF!</definedName>
    <definedName name="polycarbonat" localSheetId="3">#REF!</definedName>
    <definedName name="polycarbonat">#REF!</definedName>
    <definedName name="pompa">#REF!</definedName>
    <definedName name="pompa.air">[10]BAHAN!#REF!</definedName>
    <definedName name="POMPALIST">#REF!</definedName>
    <definedName name="pond13" localSheetId="3">#REF!</definedName>
    <definedName name="pond13">#REF!</definedName>
    <definedName name="pond13jjg" localSheetId="3">#REF!</definedName>
    <definedName name="pond13jjg">#REF!</definedName>
    <definedName name="pond14" localSheetId="3">#REF!</definedName>
    <definedName name="pond14">#REF!</definedName>
    <definedName name="pond15" localSheetId="3">#REF!</definedName>
    <definedName name="pond15">#REF!</definedName>
    <definedName name="pondasi1.3jangkus" localSheetId="3">#REF!</definedName>
    <definedName name="pondasi1.3jangkus">#REF!</definedName>
    <definedName name="pondasibatu">#REF!</definedName>
    <definedName name="PONDASIBATUKALI" localSheetId="3">#REF!</definedName>
    <definedName name="PONDASIBATUKALI">#REF!</definedName>
    <definedName name="pondgenset" localSheetId="3">#REF!</definedName>
    <definedName name="pondgenset">#REF!</definedName>
    <definedName name="Ponton">[64]rekap!$D$79</definedName>
    <definedName name="Porselin_11_x_11_cm_kw._I" localSheetId="3">#REF!</definedName>
    <definedName name="Porselin_11_x_11_cm_kw._I">#REF!</definedName>
    <definedName name="porselin1111" localSheetId="3">#REF!</definedName>
    <definedName name="porselin1111">#REF!</definedName>
    <definedName name="poto" localSheetId="3">#REF!</definedName>
    <definedName name="poto">#REF!</definedName>
    <definedName name="potongtiang" localSheetId="3">#REF!</definedName>
    <definedName name="potongtiang">#REF!</definedName>
    <definedName name="POTUR" localSheetId="2">#REF!</definedName>
    <definedName name="POTUR" localSheetId="3">#REF!</definedName>
    <definedName name="POTUR">#REF!</definedName>
    <definedName name="PP" localSheetId="2" hidden="1">{"'Sheet1'!$A$1"}</definedName>
    <definedName name="PP" localSheetId="3" hidden="1">{"'Sheet1'!$A$1"}</definedName>
    <definedName name="PP" hidden="1">{"'Sheet1'!$A$1"}</definedName>
    <definedName name="PPA">#REF!</definedName>
    <definedName name="Ppadat" localSheetId="3">#REF!</definedName>
    <definedName name="Ppadat">#REF!</definedName>
    <definedName name="pph" localSheetId="3">#REF!</definedName>
    <definedName name="pph">#REF!</definedName>
    <definedName name="ppkCVPT">[41]INPUT!$E$18</definedName>
    <definedName name="ppkDIR">[23]INPUT!$E$18</definedName>
    <definedName name="PPlaB" localSheetId="3">#REF!</definedName>
    <definedName name="PPlaB">#REF!</definedName>
    <definedName name="PPlaf6" localSheetId="3">#REF!</definedName>
    <definedName name="PPlaf6">#REF!</definedName>
    <definedName name="PPlGyp" localSheetId="3">#REF!</definedName>
    <definedName name="PPlGyp">#REF!</definedName>
    <definedName name="PPls3" localSheetId="3">#REF!</definedName>
    <definedName name="PPls3">#REF!</definedName>
    <definedName name="PPls4" localSheetId="3">#REF!</definedName>
    <definedName name="PPls4">#REF!</definedName>
    <definedName name="ppn" localSheetId="3">#REF!</definedName>
    <definedName name="ppn">#REF!</definedName>
    <definedName name="ppn.m.3.20.serut" localSheetId="3">#REF!</definedName>
    <definedName name="ppn.m.3.20.serut">#REF!</definedName>
    <definedName name="ppn2.30" localSheetId="3">#REF!</definedName>
    <definedName name="ppn2.30">#REF!</definedName>
    <definedName name="ppn3.30" localSheetId="3">#REF!</definedName>
    <definedName name="ppn3.30">#REF!</definedName>
    <definedName name="PPntDt" localSheetId="3">#REF!</definedName>
    <definedName name="PPntDt">#REF!</definedName>
    <definedName name="PPntJt" localSheetId="3">#REF!</definedName>
    <definedName name="PPntJt">#REF!</definedName>
    <definedName name="PPntKS" localSheetId="3">#REF!</definedName>
    <definedName name="PPntKS">#REF!</definedName>
    <definedName name="PPntPJt" localSheetId="3">#REF!</definedName>
    <definedName name="PPntPJt">#REF!</definedName>
    <definedName name="PPntPt" localSheetId="3">#REF!</definedName>
    <definedName name="PPntPt">#REF!</definedName>
    <definedName name="PPNTULIS">#N/A</definedName>
    <definedName name="praktis">[39]Analisis!#REF!</definedName>
    <definedName name="PRangP" localSheetId="3">#REF!</definedName>
    <definedName name="PRangP">#REF!</definedName>
    <definedName name="PRECAST_A" localSheetId="3">#REF!</definedName>
    <definedName name="PRECAST_A">#REF!</definedName>
    <definedName name="PRECAST_B" localSheetId="3">#REF!</definedName>
    <definedName name="PRECAST_B">#REF!</definedName>
    <definedName name="PRECAST_C" localSheetId="3">#REF!</definedName>
    <definedName name="PRECAST_C">#REF!</definedName>
    <definedName name="PRELIMJURUUKUR" localSheetId="3">#REF!</definedName>
    <definedName name="PRELIMJURUUKUR">#REF!</definedName>
    <definedName name="presming" localSheetId="3">#REF!,#REF!,#REF!,#REF!,#REF!,#REF!,#REF!,#REF!,#REF!</definedName>
    <definedName name="presming">#REF!,#REF!,#REF!,#REF!,#REF!,#REF!,#REF!,#REF!,#REF!</definedName>
    <definedName name="Primecoat" localSheetId="3">#REF!</definedName>
    <definedName name="Primecoat">#REF!</definedName>
    <definedName name="print" localSheetId="3">#REF!</definedName>
    <definedName name="print">#REF!</definedName>
    <definedName name="_xlnm.Print_Area" localSheetId="5">Analisa!$B$1:$M$9323</definedName>
    <definedName name="_xlnm.Print_Area" localSheetId="6">'ANL. HITUNG'!$B$3:$L$170</definedName>
    <definedName name="_xlnm.Print_Area" localSheetId="2">'BACK UP BESI BETON BACKISTING'!$D$2:$AL$31</definedName>
    <definedName name="_xlnm.Print_Area" localSheetId="3">'BACK-UP DATA'!$B$3:$K$197</definedName>
    <definedName name="_xlnm.Print_Area" localSheetId="11">dihitung!$A$224:$G$276</definedName>
    <definedName name="_xlnm.Print_Area" localSheetId="7">DUB!$B$2:$J$868</definedName>
    <definedName name="_xlnm.Print_Area" localSheetId="4">Rekap!$B$1:$E$582</definedName>
    <definedName name="_xlnm.Print_Area" localSheetId="8">'REKAP EE'!$A$1:$E$48</definedName>
    <definedName name="_xlnm.Print_Area">#REF!</definedName>
    <definedName name="Print_Area_MI" localSheetId="2">#REF!</definedName>
    <definedName name="Print_Area_MI" localSheetId="3">#REF!</definedName>
    <definedName name="Print_Area_MI" localSheetId="11">#REF!</definedName>
    <definedName name="Print_Area_MI">#REF!</definedName>
    <definedName name="Print_Area_MI_11" localSheetId="3">#REF!</definedName>
    <definedName name="Print_Area_MI_11">#REF!</definedName>
    <definedName name="Print_Area_MI_11_6" localSheetId="3">#REF!</definedName>
    <definedName name="Print_Area_MI_11_6">#REF!</definedName>
    <definedName name="Print_Area_MI_13" localSheetId="3">#REF!</definedName>
    <definedName name="Print_Area_MI_13">#REF!</definedName>
    <definedName name="Print_Area_MI_13_6" localSheetId="3">#REF!</definedName>
    <definedName name="Print_Area_MI_13_6">#REF!</definedName>
    <definedName name="Print_Area_MI_14" localSheetId="3">#REF!</definedName>
    <definedName name="Print_Area_MI_14">#REF!</definedName>
    <definedName name="Print_Area_MI_14_6" localSheetId="3">#REF!</definedName>
    <definedName name="Print_Area_MI_14_6">#REF!</definedName>
    <definedName name="Print_Area_MI_15" localSheetId="3">#REF!</definedName>
    <definedName name="Print_Area_MI_15">#REF!</definedName>
    <definedName name="Print_Area_MI_15_6" localSheetId="3">#REF!</definedName>
    <definedName name="Print_Area_MI_15_6">#REF!</definedName>
    <definedName name="Print_Area_MI_2" localSheetId="3">#REF!</definedName>
    <definedName name="Print_Area_MI_2">#REF!</definedName>
    <definedName name="Print_Area_MI_3" localSheetId="3">#REF!</definedName>
    <definedName name="Print_Area_MI_3">#REF!</definedName>
    <definedName name="Print_Area_MI_3_6" localSheetId="3">#REF!</definedName>
    <definedName name="Print_Area_MI_3_6">#REF!</definedName>
    <definedName name="Print_Area_MI_4" localSheetId="3">#REF!</definedName>
    <definedName name="Print_Area_MI_4">#REF!</definedName>
    <definedName name="Print_Area_MI_5" localSheetId="3">#REF!</definedName>
    <definedName name="Print_Area_MI_5">#REF!</definedName>
    <definedName name="Print_Area_MI_6" localSheetId="3">#REF!</definedName>
    <definedName name="Print_Area_MI_6">#REF!</definedName>
    <definedName name="Print_Area_MI_6_1" localSheetId="3">#REF!</definedName>
    <definedName name="Print_Area_MI_6_1">#REF!</definedName>
    <definedName name="Print_Area_MI_6_6" localSheetId="3">#REF!</definedName>
    <definedName name="Print_Area_MI_6_6">#REF!</definedName>
    <definedName name="Print_Area_MI_7" localSheetId="3">#REF!</definedName>
    <definedName name="Print_Area_MI_7">#REF!</definedName>
    <definedName name="Print_Area_MI_7_6" localSheetId="3">#REF!</definedName>
    <definedName name="Print_Area_MI_7_6">#REF!</definedName>
    <definedName name="Print_Area_MI_8" localSheetId="3">#REF!</definedName>
    <definedName name="Print_Area_MI_8">#REF!</definedName>
    <definedName name="Print_Area_MI_8_6" localSheetId="3">#REF!</definedName>
    <definedName name="Print_Area_MI_8_6">#REF!</definedName>
    <definedName name="Print_Area_MI_9" localSheetId="3">#REF!</definedName>
    <definedName name="Print_Area_MI_9">#REF!</definedName>
    <definedName name="Print_Area_MI_9_6" localSheetId="3">#REF!</definedName>
    <definedName name="Print_Area_MI_9_6">#REF!</definedName>
    <definedName name="_xlnm.Print_Titles" localSheetId="2">#REF!</definedName>
    <definedName name="_xlnm.Print_Titles" localSheetId="3">#REF!</definedName>
    <definedName name="_xlnm.Print_Titles" localSheetId="7">DUB!$20:$23</definedName>
    <definedName name="_xlnm.Print_Titles" localSheetId="9">EE!$6:$6</definedName>
    <definedName name="_xlnm.Print_Titles" localSheetId="4">Rekap!$2:$2</definedName>
    <definedName name="_xlnm.Print_Titles">#REF!</definedName>
    <definedName name="Print_Titles_MI" localSheetId="3">#REF!</definedName>
    <definedName name="Print_Titles_MI">#REF!</definedName>
    <definedName name="Print_Titles_MI_1" localSheetId="3">#REF!</definedName>
    <definedName name="Print_Titles_MI_1">#REF!</definedName>
    <definedName name="Print_Titles_MI_1_2" localSheetId="3">#REF!</definedName>
    <definedName name="Print_Titles_MI_1_2">#REF!</definedName>
    <definedName name="Print_Titles_MI_1_4" localSheetId="3">#REF!</definedName>
    <definedName name="Print_Titles_MI_1_4">#REF!</definedName>
    <definedName name="Print_Titles_MI_1_5" localSheetId="3">#REF!</definedName>
    <definedName name="Print_Titles_MI_1_5">#REF!</definedName>
    <definedName name="Print_Titles_MI_11" localSheetId="3">#REF!</definedName>
    <definedName name="Print_Titles_MI_11">#REF!</definedName>
    <definedName name="Print_Titles_MI_13" localSheetId="3">#REF!</definedName>
    <definedName name="Print_Titles_MI_13">#REF!</definedName>
    <definedName name="Print_Titles_MI_14" localSheetId="3">#REF!</definedName>
    <definedName name="Print_Titles_MI_14">#REF!</definedName>
    <definedName name="Print_Titles_MI_15" localSheetId="3">#REF!</definedName>
    <definedName name="Print_Titles_MI_15">#REF!</definedName>
    <definedName name="Print_Titles_MI_16" localSheetId="3">#REF!</definedName>
    <definedName name="Print_Titles_MI_16">#REF!</definedName>
    <definedName name="Print_Titles_MI_3" localSheetId="3">#REF!</definedName>
    <definedName name="Print_Titles_MI_3">#REF!</definedName>
    <definedName name="Print_Titles_MI_6" localSheetId="3">#REF!</definedName>
    <definedName name="Print_Titles_MI_6">#REF!</definedName>
    <definedName name="Print_Titles_MI_6_6" localSheetId="3">#REF!</definedName>
    <definedName name="Print_Titles_MI_6_6">#REF!</definedName>
    <definedName name="Print_Titles_MI_7" localSheetId="3">#REF!</definedName>
    <definedName name="Print_Titles_MI_7">#REF!</definedName>
    <definedName name="Print_Titles_MI_7_6" localSheetId="3">#REF!</definedName>
    <definedName name="Print_Titles_MI_7_6">#REF!</definedName>
    <definedName name="Print_Titles_MI_9" localSheetId="3">#REF!</definedName>
    <definedName name="Print_Titles_MI_9">#REF!</definedName>
    <definedName name="pro" localSheetId="2">#REF!</definedName>
    <definedName name="PRO" localSheetId="3">#REF!</definedName>
    <definedName name="pro">#REF!</definedName>
    <definedName name="ProdForm" localSheetId="3" hidden="1">#REF!</definedName>
    <definedName name="ProdForm" hidden="1">#REF!</definedName>
    <definedName name="Product" localSheetId="3" hidden="1">#REF!</definedName>
    <definedName name="Product" hidden="1">#REF!</definedName>
    <definedName name="Prof" localSheetId="3">#REF!</definedName>
    <definedName name="Prof">#REF!</definedName>
    <definedName name="Prof_6" localSheetId="3">#REF!</definedName>
    <definedName name="Prof_6">#REF!</definedName>
    <definedName name="profilkayujati3cm" localSheetId="3">#REF!</definedName>
    <definedName name="profilkayujati3cm">#REF!</definedName>
    <definedName name="profprel" localSheetId="3">#REF!</definedName>
    <definedName name="profprel">#REF!</definedName>
    <definedName name="profprel_6" localSheetId="3">#REF!</definedName>
    <definedName name="profprel_6">#REF!</definedName>
    <definedName name="Project_Optional_Field" localSheetId="3">#REF!</definedName>
    <definedName name="Project_Optional_Field">#REF!</definedName>
    <definedName name="Projects" localSheetId="3">#REF!</definedName>
    <definedName name="Projects">#REF!</definedName>
    <definedName name="proses" localSheetId="3">#REF!</definedName>
    <definedName name="proses">#REF!</definedName>
    <definedName name="prs" localSheetId="3">#REF!</definedName>
    <definedName name="prs">#REF!</definedName>
    <definedName name="prtsi" localSheetId="3">#REF!</definedName>
    <definedName name="prtsi">#REF!</definedName>
    <definedName name="PS" localSheetId="3">#REF!</definedName>
    <definedName name="PS">#REF!</definedName>
    <definedName name="Ps.beton" localSheetId="3">#REF!</definedName>
    <definedName name="Ps.beton">#REF!</definedName>
    <definedName name="Ps.cor" localSheetId="3">#REF!</definedName>
    <definedName name="Ps.cor">#REF!</definedName>
    <definedName name="Ps.pasang" localSheetId="3">#REF!</definedName>
    <definedName name="Ps.pasang">#REF!</definedName>
    <definedName name="Ps.Urug" localSheetId="3">#REF!</definedName>
    <definedName name="Ps.Urug">#REF!</definedName>
    <definedName name="PsKran">'[38]Analisa Harga Satuan'!$G$1827</definedName>
    <definedName name="PSR" localSheetId="3">#REF!</definedName>
    <definedName name="PSR">#REF!</definedName>
    <definedName name="PST" localSheetId="2">#REF!</definedName>
    <definedName name="PST" localSheetId="3">#REF!</definedName>
    <definedName name="PST" localSheetId="11">#REF!</definedName>
    <definedName name="PST">#REF!</definedName>
    <definedName name="PStoot" localSheetId="3">#REF!</definedName>
    <definedName name="PStoot">#REF!</definedName>
    <definedName name="PT" localSheetId="2">#REF!</definedName>
    <definedName name="PT" localSheetId="3">#REF!</definedName>
    <definedName name="PT">#REF!</definedName>
    <definedName name="PTJW">#REF!</definedName>
    <definedName name="PTump" localSheetId="3">#REF!</definedName>
    <definedName name="PTump">#REF!</definedName>
    <definedName name="PU" localSheetId="3">#REF!</definedName>
    <definedName name="PU">#REF!</definedName>
    <definedName name="Puk" localSheetId="3">#REF!</definedName>
    <definedName name="Puk">#REF!</definedName>
    <definedName name="PUkur" localSheetId="3">#REF!</definedName>
    <definedName name="PUkur">#REF!</definedName>
    <definedName name="Pukurk" localSheetId="3">#REF!</definedName>
    <definedName name="Pukurk">#REF!</definedName>
    <definedName name="pulaq">'[17]Upah&amp;Bahan'!$C$18</definedName>
    <definedName name="PUPasir" localSheetId="3">#REF!</definedName>
    <definedName name="PUPasir">#REF!</definedName>
    <definedName name="PUPS" localSheetId="3">#REF!</definedName>
    <definedName name="PUPS">#REF!</definedName>
    <definedName name="PUPSL1" localSheetId="3">#REF!</definedName>
    <definedName name="PUPSL1">#REF!</definedName>
    <definedName name="PUPSL2" localSheetId="3">#REF!</definedName>
    <definedName name="PUPSL2">#REF!</definedName>
    <definedName name="PUPSL3" localSheetId="3">#REF!</definedName>
    <definedName name="PUPSL3">#REF!</definedName>
    <definedName name="PUrugK" localSheetId="3">#REF!</definedName>
    <definedName name="PUrugK">#REF!</definedName>
    <definedName name="PUSAT" localSheetId="2">'[4]ANL-EI'!#REF!</definedName>
    <definedName name="PUSAT" localSheetId="3">'[4]ANL-EI'!#REF!</definedName>
    <definedName name="PUSAT">'[5]ANL-EI'!#REF!</definedName>
    <definedName name="pvc.0.5.mas.d" localSheetId="3">#REF!</definedName>
    <definedName name="pvc.0.5.mas.d">#REF!</definedName>
    <definedName name="pvc.0.7.5.Mas.d" localSheetId="3">#REF!</definedName>
    <definedName name="pvc.0.7.5.Mas.d">#REF!</definedName>
    <definedName name="pvc.1.M.abu" localSheetId="3">#REF!</definedName>
    <definedName name="pvc.1.M.abu">#REF!</definedName>
    <definedName name="pvc.2.5.Mas.d" localSheetId="3">#REF!</definedName>
    <definedName name="pvc.2.5.Mas.d">#REF!</definedName>
    <definedName name="pvc.2.mas.d" localSheetId="3">#REF!</definedName>
    <definedName name="pvc.2.mas.d">#REF!</definedName>
    <definedName name="PVC.3" localSheetId="2">#REF!</definedName>
    <definedName name="PVC.3" localSheetId="3">#REF!</definedName>
    <definedName name="PVC.3" localSheetId="11">#REF!</definedName>
    <definedName name="PVC.3">#REF!</definedName>
    <definedName name="pvc.3.mas.d" localSheetId="3">#REF!</definedName>
    <definedName name="pvc.3.mas.d">#REF!</definedName>
    <definedName name="pvc.4.mas.d" localSheetId="3">#REF!</definedName>
    <definedName name="pvc.4.mas.d">#REF!</definedName>
    <definedName name="pvc_4" localSheetId="3">#REF!</definedName>
    <definedName name="pvc_4">#REF!</definedName>
    <definedName name="PVC0_5" localSheetId="2">#REF!</definedName>
    <definedName name="PVC0_5" localSheetId="3">#REF!</definedName>
    <definedName name="PVC0_5">#REF!</definedName>
    <definedName name="pvc1.2.aw" localSheetId="3">#REF!</definedName>
    <definedName name="pvc1.2.aw">#REF!</definedName>
    <definedName name="pvc1.2.wav.aw" localSheetId="3">#REF!</definedName>
    <definedName name="pvc1.2.wav.aw">#REF!</definedName>
    <definedName name="PVC1.5" localSheetId="3">#REF!</definedName>
    <definedName name="PVC1.5">#REF!</definedName>
    <definedName name="PVC1\2" localSheetId="3">#REF!</definedName>
    <definedName name="PVC1\2">#REF!</definedName>
    <definedName name="PVC11\2" localSheetId="3">#REF!</definedName>
    <definedName name="PVC11\2">#REF!</definedName>
    <definedName name="PVC11\4" localSheetId="3">#REF!</definedName>
    <definedName name="PVC11\4">#REF!</definedName>
    <definedName name="PVC21\2" localSheetId="3">#REF!</definedName>
    <definedName name="PVC21\2">#REF!</definedName>
    <definedName name="pvc2d" localSheetId="3">#REF!</definedName>
    <definedName name="pvc2d">#REF!</definedName>
    <definedName name="pvc3.4.aw" localSheetId="3">#REF!</definedName>
    <definedName name="pvc3.4.aw">#REF!</definedName>
    <definedName name="PVC3\4" localSheetId="3">#REF!</definedName>
    <definedName name="PVC3\4">#REF!</definedName>
    <definedName name="pvc3d" localSheetId="3">#REF!</definedName>
    <definedName name="pvc3d">#REF!</definedName>
    <definedName name="pvc4d" localSheetId="3">#REF!</definedName>
    <definedName name="pvc4d">#REF!</definedName>
    <definedName name="PVCconduit" localSheetId="3">#REF!</definedName>
    <definedName name="PVCconduit">#REF!</definedName>
    <definedName name="PWFDn" localSheetId="3">#REF!</definedName>
    <definedName name="PWFDn">#REF!</definedName>
    <definedName name="PWFLn" localSheetId="3">#REF!</definedName>
    <definedName name="PWFLn">#REF!</definedName>
    <definedName name="q" localSheetId="2">'[35]Upah&amp;Bahan'!#REF!</definedName>
    <definedName name="q" localSheetId="3">'[35]Upah&amp;Bahan'!#REF!</definedName>
    <definedName name="Q">#REF!</definedName>
    <definedName name="QRY_KORAL">[24]QUARY!$Q$216</definedName>
    <definedName name="QRY_PASIRPASANG">[24]QUARY!$Q$362</definedName>
    <definedName name="R.TUNGGU">#REF!</definedName>
    <definedName name="R_" localSheetId="3">#REF!</definedName>
    <definedName name="R_">#REF!</definedName>
    <definedName name="RA" localSheetId="3">#REF!</definedName>
    <definedName name="RA">#REF!</definedName>
    <definedName name="ra11p" localSheetId="3">#REF!</definedName>
    <definedName name="ra11p">#REF!</definedName>
    <definedName name="ra13p" localSheetId="3">#REF!</definedName>
    <definedName name="ra13p">#REF!</definedName>
    <definedName name="RAB" localSheetId="3">#REF!</definedName>
    <definedName name="RAB">#REF!</definedName>
    <definedName name="RAB_1" localSheetId="3">#REF!</definedName>
    <definedName name="RAB_1">#REF!</definedName>
    <definedName name="RAB_ASLI" localSheetId="3">#REF!</definedName>
    <definedName name="RAB_ASLI">#REF!</definedName>
    <definedName name="rabat">[39]Analisis!#REF!</definedName>
    <definedName name="RABUNG">[10]BAHAN!#REF!</definedName>
    <definedName name="rabung.2">[10]BAHAN!$L$43</definedName>
    <definedName name="rabung.metal">[10]BAHAN!#REF!</definedName>
    <definedName name="rabung.seng">[10]ANALISA!#REF!</definedName>
    <definedName name="rabung.zinc">[10]BAHAN!#REF!</definedName>
    <definedName name="RABUNG_SENG">[40]Bahan!$M$87</definedName>
    <definedName name="rabungonduline">[36]cover!#REF!</definedName>
    <definedName name="rabungzinc">[86]BAHAN!$N$28</definedName>
    <definedName name="raiillingtanggaBSP" localSheetId="3">#REF!</definedName>
    <definedName name="raiillingtanggaBSP">#REF!</definedName>
    <definedName name="RAILING1" localSheetId="3">#REF!</definedName>
    <definedName name="RAILING1">#REF!</definedName>
    <definedName name="RAILING2" localSheetId="3">#REF!</definedName>
    <definedName name="RAILING2">#REF!</definedName>
    <definedName name="RAILING3" localSheetId="3">#REF!</definedName>
    <definedName name="RAILING3">#REF!</definedName>
    <definedName name="RAILINGTANGGA" localSheetId="3">#REF!</definedName>
    <definedName name="RAILINGTANGGA">#REF!</definedName>
    <definedName name="railingtanggaBSP\nonjasa" localSheetId="3">#REF!</definedName>
    <definedName name="railingtanggaBSP\nonjasa">#REF!</definedName>
    <definedName name="Railling">'[38]Analisa Harga Satuan'!$G$2467</definedName>
    <definedName name="rambucis\nonjasa" localSheetId="3">#REF!</definedName>
    <definedName name="rambucis\nonjasa">#REF!</definedName>
    <definedName name="Rambucis411RHS" localSheetId="3">#REF!</definedName>
    <definedName name="Rambucis411RHS">#REF!</definedName>
    <definedName name="Ramkawat" localSheetId="3">#REF!</definedName>
    <definedName name="Ramkawat">#REF!</definedName>
    <definedName name="rangkahollow" localSheetId="3">#REF!</definedName>
    <definedName name="rangkahollow">#REF!</definedName>
    <definedName name="rangkametalfuring" localSheetId="3">#REF!</definedName>
    <definedName name="rangkametalfuring">#REF!</definedName>
    <definedName name="RANGKAPLAFON" localSheetId="2">#REF!</definedName>
    <definedName name="RANGKAPLAFON" localSheetId="3">#REF!</definedName>
    <definedName name="RANGKAPLAFON">#REF!</definedName>
    <definedName name="ranum" localSheetId="3">#REF!</definedName>
    <definedName name="ranum">#REF!</definedName>
    <definedName name="RAP" localSheetId="3">#REF!</definedName>
    <definedName name="RAP">#REF!</definedName>
    <definedName name="rataantnh" localSheetId="3">#REF!</definedName>
    <definedName name="rataantnh">#REF!</definedName>
    <definedName name="RATAP" localSheetId="2">#REF!</definedName>
    <definedName name="RATAP" localSheetId="3">#REF!</definedName>
    <definedName name="RATAP">#REF!</definedName>
    <definedName name="RATIO1">[87]RATIO!$F$23:$M$32</definedName>
    <definedName name="rayben5" localSheetId="3">#REF!</definedName>
    <definedName name="rayben5">#REF!</definedName>
    <definedName name="rb.seng">[10]BAHAN!#REF!</definedName>
    <definedName name="RBC" localSheetId="3">#REF!</definedName>
    <definedName name="RBC">#REF!</definedName>
    <definedName name="rbkaderisasi" localSheetId="3">#REF!</definedName>
    <definedName name="rbkaderisasi">#REF!</definedName>
    <definedName name="rbkantor" localSheetId="3">#REF!</definedName>
    <definedName name="rbkantor">#REF!</definedName>
    <definedName name="rbkendaraan" localSheetId="3">#REF!</definedName>
    <definedName name="rbkendaraan">#REF!</definedName>
    <definedName name="rborkes" localSheetId="3">#REF!</definedName>
    <definedName name="rborkes">#REF!</definedName>
    <definedName name="rbpajak" localSheetId="3">#REF!</definedName>
    <definedName name="rbpajak">#REF!</definedName>
    <definedName name="rbperdainas" localSheetId="3">#REF!</definedName>
    <definedName name="rbperdainas">#REF!</definedName>
    <definedName name="RCArea" localSheetId="3" hidden="1">#REF!</definedName>
    <definedName name="RCArea" hidden="1">#REF!</definedName>
    <definedName name="rd_0.5" localSheetId="3">#REF!</definedName>
    <definedName name="rd_0.5">#REF!</definedName>
    <definedName name="rd_4" localSheetId="3">#REF!</definedName>
    <definedName name="rd_4">#REF!</definedName>
    <definedName name="Ready175">#REF!</definedName>
    <definedName name="Ready225" localSheetId="3">#REF!</definedName>
    <definedName name="Ready225">#REF!</definedName>
    <definedName name="readymixk250" localSheetId="3">#REF!</definedName>
    <definedName name="readymixk250">#REF!</definedName>
    <definedName name="readymixk300" localSheetId="3">#REF!</definedName>
    <definedName name="readymixk300">#REF!</definedName>
    <definedName name="readymixk350" localSheetId="3">#REF!</definedName>
    <definedName name="readymixk350">#REF!</definedName>
    <definedName name="REAL" localSheetId="3">#REF!</definedName>
    <definedName name="REAL">#REF!</definedName>
    <definedName name="REC" localSheetId="3">#REF!</definedName>
    <definedName name="REC">#REF!</definedName>
    <definedName name="RECAP" localSheetId="3">#REF!</definedName>
    <definedName name="RECAP">#REF!</definedName>
    <definedName name="RECAP1" localSheetId="3">#REF!</definedName>
    <definedName name="RECAP1">#REF!</definedName>
    <definedName name="reducer1">[10]BAHAN!#REF!</definedName>
    <definedName name="reducer2">[10]BAHAN!#REF!</definedName>
    <definedName name="reducer4">[10]BAHAN!#REF!</definedName>
    <definedName name="REINB" localSheetId="3">#REF!</definedName>
    <definedName name="REINB">#REF!</definedName>
    <definedName name="REK_AN" localSheetId="3">#REF!</definedName>
    <definedName name="REK_AN">#REF!</definedName>
    <definedName name="REKAN" localSheetId="3">#REF!</definedName>
    <definedName name="REKAN">#REF!</definedName>
    <definedName name="REKANLDSR" localSheetId="3">#REF!</definedName>
    <definedName name="REKANLDSR">#REF!</definedName>
    <definedName name="REKAP" localSheetId="3">#REF!</definedName>
    <definedName name="Rekap">#REF!</definedName>
    <definedName name="Rekap.">#REF!</definedName>
    <definedName name="rekap_ars" localSheetId="3">#REF!</definedName>
    <definedName name="rekap_ars">#REF!</definedName>
    <definedName name="Rekap_Arsitektur" localSheetId="3">#REF!</definedName>
    <definedName name="Rekap_Arsitektur">#REF!</definedName>
    <definedName name="REKAPITULASI" localSheetId="3">#REF!</definedName>
    <definedName name="REKAPITULASI">#REF!</definedName>
    <definedName name="reng" localSheetId="3">#REF!</definedName>
    <definedName name="reng">#REF!</definedName>
    <definedName name="reng_3_4" localSheetId="3">#REF!</definedName>
    <definedName name="reng_3_4">#REF!</definedName>
    <definedName name="repbalok" localSheetId="3">#REF!</definedName>
    <definedName name="repbalok">#REF!</definedName>
    <definedName name="repkolom" localSheetId="3">#REF!</definedName>
    <definedName name="repkolom">#REF!</definedName>
    <definedName name="repslab" localSheetId="3">#REF!</definedName>
    <definedName name="repslab">#REF!</definedName>
    <definedName name="RESI" localSheetId="3">#REF!</definedName>
    <definedName name="RESI">#REF!</definedName>
    <definedName name="residu" localSheetId="2">#REF!</definedName>
    <definedName name="residu" localSheetId="3">#REF!</definedName>
    <definedName name="residu">[39]Analisis!#REF!</definedName>
    <definedName name="residu.antirayap" localSheetId="3">#REF!</definedName>
    <definedName name="residu.antirayap">#REF!</definedName>
    <definedName name="Resource_Optional_Field" localSheetId="3">#REF!</definedName>
    <definedName name="Resource_Optional_Field">#REF!</definedName>
    <definedName name="rg" localSheetId="3">#REF!</definedName>
    <definedName name="rg">#REF!</definedName>
    <definedName name="rgajah" localSheetId="3">#REF!</definedName>
    <definedName name="rgajah">#REF!</definedName>
    <definedName name="RGENTENG" localSheetId="2">#REF!</definedName>
    <definedName name="RGENTENG" localSheetId="3">#REF!</definedName>
    <definedName name="RGENTENG">#REF!</definedName>
    <definedName name="riben.3" localSheetId="3">#REF!</definedName>
    <definedName name="riben.3">#REF!</definedName>
    <definedName name="riben.5" localSheetId="3">#REF!</definedName>
    <definedName name="riben.5">#REF!</definedName>
    <definedName name="RIBU" localSheetId="3">#REF!</definedName>
    <definedName name="RIBU">#REF!</definedName>
    <definedName name="RINCIANSEWA" localSheetId="2">#REF!</definedName>
    <definedName name="RINCIANSEWA" localSheetId="3">#REF!</definedName>
    <definedName name="RINCIANSEWA">#REF!</definedName>
    <definedName name="RINCIANSEWA2" localSheetId="3">#REF!</definedName>
    <definedName name="RINCIANSEWA2">#REF!</definedName>
    <definedName name="RIUTERDL">#N/A</definedName>
    <definedName name="RIUTERPM">#N/A</definedName>
    <definedName name="rjtrj" localSheetId="2" hidden="1">{"'Sheet1'!$A$1"}</definedName>
    <definedName name="rjtrj" localSheetId="3" hidden="1">{"'Sheet1'!$A$1"}</definedName>
    <definedName name="rjtrj" hidden="1">{"'Sheet1'!$A$1"}</definedName>
    <definedName name="RKP">[1]A!$AP$1:$AS$59</definedName>
    <definedName name="rolagbata">#REF!</definedName>
    <definedName name="rolct" localSheetId="3">#REF!</definedName>
    <definedName name="rolct">#REF!</definedName>
    <definedName name="roller">#REF!</definedName>
    <definedName name="rool_meter" localSheetId="3">#REF!</definedName>
    <definedName name="rool_meter">#REF!</definedName>
    <definedName name="rooster" localSheetId="3">#REF!</definedName>
    <definedName name="rooster">#REF!</definedName>
    <definedName name="ROSET" localSheetId="2">#REF!</definedName>
    <definedName name="ROSET" localSheetId="3">#REF!</definedName>
    <definedName name="ROSET">#REF!</definedName>
    <definedName name="roster" localSheetId="3">#REF!</definedName>
    <definedName name="roster">#REF!</definedName>
    <definedName name="rosterbetoncetak10x20" localSheetId="3">#REF!</definedName>
    <definedName name="rosterbetoncetak10x20">#REF!</definedName>
    <definedName name="rosterbetoncetak20x20" localSheetId="3">#REF!</definedName>
    <definedName name="rosterbetoncetak20x20">#REF!</definedName>
    <definedName name="rosterkeramik10x20" localSheetId="3">#REF!</definedName>
    <definedName name="rosterkeramik10x20">#REF!</definedName>
    <definedName name="rosterkeramik20x20" localSheetId="3">#REF!</definedName>
    <definedName name="rosterkeramik20x20">#REF!</definedName>
    <definedName name="rosterterawang10x20" localSheetId="3">#REF!</definedName>
    <definedName name="rosterterawang10x20">#REF!</definedName>
    <definedName name="ROUND" localSheetId="3">#REF!</definedName>
    <definedName name="ROUND">#REF!</definedName>
    <definedName name="ROWpost" localSheetId="3">#REF!</definedName>
    <definedName name="ROWpost">#REF!</definedName>
    <definedName name="Rp" localSheetId="3">#REF!</definedName>
    <definedName name="rp">#REF!</definedName>
    <definedName name="Rp." localSheetId="3">#REF!</definedName>
    <definedName name="Rp.">#REF!</definedName>
    <definedName name="RR" localSheetId="2" hidden="1">{"'Sheet1'!$A$1"}</definedName>
    <definedName name="RR" localSheetId="3" hidden="1">{"'Sheet1'!$A$1"}</definedName>
    <definedName name="RR" hidden="1">{"'Sheet1'!$A$1"}</definedName>
    <definedName name="rrrr">#REF!</definedName>
    <definedName name="RSS" localSheetId="2">#REF!</definedName>
    <definedName name="RSS" localSheetId="3">#REF!</definedName>
    <definedName name="RSS">#REF!</definedName>
    <definedName name="RT2.36" localSheetId="2">#REF!</definedName>
    <definedName name="RT2.36" localSheetId="3">#REF!</definedName>
    <definedName name="RT2.36">#REF!</definedName>
    <definedName name="rtyu" localSheetId="2" hidden="1">{"'Sheet1'!$A$1"}</definedName>
    <definedName name="rtyu" localSheetId="3" hidden="1">{"'Sheet1'!$A$1"}</definedName>
    <definedName name="rtyu" hidden="1">{"'Sheet1'!$A$1"}</definedName>
    <definedName name="Rucika_Wavin">#REF!</definedName>
    <definedName name="rumah">'[17]Kuantitas &amp; Harga'!#REF!</definedName>
    <definedName name="rumputgajah\m2" localSheetId="3">#REF!</definedName>
    <definedName name="rumputgajah\m2">#REF!</definedName>
    <definedName name="Rumputjepang" localSheetId="3">#REF!</definedName>
    <definedName name="Rumputjepang">#REF!</definedName>
    <definedName name="Rumputpeking" localSheetId="3">#REF!</definedName>
    <definedName name="Rumputpeking">#REF!</definedName>
    <definedName name="RUTIN" localSheetId="2">#REF!</definedName>
    <definedName name="RUTIN" localSheetId="3">#REF!</definedName>
    <definedName name="RUTIN">#REF!</definedName>
    <definedName name="ryyy" localSheetId="2" hidden="1">{"'Sheet1'!$A$1"}</definedName>
    <definedName name="ryyy" localSheetId="3" hidden="1">{"'Sheet1'!$A$1"}</definedName>
    <definedName name="ryyy" hidden="1">{"'Sheet1'!$A$1"}</definedName>
    <definedName name="s" localSheetId="2">#REF!</definedName>
    <definedName name="s" localSheetId="3">#REF!</definedName>
    <definedName name="S" hidden="1">[88]B.Kim2010!$C$641:$C$648</definedName>
    <definedName name="s.05a">#REF!</definedName>
    <definedName name="s.05b">#REF!</definedName>
    <definedName name="s.05c">#REF!</definedName>
    <definedName name="s.05d">#REF!</definedName>
    <definedName name="s.05e">#REF!</definedName>
    <definedName name="s.05f">#REF!</definedName>
    <definedName name="s.05g">#REF!</definedName>
    <definedName name="s.05h">#REF!</definedName>
    <definedName name="s.05i">#REF!</definedName>
    <definedName name="s.05j">#REF!</definedName>
    <definedName name="S.05J1">#REF!</definedName>
    <definedName name="S.05J2">#REF!</definedName>
    <definedName name="S.05J3">#REF!</definedName>
    <definedName name="S.05J4">#REF!</definedName>
    <definedName name="S.05J5">#REF!</definedName>
    <definedName name="S.05J6">#REF!</definedName>
    <definedName name="S.05J7">#REF!</definedName>
    <definedName name="s.05k">#REF!</definedName>
    <definedName name="S.05L">#REF!</definedName>
    <definedName name="S.05M">#REF!</definedName>
    <definedName name="s.09a">#REF!</definedName>
    <definedName name="s.09b">#REF!</definedName>
    <definedName name="s.09c">#REF!</definedName>
    <definedName name="S.1">#REF!</definedName>
    <definedName name="S.10" localSheetId="3">#REF!</definedName>
    <definedName name="S.10">#REF!</definedName>
    <definedName name="S.11" localSheetId="3">#REF!</definedName>
    <definedName name="S.11">#REF!</definedName>
    <definedName name="S.12" localSheetId="3">#REF!</definedName>
    <definedName name="S.12">#REF!</definedName>
    <definedName name="S.13" localSheetId="3">#REF!</definedName>
    <definedName name="S.13">#REF!</definedName>
    <definedName name="S.14" localSheetId="3">#REF!</definedName>
    <definedName name="S.14">#REF!</definedName>
    <definedName name="S.15" localSheetId="3">#REF!</definedName>
    <definedName name="S.15">#REF!</definedName>
    <definedName name="S.16" localSheetId="3">#REF!</definedName>
    <definedName name="S.16">#REF!</definedName>
    <definedName name="S.17" localSheetId="3">#REF!</definedName>
    <definedName name="S.17">#REF!</definedName>
    <definedName name="S.2" localSheetId="3">#REF!</definedName>
    <definedName name="S.2">#REF!</definedName>
    <definedName name="S.3" localSheetId="3">#REF!</definedName>
    <definedName name="S.3">#REF!</definedName>
    <definedName name="S.3\STP" localSheetId="3">#REF!</definedName>
    <definedName name="S.3\STP">#REF!</definedName>
    <definedName name="S.4" localSheetId="3">#REF!</definedName>
    <definedName name="S.4">#REF!</definedName>
    <definedName name="S.5" localSheetId="3">#REF!</definedName>
    <definedName name="S.5">#REF!</definedName>
    <definedName name="S.5A" localSheetId="3">#REF!</definedName>
    <definedName name="S.5A">#REF!</definedName>
    <definedName name="S.6" localSheetId="3">#REF!</definedName>
    <definedName name="S.6">#REF!</definedName>
    <definedName name="S.7" localSheetId="3">#REF!</definedName>
    <definedName name="S.7">#REF!</definedName>
    <definedName name="S.8" localSheetId="3">#REF!</definedName>
    <definedName name="S.8">#REF!</definedName>
    <definedName name="S.8A" localSheetId="3">#REF!</definedName>
    <definedName name="S.8A">#REF!</definedName>
    <definedName name="S.9" localSheetId="3">#REF!</definedName>
    <definedName name="S.9">#REF!</definedName>
    <definedName name="s.tukang" localSheetId="3">#REF!</definedName>
    <definedName name="s.tukang">#REF!</definedName>
    <definedName name="s.warna" localSheetId="3">#REF!</definedName>
    <definedName name="s.warna">#REF!</definedName>
    <definedName name="S_DIGIT" localSheetId="3">#REF!</definedName>
    <definedName name="S_DIGIT">#REF!</definedName>
    <definedName name="S_JUTA" localSheetId="3">#REF!</definedName>
    <definedName name="S_JUTA">#REF!</definedName>
    <definedName name="S_MILYAR" localSheetId="3">#REF!</definedName>
    <definedName name="S_MILYAR">#REF!</definedName>
    <definedName name="S_RIBU" localSheetId="3">#REF!</definedName>
    <definedName name="S_RIBU">#REF!</definedName>
    <definedName name="S_SATU" localSheetId="3">#REF!</definedName>
    <definedName name="S_SATU">#REF!</definedName>
    <definedName name="S1\GWT" localSheetId="3">#REF!</definedName>
    <definedName name="S1\GWT">#REF!</definedName>
    <definedName name="S2\GWT" localSheetId="3">#REF!</definedName>
    <definedName name="S2\GWT">#REF!</definedName>
    <definedName name="S6\GWT" localSheetId="3">#REF!</definedName>
    <definedName name="S6\GWT">#REF!</definedName>
    <definedName name="sabtu">'[35]Upah&amp;Bahan'!$C$15</definedName>
    <definedName name="sabu">'[35]Upah&amp;Bahan'!$C$26</definedName>
    <definedName name="saf" localSheetId="2">[31]Anl!#REF!</definedName>
    <definedName name="saf" localSheetId="3">[31]Anl!#REF!</definedName>
    <definedName name="saf">[8]Anl!#REF!</definedName>
    <definedName name="SAH" localSheetId="3">#REF!</definedName>
    <definedName name="SAH">#REF!</definedName>
    <definedName name="SAK.1" localSheetId="2">#REF!</definedName>
    <definedName name="sak.1" localSheetId="3">#REF!</definedName>
    <definedName name="SAK.1" localSheetId="11">#REF!</definedName>
    <definedName name="SAK.1">#REF!</definedName>
    <definedName name="SAK.2" localSheetId="2">#REF!</definedName>
    <definedName name="sak.2" localSheetId="3">#REF!</definedName>
    <definedName name="SAK.2">#REF!</definedName>
    <definedName name="SAK.3" localSheetId="3">#REF!</definedName>
    <definedName name="SAK.3">#REF!</definedName>
    <definedName name="saklar" localSheetId="3">#REF!</definedName>
    <definedName name="saklar">#REF!</definedName>
    <definedName name="Saklar_doble_sekualitas_broco" localSheetId="3">#REF!</definedName>
    <definedName name="Saklar_doble_sekualitas_broco">#REF!</definedName>
    <definedName name="Saklar_tunggal_sekualitas_broco" localSheetId="3">#REF!</definedName>
    <definedName name="Saklar_tunggal_sekualitas_broco">#REF!</definedName>
    <definedName name="saklardo" localSheetId="3">#REF!</definedName>
    <definedName name="saklardo">#REF!</definedName>
    <definedName name="saklartu" localSheetId="3">#REF!</definedName>
    <definedName name="saklartu">#REF!</definedName>
    <definedName name="saku">'[35]Upah&amp;Bahan'!$C$21</definedName>
    <definedName name="salah" hidden="1">#REF!</definedName>
    <definedName name="Salas" localSheetId="2" hidden="1">[6]TJ1Q47!$H$7:$H$31</definedName>
    <definedName name="Salas" localSheetId="3" hidden="1">[6]TJ1Q47!$H$7:$H$31</definedName>
    <definedName name="salhujan" localSheetId="3">#REF!</definedName>
    <definedName name="salhujan">#REF!</definedName>
    <definedName name="sali">'[35]Upah&amp;Bahan'!$C$22</definedName>
    <definedName name="salim">#REF!</definedName>
    <definedName name="salome">'[35]Upah&amp;Bahan'!$C$16</definedName>
    <definedName name="saluranU.40batu" localSheetId="3">#REF!</definedName>
    <definedName name="saluranU.40batu">#REF!</definedName>
    <definedName name="saluraU.60batu" localSheetId="3">#REF!</definedName>
    <definedName name="saluraU.60batu">#REF!</definedName>
    <definedName name="sambung450" localSheetId="3">#REF!</definedName>
    <definedName name="sambung450">#REF!</definedName>
    <definedName name="sambung600" localSheetId="3">#REF!</definedName>
    <definedName name="sambung600">#REF!</definedName>
    <definedName name="sampai">'[17]Upah&amp;Bahan'!$C$51</definedName>
    <definedName name="san" localSheetId="3">#REF!</definedName>
    <definedName name="san">#REF!</definedName>
    <definedName name="SANDB" localSheetId="3">#REF!</definedName>
    <definedName name="SANDB">#REF!</definedName>
    <definedName name="SANDFA" localSheetId="3">#REF!</definedName>
    <definedName name="SANDFA">#REF!</definedName>
    <definedName name="SANITAIR1" localSheetId="3">#REF!</definedName>
    <definedName name="SANITAIR1">#REF!</definedName>
    <definedName name="sanum">'[35]Upah&amp;Bahan'!$C$17</definedName>
    <definedName name="sanur">'[35]Upah&amp;Bahan'!$C$24</definedName>
    <definedName name="satin">'[35]Upah&amp;Bahan'!$C$23</definedName>
    <definedName name="SATU" localSheetId="3">#REF!</definedName>
    <definedName name="satu">#REF!</definedName>
    <definedName name="Satuan" localSheetId="3">#REF!</definedName>
    <definedName name="Satuan">#REF!</definedName>
    <definedName name="saya">'[35]Upah&amp;Bahan'!$C$18</definedName>
    <definedName name="sayang">'[17]Kuantitas &amp; Harga'!#REF!</definedName>
    <definedName name="sayu">'[35]Upah&amp;Bahan'!$C$19</definedName>
    <definedName name="sayur">'[35]Upah&amp;Bahan'!$C$27</definedName>
    <definedName name="SBASE" localSheetId="3">#REF!</definedName>
    <definedName name="SBASE">#REF!</definedName>
    <definedName name="sc" localSheetId="3">#REF!</definedName>
    <definedName name="sc">#REF!</definedName>
    <definedName name="sc_0.51" localSheetId="3">#REF!</definedName>
    <definedName name="sc_0.51">#REF!</definedName>
    <definedName name="scafolding" localSheetId="3">#REF!</definedName>
    <definedName name="scafolding">#REF!</definedName>
    <definedName name="scc" localSheetId="3">#REF!</definedName>
    <definedName name="scc">#REF!</definedName>
    <definedName name="scedu" localSheetId="3">#REF!</definedName>
    <definedName name="scedu">#REF!</definedName>
    <definedName name="screed" localSheetId="3">#REF!</definedName>
    <definedName name="screed">#REF!</definedName>
    <definedName name="SCREED10" localSheetId="3">#REF!</definedName>
    <definedName name="SCREED10">#REF!</definedName>
    <definedName name="SCREED5" localSheetId="3">#REF!</definedName>
    <definedName name="SCREED5">#REF!</definedName>
    <definedName name="SD" localSheetId="3">#REF!</definedName>
    <definedName name="sd">#REF!</definedName>
    <definedName name="sda" localSheetId="3" hidden="1">#REF!</definedName>
    <definedName name="sda" hidden="1">#REF!</definedName>
    <definedName name="sdatu" localSheetId="3">#REF!</definedName>
    <definedName name="sdatu">#REF!</definedName>
    <definedName name="sdf" localSheetId="2" hidden="1">{"'Sheet1'!$A$1"}</definedName>
    <definedName name="sdf" localSheetId="3" hidden="1">{"'Sheet1'!$A$1"}</definedName>
    <definedName name="sdf" hidden="1">{"'Sheet1'!$A$1"}</definedName>
    <definedName name="SDFGHJ" localSheetId="2" hidden="1">[37]TJ1Q47!$G$7:$G$31</definedName>
    <definedName name="SDFGHJ" localSheetId="3" hidden="1">[37]TJ1Q47!$G$7:$G$31</definedName>
    <definedName name="SDFSADFSADF" localSheetId="2" hidden="1">[37]TJ1Q47!$L$7:$L$31</definedName>
    <definedName name="SDFSADFSADF" localSheetId="3" hidden="1">[37]TJ1Q47!$L$7:$L$31</definedName>
    <definedName name="sdfsd">#REF!</definedName>
    <definedName name="SDFSDFASFGDSFG" localSheetId="2" hidden="1">[6]TJ1Q47!$E$7:$E$31</definedName>
    <definedName name="SDFSDFASFGDSFG" localSheetId="3" hidden="1">[6]TJ1Q47!$E$7:$E$31</definedName>
    <definedName name="sdfwrg" localSheetId="2" hidden="1">{"'Sheet1'!$A$1"}</definedName>
    <definedName name="sdfwrg" localSheetId="3" hidden="1">{"'Sheet1'!$A$1"}</definedName>
    <definedName name="sdfwrg" hidden="1">{"'Sheet1'!$A$1"}</definedName>
    <definedName name="sdm">#REF!</definedName>
    <definedName name="SDMONG" localSheetId="3">#REF!</definedName>
    <definedName name="SDMONG">#REF!</definedName>
    <definedName name="sdtg" localSheetId="2" hidden="1">{"'Sheet1'!$A$1"}</definedName>
    <definedName name="sdtg" localSheetId="3" hidden="1">{"'Sheet1'!$A$1"}</definedName>
    <definedName name="sdtg" hidden="1">{"'Sheet1'!$A$1"}</definedName>
    <definedName name="sdvfv" localSheetId="2" hidden="1">{"'Sheet1'!$A$1"}</definedName>
    <definedName name="sdvfv" localSheetId="3" hidden="1">{"'Sheet1'!$A$1"}</definedName>
    <definedName name="sdvfv" hidden="1">{"'Sheet1'!$A$1"}</definedName>
    <definedName name="Sealbond">#REF!</definedName>
    <definedName name="sealent" localSheetId="3">#REF!</definedName>
    <definedName name="sealent">#REF!</definedName>
    <definedName name="sealer" localSheetId="3">#REF!</definedName>
    <definedName name="sealer">#REF!</definedName>
    <definedName name="sealer.mowi" localSheetId="3">#REF!</definedName>
    <definedName name="sealer.mowi">#REF!</definedName>
    <definedName name="sealer.vini" localSheetId="3">#REF!</definedName>
    <definedName name="sealer.vini">#REF!</definedName>
    <definedName name="sebut" localSheetId="3">#REF!</definedName>
    <definedName name="sebut">#REF!</definedName>
    <definedName name="sedia" localSheetId="3">#REF!</definedName>
    <definedName name="sedia">#REF!</definedName>
    <definedName name="sek" localSheetId="2">#REF!</definedName>
    <definedName name="SEK" localSheetId="3">#REF!</definedName>
    <definedName name="sek">#REF!</definedName>
    <definedName name="sekali">'[17]Upah&amp;Bahan'!$C$43</definedName>
    <definedName name="sekruphakpanjang" localSheetId="3">#REF!</definedName>
    <definedName name="sekruphakpanjang">#REF!</definedName>
    <definedName name="selfaddhitivemembran" localSheetId="3">#REF!</definedName>
    <definedName name="selfaddhitivemembran">#REF!</definedName>
    <definedName name="Selimut" localSheetId="3">#REF!</definedName>
    <definedName name="Selimut">#REF!</definedName>
    <definedName name="Selot.1" localSheetId="3">#REF!</definedName>
    <definedName name="Selot.1">#REF!</definedName>
    <definedName name="Semen" localSheetId="3">#REF!</definedName>
    <definedName name="Semen">#REF!</definedName>
    <definedName name="Semen_Batu_Raja_50_kg" localSheetId="3">#REF!</definedName>
    <definedName name="Semen_Batu_Raja_50_kg">#REF!</definedName>
    <definedName name="semen_grouting" localSheetId="3">#REF!</definedName>
    <definedName name="semen_grouting">#REF!</definedName>
    <definedName name="Semen_Kujang_50_kg" localSheetId="3">#REF!</definedName>
    <definedName name="Semen_Kujang_50_kg">#REF!</definedName>
    <definedName name="Semen_Padang_50_kg" localSheetId="3">#REF!</definedName>
    <definedName name="Semen_Padang_50_kg">#REF!</definedName>
    <definedName name="SEMEN_PUTIH">[40]Bahan!$M$90</definedName>
    <definedName name="Semen_Tiga_roda__50_kg" localSheetId="3">#REF!</definedName>
    <definedName name="Semen_Tiga_roda__50_kg">#REF!</definedName>
    <definedName name="semen_warna" localSheetId="3">#REF!</definedName>
    <definedName name="semen_warna">#REF!</definedName>
    <definedName name="semenGr" localSheetId="3">#REF!</definedName>
    <definedName name="semenGr">#REF!</definedName>
    <definedName name="Semengrouting" localSheetId="3">#REF!</definedName>
    <definedName name="Semengrouting">#REF!</definedName>
    <definedName name="semenputih" localSheetId="3">#REF!</definedName>
    <definedName name="semenputih">#REF!</definedName>
    <definedName name="semton" localSheetId="3">#REF!</definedName>
    <definedName name="semton">#REF!</definedName>
    <definedName name="Sendingsealer" localSheetId="3">#REF!</definedName>
    <definedName name="Sendingsealer">#REF!</definedName>
    <definedName name="seng">[39]Analisis!#REF!</definedName>
    <definedName name="seng.plat">[10]BAHAN!#REF!</definedName>
    <definedName name="SENG_BJLS">[40]Bahan!$M$91</definedName>
    <definedName name="Seng_BJLS_20_gelombang" localSheetId="3">#REF!</definedName>
    <definedName name="Seng_BJLS_20_gelombang">#REF!</definedName>
    <definedName name="seng_pagar" localSheetId="3">#REF!</definedName>
    <definedName name="seng_pagar">#REF!</definedName>
    <definedName name="Seng_plat_lebar_50_cm__panjang_50_m" localSheetId="3">#REF!</definedName>
    <definedName name="Seng_plat_lebar_50_cm__panjang_50_m">#REF!</definedName>
    <definedName name="sengalu" localSheetId="3">#REF!</definedName>
    <definedName name="sengalu">#REF!</definedName>
    <definedName name="senggel20" localSheetId="3">#REF!</definedName>
    <definedName name="senggel20">#REF!</definedName>
    <definedName name="senggel30" localSheetId="3">#REF!</definedName>
    <definedName name="senggel30">#REF!</definedName>
    <definedName name="senggelombang" localSheetId="3">#REF!</definedName>
    <definedName name="senggelombang">#REF!</definedName>
    <definedName name="senggelombang0.20mm" localSheetId="3">#REF!</definedName>
    <definedName name="senggelombang0.20mm">#REF!</definedName>
    <definedName name="senggelombang0.30mm" localSheetId="3">#REF!</definedName>
    <definedName name="senggelombang0.30mm">#REF!</definedName>
    <definedName name="sengplat">[64]rekap!$D$29</definedName>
    <definedName name="sengplat20" localSheetId="3">#REF!</definedName>
    <definedName name="sengplat20">#REF!</definedName>
    <definedName name="sengplat30" localSheetId="3">#REF!</definedName>
    <definedName name="sengplat30">#REF!</definedName>
    <definedName name="sengplatbjls40" localSheetId="3">#REF!</definedName>
    <definedName name="sengplatbjls40">#REF!</definedName>
    <definedName name="SENGROL2" localSheetId="3">#REF!</definedName>
    <definedName name="SENGROL2">#REF!</definedName>
    <definedName name="sengrol3" localSheetId="3">#REF!</definedName>
    <definedName name="sengrol3">#REF!</definedName>
    <definedName name="sept.1" localSheetId="3">#REF!</definedName>
    <definedName name="sept.1">#REF!</definedName>
    <definedName name="sept.2" localSheetId="3">#REF!</definedName>
    <definedName name="sept.2">#REF!</definedName>
    <definedName name="serlak">[10]BAHAN!#REF!</definedName>
    <definedName name="set" localSheetId="3">#REF!</definedName>
    <definedName name="set">#REF!</definedName>
    <definedName name="seumantok">[64]rekap!$D$42</definedName>
    <definedName name="sewalift" localSheetId="3">#REF!</definedName>
    <definedName name="sewalift">#REF!</definedName>
    <definedName name="sewapompa" localSheetId="3">#REF!</definedName>
    <definedName name="sewapompa">#REF!</definedName>
    <definedName name="sf" localSheetId="3">#REF!</definedName>
    <definedName name="sf">#REF!</definedName>
    <definedName name="sfvd100" localSheetId="3">#REF!</definedName>
    <definedName name="sfvd100">#REF!</definedName>
    <definedName name="sg" localSheetId="3">#REF!</definedName>
    <definedName name="sg">#REF!</definedName>
    <definedName name="sga">#REF!</definedName>
    <definedName name="SGFASFGA" localSheetId="2" hidden="1">[37]TJ1Q47!$E$7:$E$31</definedName>
    <definedName name="SGFASFGA" localSheetId="3" hidden="1">[37]TJ1Q47!$E$7:$E$31</definedName>
    <definedName name="sgyf" localSheetId="3">#REF!</definedName>
    <definedName name="sgyf">#REF!</definedName>
    <definedName name="shandingsaler" localSheetId="3">#REF!</definedName>
    <definedName name="shandingsaler">#REF!</definedName>
    <definedName name="sheet.doublecylinder" localSheetId="3">#REF!</definedName>
    <definedName name="sheet.doublecylinder">#REF!</definedName>
    <definedName name="Sheetpile" localSheetId="3">#REF!</definedName>
    <definedName name="Sheetpile">#REF!</definedName>
    <definedName name="SHF" localSheetId="3">#REF!</definedName>
    <definedName name="SHF">#REF!</definedName>
    <definedName name="shovel">#REF!</definedName>
    <definedName name="showerspray" localSheetId="3">#REF!</definedName>
    <definedName name="showerspray">#REF!</definedName>
    <definedName name="ShowersprayTX403SN5" localSheetId="3">#REF!</definedName>
    <definedName name="ShowersprayTX403SN5">#REF!</definedName>
    <definedName name="siapakah">'[17]Upah&amp;Bahan'!$C$22</definedName>
    <definedName name="sikat" localSheetId="3">#REF!</definedName>
    <definedName name="sikat">#REF!</definedName>
    <definedName name="siku" localSheetId="2">#REF!</definedName>
    <definedName name="siku" localSheetId="3">#REF!</definedName>
    <definedName name="siku">'[35]Upah&amp;Bahan'!$C$20</definedName>
    <definedName name="SIPIL" localSheetId="2">#REF!</definedName>
    <definedName name="SIPIL" localSheetId="3">#REF!</definedName>
    <definedName name="SIPIL" hidden="1">'[89]GALIAN MEKANIS'!#REF!</definedName>
    <definedName name="SIPIL_6" localSheetId="3">#REF!</definedName>
    <definedName name="SIPIL_6">#REF!</definedName>
    <definedName name="SIPIL_8" localSheetId="3">#REF!</definedName>
    <definedName name="SIPIL_8">#REF!</definedName>
    <definedName name="SIPIL_8_6" localSheetId="3">#REF!</definedName>
    <definedName name="SIPIL_8_6">#REF!</definedName>
    <definedName name="Sirlak" localSheetId="3">#REF!</definedName>
    <definedName name="Sirlak">#REF!</definedName>
    <definedName name="SIRSANG" localSheetId="2">#REF!</definedName>
    <definedName name="SIRSANG" localSheetId="3">#REF!</definedName>
    <definedName name="SIRSANG" localSheetId="11">#REF!</definedName>
    <definedName name="SIRSANG">#REF!</definedName>
    <definedName name="sirtu" localSheetId="2">#REF!</definedName>
    <definedName name="sirtu" localSheetId="3">#REF!</definedName>
    <definedName name="Sirtu">#REF!</definedName>
    <definedName name="sisikbadak">[39]Analisis!#REF!</definedName>
    <definedName name="SITON" localSheetId="3">#REF!</definedName>
    <definedName name="SITON">#REF!</definedName>
    <definedName name="SK" localSheetId="3">#REF!</definedName>
    <definedName name="SK">#REF!</definedName>
    <definedName name="skh" localSheetId="3">#REF!</definedName>
    <definedName name="skh">#REF!</definedName>
    <definedName name="skhd" localSheetId="3">#REF!</definedName>
    <definedName name="skhd">#REF!</definedName>
    <definedName name="skhds" localSheetId="3">#REF!</definedName>
    <definedName name="skhds">#REF!</definedName>
    <definedName name="skk" localSheetId="3">#REF!</definedName>
    <definedName name="skk">#REF!</definedName>
    <definedName name="skl" localSheetId="3">#REF!</definedName>
    <definedName name="skl">#REF!</definedName>
    <definedName name="sky" localSheetId="3">#REF!</definedName>
    <definedName name="sky">#REF!</definedName>
    <definedName name="SL_CRD" localSheetId="3">#REF!</definedName>
    <definedName name="SL_CRD">#REF!</definedName>
    <definedName name="SL_CRS" localSheetId="3">#REF!</definedName>
    <definedName name="SL_CRS">#REF!</definedName>
    <definedName name="SL_CS" localSheetId="3">#REF!</definedName>
    <definedName name="SL_CS">#REF!</definedName>
    <definedName name="SL_DD" localSheetId="3">#REF!</definedName>
    <definedName name="SL_DD">#REF!</definedName>
    <definedName name="slabfw" localSheetId="3">#REF!</definedName>
    <definedName name="slabfw">#REF!</definedName>
    <definedName name="slabfw_6" localSheetId="3">#REF!</definedName>
    <definedName name="slabfw_6">#REF!</definedName>
    <definedName name="slengbaja16" localSheetId="3">#REF!</definedName>
    <definedName name="slengbaja16">#REF!</definedName>
    <definedName name="SLH" localSheetId="2">#REF!</definedName>
    <definedName name="SLH" localSheetId="3">#REF!</definedName>
    <definedName name="SLH">'[12]1_boq'!#REF!</definedName>
    <definedName name="Slof">#REF!</definedName>
    <definedName name="SLOOF" localSheetId="3">#REF!</definedName>
    <definedName name="sloof">#REF!</definedName>
    <definedName name="sloof\tb.1.1GWT" localSheetId="3">#REF!</definedName>
    <definedName name="sloof\tb.1.1GWT">#REF!</definedName>
    <definedName name="sloof\tb.1.2GWT" localSheetId="3">#REF!</definedName>
    <definedName name="sloof\tb.1.2GWT">#REF!</definedName>
    <definedName name="sloof\tb.2.1GWT" localSheetId="3">#REF!</definedName>
    <definedName name="sloof\tb.2.1GWT">#REF!</definedName>
    <definedName name="sloof\tb.2.2GWT" localSheetId="3">#REF!</definedName>
    <definedName name="sloof\tb.2.2GWT">#REF!</definedName>
    <definedName name="sloof\tb2.2GWT" localSheetId="3">#REF!</definedName>
    <definedName name="sloof\tb2.2GWT">#REF!</definedName>
    <definedName name="sloof\tb2.3GWT" localSheetId="3">#REF!</definedName>
    <definedName name="sloof\tb2.3GWT">#REF!</definedName>
    <definedName name="sloof\tb2.4Gwt" localSheetId="3">#REF!</definedName>
    <definedName name="sloof\tb2.4Gwt">#REF!</definedName>
    <definedName name="sloof\tb3.1GWT" localSheetId="3">#REF!</definedName>
    <definedName name="sloof\tb3.1GWT">#REF!</definedName>
    <definedName name="slooftb1" localSheetId="3">#REF!</definedName>
    <definedName name="slooftb1">#REF!</definedName>
    <definedName name="slooftb2" localSheetId="3">#REF!</definedName>
    <definedName name="slooftb2">#REF!</definedName>
    <definedName name="slooftb3" localSheetId="3">#REF!</definedName>
    <definedName name="slooftb3">#REF!</definedName>
    <definedName name="slooftb4" localSheetId="3">#REF!</definedName>
    <definedName name="slooftb4">#REF!</definedName>
    <definedName name="slooftb5" localSheetId="3">#REF!</definedName>
    <definedName name="slooftb5">#REF!</definedName>
    <definedName name="slooftb6" localSheetId="3">#REF!</definedName>
    <definedName name="slooftb6">#REF!</definedName>
    <definedName name="SM" localSheetId="3">#REF!</definedName>
    <definedName name="SM">#REF!</definedName>
    <definedName name="SMP" localSheetId="3">#REF!</definedName>
    <definedName name="SMP">#REF!</definedName>
    <definedName name="sn10x33" localSheetId="3">#REF!</definedName>
    <definedName name="sn10x33">#REF!</definedName>
    <definedName name="sngranito10x20" localSheetId="3">#REF!</definedName>
    <definedName name="sngranito10x20">#REF!</definedName>
    <definedName name="sngranito10x30" localSheetId="3">#REF!</definedName>
    <definedName name="sngranito10x30">#REF!</definedName>
    <definedName name="sngranito6x20" localSheetId="3">#REF!</definedName>
    <definedName name="sngranito6x20">#REF!</definedName>
    <definedName name="sngranito6x30" localSheetId="3">#REF!</definedName>
    <definedName name="sngranito6x30">#REF!</definedName>
    <definedName name="snkeramik10x20" localSheetId="3">#REF!</definedName>
    <definedName name="snkeramik10x20">#REF!</definedName>
    <definedName name="snkeramik10x25" localSheetId="3">#REF!</definedName>
    <definedName name="snkeramik10x25">#REF!</definedName>
    <definedName name="snkeramik10x30" localSheetId="3">#REF!</definedName>
    <definedName name="snkeramik10x30">#REF!</definedName>
    <definedName name="snkeramik6x20" localSheetId="3">#REF!</definedName>
    <definedName name="snkeramik6x20">#REF!</definedName>
    <definedName name="snkeramik6x30" localSheetId="3">#REF!</definedName>
    <definedName name="snkeramik6x30">#REF!</definedName>
    <definedName name="snkeramiktangga10x20" localSheetId="3">#REF!</definedName>
    <definedName name="snkeramiktangga10x20">#REF!</definedName>
    <definedName name="snkeramiktangga10x25" localSheetId="3">#REF!</definedName>
    <definedName name="snkeramiktangga10x25">#REF!</definedName>
    <definedName name="snkeramiktangga10x30" localSheetId="3">#REF!</definedName>
    <definedName name="snkeramiktangga10x30">#REF!</definedName>
    <definedName name="snkeramiktangga10x33" localSheetId="3">#REF!</definedName>
    <definedName name="snkeramiktangga10x33">#REF!</definedName>
    <definedName name="SO" localSheetId="3">#REF!</definedName>
    <definedName name="SO">#REF!</definedName>
    <definedName name="SoapbasketTX2BV1B" localSheetId="3">#REF!</definedName>
    <definedName name="SoapbasketTX2BV1B">#REF!</definedName>
    <definedName name="SoapdispencerTS125R" localSheetId="3">#REF!</definedName>
    <definedName name="SoapdispencerTS125R">#REF!</definedName>
    <definedName name="soapholder" localSheetId="3">#REF!</definedName>
    <definedName name="soapholder">#REF!</definedName>
    <definedName name="SoapholderS6N" localSheetId="3">#REF!</definedName>
    <definedName name="SoapholderS6N">#REF!</definedName>
    <definedName name="soc3p" localSheetId="3">#REF!</definedName>
    <definedName name="soc3p">#REF!</definedName>
    <definedName name="Socket_gip_ø_1_2" localSheetId="3">#REF!</definedName>
    <definedName name="Socket_gip_ø_1_2">#REF!</definedName>
    <definedName name="Socket_gip_ø_3_4" localSheetId="3">#REF!</definedName>
    <definedName name="Socket_gip_ø_3_4">#REF!</definedName>
    <definedName name="Socket_pvc_ø_2__maspion_D" localSheetId="3">#REF!</definedName>
    <definedName name="Socket_pvc_ø_2__maspion_D">#REF!</definedName>
    <definedName name="Socket_pvc_ø_4__maspion_D" localSheetId="3">#REF!</definedName>
    <definedName name="Socket_pvc_ø_4__maspion_D">#REF!</definedName>
    <definedName name="socket1">[10]BAHAN!#REF!</definedName>
    <definedName name="socket2">[10]BAHAN!#REF!</definedName>
    <definedName name="socket2.5">[10]BAHAN!#REF!</definedName>
    <definedName name="SOCKET25">[54]BAHAN!$L$35</definedName>
    <definedName name="socket4">[10]BAHAN!#REF!</definedName>
    <definedName name="SOE">[40]Bahan!$M$52</definedName>
    <definedName name="Solar" localSheetId="3">#REF!</definedName>
    <definedName name="Solar">#REF!</definedName>
    <definedName name="sopir" localSheetId="3">#REF!</definedName>
    <definedName name="sopir">#REF!</definedName>
    <definedName name="Sopr" localSheetId="3">#REF!</definedName>
    <definedName name="Sopr">#REF!</definedName>
    <definedName name="sort" localSheetId="3" hidden="1">#REF!</definedName>
    <definedName name="sort" hidden="1">#REF!</definedName>
    <definedName name="SP" localSheetId="2">#REF!</definedName>
    <definedName name="sp" localSheetId="3">#REF!</definedName>
    <definedName name="SP" localSheetId="11">#REF!</definedName>
    <definedName name="SP">#REF!</definedName>
    <definedName name="Sp.36" localSheetId="3">#REF!</definedName>
    <definedName name="Sp.36">#REF!</definedName>
    <definedName name="Sp.37" localSheetId="3">#REF!</definedName>
    <definedName name="Sp.37">#REF!</definedName>
    <definedName name="Sp.38" localSheetId="3">#REF!</definedName>
    <definedName name="Sp.38">#REF!</definedName>
    <definedName name="Sp.39" localSheetId="3">#REF!</definedName>
    <definedName name="Sp.39">#REF!</definedName>
    <definedName name="Sp.39a" localSheetId="3">#REF!</definedName>
    <definedName name="Sp.39a">#REF!</definedName>
    <definedName name="Sp.39b" localSheetId="3">#REF!</definedName>
    <definedName name="Sp.39b">#REF!</definedName>
    <definedName name="Sp.41" localSheetId="3">#REF!</definedName>
    <definedName name="Sp.41">#REF!</definedName>
    <definedName name="Sp.42" localSheetId="3">#REF!</definedName>
    <definedName name="Sp.42">#REF!</definedName>
    <definedName name="Sp.43" localSheetId="3">#REF!</definedName>
    <definedName name="Sp.43">#REF!</definedName>
    <definedName name="Sp.LPP" localSheetId="3">#REF!</definedName>
    <definedName name="Sp.LPP">#REF!</definedName>
    <definedName name="Sp.vb2" localSheetId="3">#REF!</definedName>
    <definedName name="Sp.vb2">#REF!</definedName>
    <definedName name="Sp.vd11" localSheetId="3">#REF!</definedName>
    <definedName name="Sp.vd11">#REF!</definedName>
    <definedName name="Sp.vd12" localSheetId="3">#REF!</definedName>
    <definedName name="Sp.vd12">#REF!</definedName>
    <definedName name="Sp.vd13" localSheetId="3">#REF!</definedName>
    <definedName name="Sp.vd13">#REF!</definedName>
    <definedName name="Sp.vd14" localSheetId="3">#REF!</definedName>
    <definedName name="Sp.vd14">#REF!</definedName>
    <definedName name="Sp.vd15" localSheetId="3">#REF!</definedName>
    <definedName name="Sp.vd15">#REF!</definedName>
    <definedName name="Sp.vd2" localSheetId="3">#REF!</definedName>
    <definedName name="Sp.vd2">#REF!</definedName>
    <definedName name="Sp.vd3" localSheetId="3">#REF!</definedName>
    <definedName name="Sp.vd3">#REF!</definedName>
    <definedName name="Sp.vd4" localSheetId="3">#REF!</definedName>
    <definedName name="Sp.vd4">#REF!</definedName>
    <definedName name="Sp.vd5" localSheetId="3">#REF!</definedName>
    <definedName name="Sp.vd5">#REF!</definedName>
    <definedName name="Sp.vd6" localSheetId="3">#REF!</definedName>
    <definedName name="Sp.vd6">#REF!</definedName>
    <definedName name="Sp.vd7" localSheetId="3">#REF!</definedName>
    <definedName name="Sp.vd7">#REF!</definedName>
    <definedName name="Sp.ve1" localSheetId="3">#REF!</definedName>
    <definedName name="Sp.ve1">#REF!</definedName>
    <definedName name="Sp.Ve2" localSheetId="3">#REF!</definedName>
    <definedName name="Sp.Ve2">#REF!</definedName>
    <definedName name="Sp.ve3" localSheetId="3">#REF!</definedName>
    <definedName name="Sp.ve3">#REF!</definedName>
    <definedName name="Sp.ve5" localSheetId="3">#REF!</definedName>
    <definedName name="Sp.ve5">#REF!</definedName>
    <definedName name="Sp.ve6" localSheetId="3">#REF!</definedName>
    <definedName name="Sp.ve6">#REF!</definedName>
    <definedName name="Sp.ve7" localSheetId="3">#REF!</definedName>
    <definedName name="Sp.ve7">#REF!</definedName>
    <definedName name="Sp.ve8" localSheetId="3">#REF!</definedName>
    <definedName name="Sp.ve8">#REF!</definedName>
    <definedName name="Sp.vf2" localSheetId="3">#REF!</definedName>
    <definedName name="Sp.vf2">#REF!</definedName>
    <definedName name="Sp.vf4" localSheetId="3">#REF!</definedName>
    <definedName name="Sp.vf4">#REF!</definedName>
    <definedName name="Sp.vg1" localSheetId="3">#REF!</definedName>
    <definedName name="Sp.vg1">#REF!</definedName>
    <definedName name="Sp.vg2" localSheetId="3">#REF!</definedName>
    <definedName name="Sp.vg2">#REF!</definedName>
    <definedName name="Sp.vg3" localSheetId="3">#REF!</definedName>
    <definedName name="Sp.vg3">#REF!</definedName>
    <definedName name="Sp.vg4" localSheetId="3">#REF!</definedName>
    <definedName name="Sp.vg4">#REF!</definedName>
    <definedName name="Sp.vg5" localSheetId="3">#REF!</definedName>
    <definedName name="Sp.vg5">#REF!</definedName>
    <definedName name="Sp.vg6" localSheetId="3">#REF!</definedName>
    <definedName name="Sp.vg6">#REF!</definedName>
    <definedName name="Sp.vg8" localSheetId="3">#REF!</definedName>
    <definedName name="Sp.vg8">#REF!</definedName>
    <definedName name="Sp.vg9" localSheetId="3">#REF!</definedName>
    <definedName name="Sp.vg9">#REF!</definedName>
    <definedName name="Sp.VIIb" localSheetId="3">#REF!</definedName>
    <definedName name="Sp.VIIb">#REF!</definedName>
    <definedName name="sp_4" localSheetId="3">#REF!</definedName>
    <definedName name="sp_4">#REF!</definedName>
    <definedName name="spacer" localSheetId="3">#REF!</definedName>
    <definedName name="spacer">#REF!</definedName>
    <definedName name="SPAN_UTAMA">[10]BAHAN!#REF!</definedName>
    <definedName name="sparingPVC2.1\2" localSheetId="3">#REF!</definedName>
    <definedName name="sparingPVC2.1\2">#REF!</definedName>
    <definedName name="sparingPVC3" localSheetId="3">#REF!</definedName>
    <definedName name="sparingPVC3">#REF!</definedName>
    <definedName name="sparingPVC4" localSheetId="3">#REF!</definedName>
    <definedName name="sparingPVC4">#REF!</definedName>
    <definedName name="SpecialPrice" localSheetId="3" hidden="1">#REF!</definedName>
    <definedName name="SpecialPrice" hidden="1">#REF!</definedName>
    <definedName name="SPEMBA" localSheetId="2">#REF!</definedName>
    <definedName name="SPEMBA" localSheetId="3">#REF!</definedName>
    <definedName name="SPEMBA" localSheetId="11">'[12]1_boq'!#REF!</definedName>
    <definedName name="SPEMBA">'[12]1_boq'!#REF!</definedName>
    <definedName name="SPENING" localSheetId="2">#REF!</definedName>
    <definedName name="SPENING" localSheetId="3">#REF!</definedName>
    <definedName name="SPENING">'[12]1_boq'!#REF!</definedName>
    <definedName name="SPL" localSheetId="3">#REF!</definedName>
    <definedName name="SPL">#REF!</definedName>
    <definedName name="SPL.I.A">#N/A</definedName>
    <definedName name="SPL.I.B">#N/A</definedName>
    <definedName name="SPL.I.C">#N/A</definedName>
    <definedName name="SPL.II.A">#N/A</definedName>
    <definedName name="SPL.II.B">#N/A</definedName>
    <definedName name="SPL.II.C">#N/A</definedName>
    <definedName name="SPL.II.D">#N/A</definedName>
    <definedName name="SPL.II.E">#N/A</definedName>
    <definedName name="SPL.III.D">#N/A</definedName>
    <definedName name="SPL.III.E">#N/A</definedName>
    <definedName name="SPL.IIIA">#N/A</definedName>
    <definedName name="SPL.IIIB">#N/A</definedName>
    <definedName name="SPL.IIIC">#N/A</definedName>
    <definedName name="SPL.IV.A">#N/A</definedName>
    <definedName name="SPL.IV.B">#N/A</definedName>
    <definedName name="SPL.IV.C">#N/A</definedName>
    <definedName name="SPL.IV.D">#N/A</definedName>
    <definedName name="SPL.IV.E">#N/A</definedName>
    <definedName name="SPL.V.A">#N/A</definedName>
    <definedName name="SPL.V.B">#N/A</definedName>
    <definedName name="SPL.V.C">#N/A</definedName>
    <definedName name="SPL.V.D">#N/A</definedName>
    <definedName name="SPL.V.E">#N/A</definedName>
    <definedName name="SPL_6" localSheetId="3">#REF!</definedName>
    <definedName name="SPL_6">#REF!</definedName>
    <definedName name="SPL_8" localSheetId="3">#REF!</definedName>
    <definedName name="SPL_8">#REF!</definedName>
    <definedName name="SPL_8_6" localSheetId="3">#REF!</definedName>
    <definedName name="SPL_8_6">#REF!</definedName>
    <definedName name="split" localSheetId="3">#REF!</definedName>
    <definedName name="split">#REF!</definedName>
    <definedName name="split1.2" localSheetId="3">#REF!</definedName>
    <definedName name="split1.2">#REF!</definedName>
    <definedName name="split1x2" localSheetId="3">#REF!</definedName>
    <definedName name="split1x2">#REF!</definedName>
    <definedName name="split2.3" localSheetId="3">#REF!</definedName>
    <definedName name="split2.3">#REF!</definedName>
    <definedName name="split2x3" localSheetId="3">#REF!</definedName>
    <definedName name="split2x3">#REF!</definedName>
    <definedName name="split3x5" localSheetId="3">#REF!</definedName>
    <definedName name="split3x5">#REF!</definedName>
    <definedName name="split5x7" localSheetId="3">#REF!</definedName>
    <definedName name="split5x7">#REF!</definedName>
    <definedName name="SPLT" localSheetId="2">#REF!</definedName>
    <definedName name="SPLT" localSheetId="3">#REF!</definedName>
    <definedName name="SPLT">#REF!</definedName>
    <definedName name="spp" localSheetId="3" hidden="1">#REF!</definedName>
    <definedName name="spp" hidden="1">#REF!</definedName>
    <definedName name="SPRAYER" localSheetId="2">#REF!</definedName>
    <definedName name="SPRAYER" localSheetId="3">#REF!</definedName>
    <definedName name="SPRAYER">#REF!</definedName>
    <definedName name="spritus" localSheetId="3">#REF!</definedName>
    <definedName name="spritus">#REF!</definedName>
    <definedName name="SREHAB" localSheetId="2">#REF!</definedName>
    <definedName name="SREHAB" localSheetId="3">#REF!</definedName>
    <definedName name="SREHAB">'[12]1_boq'!#REF!</definedName>
    <definedName name="ss">#REF!</definedName>
    <definedName name="ss_1.2" localSheetId="3">#REF!</definedName>
    <definedName name="ss_1.2">#REF!</definedName>
    <definedName name="SSS" localSheetId="3">#REF!</definedName>
    <definedName name="SSS">#REF!</definedName>
    <definedName name="ssss" localSheetId="3">#REF!</definedName>
    <definedName name="ssss">#REF!</definedName>
    <definedName name="ST" localSheetId="3">#REF!</definedName>
    <definedName name="ST">#REF!</definedName>
    <definedName name="stairnzing" localSheetId="3">#REF!</definedName>
    <definedName name="stairnzing">#REF!</definedName>
    <definedName name="Stamper" localSheetId="3">#REF!</definedName>
    <definedName name="Stamper">#REF!</definedName>
    <definedName name="stanlagh" localSheetId="3">#REF!</definedName>
    <definedName name="stanlagh">#REF!</definedName>
    <definedName name="State" localSheetId="3">#REF!</definedName>
    <definedName name="State">#REF!</definedName>
    <definedName name="stater" localSheetId="3">#REF!</definedName>
    <definedName name="stater">#REF!</definedName>
    <definedName name="StayCMT75.016US32D" localSheetId="3">#REF!</definedName>
    <definedName name="StayCMT75.016US32D">#REF!</definedName>
    <definedName name="stayjendela\nonjasa" localSheetId="3">#REF!</definedName>
    <definedName name="stayjendela\nonjasa">#REF!</definedName>
    <definedName name="std1.5" localSheetId="3">#REF!</definedName>
    <definedName name="std1.5">#REF!</definedName>
    <definedName name="std2.5" localSheetId="3">#REF!</definedName>
    <definedName name="std2.5">#REF!</definedName>
    <definedName name="steel">'[44]WF '!#REF!</definedName>
    <definedName name="steelformwork" localSheetId="3">#REF!</definedName>
    <definedName name="steelformwork">#REF!</definedName>
    <definedName name="steelrailing" localSheetId="3">#REF!</definedName>
    <definedName name="steelrailing">#REF!</definedName>
    <definedName name="step_nosing" localSheetId="3">#REF!</definedName>
    <definedName name="step_nosing">#REF!</definedName>
    <definedName name="stmix175" localSheetId="3">#REF!</definedName>
    <definedName name="stmix175">#REF!</definedName>
    <definedName name="stmix225" localSheetId="3">#REF!</definedName>
    <definedName name="stmix225">#REF!</definedName>
    <definedName name="stone">#REF!</definedName>
    <definedName name="STONECRUSHER" localSheetId="2">#REF!</definedName>
    <definedName name="STONECRUSHER" localSheetId="3">#REF!</definedName>
    <definedName name="STONECRUSHER" localSheetId="11">#REF!</definedName>
    <definedName name="STONECRUSHER">#REF!</definedName>
    <definedName name="Stonework" localSheetId="3">#REF!</definedName>
    <definedName name="Stonework">#REF!</definedName>
    <definedName name="stoot" localSheetId="3">#REF!</definedName>
    <definedName name="stoot">#REF!</definedName>
    <definedName name="stootW" localSheetId="3">#REF!</definedName>
    <definedName name="stootW">#REF!</definedName>
    <definedName name="stop.ac" localSheetId="3">#REF!</definedName>
    <definedName name="stop.ac">#REF!</definedName>
    <definedName name="stop.k" localSheetId="3">#REF!</definedName>
    <definedName name="stop.k">#REF!</definedName>
    <definedName name="Stop_kontak_sekualitas_broco" localSheetId="3">#REF!</definedName>
    <definedName name="Stop_kontak_sekualitas_broco">#REF!</definedName>
    <definedName name="Stop_kran_biasa" localSheetId="3">#REF!</definedName>
    <definedName name="Stop_kran_biasa">#REF!</definedName>
    <definedName name="Stop_kran_wasfhtafel" localSheetId="3">#REF!</definedName>
    <definedName name="Stop_kran_wasfhtafel">#REF!</definedName>
    <definedName name="stopkon" localSheetId="3">#REF!</definedName>
    <definedName name="stopkon">#REF!</definedName>
    <definedName name="STOPKONTAK" localSheetId="2">#REF!</definedName>
    <definedName name="stopkontak" localSheetId="3">#REF!</definedName>
    <definedName name="STOPKONTAK">#REF!</definedName>
    <definedName name="stopkran" localSheetId="3">#REF!</definedName>
    <definedName name="stopkran">#REF!</definedName>
    <definedName name="stopkran2" localSheetId="3">#REF!</definedName>
    <definedName name="stopkran2">#REF!</definedName>
    <definedName name="stopkran212" localSheetId="3">#REF!</definedName>
    <definedName name="stopkran212">#REF!</definedName>
    <definedName name="STOPKRAN34" localSheetId="3">#REF!</definedName>
    <definedName name="STOPKRAN34">#REF!</definedName>
    <definedName name="stopkran4" localSheetId="3">#REF!</definedName>
    <definedName name="stopkran4">#REF!</definedName>
    <definedName name="Stot__3___5__cm" localSheetId="3">#REF!</definedName>
    <definedName name="Stot__3___5__cm">#REF!</definedName>
    <definedName name="str">#REF!</definedName>
    <definedName name="stress">'[17]Upah&amp;Bahan'!$C$19</definedName>
    <definedName name="Stressing316" localSheetId="3">#REF!</definedName>
    <definedName name="Stressing316">#REF!</definedName>
    <definedName name="stressing400" localSheetId="3">#REF!</definedName>
    <definedName name="stressing400">#REF!</definedName>
    <definedName name="stressing405" localSheetId="3">#REF!</definedName>
    <definedName name="stressing405">#REF!</definedName>
    <definedName name="stressingdia316" localSheetId="3">#REF!</definedName>
    <definedName name="stressingdia316">#REF!</definedName>
    <definedName name="stressingdia400" localSheetId="3">#REF!</definedName>
    <definedName name="stressingdia400">#REF!</definedName>
    <definedName name="stressingdia405" localSheetId="3">#REF!</definedName>
    <definedName name="stressingdia405">#REF!</definedName>
    <definedName name="striping" localSheetId="3">#REF!</definedName>
    <definedName name="striping">#REF!</definedName>
    <definedName name="STRUKTUR" localSheetId="2">#REF!</definedName>
    <definedName name="STRUKTUR" localSheetId="3">#REF!</definedName>
    <definedName name="STRUKTUR">#REF!</definedName>
    <definedName name="Styropoam" localSheetId="3">#REF!</definedName>
    <definedName name="Styropoam">#REF!</definedName>
    <definedName name="subo" localSheetId="3">#REF!</definedName>
    <definedName name="subo">#REF!</definedName>
    <definedName name="subp" localSheetId="3">#REF!</definedName>
    <definedName name="subp">#REF!</definedName>
    <definedName name="Sukun" localSheetId="3">#REF!</definedName>
    <definedName name="Sukun">#REF!</definedName>
    <definedName name="SUM_G52_G83">[20]BOQ!$I$94</definedName>
    <definedName name="sumboq1" localSheetId="3">#REF!</definedName>
    <definedName name="sumboq1">#REF!</definedName>
    <definedName name="sumboq2" localSheetId="3">#REF!</definedName>
    <definedName name="sumboq2">#REF!</definedName>
    <definedName name="sumbq" localSheetId="3">#REF!</definedName>
    <definedName name="sumbq">#REF!</definedName>
    <definedName name="sumbq1" localSheetId="3">#REF!</definedName>
    <definedName name="sumbq1">#REF!</definedName>
    <definedName name="sumbq2" localSheetId="3">#REF!</definedName>
    <definedName name="sumbq2">#REF!</definedName>
    <definedName name="Sumur__peresapan_air_kotor_dan_kotoran" localSheetId="3">#REF!</definedName>
    <definedName name="Sumur__peresapan_air_kotor_dan_kotoran">#REF!</definedName>
    <definedName name="Sumurgali" localSheetId="3">#REF!</definedName>
    <definedName name="Sumurgali">#REF!</definedName>
    <definedName name="sunloid" localSheetId="3">#REF!</definedName>
    <definedName name="sunloid">#REF!</definedName>
    <definedName name="sup.4b">[10]ANALISA!#REF!</definedName>
    <definedName name="super" localSheetId="3">#REF!</definedName>
    <definedName name="super">#REF!</definedName>
    <definedName name="SUPIR">[10]UPAH!$K$21</definedName>
    <definedName name="SUPL.5C" localSheetId="3">#REF!</definedName>
    <definedName name="SUPL.5C">#REF!</definedName>
    <definedName name="SUPL.9" localSheetId="3">#REF!</definedName>
    <definedName name="SUPL.9">#REF!</definedName>
    <definedName name="SUPL.9A" localSheetId="3">#REF!</definedName>
    <definedName name="SUPL.9A">#REF!</definedName>
    <definedName name="SUPL.IV" localSheetId="2">[15]Anl!#REF!</definedName>
    <definedName name="SUPL.IV" localSheetId="3">[15]Anl!#REF!</definedName>
    <definedName name="SUPL.IV">[8]Anl!#REF!</definedName>
    <definedName name="Supl.IXa" localSheetId="3">#REF!</definedName>
    <definedName name="Supl.IXa">#REF!</definedName>
    <definedName name="Supl.IXb" localSheetId="3">#REF!</definedName>
    <definedName name="Supl.IXb">#REF!</definedName>
    <definedName name="SUPL.V" localSheetId="2">[15]Anl!#REF!</definedName>
    <definedName name="SUPL.V" localSheetId="3">[15]Anl!#REF!</definedName>
    <definedName name="SUPL.V">[8]Anl!#REF!</definedName>
    <definedName name="SUPL.VA" localSheetId="2">#REF!</definedName>
    <definedName name="SUPL.VA" localSheetId="3">#REF!</definedName>
    <definedName name="SUPL.VA" localSheetId="11">#REF!</definedName>
    <definedName name="SUPL.VA">#REF!</definedName>
    <definedName name="SUPL.VB" localSheetId="2">#REF!</definedName>
    <definedName name="SUPL.VB" localSheetId="3">#REF!</definedName>
    <definedName name="SUPL.VB">#REF!</definedName>
    <definedName name="SUPL.VC" localSheetId="3">#REF!</definedName>
    <definedName name="SUPL.VC">#REF!</definedName>
    <definedName name="SUPL.VD" localSheetId="3">#REF!</definedName>
    <definedName name="SUPL.VD">#REF!</definedName>
    <definedName name="SUPL.VE" localSheetId="3">#REF!</definedName>
    <definedName name="SUPL.VE">#REF!</definedName>
    <definedName name="SUPL.VF" localSheetId="3">#REF!</definedName>
    <definedName name="SUPL.VF">#REF!</definedName>
    <definedName name="SUPL.VG" localSheetId="3">#REF!</definedName>
    <definedName name="SUPL.VG">#REF!</definedName>
    <definedName name="SUPL.VH" localSheetId="3">#REF!</definedName>
    <definedName name="SUPL.VH">#REF!</definedName>
    <definedName name="SUPL.VIII" localSheetId="2">[15]Anl!#REF!</definedName>
    <definedName name="SUPL.VIII" localSheetId="3">[15]Anl!#REF!</definedName>
    <definedName name="SUPL.VIII">[8]Anl!#REF!</definedName>
    <definedName name="SUPL.X" localSheetId="3">#REF!</definedName>
    <definedName name="SUPL.X">#REF!</definedName>
    <definedName name="SUPL.XI" localSheetId="3">#REF!</definedName>
    <definedName name="SUPL.XI">#REF!</definedName>
    <definedName name="Supl_IVb">[10]ANALISA!#REF!</definedName>
    <definedName name="SUPL_V">[24]Analisa!$L$321</definedName>
    <definedName name="supl_viii">[10]ANALISA!#REF!</definedName>
    <definedName name="survey" localSheetId="3">#REF!</definedName>
    <definedName name="survey">#REF!</definedName>
    <definedName name="SW" localSheetId="2" hidden="1">{"'Sheet1'!$A$1"}</definedName>
    <definedName name="SW" localSheetId="3" hidden="1">{"'Sheet1'!$A$1"}</definedName>
    <definedName name="SW" hidden="1">{"'Sheet1'!$A$1"}</definedName>
    <definedName name="swnat">#REF!</definedName>
    <definedName name="t">#REF!</definedName>
    <definedName name="t.dos" localSheetId="3">#REF!</definedName>
    <definedName name="t.dos">#REF!</definedName>
    <definedName name="t.sabun" localSheetId="3">#REF!</definedName>
    <definedName name="t.sabun">#REF!</definedName>
    <definedName name="t101p" localSheetId="3">#REF!</definedName>
    <definedName name="t101p">#REF!</definedName>
    <definedName name="t103p" localSheetId="3">#REF!</definedName>
    <definedName name="t103p">#REF!</definedName>
    <definedName name="t10nc1p" localSheetId="3">#REF!</definedName>
    <definedName name="t10nc1p">#REF!</definedName>
    <definedName name="t10vl1p" localSheetId="3">#REF!</definedName>
    <definedName name="t10vl1p">#REF!</definedName>
    <definedName name="t121p" localSheetId="3">#REF!</definedName>
    <definedName name="t121p">#REF!</definedName>
    <definedName name="t123p" localSheetId="3">#REF!</definedName>
    <definedName name="t123p">#REF!</definedName>
    <definedName name="t141p" localSheetId="3">#REF!</definedName>
    <definedName name="t141p">#REF!</definedName>
    <definedName name="t143p" localSheetId="3">#REF!</definedName>
    <definedName name="t143p">#REF!</definedName>
    <definedName name="t14nc3p" localSheetId="3">#REF!</definedName>
    <definedName name="t14nc3p">#REF!</definedName>
    <definedName name="t14vl3p" localSheetId="3">#REF!</definedName>
    <definedName name="t14vl3p">#REF!</definedName>
    <definedName name="T205MCB" localSheetId="3">#REF!</definedName>
    <definedName name="T205MCB">#REF!</definedName>
    <definedName name="T60S" localSheetId="3">#REF!</definedName>
    <definedName name="T60S">#REF!</definedName>
    <definedName name="T62.16" localSheetId="3">#REF!</definedName>
    <definedName name="T62.16">#REF!</definedName>
    <definedName name="T64CW" localSheetId="3">#REF!</definedName>
    <definedName name="T64CW">#REF!</definedName>
    <definedName name="T6PV1" localSheetId="3">#REF!</definedName>
    <definedName name="T6PV1">#REF!</definedName>
    <definedName name="t6r" localSheetId="2" hidden="1">{"'Sheet1'!$A$1"}</definedName>
    <definedName name="t6r" localSheetId="3" hidden="1">{"'Sheet1'!$A$1"}</definedName>
    <definedName name="t6r" hidden="1">{"'Sheet1'!$A$1"}</definedName>
    <definedName name="tabel">#REF!</definedName>
    <definedName name="TABEL1" localSheetId="3">#REF!</definedName>
    <definedName name="TABEL1">#REF!</definedName>
    <definedName name="tabelbln" localSheetId="3">#REF!</definedName>
    <definedName name="tabelbln">#REF!</definedName>
    <definedName name="Tackcoat" localSheetId="3">#REF!</definedName>
    <definedName name="Tackcoat">#REF!</definedName>
    <definedName name="tai" localSheetId="2" hidden="1">{"'Sheet1'!$A$1"}</definedName>
    <definedName name="tai" localSheetId="3" hidden="1">{"'Sheet1'!$A$1"}</definedName>
    <definedName name="tai" hidden="1">{"'Sheet1'!$A$1"}</definedName>
    <definedName name="talang">[10]ANALISA!#REF!</definedName>
    <definedName name="talangdtr\jr.zincalume">#REF!</definedName>
    <definedName name="talangpvc" localSheetId="3">#REF!</definedName>
    <definedName name="talangpvc">#REF!</definedName>
    <definedName name="talangvertikalPVC21\2" localSheetId="3">#REF!</definedName>
    <definedName name="talangvertikalPVC21\2">#REF!</definedName>
    <definedName name="talangvertikalPVC3" localSheetId="3">#REF!</definedName>
    <definedName name="talangvertikalPVC3">#REF!</definedName>
    <definedName name="talangvertikalPVC4" localSheetId="3">#REF!</definedName>
    <definedName name="talangvertikalPVC4">#REF!</definedName>
    <definedName name="tamper" localSheetId="2">#REF!</definedName>
    <definedName name="TAMPER" localSheetId="3">#REF!</definedName>
    <definedName name="TAMPER" localSheetId="11">#REF!</definedName>
    <definedName name="TAMPER">#REF!</definedName>
    <definedName name="tamu">'[35]Upah&amp;Bahan'!$C$62</definedName>
    <definedName name="TANAH" localSheetId="2">#REF!</definedName>
    <definedName name="TANAH" localSheetId="3">#REF!</definedName>
    <definedName name="TANAH">#REF!</definedName>
    <definedName name="tanah_urug" localSheetId="3">#REF!</definedName>
    <definedName name="tanah_urug">#REF!</definedName>
    <definedName name="tanahhu" localSheetId="3">#REF!</definedName>
    <definedName name="tanahhu">#REF!</definedName>
    <definedName name="tanahur" localSheetId="3">#REF!</definedName>
    <definedName name="tanahur">#REF!</definedName>
    <definedName name="Tandem">[64]rekap!$D$80</definedName>
    <definedName name="TandemRoller" localSheetId="2">#REF!</definedName>
    <definedName name="TandemRoller" localSheetId="3">#REF!</definedName>
    <definedName name="TANDEMROLLER">#REF!</definedName>
    <definedName name="tangga1" localSheetId="3">#REF!</definedName>
    <definedName name="tangga1">#REF!</definedName>
    <definedName name="tangga2" localSheetId="3">#REF!</definedName>
    <definedName name="tangga2">#REF!</definedName>
    <definedName name="tangga3" localSheetId="3">#REF!</definedName>
    <definedName name="tangga3">#REF!</definedName>
    <definedName name="tanggulbeton" localSheetId="3">#REF!</definedName>
    <definedName name="tanggulbeton">#REF!</definedName>
    <definedName name="tapak">[39]Analisis!#REF!</definedName>
    <definedName name="target">[41]INPUT!$E$14</definedName>
    <definedName name="TATIM" localSheetId="3">#REF!</definedName>
    <definedName name="TATIM">#REF!</definedName>
    <definedName name="tawg16" localSheetId="3">#REF!</definedName>
    <definedName name="tawg16">#REF!</definedName>
    <definedName name="tb" localSheetId="3">#REF!</definedName>
    <definedName name="tb">#REF!</definedName>
    <definedName name="tbasket" localSheetId="3">#REF!</definedName>
    <definedName name="tbasket">#REF!</definedName>
    <definedName name="tbendera" localSheetId="3">#REF!</definedName>
    <definedName name="tbendera">#REF!</definedName>
    <definedName name="tbesi" localSheetId="3">#REF!</definedName>
    <definedName name="tbesi">#REF!</definedName>
    <definedName name="tbhhj" localSheetId="2" hidden="1">{"'Sheet1'!$A$1"}</definedName>
    <definedName name="tbhhj" localSheetId="3" hidden="1">{"'Sheet1'!$A$1"}</definedName>
    <definedName name="tbhhj" hidden="1">{"'Sheet1'!$A$1"}</definedName>
    <definedName name="TBK.1\selasar">#REF!</definedName>
    <definedName name="TBK.2\selasar" localSheetId="3">#REF!</definedName>
    <definedName name="TBK.2\selasar">#REF!</definedName>
    <definedName name="tbl_ProdInfo" localSheetId="3" hidden="1">#REF!</definedName>
    <definedName name="tbl_ProdInfo" hidden="1">#REF!</definedName>
    <definedName name="tblorganisasi" localSheetId="3">#REF!</definedName>
    <definedName name="tblorganisasi">#REF!</definedName>
    <definedName name="TBS.1\selasar" localSheetId="3">#REF!</definedName>
    <definedName name="TBS.1\selasar">#REF!</definedName>
    <definedName name="tbsm5tl2x36" localSheetId="3">#REF!</definedName>
    <definedName name="tbsm5tl2x36">#REF!</definedName>
    <definedName name="tbsm5tl2x36nb" localSheetId="3">#REF!</definedName>
    <definedName name="tbsm5tl2x36nb">#REF!</definedName>
    <definedName name="tbstu" localSheetId="3">#REF!</definedName>
    <definedName name="tbstu">#REF!</definedName>
    <definedName name="tbtram" localSheetId="3">#REF!</definedName>
    <definedName name="tbtram">#REF!</definedName>
    <definedName name="TC" localSheetId="3">#REF!</definedName>
    <definedName name="TC">#REF!</definedName>
    <definedName name="TC_NHANH1" localSheetId="3">#REF!</definedName>
    <definedName name="TC_NHANH1">#REF!</definedName>
    <definedName name="tcat" localSheetId="3">#REF!</definedName>
    <definedName name="tcat">#REF!</definedName>
    <definedName name="td1p" localSheetId="3">#REF!</definedName>
    <definedName name="td1p">#REF!</definedName>
    <definedName name="td3p" localSheetId="3">#REF!</definedName>
    <definedName name="td3p">#REF!</definedName>
    <definedName name="tdnc1p" localSheetId="3">#REF!</definedName>
    <definedName name="tdnc1p">#REF!</definedName>
    <definedName name="tdtr2cnc" localSheetId="3">#REF!</definedName>
    <definedName name="tdtr2cnc">#REF!</definedName>
    <definedName name="tdtr2cvl" localSheetId="3">#REF!</definedName>
    <definedName name="tdtr2cvl">#REF!</definedName>
    <definedName name="tdvl1p" localSheetId="3">#REF!</definedName>
    <definedName name="tdvl1p">#REF!</definedName>
    <definedName name="teak" localSheetId="3">#REF!</definedName>
    <definedName name="teak">#REF!</definedName>
    <definedName name="teak.o" localSheetId="3">#REF!</definedName>
    <definedName name="teak.o">#REF!</definedName>
    <definedName name="Teakwood" localSheetId="3">#REF!</definedName>
    <definedName name="Teakwood">#REF!</definedName>
    <definedName name="teakwoodnormal" localSheetId="3">#REF!</definedName>
    <definedName name="teakwoodnormal">#REF!</definedName>
    <definedName name="team">'[35]Upah&amp;Bahan'!$C$68</definedName>
    <definedName name="Tee__gip__ø_3_4" localSheetId="3">#REF!</definedName>
    <definedName name="Tee__gip__ø_3_4">#REF!</definedName>
    <definedName name="Tee__pvc__ø_2___maspion_D" localSheetId="3">#REF!</definedName>
    <definedName name="Tee__pvc__ø_2___maspion_D">#REF!</definedName>
    <definedName name="Tee_gip__ø_1_2" localSheetId="3">#REF!</definedName>
    <definedName name="Tee_gip__ø_1_2">#REF!</definedName>
    <definedName name="Tee_pvc__ø_4___maspion_D" localSheetId="3">#REF!</definedName>
    <definedName name="Tee_pvc__ø_4___maspion_D">#REF!</definedName>
    <definedName name="tegel_semen_30x30">[40]Bahan!$M$95</definedName>
    <definedName name="tei" localSheetId="2" hidden="1">{"'Sheet1'!$A$1"}</definedName>
    <definedName name="tei" localSheetId="3" hidden="1">{"'Sheet1'!$A$1"}</definedName>
    <definedName name="tei" hidden="1">{"'Sheet1'!$A$1"}</definedName>
    <definedName name="tela">#REF!</definedName>
    <definedName name="TempatSabun">'[38]Analisa Harga Satuan'!$G$1847</definedName>
    <definedName name="TempatsabunS6N" localSheetId="3">#REF!</definedName>
    <definedName name="TempatsabunS6N">#REF!</definedName>
    <definedName name="TENDER" localSheetId="3">#REF!</definedName>
    <definedName name="TENDER">#REF!</definedName>
    <definedName name="tepas">[10]BAHAN!#REF!</definedName>
    <definedName name="ter">#REF!</definedName>
    <definedName name="Termisidaantirayap" localSheetId="3">#REF!</definedName>
    <definedName name="Termisidaantirayap">#REF!</definedName>
    <definedName name="terntang" localSheetId="3">#REF!</definedName>
    <definedName name="terntang">#REF!</definedName>
    <definedName name="TES" localSheetId="3">#REF!</definedName>
    <definedName name="TES">#REF!</definedName>
    <definedName name="TEST" localSheetId="2">#REF!</definedName>
    <definedName name="TEST" localSheetId="3">#REF!</definedName>
    <definedName name="test" hidden="1">'[90]GALIAN MEKANIS'!#REF!</definedName>
    <definedName name="testpile" localSheetId="3">#REF!</definedName>
    <definedName name="testpile">#REF!</definedName>
    <definedName name="tgali" localSheetId="3">#REF!</definedName>
    <definedName name="tgali">#REF!</definedName>
    <definedName name="tgl" localSheetId="2">#REF!</definedName>
    <definedName name="tgl" localSheetId="3">#REF!</definedName>
    <definedName name="tgl">#REF!</definedName>
    <definedName name="tgyf" localSheetId="3">#REF!</definedName>
    <definedName name="tgyf">#REF!</definedName>
    <definedName name="th" localSheetId="2" hidden="1">{"'Sheet1'!$A$1"}</definedName>
    <definedName name="th" localSheetId="3" hidden="1">{"'Sheet1'!$A$1"}</definedName>
    <definedName name="th" hidden="1">{"'Sheet1'!$A$1"}</definedName>
    <definedName name="theodolite">#REF!</definedName>
    <definedName name="ther" localSheetId="3">#REF!</definedName>
    <definedName name="ther">#REF!</definedName>
    <definedName name="Thetehan" localSheetId="3">#REF!</definedName>
    <definedName name="Thetehan">#REF!</definedName>
    <definedName name="THGO1pnc" localSheetId="3">#REF!</definedName>
    <definedName name="THGO1pnc">#REF!</definedName>
    <definedName name="thhj" localSheetId="2" hidden="1">{"'Sheet1'!$A$1"}</definedName>
    <definedName name="thhj" localSheetId="3" hidden="1">{"'Sheet1'!$A$1"}</definedName>
    <definedName name="thhj" hidden="1">{"'Sheet1'!$A$1"}</definedName>
    <definedName name="thht">#REF!</definedName>
    <definedName name="thinerA" localSheetId="3">#REF!</definedName>
    <definedName name="thinerA">#REF!</definedName>
    <definedName name="thinner" localSheetId="3">#REF!</definedName>
    <definedName name="thinner">#REF!</definedName>
    <definedName name="thkp3" localSheetId="3">#REF!</definedName>
    <definedName name="thkp3">#REF!</definedName>
    <definedName name="THREEWHEELROLLER" localSheetId="2">#REF!</definedName>
    <definedName name="THREEWHEELROLLER" localSheetId="3">#REF!</definedName>
    <definedName name="THREEWHEELROLLER" localSheetId="11">#REF!</definedName>
    <definedName name="THREEWHEELROLLER">#REF!</definedName>
    <definedName name="thtrj" localSheetId="2" hidden="1">{"'Sheet1'!$A$1"}</definedName>
    <definedName name="thtrj" localSheetId="3" hidden="1">{"'Sheet1'!$A$1"}</definedName>
    <definedName name="thtrj" hidden="1">{"'Sheet1'!$A$1"}</definedName>
    <definedName name="thtt">#REF!</definedName>
    <definedName name="TI" localSheetId="3">#REF!</definedName>
    <definedName name="TI">#REF!</definedName>
    <definedName name="tiang" localSheetId="3">#REF!</definedName>
    <definedName name="tiang">#REF!</definedName>
    <definedName name="tidak" localSheetId="3">#REF!</definedName>
    <definedName name="tidak">#REF!</definedName>
    <definedName name="tidf10" localSheetId="3">#REF!</definedName>
    <definedName name="tidf10">#REF!</definedName>
    <definedName name="tidf100" localSheetId="3">#REF!</definedName>
    <definedName name="tidf100">#REF!</definedName>
    <definedName name="tidf350" localSheetId="3">#REF!</definedName>
    <definedName name="tidf350">#REF!</definedName>
    <definedName name="TIE" localSheetId="3">#REF!</definedName>
    <definedName name="TIE">#REF!</definedName>
    <definedName name="TIMBUN" localSheetId="3">#REF!</definedName>
    <definedName name="TIMBUN">#REF!</definedName>
    <definedName name="TIMBUNAN" localSheetId="3">#REF!</definedName>
    <definedName name="timbunan">#REF!</definedName>
    <definedName name="timbunanpasir">[39]Analisis!#REF!</definedName>
    <definedName name="timbunantanah">[39]Analisis!#REF!</definedName>
    <definedName name="timbunantanahluar" localSheetId="3">#REF!</definedName>
    <definedName name="timbunantanahluar">#REF!</definedName>
    <definedName name="TIMSIR" localSheetId="3">#REF!</definedName>
    <definedName name="TIMSIR">#REF!</definedName>
    <definedName name="TIMTANAH" localSheetId="3">#REF!</definedName>
    <definedName name="TIMTANAH">#REF!</definedName>
    <definedName name="TireRoller" localSheetId="3">#REF!</definedName>
    <definedName name="TIREROLLER">#REF!</definedName>
    <definedName name="TISSUEDISPENCERtx8" localSheetId="3">#REF!</definedName>
    <definedName name="TISSUEDISPENCERtx8">#REF!</definedName>
    <definedName name="Titik_lampu" localSheetId="3">#REF!</definedName>
    <definedName name="Titik_lampu">#REF!</definedName>
    <definedName name="tjj" localSheetId="2" hidden="1">{"'Sheet1'!$A$1"}</definedName>
    <definedName name="tjj" localSheetId="3" hidden="1">{"'Sheet1'!$A$1"}</definedName>
    <definedName name="tjj" hidden="1">{"'Sheet1'!$A$1"}</definedName>
    <definedName name="tjuu" localSheetId="2" hidden="1">{"'Sheet1'!$A$1"}</definedName>
    <definedName name="tjuu" localSheetId="3" hidden="1">{"'Sheet1'!$A$1"}</definedName>
    <definedName name="tjuu" hidden="1">{"'Sheet1'!$A$1"}</definedName>
    <definedName name="tk">#REF!</definedName>
    <definedName name="Tk.Batu">#REF!</definedName>
    <definedName name="Tk.Gali" localSheetId="3">#REF!</definedName>
    <definedName name="Tk.Gali">#REF!</definedName>
    <definedName name="Tk.Kayu" localSheetId="3">#REF!</definedName>
    <definedName name="Tk.Kayu">#REF!</definedName>
    <definedName name="tk_batu" localSheetId="3">#REF!</definedName>
    <definedName name="tk_batu">#REF!</definedName>
    <definedName name="Tk_Batu_T">[74]Upah!$C$11</definedName>
    <definedName name="tk_besi" localSheetId="3">#REF!</definedName>
    <definedName name="tk_besi">#REF!</definedName>
    <definedName name="tk_cat" localSheetId="3">#REF!</definedName>
    <definedName name="tk_cat">#REF!</definedName>
    <definedName name="Tk_Cat_ST">[75]Upah!$D$19</definedName>
    <definedName name="tk_kayu" localSheetId="3">#REF!</definedName>
    <definedName name="tk_kayu">#REF!</definedName>
    <definedName name="tkayu" localSheetId="3">#REF!</definedName>
    <definedName name="tkayu">#REF!</definedName>
    <definedName name="TKG" localSheetId="3">#REF!</definedName>
    <definedName name="tkg">#REF!</definedName>
    <definedName name="tki" localSheetId="3">#REF!</definedName>
    <definedName name="tki">#REF!</definedName>
    <definedName name="tkitc10x2x0.6" localSheetId="3">#REF!</definedName>
    <definedName name="tkitc10x2x0.6">#REF!</definedName>
    <definedName name="tl" localSheetId="3">#REF!</definedName>
    <definedName name="tl">#REF!</definedName>
    <definedName name="tl.2x" localSheetId="3">#REF!</definedName>
    <definedName name="tl.2x">#REF!</definedName>
    <definedName name="tl1x18b" localSheetId="3">#REF!</definedName>
    <definedName name="tl1x18b">#REF!</definedName>
    <definedName name="tl1x18bnb" localSheetId="3">#REF!</definedName>
    <definedName name="tl1x18bnb">#REF!</definedName>
    <definedName name="tl1x18ep" localSheetId="3">#REF!</definedName>
    <definedName name="tl1x18ep">#REF!</definedName>
    <definedName name="tl1x18gmsnb" localSheetId="3">#REF!</definedName>
    <definedName name="tl1x18gmsnb">#REF!</definedName>
    <definedName name="tl1x18tki" localSheetId="3">#REF!</definedName>
    <definedName name="tl1x18tki">#REF!</definedName>
    <definedName name="tl1x18tkinb" localSheetId="3">#REF!</definedName>
    <definedName name="tl1x18tkinb">#REF!</definedName>
    <definedName name="tl1x18tko" localSheetId="3">#REF!</definedName>
    <definedName name="tl1x18tko">#REF!</definedName>
    <definedName name="tl1x18tkonb" localSheetId="3">#REF!</definedName>
    <definedName name="tl1x18tkonb">#REF!</definedName>
    <definedName name="tl1x36b" localSheetId="3">#REF!</definedName>
    <definedName name="tl1x36b">#REF!</definedName>
    <definedName name="tl1x36bimc" localSheetId="3">#REF!</definedName>
    <definedName name="tl1x36bimc">#REF!</definedName>
    <definedName name="tl1x36bnb" localSheetId="3">#REF!</definedName>
    <definedName name="tl1x36bnb">#REF!</definedName>
    <definedName name="tl1x36gmsnb" localSheetId="3">#REF!</definedName>
    <definedName name="tl1x36gmsnb">#REF!</definedName>
    <definedName name="tl1x36tbs" localSheetId="3">#REF!</definedName>
    <definedName name="tl1x36tbs">#REF!</definedName>
    <definedName name="tl1x36tbsnb" localSheetId="3">#REF!</definedName>
    <definedName name="tl1x36tbsnb">#REF!</definedName>
    <definedName name="tl1x36tki" localSheetId="3">#REF!</definedName>
    <definedName name="tl1x36tki">#REF!</definedName>
    <definedName name="tl1x36tkinb" localSheetId="3">#REF!</definedName>
    <definedName name="tl1x36tkinb">#REF!</definedName>
    <definedName name="tl1x36tko" localSheetId="3">#REF!</definedName>
    <definedName name="tl1x36tko">#REF!</definedName>
    <definedName name="tl1x36tkonb" localSheetId="3">#REF!</definedName>
    <definedName name="tl1x36tkonb">#REF!</definedName>
    <definedName name="tl2x18tbsm2" localSheetId="3">#REF!</definedName>
    <definedName name="tl2x18tbsm2">#REF!</definedName>
    <definedName name="tl2x36tbs" localSheetId="3">#REF!</definedName>
    <definedName name="tl2x36tbs">#REF!</definedName>
    <definedName name="tl2x36tbsnb" localSheetId="3">#REF!</definedName>
    <definedName name="tl2x36tbsnb">#REF!</definedName>
    <definedName name="tl2x36tki" localSheetId="3">#REF!</definedName>
    <definedName name="tl2x36tki">#REF!</definedName>
    <definedName name="tl2x36tkinb" localSheetId="3">#REF!</definedName>
    <definedName name="tl2x36tkinb">#REF!</definedName>
    <definedName name="tl2x36tko" localSheetId="3">#REF!</definedName>
    <definedName name="tl2x36tko">#REF!</definedName>
    <definedName name="tl2x36tkonb" localSheetId="3">#REF!</definedName>
    <definedName name="tl2x36tkonb">#REF!</definedName>
    <definedName name="tla2x18iac" localSheetId="3">#REF!</definedName>
    <definedName name="tla2x18iac">#REF!</definedName>
    <definedName name="tla2x18iacbimc" localSheetId="3">#REF!</definedName>
    <definedName name="tla2x18iacbimc">#REF!</definedName>
    <definedName name="TLAC120" localSheetId="3">#REF!</definedName>
    <definedName name="TLAC120">#REF!</definedName>
    <definedName name="TLAC35" localSheetId="3">#REF!</definedName>
    <definedName name="TLAC35">#REF!</definedName>
    <definedName name="TLAC50" localSheetId="3">#REF!</definedName>
    <definedName name="TLAC50">#REF!</definedName>
    <definedName name="TLAC70" localSheetId="3">#REF!</definedName>
    <definedName name="TLAC70">#REF!</definedName>
    <definedName name="TLAC95" localSheetId="3">#REF!</definedName>
    <definedName name="TLAC95">#REF!</definedName>
    <definedName name="tlas" localSheetId="3">#REF!</definedName>
    <definedName name="tlas">#REF!</definedName>
    <definedName name="tlb1x18" localSheetId="3">#REF!</definedName>
    <definedName name="tlb1x18">#REF!</definedName>
    <definedName name="tlb1x36" localSheetId="3">#REF!</definedName>
    <definedName name="tlb1x36">#REF!</definedName>
    <definedName name="tlb1x36bimc" localSheetId="3">#REF!</definedName>
    <definedName name="tlb1x36bimc">#REF!</definedName>
    <definedName name="tlb1x36w" localSheetId="3">#REF!</definedName>
    <definedName name="tlb1x36w">#REF!</definedName>
    <definedName name="tlbjls40" localSheetId="3">#REF!</definedName>
    <definedName name="tlbjls40">#REF!</definedName>
    <definedName name="tlbk1x36" localSheetId="3">#REF!</definedName>
    <definedName name="tlbk1x36">#REF!</definedName>
    <definedName name="tlbvs2x18" localSheetId="3">#REF!</definedName>
    <definedName name="tlbvs2x18">#REF!</definedName>
    <definedName name="tlbvs2x18bimc" localSheetId="3">#REF!</definedName>
    <definedName name="tlbvs2x18bimc">#REF!</definedName>
    <definedName name="tlc20bimc" localSheetId="3">#REF!</definedName>
    <definedName name="tlc20bimc">#REF!</definedName>
    <definedName name="tlgfbr" localSheetId="3">#REF!</definedName>
    <definedName name="tlgfbr">#REF!</definedName>
    <definedName name="tlgfbr2" localSheetId="3">#REF!</definedName>
    <definedName name="tlgfbr2">#REF!</definedName>
    <definedName name="tlgzyn" localSheetId="3">#REF!</definedName>
    <definedName name="tlgzyn">#REF!</definedName>
    <definedName name="tlidf250p" localSheetId="3">#REF!</definedName>
    <definedName name="tlidf250p">#REF!</definedName>
    <definedName name="tlistrik" localSheetId="3">#REF!</definedName>
    <definedName name="tlistrik">#REF!</definedName>
    <definedName name="tltko2x36" localSheetId="3">#REF!</definedName>
    <definedName name="tltko2x36">#REF!</definedName>
    <definedName name="tltko2x36bimc" localSheetId="3">#REF!</definedName>
    <definedName name="tltko2x36bimc">#REF!</definedName>
    <definedName name="tltl20nb" localSheetId="3">#REF!</definedName>
    <definedName name="tltl20nb">#REF!</definedName>
    <definedName name="tmptTGL">[23]INPUT!$E$16</definedName>
    <definedName name="tok" localSheetId="2">#REF!</definedName>
    <definedName name="tok" localSheetId="3">#REF!</definedName>
    <definedName name="tok">#REF!</definedName>
    <definedName name="TOTAL1">'[14]1st'!$AU$12:$AU$503</definedName>
    <definedName name="toto_A100" localSheetId="3">#REF!</definedName>
    <definedName name="toto_A100">#REF!</definedName>
    <definedName name="toto_L521V1A" localSheetId="3">#REF!</definedName>
    <definedName name="toto_L521V1A">#REF!</definedName>
    <definedName name="toto_LW230J" localSheetId="3">#REF!</definedName>
    <definedName name="toto_LW230J">#REF!</definedName>
    <definedName name="toto_S11N" localSheetId="3">#REF!</definedName>
    <definedName name="toto_S11N">#REF!</definedName>
    <definedName name="toto_S160V1" localSheetId="3">#REF!</definedName>
    <definedName name="toto_S160V1">#REF!</definedName>
    <definedName name="toto_T23B13" localSheetId="3">#REF!</definedName>
    <definedName name="toto_T23B13">#REF!</definedName>
    <definedName name="toto_T30ARQ13N" localSheetId="3">#REF!</definedName>
    <definedName name="toto_T30ARQ13N">#REF!</definedName>
    <definedName name="toto_TS119AS5" localSheetId="3">#REF!</definedName>
    <definedName name="toto_TS119AS5">#REF!</definedName>
    <definedName name="toto_TX1B" localSheetId="3">#REF!</definedName>
    <definedName name="toto_TX1B">#REF!</definedName>
    <definedName name="toto_TX403SV3" localSheetId="3">#REF!</definedName>
    <definedName name="toto_TX403SV3">#REF!</definedName>
    <definedName name="toto_TX4A" localSheetId="3">#REF!</definedName>
    <definedName name="toto_TX4A">#REF!</definedName>
    <definedName name="toto_U57M" localSheetId="3">#REF!</definedName>
    <definedName name="toto_U57M">#REF!</definedName>
    <definedName name="TowerbarTX5B" localSheetId="3">#REF!</definedName>
    <definedName name="TowerbarTX5B">#REF!</definedName>
    <definedName name="TowerringTS115S" localSheetId="3">#REF!</definedName>
    <definedName name="TowerringTS115S">#REF!</definedName>
    <definedName name="town_a" localSheetId="3">#REF!</definedName>
    <definedName name="town_a">#REF!</definedName>
    <definedName name="town_b" localSheetId="3">#REF!</definedName>
    <definedName name="town_b">#REF!</definedName>
    <definedName name="town_c" localSheetId="3">#REF!</definedName>
    <definedName name="town_c">#REF!</definedName>
    <definedName name="town_d" localSheetId="3">#REF!</definedName>
    <definedName name="town_d">#REF!</definedName>
    <definedName name="town_e" localSheetId="3">#REF!</definedName>
    <definedName name="town_e">#REF!</definedName>
    <definedName name="TP.1" localSheetId="3">#REF!</definedName>
    <definedName name="TP.1">#REF!</definedName>
    <definedName name="tp30.30" localSheetId="3">#REF!</definedName>
    <definedName name="tp30.30">#REF!</definedName>
    <definedName name="tp40.40" localSheetId="3">#REF!</definedName>
    <definedName name="tp40.40">#REF!</definedName>
    <definedName name="tplambing" localSheetId="3">#REF!</definedName>
    <definedName name="tplambing">#REF!</definedName>
    <definedName name="tpm" localSheetId="3">#REF!</definedName>
    <definedName name="tpm">#REF!</definedName>
    <definedName name="tr" localSheetId="3">#REF!</definedName>
    <definedName name="tr">#REF!</definedName>
    <definedName name="TR.HOLLOW" localSheetId="3">#REF!</definedName>
    <definedName name="TR.HOLLOW">#REF!</definedName>
    <definedName name="TRACKLOADER" localSheetId="2">#REF!</definedName>
    <definedName name="TRACKLOADER" localSheetId="3">#REF!</definedName>
    <definedName name="TRACKLOADER">#REF!</definedName>
    <definedName name="TRACKSTANG">[10]BAHAN!#REF!</definedName>
    <definedName name="TRAFEL">[54]BAHAN!$L$41</definedName>
    <definedName name="trafo" localSheetId="3">#REF!</definedName>
    <definedName name="trafo">#REF!</definedName>
    <definedName name="TRAILLER" localSheetId="2">#REF!</definedName>
    <definedName name="TRAILLER" localSheetId="3">#REF!</definedName>
    <definedName name="TRAILLER">#REF!</definedName>
    <definedName name="traktor">#REF!</definedName>
    <definedName name="tralishollow40\nonjasa" localSheetId="3">#REF!</definedName>
    <definedName name="tralishollow40\nonjasa">#REF!</definedName>
    <definedName name="travel">[10]BAHAN!#REF!</definedName>
    <definedName name="trd" localSheetId="3">#REF!</definedName>
    <definedName name="trd">#REF!</definedName>
    <definedName name="trhh" localSheetId="2" hidden="1">{"'Sheet1'!$A$1"}</definedName>
    <definedName name="trhh" localSheetId="3" hidden="1">{"'Sheet1'!$A$1"}</definedName>
    <definedName name="trhh" hidden="1">{"'Sheet1'!$A$1"}</definedName>
    <definedName name="TRI">#REF!</definedName>
    <definedName name="Triplek_Uk.2_2_mm" localSheetId="3">#REF!</definedName>
    <definedName name="Triplek_Uk.2_2_mm">#REF!</definedName>
    <definedName name="Triplek_Uk.3_0_mm" localSheetId="3">#REF!</definedName>
    <definedName name="Triplek_Uk.3_0_mm">#REF!</definedName>
    <definedName name="Triplek_Uk.4_0_mm" localSheetId="3">#REF!</definedName>
    <definedName name="Triplek_Uk.4_0_mm">#REF!</definedName>
    <definedName name="Triplek_Uk.6_0_mm" localSheetId="3">#REF!</definedName>
    <definedName name="Triplek_Uk.6_0_mm">#REF!</definedName>
    <definedName name="tripleks3" localSheetId="3">#REF!</definedName>
    <definedName name="tripleks3">#REF!</definedName>
    <definedName name="tripleks4" localSheetId="2">#REF!</definedName>
    <definedName name="tripleks4" localSheetId="3">#REF!</definedName>
    <definedName name="tripleks4">[10]BAHAN!#REF!</definedName>
    <definedName name="tripleks448" localSheetId="3">#REF!</definedName>
    <definedName name="tripleks448">#REF!</definedName>
    <definedName name="tripleks5" localSheetId="3">#REF!</definedName>
    <definedName name="tripleks5">#REF!</definedName>
    <definedName name="tripleks6" localSheetId="3">#REF!</definedName>
    <definedName name="tripleks6">#REF!</definedName>
    <definedName name="tripleks648" localSheetId="3">#REF!</definedName>
    <definedName name="tripleks648">#REF!</definedName>
    <definedName name="TRIX" localSheetId="3">#REF!</definedName>
    <definedName name="TRIX">#REF!</definedName>
    <definedName name="tro" localSheetId="3">#REF!</definedName>
    <definedName name="tro">#REF!</definedName>
    <definedName name="truck35ton">#REF!</definedName>
    <definedName name="trucktangki">#REF!</definedName>
    <definedName name="tryr" localSheetId="2" hidden="1">{"'Sheet1'!$A$1"}</definedName>
    <definedName name="tryr" localSheetId="3" hidden="1">{"'Sheet1'!$A$1"}</definedName>
    <definedName name="tryr" hidden="1">{"'Sheet1'!$A$1"}</definedName>
    <definedName name="TS">#REF!</definedName>
    <definedName name="TS126.AR" localSheetId="3">#REF!</definedName>
    <definedName name="TS126.AR">#REF!</definedName>
    <definedName name="TS126AR" localSheetId="3">#REF!</definedName>
    <definedName name="TS126AR">#REF!</definedName>
    <definedName name="TS251F" localSheetId="3">#REF!</definedName>
    <definedName name="TS251F">#REF!</definedName>
    <definedName name="TS251FT2N" localSheetId="3">#REF!</definedName>
    <definedName name="TS251FT2N">#REF!</definedName>
    <definedName name="tsabun" localSheetId="3">#REF!</definedName>
    <definedName name="tsabun">#REF!</definedName>
    <definedName name="tscb" localSheetId="3">#REF!</definedName>
    <definedName name="tscb">#REF!</definedName>
    <definedName name="tscs3w" localSheetId="3">#REF!</definedName>
    <definedName name="tscs3w">#REF!</definedName>
    <definedName name="tscs6w" localSheetId="3">#REF!</definedName>
    <definedName name="tscs6w">#REF!</definedName>
    <definedName name="tservice" localSheetId="3">#REF!</definedName>
    <definedName name="tservice">#REF!</definedName>
    <definedName name="tshs15" localSheetId="3">#REF!</definedName>
    <definedName name="tshs15">#REF!</definedName>
    <definedName name="tshs6w" localSheetId="3">#REF!</definedName>
    <definedName name="tshs6w">#REF!</definedName>
    <definedName name="tski" localSheetId="3">#REF!</definedName>
    <definedName name="tski">#REF!</definedName>
    <definedName name="tskie" localSheetId="3">#REF!</definedName>
    <definedName name="tskie">#REF!</definedName>
    <definedName name="tsnya2x1.5" localSheetId="3">#REF!</definedName>
    <definedName name="tsnya2x1.5">#REF!</definedName>
    <definedName name="tsnyafrc" localSheetId="3">#REF!</definedName>
    <definedName name="tsnyafrc">#REF!</definedName>
    <definedName name="tso" localSheetId="3">#REF!</definedName>
    <definedName name="tso">#REF!</definedName>
    <definedName name="tsubur" localSheetId="3">#REF!</definedName>
    <definedName name="tsubur">#REF!</definedName>
    <definedName name="TT" localSheetId="2" hidden="1">{"'Sheet1'!$A$1"}</definedName>
    <definedName name="TT" localSheetId="3" hidden="1">{"'Sheet1'!$A$1"}</definedName>
    <definedName name="TT" hidden="1">{"'Sheet1'!$A$1"}</definedName>
    <definedName name="TT_1P">#REF!</definedName>
    <definedName name="TT_3p" localSheetId="3">#REF!</definedName>
    <definedName name="TT_3p">#REF!</definedName>
    <definedName name="TTPASIEN">#N/A</definedName>
    <definedName name="ttronmk" localSheetId="3">#REF!</definedName>
    <definedName name="ttronmk">#REF!</definedName>
    <definedName name="ttttey" localSheetId="2" hidden="1">{"'Sheet1'!$A$1"}</definedName>
    <definedName name="ttttey" localSheetId="3" hidden="1">{"'Sheet1'!$A$1"}</definedName>
    <definedName name="ttttey" hidden="1">{"'Sheet1'!$A$1"}</definedName>
    <definedName name="tu">#REF!</definedName>
    <definedName name="TU37D" localSheetId="3">#REF!</definedName>
    <definedName name="TU37D">#REF!</definedName>
    <definedName name="TUCAH" localSheetId="2">#REF!</definedName>
    <definedName name="TUCAH" localSheetId="3">#REF!</definedName>
    <definedName name="TUCAH">#REF!</definedName>
    <definedName name="tukang" localSheetId="2">#REF!</definedName>
    <definedName name="tukang" localSheetId="3">#REF!</definedName>
    <definedName name="TUKANG">#REF!</definedName>
    <definedName name="tukangbatu" localSheetId="3">#REF!</definedName>
    <definedName name="tukangbatu">#REF!</definedName>
    <definedName name="tukangkayu" localSheetId="3">#REF!</definedName>
    <definedName name="tukangkayu">#REF!</definedName>
    <definedName name="Tukanglas">[36]cover!#REF!</definedName>
    <definedName name="tulang39" localSheetId="3">#REF!</definedName>
    <definedName name="tulang39">#REF!</definedName>
    <definedName name="tulangan">#REF!</definedName>
    <definedName name="TULI" localSheetId="2">#REF!</definedName>
    <definedName name="TULI" localSheetId="3">#REF!</definedName>
    <definedName name="TULI">#REF!</definedName>
    <definedName name="TUTA" localSheetId="3">#REF!</definedName>
    <definedName name="TUTA">#REF!</definedName>
    <definedName name="tutupmhsiku" localSheetId="3">#REF!</definedName>
    <definedName name="tutupmhsiku">#REF!</definedName>
    <definedName name="tutupu30x30" localSheetId="3">#REF!</definedName>
    <definedName name="tutupu30x30">#REF!</definedName>
    <definedName name="tutupu40x40" localSheetId="3">#REF!</definedName>
    <definedName name="tutupu40x40">#REF!</definedName>
    <definedName name="tutupu60x60" localSheetId="3">#REF!</definedName>
    <definedName name="tutupu60x60">#REF!</definedName>
    <definedName name="tutupu80x80" localSheetId="3">#REF!</definedName>
    <definedName name="tutupu80x80">#REF!</definedName>
    <definedName name="tv75nc" localSheetId="3">#REF!</definedName>
    <definedName name="tv75nc">#REF!</definedName>
    <definedName name="tv75vl" localSheetId="3">#REF!</definedName>
    <definedName name="tv75vl">#REF!</definedName>
    <definedName name="tvoly" localSheetId="3">#REF!</definedName>
    <definedName name="tvoly">#REF!</definedName>
    <definedName name="TW" localSheetId="3">#REF!</definedName>
    <definedName name="TW">#REF!</definedName>
    <definedName name="TX709.AN" localSheetId="3">#REF!</definedName>
    <definedName name="TX709.AN">#REF!</definedName>
    <definedName name="tyeman">'[17]Upah&amp;Bahan'!$U$205</definedName>
    <definedName name="TYPICAL_FLOOR___7_LEVEL" localSheetId="3">#REF!</definedName>
    <definedName name="TYPICAL_FLOOR___7_LEVEL">#REF!</definedName>
    <definedName name="tytu" localSheetId="2" hidden="1">{"'Sheet1'!$A$1"}</definedName>
    <definedName name="tytu" localSheetId="3" hidden="1">{"'Sheet1'!$A$1"}</definedName>
    <definedName name="tytu" hidden="1">{"'Sheet1'!$A$1"}</definedName>
    <definedName name="tyyy" localSheetId="2" hidden="1">{"'Sheet1'!$A$1"}</definedName>
    <definedName name="tyyy" localSheetId="3" hidden="1">{"'Sheet1'!$A$1"}</definedName>
    <definedName name="tyyy" hidden="1">{"'Sheet1'!$A$1"}</definedName>
    <definedName name="U.Angkutbesi">#REF!</definedName>
    <definedName name="U.Batu" localSheetId="3">#REF!</definedName>
    <definedName name="U.Batu">#REF!</definedName>
    <definedName name="U.Bekisting" localSheetId="3">#REF!</definedName>
    <definedName name="u.bekisting">#REF!</definedName>
    <definedName name="u.besi" localSheetId="3">#REF!</definedName>
    <definedName name="u.besi">#REF!</definedName>
    <definedName name="U.BongkarBkst" localSheetId="3">#REF!</definedName>
    <definedName name="U.BongkarBkst">#REF!</definedName>
    <definedName name="U.Conduit" localSheetId="3">#REF!</definedName>
    <definedName name="U.Conduit">#REF!</definedName>
    <definedName name="u.cor" localSheetId="3">#REF!</definedName>
    <definedName name="u.cor">#REF!</definedName>
    <definedName name="U.Cor1" localSheetId="3">#REF!</definedName>
    <definedName name="U.Cor1">#REF!</definedName>
    <definedName name="U.Cor2" localSheetId="3">#REF!</definedName>
    <definedName name="U.Cor2">#REF!</definedName>
    <definedName name="U.Curing" localSheetId="3">#REF!</definedName>
    <definedName name="U.Curing">#REF!</definedName>
    <definedName name="U.Gelarbase" localSheetId="3">#REF!</definedName>
    <definedName name="U.Gelarbase">#REF!</definedName>
    <definedName name="U.Gelarps" localSheetId="3">#REF!</definedName>
    <definedName name="U.Gelarps">#REF!</definedName>
    <definedName name="U.pabrikasibesi" localSheetId="3">#REF!</definedName>
    <definedName name="U.pabrikasibesi">#REF!</definedName>
    <definedName name="U.Siapcor" localSheetId="3">#REF!</definedName>
    <definedName name="U.Siapcor">#REF!</definedName>
    <definedName name="U.Stelbesi" localSheetId="3">#REF!</definedName>
    <definedName name="U.Stelbesi">#REF!</definedName>
    <definedName name="U_1" localSheetId="3">#REF!</definedName>
    <definedName name="U_1">#REF!</definedName>
    <definedName name="u30x30" localSheetId="3">#REF!</definedName>
    <definedName name="u30x30">#REF!</definedName>
    <definedName name="u40x40" localSheetId="3">#REF!</definedName>
    <definedName name="u40x40">#REF!</definedName>
    <definedName name="u52." localSheetId="3">#REF!</definedName>
    <definedName name="u52.">#REF!</definedName>
    <definedName name="u60x60" localSheetId="3">#REF!</definedName>
    <definedName name="u60x60">#REF!</definedName>
    <definedName name="u80x80" localSheetId="3">#REF!</definedName>
    <definedName name="u80x80">#REF!</definedName>
    <definedName name="ubekb" localSheetId="3">#REF!</definedName>
    <definedName name="ubekb">#REF!</definedName>
    <definedName name="ubekp" localSheetId="3">#REF!</definedName>
    <definedName name="ubekp">#REF!</definedName>
    <definedName name="ubesi" localSheetId="3">#REF!</definedName>
    <definedName name="ubesi">#REF!</definedName>
    <definedName name="ubeton" localSheetId="3">#REF!</definedName>
    <definedName name="ubeton">#REF!</definedName>
    <definedName name="Ubin_abu_abu_20x20_cm" localSheetId="3">#REF!</definedName>
    <definedName name="Ubin_abu_abu_20x20_cm">#REF!</definedName>
    <definedName name="Ubin_wafel__20x20_cm" localSheetId="3">#REF!</definedName>
    <definedName name="Ubin_wafel__20x20_cm">#REF!</definedName>
    <definedName name="ubin30x30">[39]Analisis!#REF!</definedName>
    <definedName name="ubinkeramik">[39]Analisis!#REF!</definedName>
    <definedName name="ubtkl" localSheetId="3">#REF!</definedName>
    <definedName name="ubtkl">#REF!</definedName>
    <definedName name="UCAT" localSheetId="3">#REF!</definedName>
    <definedName name="UCAT">#REF!</definedName>
    <definedName name="ucatplaf" localSheetId="3">#REF!</definedName>
    <definedName name="ucatplaf">#REF!</definedName>
    <definedName name="ucor" localSheetId="3">#REF!</definedName>
    <definedName name="ucor">#REF!</definedName>
    <definedName name="ugalex">#REF!</definedName>
    <definedName name="ugalm" localSheetId="3">#REF!</definedName>
    <definedName name="ugalm">#REF!</definedName>
    <definedName name="ugalsumur" localSheetId="3">#REF!</definedName>
    <definedName name="ugalsumur">#REF!</definedName>
    <definedName name="Ukatukang">'[41]U&amp;B'!$L$18</definedName>
    <definedName name="ukembali" localSheetId="3">#REF!</definedName>
    <definedName name="ukembali">#REF!</definedName>
    <definedName name="ukur" localSheetId="3">#REF!</definedName>
    <definedName name="ukur">#REF!</definedName>
    <definedName name="ulwp60" localSheetId="3">#REF!</definedName>
    <definedName name="ulwp60">#REF!</definedName>
    <definedName name="Umandor">'[23]U&amp;B'!$L$16</definedName>
    <definedName name="UMUM" localSheetId="2">#REF!</definedName>
    <definedName name="UMUM" localSheetId="3">#REF!</definedName>
    <definedName name="UMUM">[27]Informasi!$A$1:$N$81</definedName>
    <definedName name="UMUR">#REF!</definedName>
    <definedName name="undelen" localSheetId="3">#REF!</definedName>
    <definedName name="undelen">#REF!</definedName>
    <definedName name="unp" localSheetId="3">#REF!</definedName>
    <definedName name="unp">#REF!</definedName>
    <definedName name="UPAH" localSheetId="2">#REF!</definedName>
    <definedName name="UPAH" localSheetId="3">#REF!</definedName>
    <definedName name="Upah">[23]INPUT!$B$45</definedName>
    <definedName name="UPAH_BAHAN_CK" localSheetId="3">#REF!</definedName>
    <definedName name="UPAH_BAHAN_CK">#REF!</definedName>
    <definedName name="Upah_pasang_pipa_GI__ø_1_2" localSheetId="3">#REF!</definedName>
    <definedName name="Upah_pasang_pipa_GI__ø_1_2">#REF!</definedName>
    <definedName name="Upah_pasang_pipa_GI__ø_3_4" localSheetId="3">#REF!</definedName>
    <definedName name="Upah_pasang_pipa_GI__ø_3_4">#REF!</definedName>
    <definedName name="Upah_pasang_pipa_pvc__ø_2" localSheetId="3">#REF!</definedName>
    <definedName name="Upah_pasang_pipa_pvc__ø_2">#REF!</definedName>
    <definedName name="Upah_pasang_pipa_pvc__ø_4" localSheetId="3">#REF!</definedName>
    <definedName name="Upah_pasang_pipa_pvc__ø_4">#REF!</definedName>
    <definedName name="upahbetontulang" localSheetId="3">#REF!</definedName>
    <definedName name="upahbetontulang">#REF!</definedName>
    <definedName name="upahborfile" localSheetId="3">#REF!</definedName>
    <definedName name="upahborfile">#REF!</definedName>
    <definedName name="UPAHCAT" localSheetId="2">[15]Anl!#REF!</definedName>
    <definedName name="UPAHCAT" localSheetId="3">[15]Anl!#REF!</definedName>
    <definedName name="UPAHCAT">[8]Anl!#REF!</definedName>
    <definedName name="upahpasangkusen" localSheetId="3">#REF!</definedName>
    <definedName name="upahpasangkusen">#REF!</definedName>
    <definedName name="upahpolos">#REF!</definedName>
    <definedName name="upahulir">#REF!</definedName>
    <definedName name="upc" localSheetId="3">#REF!</definedName>
    <definedName name="upc">#REF!</definedName>
    <definedName name="Upekerja">'[41]U&amp;B'!$L$15</definedName>
    <definedName name="URAIAN" localSheetId="2">#REF!</definedName>
    <definedName name="URAIAN" localSheetId="3">#REF!</definedName>
    <definedName name="URAIAN">'[55]3-DIV2'!$A$1:$J$1101</definedName>
    <definedName name="Uraian_Pekerjaan" localSheetId="3">#REF!</definedName>
    <definedName name="Uraian_Pekerjaan">#REF!</definedName>
    <definedName name="URAIAN21" localSheetId="2">#REF!</definedName>
    <definedName name="URAIAN21" localSheetId="3">#REF!</definedName>
    <definedName name="URAIAN21">'[55]3-DIV2'!$A$1:$J$121</definedName>
    <definedName name="URAIAN22E" localSheetId="2">#REF!</definedName>
    <definedName name="URAIAN22E" localSheetId="3">#REF!</definedName>
    <definedName name="URAIAN22E">'[55]3-DIV2'!$A$122:$J$123</definedName>
    <definedName name="URAIAN22L" localSheetId="2">#REF!</definedName>
    <definedName name="URAIAN22L" localSheetId="3">#REF!</definedName>
    <definedName name="URAIAN22L">'[55]3-DIV2'!#REF!</definedName>
    <definedName name="URAIAN231" localSheetId="2">#REF!</definedName>
    <definedName name="URAIAN231" localSheetId="3">#REF!</definedName>
    <definedName name="URAIAN231">'[55]3-DIV2'!$A$124:$J$243</definedName>
    <definedName name="URAIAN232" localSheetId="2">#REF!</definedName>
    <definedName name="URAIAN232" localSheetId="3">#REF!</definedName>
    <definedName name="URAIAN232">'[55]3-DIV2'!$A$244:$J$363</definedName>
    <definedName name="URAIAN233" localSheetId="2">#REF!</definedName>
    <definedName name="URAIAN233" localSheetId="3">#REF!</definedName>
    <definedName name="URAIAN233">'[55]3-DIV2'!$A$364:$J$483</definedName>
    <definedName name="Uraian234" localSheetId="2">#REF!</definedName>
    <definedName name="Uraian234" localSheetId="3">#REF!</definedName>
    <definedName name="Uraian234">'[55]3-DIV2'!$A$484:$J$603</definedName>
    <definedName name="URAIAN234L" localSheetId="2">#REF!</definedName>
    <definedName name="URAIAN234L" localSheetId="3">#REF!</definedName>
    <definedName name="URAIAN234L">#REF!</definedName>
    <definedName name="Uraian235" localSheetId="2">#REF!</definedName>
    <definedName name="Uraian235" localSheetId="3">#REF!</definedName>
    <definedName name="Uraian235">'[55]3-DIV2'!$A$604:$J$854</definedName>
    <definedName name="Uraian236" localSheetId="2">#REF!</definedName>
    <definedName name="Uraian236" localSheetId="3">#REF!</definedName>
    <definedName name="Uraian236">'[55]3-DIV2'!$A$855:$J$973</definedName>
    <definedName name="URAIAN241" localSheetId="2">#REF!</definedName>
    <definedName name="URAIAN241" localSheetId="3">#REF!</definedName>
    <definedName name="URAIAN241">'[55]3-DIV2'!$A$974:$J$978</definedName>
    <definedName name="URAIAN242" localSheetId="2">#REF!</definedName>
    <definedName name="URAIAN242" localSheetId="3">#REF!</definedName>
    <definedName name="URAIAN242">'[55]3-DIV2'!$A$979:$J$1039</definedName>
    <definedName name="URAIAN243" localSheetId="2">#REF!</definedName>
    <definedName name="URAIAN243" localSheetId="3">#REF!</definedName>
    <definedName name="URAIAN243">'[55]3-DIV2'!$A$1040:$J$1101</definedName>
    <definedName name="Uraian311" localSheetId="2">'[57]3-DIV3'!$A$1:$J$120</definedName>
    <definedName name="Uraian311" localSheetId="3">'[57]3-DIV3'!$A$1:$J$120</definedName>
    <definedName name="Uraian311">'[56]3-DIV3'!$A$1:$J$120</definedName>
    <definedName name="Uraian312" localSheetId="2">'[57]3-DIV3'!$A$121:$J$240</definedName>
    <definedName name="Uraian312" localSheetId="3">'[57]3-DIV3'!$A$121:$J$240</definedName>
    <definedName name="Uraian312">'[56]3-DIV3'!$A$121:$J$240</definedName>
    <definedName name="Uraian313" localSheetId="2">#REF!</definedName>
    <definedName name="Uraian313" localSheetId="3">#REF!</definedName>
    <definedName name="Uraian313">'[56]3-DIV3'!$A$255:$J$374</definedName>
    <definedName name="Uraian314" localSheetId="2">#REF!</definedName>
    <definedName name="Uraian314" localSheetId="3">#REF!</definedName>
    <definedName name="Uraian314">'[56]3-DIV3'!$A$375:$J$494</definedName>
    <definedName name="Uraian315" localSheetId="2">#REF!</definedName>
    <definedName name="Uraian315" localSheetId="3">#REF!</definedName>
    <definedName name="Uraian315">'[56]3-DIV3'!$A$1766:$J$1885</definedName>
    <definedName name="URAIAN316">'[27]Div 3'!$A$139:$J$139</definedName>
    <definedName name="Uraian319" localSheetId="2">'[57]3-DIV3'!$A$1886:$J$1946</definedName>
    <definedName name="Uraian319" localSheetId="3">'[57]3-DIV3'!$A$1886:$J$1946</definedName>
    <definedName name="Uraian319">'[56]3-DIV3'!$A$1886:$J$1946</definedName>
    <definedName name="Uraian321" localSheetId="2">#REF!</definedName>
    <definedName name="Uraian321" localSheetId="3">#REF!</definedName>
    <definedName name="URAIAN321">'[27]Div 3'!$A$150:$J$345</definedName>
    <definedName name="Uraian322" localSheetId="2">#REF!</definedName>
    <definedName name="Uraian322" localSheetId="3">#REF!</definedName>
    <definedName name="Uraian322">'[56]3-DIV3'!$A$1947:$J$2127</definedName>
    <definedName name="URAIAN323" localSheetId="2">#REF!</definedName>
    <definedName name="URAIAN323" localSheetId="3">#REF!</definedName>
    <definedName name="Uraian323">'[56]3-DIV3'!$A$2128:$J$2306</definedName>
    <definedName name="URAIAN323L" localSheetId="2">#REF!</definedName>
    <definedName name="URAIAN323L" localSheetId="3">#REF!</definedName>
    <definedName name="URAIAN323L">#REF!</definedName>
    <definedName name="Uraian324" localSheetId="2">#REF!</definedName>
    <definedName name="Uraian324" localSheetId="3">#REF!</definedName>
    <definedName name="Uraian324">'[56]3-DIV3'!$A$2307:$J$2428</definedName>
    <definedName name="Uraian33" localSheetId="2">#REF!</definedName>
    <definedName name="Uraian33" localSheetId="3">#REF!</definedName>
    <definedName name="URAIAN33">'[48]G&amp;T'!#REF!</definedName>
    <definedName name="Uraian331" localSheetId="2">#REF!</definedName>
    <definedName name="Uraian331" localSheetId="3">#REF!</definedName>
    <definedName name="Uraian331">'[56]3-DIV3'!$A$2429:$J$2548</definedName>
    <definedName name="Uraian346" localSheetId="2">#REF!</definedName>
    <definedName name="Uraian346" localSheetId="3">#REF!</definedName>
    <definedName name="Uraian346">'[56]3-DIV3'!$A$2549:$J$2609</definedName>
    <definedName name="URAIAN421" localSheetId="2">#REF!</definedName>
    <definedName name="URAIAN421" localSheetId="3">#REF!</definedName>
    <definedName name="URAIAN421">'[58]3-DIV4'!$A$1:$J$179</definedName>
    <definedName name="URAIAN422" localSheetId="2">#REF!</definedName>
    <definedName name="URAIAN422" localSheetId="3">#REF!</definedName>
    <definedName name="URAIAN422">'[58]3-DIV4'!$A$180:$J$358</definedName>
    <definedName name="URAIAN423" localSheetId="2">#REF!</definedName>
    <definedName name="URAIAN423" localSheetId="3">#REF!</definedName>
    <definedName name="URAIAN423">'[58]3-DIV4'!$A$479:$J$717</definedName>
    <definedName name="URAIAN424" localSheetId="2">#REF!</definedName>
    <definedName name="URAIAN424" localSheetId="3">#REF!</definedName>
    <definedName name="URAIAN424">'[58]3-DIV4'!$A$359:$J$478</definedName>
    <definedName name="URAIAN425" localSheetId="2">#REF!</definedName>
    <definedName name="URAIAN425" localSheetId="3">#REF!</definedName>
    <definedName name="URAIAN425">'[58]3-DIV4'!$A$718:$J$896</definedName>
    <definedName name="URAIAN426" localSheetId="2">#REF!</definedName>
    <definedName name="URAIAN426" localSheetId="3">#REF!</definedName>
    <definedName name="URAIAN426">'[58]3-DIV4'!$A$897:$J$1016</definedName>
    <definedName name="URAIAN427" localSheetId="2">#REF!</definedName>
    <definedName name="URAIAN427" localSheetId="3">#REF!</definedName>
    <definedName name="URAIAN427">'[58]3-DIV4'!$A$1017:$J$1136</definedName>
    <definedName name="URAIAN511" localSheetId="2">'[59]3-DIV5'!$A$1:$J$179</definedName>
    <definedName name="URAIAN511" localSheetId="3">'[59]3-DIV5'!$A$1:$J$179</definedName>
    <definedName name="URAIAN511">'[60]3-DIV5'!$A$1:$J$179</definedName>
    <definedName name="URAIAN512" localSheetId="2">'[59]3-DIV5'!$A$180:$J$358</definedName>
    <definedName name="URAIAN512" localSheetId="3">'[59]3-DIV5'!$A$180:$J$358</definedName>
    <definedName name="URAIAN512">'[60]3-DIV5'!$A$180:$J$358</definedName>
    <definedName name="URAIAN521" localSheetId="2">'[59]3-DIV5'!$A$359:$J$537</definedName>
    <definedName name="URAIAN521" localSheetId="3">'[59]3-DIV5'!$A$359:$J$537</definedName>
    <definedName name="URAIAN521">'[60]3-DIV5'!$A$359:$J$537</definedName>
    <definedName name="URAIAN522" localSheetId="2">'[59]3-DIV5'!$A$3075:$J$3253</definedName>
    <definedName name="URAIAN522" localSheetId="3">'[59]3-DIV5'!$A$3075:$J$3253</definedName>
    <definedName name="URAIAN522">'[60]3-DIV5'!$A$3075:$J$3253</definedName>
    <definedName name="URAIAN541" localSheetId="2">'[59]3-DIV5'!$A$3254:$J$3373</definedName>
    <definedName name="URAIAN541" localSheetId="3">'[59]3-DIV5'!$A$3254:$J$3373</definedName>
    <definedName name="URAIAN541">'[60]3-DIV5'!$A$3254:$J$3373</definedName>
    <definedName name="URAIAN542" localSheetId="2">'[59]3-DIV5'!$A$3374:$J$3612</definedName>
    <definedName name="URAIAN542" localSheetId="3">'[59]3-DIV5'!$A$3374:$J$3612</definedName>
    <definedName name="URAIAN542">'[60]3-DIV5'!$A$3374:$J$3612</definedName>
    <definedName name="URAIAN55s" localSheetId="2">[48]Lapis!#REF!</definedName>
    <definedName name="URAIAN55s" localSheetId="3">[48]Lapis!#REF!</definedName>
    <definedName name="URAIAN55s">[48]Lapis!#REF!</definedName>
    <definedName name="URAIAN611" localSheetId="2">#REF!</definedName>
    <definedName name="URAIAN611" localSheetId="3">#REF!</definedName>
    <definedName name="URAIAN611">#REF!</definedName>
    <definedName name="URAIAN612" localSheetId="2">#REF!</definedName>
    <definedName name="URAIAN612" localSheetId="3">#REF!</definedName>
    <definedName name="URAIAN612">#REF!</definedName>
    <definedName name="URAIAN621" localSheetId="2">#REF!</definedName>
    <definedName name="URAIAN621" localSheetId="3">#REF!</definedName>
    <definedName name="URAIAN621">#REF!</definedName>
    <definedName name="URAIAN622" localSheetId="3">#REF!</definedName>
    <definedName name="URAIAN622">#REF!</definedName>
    <definedName name="URAIAN623" localSheetId="3">#REF!</definedName>
    <definedName name="URAIAN623">#REF!</definedName>
    <definedName name="URAIAN624" localSheetId="2">#REF!</definedName>
    <definedName name="URAIAN624" localSheetId="3">#REF!</definedName>
    <definedName name="URAIAN624">[61]ATB!#REF!</definedName>
    <definedName name="URAIAN631" localSheetId="2">#REF!</definedName>
    <definedName name="URAIAN631" localSheetId="3">#REF!</definedName>
    <definedName name="URAIAN631">#REF!</definedName>
    <definedName name="URAIAN632" localSheetId="2">#REF!</definedName>
    <definedName name="URAIAN632" localSheetId="3">#REF!</definedName>
    <definedName name="URAIAN632">#REF!</definedName>
    <definedName name="URAIAN633" localSheetId="2">#REF!</definedName>
    <definedName name="URAIAN633" localSheetId="3">#REF!</definedName>
    <definedName name="URAIAN633">#REF!</definedName>
    <definedName name="URAIAN634" localSheetId="3">#REF!</definedName>
    <definedName name="URAIAN634">#REF!</definedName>
    <definedName name="URAIAN635" localSheetId="3">#REF!</definedName>
    <definedName name="URAIAN635">#REF!</definedName>
    <definedName name="URAIAN635A" localSheetId="3">#REF!</definedName>
    <definedName name="URAIAN635A">#REF!</definedName>
    <definedName name="URAIAN636">#REF!</definedName>
    <definedName name="URAIAN641L" localSheetId="3">#REF!</definedName>
    <definedName name="URAIAN641L">#REF!</definedName>
    <definedName name="URAIAN642" localSheetId="3">#REF!</definedName>
    <definedName name="URAIAN642">#REF!</definedName>
    <definedName name="URAIAN65">#REF!</definedName>
    <definedName name="URAIAN651" localSheetId="2">#REF!</definedName>
    <definedName name="URAIAN651" localSheetId="3">#REF!</definedName>
    <definedName name="URAIAN651">[61]ATB!#REF!</definedName>
    <definedName name="URAIAN661" localSheetId="2">#REF!</definedName>
    <definedName name="URAIAN661" localSheetId="3">#REF!</definedName>
    <definedName name="URAIAN661">[61]ATB!#REF!</definedName>
    <definedName name="URAIAN662" localSheetId="2">#REF!</definedName>
    <definedName name="URAIAN662" localSheetId="3">#REF!</definedName>
    <definedName name="URAIAN662">[61]ATB!#REF!</definedName>
    <definedName name="URAIAN66PERATA" localSheetId="2">#REF!</definedName>
    <definedName name="URAIAN66PERATA" localSheetId="3">#REF!</definedName>
    <definedName name="URAIAN66PERATA">#REF!</definedName>
    <definedName name="URAIAN66PERMUKAAN" localSheetId="2">#REF!</definedName>
    <definedName name="URAIAN66PERMUKAAN" localSheetId="3">#REF!</definedName>
    <definedName name="URAIAN66PERMUKAAN">#REF!</definedName>
    <definedName name="URAIAN7101" localSheetId="2">#REF!</definedName>
    <definedName name="URAIAN7101" localSheetId="3">#REF!</definedName>
    <definedName name="URAIAN7101">#REF!</definedName>
    <definedName name="URAIAN7102" localSheetId="3">#REF!</definedName>
    <definedName name="URAIAN7102">#REF!</definedName>
    <definedName name="URAIAN7103" localSheetId="3">#REF!</definedName>
    <definedName name="URAIAN7103">#REF!</definedName>
    <definedName name="URAIAN711" localSheetId="3">#REF!</definedName>
    <definedName name="URAIAN711">#REF!</definedName>
    <definedName name="URAIAN712" localSheetId="3">#REF!</definedName>
    <definedName name="URAIAN712">#REF!</definedName>
    <definedName name="URAIAN713" localSheetId="3">#REF!</definedName>
    <definedName name="URAIAN713">#REF!</definedName>
    <definedName name="URAIAN714" localSheetId="3">#REF!</definedName>
    <definedName name="URAIAN714">#REF!</definedName>
    <definedName name="URAIAN715" localSheetId="3">#REF!</definedName>
    <definedName name="URAIAN715">#REF!</definedName>
    <definedName name="URAIAN716" localSheetId="3">#REF!</definedName>
    <definedName name="URAIAN716">#REF!</definedName>
    <definedName name="URAIAN717" localSheetId="3">#REF!</definedName>
    <definedName name="URAIAN717">#REF!</definedName>
    <definedName name="URAIAN718" localSheetId="3">#REF!</definedName>
    <definedName name="URAIAN718">#REF!</definedName>
    <definedName name="URAIAN721">#REF!</definedName>
    <definedName name="URAIAN731">#REF!</definedName>
    <definedName name="URAIAN732">#REF!</definedName>
    <definedName name="URAIAN733">#REF!</definedName>
    <definedName name="URAIAN734">#REF!</definedName>
    <definedName name="URAIAN735">#REF!</definedName>
    <definedName name="URAIAN73PL" localSheetId="2">#REF!</definedName>
    <definedName name="URAIAN73PL" localSheetId="3">#REF!</definedName>
    <definedName name="URAIAN73PL">'[27]Div 7'!#REF!</definedName>
    <definedName name="URAIAN73UL" localSheetId="2">#REF!</definedName>
    <definedName name="URAIAN73UL" localSheetId="3">#REF!</definedName>
    <definedName name="URAIAN73UL">'[27]Div 7'!#REF!</definedName>
    <definedName name="URAIAN744">#REF!</definedName>
    <definedName name="URAIAN745">#REF!</definedName>
    <definedName name="URAIAN751" localSheetId="2">#REF!</definedName>
    <definedName name="URAIAN751" localSheetId="3">#REF!</definedName>
    <definedName name="URAIAN751">'[62]K.175 - K.225'!#REF!</definedName>
    <definedName name="URAIAN752" localSheetId="2">#REF!</definedName>
    <definedName name="URAIAN752" localSheetId="3">#REF!</definedName>
    <definedName name="URAIAN752">'[62]K.175 - K.225'!#REF!</definedName>
    <definedName name="URAIAN753">'[62]K.175 - K.225'!#REF!</definedName>
    <definedName name="URAIAN7610" localSheetId="2">#REF!</definedName>
    <definedName name="URAIAN7610" localSheetId="3">#REF!</definedName>
    <definedName name="URAIAN7610">#REF!</definedName>
    <definedName name="URAIAN7611" localSheetId="2">#REF!</definedName>
    <definedName name="URAIAN7611" localSheetId="3">#REF!</definedName>
    <definedName name="URAIAN7611">'[27]Div 7'!#REF!</definedName>
    <definedName name="URAIAN7612" localSheetId="2">#REF!</definedName>
    <definedName name="URAIAN7612" localSheetId="3">#REF!</definedName>
    <definedName name="URAIAN7612">'[27]Div 7'!#REF!</definedName>
    <definedName name="URAIAN7612a" localSheetId="2">#REF!</definedName>
    <definedName name="URAIAN7612a" localSheetId="3">#REF!</definedName>
    <definedName name="URAIAN7612a">#REF!</definedName>
    <definedName name="URAIAN7612b" localSheetId="2">#REF!</definedName>
    <definedName name="URAIAN7612b" localSheetId="3">#REF!</definedName>
    <definedName name="URAIAN7612b">#REF!</definedName>
    <definedName name="URAIAN7612c">#REF!</definedName>
    <definedName name="URAIAN7613" localSheetId="2">#REF!</definedName>
    <definedName name="URAIAN7613" localSheetId="3">#REF!</definedName>
    <definedName name="URAIAN7613">'[27]Div 7'!#REF!</definedName>
    <definedName name="URAIAN7613a">#REF!</definedName>
    <definedName name="URAIAN7613b">#REF!</definedName>
    <definedName name="URAIAN7613c">#REF!</definedName>
    <definedName name="URAIAN7614" localSheetId="2">#REF!</definedName>
    <definedName name="URAIAN7614" localSheetId="3">#REF!</definedName>
    <definedName name="URAIAN7614">'[27]Div 7'!#REF!</definedName>
    <definedName name="URAIAN7614a">#REF!</definedName>
    <definedName name="URAIAN7614b">#REF!</definedName>
    <definedName name="URAIAN7614d">#REF!</definedName>
    <definedName name="URAIAN7614e">#REF!</definedName>
    <definedName name="URAIAN7615" localSheetId="2">#REF!</definedName>
    <definedName name="URAIAN7615" localSheetId="3">#REF!</definedName>
    <definedName name="URAIAN7615">'[27]Div 7'!#REF!</definedName>
    <definedName name="URAIAN7616" localSheetId="2">#REF!</definedName>
    <definedName name="URAIAN7616" localSheetId="3">#REF!</definedName>
    <definedName name="URAIAN7616">'[27]Div 7'!#REF!</definedName>
    <definedName name="URAIAN7617" localSheetId="2">#REF!</definedName>
    <definedName name="URAIAN7617" localSheetId="3">#REF!</definedName>
    <definedName name="URAIAN7617">'[27]Div 7'!#REF!</definedName>
    <definedName name="URAIAN7618" localSheetId="3">#REF!</definedName>
    <definedName name="URAIAN7618">#REF!</definedName>
    <definedName name="URAIAN7619" localSheetId="3">#REF!</definedName>
    <definedName name="URAIAN7619">#REF!</definedName>
    <definedName name="URAIAN7620" localSheetId="2">#REF!</definedName>
    <definedName name="URAIAN7620" localSheetId="3">#REF!</definedName>
    <definedName name="URAIAN7620">'[27]Div 7'!#REF!</definedName>
    <definedName name="URAIAN7621" localSheetId="2">#REF!</definedName>
    <definedName name="URAIAN7621" localSheetId="3">#REF!</definedName>
    <definedName name="URAIAN7621">'[27]Div 7'!#REF!</definedName>
    <definedName name="URAIAN7625" localSheetId="2">#REF!</definedName>
    <definedName name="URAIAN7625" localSheetId="3">#REF!</definedName>
    <definedName name="URAIAN7625">'[27]Div 7'!#REF!</definedName>
    <definedName name="URAIAN7626" localSheetId="2">#REF!</definedName>
    <definedName name="URAIAN7626" localSheetId="3">#REF!</definedName>
    <definedName name="URAIAN7626">'[27]Div 7'!#REF!</definedName>
    <definedName name="URAIAN767" localSheetId="2">#REF!</definedName>
    <definedName name="URAIAN767" localSheetId="3">#REF!</definedName>
    <definedName name="URAIAN767">'[27]Div 7'!#REF!</definedName>
    <definedName name="URAIAN768" localSheetId="3">#REF!</definedName>
    <definedName name="URAIAN768">#REF!</definedName>
    <definedName name="URAIAN769" localSheetId="3">#REF!</definedName>
    <definedName name="URAIAN769">#REF!</definedName>
    <definedName name="URAIAN76x" localSheetId="3">#REF!</definedName>
    <definedName name="URAIAN76x">#REF!</definedName>
    <definedName name="URAIAN771" localSheetId="2">#REF!</definedName>
    <definedName name="URAIAN771" localSheetId="3">#REF!</definedName>
    <definedName name="URAIAN771">'[27]Div 7'!#REF!</definedName>
    <definedName name="URAIAN771a">#REF!</definedName>
    <definedName name="URAIAN771b">#REF!</definedName>
    <definedName name="URAIAN771c">#REF!</definedName>
    <definedName name="URAIAN771d">#REF!</definedName>
    <definedName name="URAIAN772a">#REF!</definedName>
    <definedName name="URAIAN772b">#REF!</definedName>
    <definedName name="URAIAN772c">#REF!</definedName>
    <definedName name="URAIAN772d">#REF!</definedName>
    <definedName name="URAIAN775" localSheetId="2">#REF!</definedName>
    <definedName name="URAIAN775" localSheetId="3">#REF!</definedName>
    <definedName name="URAIAN775">'[27]Div 7'!#REF!</definedName>
    <definedName name="URAIAN79" localSheetId="2">#REF!</definedName>
    <definedName name="URAIAN79" localSheetId="3">#REF!</definedName>
    <definedName name="URAIAN79">'[27]Div 7'!#REF!</definedName>
    <definedName name="URAIAN79L" localSheetId="2">#REF!</definedName>
    <definedName name="URAIAN79L" localSheetId="3">#REF!</definedName>
    <definedName name="URAIAN79L">'[27]Div 7'!$A$11:$J$112</definedName>
    <definedName name="URAIAN79manual">#REF!</definedName>
    <definedName name="URAIAN79mekanis">#REF!</definedName>
    <definedName name="URAIAN811">#REF!</definedName>
    <definedName name="URAIAN812">#REF!</definedName>
    <definedName name="URAIAN813">#REF!</definedName>
    <definedName name="URAIAN814">#REF!</definedName>
    <definedName name="URAIAN815">#REF!</definedName>
    <definedName name="URAIAN817">#REF!</definedName>
    <definedName name="URAIAN818">#REF!</definedName>
    <definedName name="URAIAN819">#REF!</definedName>
    <definedName name="URAIAN82">#REF!</definedName>
    <definedName name="URAIAN83">'[27]Div 8'!#REF!</definedName>
    <definedName name="Uraian841">#REF!</definedName>
    <definedName name="Uraian8410">#REF!</definedName>
    <definedName name="Uraian842">#REF!</definedName>
    <definedName name="Uraian844">#REF!</definedName>
    <definedName name="Uraian845">#REF!</definedName>
    <definedName name="Uraian846">#REF!</definedName>
    <definedName name="Uraian847">#REF!</definedName>
    <definedName name="URAIAN910" localSheetId="3">#REF!</definedName>
    <definedName name="URAIAN910">#REF!</definedName>
    <definedName name="URAIAN911" localSheetId="3">#REF!</definedName>
    <definedName name="URAIAN911">#REF!</definedName>
    <definedName name="URAIAN912" localSheetId="3">#REF!</definedName>
    <definedName name="URAIAN912">#REF!</definedName>
    <definedName name="URAIAN913" localSheetId="3">#REF!</definedName>
    <definedName name="URAIAN913">#REF!</definedName>
    <definedName name="URAIAN914" localSheetId="3">#REF!</definedName>
    <definedName name="URAIAN914">#REF!</definedName>
    <definedName name="URAIAN915" localSheetId="3">#REF!</definedName>
    <definedName name="URAIAN915">#REF!</definedName>
    <definedName name="URAIAN916" localSheetId="3">#REF!</definedName>
    <definedName name="URAIAN916">#REF!</definedName>
    <definedName name="URAIAN917" localSheetId="3">#REF!</definedName>
    <definedName name="URAIAN917">#REF!</definedName>
    <definedName name="URAIAN918" localSheetId="3">#REF!</definedName>
    <definedName name="URAIAN918">#REF!</definedName>
    <definedName name="URAIAN919" localSheetId="3">#REF!</definedName>
    <definedName name="URAIAN919">#REF!</definedName>
    <definedName name="URAIAN920" localSheetId="3">#REF!</definedName>
    <definedName name="URAIAN920">#REF!</definedName>
    <definedName name="URAIAN94" localSheetId="3">#REF!</definedName>
    <definedName name="URAIAN94">#REF!</definedName>
    <definedName name="URAIAN95" localSheetId="3">#REF!</definedName>
    <definedName name="URAIAN95">#REF!</definedName>
    <definedName name="URAIAN96" localSheetId="3">#REF!</definedName>
    <definedName name="URAIAN96">#REF!</definedName>
    <definedName name="URAIAN97" localSheetId="3">#REF!</definedName>
    <definedName name="URAIAN97">#REF!</definedName>
    <definedName name="URAIAN98" localSheetId="3">#REF!</definedName>
    <definedName name="URAIAN98">#REF!</definedName>
    <definedName name="URAIAN99" localSheetId="3">#REF!</definedName>
    <definedName name="URAIAN99">#REF!</definedName>
    <definedName name="URAIANGEOTEKSTIL" localSheetId="3">#REF!</definedName>
    <definedName name="URAIANGEOTEKSTIL">#REF!</definedName>
    <definedName name="urin" localSheetId="3">#REF!</definedName>
    <definedName name="urin">#REF!</definedName>
    <definedName name="URINALU370M" localSheetId="3">#REF!</definedName>
    <definedName name="URINALU370M">#REF!</definedName>
    <definedName name="urinar" localSheetId="3">#REF!</definedName>
    <definedName name="urinar">#REF!</definedName>
    <definedName name="urinoir" localSheetId="3">#REF!</definedName>
    <definedName name="URINOIR" localSheetId="11">#REF!</definedName>
    <definedName name="URINOIR">#REF!</definedName>
    <definedName name="urugan" localSheetId="3">#REF!</definedName>
    <definedName name="urugan">#REF!</definedName>
    <definedName name="urugkembali">#REF!</definedName>
    <definedName name="URUGPASIR" localSheetId="3">#REF!</definedName>
    <definedName name="URUGPASIR">#REF!</definedName>
    <definedName name="US_6" localSheetId="3">#REF!</definedName>
    <definedName name="US_6">#REF!</definedName>
    <definedName name="usirtu" localSheetId="3">#REF!</definedName>
    <definedName name="usirtu">#REF!</definedName>
    <definedName name="UTAIAN7614c">#REF!</definedName>
    <definedName name="UTAMA" localSheetId="2">#REF!</definedName>
    <definedName name="UTAMA" localSheetId="3">#REF!</definedName>
    <definedName name="UTAMA" localSheetId="11">'[12]1_boq'!#REF!</definedName>
    <definedName name="UTAMA">'[12]1_boq'!#REF!</definedName>
    <definedName name="utanah" localSheetId="3">#REF!</definedName>
    <definedName name="utanah">#REF!</definedName>
    <definedName name="utd0.75" localSheetId="3">#REF!</definedName>
    <definedName name="utd0.75">#REF!</definedName>
    <definedName name="utd1.25" localSheetId="3">#REF!</definedName>
    <definedName name="utd1.25">#REF!</definedName>
    <definedName name="utd1.5" localSheetId="3">#REF!</definedName>
    <definedName name="utd1.5">#REF!</definedName>
    <definedName name="Utukang">'[41]U&amp;B'!$L$17</definedName>
    <definedName name="utul24" localSheetId="3">#REF!</definedName>
    <definedName name="utul24">#REF!</definedName>
    <definedName name="utul39" localSheetId="3">#REF!</definedName>
    <definedName name="utul39">#REF!</definedName>
    <definedName name="UU" localSheetId="2" hidden="1">{"'Sheet1'!$A$1"}</definedName>
    <definedName name="UU" localSheetId="3" hidden="1">{"'Sheet1'!$A$1"}</definedName>
    <definedName name="UU" hidden="1">{"'Sheet1'!$A$1"}</definedName>
    <definedName name="v">#REF!</definedName>
    <definedName name="V_A" localSheetId="3">#REF!</definedName>
    <definedName name="V_A">#REF!</definedName>
    <definedName name="V_B" localSheetId="3">#REF!</definedName>
    <definedName name="V_B">#REF!</definedName>
    <definedName name="V_C" localSheetId="3">#REF!</definedName>
    <definedName name="V_C">#REF!</definedName>
    <definedName name="V_D" localSheetId="3">#REF!</definedName>
    <definedName name="V_D">#REF!</definedName>
    <definedName name="VALVE" localSheetId="2">#REF!</definedName>
    <definedName name="VALVE" localSheetId="3">#REF!</definedName>
    <definedName name="VALVE" localSheetId="11">#REF!</definedName>
    <definedName name="VALVE">#REF!</definedName>
    <definedName name="vcd0.5" localSheetId="3">#REF!</definedName>
    <definedName name="vcd0.5">#REF!</definedName>
    <definedName name="vcd1.25" localSheetId="3">#REF!</definedName>
    <definedName name="vcd1.25">#REF!</definedName>
    <definedName name="vcd1.5" localSheetId="3">#REF!</definedName>
    <definedName name="vcd1.5">#REF!</definedName>
    <definedName name="vcd2.5" localSheetId="3">#REF!</definedName>
    <definedName name="vcd2.5">#REF!</definedName>
    <definedName name="VCHT" localSheetId="3">#REF!</definedName>
    <definedName name="VCHT">#REF!</definedName>
    <definedName name="VCTT" localSheetId="3">#REF!</definedName>
    <definedName name="VCTT">#REF!</definedName>
    <definedName name="vd3p" localSheetId="3">#REF!</definedName>
    <definedName name="vd3p">#REF!</definedName>
    <definedName name="VDrain" localSheetId="3">#REF!</definedName>
    <definedName name="VDrain">#REF!</definedName>
    <definedName name="vegetation" localSheetId="3">#REF!</definedName>
    <definedName name="vegetation">#REF!</definedName>
    <definedName name="VENTKAYU" localSheetId="2">#REF!</definedName>
    <definedName name="VENTKAYU" localSheetId="3">#REF!</definedName>
    <definedName name="VENTKAYU">#REF!</definedName>
    <definedName name="vertical" localSheetId="3">#REF!</definedName>
    <definedName name="vertical">#REF!</definedName>
    <definedName name="vgfhh" localSheetId="2" hidden="1">{"'Sheet1'!$A$1"}</definedName>
    <definedName name="vgfhh" localSheetId="3" hidden="1">{"'Sheet1'!$A$1"}</definedName>
    <definedName name="vgfhh" hidden="1">{"'Sheet1'!$A$1"}</definedName>
    <definedName name="VI">#REF!</definedName>
    <definedName name="Vibrator" localSheetId="3">#REF!</definedName>
    <definedName name="Vibrator">#REF!</definedName>
    <definedName name="Vibro" localSheetId="3">#REF!</definedName>
    <definedName name="Vibro">#REF!</definedName>
    <definedName name="vibro_roller" localSheetId="3">#REF!</definedName>
    <definedName name="vibro_roller">#REF!</definedName>
    <definedName name="vibro7">#REF!</definedName>
    <definedName name="VIBROROLLER" localSheetId="2">#REF!</definedName>
    <definedName name="VIBROROLLER" localSheetId="3">#REF!</definedName>
    <definedName name="VIBROROLLER">#REF!</definedName>
    <definedName name="VII_L1" localSheetId="3">#REF!</definedName>
    <definedName name="VII_L1">#REF!</definedName>
    <definedName name="VII_L2" localSheetId="3">#REF!</definedName>
    <definedName name="VII_L2">#REF!</definedName>
    <definedName name="VII_L3" localSheetId="3">#REF!</definedName>
    <definedName name="VII_L3">#REF!</definedName>
    <definedName name="VII_LATAP" localSheetId="3">#REF!</definedName>
    <definedName name="VII_LATAP">#REF!</definedName>
    <definedName name="VII_LD" localSheetId="3">#REF!</definedName>
    <definedName name="VII_LD">#REF!</definedName>
    <definedName name="Viniltajima" localSheetId="3">#REF!</definedName>
    <definedName name="Viniltajima">#REF!</definedName>
    <definedName name="vl1p" localSheetId="3">#REF!</definedName>
    <definedName name="vl1p">#REF!</definedName>
    <definedName name="vl3p" localSheetId="3">#REF!</definedName>
    <definedName name="vl3p">#REF!</definedName>
    <definedName name="vldn400" localSheetId="3">#REF!</definedName>
    <definedName name="vldn400">#REF!</definedName>
    <definedName name="vldn600" localSheetId="3">#REF!</definedName>
    <definedName name="vldn600">#REF!</definedName>
    <definedName name="vltram" localSheetId="3">#REF!</definedName>
    <definedName name="vltram">#REF!</definedName>
    <definedName name="Volume" localSheetId="3">#REF!</definedName>
    <definedName name="Volume">#REF!</definedName>
    <definedName name="volume3">#REF!</definedName>
    <definedName name="vr3p" localSheetId="3">#REF!</definedName>
    <definedName name="vr3p">#REF!</definedName>
    <definedName name="w" localSheetId="3">#REF!</definedName>
    <definedName name="W">#REF!</definedName>
    <definedName name="w.01">#REF!</definedName>
    <definedName name="w.02">#REF!</definedName>
    <definedName name="w.03a">#REF!</definedName>
    <definedName name="w.03b">#REF!</definedName>
    <definedName name="w.04">#REF!</definedName>
    <definedName name="w.05a">#REF!</definedName>
    <definedName name="w.05b">#REF!</definedName>
    <definedName name="W.1" localSheetId="3">#REF!</definedName>
    <definedName name="W.1">#REF!</definedName>
    <definedName name="W.1A" localSheetId="3">#REF!</definedName>
    <definedName name="W.1A">#REF!</definedName>
    <definedName name="W.2" localSheetId="3">#REF!</definedName>
    <definedName name="W.2">#REF!</definedName>
    <definedName name="W.3" localSheetId="3">#REF!</definedName>
    <definedName name="W.3">#REF!</definedName>
    <definedName name="W.3A" localSheetId="3">#REF!</definedName>
    <definedName name="W.3A">#REF!</definedName>
    <definedName name="W.4" localSheetId="3">#REF!</definedName>
    <definedName name="W.4">#REF!</definedName>
    <definedName name="W.5" localSheetId="3">#REF!</definedName>
    <definedName name="W.5">#REF!</definedName>
    <definedName name="W.5A" localSheetId="3">#REF!</definedName>
    <definedName name="W.5A">#REF!</definedName>
    <definedName name="W.7" localSheetId="3">#REF!</definedName>
    <definedName name="W.7">#REF!</definedName>
    <definedName name="W.7A" localSheetId="3">#REF!</definedName>
    <definedName name="W.7A">#REF!</definedName>
    <definedName name="w.m" localSheetId="3">#REF!</definedName>
    <definedName name="w.m">#REF!</definedName>
    <definedName name="w.stain" localSheetId="3">#REF!</definedName>
    <definedName name="w.stain">#REF!</definedName>
    <definedName name="WA" localSheetId="3">#REF!</definedName>
    <definedName name="WA">#REF!</definedName>
    <definedName name="WAFEL" localSheetId="3">#REF!</definedName>
    <definedName name="WAFEL">#REF!</definedName>
    <definedName name="wafel2020" localSheetId="3">#REF!</definedName>
    <definedName name="wafel2020">#REF!</definedName>
    <definedName name="wages" localSheetId="2">'[91]HARGA DASAR'!$C$5:$F$13</definedName>
    <definedName name="wages" localSheetId="3">'[91]HARGA DASAR'!$C$5:$F$13</definedName>
    <definedName name="wallpaper" localSheetId="3">#REF!</definedName>
    <definedName name="wallpaper">#REF!</definedName>
    <definedName name="waltrmoor" localSheetId="3">#REF!</definedName>
    <definedName name="waltrmoor">#REF!</definedName>
    <definedName name="wanita">'[35]Upah&amp;Bahan'!$C$56</definedName>
    <definedName name="warna" localSheetId="3">#REF!</definedName>
    <definedName name="warna">#REF!</definedName>
    <definedName name="washtafel" localSheetId="3">#REF!</definedName>
    <definedName name="washtafel">#REF!</definedName>
    <definedName name="WASTAFEL" localSheetId="2">#REF!</definedName>
    <definedName name="WASTAFEL" localSheetId="3">#REF!</definedName>
    <definedName name="Wastafel">'[38]Analisa Harga Satuan'!$G$1792</definedName>
    <definedName name="water.prof" localSheetId="3">#REF!</definedName>
    <definedName name="water.prof">#REF!</definedName>
    <definedName name="water_pump" localSheetId="3">#REF!</definedName>
    <definedName name="water_pump">#REF!</definedName>
    <definedName name="water_tank" localSheetId="3">#REF!</definedName>
    <definedName name="water_tank">#REF!</definedName>
    <definedName name="waterpass" localSheetId="3">#REF!</definedName>
    <definedName name="waterpass">#REF!</definedName>
    <definedName name="Waterprofingliquid" localSheetId="3">#REF!</definedName>
    <definedName name="Waterprofingliquid">#REF!</definedName>
    <definedName name="Waterprofingmembrane" localSheetId="3">#REF!</definedName>
    <definedName name="Waterprofingmembrane">#REF!</definedName>
    <definedName name="Waterproofliquit">'[38]Analisa Harga Satuan'!$G$2647</definedName>
    <definedName name="WATERPUMP" localSheetId="2">#REF!</definedName>
    <definedName name="WATERPUMP" localSheetId="3">#REF!</definedName>
    <definedName name="WATERPUMP" localSheetId="11">#REF!</definedName>
    <definedName name="WATERPUMP">#REF!</definedName>
    <definedName name="waterstop150" localSheetId="3">#REF!</definedName>
    <definedName name="waterstop150">#REF!</definedName>
    <definedName name="Watertank" localSheetId="3">#REF!</definedName>
    <definedName name="Watertank">#REF!</definedName>
    <definedName name="WATERTANKER" localSheetId="2">#REF!</definedName>
    <definedName name="WATERTANKER" localSheetId="3">#REF!</definedName>
    <definedName name="WATERTANKER">#REF!</definedName>
    <definedName name="WATON" localSheetId="3">#REF!</definedName>
    <definedName name="WATON">#REF!</definedName>
    <definedName name="WCD" localSheetId="3">#REF!</definedName>
    <definedName name="WCD">#REF!</definedName>
    <definedName name="WCJ" localSheetId="3">#REF!</definedName>
    <definedName name="WCJ">#REF!</definedName>
    <definedName name="wd.k" localSheetId="3">#REF!</definedName>
    <definedName name="wd.k">#REF!</definedName>
    <definedName name="WEAR">#REF!</definedName>
    <definedName name="wedus" localSheetId="3" hidden="1">#REF!</definedName>
    <definedName name="wedus" hidden="1">#REF!</definedName>
    <definedName name="wefger" localSheetId="2" hidden="1">{"'Sheet1'!$A$1"}</definedName>
    <definedName name="wefger" localSheetId="3" hidden="1">{"'Sheet1'!$A$1"}</definedName>
    <definedName name="wefger" hidden="1">{"'Sheet1'!$A$1"}</definedName>
    <definedName name="wesgantung">#REF!</definedName>
    <definedName name="wesmeja" localSheetId="3">#REF!</definedName>
    <definedName name="wesmeja">#REF!</definedName>
    <definedName name="wf">#REF!</definedName>
    <definedName name="wffqwfqwr">[14]BPS!#REF!</definedName>
    <definedName name="WFL237V1B" localSheetId="3">#REF!</definedName>
    <definedName name="WFL237V1B">#REF!</definedName>
    <definedName name="WFL521V1A" localSheetId="3">#REF!</definedName>
    <definedName name="WFL521V1A">#REF!</definedName>
    <definedName name="wfmem" localSheetId="3">#REF!</definedName>
    <definedName name="wfmem">#REF!</definedName>
    <definedName name="WHEELLOADER" localSheetId="2">#REF!</definedName>
    <definedName name="WHEELLOADER" localSheetId="3">#REF!</definedName>
    <definedName name="WHEELLOADER">#REF!</definedName>
    <definedName name="Whell_Roller" localSheetId="3">#REF!</definedName>
    <definedName name="Whell_Roller">#REF!</definedName>
    <definedName name="WIRE" localSheetId="3">#REF!</definedName>
    <definedName name="WIRE">#REF!</definedName>
    <definedName name="wire_mesh" localSheetId="3">#REF!</definedName>
    <definedName name="wire_mesh">#REF!</definedName>
    <definedName name="WIREM" localSheetId="3">#REF!</definedName>
    <definedName name="WIREM">#REF!</definedName>
    <definedName name="WIS" localSheetId="3">#REF!</definedName>
    <definedName name="WIS">#REF!</definedName>
    <definedName name="woodfiler" localSheetId="3">#REF!</definedName>
    <definedName name="woodfiler">#REF!</definedName>
    <definedName name="woodstand" localSheetId="3">#REF!</definedName>
    <definedName name="woodstand">#REF!</definedName>
    <definedName name="wp" localSheetId="3">#REF!</definedName>
    <definedName name="wp">#REF!</definedName>
    <definedName name="wp_1" localSheetId="3">#REF!</definedName>
    <definedName name="wp_1">#REF!</definedName>
    <definedName name="wp_c" localSheetId="3">#REF!</definedName>
    <definedName name="wp_c">#REF!</definedName>
    <definedName name="wqsa" hidden="1">#REF!</definedName>
    <definedName name="WR" localSheetId="3">#REF!</definedName>
    <definedName name="WR">#REF!</definedName>
    <definedName name="wstop">#REF!</definedName>
    <definedName name="wtc" localSheetId="3">#REF!</definedName>
    <definedName name="wtc">#REF!</definedName>
    <definedName name="WW" localSheetId="2" hidden="1">{"'Sheet1'!$A$1"}</definedName>
    <definedName name="WW" localSheetId="3" hidden="1">{"'Sheet1'!$A$1"}</definedName>
    <definedName name="WW" hidden="1">{"'Sheet1'!$A$1"}</definedName>
    <definedName name="X">#REF!</definedName>
    <definedName name="x1pind">#REF!</definedName>
    <definedName name="x1ping" localSheetId="3">#REF!</definedName>
    <definedName name="x1ping">#REF!</definedName>
    <definedName name="x1pint" localSheetId="3">#REF!</definedName>
    <definedName name="x1pint">#REF!</definedName>
    <definedName name="XCCT">0.5</definedName>
    <definedName name="xfco">#REF!</definedName>
    <definedName name="xfco3p" localSheetId="3">#REF!</definedName>
    <definedName name="xfco3p">#REF!</definedName>
    <definedName name="xfcotnc" localSheetId="3">#REF!</definedName>
    <definedName name="xfcotnc">#REF!</definedName>
    <definedName name="xfcotvl" localSheetId="3">#REF!</definedName>
    <definedName name="xfcotvl">#REF!</definedName>
    <definedName name="xhn" localSheetId="3">#REF!</definedName>
    <definedName name="xhn">#REF!</definedName>
    <definedName name="xig" localSheetId="3">#REF!</definedName>
    <definedName name="xig">#REF!</definedName>
    <definedName name="xig1" localSheetId="3">#REF!</definedName>
    <definedName name="xig1">#REF!</definedName>
    <definedName name="xig1p" localSheetId="3">#REF!</definedName>
    <definedName name="xig1p">#REF!</definedName>
    <definedName name="xig3p" localSheetId="3">#REF!</definedName>
    <definedName name="xig3p">#REF!</definedName>
    <definedName name="xignc3p" localSheetId="3">#REF!</definedName>
    <definedName name="xignc3p">#REF!</definedName>
    <definedName name="xigvl3p" localSheetId="3">#REF!</definedName>
    <definedName name="xigvl3p">#REF!</definedName>
    <definedName name="xin" localSheetId="3">#REF!</definedName>
    <definedName name="xin">#REF!</definedName>
    <definedName name="xin190" localSheetId="3">#REF!</definedName>
    <definedName name="xin190">#REF!</definedName>
    <definedName name="xin1903p" localSheetId="3">#REF!</definedName>
    <definedName name="xin1903p">#REF!</definedName>
    <definedName name="xin2903p" localSheetId="3">#REF!</definedName>
    <definedName name="xin2903p">#REF!</definedName>
    <definedName name="xin290nc3p" localSheetId="3">#REF!</definedName>
    <definedName name="xin290nc3p">#REF!</definedName>
    <definedName name="xin290vl3p" localSheetId="3">#REF!</definedName>
    <definedName name="xin290vl3p">#REF!</definedName>
    <definedName name="xin3p" localSheetId="3">#REF!</definedName>
    <definedName name="xin3p">#REF!</definedName>
    <definedName name="xind" localSheetId="3">#REF!</definedName>
    <definedName name="xind">#REF!</definedName>
    <definedName name="xind1p" localSheetId="3">#REF!</definedName>
    <definedName name="xind1p">#REF!</definedName>
    <definedName name="xind3p" localSheetId="3">#REF!</definedName>
    <definedName name="xind3p">#REF!</definedName>
    <definedName name="xindnc1p" localSheetId="3">#REF!</definedName>
    <definedName name="xindnc1p">#REF!</definedName>
    <definedName name="xindvl1p" localSheetId="3">#REF!</definedName>
    <definedName name="xindvl1p">#REF!</definedName>
    <definedName name="xing1p" localSheetId="3">#REF!</definedName>
    <definedName name="xing1p">#REF!</definedName>
    <definedName name="xingnc1p" localSheetId="3">#REF!</definedName>
    <definedName name="xingnc1p">#REF!</definedName>
    <definedName name="xingvl1p" localSheetId="3">#REF!</definedName>
    <definedName name="xingvl1p">#REF!</definedName>
    <definedName name="xinnc3p" localSheetId="3">#REF!</definedName>
    <definedName name="xinnc3p">#REF!</definedName>
    <definedName name="xint1p" localSheetId="3">#REF!</definedName>
    <definedName name="xint1p">#REF!</definedName>
    <definedName name="xinvl3p" localSheetId="3">#REF!</definedName>
    <definedName name="xinvl3p">#REF!</definedName>
    <definedName name="xit" localSheetId="3">#REF!</definedName>
    <definedName name="xit">#REF!</definedName>
    <definedName name="xit1" localSheetId="3">#REF!</definedName>
    <definedName name="xit1">#REF!</definedName>
    <definedName name="xit1p" localSheetId="3">#REF!</definedName>
    <definedName name="xit1p">#REF!</definedName>
    <definedName name="xit23p" localSheetId="3">#REF!</definedName>
    <definedName name="xit23p">#REF!</definedName>
    <definedName name="xit2nc3p" localSheetId="3">#REF!</definedName>
    <definedName name="xit2nc3p">#REF!</definedName>
    <definedName name="xit2vl3p" localSheetId="3">#REF!</definedName>
    <definedName name="xit2vl3p">#REF!</definedName>
    <definedName name="xit3p" localSheetId="3">#REF!</definedName>
    <definedName name="xit3p">#REF!</definedName>
    <definedName name="xitnc3p" localSheetId="3">#REF!</definedName>
    <definedName name="xitnc3p">#REF!</definedName>
    <definedName name="xitvl3p" localSheetId="3">#REF!</definedName>
    <definedName name="xitvl3p">#REF!</definedName>
    <definedName name="XSXXXXXXXXXXXX" localSheetId="2" hidden="1">[37]TJ1Q47!$G$7:$G$31</definedName>
    <definedName name="XSXXXXXXXXXXXX" localSheetId="3" hidden="1">[37]TJ1Q47!$G$7:$G$31</definedName>
    <definedName name="XX" localSheetId="3">#REF!</definedName>
    <definedName name="xx">#REF!</definedName>
    <definedName name="XXXXXXXXXXX" localSheetId="2" hidden="1">[37]TJ1Q47!$N$7:$N$31</definedName>
    <definedName name="XXXXXXXXXXX" localSheetId="3" hidden="1">[37]TJ1Q47!$N$7:$N$31</definedName>
    <definedName name="Y.Q" localSheetId="3">#REF!</definedName>
    <definedName name="Y.Q">#REF!</definedName>
    <definedName name="ya" localSheetId="3" hidden="1">#REF!</definedName>
    <definedName name="ya" hidden="1">#REF!</definedName>
    <definedName name="yayuk" localSheetId="3" hidden="1">#REF!</definedName>
    <definedName name="yayuk" hidden="1">#REF!</definedName>
    <definedName name="yee">'[17]Upah&amp;Bahan'!$C$18</definedName>
    <definedName name="ykk" localSheetId="2" hidden="1">{"'Sheet1'!$A$1"}</definedName>
    <definedName name="ykk" localSheetId="3" hidden="1">{"'Sheet1'!$A$1"}</definedName>
    <definedName name="ykk" hidden="1">{"'Sheet1'!$A$1"}</definedName>
    <definedName name="yky" localSheetId="2" hidden="1">{"'Sheet1'!$A$1"}</definedName>
    <definedName name="yky" localSheetId="3" hidden="1">{"'Sheet1'!$A$1"}</definedName>
    <definedName name="yky" hidden="1">{"'Sheet1'!$A$1"}</definedName>
    <definedName name="yo" hidden="1">#REF!</definedName>
    <definedName name="yu" localSheetId="3" hidden="1">#REF!</definedName>
    <definedName name="yu" hidden="1">#REF!</definedName>
    <definedName name="yu5u" localSheetId="2" hidden="1">{"'Sheet1'!$A$1"}</definedName>
    <definedName name="yu5u" localSheetId="3" hidden="1">{"'Sheet1'!$A$1"}</definedName>
    <definedName name="yu5u" hidden="1">{"'Sheet1'!$A$1"}</definedName>
    <definedName name="YY" localSheetId="2" hidden="1">{"'Sheet1'!$A$1"}</definedName>
    <definedName name="YY" localSheetId="3" hidden="1">{"'Sheet1'!$A$1"}</definedName>
    <definedName name="YY" hidden="1">{"'Sheet1'!$A$1"}</definedName>
    <definedName name="z">#REF!</definedName>
    <definedName name="Z_AEFAA9BC_77A3_4DB7_9FE7_A7F47A5E0AF8_.wvu.Rows" localSheetId="2" hidden="1">'[92]IN OUT'!$A$94:$IV$65536,'[92]IN OUT'!$A$5:$IV$93</definedName>
    <definedName name="Z_AEFAA9BC_77A3_4DB7_9FE7_A7F47A5E0AF8_.wvu.Rows" localSheetId="3" hidden="1">'[92]IN OUT'!$A$94:$IV$65536,'[92]IN OUT'!$A$5:$IV$93</definedName>
    <definedName name="Z_AEFAA9BC_77A3_4DB7_9FE7_A7F47A5E0AF8_.wvu.Rows" hidden="1">'[93]IN OUT'!$A$94:$IV$65536,'[93]IN OUT'!$A$5:$IV$93</definedName>
    <definedName name="zebo.2" localSheetId="3">#REF!</definedName>
    <definedName name="zebo.2">#REF!</definedName>
    <definedName name="zebo.3" localSheetId="3">#REF!</definedName>
    <definedName name="zebo.3">#REF!</definedName>
    <definedName name="zinc">[86]BAHAN!$N$27</definedName>
    <definedName name="zincalum" localSheetId="3">#REF!</definedName>
    <definedName name="zincalum">#REF!</definedName>
    <definedName name="zinchcomat" localSheetId="3">#REF!</definedName>
    <definedName name="zinchcomat">#REF!</definedName>
    <definedName name="zinkdp" localSheetId="3">#REF!</definedName>
    <definedName name="zinkdp">#REF!</definedName>
    <definedName name="zinklab" localSheetId="3">#REF!</definedName>
    <definedName name="zinklab">#REF!</definedName>
    <definedName name="ZinkSK508" localSheetId="3">#REF!</definedName>
    <definedName name="ZinkSK508">#REF!</definedName>
    <definedName name="Zip" localSheetId="3">#REF!</definedName>
    <definedName name="Zip">#REF!</definedName>
    <definedName name="zxf" localSheetId="2" hidden="1">{"'Sheet1'!$A$1"}</definedName>
    <definedName name="zxf" localSheetId="3" hidden="1">{"'Sheet1'!$A$1"}</definedName>
    <definedName name="zxf" hidden="1">{"'Sheet1'!$A$1"}</definedName>
    <definedName name="zzz" hidden="1">#REF!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106" i="351" l="1"/>
  <c r="N106" i="351" s="1"/>
  <c r="L106" i="351"/>
  <c r="M62" i="351"/>
  <c r="N62" i="351" s="1"/>
  <c r="L62" i="351"/>
  <c r="G157" i="350"/>
  <c r="L157" i="350"/>
  <c r="L165" i="350" s="1"/>
  <c r="L163" i="350"/>
  <c r="L162" i="350"/>
  <c r="M77" i="351"/>
  <c r="L9" i="351"/>
  <c r="L158" i="351"/>
  <c r="L149" i="351"/>
  <c r="L148" i="351"/>
  <c r="L146" i="351"/>
  <c r="L145" i="351"/>
  <c r="L141" i="351"/>
  <c r="L140" i="351"/>
  <c r="L138" i="351"/>
  <c r="L128" i="351"/>
  <c r="L113" i="351"/>
  <c r="L109" i="351"/>
  <c r="L102" i="351"/>
  <c r="L94" i="351"/>
  <c r="L93" i="351"/>
  <c r="L91" i="351"/>
  <c r="L90" i="351"/>
  <c r="L89" i="351"/>
  <c r="L75" i="351"/>
  <c r="L70" i="351"/>
  <c r="L69" i="351"/>
  <c r="L68" i="351"/>
  <c r="L67" i="351"/>
  <c r="L65" i="351"/>
  <c r="L50" i="351"/>
  <c r="L49" i="351"/>
  <c r="L48" i="351"/>
  <c r="L166" i="350" l="1"/>
  <c r="L167" i="350" s="1"/>
  <c r="M7258" i="16"/>
  <c r="M7259" i="16" s="1"/>
  <c r="C93" i="352" l="1"/>
  <c r="L93" i="352"/>
  <c r="L94" i="352"/>
  <c r="L95" i="352"/>
  <c r="C97" i="352"/>
  <c r="L98" i="352"/>
  <c r="L99" i="352"/>
  <c r="C101" i="352"/>
  <c r="D102" i="352"/>
  <c r="L102" i="352"/>
  <c r="L103" i="352"/>
  <c r="C136" i="352"/>
  <c r="D137" i="352"/>
  <c r="L137" i="352"/>
  <c r="L138" i="352"/>
  <c r="D139" i="352"/>
  <c r="M139" i="352"/>
  <c r="M140" i="352"/>
  <c r="D141" i="352"/>
  <c r="M141" i="352"/>
  <c r="M247" i="352"/>
  <c r="L96" i="352" l="1"/>
  <c r="M93" i="352" s="1"/>
  <c r="L100" i="352"/>
  <c r="M98" i="352" s="1"/>
  <c r="M101" i="352" s="1"/>
  <c r="L104" i="352"/>
  <c r="M102" i="352" s="1"/>
  <c r="M137" i="352"/>
  <c r="B11" i="352"/>
  <c r="D193" i="352"/>
  <c r="D203" i="352"/>
  <c r="C105" i="351"/>
  <c r="C106" i="351" s="1"/>
  <c r="C107" i="351" s="1"/>
  <c r="C108" i="351" s="1"/>
  <c r="C109" i="351" s="1"/>
  <c r="M154" i="352" l="1"/>
  <c r="I60" i="340"/>
  <c r="M135" i="352"/>
  <c r="G83" i="351" s="1"/>
  <c r="D135" i="352"/>
  <c r="G158" i="351" l="1"/>
  <c r="M158" i="351" s="1"/>
  <c r="C11" i="353"/>
  <c r="C12" i="353" s="1"/>
  <c r="D12" i="353"/>
  <c r="D11" i="353"/>
  <c r="D10" i="353"/>
  <c r="I57" i="351"/>
  <c r="B66" i="340"/>
  <c r="B70" i="340" s="1"/>
  <c r="B67" i="340"/>
  <c r="B64" i="340"/>
  <c r="B68" i="340" s="1"/>
  <c r="B69" i="340"/>
  <c r="B57" i="340"/>
  <c r="G5134" i="16"/>
  <c r="H5134" i="16" s="1"/>
  <c r="M5134" i="16" s="1"/>
  <c r="G5133" i="16"/>
  <c r="C291" i="340"/>
  <c r="L79" i="352"/>
  <c r="L81" i="352"/>
  <c r="L78" i="352"/>
  <c r="D78" i="352"/>
  <c r="G70" i="351"/>
  <c r="D112" i="352"/>
  <c r="I114" i="351"/>
  <c r="M191" i="352"/>
  <c r="G114" i="351" s="1"/>
  <c r="D191" i="352"/>
  <c r="K70" i="351" l="1"/>
  <c r="M70" i="351"/>
  <c r="N70" i="351" s="1"/>
  <c r="M159" i="351"/>
  <c r="L80" i="352"/>
  <c r="M78" i="352" s="1"/>
  <c r="G57" i="351" s="1"/>
  <c r="E4" i="353"/>
  <c r="E3" i="353"/>
  <c r="E2" i="353"/>
  <c r="I165" i="352"/>
  <c r="M165" i="352" s="1"/>
  <c r="J198" i="352" l="1"/>
  <c r="J200" i="352"/>
  <c r="L193" i="352"/>
  <c r="I195" i="352"/>
  <c r="L195" i="352" s="1"/>
  <c r="H73" i="352" l="1"/>
  <c r="L73" i="352" s="1"/>
  <c r="L74" i="352"/>
  <c r="L72" i="352"/>
  <c r="H76" i="352"/>
  <c r="H77" i="352" s="1"/>
  <c r="L66" i="352"/>
  <c r="H69" i="352"/>
  <c r="H67" i="352"/>
  <c r="L67" i="352" s="1"/>
  <c r="H44" i="352"/>
  <c r="H25" i="352"/>
  <c r="H34" i="352"/>
  <c r="M34" i="352" s="1"/>
  <c r="G28" i="351" s="1"/>
  <c r="K28" i="351" s="1"/>
  <c r="D34" i="352"/>
  <c r="C28" i="351"/>
  <c r="H29" i="352"/>
  <c r="D187" i="352"/>
  <c r="L185" i="352"/>
  <c r="R186" i="352"/>
  <c r="R185" i="352"/>
  <c r="G139" i="351"/>
  <c r="S185" i="352" l="1"/>
  <c r="U185" i="352" s="1"/>
  <c r="U186" i="352" s="1"/>
  <c r="V186" i="352" s="1"/>
  <c r="G75" i="351"/>
  <c r="D124" i="352"/>
  <c r="K75" i="351" l="1"/>
  <c r="M75" i="351"/>
  <c r="N75" i="351" s="1"/>
  <c r="I139" i="351"/>
  <c r="C4454" i="16" l="1"/>
  <c r="G4454" i="16"/>
  <c r="L201" i="352" l="1"/>
  <c r="H196" i="352"/>
  <c r="L197" i="352"/>
  <c r="H194" i="352"/>
  <c r="H159" i="352"/>
  <c r="L159" i="352" s="1"/>
  <c r="H158" i="352"/>
  <c r="L158" i="352" s="1"/>
  <c r="H157" i="352"/>
  <c r="L157" i="352" s="1"/>
  <c r="J119" i="352"/>
  <c r="H118" i="352"/>
  <c r="H119" i="352" s="1"/>
  <c r="H117" i="352"/>
  <c r="M117" i="352" s="1"/>
  <c r="H116" i="352"/>
  <c r="M116" i="352" s="1"/>
  <c r="G4453" i="16"/>
  <c r="L194" i="352" l="1"/>
  <c r="H198" i="352"/>
  <c r="L198" i="352" s="1"/>
  <c r="L196" i="352"/>
  <c r="H200" i="352"/>
  <c r="L200" i="352" s="1"/>
  <c r="M118" i="352"/>
  <c r="M119" i="352"/>
  <c r="H160" i="352"/>
  <c r="L160" i="352" s="1"/>
  <c r="M157" i="352" s="1"/>
  <c r="I199" i="352"/>
  <c r="L199" i="352" s="1"/>
  <c r="C132" i="350"/>
  <c r="M193" i="352" l="1"/>
  <c r="G116" i="351" s="1"/>
  <c r="C6590" i="16"/>
  <c r="I98" i="351"/>
  <c r="G5981" i="16"/>
  <c r="G5982" i="16"/>
  <c r="C5982" i="16"/>
  <c r="I73" i="351"/>
  <c r="I97" i="351"/>
  <c r="G6147" i="16"/>
  <c r="C6147" i="16"/>
  <c r="C6146" i="16"/>
  <c r="C6145" i="16"/>
  <c r="C387" i="339"/>
  <c r="G6033" i="16"/>
  <c r="H6033" i="16" s="1"/>
  <c r="M6033" i="16" s="1"/>
  <c r="L208" i="352"/>
  <c r="L204" i="352"/>
  <c r="L205" i="352"/>
  <c r="L203" i="352"/>
  <c r="G136" i="350"/>
  <c r="G135" i="350"/>
  <c r="L179" i="352"/>
  <c r="L178" i="352"/>
  <c r="L176" i="352"/>
  <c r="L175" i="352"/>
  <c r="L174" i="352"/>
  <c r="H180" i="352"/>
  <c r="L180" i="352" s="1"/>
  <c r="M183" i="352"/>
  <c r="D183" i="352"/>
  <c r="D174" i="352"/>
  <c r="I108" i="351"/>
  <c r="H181" i="352" l="1"/>
  <c r="L181" i="352" s="1"/>
  <c r="L182" i="352" s="1"/>
  <c r="M174" i="352" s="1"/>
  <c r="G108" i="351" s="1"/>
  <c r="L206" i="352"/>
  <c r="M203" i="352" s="1"/>
  <c r="M170" i="352"/>
  <c r="G104" i="351" s="1"/>
  <c r="C171" i="352"/>
  <c r="C172" i="352" s="1"/>
  <c r="C173" i="352" s="1"/>
  <c r="C174" i="352" s="1"/>
  <c r="D171" i="352"/>
  <c r="D170" i="352"/>
  <c r="M185" i="352"/>
  <c r="G111" i="351" s="1"/>
  <c r="D185" i="352"/>
  <c r="I171" i="352" l="1"/>
  <c r="M171" i="352" s="1"/>
  <c r="G105" i="351" s="1"/>
  <c r="M173" i="352"/>
  <c r="G140" i="351"/>
  <c r="M140" i="351" s="1"/>
  <c r="S36" i="352"/>
  <c r="S21" i="352"/>
  <c r="C192" i="339" l="1"/>
  <c r="G130" i="351"/>
  <c r="G129" i="351"/>
  <c r="D229" i="352"/>
  <c r="G127" i="351"/>
  <c r="G128" i="351"/>
  <c r="M128" i="351" s="1"/>
  <c r="L462" i="340" l="1"/>
  <c r="N462" i="340" s="1"/>
  <c r="I462" i="340" s="1"/>
  <c r="L419" i="340"/>
  <c r="L418" i="340"/>
  <c r="L221" i="340"/>
  <c r="L218" i="340"/>
  <c r="L86" i="340"/>
  <c r="L60" i="340"/>
  <c r="N60" i="340" s="1"/>
  <c r="L43" i="340"/>
  <c r="N43" i="340" s="1"/>
  <c r="I43" i="340" s="1"/>
  <c r="N27" i="340"/>
  <c r="I27" i="340" s="1"/>
  <c r="N28" i="340"/>
  <c r="I28" i="340" s="1"/>
  <c r="N29" i="340"/>
  <c r="I29" i="340" s="1"/>
  <c r="N33" i="340"/>
  <c r="N34" i="340"/>
  <c r="I34" i="340" s="1"/>
  <c r="N35" i="340"/>
  <c r="I35" i="340" s="1"/>
  <c r="N36" i="340"/>
  <c r="I36" i="340" s="1"/>
  <c r="N37" i="340"/>
  <c r="I37" i="340" s="1"/>
  <c r="N38" i="340"/>
  <c r="I38" i="340" s="1"/>
  <c r="N39" i="340"/>
  <c r="N40" i="340"/>
  <c r="I40" i="340" s="1"/>
  <c r="N41" i="340"/>
  <c r="I41" i="340" s="1"/>
  <c r="N42" i="340"/>
  <c r="I42" i="340" s="1"/>
  <c r="N44" i="340"/>
  <c r="N45" i="340"/>
  <c r="I45" i="340" s="1"/>
  <c r="N46" i="340"/>
  <c r="I46" i="340" s="1"/>
  <c r="N47" i="340"/>
  <c r="I47" i="340" s="1"/>
  <c r="N48" i="340"/>
  <c r="I48" i="340" s="1"/>
  <c r="N49" i="340"/>
  <c r="N50" i="340"/>
  <c r="I50" i="340" s="1"/>
  <c r="N51" i="340"/>
  <c r="I51" i="340" s="1"/>
  <c r="N52" i="340"/>
  <c r="I52" i="340" s="1"/>
  <c r="N53" i="340"/>
  <c r="N54" i="340"/>
  <c r="I54" i="340" s="1"/>
  <c r="N55" i="340"/>
  <c r="I55" i="340" s="1"/>
  <c r="N56" i="340"/>
  <c r="I56" i="340" s="1"/>
  <c r="N57" i="340"/>
  <c r="I57" i="340" s="1"/>
  <c r="N58" i="340"/>
  <c r="I58" i="340" s="1"/>
  <c r="N59" i="340"/>
  <c r="N61" i="340"/>
  <c r="N62" i="340"/>
  <c r="N63" i="340"/>
  <c r="N64" i="340"/>
  <c r="I64" i="340" s="1"/>
  <c r="N65" i="340"/>
  <c r="N66" i="340"/>
  <c r="I66" i="340" s="1"/>
  <c r="N67" i="340"/>
  <c r="I67" i="340" s="1"/>
  <c r="N68" i="340"/>
  <c r="I68" i="340" s="1"/>
  <c r="N69" i="340"/>
  <c r="I69" i="340" s="1"/>
  <c r="N70" i="340"/>
  <c r="I70" i="340" s="1"/>
  <c r="N71" i="340"/>
  <c r="I71" i="340" s="1"/>
  <c r="N72" i="340"/>
  <c r="I72" i="340" s="1"/>
  <c r="N73" i="340"/>
  <c r="I73" i="340" s="1"/>
  <c r="N74" i="340"/>
  <c r="I74" i="340" s="1"/>
  <c r="N75" i="340"/>
  <c r="I75" i="340" s="1"/>
  <c r="N76" i="340"/>
  <c r="I76" i="340" s="1"/>
  <c r="N77" i="340"/>
  <c r="I77" i="340" s="1"/>
  <c r="N79" i="340"/>
  <c r="I79" i="340" s="1"/>
  <c r="N80" i="340"/>
  <c r="I80" i="340" s="1"/>
  <c r="N81" i="340"/>
  <c r="I81" i="340" s="1"/>
  <c r="N82" i="340"/>
  <c r="I82" i="340" s="1"/>
  <c r="N83" i="340"/>
  <c r="I83" i="340" s="1"/>
  <c r="N84" i="340"/>
  <c r="I84" i="340" s="1"/>
  <c r="N85" i="340"/>
  <c r="N86" i="340"/>
  <c r="I86" i="340" s="1"/>
  <c r="N87" i="340"/>
  <c r="I87" i="340" s="1"/>
  <c r="N88" i="340"/>
  <c r="I88" i="340" s="1"/>
  <c r="N89" i="340"/>
  <c r="I89" i="340" s="1"/>
  <c r="N90" i="340"/>
  <c r="I90" i="340" s="1"/>
  <c r="N91" i="340"/>
  <c r="I91" i="340" s="1"/>
  <c r="N92" i="340"/>
  <c r="I92" i="340" s="1"/>
  <c r="N93" i="340"/>
  <c r="I93" i="340" s="1"/>
  <c r="N94" i="340"/>
  <c r="N95" i="340"/>
  <c r="I95" i="340" s="1"/>
  <c r="N96" i="340"/>
  <c r="I96" i="340" s="1"/>
  <c r="N97" i="340"/>
  <c r="I97" i="340" s="1"/>
  <c r="N98" i="340"/>
  <c r="I98" i="340" s="1"/>
  <c r="N99" i="340"/>
  <c r="N101" i="340"/>
  <c r="I101" i="340" s="1"/>
  <c r="N102" i="340"/>
  <c r="I102" i="340" s="1"/>
  <c r="N103" i="340"/>
  <c r="N104" i="340"/>
  <c r="I104" i="340" s="1"/>
  <c r="N105" i="340"/>
  <c r="I105" i="340" s="1"/>
  <c r="N106" i="340"/>
  <c r="I106" i="340" s="1"/>
  <c r="N107" i="340"/>
  <c r="I107" i="340" s="1"/>
  <c r="N108" i="340"/>
  <c r="I108" i="340" s="1"/>
  <c r="G4129" i="16" s="1"/>
  <c r="H4129" i="16" s="1"/>
  <c r="M4129" i="16" s="1"/>
  <c r="N109" i="340"/>
  <c r="I109" i="340" s="1"/>
  <c r="N110" i="340"/>
  <c r="I110" i="340" s="1"/>
  <c r="N111" i="340"/>
  <c r="I111" i="340" s="1"/>
  <c r="N112" i="340"/>
  <c r="I112" i="340" s="1"/>
  <c r="N113" i="340"/>
  <c r="I113" i="340" s="1"/>
  <c r="N114" i="340"/>
  <c r="I114" i="340" s="1"/>
  <c r="N115" i="340"/>
  <c r="I115" i="340" s="1"/>
  <c r="N116" i="340"/>
  <c r="I116" i="340" s="1"/>
  <c r="N117" i="340"/>
  <c r="I117" i="340" s="1"/>
  <c r="N118" i="340"/>
  <c r="I118" i="340" s="1"/>
  <c r="N119" i="340"/>
  <c r="I119" i="340" s="1"/>
  <c r="N120" i="340"/>
  <c r="I120" i="340" s="1"/>
  <c r="N121" i="340"/>
  <c r="I121" i="340" s="1"/>
  <c r="N122" i="340"/>
  <c r="I122" i="340" s="1"/>
  <c r="N123" i="340"/>
  <c r="I123" i="340" s="1"/>
  <c r="N124" i="340"/>
  <c r="I124" i="340" s="1"/>
  <c r="N125" i="340"/>
  <c r="I125" i="340" s="1"/>
  <c r="N126" i="340"/>
  <c r="I126" i="340" s="1"/>
  <c r="N127" i="340"/>
  <c r="I127" i="340" s="1"/>
  <c r="N128" i="340"/>
  <c r="I128" i="340" s="1"/>
  <c r="N129" i="340"/>
  <c r="N130" i="340"/>
  <c r="I130" i="340" s="1"/>
  <c r="N131" i="340"/>
  <c r="I131" i="340" s="1"/>
  <c r="G4130" i="16" s="1"/>
  <c r="N132" i="340"/>
  <c r="I132" i="340" s="1"/>
  <c r="N133" i="340"/>
  <c r="I133" i="340" s="1"/>
  <c r="N134" i="340"/>
  <c r="I134" i="340" s="1"/>
  <c r="N135" i="340"/>
  <c r="I135" i="340" s="1"/>
  <c r="N136" i="340"/>
  <c r="I136" i="340" s="1"/>
  <c r="N137" i="340"/>
  <c r="I137" i="340" s="1"/>
  <c r="N138" i="340"/>
  <c r="I138" i="340" s="1"/>
  <c r="N139" i="340"/>
  <c r="I139" i="340" s="1"/>
  <c r="N140" i="340"/>
  <c r="I140" i="340" s="1"/>
  <c r="N141" i="340"/>
  <c r="I141" i="340" s="1"/>
  <c r="N142" i="340"/>
  <c r="I142" i="340" s="1"/>
  <c r="N143" i="340"/>
  <c r="I143" i="340" s="1"/>
  <c r="N144" i="340"/>
  <c r="I144" i="340" s="1"/>
  <c r="N145" i="340"/>
  <c r="N146" i="340"/>
  <c r="I146" i="340" s="1"/>
  <c r="N147" i="340"/>
  <c r="I147" i="340" s="1"/>
  <c r="N148" i="340"/>
  <c r="I148" i="340" s="1"/>
  <c r="N149" i="340"/>
  <c r="I149" i="340" s="1"/>
  <c r="N150" i="340"/>
  <c r="I150" i="340" s="1"/>
  <c r="N151" i="340"/>
  <c r="I151" i="340" s="1"/>
  <c r="N152" i="340"/>
  <c r="I152" i="340" s="1"/>
  <c r="N153" i="340"/>
  <c r="I153" i="340" s="1"/>
  <c r="N154" i="340"/>
  <c r="I154" i="340" s="1"/>
  <c r="N155" i="340"/>
  <c r="I155" i="340" s="1"/>
  <c r="N156" i="340"/>
  <c r="I156" i="340" s="1"/>
  <c r="N157" i="340"/>
  <c r="I157" i="340" s="1"/>
  <c r="N158" i="340"/>
  <c r="I158" i="340" s="1"/>
  <c r="N159" i="340"/>
  <c r="I159" i="340" s="1"/>
  <c r="N160" i="340"/>
  <c r="I160" i="340" s="1"/>
  <c r="N161" i="340"/>
  <c r="I161" i="340" s="1"/>
  <c r="N162" i="340"/>
  <c r="I162" i="340" s="1"/>
  <c r="N163" i="340"/>
  <c r="I163" i="340" s="1"/>
  <c r="N164" i="340"/>
  <c r="I164" i="340" s="1"/>
  <c r="N165" i="340"/>
  <c r="I165" i="340" s="1"/>
  <c r="N166" i="340"/>
  <c r="I166" i="340" s="1"/>
  <c r="N167" i="340"/>
  <c r="I167" i="340" s="1"/>
  <c r="N170" i="340"/>
  <c r="I170" i="340" s="1"/>
  <c r="N171" i="340"/>
  <c r="I171" i="340" s="1"/>
  <c r="N172" i="340"/>
  <c r="I172" i="340" s="1"/>
  <c r="N173" i="340"/>
  <c r="N174" i="340"/>
  <c r="I174" i="340" s="1"/>
  <c r="N175" i="340"/>
  <c r="I175" i="340" s="1"/>
  <c r="N176" i="340"/>
  <c r="I176" i="340" s="1"/>
  <c r="N177" i="340"/>
  <c r="I177" i="340" s="1"/>
  <c r="N178" i="340"/>
  <c r="I178" i="340" s="1"/>
  <c r="N179" i="340"/>
  <c r="I179" i="340" s="1"/>
  <c r="N180" i="340"/>
  <c r="I180" i="340" s="1"/>
  <c r="N181" i="340"/>
  <c r="I181" i="340" s="1"/>
  <c r="N182" i="340"/>
  <c r="I182" i="340" s="1"/>
  <c r="N183" i="340"/>
  <c r="I183" i="340" s="1"/>
  <c r="N184" i="340"/>
  <c r="I184" i="340" s="1"/>
  <c r="N185" i="340"/>
  <c r="N186" i="340"/>
  <c r="I186" i="340" s="1"/>
  <c r="N187" i="340"/>
  <c r="I187" i="340" s="1"/>
  <c r="N188" i="340"/>
  <c r="I188" i="340" s="1"/>
  <c r="N189" i="340"/>
  <c r="I189" i="340" s="1"/>
  <c r="N190" i="340"/>
  <c r="N191" i="340"/>
  <c r="I191" i="340" s="1"/>
  <c r="N192" i="340"/>
  <c r="N193" i="340"/>
  <c r="I193" i="340" s="1"/>
  <c r="N194" i="340"/>
  <c r="I194" i="340" s="1"/>
  <c r="N195" i="340"/>
  <c r="I195" i="340" s="1"/>
  <c r="N196" i="340"/>
  <c r="I196" i="340" s="1"/>
  <c r="N197" i="340"/>
  <c r="I197" i="340" s="1"/>
  <c r="N198" i="340"/>
  <c r="I198" i="340" s="1"/>
  <c r="N199" i="340"/>
  <c r="I199" i="340" s="1"/>
  <c r="N200" i="340"/>
  <c r="I200" i="340" s="1"/>
  <c r="N201" i="340"/>
  <c r="I201" i="340" s="1"/>
  <c r="N202" i="340"/>
  <c r="I202" i="340" s="1"/>
  <c r="N203" i="340"/>
  <c r="I203" i="340" s="1"/>
  <c r="N204" i="340"/>
  <c r="I204" i="340" s="1"/>
  <c r="N205" i="340"/>
  <c r="I205" i="340" s="1"/>
  <c r="N206" i="340"/>
  <c r="I206" i="340" s="1"/>
  <c r="N207" i="340"/>
  <c r="I207" i="340" s="1"/>
  <c r="N208" i="340"/>
  <c r="I208" i="340" s="1"/>
  <c r="N209" i="340"/>
  <c r="I209" i="340" s="1"/>
  <c r="N210" i="340"/>
  <c r="I210" i="340" s="1"/>
  <c r="N211" i="340"/>
  <c r="I211" i="340" s="1"/>
  <c r="N212" i="340"/>
  <c r="I212" i="340" s="1"/>
  <c r="N213" i="340"/>
  <c r="I213" i="340" s="1"/>
  <c r="N214" i="340"/>
  <c r="N215" i="340"/>
  <c r="I215" i="340" s="1"/>
  <c r="N216" i="340"/>
  <c r="I216" i="340" s="1"/>
  <c r="N217" i="340"/>
  <c r="I217" i="340" s="1"/>
  <c r="N218" i="340"/>
  <c r="I218" i="340" s="1"/>
  <c r="N219" i="340"/>
  <c r="I219" i="340" s="1"/>
  <c r="N220" i="340"/>
  <c r="I220" i="340" s="1"/>
  <c r="N223" i="340"/>
  <c r="I223" i="340" s="1"/>
  <c r="N224" i="340"/>
  <c r="I224" i="340" s="1"/>
  <c r="N225" i="340"/>
  <c r="I225" i="340" s="1"/>
  <c r="N226" i="340"/>
  <c r="I226" i="340" s="1"/>
  <c r="N227" i="340"/>
  <c r="I227" i="340" s="1"/>
  <c r="N228" i="340"/>
  <c r="I228" i="340" s="1"/>
  <c r="N229" i="340"/>
  <c r="I229" i="340" s="1"/>
  <c r="N230" i="340"/>
  <c r="N231" i="340"/>
  <c r="I231" i="340" s="1"/>
  <c r="N232" i="340"/>
  <c r="I232" i="340" s="1"/>
  <c r="N233" i="340"/>
  <c r="I233" i="340" s="1"/>
  <c r="N234" i="340"/>
  <c r="I234" i="340" s="1"/>
  <c r="N235" i="340"/>
  <c r="I235" i="340" s="1"/>
  <c r="N236" i="340"/>
  <c r="I236" i="340" s="1"/>
  <c r="N237" i="340"/>
  <c r="I237" i="340" s="1"/>
  <c r="N240" i="340"/>
  <c r="I240" i="340" s="1"/>
  <c r="N241" i="340"/>
  <c r="I241" i="340" s="1"/>
  <c r="N242" i="340"/>
  <c r="I242" i="340" s="1"/>
  <c r="N243" i="340"/>
  <c r="I243" i="340" s="1"/>
  <c r="N244" i="340"/>
  <c r="I244" i="340" s="1"/>
  <c r="N245" i="340"/>
  <c r="I245" i="340" s="1"/>
  <c r="N246" i="340"/>
  <c r="I246" i="340" s="1"/>
  <c r="N247" i="340"/>
  <c r="I247" i="340" s="1"/>
  <c r="N248" i="340"/>
  <c r="I248" i="340" s="1"/>
  <c r="N249" i="340"/>
  <c r="I249" i="340" s="1"/>
  <c r="N250" i="340"/>
  <c r="I250" i="340" s="1"/>
  <c r="N251" i="340"/>
  <c r="I251" i="340" s="1"/>
  <c r="N252" i="340"/>
  <c r="I252" i="340" s="1"/>
  <c r="N253" i="340"/>
  <c r="I253" i="340" s="1"/>
  <c r="N254" i="340"/>
  <c r="I254" i="340" s="1"/>
  <c r="N255" i="340"/>
  <c r="I255" i="340" s="1"/>
  <c r="N256" i="340"/>
  <c r="I256" i="340" s="1"/>
  <c r="N257" i="340"/>
  <c r="I257" i="340" s="1"/>
  <c r="N258" i="340"/>
  <c r="I258" i="340" s="1"/>
  <c r="N259" i="340"/>
  <c r="I259" i="340" s="1"/>
  <c r="N260" i="340"/>
  <c r="I260" i="340" s="1"/>
  <c r="N261" i="340"/>
  <c r="I261" i="340" s="1"/>
  <c r="N262" i="340"/>
  <c r="I262" i="340" s="1"/>
  <c r="N263" i="340"/>
  <c r="I263" i="340" s="1"/>
  <c r="N264" i="340"/>
  <c r="N265" i="340"/>
  <c r="I265" i="340" s="1"/>
  <c r="N266" i="340"/>
  <c r="I266" i="340" s="1"/>
  <c r="N267" i="340"/>
  <c r="N268" i="340"/>
  <c r="I268" i="340" s="1"/>
  <c r="N269" i="340"/>
  <c r="I269" i="340" s="1"/>
  <c r="N270" i="340"/>
  <c r="I270" i="340" s="1"/>
  <c r="N271" i="340"/>
  <c r="I271" i="340" s="1"/>
  <c r="N272" i="340"/>
  <c r="I272" i="340" s="1"/>
  <c r="N273" i="340"/>
  <c r="I273" i="340" s="1"/>
  <c r="N274" i="340"/>
  <c r="I274" i="340" s="1"/>
  <c r="N275" i="340"/>
  <c r="I275" i="340" s="1"/>
  <c r="N276" i="340"/>
  <c r="I276" i="340" s="1"/>
  <c r="N277" i="340"/>
  <c r="N280" i="340"/>
  <c r="I280" i="340" s="1"/>
  <c r="N281" i="340"/>
  <c r="I281" i="340" s="1"/>
  <c r="N282" i="340"/>
  <c r="I282" i="340" s="1"/>
  <c r="N283" i="340"/>
  <c r="I283" i="340" s="1"/>
  <c r="N284" i="340"/>
  <c r="I284" i="340" s="1"/>
  <c r="N285" i="340"/>
  <c r="I285" i="340" s="1"/>
  <c r="N286" i="340"/>
  <c r="I286" i="340" s="1"/>
  <c r="N287" i="340"/>
  <c r="I287" i="340" s="1"/>
  <c r="N288" i="340"/>
  <c r="I288" i="340" s="1"/>
  <c r="N289" i="340"/>
  <c r="I289" i="340" s="1"/>
  <c r="N290" i="340"/>
  <c r="I290" i="340" s="1"/>
  <c r="N293" i="340"/>
  <c r="I293" i="340" s="1"/>
  <c r="G4128" i="16" s="1"/>
  <c r="H4128" i="16" s="1"/>
  <c r="M4128" i="16" s="1"/>
  <c r="N294" i="340"/>
  <c r="I294" i="340" s="1"/>
  <c r="N295" i="340"/>
  <c r="I295" i="340" s="1"/>
  <c r="N296" i="340"/>
  <c r="I296" i="340" s="1"/>
  <c r="N297" i="340"/>
  <c r="I297" i="340" s="1"/>
  <c r="N298" i="340"/>
  <c r="I298" i="340" s="1"/>
  <c r="N299" i="340"/>
  <c r="I299" i="340" s="1"/>
  <c r="N300" i="340"/>
  <c r="I300" i="340" s="1"/>
  <c r="N301" i="340"/>
  <c r="I301" i="340" s="1"/>
  <c r="N302" i="340"/>
  <c r="I302" i="340" s="1"/>
  <c r="N303" i="340"/>
  <c r="I303" i="340" s="1"/>
  <c r="N304" i="340"/>
  <c r="I304" i="340" s="1"/>
  <c r="N305" i="340"/>
  <c r="I305" i="340" s="1"/>
  <c r="N307" i="340"/>
  <c r="I307" i="340" s="1"/>
  <c r="N308" i="340"/>
  <c r="N309" i="340"/>
  <c r="I309" i="340" s="1"/>
  <c r="N310" i="340"/>
  <c r="N311" i="340"/>
  <c r="N312" i="340"/>
  <c r="I312" i="340" s="1"/>
  <c r="N313" i="340"/>
  <c r="I313" i="340" s="1"/>
  <c r="N315" i="340"/>
  <c r="N316" i="340"/>
  <c r="I316" i="340" s="1"/>
  <c r="N317" i="340"/>
  <c r="N318" i="340"/>
  <c r="I318" i="340" s="1"/>
  <c r="N319" i="340"/>
  <c r="I319" i="340" s="1"/>
  <c r="N320" i="340"/>
  <c r="I320" i="340" s="1"/>
  <c r="N321" i="340"/>
  <c r="I321" i="340" s="1"/>
  <c r="N322" i="340"/>
  <c r="N323" i="340"/>
  <c r="I323" i="340" s="1"/>
  <c r="N324" i="340"/>
  <c r="I324" i="340" s="1"/>
  <c r="N325" i="340"/>
  <c r="I325" i="340" s="1"/>
  <c r="N326" i="340"/>
  <c r="I326" i="340" s="1"/>
  <c r="N327" i="340"/>
  <c r="I327" i="340" s="1"/>
  <c r="N328" i="340"/>
  <c r="I328" i="340" s="1"/>
  <c r="N329" i="340"/>
  <c r="I329" i="340" s="1"/>
  <c r="N330" i="340"/>
  <c r="I330" i="340" s="1"/>
  <c r="N331" i="340"/>
  <c r="I331" i="340" s="1"/>
  <c r="N332" i="340"/>
  <c r="I332" i="340" s="1"/>
  <c r="N335" i="340"/>
  <c r="I335" i="340" s="1"/>
  <c r="N336" i="340"/>
  <c r="I336" i="340" s="1"/>
  <c r="N337" i="340"/>
  <c r="I337" i="340" s="1"/>
  <c r="N338" i="340"/>
  <c r="I338" i="340" s="1"/>
  <c r="N339" i="340"/>
  <c r="I339" i="340" s="1"/>
  <c r="N340" i="340"/>
  <c r="I340" i="340" s="1"/>
  <c r="N341" i="340"/>
  <c r="I341" i="340" s="1"/>
  <c r="N342" i="340"/>
  <c r="N343" i="340"/>
  <c r="I343" i="340" s="1"/>
  <c r="N344" i="340"/>
  <c r="N345" i="340"/>
  <c r="I345" i="340" s="1"/>
  <c r="N346" i="340"/>
  <c r="I346" i="340" s="1"/>
  <c r="N347" i="340"/>
  <c r="I347" i="340" s="1"/>
  <c r="N348" i="340"/>
  <c r="I348" i="340" s="1"/>
  <c r="N349" i="340"/>
  <c r="I349" i="340" s="1"/>
  <c r="N350" i="340"/>
  <c r="I350" i="340" s="1"/>
  <c r="N351" i="340"/>
  <c r="I351" i="340" s="1"/>
  <c r="N352" i="340"/>
  <c r="I352" i="340" s="1"/>
  <c r="N353" i="340"/>
  <c r="N354" i="340"/>
  <c r="I354" i="340" s="1"/>
  <c r="N355" i="340"/>
  <c r="I355" i="340" s="1"/>
  <c r="N356" i="340"/>
  <c r="I356" i="340" s="1"/>
  <c r="N357" i="340"/>
  <c r="I357" i="340" s="1"/>
  <c r="N358" i="340"/>
  <c r="N359" i="340"/>
  <c r="I359" i="340" s="1"/>
  <c r="N360" i="340"/>
  <c r="N361" i="340"/>
  <c r="I361" i="340" s="1"/>
  <c r="N362" i="340"/>
  <c r="I362" i="340" s="1"/>
  <c r="N363" i="340"/>
  <c r="I363" i="340" s="1"/>
  <c r="N364" i="340"/>
  <c r="I364" i="340" s="1"/>
  <c r="N365" i="340"/>
  <c r="I365" i="340" s="1"/>
  <c r="N366" i="340"/>
  <c r="N367" i="340"/>
  <c r="N369" i="340"/>
  <c r="I369" i="340" s="1"/>
  <c r="N370" i="340"/>
  <c r="I370" i="340" s="1"/>
  <c r="N371" i="340"/>
  <c r="I371" i="340" s="1"/>
  <c r="N372" i="340"/>
  <c r="I372" i="340" s="1"/>
  <c r="N373" i="340"/>
  <c r="I373" i="340" s="1"/>
  <c r="N374" i="340"/>
  <c r="I374" i="340" s="1"/>
  <c r="N375" i="340"/>
  <c r="I375" i="340" s="1"/>
  <c r="N376" i="340"/>
  <c r="I376" i="340" s="1"/>
  <c r="N377" i="340"/>
  <c r="I377" i="340" s="1"/>
  <c r="N378" i="340"/>
  <c r="I378" i="340" s="1"/>
  <c r="N379" i="340"/>
  <c r="I379" i="340" s="1"/>
  <c r="N380" i="340"/>
  <c r="I380" i="340" s="1"/>
  <c r="N381" i="340"/>
  <c r="I381" i="340" s="1"/>
  <c r="N382" i="340"/>
  <c r="I382" i="340" s="1"/>
  <c r="N383" i="340"/>
  <c r="I383" i="340" s="1"/>
  <c r="N384" i="340"/>
  <c r="I384" i="340" s="1"/>
  <c r="N385" i="340"/>
  <c r="I385" i="340" s="1"/>
  <c r="N386" i="340"/>
  <c r="I386" i="340" s="1"/>
  <c r="N387" i="340"/>
  <c r="I387" i="340" s="1"/>
  <c r="N388" i="340"/>
  <c r="I388" i="340" s="1"/>
  <c r="N389" i="340"/>
  <c r="I389" i="340" s="1"/>
  <c r="N390" i="340"/>
  <c r="I390" i="340" s="1"/>
  <c r="N391" i="340"/>
  <c r="I391" i="340" s="1"/>
  <c r="N392" i="340"/>
  <c r="I392" i="340" s="1"/>
  <c r="N393" i="340"/>
  <c r="I393" i="340" s="1"/>
  <c r="N394" i="340"/>
  <c r="I394" i="340" s="1"/>
  <c r="N395" i="340"/>
  <c r="I395" i="340" s="1"/>
  <c r="N396" i="340"/>
  <c r="I396" i="340" s="1"/>
  <c r="N397" i="340"/>
  <c r="I397" i="340" s="1"/>
  <c r="N398" i="340"/>
  <c r="I398" i="340" s="1"/>
  <c r="N399" i="340"/>
  <c r="I399" i="340" s="1"/>
  <c r="N400" i="340"/>
  <c r="I400" i="340" s="1"/>
  <c r="N401" i="340"/>
  <c r="I401" i="340" s="1"/>
  <c r="N402" i="340"/>
  <c r="I402" i="340" s="1"/>
  <c r="N403" i="340"/>
  <c r="I403" i="340" s="1"/>
  <c r="N404" i="340"/>
  <c r="I404" i="340" s="1"/>
  <c r="N405" i="340"/>
  <c r="I405" i="340" s="1"/>
  <c r="N406" i="340"/>
  <c r="I406" i="340" s="1"/>
  <c r="N407" i="340"/>
  <c r="I407" i="340" s="1"/>
  <c r="N408" i="340"/>
  <c r="I408" i="340" s="1"/>
  <c r="N409" i="340"/>
  <c r="I409" i="340" s="1"/>
  <c r="N410" i="340"/>
  <c r="I410" i="340" s="1"/>
  <c r="N411" i="340"/>
  <c r="I411" i="340" s="1"/>
  <c r="N412" i="340"/>
  <c r="I412" i="340" s="1"/>
  <c r="N413" i="340"/>
  <c r="N414" i="340"/>
  <c r="I414" i="340" s="1"/>
  <c r="N415" i="340"/>
  <c r="I415" i="340" s="1"/>
  <c r="N416" i="340"/>
  <c r="I416" i="340" s="1"/>
  <c r="N417" i="340"/>
  <c r="I417" i="340" s="1"/>
  <c r="N418" i="340"/>
  <c r="I418" i="340" s="1"/>
  <c r="N419" i="340"/>
  <c r="I419" i="340" s="1"/>
  <c r="N420" i="340"/>
  <c r="I420" i="340" s="1"/>
  <c r="N421" i="340"/>
  <c r="I421" i="340" s="1"/>
  <c r="N422" i="340"/>
  <c r="I422" i="340" s="1"/>
  <c r="N423" i="340"/>
  <c r="I423" i="340" s="1"/>
  <c r="N424" i="340"/>
  <c r="I424" i="340" s="1"/>
  <c r="N425" i="340"/>
  <c r="I425" i="340" s="1"/>
  <c r="N426" i="340"/>
  <c r="I426" i="340" s="1"/>
  <c r="N427" i="340"/>
  <c r="I427" i="340" s="1"/>
  <c r="N428" i="340"/>
  <c r="I428" i="340" s="1"/>
  <c r="N429" i="340"/>
  <c r="I429" i="340" s="1"/>
  <c r="N430" i="340"/>
  <c r="I430" i="340" s="1"/>
  <c r="N433" i="340"/>
  <c r="I433" i="340" s="1"/>
  <c r="N434" i="340"/>
  <c r="I434" i="340" s="1"/>
  <c r="N435" i="340"/>
  <c r="I435" i="340" s="1"/>
  <c r="N436" i="340"/>
  <c r="I436" i="340" s="1"/>
  <c r="N437" i="340"/>
  <c r="I437" i="340" s="1"/>
  <c r="N438" i="340"/>
  <c r="I438" i="340" s="1"/>
  <c r="N439" i="340"/>
  <c r="I439" i="340" s="1"/>
  <c r="N440" i="340"/>
  <c r="I440" i="340" s="1"/>
  <c r="N441" i="340"/>
  <c r="I441" i="340" s="1"/>
  <c r="N442" i="340"/>
  <c r="I442" i="340" s="1"/>
  <c r="N443" i="340"/>
  <c r="I443" i="340" s="1"/>
  <c r="N444" i="340"/>
  <c r="I444" i="340" s="1"/>
  <c r="N445" i="340"/>
  <c r="I445" i="340" s="1"/>
  <c r="N446" i="340"/>
  <c r="I446" i="340" s="1"/>
  <c r="N447" i="340"/>
  <c r="I447" i="340" s="1"/>
  <c r="N448" i="340"/>
  <c r="I448" i="340" s="1"/>
  <c r="N449" i="340"/>
  <c r="I449" i="340" s="1"/>
  <c r="N450" i="340"/>
  <c r="I450" i="340" s="1"/>
  <c r="N451" i="340"/>
  <c r="I451" i="340" s="1"/>
  <c r="N452" i="340"/>
  <c r="I452" i="340" s="1"/>
  <c r="N453" i="340"/>
  <c r="I453" i="340" s="1"/>
  <c r="N454" i="340"/>
  <c r="I454" i="340" s="1"/>
  <c r="N455" i="340"/>
  <c r="I455" i="340" s="1"/>
  <c r="N456" i="340"/>
  <c r="I456" i="340" s="1"/>
  <c r="N457" i="340"/>
  <c r="I457" i="340" s="1"/>
  <c r="N458" i="340"/>
  <c r="I458" i="340" s="1"/>
  <c r="N459" i="340"/>
  <c r="I459" i="340" s="1"/>
  <c r="N460" i="340"/>
  <c r="I460" i="340" s="1"/>
  <c r="N461" i="340"/>
  <c r="I461" i="340" s="1"/>
  <c r="N464" i="340"/>
  <c r="I464" i="340" s="1"/>
  <c r="N465" i="340"/>
  <c r="N466" i="340"/>
  <c r="I466" i="340" s="1"/>
  <c r="N467" i="340"/>
  <c r="I467" i="340" s="1"/>
  <c r="N468" i="340"/>
  <c r="I468" i="340" s="1"/>
  <c r="N469" i="340"/>
  <c r="I469" i="340" s="1"/>
  <c r="N470" i="340"/>
  <c r="I470" i="340" s="1"/>
  <c r="N471" i="340"/>
  <c r="I471" i="340" s="1"/>
  <c r="N472" i="340"/>
  <c r="I472" i="340" s="1"/>
  <c r="N473" i="340"/>
  <c r="I473" i="340" s="1"/>
  <c r="N474" i="340"/>
  <c r="I474" i="340" s="1"/>
  <c r="N475" i="340"/>
  <c r="I475" i="340" s="1"/>
  <c r="N476" i="340"/>
  <c r="I476" i="340" s="1"/>
  <c r="N477" i="340"/>
  <c r="I477" i="340" s="1"/>
  <c r="N478" i="340"/>
  <c r="I478" i="340" s="1"/>
  <c r="N479" i="340"/>
  <c r="I479" i="340" s="1"/>
  <c r="N480" i="340"/>
  <c r="I480" i="340" s="1"/>
  <c r="N483" i="340"/>
  <c r="I483" i="340" s="1"/>
  <c r="N484" i="340"/>
  <c r="I484" i="340" s="1"/>
  <c r="N485" i="340"/>
  <c r="I485" i="340" s="1"/>
  <c r="N486" i="340"/>
  <c r="I486" i="340" s="1"/>
  <c r="N487" i="340"/>
  <c r="I487" i="340" s="1"/>
  <c r="N488" i="340"/>
  <c r="I488" i="340" s="1"/>
  <c r="N489" i="340"/>
  <c r="I489" i="340" s="1"/>
  <c r="N490" i="340"/>
  <c r="I490" i="340" s="1"/>
  <c r="N491" i="340"/>
  <c r="I491" i="340" s="1"/>
  <c r="N492" i="340"/>
  <c r="I492" i="340" s="1"/>
  <c r="N494" i="340"/>
  <c r="I494" i="340" s="1"/>
  <c r="N495" i="340"/>
  <c r="I495" i="340" s="1"/>
  <c r="N496" i="340"/>
  <c r="I496" i="340" s="1"/>
  <c r="N497" i="340"/>
  <c r="I497" i="340" s="1"/>
  <c r="N498" i="340"/>
  <c r="I498" i="340" s="1"/>
  <c r="N499" i="340"/>
  <c r="I499" i="340" s="1"/>
  <c r="N500" i="340"/>
  <c r="I500" i="340" s="1"/>
  <c r="N501" i="340"/>
  <c r="I501" i="340" s="1"/>
  <c r="N502" i="340"/>
  <c r="I502" i="340" s="1"/>
  <c r="N503" i="340"/>
  <c r="I503" i="340" s="1"/>
  <c r="N504" i="340"/>
  <c r="I504" i="340" s="1"/>
  <c r="N505" i="340"/>
  <c r="I505" i="340" s="1"/>
  <c r="N506" i="340"/>
  <c r="I506" i="340" s="1"/>
  <c r="N508" i="340"/>
  <c r="I508" i="340" s="1"/>
  <c r="N509" i="340"/>
  <c r="I509" i="340" s="1"/>
  <c r="N510" i="340"/>
  <c r="I510" i="340" s="1"/>
  <c r="N511" i="340"/>
  <c r="I511" i="340" s="1"/>
  <c r="N512" i="340"/>
  <c r="I512" i="340" s="1"/>
  <c r="N513" i="340"/>
  <c r="I513" i="340" s="1"/>
  <c r="N514" i="340"/>
  <c r="I514" i="340" s="1"/>
  <c r="N515" i="340"/>
  <c r="I515" i="340" s="1"/>
  <c r="N516" i="340"/>
  <c r="I516" i="340" s="1"/>
  <c r="N517" i="340"/>
  <c r="I517" i="340" s="1"/>
  <c r="N518" i="340"/>
  <c r="I518" i="340" s="1"/>
  <c r="N519" i="340"/>
  <c r="I519" i="340" s="1"/>
  <c r="N520" i="340"/>
  <c r="I520" i="340" s="1"/>
  <c r="N521" i="340"/>
  <c r="I521" i="340" s="1"/>
  <c r="N522" i="340"/>
  <c r="I522" i="340" s="1"/>
  <c r="N523" i="340"/>
  <c r="I523" i="340" s="1"/>
  <c r="N524" i="340"/>
  <c r="I524" i="340" s="1"/>
  <c r="N525" i="340"/>
  <c r="I525" i="340" s="1"/>
  <c r="N526" i="340"/>
  <c r="I526" i="340" s="1"/>
  <c r="N527" i="340"/>
  <c r="I527" i="340" s="1"/>
  <c r="N528" i="340"/>
  <c r="I528" i="340" s="1"/>
  <c r="N529" i="340"/>
  <c r="I529" i="340" s="1"/>
  <c r="N530" i="340"/>
  <c r="I530" i="340" s="1"/>
  <c r="N531" i="340"/>
  <c r="I531" i="340" s="1"/>
  <c r="N532" i="340"/>
  <c r="I532" i="340" s="1"/>
  <c r="N533" i="340"/>
  <c r="I533" i="340" s="1"/>
  <c r="N534" i="340"/>
  <c r="I534" i="340" s="1"/>
  <c r="N535" i="340"/>
  <c r="I535" i="340" s="1"/>
  <c r="N536" i="340"/>
  <c r="I536" i="340" s="1"/>
  <c r="N537" i="340"/>
  <c r="I537" i="340" s="1"/>
  <c r="N538" i="340"/>
  <c r="I538" i="340" s="1"/>
  <c r="N539" i="340"/>
  <c r="I539" i="340" s="1"/>
  <c r="N540" i="340"/>
  <c r="I540" i="340" s="1"/>
  <c r="N541" i="340"/>
  <c r="I541" i="340" s="1"/>
  <c r="N542" i="340"/>
  <c r="I542" i="340" s="1"/>
  <c r="N543" i="340"/>
  <c r="I543" i="340" s="1"/>
  <c r="N544" i="340"/>
  <c r="I544" i="340" s="1"/>
  <c r="N545" i="340"/>
  <c r="I545" i="340" s="1"/>
  <c r="N546" i="340"/>
  <c r="I546" i="340" s="1"/>
  <c r="N547" i="340"/>
  <c r="I547" i="340" s="1"/>
  <c r="N548" i="340"/>
  <c r="I548" i="340" s="1"/>
  <c r="N549" i="340"/>
  <c r="I549" i="340" s="1"/>
  <c r="N550" i="340"/>
  <c r="I550" i="340" s="1"/>
  <c r="N551" i="340"/>
  <c r="I551" i="340" s="1"/>
  <c r="N552" i="340"/>
  <c r="I552" i="340" s="1"/>
  <c r="N553" i="340"/>
  <c r="I553" i="340" s="1"/>
  <c r="N554" i="340"/>
  <c r="I554" i="340" s="1"/>
  <c r="N555" i="340"/>
  <c r="I555" i="340" s="1"/>
  <c r="N556" i="340"/>
  <c r="I556" i="340" s="1"/>
  <c r="N557" i="340"/>
  <c r="I557" i="340" s="1"/>
  <c r="N558" i="340"/>
  <c r="I558" i="340" s="1"/>
  <c r="N560" i="340"/>
  <c r="I560" i="340" s="1"/>
  <c r="N561" i="340"/>
  <c r="I561" i="340" s="1"/>
  <c r="N562" i="340"/>
  <c r="I562" i="340" s="1"/>
  <c r="N563" i="340"/>
  <c r="I563" i="340" s="1"/>
  <c r="N564" i="340"/>
  <c r="I564" i="340" s="1"/>
  <c r="N565" i="340"/>
  <c r="I565" i="340" s="1"/>
  <c r="N566" i="340"/>
  <c r="I566" i="340" s="1"/>
  <c r="N567" i="340"/>
  <c r="I567" i="340" s="1"/>
  <c r="N568" i="340"/>
  <c r="I568" i="340" s="1"/>
  <c r="N569" i="340"/>
  <c r="I569" i="340" s="1"/>
  <c r="N570" i="340"/>
  <c r="I570" i="340" s="1"/>
  <c r="N571" i="340"/>
  <c r="I571" i="340" s="1"/>
  <c r="N572" i="340"/>
  <c r="I572" i="340" s="1"/>
  <c r="N573" i="340"/>
  <c r="I573" i="340" s="1"/>
  <c r="N574" i="340"/>
  <c r="I574" i="340" s="1"/>
  <c r="N575" i="340"/>
  <c r="I575" i="340" s="1"/>
  <c r="N576" i="340"/>
  <c r="I576" i="340" s="1"/>
  <c r="N577" i="340"/>
  <c r="I577" i="340" s="1"/>
  <c r="N578" i="340"/>
  <c r="I578" i="340" s="1"/>
  <c r="N579" i="340"/>
  <c r="I579" i="340" s="1"/>
  <c r="N580" i="340"/>
  <c r="I580" i="340" s="1"/>
  <c r="N581" i="340"/>
  <c r="I581" i="340" s="1"/>
  <c r="N582" i="340"/>
  <c r="I582" i="340" s="1"/>
  <c r="N583" i="340"/>
  <c r="I583" i="340" s="1"/>
  <c r="N584" i="340"/>
  <c r="I584" i="340" s="1"/>
  <c r="N585" i="340"/>
  <c r="I585" i="340" s="1"/>
  <c r="N586" i="340"/>
  <c r="I586" i="340" s="1"/>
  <c r="N587" i="340"/>
  <c r="I587" i="340" s="1"/>
  <c r="N588" i="340"/>
  <c r="I588" i="340" s="1"/>
  <c r="N589" i="340"/>
  <c r="I589" i="340" s="1"/>
  <c r="N590" i="340"/>
  <c r="I590" i="340" s="1"/>
  <c r="N591" i="340"/>
  <c r="I591" i="340" s="1"/>
  <c r="N592" i="340"/>
  <c r="I592" i="340" s="1"/>
  <c r="N593" i="340"/>
  <c r="I593" i="340" s="1"/>
  <c r="N594" i="340"/>
  <c r="I594" i="340" s="1"/>
  <c r="N595" i="340"/>
  <c r="I595" i="340" s="1"/>
  <c r="N596" i="340"/>
  <c r="I596" i="340" s="1"/>
  <c r="N597" i="340"/>
  <c r="I597" i="340" s="1"/>
  <c r="N598" i="340"/>
  <c r="I598" i="340" s="1"/>
  <c r="N599" i="340"/>
  <c r="I599" i="340" s="1"/>
  <c r="N600" i="340"/>
  <c r="I600" i="340" s="1"/>
  <c r="N601" i="340"/>
  <c r="I601" i="340" s="1"/>
  <c r="N602" i="340"/>
  <c r="I602" i="340" s="1"/>
  <c r="N603" i="340"/>
  <c r="I603" i="340" s="1"/>
  <c r="N604" i="340"/>
  <c r="I604" i="340" s="1"/>
  <c r="N605" i="340"/>
  <c r="I605" i="340" s="1"/>
  <c r="N606" i="340"/>
  <c r="I606" i="340" s="1"/>
  <c r="N607" i="340"/>
  <c r="I607" i="340" s="1"/>
  <c r="N608" i="340"/>
  <c r="I608" i="340" s="1"/>
  <c r="N609" i="340"/>
  <c r="I609" i="340" s="1"/>
  <c r="N610" i="340"/>
  <c r="I610" i="340" s="1"/>
  <c r="N611" i="340"/>
  <c r="I611" i="340" s="1"/>
  <c r="N612" i="340"/>
  <c r="I612" i="340" s="1"/>
  <c r="N613" i="340"/>
  <c r="I613" i="340" s="1"/>
  <c r="N614" i="340"/>
  <c r="I614" i="340" s="1"/>
  <c r="N615" i="340"/>
  <c r="I615" i="340" s="1"/>
  <c r="N616" i="340"/>
  <c r="I616" i="340" s="1"/>
  <c r="N617" i="340"/>
  <c r="I617" i="340" s="1"/>
  <c r="N618" i="340"/>
  <c r="I618" i="340" s="1"/>
  <c r="N619" i="340"/>
  <c r="I619" i="340" s="1"/>
  <c r="N620" i="340"/>
  <c r="I620" i="340" s="1"/>
  <c r="N621" i="340"/>
  <c r="I621" i="340" s="1"/>
  <c r="N622" i="340"/>
  <c r="I622" i="340" s="1"/>
  <c r="N623" i="340"/>
  <c r="I623" i="340" s="1"/>
  <c r="N624" i="340"/>
  <c r="I624" i="340" s="1"/>
  <c r="N625" i="340"/>
  <c r="I625" i="340" s="1"/>
  <c r="N626" i="340"/>
  <c r="I626" i="340" s="1"/>
  <c r="N627" i="340"/>
  <c r="I627" i="340" s="1"/>
  <c r="N628" i="340"/>
  <c r="I628" i="340" s="1"/>
  <c r="N629" i="340"/>
  <c r="I629" i="340" s="1"/>
  <c r="N630" i="340"/>
  <c r="I630" i="340" s="1"/>
  <c r="N631" i="340"/>
  <c r="I631" i="340" s="1"/>
  <c r="N632" i="340"/>
  <c r="I632" i="340" s="1"/>
  <c r="N633" i="340"/>
  <c r="I633" i="340" s="1"/>
  <c r="N634" i="340"/>
  <c r="I634" i="340" s="1"/>
  <c r="N635" i="340"/>
  <c r="I635" i="340" s="1"/>
  <c r="N636" i="340"/>
  <c r="I636" i="340" s="1"/>
  <c r="N637" i="340"/>
  <c r="I637" i="340" s="1"/>
  <c r="N638" i="340"/>
  <c r="I638" i="340" s="1"/>
  <c r="N639" i="340"/>
  <c r="I639" i="340" s="1"/>
  <c r="N640" i="340"/>
  <c r="I640" i="340" s="1"/>
  <c r="N641" i="340"/>
  <c r="I641" i="340" s="1"/>
  <c r="N642" i="340"/>
  <c r="I642" i="340" s="1"/>
  <c r="N643" i="340"/>
  <c r="I643" i="340" s="1"/>
  <c r="N644" i="340"/>
  <c r="I644" i="340" s="1"/>
  <c r="N645" i="340"/>
  <c r="I645" i="340" s="1"/>
  <c r="N646" i="340"/>
  <c r="I646" i="340" s="1"/>
  <c r="N647" i="340"/>
  <c r="I647" i="340" s="1"/>
  <c r="N648" i="340"/>
  <c r="I648" i="340" s="1"/>
  <c r="N649" i="340"/>
  <c r="I649" i="340" s="1"/>
  <c r="N650" i="340"/>
  <c r="I650" i="340" s="1"/>
  <c r="N651" i="340"/>
  <c r="I651" i="340" s="1"/>
  <c r="N652" i="340"/>
  <c r="I652" i="340" s="1"/>
  <c r="N653" i="340"/>
  <c r="I653" i="340" s="1"/>
  <c r="N654" i="340"/>
  <c r="I654" i="340" s="1"/>
  <c r="N655" i="340"/>
  <c r="I655" i="340" s="1"/>
  <c r="N656" i="340"/>
  <c r="I656" i="340" s="1"/>
  <c r="N657" i="340"/>
  <c r="I657" i="340" s="1"/>
  <c r="N658" i="340"/>
  <c r="I658" i="340" s="1"/>
  <c r="N659" i="340"/>
  <c r="I659" i="340" s="1"/>
  <c r="N660" i="340"/>
  <c r="I660" i="340" s="1"/>
  <c r="N661" i="340"/>
  <c r="I661" i="340" s="1"/>
  <c r="N662" i="340"/>
  <c r="I662" i="340" s="1"/>
  <c r="N663" i="340"/>
  <c r="I663" i="340" s="1"/>
  <c r="N664" i="340"/>
  <c r="I664" i="340" s="1"/>
  <c r="N665" i="340"/>
  <c r="I665" i="340" s="1"/>
  <c r="N666" i="340"/>
  <c r="I666" i="340" s="1"/>
  <c r="N667" i="340"/>
  <c r="I667" i="340" s="1"/>
  <c r="N668" i="340"/>
  <c r="I668" i="340" s="1"/>
  <c r="N669" i="340"/>
  <c r="I669" i="340" s="1"/>
  <c r="N670" i="340"/>
  <c r="I670" i="340" s="1"/>
  <c r="N671" i="340"/>
  <c r="I671" i="340" s="1"/>
  <c r="N672" i="340"/>
  <c r="I672" i="340" s="1"/>
  <c r="N673" i="340"/>
  <c r="I673" i="340" s="1"/>
  <c r="N674" i="340"/>
  <c r="I674" i="340" s="1"/>
  <c r="N675" i="340"/>
  <c r="I675" i="340" s="1"/>
  <c r="N676" i="340"/>
  <c r="I676" i="340" s="1"/>
  <c r="N677" i="340"/>
  <c r="I677" i="340" s="1"/>
  <c r="N678" i="340"/>
  <c r="I678" i="340" s="1"/>
  <c r="N679" i="340"/>
  <c r="I679" i="340" s="1"/>
  <c r="N680" i="340"/>
  <c r="I680" i="340" s="1"/>
  <c r="N681" i="340"/>
  <c r="I681" i="340" s="1"/>
  <c r="N682" i="340"/>
  <c r="I682" i="340" s="1"/>
  <c r="N683" i="340"/>
  <c r="I683" i="340" s="1"/>
  <c r="N684" i="340"/>
  <c r="I684" i="340" s="1"/>
  <c r="N685" i="340"/>
  <c r="I685" i="340" s="1"/>
  <c r="N686" i="340"/>
  <c r="I686" i="340" s="1"/>
  <c r="N687" i="340"/>
  <c r="I687" i="340" s="1"/>
  <c r="N688" i="340"/>
  <c r="I688" i="340" s="1"/>
  <c r="N689" i="340"/>
  <c r="I689" i="340" s="1"/>
  <c r="N690" i="340"/>
  <c r="I690" i="340" s="1"/>
  <c r="N691" i="340"/>
  <c r="I691" i="340" s="1"/>
  <c r="N692" i="340"/>
  <c r="I692" i="340" s="1"/>
  <c r="N693" i="340"/>
  <c r="I693" i="340" s="1"/>
  <c r="N694" i="340"/>
  <c r="I694" i="340" s="1"/>
  <c r="N695" i="340"/>
  <c r="I695" i="340" s="1"/>
  <c r="N696" i="340"/>
  <c r="I696" i="340" s="1"/>
  <c r="N697" i="340"/>
  <c r="I697" i="340" s="1"/>
  <c r="N698" i="340"/>
  <c r="I698" i="340" s="1"/>
  <c r="N699" i="340"/>
  <c r="I699" i="340" s="1"/>
  <c r="N700" i="340"/>
  <c r="I700" i="340" s="1"/>
  <c r="N701" i="340"/>
  <c r="I701" i="340" s="1"/>
  <c r="N702" i="340"/>
  <c r="I702" i="340" s="1"/>
  <c r="N703" i="340"/>
  <c r="I703" i="340" s="1"/>
  <c r="N704" i="340"/>
  <c r="I704" i="340" s="1"/>
  <c r="N705" i="340"/>
  <c r="I705" i="340" s="1"/>
  <c r="N706" i="340"/>
  <c r="I706" i="340" s="1"/>
  <c r="N707" i="340"/>
  <c r="I707" i="340" s="1"/>
  <c r="N708" i="340"/>
  <c r="I708" i="340" s="1"/>
  <c r="N709" i="340"/>
  <c r="I709" i="340" s="1"/>
  <c r="N710" i="340"/>
  <c r="I710" i="340" s="1"/>
  <c r="N711" i="340"/>
  <c r="I711" i="340" s="1"/>
  <c r="N712" i="340"/>
  <c r="I712" i="340" s="1"/>
  <c r="N713" i="340"/>
  <c r="I713" i="340" s="1"/>
  <c r="N714" i="340"/>
  <c r="I714" i="340" s="1"/>
  <c r="N715" i="340"/>
  <c r="I715" i="340" s="1"/>
  <c r="N716" i="340"/>
  <c r="I716" i="340" s="1"/>
  <c r="N717" i="340"/>
  <c r="I717" i="340" s="1"/>
  <c r="N718" i="340"/>
  <c r="I718" i="340" s="1"/>
  <c r="N719" i="340"/>
  <c r="I719" i="340" s="1"/>
  <c r="N720" i="340"/>
  <c r="I720" i="340" s="1"/>
  <c r="N721" i="340"/>
  <c r="I721" i="340" s="1"/>
  <c r="N722" i="340"/>
  <c r="I722" i="340" s="1"/>
  <c r="N723" i="340"/>
  <c r="I723" i="340" s="1"/>
  <c r="N724" i="340"/>
  <c r="I724" i="340" s="1"/>
  <c r="N725" i="340"/>
  <c r="I725" i="340" s="1"/>
  <c r="N726" i="340"/>
  <c r="I726" i="340" s="1"/>
  <c r="N727" i="340"/>
  <c r="I727" i="340" s="1"/>
  <c r="N728" i="340"/>
  <c r="I728" i="340" s="1"/>
  <c r="N729" i="340"/>
  <c r="I729" i="340" s="1"/>
  <c r="N730" i="340"/>
  <c r="I730" i="340" s="1"/>
  <c r="N731" i="340"/>
  <c r="I731" i="340" s="1"/>
  <c r="N732" i="340"/>
  <c r="I732" i="340" s="1"/>
  <c r="N733" i="340"/>
  <c r="I733" i="340" s="1"/>
  <c r="N734" i="340"/>
  <c r="I734" i="340" s="1"/>
  <c r="N735" i="340"/>
  <c r="I735" i="340" s="1"/>
  <c r="N736" i="340"/>
  <c r="I736" i="340" s="1"/>
  <c r="N737" i="340"/>
  <c r="I737" i="340" s="1"/>
  <c r="N738" i="340"/>
  <c r="I738" i="340" s="1"/>
  <c r="N739" i="340"/>
  <c r="I739" i="340" s="1"/>
  <c r="N740" i="340"/>
  <c r="I740" i="340" s="1"/>
  <c r="N741" i="340"/>
  <c r="I741" i="340" s="1"/>
  <c r="N742" i="340"/>
  <c r="I742" i="340" s="1"/>
  <c r="N743" i="340"/>
  <c r="I743" i="340" s="1"/>
  <c r="N744" i="340"/>
  <c r="I744" i="340" s="1"/>
  <c r="N745" i="340"/>
  <c r="I745" i="340" s="1"/>
  <c r="N746" i="340"/>
  <c r="I746" i="340" s="1"/>
  <c r="N747" i="340"/>
  <c r="I747" i="340" s="1"/>
  <c r="N748" i="340"/>
  <c r="I748" i="340" s="1"/>
  <c r="N749" i="340"/>
  <c r="I749" i="340" s="1"/>
  <c r="N750" i="340"/>
  <c r="I750" i="340" s="1"/>
  <c r="N751" i="340"/>
  <c r="I751" i="340" s="1"/>
  <c r="N752" i="340"/>
  <c r="I752" i="340" s="1"/>
  <c r="N753" i="340"/>
  <c r="I753" i="340" s="1"/>
  <c r="N754" i="340"/>
  <c r="I754" i="340" s="1"/>
  <c r="N755" i="340"/>
  <c r="I755" i="340" s="1"/>
  <c r="N756" i="340"/>
  <c r="I756" i="340" s="1"/>
  <c r="N757" i="340"/>
  <c r="I757" i="340" s="1"/>
  <c r="N758" i="340"/>
  <c r="I758" i="340" s="1"/>
  <c r="N759" i="340"/>
  <c r="I759" i="340" s="1"/>
  <c r="N760" i="340"/>
  <c r="I760" i="340" s="1"/>
  <c r="N761" i="340"/>
  <c r="I761" i="340" s="1"/>
  <c r="N762" i="340"/>
  <c r="I762" i="340" s="1"/>
  <c r="N763" i="340"/>
  <c r="I763" i="340" s="1"/>
  <c r="N764" i="340"/>
  <c r="I764" i="340" s="1"/>
  <c r="N765" i="340"/>
  <c r="I765" i="340" s="1"/>
  <c r="N766" i="340"/>
  <c r="I766" i="340" s="1"/>
  <c r="N767" i="340"/>
  <c r="I767" i="340" s="1"/>
  <c r="N768" i="340"/>
  <c r="I768" i="340" s="1"/>
  <c r="N769" i="340"/>
  <c r="I769" i="340" s="1"/>
  <c r="N770" i="340"/>
  <c r="I770" i="340" s="1"/>
  <c r="N771" i="340"/>
  <c r="I771" i="340" s="1"/>
  <c r="N772" i="340"/>
  <c r="I772" i="340" s="1"/>
  <c r="N773" i="340"/>
  <c r="I773" i="340" s="1"/>
  <c r="N774" i="340"/>
  <c r="I774" i="340" s="1"/>
  <c r="N775" i="340"/>
  <c r="I775" i="340" s="1"/>
  <c r="N776" i="340"/>
  <c r="I776" i="340" s="1"/>
  <c r="N777" i="340"/>
  <c r="I777" i="340" s="1"/>
  <c r="N778" i="340"/>
  <c r="I778" i="340" s="1"/>
  <c r="N779" i="340"/>
  <c r="I779" i="340" s="1"/>
  <c r="N780" i="340"/>
  <c r="I780" i="340" s="1"/>
  <c r="N781" i="340"/>
  <c r="I781" i="340" s="1"/>
  <c r="N782" i="340"/>
  <c r="I782" i="340" s="1"/>
  <c r="N783" i="340"/>
  <c r="I783" i="340" s="1"/>
  <c r="N784" i="340"/>
  <c r="I784" i="340" s="1"/>
  <c r="N785" i="340"/>
  <c r="I785" i="340" s="1"/>
  <c r="N786" i="340"/>
  <c r="I786" i="340" s="1"/>
  <c r="N787" i="340"/>
  <c r="I787" i="340" s="1"/>
  <c r="N788" i="340"/>
  <c r="I788" i="340" s="1"/>
  <c r="N789" i="340"/>
  <c r="I789" i="340" s="1"/>
  <c r="N790" i="340"/>
  <c r="I790" i="340" s="1"/>
  <c r="N791" i="340"/>
  <c r="I791" i="340" s="1"/>
  <c r="N792" i="340"/>
  <c r="I792" i="340" s="1"/>
  <c r="N793" i="340"/>
  <c r="I793" i="340" s="1"/>
  <c r="N794" i="340"/>
  <c r="I794" i="340" s="1"/>
  <c r="N795" i="340"/>
  <c r="I795" i="340" s="1"/>
  <c r="N796" i="340"/>
  <c r="I796" i="340" s="1"/>
  <c r="N797" i="340"/>
  <c r="I797" i="340" s="1"/>
  <c r="N798" i="340"/>
  <c r="I798" i="340" s="1"/>
  <c r="N799" i="340"/>
  <c r="I799" i="340" s="1"/>
  <c r="N801" i="340"/>
  <c r="I801" i="340" s="1"/>
  <c r="N802" i="340"/>
  <c r="I802" i="340" s="1"/>
  <c r="N803" i="340"/>
  <c r="I803" i="340" s="1"/>
  <c r="N804" i="340"/>
  <c r="I804" i="340" s="1"/>
  <c r="N805" i="340"/>
  <c r="I805" i="340" s="1"/>
  <c r="N806" i="340"/>
  <c r="I806" i="340" s="1"/>
  <c r="N807" i="340"/>
  <c r="I807" i="340" s="1"/>
  <c r="N808" i="340"/>
  <c r="I808" i="340" s="1"/>
  <c r="N809" i="340"/>
  <c r="I809" i="340" s="1"/>
  <c r="N810" i="340"/>
  <c r="I810" i="340" s="1"/>
  <c r="N811" i="340"/>
  <c r="I811" i="340" s="1"/>
  <c r="N812" i="340"/>
  <c r="I812" i="340" s="1"/>
  <c r="N813" i="340"/>
  <c r="I813" i="340" s="1"/>
  <c r="N814" i="340"/>
  <c r="I814" i="340" s="1"/>
  <c r="N815" i="340"/>
  <c r="I815" i="340" s="1"/>
  <c r="N816" i="340"/>
  <c r="I816" i="340" s="1"/>
  <c r="N817" i="340"/>
  <c r="I817" i="340" s="1"/>
  <c r="N818" i="340"/>
  <c r="I818" i="340" s="1"/>
  <c r="N819" i="340"/>
  <c r="I819" i="340" s="1"/>
  <c r="N820" i="340"/>
  <c r="I820" i="340" s="1"/>
  <c r="N821" i="340"/>
  <c r="I821" i="340" s="1"/>
  <c r="N822" i="340"/>
  <c r="I822" i="340" s="1"/>
  <c r="N823" i="340"/>
  <c r="I823" i="340" s="1"/>
  <c r="N824" i="340"/>
  <c r="I824" i="340" s="1"/>
  <c r="N825" i="340"/>
  <c r="I825" i="340" s="1"/>
  <c r="N826" i="340"/>
  <c r="I826" i="340" s="1"/>
  <c r="N827" i="340"/>
  <c r="I827" i="340" s="1"/>
  <c r="N828" i="340"/>
  <c r="I828" i="340" s="1"/>
  <c r="N829" i="340"/>
  <c r="I829" i="340" s="1"/>
  <c r="N830" i="340"/>
  <c r="I830" i="340" s="1"/>
  <c r="N831" i="340"/>
  <c r="I831" i="340" s="1"/>
  <c r="N832" i="340"/>
  <c r="I832" i="340" s="1"/>
  <c r="N833" i="340"/>
  <c r="I833" i="340" s="1"/>
  <c r="N834" i="340"/>
  <c r="I834" i="340" s="1"/>
  <c r="N835" i="340"/>
  <c r="I835" i="340" s="1"/>
  <c r="N836" i="340"/>
  <c r="I836" i="340" s="1"/>
  <c r="N837" i="340"/>
  <c r="I837" i="340" s="1"/>
  <c r="N838" i="340"/>
  <c r="I838" i="340" s="1"/>
  <c r="N839" i="340"/>
  <c r="I839" i="340" s="1"/>
  <c r="N840" i="340"/>
  <c r="I840" i="340" s="1"/>
  <c r="N841" i="340"/>
  <c r="I841" i="340" s="1"/>
  <c r="N842" i="340"/>
  <c r="I842" i="340" s="1"/>
  <c r="N843" i="340"/>
  <c r="I843" i="340" s="1"/>
  <c r="N844" i="340"/>
  <c r="N845" i="340"/>
  <c r="N846" i="340"/>
  <c r="N847" i="340"/>
  <c r="N848" i="340"/>
  <c r="N849" i="340"/>
  <c r="N850" i="340"/>
  <c r="N851" i="340"/>
  <c r="N852" i="340"/>
  <c r="N853" i="340"/>
  <c r="N854" i="340"/>
  <c r="N855" i="340"/>
  <c r="N856" i="340"/>
  <c r="N857" i="340"/>
  <c r="N858" i="340"/>
  <c r="N859" i="340"/>
  <c r="N860" i="340"/>
  <c r="N861" i="340"/>
  <c r="N862" i="340"/>
  <c r="N863" i="340"/>
  <c r="N864" i="340"/>
  <c r="N865" i="340"/>
  <c r="N26" i="340"/>
  <c r="I26" i="340" s="1"/>
  <c r="N221" i="340" l="1"/>
  <c r="I221" i="340" s="1"/>
  <c r="C9" i="351"/>
  <c r="G138" i="351"/>
  <c r="C229" i="352"/>
  <c r="C230" i="352" s="1"/>
  <c r="D228" i="352"/>
  <c r="C139" i="351"/>
  <c r="C141" i="351" s="1"/>
  <c r="C142" i="351" s="1"/>
  <c r="G98" i="351"/>
  <c r="D165" i="352"/>
  <c r="C142" i="352"/>
  <c r="M33" i="352"/>
  <c r="M248" i="352"/>
  <c r="G155" i="351" s="1"/>
  <c r="G154" i="351"/>
  <c r="B248" i="352"/>
  <c r="K138" i="351" l="1"/>
  <c r="M138" i="351"/>
  <c r="C155" i="351"/>
  <c r="N138" i="351" l="1"/>
  <c r="I136" i="351"/>
  <c r="I127" i="351"/>
  <c r="K128" i="351"/>
  <c r="N128" i="351" s="1"/>
  <c r="G131" i="351"/>
  <c r="G132" i="351"/>
  <c r="G133" i="351"/>
  <c r="G134" i="351"/>
  <c r="G135" i="351"/>
  <c r="G136" i="351"/>
  <c r="G123" i="351"/>
  <c r="G124" i="351"/>
  <c r="G125" i="351"/>
  <c r="G126" i="351"/>
  <c r="G122" i="351"/>
  <c r="C123" i="351"/>
  <c r="C124" i="351" s="1"/>
  <c r="C125" i="351" s="1"/>
  <c r="C126" i="351" s="1"/>
  <c r="C127" i="351" s="1"/>
  <c r="C128" i="351" s="1"/>
  <c r="C129" i="351" s="1"/>
  <c r="C130" i="351" s="1"/>
  <c r="C131" i="351" s="1"/>
  <c r="C132" i="351" s="1"/>
  <c r="C133" i="351" s="1"/>
  <c r="C134" i="351" s="1"/>
  <c r="C135" i="351" s="1"/>
  <c r="C136" i="351" s="1"/>
  <c r="B16" i="353" l="1"/>
  <c r="G94" i="351" l="1"/>
  <c r="D154" i="352"/>
  <c r="D153" i="352"/>
  <c r="C94" i="351"/>
  <c r="J147" i="351"/>
  <c r="L147" i="351" s="1"/>
  <c r="G163" i="350"/>
  <c r="G162" i="350"/>
  <c r="G9" i="351"/>
  <c r="M9" i="351" s="1"/>
  <c r="G8" i="351"/>
  <c r="B17" i="339"/>
  <c r="K94" i="351" l="1"/>
  <c r="M94" i="351"/>
  <c r="N94" i="351" s="1"/>
  <c r="G27" i="351"/>
  <c r="I62" i="351"/>
  <c r="G159" i="350"/>
  <c r="H159" i="350" s="1"/>
  <c r="B571" i="339"/>
  <c r="B402" i="339"/>
  <c r="I131" i="351" s="1"/>
  <c r="C295" i="339"/>
  <c r="L187" i="352"/>
  <c r="M187" i="352" s="1"/>
  <c r="B233" i="339"/>
  <c r="B207" i="339"/>
  <c r="I83" i="351" s="1"/>
  <c r="L3066" i="16"/>
  <c r="I85" i="351"/>
  <c r="K143" i="352"/>
  <c r="M143" i="352" s="1"/>
  <c r="Q148" i="352"/>
  <c r="R148" i="352" s="1"/>
  <c r="R147" i="352"/>
  <c r="R146" i="352"/>
  <c r="H163" i="350"/>
  <c r="H162" i="350"/>
  <c r="H157" i="350"/>
  <c r="C42" i="351"/>
  <c r="C43" i="351" s="1"/>
  <c r="C31" i="351"/>
  <c r="C32" i="351" s="1"/>
  <c r="C20" i="351"/>
  <c r="C21" i="351" s="1"/>
  <c r="I41" i="351"/>
  <c r="I39" i="351"/>
  <c r="I38" i="351"/>
  <c r="I37" i="351"/>
  <c r="I22" i="351"/>
  <c r="I23" i="351"/>
  <c r="I24" i="351"/>
  <c r="M29" i="352"/>
  <c r="G23" i="351" s="1"/>
  <c r="M44" i="352"/>
  <c r="G38" i="351" s="1"/>
  <c r="M55" i="352"/>
  <c r="G43" i="351" s="1"/>
  <c r="K51" i="352"/>
  <c r="K53" i="352"/>
  <c r="K52" i="352"/>
  <c r="L49" i="352"/>
  <c r="L48" i="352"/>
  <c r="L47" i="352"/>
  <c r="H27" i="352"/>
  <c r="M27" i="352" s="1"/>
  <c r="G21" i="351" s="1"/>
  <c r="J41" i="352"/>
  <c r="I41" i="352"/>
  <c r="H40" i="352"/>
  <c r="M38" i="352"/>
  <c r="G32" i="351" s="1"/>
  <c r="D38" i="352"/>
  <c r="M36" i="352"/>
  <c r="H30" i="352"/>
  <c r="M30" i="352" s="1"/>
  <c r="G24" i="351" s="1"/>
  <c r="H28" i="352"/>
  <c r="M28" i="352" s="1"/>
  <c r="G22" i="351" s="1"/>
  <c r="J26" i="352"/>
  <c r="I26" i="352"/>
  <c r="H26" i="352"/>
  <c r="M23" i="352"/>
  <c r="G17" i="351" s="1"/>
  <c r="M21" i="352"/>
  <c r="D23" i="352"/>
  <c r="C16" i="351"/>
  <c r="C17" i="351" s="1"/>
  <c r="H45" i="352" l="1"/>
  <c r="M45" i="352" s="1"/>
  <c r="G39" i="351" s="1"/>
  <c r="L37" i="352"/>
  <c r="M37" i="352" s="1"/>
  <c r="G31" i="351" s="1"/>
  <c r="L22" i="352"/>
  <c r="M22" i="352" s="1"/>
  <c r="G16" i="351" s="1"/>
  <c r="R149" i="352"/>
  <c r="S149" i="352" s="1"/>
  <c r="T149" i="352" s="1"/>
  <c r="G30" i="351"/>
  <c r="G15" i="351"/>
  <c r="H165" i="350"/>
  <c r="J165" i="350" s="1"/>
  <c r="L50" i="352"/>
  <c r="M47" i="352" s="1"/>
  <c r="G41" i="351" s="1"/>
  <c r="M26" i="352"/>
  <c r="G20" i="351" s="1"/>
  <c r="M25" i="352"/>
  <c r="G19" i="351" s="1"/>
  <c r="H41" i="352"/>
  <c r="M41" i="352" s="1"/>
  <c r="G35" i="351" s="1"/>
  <c r="M40" i="352"/>
  <c r="G34" i="351" s="1"/>
  <c r="H42" i="352"/>
  <c r="M42" i="352" s="1"/>
  <c r="G36" i="351" s="1"/>
  <c r="H43" i="352"/>
  <c r="M43" i="352" s="1"/>
  <c r="G37" i="351" s="1"/>
  <c r="M108" i="352"/>
  <c r="G66" i="351" s="1"/>
  <c r="D108" i="352"/>
  <c r="D168" i="352"/>
  <c r="B540" i="339"/>
  <c r="B248" i="339"/>
  <c r="G117" i="351"/>
  <c r="M190" i="352"/>
  <c r="G113" i="351" s="1"/>
  <c r="G109" i="351"/>
  <c r="G107" i="351"/>
  <c r="M172" i="352"/>
  <c r="G106" i="351" s="1"/>
  <c r="K106" i="351" s="1"/>
  <c r="L163" i="352"/>
  <c r="L162" i="352"/>
  <c r="M153" i="352"/>
  <c r="G93" i="351" s="1"/>
  <c r="G91" i="351"/>
  <c r="G90" i="351"/>
  <c r="G89" i="351"/>
  <c r="L147" i="352"/>
  <c r="L146" i="352"/>
  <c r="M145" i="352"/>
  <c r="G87" i="351" s="1"/>
  <c r="G85" i="351"/>
  <c r="M134" i="352"/>
  <c r="G82" i="351" s="1"/>
  <c r="M133" i="352"/>
  <c r="G81" i="351" s="1"/>
  <c r="K130" i="352"/>
  <c r="M130" i="352" s="1"/>
  <c r="G80" i="351" s="1"/>
  <c r="M121" i="352"/>
  <c r="G73" i="351" s="1"/>
  <c r="L114" i="352"/>
  <c r="G65" i="351"/>
  <c r="M111" i="352"/>
  <c r="G69" i="351" s="1"/>
  <c r="M109" i="352"/>
  <c r="G67" i="351" s="1"/>
  <c r="L106" i="352"/>
  <c r="M106" i="352" s="1"/>
  <c r="G64" i="351" s="1"/>
  <c r="M89" i="352"/>
  <c r="G60" i="351" s="1"/>
  <c r="D89" i="352"/>
  <c r="C60" i="351"/>
  <c r="C61" i="351" s="1"/>
  <c r="C62" i="351" s="1"/>
  <c r="M97" i="352"/>
  <c r="G62" i="351" s="1"/>
  <c r="L68" i="352"/>
  <c r="I61" i="351"/>
  <c r="L91" i="352"/>
  <c r="L90" i="352"/>
  <c r="L87" i="352"/>
  <c r="L85" i="352"/>
  <c r="L86" i="352"/>
  <c r="L84" i="352"/>
  <c r="J77" i="352"/>
  <c r="M77" i="352" s="1"/>
  <c r="J76" i="352"/>
  <c r="M76" i="352" s="1"/>
  <c r="D76" i="352"/>
  <c r="D77" i="352"/>
  <c r="D72" i="352"/>
  <c r="C71" i="352"/>
  <c r="C76" i="352" s="1"/>
  <c r="C77" i="352" s="1"/>
  <c r="C78" i="352" s="1"/>
  <c r="L69" i="352"/>
  <c r="M64" i="352"/>
  <c r="G50" i="351" s="1"/>
  <c r="K140" i="351"/>
  <c r="N140" i="351" s="1"/>
  <c r="G141" i="351"/>
  <c r="G142" i="351"/>
  <c r="G143" i="351"/>
  <c r="G144" i="351"/>
  <c r="G145" i="351"/>
  <c r="G146" i="351"/>
  <c r="G147" i="351"/>
  <c r="L240" i="352"/>
  <c r="L241" i="352"/>
  <c r="L242" i="352"/>
  <c r="L243" i="352"/>
  <c r="L239" i="352"/>
  <c r="M238" i="352"/>
  <c r="G148" i="351" s="1"/>
  <c r="B574" i="339"/>
  <c r="B559" i="339"/>
  <c r="I143" i="351" s="1"/>
  <c r="B558" i="339"/>
  <c r="I142" i="351" s="1"/>
  <c r="C457" i="339"/>
  <c r="C427" i="339"/>
  <c r="B424" i="339"/>
  <c r="I122" i="351" s="1"/>
  <c r="C403" i="339"/>
  <c r="B327" i="339"/>
  <c r="B8" i="353"/>
  <c r="B17" i="353"/>
  <c r="B13" i="353"/>
  <c r="B9" i="353"/>
  <c r="C231" i="352"/>
  <c r="C232" i="352" s="1"/>
  <c r="C233" i="352" s="1"/>
  <c r="C234" i="352" s="1"/>
  <c r="C235" i="352" s="1"/>
  <c r="C236" i="352" s="1"/>
  <c r="C237" i="352" s="1"/>
  <c r="C238" i="352" s="1"/>
  <c r="C239" i="352" s="1"/>
  <c r="C212" i="352"/>
  <c r="C213" i="352" s="1"/>
  <c r="C214" i="352" s="1"/>
  <c r="C215" i="352" s="1"/>
  <c r="C216" i="352" s="1"/>
  <c r="C217" i="352" s="1"/>
  <c r="C218" i="352" s="1"/>
  <c r="C219" i="352" s="1"/>
  <c r="C220" i="352" s="1"/>
  <c r="C221" i="352" s="1"/>
  <c r="C222" i="352" s="1"/>
  <c r="C223" i="352" s="1"/>
  <c r="C224" i="352" s="1"/>
  <c r="C225" i="352" s="1"/>
  <c r="C226" i="352" s="1"/>
  <c r="C203" i="352"/>
  <c r="C190" i="352"/>
  <c r="C183" i="352"/>
  <c r="C162" i="352"/>
  <c r="C154" i="352"/>
  <c r="C155" i="352" s="1"/>
  <c r="C146" i="352"/>
  <c r="C149" i="352" s="1"/>
  <c r="C150" i="352" s="1"/>
  <c r="C151" i="352" s="1"/>
  <c r="C134" i="352"/>
  <c r="C135" i="352" s="1"/>
  <c r="C121" i="352"/>
  <c r="C122" i="352" s="1"/>
  <c r="C107" i="352"/>
  <c r="C108" i="352" s="1"/>
  <c r="C109" i="352" s="1"/>
  <c r="C110" i="352" s="1"/>
  <c r="C63" i="352"/>
  <c r="C64" i="352" s="1"/>
  <c r="B364" i="339"/>
  <c r="C335" i="339"/>
  <c r="C97" i="351"/>
  <c r="C98" i="351" s="1"/>
  <c r="C143" i="351"/>
  <c r="C144" i="351" s="1"/>
  <c r="C145" i="351" s="1"/>
  <c r="C146" i="351" s="1"/>
  <c r="C147" i="351" s="1"/>
  <c r="C148" i="351" s="1"/>
  <c r="C149" i="351" s="1"/>
  <c r="C117" i="351"/>
  <c r="C113" i="351"/>
  <c r="C114" i="351" s="1"/>
  <c r="C88" i="351"/>
  <c r="C89" i="351" s="1"/>
  <c r="C90" i="351" s="1"/>
  <c r="C91" i="351" s="1"/>
  <c r="C82" i="351"/>
  <c r="C83" i="351" s="1"/>
  <c r="C73" i="351"/>
  <c r="C65" i="351"/>
  <c r="C66" i="351" s="1"/>
  <c r="C67" i="351" s="1"/>
  <c r="C68" i="351" s="1"/>
  <c r="C53" i="351"/>
  <c r="C54" i="351" s="1"/>
  <c r="C55" i="351" s="1"/>
  <c r="C56" i="351" s="1"/>
  <c r="C57" i="351" s="1"/>
  <c r="C49" i="351"/>
  <c r="C50" i="351" s="1"/>
  <c r="K50" i="351" l="1"/>
  <c r="M50" i="351"/>
  <c r="N50" i="351" s="1"/>
  <c r="K146" i="351"/>
  <c r="M146" i="351"/>
  <c r="N146" i="351" s="1"/>
  <c r="K89" i="351"/>
  <c r="M89" i="351"/>
  <c r="N89" i="351" s="1"/>
  <c r="K109" i="351"/>
  <c r="M109" i="351"/>
  <c r="N109" i="351" s="1"/>
  <c r="K148" i="351"/>
  <c r="M148" i="351"/>
  <c r="N148" i="351" s="1"/>
  <c r="K145" i="351"/>
  <c r="M145" i="351"/>
  <c r="N145" i="351" s="1"/>
  <c r="K90" i="351"/>
  <c r="M90" i="351"/>
  <c r="N90" i="351" s="1"/>
  <c r="K113" i="351"/>
  <c r="M113" i="351"/>
  <c r="N113" i="351" s="1"/>
  <c r="K147" i="351"/>
  <c r="M147" i="351"/>
  <c r="N147" i="351" s="1"/>
  <c r="K65" i="351"/>
  <c r="M65" i="351"/>
  <c r="N65" i="351" s="1"/>
  <c r="K91" i="351"/>
  <c r="M91" i="351"/>
  <c r="N91" i="351" s="1"/>
  <c r="K93" i="351"/>
  <c r="M93" i="351"/>
  <c r="N93" i="351" s="1"/>
  <c r="K67" i="351"/>
  <c r="M67" i="351"/>
  <c r="N67" i="351" s="1"/>
  <c r="K141" i="351"/>
  <c r="M141" i="351"/>
  <c r="N141" i="351" s="1"/>
  <c r="K69" i="351"/>
  <c r="M69" i="351"/>
  <c r="N69" i="351" s="1"/>
  <c r="H166" i="350"/>
  <c r="I61" i="352"/>
  <c r="G96" i="351"/>
  <c r="C111" i="352"/>
  <c r="C69" i="351"/>
  <c r="C70" i="351" s="1"/>
  <c r="L148" i="352"/>
  <c r="M146" i="352" s="1"/>
  <c r="G88" i="351" s="1"/>
  <c r="L164" i="352"/>
  <c r="M162" i="352" s="1"/>
  <c r="G97" i="351" s="1"/>
  <c r="K110" i="352"/>
  <c r="M110" i="352" s="1"/>
  <c r="G68" i="351" s="1"/>
  <c r="G56" i="351"/>
  <c r="G55" i="351"/>
  <c r="L92" i="352"/>
  <c r="M90" i="352" s="1"/>
  <c r="G61" i="351" s="1"/>
  <c r="L88" i="352"/>
  <c r="M84" i="352" s="1"/>
  <c r="L75" i="352"/>
  <c r="M72" i="352" s="1"/>
  <c r="L244" i="352"/>
  <c r="M239" i="352" s="1"/>
  <c r="L70" i="352"/>
  <c r="M66" i="352" s="1"/>
  <c r="K68" i="351" l="1"/>
  <c r="M68" i="351"/>
  <c r="H167" i="350"/>
  <c r="J62" i="351" s="1"/>
  <c r="K62" i="351" s="1"/>
  <c r="C112" i="352"/>
  <c r="K71" i="352"/>
  <c r="M71" i="352" s="1"/>
  <c r="G53" i="351" s="1"/>
  <c r="G52" i="351"/>
  <c r="M120" i="352"/>
  <c r="G72" i="351" s="1"/>
  <c r="G149" i="351"/>
  <c r="I60" i="352"/>
  <c r="G54" i="351"/>
  <c r="I63" i="352"/>
  <c r="M63" i="352" s="1"/>
  <c r="G49" i="351" s="1"/>
  <c r="G59" i="351"/>
  <c r="I59" i="352"/>
  <c r="B30" i="339"/>
  <c r="B53" i="339"/>
  <c r="K149" i="351" l="1"/>
  <c r="M149" i="351"/>
  <c r="K49" i="351"/>
  <c r="M49" i="351"/>
  <c r="N49" i="351" s="1"/>
  <c r="N68" i="351"/>
  <c r="I31" i="351"/>
  <c r="I16" i="351"/>
  <c r="I62" i="352"/>
  <c r="M59" i="352" s="1"/>
  <c r="G48" i="351" s="1"/>
  <c r="M168" i="352"/>
  <c r="G102" i="351" s="1"/>
  <c r="G112" i="351"/>
  <c r="Z8862" i="16"/>
  <c r="AA8862" i="16" s="1"/>
  <c r="AA8864" i="16"/>
  <c r="Z8863" i="16"/>
  <c r="AA8863" i="16" s="1"/>
  <c r="AA8859" i="16"/>
  <c r="AA8858" i="16"/>
  <c r="R8864" i="16"/>
  <c r="Q8863" i="16"/>
  <c r="R8863" i="16" s="1"/>
  <c r="Q8862" i="16"/>
  <c r="R8862" i="16" s="1"/>
  <c r="R8859" i="16"/>
  <c r="R8858" i="16"/>
  <c r="K48" i="351" l="1"/>
  <c r="M48" i="351"/>
  <c r="N149" i="351"/>
  <c r="K102" i="351"/>
  <c r="M102" i="351"/>
  <c r="AA8865" i="16"/>
  <c r="R8865" i="16"/>
  <c r="G144" i="350"/>
  <c r="H144" i="350" s="1"/>
  <c r="H147" i="350"/>
  <c r="H146" i="350"/>
  <c r="H145" i="350"/>
  <c r="N102" i="351" l="1"/>
  <c r="N48" i="351"/>
  <c r="G132" i="350"/>
  <c r="H132" i="350" s="1"/>
  <c r="Q9147" i="16" l="1"/>
  <c r="R9147" i="16" s="1"/>
  <c r="Q9130" i="16"/>
  <c r="R9130" i="16" s="1"/>
  <c r="P9133" i="16"/>
  <c r="H221" i="340"/>
  <c r="F232" i="16"/>
  <c r="G232" i="16" s="1"/>
  <c r="H232" i="16" s="1"/>
  <c r="F224" i="16"/>
  <c r="G224" i="16" s="1"/>
  <c r="H224" i="16" s="1"/>
  <c r="F223" i="16"/>
  <c r="G223" i="16" s="1"/>
  <c r="H223" i="16" s="1"/>
  <c r="F222" i="16"/>
  <c r="G222" i="16" s="1"/>
  <c r="H222" i="16" s="1"/>
  <c r="F221" i="16"/>
  <c r="G221" i="16" s="1"/>
  <c r="H221" i="16" s="1"/>
  <c r="F220" i="16"/>
  <c r="G220" i="16" s="1"/>
  <c r="H220" i="16" s="1"/>
  <c r="F230" i="16" l="1"/>
  <c r="G230" i="16" s="1"/>
  <c r="H230" i="16" s="1"/>
  <c r="F233" i="16"/>
  <c r="G233" i="16" s="1"/>
  <c r="H233" i="16" s="1"/>
  <c r="F229" i="16"/>
  <c r="G229" i="16" s="1"/>
  <c r="H229" i="16" s="1"/>
  <c r="F231" i="16"/>
  <c r="G231" i="16" s="1"/>
  <c r="H231" i="16" s="1"/>
  <c r="H225" i="16"/>
  <c r="H226" i="16" s="1"/>
  <c r="H234" i="16" l="1"/>
  <c r="H235" i="16" s="1"/>
  <c r="H136" i="350"/>
  <c r="G149" i="350"/>
  <c r="H149" i="350" s="1"/>
  <c r="H135" i="350"/>
  <c r="G148" i="350"/>
  <c r="H148" i="350" s="1"/>
  <c r="H138" i="350" l="1"/>
  <c r="H139" i="350" s="1"/>
  <c r="H140" i="350" s="1"/>
  <c r="J127" i="351" s="1"/>
  <c r="H151" i="350"/>
  <c r="K127" i="351" l="1"/>
  <c r="L127" i="351"/>
  <c r="M127" i="351" s="1"/>
  <c r="N127" i="351" s="1"/>
  <c r="H152" i="350"/>
  <c r="H153" i="350" s="1"/>
  <c r="G1346" i="16"/>
  <c r="H1346" i="16" s="1"/>
  <c r="M1346" i="16" s="1"/>
  <c r="G1345" i="16"/>
  <c r="H1345" i="16" s="1"/>
  <c r="M1345" i="16" s="1"/>
  <c r="G1344" i="16"/>
  <c r="H1344" i="16" s="1"/>
  <c r="M1344" i="16" s="1"/>
  <c r="G1343" i="16"/>
  <c r="H1343" i="16" s="1"/>
  <c r="M1343" i="16" s="1"/>
  <c r="G1342" i="16"/>
  <c r="H1342" i="16" s="1"/>
  <c r="M1342" i="16" s="1"/>
  <c r="G1341" i="16"/>
  <c r="H1341" i="16" s="1"/>
  <c r="M1341" i="16" s="1"/>
  <c r="G1340" i="16"/>
  <c r="H1340" i="16" s="1"/>
  <c r="M1340" i="16" s="1"/>
  <c r="G1337" i="16"/>
  <c r="H1337" i="16" s="1"/>
  <c r="M1337" i="16" s="1"/>
  <c r="G1336" i="16"/>
  <c r="H1336" i="16" s="1"/>
  <c r="M1336" i="16" s="1"/>
  <c r="G1335" i="16"/>
  <c r="H1335" i="16" s="1"/>
  <c r="M1335" i="16" s="1"/>
  <c r="G1334" i="16"/>
  <c r="H1334" i="16" s="1"/>
  <c r="M1334" i="16" s="1"/>
  <c r="G1333" i="16"/>
  <c r="H1333" i="16" s="1"/>
  <c r="M1333" i="16" s="1"/>
  <c r="G1332" i="16"/>
  <c r="H1332" i="16" s="1"/>
  <c r="M1332" i="16" s="1"/>
  <c r="G1393" i="16"/>
  <c r="H1393" i="16" s="1"/>
  <c r="M1393" i="16" s="1"/>
  <c r="G1392" i="16"/>
  <c r="H1392" i="16" s="1"/>
  <c r="M1392" i="16" s="1"/>
  <c r="G1391" i="16"/>
  <c r="H1391" i="16" s="1"/>
  <c r="M1391" i="16" s="1"/>
  <c r="G1390" i="16"/>
  <c r="H1390" i="16" s="1"/>
  <c r="M1390" i="16" s="1"/>
  <c r="G1389" i="16"/>
  <c r="H1389" i="16" s="1"/>
  <c r="M1389" i="16" s="1"/>
  <c r="G1388" i="16"/>
  <c r="H1388" i="16" s="1"/>
  <c r="M1388" i="16" s="1"/>
  <c r="G1387" i="16"/>
  <c r="H1387" i="16" s="1"/>
  <c r="M1387" i="16" s="1"/>
  <c r="M1394" i="16" s="1"/>
  <c r="G1384" i="16"/>
  <c r="H1384" i="16" s="1"/>
  <c r="M1384" i="16" s="1"/>
  <c r="G1383" i="16"/>
  <c r="H1383" i="16" s="1"/>
  <c r="M1383" i="16" s="1"/>
  <c r="G1382" i="16"/>
  <c r="H1382" i="16" s="1"/>
  <c r="M1382" i="16" s="1"/>
  <c r="G1381" i="16"/>
  <c r="H1381" i="16" s="1"/>
  <c r="M1381" i="16" s="1"/>
  <c r="G1380" i="16"/>
  <c r="H1380" i="16" s="1"/>
  <c r="M1380" i="16" s="1"/>
  <c r="G1379" i="16"/>
  <c r="H1379" i="16" s="1"/>
  <c r="M1379" i="16" s="1"/>
  <c r="F2582" i="16"/>
  <c r="H2582" i="16" s="1"/>
  <c r="F2588" i="16"/>
  <c r="H2588" i="16" s="1"/>
  <c r="F2587" i="16"/>
  <c r="H2587" i="16" s="1"/>
  <c r="F2585" i="16"/>
  <c r="H2585" i="16" s="1"/>
  <c r="F2583" i="16"/>
  <c r="H2583" i="16" s="1"/>
  <c r="F2581" i="16"/>
  <c r="H2581" i="16" s="1"/>
  <c r="F2580" i="16"/>
  <c r="H2580" i="16" s="1"/>
  <c r="G2594" i="16"/>
  <c r="H2594" i="16" s="1"/>
  <c r="G2593" i="16"/>
  <c r="H2593" i="16" s="1"/>
  <c r="G2592" i="16"/>
  <c r="H2592" i="16" s="1"/>
  <c r="G2591" i="16"/>
  <c r="H2591" i="16" s="1"/>
  <c r="G2590" i="16"/>
  <c r="H2590" i="16" s="1"/>
  <c r="G2589" i="16"/>
  <c r="H2589" i="16" s="1"/>
  <c r="F2579" i="16"/>
  <c r="H2579" i="16" s="1"/>
  <c r="F2586" i="16"/>
  <c r="H2586" i="16" s="1"/>
  <c r="F2566" i="16"/>
  <c r="H2566" i="16" s="1"/>
  <c r="F2584" i="16"/>
  <c r="H2584" i="16" s="1"/>
  <c r="F2564" i="16"/>
  <c r="H2564" i="16" s="1"/>
  <c r="F2562" i="16"/>
  <c r="H2562" i="16" s="1"/>
  <c r="F2561" i="16"/>
  <c r="H2561" i="16" s="1"/>
  <c r="G2573" i="16"/>
  <c r="H2573" i="16" s="1"/>
  <c r="G2572" i="16"/>
  <c r="H2572" i="16" s="1"/>
  <c r="G2571" i="16"/>
  <c r="H2571" i="16" s="1"/>
  <c r="G2570" i="16"/>
  <c r="H2570" i="16" s="1"/>
  <c r="G2569" i="16"/>
  <c r="H2569" i="16" s="1"/>
  <c r="G2568" i="16"/>
  <c r="H2568" i="16" s="1"/>
  <c r="F2563" i="16"/>
  <c r="H2563" i="16" s="1"/>
  <c r="G285" i="16"/>
  <c r="H285" i="16" s="1"/>
  <c r="G284" i="16"/>
  <c r="H284" i="16" s="1"/>
  <c r="M1385" i="16" l="1"/>
  <c r="M1395" i="16" s="1"/>
  <c r="M1347" i="16"/>
  <c r="M1338" i="16"/>
  <c r="M1348" i="16" s="1"/>
  <c r="M1396" i="16"/>
  <c r="M1397" i="16" s="1"/>
  <c r="J136" i="351"/>
  <c r="F2567" i="16"/>
  <c r="H2567" i="16" s="1"/>
  <c r="F2565" i="16"/>
  <c r="H2565" i="16" s="1"/>
  <c r="F2560" i="16"/>
  <c r="H2560" i="16" s="1"/>
  <c r="H1338" i="16"/>
  <c r="H1347" i="16"/>
  <c r="H1385" i="16"/>
  <c r="H1394" i="16"/>
  <c r="H2595" i="16"/>
  <c r="H286" i="16"/>
  <c r="H289" i="16" s="1"/>
  <c r="H290" i="16" s="1"/>
  <c r="H291" i="16" s="1"/>
  <c r="K136" i="351" l="1"/>
  <c r="L136" i="351"/>
  <c r="M136" i="351" s="1"/>
  <c r="N136" i="351" s="1"/>
  <c r="L23" i="351"/>
  <c r="M23" i="351" s="1"/>
  <c r="L38" i="351"/>
  <c r="M38" i="351" s="1"/>
  <c r="M1349" i="16"/>
  <c r="M1350" i="16"/>
  <c r="H2574" i="16"/>
  <c r="H2575" i="16" s="1"/>
  <c r="H2576" i="16" s="1"/>
  <c r="H1348" i="16"/>
  <c r="H1349" i="16" s="1"/>
  <c r="H1350" i="16" s="1"/>
  <c r="H1395" i="16"/>
  <c r="K1395" i="16" s="1"/>
  <c r="H2596" i="16"/>
  <c r="H2597" i="16" s="1"/>
  <c r="I291" i="16"/>
  <c r="L37" i="351" l="1"/>
  <c r="M37" i="351" s="1"/>
  <c r="L22" i="351"/>
  <c r="M22" i="351" s="1"/>
  <c r="N22" i="351" s="1"/>
  <c r="K1348" i="16"/>
  <c r="J22" i="351"/>
  <c r="K22" i="351" s="1"/>
  <c r="J37" i="351"/>
  <c r="K37" i="351" s="1"/>
  <c r="H1396" i="16"/>
  <c r="H1397" i="16" s="1"/>
  <c r="L291" i="16"/>
  <c r="N37" i="351" l="1"/>
  <c r="J38" i="351"/>
  <c r="K38" i="351" s="1"/>
  <c r="N38" i="351" s="1"/>
  <c r="J23" i="351"/>
  <c r="K23" i="351" s="1"/>
  <c r="N23" i="351" s="1"/>
  <c r="G9314" i="16"/>
  <c r="H9314" i="16" s="1"/>
  <c r="H9320" i="16"/>
  <c r="G9317" i="16"/>
  <c r="H9317" i="16" s="1"/>
  <c r="G9318" i="16"/>
  <c r="H9318" i="16" s="1"/>
  <c r="G9319" i="16"/>
  <c r="H9319" i="16" s="1"/>
  <c r="G9313" i="16"/>
  <c r="H9313" i="16" s="1"/>
  <c r="H30" i="350"/>
  <c r="G31" i="350"/>
  <c r="F31" i="350"/>
  <c r="F32" i="350" s="1"/>
  <c r="E30" i="350"/>
  <c r="E31" i="350" s="1"/>
  <c r="E32" i="350" s="1"/>
  <c r="E33" i="350" s="1"/>
  <c r="E34" i="350" s="1"/>
  <c r="E35" i="350" s="1"/>
  <c r="E36" i="350" s="1"/>
  <c r="E128" i="350"/>
  <c r="H128" i="350" s="1"/>
  <c r="H122" i="350"/>
  <c r="G116" i="350"/>
  <c r="H116" i="350" s="1"/>
  <c r="G115" i="350"/>
  <c r="H115" i="350" s="1"/>
  <c r="H31" i="350" l="1"/>
  <c r="F33" i="350"/>
  <c r="G32" i="350"/>
  <c r="G33" i="350" s="1"/>
  <c r="G34" i="350" s="1"/>
  <c r="G35" i="350" s="1"/>
  <c r="G36" i="350" s="1"/>
  <c r="H9321" i="16"/>
  <c r="I9317" i="16"/>
  <c r="I9318" i="16"/>
  <c r="H9315" i="16"/>
  <c r="G114" i="350"/>
  <c r="H114" i="350" s="1"/>
  <c r="G113" i="350"/>
  <c r="H113" i="350" s="1"/>
  <c r="H123" i="350"/>
  <c r="H120" i="350"/>
  <c r="G300" i="16"/>
  <c r="H300" i="16" s="1"/>
  <c r="G299" i="16"/>
  <c r="H299" i="16" s="1"/>
  <c r="H33" i="350" l="1"/>
  <c r="F34" i="350"/>
  <c r="H32" i="350"/>
  <c r="H9322" i="16"/>
  <c r="H9323" i="16" s="1"/>
  <c r="H9324" i="16" s="1"/>
  <c r="H117" i="350"/>
  <c r="H125" i="350" s="1"/>
  <c r="H301" i="16"/>
  <c r="H304" i="16" s="1"/>
  <c r="H305" i="16" s="1"/>
  <c r="H306" i="16" s="1"/>
  <c r="I306" i="16" s="1"/>
  <c r="F35" i="350" l="1"/>
  <c r="H34" i="350"/>
  <c r="H126" i="350"/>
  <c r="H127" i="350" s="1"/>
  <c r="K158" i="351" s="1"/>
  <c r="C237" i="339"/>
  <c r="K159" i="351" l="1"/>
  <c r="E17" i="353" s="1"/>
  <c r="N158" i="351"/>
  <c r="F36" i="350"/>
  <c r="H36" i="350" s="1"/>
  <c r="H35" i="350"/>
  <c r="G25" i="350"/>
  <c r="H25" i="350" s="1"/>
  <c r="G24" i="350"/>
  <c r="H24" i="350" s="1"/>
  <c r="H19" i="350"/>
  <c r="D5" i="353" l="1"/>
  <c r="D4" i="353"/>
  <c r="D3" i="353"/>
  <c r="A4" i="353"/>
  <c r="A3" i="353"/>
  <c r="D2" i="353"/>
  <c r="B149" i="339"/>
  <c r="Q19" i="352"/>
  <c r="Q18" i="352"/>
  <c r="Q17" i="352"/>
  <c r="Q16" i="352"/>
  <c r="Q15" i="352"/>
  <c r="Q14" i="352"/>
  <c r="I51" i="352" l="1"/>
  <c r="A5" i="353"/>
  <c r="A2" i="353"/>
  <c r="I52" i="352" l="1"/>
  <c r="M51" i="352"/>
  <c r="I53" i="352" l="1"/>
  <c r="M53" i="352" s="1"/>
  <c r="M52" i="352"/>
  <c r="M54" i="352" l="1"/>
  <c r="G42" i="351" s="1"/>
  <c r="B422" i="339"/>
  <c r="G3797" i="16"/>
  <c r="C3797" i="16"/>
  <c r="B232" i="339"/>
  <c r="I107" i="351" s="1"/>
  <c r="G2396" i="16"/>
  <c r="C55" i="339"/>
  <c r="B52" i="339"/>
  <c r="B7" i="353" l="1"/>
  <c r="C396" i="339"/>
  <c r="C571" i="339" l="1"/>
  <c r="C9164" i="16"/>
  <c r="M7" i="352"/>
  <c r="M6" i="352"/>
  <c r="M5" i="352"/>
  <c r="M4" i="352"/>
  <c r="M3" i="352"/>
  <c r="M2" i="352"/>
  <c r="K9" i="351" l="1"/>
  <c r="N9" i="351" s="1"/>
  <c r="I8" i="351"/>
  <c r="G8737" i="16" l="1"/>
  <c r="H8737" i="16" s="1"/>
  <c r="M8737" i="16" s="1"/>
  <c r="G8738" i="16"/>
  <c r="H8738" i="16" s="1"/>
  <c r="M8738" i="16" s="1"/>
  <c r="G8739" i="16"/>
  <c r="H8739" i="16" s="1"/>
  <c r="M8739" i="16" s="1"/>
  <c r="G8740" i="16"/>
  <c r="H8740" i="16" s="1"/>
  <c r="M8740" i="16" s="1"/>
  <c r="G8741" i="16"/>
  <c r="H8741" i="16" s="1"/>
  <c r="M8741" i="16" s="1"/>
  <c r="G8742" i="16"/>
  <c r="H8742" i="16" s="1"/>
  <c r="M8742" i="16" s="1"/>
  <c r="G8743" i="16"/>
  <c r="H8743" i="16" s="1"/>
  <c r="M8743" i="16" s="1"/>
  <c r="G8744" i="16"/>
  <c r="H8744" i="16" s="1"/>
  <c r="M8744" i="16" s="1"/>
  <c r="F77" i="350"/>
  <c r="G43" i="350"/>
  <c r="G58" i="350" s="1"/>
  <c r="H58" i="350" s="1"/>
  <c r="G46" i="350"/>
  <c r="G59" i="350" s="1"/>
  <c r="H59" i="350" s="1"/>
  <c r="B3" i="339"/>
  <c r="B4" i="339"/>
  <c r="B5" i="339"/>
  <c r="B6" i="339"/>
  <c r="C3" i="339"/>
  <c r="C4" i="339"/>
  <c r="G8" i="16"/>
  <c r="H8" i="16" s="1"/>
  <c r="G9" i="16"/>
  <c r="H9" i="16" s="1"/>
  <c r="G10" i="16"/>
  <c r="H10" i="16" s="1"/>
  <c r="G11" i="16"/>
  <c r="H11" i="16" s="1"/>
  <c r="G14" i="16"/>
  <c r="H14" i="16" s="1"/>
  <c r="G15" i="16"/>
  <c r="H15" i="16" s="1"/>
  <c r="G16" i="16"/>
  <c r="H16" i="16" s="1"/>
  <c r="G17" i="16"/>
  <c r="H17" i="16" s="1"/>
  <c r="G18" i="16"/>
  <c r="H18" i="16" s="1"/>
  <c r="G19" i="16"/>
  <c r="H19" i="16" s="1"/>
  <c r="G20" i="16"/>
  <c r="H20" i="16" s="1"/>
  <c r="C5" i="339"/>
  <c r="G29" i="16"/>
  <c r="H29" i="16" s="1"/>
  <c r="G30" i="16"/>
  <c r="H30" i="16" s="1"/>
  <c r="G31" i="16"/>
  <c r="H31" i="16" s="1"/>
  <c r="G32" i="16"/>
  <c r="H32" i="16" s="1"/>
  <c r="G35" i="16"/>
  <c r="H35" i="16" s="1"/>
  <c r="G36" i="16"/>
  <c r="H36" i="16" s="1"/>
  <c r="G37" i="16"/>
  <c r="H37" i="16" s="1"/>
  <c r="G38" i="16"/>
  <c r="H38" i="16" s="1"/>
  <c r="G39" i="16"/>
  <c r="H39" i="16" s="1"/>
  <c r="G40" i="16"/>
  <c r="H40" i="16" s="1"/>
  <c r="G41" i="16"/>
  <c r="H41" i="16" s="1"/>
  <c r="G42" i="16"/>
  <c r="H42" i="16" s="1"/>
  <c r="C6" i="339"/>
  <c r="G57" i="16"/>
  <c r="H57" i="16" s="1"/>
  <c r="G58" i="16"/>
  <c r="H58" i="16" s="1"/>
  <c r="G59" i="16"/>
  <c r="H59" i="16" s="1"/>
  <c r="G60" i="16"/>
  <c r="H60" i="16" s="1"/>
  <c r="G61" i="16"/>
  <c r="H61" i="16" s="1"/>
  <c r="G62" i="16"/>
  <c r="H62" i="16" s="1"/>
  <c r="G51" i="16"/>
  <c r="H51" i="16" s="1"/>
  <c r="G52" i="16"/>
  <c r="H52" i="16" s="1"/>
  <c r="G53" i="16"/>
  <c r="H53" i="16" s="1"/>
  <c r="G54" i="16"/>
  <c r="H54" i="16" s="1"/>
  <c r="B7" i="339"/>
  <c r="C7" i="339"/>
  <c r="G71" i="16"/>
  <c r="H71" i="16" s="1"/>
  <c r="G72" i="16"/>
  <c r="H72" i="16" s="1"/>
  <c r="G73" i="16"/>
  <c r="H73" i="16" s="1"/>
  <c r="G74" i="16"/>
  <c r="H74" i="16" s="1"/>
  <c r="G77" i="16"/>
  <c r="H77" i="16" s="1"/>
  <c r="G78" i="16"/>
  <c r="H78" i="16" s="1"/>
  <c r="G79" i="16"/>
  <c r="H79" i="16" s="1"/>
  <c r="B8" i="339"/>
  <c r="C8" i="339"/>
  <c r="G95" i="16"/>
  <c r="H95" i="16" s="1"/>
  <c r="G96" i="16"/>
  <c r="H96" i="16" s="1"/>
  <c r="G97" i="16"/>
  <c r="H97" i="16" s="1"/>
  <c r="G98" i="16"/>
  <c r="H98" i="16" s="1"/>
  <c r="G99" i="16"/>
  <c r="H99" i="16" s="1"/>
  <c r="G100" i="16"/>
  <c r="H100" i="16" s="1"/>
  <c r="G101" i="16"/>
  <c r="H101" i="16" s="1"/>
  <c r="G102" i="16"/>
  <c r="H102" i="16" s="1"/>
  <c r="G103" i="16"/>
  <c r="H103" i="16" s="1"/>
  <c r="G104" i="16"/>
  <c r="H104" i="16" s="1"/>
  <c r="G105" i="16"/>
  <c r="H105" i="16" s="1"/>
  <c r="G106" i="16"/>
  <c r="H106" i="16" s="1"/>
  <c r="G107" i="16"/>
  <c r="H107" i="16" s="1"/>
  <c r="G108" i="16"/>
  <c r="H108" i="16" s="1"/>
  <c r="G88" i="16"/>
  <c r="H88" i="16" s="1"/>
  <c r="G89" i="16"/>
  <c r="H89" i="16" s="1"/>
  <c r="G90" i="16"/>
  <c r="H90" i="16" s="1"/>
  <c r="G91" i="16"/>
  <c r="H91" i="16" s="1"/>
  <c r="G92" i="16"/>
  <c r="H92" i="16" s="1"/>
  <c r="B9" i="339"/>
  <c r="C9" i="339"/>
  <c r="G117" i="16"/>
  <c r="H117" i="16" s="1"/>
  <c r="G118" i="16"/>
  <c r="H118" i="16" s="1"/>
  <c r="G119" i="16"/>
  <c r="H119" i="16" s="1"/>
  <c r="G120" i="16"/>
  <c r="H120" i="16" s="1"/>
  <c r="G123" i="16"/>
  <c r="H123" i="16" s="1"/>
  <c r="G124" i="16"/>
  <c r="H124" i="16" s="1"/>
  <c r="G125" i="16"/>
  <c r="H125" i="16" s="1"/>
  <c r="G126" i="16"/>
  <c r="H126" i="16" s="1"/>
  <c r="B10" i="339"/>
  <c r="C10" i="339"/>
  <c r="G135" i="16"/>
  <c r="H135" i="16" s="1"/>
  <c r="G136" i="16"/>
  <c r="H136" i="16" s="1"/>
  <c r="G137" i="16"/>
  <c r="H137" i="16" s="1"/>
  <c r="G138" i="16"/>
  <c r="H138" i="16" s="1"/>
  <c r="G141" i="16"/>
  <c r="H141" i="16" s="1"/>
  <c r="G142" i="16"/>
  <c r="H142" i="16" s="1"/>
  <c r="G143" i="16"/>
  <c r="H143" i="16" s="1"/>
  <c r="G144" i="16"/>
  <c r="H144" i="16" s="1"/>
  <c r="G145" i="16"/>
  <c r="H145" i="16" s="1"/>
  <c r="G146" i="16"/>
  <c r="H146" i="16" s="1"/>
  <c r="G147" i="16"/>
  <c r="H147" i="16" s="1"/>
  <c r="G148" i="16"/>
  <c r="H148" i="16" s="1"/>
  <c r="B11" i="339"/>
  <c r="C11" i="339"/>
  <c r="G157" i="16"/>
  <c r="H157" i="16" s="1"/>
  <c r="G158" i="16"/>
  <c r="H158" i="16" s="1"/>
  <c r="G159" i="16"/>
  <c r="H159" i="16" s="1"/>
  <c r="G160" i="16"/>
  <c r="H160" i="16" s="1"/>
  <c r="G163" i="16"/>
  <c r="H163" i="16" s="1"/>
  <c r="G164" i="16"/>
  <c r="H164" i="16" s="1"/>
  <c r="G165" i="16"/>
  <c r="H165" i="16" s="1"/>
  <c r="G167" i="16"/>
  <c r="H167" i="16" s="1"/>
  <c r="G168" i="16"/>
  <c r="H168" i="16" s="1"/>
  <c r="G169" i="16"/>
  <c r="H169" i="16" s="1"/>
  <c r="G170" i="16"/>
  <c r="H170" i="16" s="1"/>
  <c r="B12" i="339"/>
  <c r="C12" i="339"/>
  <c r="G179" i="16"/>
  <c r="H179" i="16" s="1"/>
  <c r="G180" i="16"/>
  <c r="H180" i="16" s="1"/>
  <c r="B13" i="339"/>
  <c r="C13" i="339"/>
  <c r="G191" i="16"/>
  <c r="H191" i="16" s="1"/>
  <c r="G192" i="16"/>
  <c r="H192" i="16" s="1"/>
  <c r="G193" i="16"/>
  <c r="H193" i="16" s="1"/>
  <c r="G194" i="16"/>
  <c r="H194" i="16" s="1"/>
  <c r="G197" i="16"/>
  <c r="H197" i="16" s="1"/>
  <c r="G198" i="16"/>
  <c r="H198" i="16" s="1"/>
  <c r="B14" i="339"/>
  <c r="C14" i="339"/>
  <c r="G207" i="16"/>
  <c r="H207" i="16" s="1"/>
  <c r="G208" i="16"/>
  <c r="H208" i="16" s="1"/>
  <c r="G211" i="16"/>
  <c r="H211" i="16" s="1"/>
  <c r="G212" i="16"/>
  <c r="H212" i="16" s="1"/>
  <c r="G213" i="16"/>
  <c r="H213" i="16" s="1"/>
  <c r="B15" i="339"/>
  <c r="C15" i="339"/>
  <c r="G245" i="16"/>
  <c r="H245" i="16" s="1"/>
  <c r="G246" i="16"/>
  <c r="H246" i="16" s="1"/>
  <c r="G249" i="16"/>
  <c r="H249" i="16" s="1"/>
  <c r="G250" i="16"/>
  <c r="H250" i="16" s="1"/>
  <c r="G251" i="16"/>
  <c r="H251" i="16" s="1"/>
  <c r="B16" i="339"/>
  <c r="I27" i="351" s="1"/>
  <c r="C16" i="339"/>
  <c r="G260" i="16"/>
  <c r="H260" i="16" s="1"/>
  <c r="M260" i="16" s="1"/>
  <c r="G261" i="16"/>
  <c r="H261" i="16" s="1"/>
  <c r="M261" i="16" s="1"/>
  <c r="C17" i="339"/>
  <c r="G272" i="16"/>
  <c r="H272" i="16" s="1"/>
  <c r="G273" i="16"/>
  <c r="H273" i="16" s="1"/>
  <c r="B18" i="339"/>
  <c r="C18" i="339"/>
  <c r="G311" i="16"/>
  <c r="H311" i="16" s="1"/>
  <c r="G312" i="16"/>
  <c r="H312" i="16" s="1"/>
  <c r="G313" i="16"/>
  <c r="H313" i="16" s="1"/>
  <c r="G314" i="16"/>
  <c r="H314" i="16" s="1"/>
  <c r="G317" i="16"/>
  <c r="H317" i="16" s="1"/>
  <c r="H318" i="16" s="1"/>
  <c r="B19" i="339"/>
  <c r="C19" i="339"/>
  <c r="G326" i="16"/>
  <c r="H326" i="16" s="1"/>
  <c r="G327" i="16"/>
  <c r="H327" i="16" s="1"/>
  <c r="G328" i="16"/>
  <c r="H328" i="16" s="1"/>
  <c r="G329" i="16"/>
  <c r="H329" i="16" s="1"/>
  <c r="G332" i="16"/>
  <c r="H332" i="16" s="1"/>
  <c r="G333" i="16"/>
  <c r="H333" i="16" s="1"/>
  <c r="G334" i="16"/>
  <c r="H334" i="16" s="1"/>
  <c r="G335" i="16"/>
  <c r="H335" i="16" s="1"/>
  <c r="G336" i="16"/>
  <c r="H336" i="16" s="1"/>
  <c r="B21" i="339"/>
  <c r="C21" i="339"/>
  <c r="B22" i="339"/>
  <c r="C22" i="339"/>
  <c r="G346" i="16"/>
  <c r="H346" i="16" s="1"/>
  <c r="M346" i="16" s="1"/>
  <c r="G347" i="16"/>
  <c r="H347" i="16" s="1"/>
  <c r="M347" i="16" s="1"/>
  <c r="B23" i="339"/>
  <c r="C23" i="339"/>
  <c r="G358" i="16"/>
  <c r="H358" i="16" s="1"/>
  <c r="G359" i="16"/>
  <c r="H359" i="16" s="1"/>
  <c r="B24" i="339"/>
  <c r="C24" i="339"/>
  <c r="G370" i="16"/>
  <c r="H370" i="16" s="1"/>
  <c r="G371" i="16"/>
  <c r="H371" i="16" s="1"/>
  <c r="B25" i="339"/>
  <c r="C25" i="339"/>
  <c r="G382" i="16"/>
  <c r="H382" i="16" s="1"/>
  <c r="G383" i="16"/>
  <c r="H383" i="16" s="1"/>
  <c r="B26" i="339"/>
  <c r="C26" i="339"/>
  <c r="G394" i="16"/>
  <c r="H394" i="16" s="1"/>
  <c r="G395" i="16"/>
  <c r="H395" i="16" s="1"/>
  <c r="B27" i="339"/>
  <c r="C27" i="339"/>
  <c r="G406" i="16"/>
  <c r="H406" i="16" s="1"/>
  <c r="G407" i="16"/>
  <c r="H407" i="16" s="1"/>
  <c r="B28" i="339"/>
  <c r="C28" i="339"/>
  <c r="G418" i="16"/>
  <c r="H418" i="16" s="1"/>
  <c r="G419" i="16"/>
  <c r="H419" i="16" s="1"/>
  <c r="B29" i="339"/>
  <c r="C29" i="339"/>
  <c r="G430" i="16"/>
  <c r="H430" i="16" s="1"/>
  <c r="G431" i="16"/>
  <c r="H431" i="16" s="1"/>
  <c r="C30" i="339"/>
  <c r="G442" i="16"/>
  <c r="H442" i="16" s="1"/>
  <c r="M442" i="16" s="1"/>
  <c r="G443" i="16"/>
  <c r="H443" i="16" s="1"/>
  <c r="M443" i="16" s="1"/>
  <c r="B31" i="339"/>
  <c r="C31" i="339"/>
  <c r="G454" i="16"/>
  <c r="H454" i="16" s="1"/>
  <c r="G455" i="16"/>
  <c r="H455" i="16" s="1"/>
  <c r="B32" i="339"/>
  <c r="C32" i="339"/>
  <c r="G466" i="16"/>
  <c r="H466" i="16" s="1"/>
  <c r="M466" i="16" s="1"/>
  <c r="G467" i="16"/>
  <c r="H467" i="16" s="1"/>
  <c r="M467" i="16" s="1"/>
  <c r="G470" i="16"/>
  <c r="H470" i="16" s="1"/>
  <c r="M470" i="16" s="1"/>
  <c r="M471" i="16" s="1"/>
  <c r="B33" i="339"/>
  <c r="C33" i="339"/>
  <c r="G479" i="16"/>
  <c r="H479" i="16" s="1"/>
  <c r="M479" i="16" s="1"/>
  <c r="G480" i="16"/>
  <c r="H480" i="16" s="1"/>
  <c r="M480" i="16" s="1"/>
  <c r="G483" i="16"/>
  <c r="H483" i="16" s="1"/>
  <c r="H484" i="16" s="1"/>
  <c r="B34" i="339"/>
  <c r="C34" i="339"/>
  <c r="G492" i="16"/>
  <c r="H492" i="16" s="1"/>
  <c r="G493" i="16"/>
  <c r="H493" i="16" s="1"/>
  <c r="G496" i="16"/>
  <c r="H496" i="16" s="1"/>
  <c r="H497" i="16" s="1"/>
  <c r="B35" i="339"/>
  <c r="C35" i="339"/>
  <c r="G505" i="16"/>
  <c r="H505" i="16" s="1"/>
  <c r="G506" i="16"/>
  <c r="H506" i="16" s="1"/>
  <c r="G507" i="16"/>
  <c r="H507" i="16" s="1"/>
  <c r="G508" i="16"/>
  <c r="H508" i="16" s="1"/>
  <c r="G512" i="16"/>
  <c r="H512" i="16" s="1"/>
  <c r="G513" i="16"/>
  <c r="H513" i="16" s="1"/>
  <c r="B36" i="339"/>
  <c r="C36" i="339"/>
  <c r="G522" i="16"/>
  <c r="H522" i="16" s="1"/>
  <c r="G523" i="16"/>
  <c r="H523" i="16" s="1"/>
  <c r="G526" i="16"/>
  <c r="H526" i="16" s="1"/>
  <c r="H527" i="16" s="1"/>
  <c r="B37" i="339"/>
  <c r="C37" i="339"/>
  <c r="G535" i="16"/>
  <c r="H535" i="16" s="1"/>
  <c r="G536" i="16"/>
  <c r="H536" i="16" s="1"/>
  <c r="G539" i="16"/>
  <c r="H539" i="16" s="1"/>
  <c r="H540" i="16" s="1"/>
  <c r="B39" i="339"/>
  <c r="C39" i="339"/>
  <c r="B40" i="339"/>
  <c r="C40" i="339"/>
  <c r="G549" i="16"/>
  <c r="H549" i="16" s="1"/>
  <c r="G550" i="16"/>
  <c r="H550" i="16" s="1"/>
  <c r="G551" i="16"/>
  <c r="H551" i="16" s="1"/>
  <c r="G552" i="16"/>
  <c r="H552" i="16" s="1"/>
  <c r="G555" i="16"/>
  <c r="H555" i="16" s="1"/>
  <c r="G556" i="16"/>
  <c r="H556" i="16" s="1"/>
  <c r="G557" i="16"/>
  <c r="H557" i="16" s="1"/>
  <c r="B41" i="339"/>
  <c r="C41" i="339"/>
  <c r="G566" i="16"/>
  <c r="H566" i="16" s="1"/>
  <c r="G567" i="16"/>
  <c r="H567" i="16" s="1"/>
  <c r="G568" i="16"/>
  <c r="H568" i="16" s="1"/>
  <c r="G569" i="16"/>
  <c r="H569" i="16" s="1"/>
  <c r="G572" i="16"/>
  <c r="H572" i="16" s="1"/>
  <c r="G573" i="16"/>
  <c r="H573" i="16" s="1"/>
  <c r="G574" i="16"/>
  <c r="H574" i="16" s="1"/>
  <c r="B42" i="339"/>
  <c r="C42" i="339"/>
  <c r="G583" i="16"/>
  <c r="H583" i="16" s="1"/>
  <c r="M583" i="16" s="1"/>
  <c r="G584" i="16"/>
  <c r="H584" i="16" s="1"/>
  <c r="M584" i="16" s="1"/>
  <c r="G585" i="16"/>
  <c r="H585" i="16" s="1"/>
  <c r="M585" i="16" s="1"/>
  <c r="G586" i="16"/>
  <c r="H586" i="16" s="1"/>
  <c r="M586" i="16" s="1"/>
  <c r="G589" i="16"/>
  <c r="H589" i="16" s="1"/>
  <c r="M589" i="16" s="1"/>
  <c r="G590" i="16"/>
  <c r="H590" i="16" s="1"/>
  <c r="M590" i="16" s="1"/>
  <c r="G591" i="16"/>
  <c r="H591" i="16" s="1"/>
  <c r="M591" i="16" s="1"/>
  <c r="B43" i="339"/>
  <c r="C43" i="339"/>
  <c r="G600" i="16"/>
  <c r="H600" i="16" s="1"/>
  <c r="G601" i="16"/>
  <c r="H601" i="16" s="1"/>
  <c r="G602" i="16"/>
  <c r="H602" i="16" s="1"/>
  <c r="G603" i="16"/>
  <c r="H603" i="16" s="1"/>
  <c r="G606" i="16"/>
  <c r="H606" i="16" s="1"/>
  <c r="G607" i="16"/>
  <c r="H607" i="16" s="1"/>
  <c r="G608" i="16"/>
  <c r="H608" i="16" s="1"/>
  <c r="B44" i="339"/>
  <c r="C44" i="339"/>
  <c r="G617" i="16"/>
  <c r="H617" i="16" s="1"/>
  <c r="G618" i="16"/>
  <c r="H618" i="16" s="1"/>
  <c r="G619" i="16"/>
  <c r="H619" i="16" s="1"/>
  <c r="G620" i="16"/>
  <c r="H620" i="16" s="1"/>
  <c r="G623" i="16"/>
  <c r="H623" i="16" s="1"/>
  <c r="G624" i="16"/>
  <c r="H624" i="16" s="1"/>
  <c r="G625" i="16"/>
  <c r="H625" i="16" s="1"/>
  <c r="B45" i="339"/>
  <c r="C45" i="339"/>
  <c r="G634" i="16"/>
  <c r="H634" i="16" s="1"/>
  <c r="G635" i="16"/>
  <c r="H635" i="16" s="1"/>
  <c r="G636" i="16"/>
  <c r="H636" i="16" s="1"/>
  <c r="G637" i="16"/>
  <c r="H637" i="16" s="1"/>
  <c r="G640" i="16"/>
  <c r="H640" i="16" s="1"/>
  <c r="G641" i="16"/>
  <c r="H641" i="16" s="1"/>
  <c r="B46" i="339"/>
  <c r="C46" i="339"/>
  <c r="G650" i="16"/>
  <c r="H650" i="16" s="1"/>
  <c r="G651" i="16"/>
  <c r="H651" i="16" s="1"/>
  <c r="G652" i="16"/>
  <c r="H652" i="16" s="1"/>
  <c r="G653" i="16"/>
  <c r="H653" i="16" s="1"/>
  <c r="G656" i="16"/>
  <c r="H656" i="16" s="1"/>
  <c r="G657" i="16"/>
  <c r="H657" i="16" s="1"/>
  <c r="G658" i="16"/>
  <c r="H658" i="16" s="1"/>
  <c r="G659" i="16"/>
  <c r="H659" i="16" s="1"/>
  <c r="G660" i="16"/>
  <c r="H660" i="16" s="1"/>
  <c r="G661" i="16"/>
  <c r="H661" i="16" s="1"/>
  <c r="B47" i="339"/>
  <c r="C47" i="339"/>
  <c r="G670" i="16"/>
  <c r="H670" i="16" s="1"/>
  <c r="G671" i="16"/>
  <c r="H671" i="16" s="1"/>
  <c r="G672" i="16"/>
  <c r="H672" i="16" s="1"/>
  <c r="G673" i="16"/>
  <c r="H673" i="16" s="1"/>
  <c r="G676" i="16"/>
  <c r="H676" i="16" s="1"/>
  <c r="G677" i="16"/>
  <c r="H677" i="16" s="1"/>
  <c r="G678" i="16"/>
  <c r="H678" i="16" s="1"/>
  <c r="G679" i="16"/>
  <c r="H679" i="16" s="1"/>
  <c r="B48" i="339"/>
  <c r="C48" i="339"/>
  <c r="G688" i="16"/>
  <c r="H688" i="16" s="1"/>
  <c r="G689" i="16"/>
  <c r="H689" i="16" s="1"/>
  <c r="G690" i="16"/>
  <c r="H690" i="16" s="1"/>
  <c r="G691" i="16"/>
  <c r="H691" i="16" s="1"/>
  <c r="G694" i="16"/>
  <c r="H694" i="16" s="1"/>
  <c r="G695" i="16"/>
  <c r="H695" i="16" s="1"/>
  <c r="G696" i="16"/>
  <c r="H696" i="16" s="1"/>
  <c r="B50" i="339"/>
  <c r="C50" i="339"/>
  <c r="B51" i="339"/>
  <c r="C51" i="339"/>
  <c r="G706" i="16"/>
  <c r="H706" i="16" s="1"/>
  <c r="M706" i="16" s="1"/>
  <c r="G707" i="16"/>
  <c r="H707" i="16" s="1"/>
  <c r="M707" i="16" s="1"/>
  <c r="G708" i="16"/>
  <c r="H708" i="16" s="1"/>
  <c r="M708" i="16" s="1"/>
  <c r="G709" i="16"/>
  <c r="H709" i="16" s="1"/>
  <c r="M709" i="16" s="1"/>
  <c r="G712" i="16"/>
  <c r="H712" i="16" s="1"/>
  <c r="M712" i="16" s="1"/>
  <c r="G713" i="16"/>
  <c r="H713" i="16" s="1"/>
  <c r="M713" i="16" s="1"/>
  <c r="G714" i="16"/>
  <c r="H714" i="16" s="1"/>
  <c r="M714" i="16" s="1"/>
  <c r="G715" i="16"/>
  <c r="H715" i="16" s="1"/>
  <c r="M715" i="16" s="1"/>
  <c r="C52" i="339"/>
  <c r="G724" i="16"/>
  <c r="H724" i="16" s="1"/>
  <c r="G725" i="16"/>
  <c r="H725" i="16" s="1"/>
  <c r="G726" i="16"/>
  <c r="H726" i="16" s="1"/>
  <c r="G727" i="16"/>
  <c r="H727" i="16" s="1"/>
  <c r="G730" i="16"/>
  <c r="H730" i="16" s="1"/>
  <c r="G731" i="16"/>
  <c r="H731" i="16" s="1"/>
  <c r="G732" i="16"/>
  <c r="H732" i="16" s="1"/>
  <c r="G733" i="16"/>
  <c r="H733" i="16" s="1"/>
  <c r="C53" i="339"/>
  <c r="G742" i="16"/>
  <c r="H742" i="16" s="1"/>
  <c r="G743" i="16"/>
  <c r="H743" i="16" s="1"/>
  <c r="G744" i="16"/>
  <c r="H744" i="16" s="1"/>
  <c r="G745" i="16"/>
  <c r="H745" i="16" s="1"/>
  <c r="G748" i="16"/>
  <c r="H748" i="16" s="1"/>
  <c r="G749" i="16"/>
  <c r="H749" i="16" s="1"/>
  <c r="G750" i="16"/>
  <c r="H750" i="16" s="1"/>
  <c r="G751" i="16"/>
  <c r="H751" i="16" s="1"/>
  <c r="B54" i="339"/>
  <c r="C54" i="339"/>
  <c r="G762" i="16"/>
  <c r="H762" i="16" s="1"/>
  <c r="G763" i="16"/>
  <c r="H763" i="16" s="1"/>
  <c r="G764" i="16"/>
  <c r="H764" i="16" s="1"/>
  <c r="G765" i="16"/>
  <c r="H765" i="16" s="1"/>
  <c r="G768" i="16"/>
  <c r="H768" i="16" s="1"/>
  <c r="G769" i="16"/>
  <c r="H769" i="16" s="1"/>
  <c r="G770" i="16"/>
  <c r="H770" i="16" s="1"/>
  <c r="G771" i="16"/>
  <c r="H771" i="16" s="1"/>
  <c r="B55" i="339"/>
  <c r="G780" i="16"/>
  <c r="H780" i="16" s="1"/>
  <c r="G781" i="16"/>
  <c r="H781" i="16" s="1"/>
  <c r="G782" i="16"/>
  <c r="H782" i="16" s="1"/>
  <c r="G783" i="16"/>
  <c r="H783" i="16" s="1"/>
  <c r="G786" i="16"/>
  <c r="H786" i="16" s="1"/>
  <c r="G787" i="16"/>
  <c r="H787" i="16" s="1"/>
  <c r="G788" i="16"/>
  <c r="H788" i="16" s="1"/>
  <c r="G789" i="16"/>
  <c r="H789" i="16" s="1"/>
  <c r="B56" i="339"/>
  <c r="C56" i="339"/>
  <c r="G798" i="16"/>
  <c r="H798" i="16" s="1"/>
  <c r="G799" i="16"/>
  <c r="H799" i="16" s="1"/>
  <c r="G800" i="16"/>
  <c r="H800" i="16" s="1"/>
  <c r="G801" i="16"/>
  <c r="H801" i="16" s="1"/>
  <c r="G804" i="16"/>
  <c r="H804" i="16" s="1"/>
  <c r="G805" i="16"/>
  <c r="H805" i="16" s="1"/>
  <c r="G806" i="16"/>
  <c r="H806" i="16" s="1"/>
  <c r="G807" i="16"/>
  <c r="H807" i="16" s="1"/>
  <c r="B57" i="339"/>
  <c r="C57" i="339"/>
  <c r="G816" i="16"/>
  <c r="H816" i="16" s="1"/>
  <c r="G817" i="16"/>
  <c r="H817" i="16" s="1"/>
  <c r="G818" i="16"/>
  <c r="H818" i="16" s="1"/>
  <c r="G819" i="16"/>
  <c r="H819" i="16" s="1"/>
  <c r="G822" i="16"/>
  <c r="H822" i="16" s="1"/>
  <c r="G823" i="16"/>
  <c r="H823" i="16" s="1"/>
  <c r="G824" i="16"/>
  <c r="H824" i="16" s="1"/>
  <c r="G825" i="16"/>
  <c r="H825" i="16" s="1"/>
  <c r="B58" i="339"/>
  <c r="C58" i="339"/>
  <c r="G834" i="16"/>
  <c r="H834" i="16" s="1"/>
  <c r="G835" i="16"/>
  <c r="H835" i="16" s="1"/>
  <c r="G836" i="16"/>
  <c r="H836" i="16" s="1"/>
  <c r="G837" i="16"/>
  <c r="H837" i="16" s="1"/>
  <c r="G840" i="16"/>
  <c r="H840" i="16" s="1"/>
  <c r="G841" i="16"/>
  <c r="H841" i="16" s="1"/>
  <c r="G843" i="16"/>
  <c r="H843" i="16" s="1"/>
  <c r="B59" i="339"/>
  <c r="C59" i="339"/>
  <c r="G852" i="16"/>
  <c r="H852" i="16" s="1"/>
  <c r="M852" i="16" s="1"/>
  <c r="G853" i="16"/>
  <c r="H853" i="16" s="1"/>
  <c r="M853" i="16" s="1"/>
  <c r="G854" i="16"/>
  <c r="H854" i="16" s="1"/>
  <c r="M854" i="16" s="1"/>
  <c r="G855" i="16"/>
  <c r="H855" i="16" s="1"/>
  <c r="M855" i="16" s="1"/>
  <c r="G858" i="16"/>
  <c r="H858" i="16" s="1"/>
  <c r="M858" i="16" s="1"/>
  <c r="G859" i="16"/>
  <c r="H859" i="16" s="1"/>
  <c r="M859" i="16" s="1"/>
  <c r="G861" i="16"/>
  <c r="H861" i="16" s="1"/>
  <c r="M861" i="16" s="1"/>
  <c r="B60" i="339"/>
  <c r="C60" i="339"/>
  <c r="G870" i="16"/>
  <c r="H870" i="16" s="1"/>
  <c r="G871" i="16"/>
  <c r="H871" i="16" s="1"/>
  <c r="G872" i="16"/>
  <c r="H872" i="16" s="1"/>
  <c r="G873" i="16"/>
  <c r="H873" i="16" s="1"/>
  <c r="G876" i="16"/>
  <c r="H876" i="16" s="1"/>
  <c r="G877" i="16"/>
  <c r="H877" i="16" s="1"/>
  <c r="G879" i="16"/>
  <c r="H879" i="16" s="1"/>
  <c r="B61" i="339"/>
  <c r="C61" i="339"/>
  <c r="G888" i="16"/>
  <c r="H888" i="16" s="1"/>
  <c r="G889" i="16"/>
  <c r="H889" i="16" s="1"/>
  <c r="G890" i="16"/>
  <c r="H890" i="16" s="1"/>
  <c r="G891" i="16"/>
  <c r="H891" i="16" s="1"/>
  <c r="G894" i="16"/>
  <c r="H894" i="16" s="1"/>
  <c r="G895" i="16"/>
  <c r="H895" i="16" s="1"/>
  <c r="G897" i="16"/>
  <c r="H897" i="16" s="1"/>
  <c r="B62" i="339"/>
  <c r="C62" i="339"/>
  <c r="G906" i="16"/>
  <c r="H906" i="16" s="1"/>
  <c r="G907" i="16"/>
  <c r="H907" i="16" s="1"/>
  <c r="G908" i="16"/>
  <c r="H908" i="16" s="1"/>
  <c r="G909" i="16"/>
  <c r="H909" i="16" s="1"/>
  <c r="G912" i="16"/>
  <c r="H912" i="16" s="1"/>
  <c r="G913" i="16"/>
  <c r="H913" i="16" s="1"/>
  <c r="G915" i="16"/>
  <c r="H915" i="16" s="1"/>
  <c r="B63" i="339"/>
  <c r="C63" i="339"/>
  <c r="G924" i="16"/>
  <c r="H924" i="16" s="1"/>
  <c r="G925" i="16"/>
  <c r="H925" i="16" s="1"/>
  <c r="G926" i="16"/>
  <c r="H926" i="16" s="1"/>
  <c r="G927" i="16"/>
  <c r="H927" i="16" s="1"/>
  <c r="G930" i="16"/>
  <c r="H930" i="16" s="1"/>
  <c r="G931" i="16"/>
  <c r="H931" i="16" s="1"/>
  <c r="G932" i="16"/>
  <c r="H932" i="16" s="1"/>
  <c r="H933" i="16"/>
  <c r="B64" i="339"/>
  <c r="C64" i="339"/>
  <c r="G942" i="16"/>
  <c r="H942" i="16" s="1"/>
  <c r="G943" i="16"/>
  <c r="H943" i="16" s="1"/>
  <c r="G944" i="16"/>
  <c r="H944" i="16" s="1"/>
  <c r="G945" i="16"/>
  <c r="H945" i="16" s="1"/>
  <c r="G948" i="16"/>
  <c r="H948" i="16" s="1"/>
  <c r="H949" i="16" s="1"/>
  <c r="B65" i="339"/>
  <c r="C65" i="339"/>
  <c r="G957" i="16"/>
  <c r="H957" i="16" s="1"/>
  <c r="G958" i="16"/>
  <c r="H958" i="16" s="1"/>
  <c r="G959" i="16"/>
  <c r="H959" i="16" s="1"/>
  <c r="G960" i="16"/>
  <c r="H960" i="16" s="1"/>
  <c r="G963" i="16"/>
  <c r="H963" i="16" s="1"/>
  <c r="H964" i="16" s="1"/>
  <c r="B66" i="339"/>
  <c r="C66" i="339"/>
  <c r="G972" i="16"/>
  <c r="H972" i="16" s="1"/>
  <c r="G973" i="16"/>
  <c r="H973" i="16" s="1"/>
  <c r="G974" i="16"/>
  <c r="H974" i="16" s="1"/>
  <c r="G975" i="16"/>
  <c r="H975" i="16" s="1"/>
  <c r="G978" i="16"/>
  <c r="H978" i="16" s="1"/>
  <c r="H979" i="16" s="1"/>
  <c r="B67" i="339"/>
  <c r="C67" i="339"/>
  <c r="G987" i="16"/>
  <c r="H987" i="16" s="1"/>
  <c r="M987" i="16" s="1"/>
  <c r="G988" i="16"/>
  <c r="H988" i="16" s="1"/>
  <c r="M988" i="16" s="1"/>
  <c r="G989" i="16"/>
  <c r="H989" i="16" s="1"/>
  <c r="M989" i="16" s="1"/>
  <c r="G990" i="16"/>
  <c r="H990" i="16" s="1"/>
  <c r="M990" i="16" s="1"/>
  <c r="G993" i="16"/>
  <c r="H993" i="16" s="1"/>
  <c r="M993" i="16" s="1"/>
  <c r="G994" i="16"/>
  <c r="H994" i="16" s="1"/>
  <c r="M994" i="16" s="1"/>
  <c r="B68" i="339"/>
  <c r="C68" i="339"/>
  <c r="G1004" i="16"/>
  <c r="H1004" i="16" s="1"/>
  <c r="M1004" i="16" s="1"/>
  <c r="G1005" i="16"/>
  <c r="H1005" i="16" s="1"/>
  <c r="M1005" i="16" s="1"/>
  <c r="G1006" i="16"/>
  <c r="H1006" i="16" s="1"/>
  <c r="M1006" i="16" s="1"/>
  <c r="G1007" i="16"/>
  <c r="H1007" i="16" s="1"/>
  <c r="M1007" i="16" s="1"/>
  <c r="G1010" i="16"/>
  <c r="H1010" i="16" s="1"/>
  <c r="M1010" i="16" s="1"/>
  <c r="G1011" i="16"/>
  <c r="H1011" i="16" s="1"/>
  <c r="M1011" i="16" s="1"/>
  <c r="B69" i="339"/>
  <c r="C69" i="339"/>
  <c r="G1021" i="16"/>
  <c r="H1021" i="16" s="1"/>
  <c r="G1022" i="16"/>
  <c r="H1022" i="16" s="1"/>
  <c r="G1023" i="16"/>
  <c r="H1023" i="16" s="1"/>
  <c r="G1024" i="16"/>
  <c r="H1024" i="16" s="1"/>
  <c r="G1027" i="16"/>
  <c r="H1027" i="16" s="1"/>
  <c r="G1028" i="16"/>
  <c r="H1028" i="16" s="1"/>
  <c r="B70" i="339"/>
  <c r="D8036" i="16" s="1"/>
  <c r="C70" i="339"/>
  <c r="G1038" i="16"/>
  <c r="H1038" i="16" s="1"/>
  <c r="G1039" i="16"/>
  <c r="H1039" i="16" s="1"/>
  <c r="G1040" i="16"/>
  <c r="H1040" i="16" s="1"/>
  <c r="G1041" i="16"/>
  <c r="H1041" i="16" s="1"/>
  <c r="G1044" i="16"/>
  <c r="H1044" i="16" s="1"/>
  <c r="G1045" i="16"/>
  <c r="H1045" i="16" s="1"/>
  <c r="G1046" i="16"/>
  <c r="H1046" i="16" s="1"/>
  <c r="B71" i="339"/>
  <c r="C71" i="339"/>
  <c r="G1055" i="16"/>
  <c r="H1055" i="16" s="1"/>
  <c r="M1055" i="16" s="1"/>
  <c r="G1056" i="16"/>
  <c r="H1056" i="16" s="1"/>
  <c r="M1056" i="16" s="1"/>
  <c r="G1057" i="16"/>
  <c r="H1057" i="16" s="1"/>
  <c r="M1057" i="16" s="1"/>
  <c r="G1058" i="16"/>
  <c r="H1058" i="16" s="1"/>
  <c r="M1058" i="16" s="1"/>
  <c r="G1061" i="16"/>
  <c r="H1061" i="16" s="1"/>
  <c r="M1061" i="16" s="1"/>
  <c r="G1062" i="16"/>
  <c r="H1062" i="16" s="1"/>
  <c r="M1062" i="16" s="1"/>
  <c r="G1063" i="16"/>
  <c r="H1063" i="16" s="1"/>
  <c r="M1063" i="16" s="1"/>
  <c r="B72" i="339"/>
  <c r="C72" i="339"/>
  <c r="G1073" i="16"/>
  <c r="H1073" i="16" s="1"/>
  <c r="G1074" i="16"/>
  <c r="H1074" i="16" s="1"/>
  <c r="G1075" i="16"/>
  <c r="H1075" i="16" s="1"/>
  <c r="G1076" i="16"/>
  <c r="H1076" i="16" s="1"/>
  <c r="G1079" i="16"/>
  <c r="H1079" i="16" s="1"/>
  <c r="G1080" i="16"/>
  <c r="H1080" i="16" s="1"/>
  <c r="G1081" i="16"/>
  <c r="H1081" i="16" s="1"/>
  <c r="B73" i="339"/>
  <c r="C73" i="339"/>
  <c r="G1090" i="16"/>
  <c r="H1090" i="16" s="1"/>
  <c r="M1090" i="16" s="1"/>
  <c r="G1091" i="16"/>
  <c r="H1091" i="16" s="1"/>
  <c r="M1091" i="16" s="1"/>
  <c r="G1092" i="16"/>
  <c r="H1092" i="16" s="1"/>
  <c r="M1092" i="16" s="1"/>
  <c r="G1093" i="16"/>
  <c r="H1093" i="16" s="1"/>
  <c r="M1093" i="16" s="1"/>
  <c r="G1096" i="16"/>
  <c r="H1096" i="16" s="1"/>
  <c r="M1096" i="16" s="1"/>
  <c r="G1097" i="16"/>
  <c r="H1097" i="16" s="1"/>
  <c r="M1097" i="16" s="1"/>
  <c r="G1098" i="16"/>
  <c r="H1098" i="16" s="1"/>
  <c r="M1098" i="16" s="1"/>
  <c r="B74" i="339"/>
  <c r="C74" i="339"/>
  <c r="G1108" i="16"/>
  <c r="H1108" i="16" s="1"/>
  <c r="G1109" i="16"/>
  <c r="H1109" i="16" s="1"/>
  <c r="G1110" i="16"/>
  <c r="H1110" i="16" s="1"/>
  <c r="G1111" i="16"/>
  <c r="H1111" i="16" s="1"/>
  <c r="G1114" i="16"/>
  <c r="G1115" i="16"/>
  <c r="H1115" i="16" s="1"/>
  <c r="G1116" i="16"/>
  <c r="H1116" i="16" s="1"/>
  <c r="G1118" i="16"/>
  <c r="H1118" i="16" s="1"/>
  <c r="G1119" i="16"/>
  <c r="H1119" i="16" s="1"/>
  <c r="B75" i="339"/>
  <c r="C75" i="339"/>
  <c r="G1128" i="16"/>
  <c r="H1128" i="16" s="1"/>
  <c r="M1128" i="16" s="1"/>
  <c r="G1129" i="16"/>
  <c r="H1129" i="16" s="1"/>
  <c r="M1129" i="16" s="1"/>
  <c r="G1130" i="16"/>
  <c r="H1130" i="16" s="1"/>
  <c r="M1130" i="16" s="1"/>
  <c r="G1131" i="16"/>
  <c r="H1131" i="16" s="1"/>
  <c r="M1131" i="16" s="1"/>
  <c r="G1134" i="16"/>
  <c r="H1134" i="16" s="1"/>
  <c r="M1134" i="16" s="1"/>
  <c r="G1135" i="16"/>
  <c r="H1135" i="16" s="1"/>
  <c r="M1135" i="16" s="1"/>
  <c r="G1136" i="16"/>
  <c r="H1136" i="16" s="1"/>
  <c r="M1136" i="16" s="1"/>
  <c r="G1138" i="16"/>
  <c r="H1138" i="16" s="1"/>
  <c r="M1138" i="16" s="1"/>
  <c r="G1139" i="16"/>
  <c r="H1139" i="16" s="1"/>
  <c r="M1139" i="16" s="1"/>
  <c r="B76" i="339"/>
  <c r="C76" i="339"/>
  <c r="G1149" i="16"/>
  <c r="H1149" i="16" s="1"/>
  <c r="G1150" i="16"/>
  <c r="H1150" i="16" s="1"/>
  <c r="G1151" i="16"/>
  <c r="H1151" i="16" s="1"/>
  <c r="G1152" i="16"/>
  <c r="H1152" i="16" s="1"/>
  <c r="G1155" i="16"/>
  <c r="G1178" i="16" s="1"/>
  <c r="H1178" i="16" s="1"/>
  <c r="G1156" i="16"/>
  <c r="H1156" i="16" s="1"/>
  <c r="G1157" i="16"/>
  <c r="H1157" i="16" s="1"/>
  <c r="G1159" i="16"/>
  <c r="H1159" i="16" s="1"/>
  <c r="G1160" i="16"/>
  <c r="H1160" i="16" s="1"/>
  <c r="B77" i="339"/>
  <c r="C77" i="339"/>
  <c r="G1169" i="16"/>
  <c r="H1169" i="16" s="1"/>
  <c r="G1170" i="16"/>
  <c r="H1170" i="16" s="1"/>
  <c r="G1171" i="16"/>
  <c r="H1171" i="16" s="1"/>
  <c r="G1172" i="16"/>
  <c r="H1172" i="16" s="1"/>
  <c r="G1175" i="16"/>
  <c r="H1175" i="16" s="1"/>
  <c r="G1176" i="16"/>
  <c r="H1176" i="16" s="1"/>
  <c r="G1177" i="16"/>
  <c r="H1177" i="16" s="1"/>
  <c r="G1179" i="16"/>
  <c r="H1179" i="16" s="1"/>
  <c r="G1180" i="16"/>
  <c r="H1180" i="16" s="1"/>
  <c r="B78" i="339"/>
  <c r="C78" i="339"/>
  <c r="G1190" i="16"/>
  <c r="H1190" i="16" s="1"/>
  <c r="G1191" i="16"/>
  <c r="H1191" i="16" s="1"/>
  <c r="G1192" i="16"/>
  <c r="H1192" i="16" s="1"/>
  <c r="G1193" i="16"/>
  <c r="H1193" i="16" s="1"/>
  <c r="G1196" i="16"/>
  <c r="G1197" i="16"/>
  <c r="H1197" i="16" s="1"/>
  <c r="G1198" i="16"/>
  <c r="H1198" i="16" s="1"/>
  <c r="G1200" i="16"/>
  <c r="H1200" i="16" s="1"/>
  <c r="G1201" i="16"/>
  <c r="H1201" i="16" s="1"/>
  <c r="B79" i="339"/>
  <c r="C79" i="339"/>
  <c r="G1211" i="16"/>
  <c r="H1211" i="16" s="1"/>
  <c r="M1211" i="16" s="1"/>
  <c r="G1212" i="16"/>
  <c r="H1212" i="16" s="1"/>
  <c r="M1212" i="16" s="1"/>
  <c r="G1213" i="16"/>
  <c r="H1213" i="16" s="1"/>
  <c r="M1213" i="16" s="1"/>
  <c r="G1214" i="16"/>
  <c r="H1214" i="16" s="1"/>
  <c r="M1214" i="16" s="1"/>
  <c r="G1217" i="16"/>
  <c r="H1217" i="16" s="1"/>
  <c r="M1217" i="16" s="1"/>
  <c r="G1218" i="16"/>
  <c r="H1218" i="16" s="1"/>
  <c r="M1218" i="16" s="1"/>
  <c r="G1219" i="16"/>
  <c r="H1219" i="16" s="1"/>
  <c r="M1219" i="16" s="1"/>
  <c r="G1221" i="16"/>
  <c r="H1221" i="16" s="1"/>
  <c r="M1221" i="16" s="1"/>
  <c r="G1222" i="16"/>
  <c r="H1222" i="16" s="1"/>
  <c r="M1222" i="16" s="1"/>
  <c r="B80" i="339"/>
  <c r="C80" i="339"/>
  <c r="G1232" i="16"/>
  <c r="H1232" i="16" s="1"/>
  <c r="G1233" i="16"/>
  <c r="H1233" i="16" s="1"/>
  <c r="G1234" i="16"/>
  <c r="H1234" i="16" s="1"/>
  <c r="G1235" i="16"/>
  <c r="H1235" i="16" s="1"/>
  <c r="G1238" i="16"/>
  <c r="G1240" i="16" s="1"/>
  <c r="H1240" i="16" s="1"/>
  <c r="G1239" i="16"/>
  <c r="H1239" i="16" s="1"/>
  <c r="G1241" i="16"/>
  <c r="H1241" i="16" s="1"/>
  <c r="G1242" i="16"/>
  <c r="H1242" i="16" s="1"/>
  <c r="G1243" i="16"/>
  <c r="H1243" i="16" s="1"/>
  <c r="B81" i="339"/>
  <c r="I154" i="351" s="1"/>
  <c r="C81" i="339"/>
  <c r="G1252" i="16"/>
  <c r="H1252" i="16" s="1"/>
  <c r="M1252" i="16" s="1"/>
  <c r="G1253" i="16"/>
  <c r="H1253" i="16" s="1"/>
  <c r="M1253" i="16" s="1"/>
  <c r="G1254" i="16"/>
  <c r="H1254" i="16" s="1"/>
  <c r="M1254" i="16" s="1"/>
  <c r="G1255" i="16"/>
  <c r="H1255" i="16" s="1"/>
  <c r="M1255" i="16" s="1"/>
  <c r="G1258" i="16"/>
  <c r="H1258" i="16" s="1"/>
  <c r="M1258" i="16" s="1"/>
  <c r="G1259" i="16"/>
  <c r="H1259" i="16" s="1"/>
  <c r="M1259" i="16" s="1"/>
  <c r="G1260" i="16"/>
  <c r="H1260" i="16" s="1"/>
  <c r="M1260" i="16" s="1"/>
  <c r="G1262" i="16"/>
  <c r="H1262" i="16" s="1"/>
  <c r="M1262" i="16" s="1"/>
  <c r="G1263" i="16"/>
  <c r="H1263" i="16" s="1"/>
  <c r="M1263" i="16" s="1"/>
  <c r="B82" i="339"/>
  <c r="C82" i="339"/>
  <c r="G1272" i="16"/>
  <c r="H1272" i="16" s="1"/>
  <c r="M1272" i="16" s="1"/>
  <c r="G1273" i="16"/>
  <c r="H1273" i="16" s="1"/>
  <c r="M1273" i="16" s="1"/>
  <c r="G1274" i="16"/>
  <c r="H1274" i="16" s="1"/>
  <c r="M1274" i="16" s="1"/>
  <c r="G1275" i="16"/>
  <c r="H1275" i="16" s="1"/>
  <c r="M1275" i="16" s="1"/>
  <c r="G1278" i="16"/>
  <c r="H1278" i="16" s="1"/>
  <c r="M1278" i="16" s="1"/>
  <c r="G1279" i="16"/>
  <c r="H1279" i="16" s="1"/>
  <c r="M1279" i="16" s="1"/>
  <c r="G1280" i="16"/>
  <c r="H1280" i="16" s="1"/>
  <c r="M1280" i="16" s="1"/>
  <c r="G1282" i="16"/>
  <c r="H1282" i="16" s="1"/>
  <c r="M1282" i="16" s="1"/>
  <c r="G1283" i="16"/>
  <c r="H1283" i="16" s="1"/>
  <c r="M1283" i="16" s="1"/>
  <c r="B83" i="339"/>
  <c r="C83" i="339"/>
  <c r="G1292" i="16"/>
  <c r="H1292" i="16" s="1"/>
  <c r="G1293" i="16"/>
  <c r="H1293" i="16" s="1"/>
  <c r="G1294" i="16"/>
  <c r="H1294" i="16" s="1"/>
  <c r="G1295" i="16"/>
  <c r="H1295" i="16" s="1"/>
  <c r="G1298" i="16"/>
  <c r="H1298" i="16" s="1"/>
  <c r="G1299" i="16"/>
  <c r="H1299" i="16" s="1"/>
  <c r="G1300" i="16"/>
  <c r="H1300" i="16" s="1"/>
  <c r="B84" i="339"/>
  <c r="C84" i="339"/>
  <c r="G1309" i="16"/>
  <c r="H1309" i="16" s="1"/>
  <c r="M1309" i="16" s="1"/>
  <c r="G1310" i="16"/>
  <c r="H1310" i="16" s="1"/>
  <c r="M1310" i="16" s="1"/>
  <c r="G1311" i="16"/>
  <c r="H1311" i="16" s="1"/>
  <c r="M1311" i="16" s="1"/>
  <c r="G1312" i="16"/>
  <c r="H1312" i="16" s="1"/>
  <c r="M1312" i="16" s="1"/>
  <c r="G1313" i="16"/>
  <c r="H1313" i="16" s="1"/>
  <c r="M1313" i="16" s="1"/>
  <c r="G1314" i="16"/>
  <c r="H1314" i="16" s="1"/>
  <c r="M1314" i="16" s="1"/>
  <c r="G1317" i="16"/>
  <c r="H1317" i="16" s="1"/>
  <c r="M1317" i="16" s="1"/>
  <c r="G1318" i="16"/>
  <c r="H1318" i="16" s="1"/>
  <c r="M1318" i="16" s="1"/>
  <c r="G1319" i="16"/>
  <c r="H1319" i="16" s="1"/>
  <c r="M1319" i="16" s="1"/>
  <c r="G1320" i="16"/>
  <c r="H1320" i="16" s="1"/>
  <c r="M1320" i="16" s="1"/>
  <c r="G1321" i="16"/>
  <c r="H1321" i="16" s="1"/>
  <c r="M1321" i="16" s="1"/>
  <c r="G1322" i="16"/>
  <c r="H1322" i="16" s="1"/>
  <c r="M1322" i="16" s="1"/>
  <c r="G1323" i="16"/>
  <c r="H1323" i="16" s="1"/>
  <c r="M1323" i="16" s="1"/>
  <c r="B85" i="339"/>
  <c r="C85" i="339"/>
  <c r="G1356" i="16"/>
  <c r="H1356" i="16" s="1"/>
  <c r="M1356" i="16" s="1"/>
  <c r="G1357" i="16"/>
  <c r="H1357" i="16" s="1"/>
  <c r="M1357" i="16" s="1"/>
  <c r="G1358" i="16"/>
  <c r="H1358" i="16" s="1"/>
  <c r="M1358" i="16" s="1"/>
  <c r="G1359" i="16"/>
  <c r="H1359" i="16" s="1"/>
  <c r="M1359" i="16" s="1"/>
  <c r="G1360" i="16"/>
  <c r="H1360" i="16" s="1"/>
  <c r="M1360" i="16" s="1"/>
  <c r="G1361" i="16"/>
  <c r="H1361" i="16" s="1"/>
  <c r="M1361" i="16" s="1"/>
  <c r="G1364" i="16"/>
  <c r="H1364" i="16" s="1"/>
  <c r="M1364" i="16" s="1"/>
  <c r="G1365" i="16"/>
  <c r="H1365" i="16" s="1"/>
  <c r="M1365" i="16" s="1"/>
  <c r="G1366" i="16"/>
  <c r="H1366" i="16" s="1"/>
  <c r="M1366" i="16" s="1"/>
  <c r="G1367" i="16"/>
  <c r="H1367" i="16" s="1"/>
  <c r="M1367" i="16" s="1"/>
  <c r="G1368" i="16"/>
  <c r="H1368" i="16" s="1"/>
  <c r="M1368" i="16" s="1"/>
  <c r="G1369" i="16"/>
  <c r="H1369" i="16" s="1"/>
  <c r="M1369" i="16" s="1"/>
  <c r="G1370" i="16"/>
  <c r="H1370" i="16" s="1"/>
  <c r="M1370" i="16" s="1"/>
  <c r="B87" i="339"/>
  <c r="C87" i="339"/>
  <c r="B88" i="339"/>
  <c r="C88" i="339"/>
  <c r="G1404" i="16"/>
  <c r="H1404" i="16" s="1"/>
  <c r="G1405" i="16"/>
  <c r="H1405" i="16" s="1"/>
  <c r="G1406" i="16"/>
  <c r="H1406" i="16" s="1"/>
  <c r="G1407" i="16"/>
  <c r="H1407" i="16" s="1"/>
  <c r="G1410" i="16"/>
  <c r="H1410" i="16" s="1"/>
  <c r="G1411" i="16"/>
  <c r="H1411" i="16" s="1"/>
  <c r="G1412" i="16"/>
  <c r="H1412" i="16" s="1"/>
  <c r="G1413" i="16"/>
  <c r="H1413" i="16" s="1"/>
  <c r="B89" i="339"/>
  <c r="C89" i="339"/>
  <c r="G1422" i="16"/>
  <c r="H1422" i="16" s="1"/>
  <c r="G1423" i="16"/>
  <c r="H1423" i="16" s="1"/>
  <c r="G1424" i="16"/>
  <c r="H1424" i="16" s="1"/>
  <c r="G1425" i="16"/>
  <c r="H1425" i="16" s="1"/>
  <c r="G1428" i="16"/>
  <c r="H1428" i="16" s="1"/>
  <c r="G1429" i="16"/>
  <c r="H1429" i="16" s="1"/>
  <c r="G1430" i="16"/>
  <c r="H1430" i="16" s="1"/>
  <c r="G1431" i="16"/>
  <c r="H1431" i="16" s="1"/>
  <c r="B90" i="339"/>
  <c r="C90" i="339"/>
  <c r="G1440" i="16"/>
  <c r="H1440" i="16" s="1"/>
  <c r="G1441" i="16"/>
  <c r="H1441" i="16" s="1"/>
  <c r="G1442" i="16"/>
  <c r="H1442" i="16" s="1"/>
  <c r="G1443" i="16"/>
  <c r="H1443" i="16" s="1"/>
  <c r="G1446" i="16"/>
  <c r="H1446" i="16" s="1"/>
  <c r="G1447" i="16"/>
  <c r="H1447" i="16" s="1"/>
  <c r="G1448" i="16"/>
  <c r="H1448" i="16" s="1"/>
  <c r="G1449" i="16"/>
  <c r="H1449" i="16" s="1"/>
  <c r="B91" i="339"/>
  <c r="C91" i="339"/>
  <c r="G1458" i="16"/>
  <c r="H1458" i="16" s="1"/>
  <c r="G1459" i="16"/>
  <c r="H1459" i="16" s="1"/>
  <c r="G1460" i="16"/>
  <c r="H1460" i="16" s="1"/>
  <c r="G1461" i="16"/>
  <c r="H1461" i="16" s="1"/>
  <c r="G1464" i="16"/>
  <c r="H1464" i="16" s="1"/>
  <c r="G1465" i="16"/>
  <c r="H1465" i="16" s="1"/>
  <c r="G1466" i="16"/>
  <c r="H1466" i="16" s="1"/>
  <c r="G1467" i="16"/>
  <c r="H1467" i="16" s="1"/>
  <c r="B92" i="339"/>
  <c r="C92" i="339"/>
  <c r="G1476" i="16"/>
  <c r="H1476" i="16" s="1"/>
  <c r="G1477" i="16"/>
  <c r="H1477" i="16" s="1"/>
  <c r="G1478" i="16"/>
  <c r="H1478" i="16" s="1"/>
  <c r="G1479" i="16"/>
  <c r="H1479" i="16" s="1"/>
  <c r="G1483" i="16"/>
  <c r="H1483" i="16" s="1"/>
  <c r="G1484" i="16"/>
  <c r="H1484" i="16" s="1"/>
  <c r="G1485" i="16"/>
  <c r="H1485" i="16" s="1"/>
  <c r="G1486" i="16"/>
  <c r="H1486" i="16" s="1"/>
  <c r="G1487" i="16"/>
  <c r="H1487" i="16" s="1"/>
  <c r="B93" i="339"/>
  <c r="C93" i="339"/>
  <c r="G1496" i="16"/>
  <c r="H1496" i="16" s="1"/>
  <c r="G1497" i="16"/>
  <c r="H1497" i="16" s="1"/>
  <c r="G1498" i="16"/>
  <c r="H1498" i="16" s="1"/>
  <c r="G1499" i="16"/>
  <c r="H1499" i="16" s="1"/>
  <c r="G1502" i="16"/>
  <c r="H1502" i="16" s="1"/>
  <c r="G1503" i="16"/>
  <c r="H1503" i="16" s="1"/>
  <c r="G1504" i="16"/>
  <c r="H1504" i="16" s="1"/>
  <c r="G1505" i="16"/>
  <c r="H1505" i="16" s="1"/>
  <c r="B94" i="339"/>
  <c r="C94" i="339"/>
  <c r="G1514" i="16"/>
  <c r="H1514" i="16" s="1"/>
  <c r="G1515" i="16"/>
  <c r="H1515" i="16" s="1"/>
  <c r="G1516" i="16"/>
  <c r="H1516" i="16" s="1"/>
  <c r="G1517" i="16"/>
  <c r="H1517" i="16" s="1"/>
  <c r="G1520" i="16"/>
  <c r="H1520" i="16" s="1"/>
  <c r="G1521" i="16"/>
  <c r="H1521" i="16" s="1"/>
  <c r="G1522" i="16"/>
  <c r="H1522" i="16" s="1"/>
  <c r="G1523" i="16"/>
  <c r="H1523" i="16" s="1"/>
  <c r="G1524" i="16"/>
  <c r="H1524" i="16" s="1"/>
  <c r="B95" i="339"/>
  <c r="C95" i="339"/>
  <c r="G1533" i="16"/>
  <c r="H1533" i="16" s="1"/>
  <c r="G1534" i="16"/>
  <c r="H1534" i="16" s="1"/>
  <c r="G1535" i="16"/>
  <c r="H1535" i="16" s="1"/>
  <c r="B96" i="339"/>
  <c r="C96" i="339"/>
  <c r="G1546" i="16"/>
  <c r="H1546" i="16" s="1"/>
  <c r="G1547" i="16"/>
  <c r="H1547" i="16" s="1"/>
  <c r="G1548" i="16"/>
  <c r="H1548" i="16" s="1"/>
  <c r="B97" i="339"/>
  <c r="C97" i="339"/>
  <c r="G1559" i="16"/>
  <c r="H1559" i="16" s="1"/>
  <c r="G1560" i="16"/>
  <c r="H1560" i="16" s="1"/>
  <c r="G1561" i="16"/>
  <c r="H1561" i="16" s="1"/>
  <c r="B98" i="339"/>
  <c r="C98" i="339"/>
  <c r="G1572" i="16"/>
  <c r="H1572" i="16" s="1"/>
  <c r="G1573" i="16"/>
  <c r="H1573" i="16" s="1"/>
  <c r="G1574" i="16"/>
  <c r="H1574" i="16" s="1"/>
  <c r="G1575" i="16"/>
  <c r="H1575" i="16" s="1"/>
  <c r="G1576" i="16"/>
  <c r="H1576" i="16" s="1"/>
  <c r="B99" i="339"/>
  <c r="C99" i="339"/>
  <c r="G1587" i="16"/>
  <c r="H1587" i="16" s="1"/>
  <c r="G1588" i="16"/>
  <c r="H1588" i="16" s="1"/>
  <c r="G1589" i="16"/>
  <c r="H1589" i="16" s="1"/>
  <c r="G1590" i="16"/>
  <c r="H1590" i="16" s="1"/>
  <c r="G1591" i="16"/>
  <c r="H1591" i="16" s="1"/>
  <c r="B100" i="339"/>
  <c r="C100" i="339"/>
  <c r="G1602" i="16"/>
  <c r="H1602" i="16" s="1"/>
  <c r="G1603" i="16"/>
  <c r="H1603" i="16" s="1"/>
  <c r="G1604" i="16"/>
  <c r="H1604" i="16" s="1"/>
  <c r="G1605" i="16"/>
  <c r="H1605" i="16" s="1"/>
  <c r="G1606" i="16"/>
  <c r="H1606" i="16" s="1"/>
  <c r="B101" i="339"/>
  <c r="C101" i="339"/>
  <c r="G1617" i="16"/>
  <c r="H1617" i="16" s="1"/>
  <c r="G1618" i="16"/>
  <c r="H1618" i="16" s="1"/>
  <c r="G1619" i="16"/>
  <c r="H1619" i="16" s="1"/>
  <c r="G1620" i="16"/>
  <c r="H1620" i="16" s="1"/>
  <c r="G1621" i="16"/>
  <c r="H1621" i="16" s="1"/>
  <c r="G1624" i="16"/>
  <c r="H1624" i="16" s="1"/>
  <c r="H1625" i="16" s="1"/>
  <c r="G1627" i="16"/>
  <c r="H1627" i="16" s="1"/>
  <c r="G1628" i="16"/>
  <c r="H1628" i="16" s="1"/>
  <c r="B102" i="339"/>
  <c r="C102" i="339"/>
  <c r="G1653" i="16"/>
  <c r="H1653" i="16" s="1"/>
  <c r="G1654" i="16"/>
  <c r="H1654" i="16" s="1"/>
  <c r="G1655" i="16"/>
  <c r="H1655" i="16" s="1"/>
  <c r="G1656" i="16"/>
  <c r="H1656" i="16" s="1"/>
  <c r="G1657" i="16"/>
  <c r="H1657" i="16" s="1"/>
  <c r="G1658" i="16"/>
  <c r="H1658" i="16" s="1"/>
  <c r="G1659" i="16"/>
  <c r="H1659" i="16" s="1"/>
  <c r="G1662" i="16"/>
  <c r="H1662" i="16" s="1"/>
  <c r="H1663" i="16" s="1"/>
  <c r="G1665" i="16"/>
  <c r="H1665" i="16" s="1"/>
  <c r="G1666" i="16"/>
  <c r="H1666" i="16" s="1"/>
  <c r="B103" i="339"/>
  <c r="C103" i="339"/>
  <c r="G1676" i="16"/>
  <c r="H1676" i="16" s="1"/>
  <c r="G1677" i="16"/>
  <c r="H1677" i="16" s="1"/>
  <c r="G1678" i="16"/>
  <c r="H1678" i="16" s="1"/>
  <c r="G1679" i="16"/>
  <c r="H1679" i="16" s="1"/>
  <c r="G1680" i="16"/>
  <c r="H1680" i="16" s="1"/>
  <c r="G1681" i="16"/>
  <c r="H1681" i="16" s="1"/>
  <c r="G1682" i="16"/>
  <c r="H1682" i="16" s="1"/>
  <c r="G1685" i="16"/>
  <c r="H1685" i="16" s="1"/>
  <c r="H1686" i="16" s="1"/>
  <c r="G1688" i="16"/>
  <c r="H1688" i="16" s="1"/>
  <c r="G1689" i="16"/>
  <c r="H1689" i="16" s="1"/>
  <c r="B104" i="339"/>
  <c r="C104" i="339"/>
  <c r="G1699" i="16"/>
  <c r="H1699" i="16" s="1"/>
  <c r="G1700" i="16"/>
  <c r="H1700" i="16" s="1"/>
  <c r="G1701" i="16"/>
  <c r="H1701" i="16" s="1"/>
  <c r="G1702" i="16"/>
  <c r="H1702" i="16" s="1"/>
  <c r="G1705" i="16"/>
  <c r="H1705" i="16" s="1"/>
  <c r="H1706" i="16" s="1"/>
  <c r="G1708" i="16"/>
  <c r="H1708" i="16" s="1"/>
  <c r="H1709" i="16" s="1"/>
  <c r="B105" i="339"/>
  <c r="C105" i="339"/>
  <c r="G1718" i="16"/>
  <c r="H1718" i="16" s="1"/>
  <c r="G1719" i="16"/>
  <c r="H1719" i="16" s="1"/>
  <c r="G1720" i="16"/>
  <c r="H1720" i="16" s="1"/>
  <c r="G1721" i="16"/>
  <c r="H1721" i="16" s="1"/>
  <c r="G1724" i="16"/>
  <c r="H1724" i="16" s="1"/>
  <c r="H1725" i="16" s="1"/>
  <c r="G1727" i="16"/>
  <c r="H1727" i="16" s="1"/>
  <c r="H1728" i="16" s="1"/>
  <c r="B106" i="339"/>
  <c r="C106" i="339"/>
  <c r="G1737" i="16"/>
  <c r="H1737" i="16" s="1"/>
  <c r="G1738" i="16"/>
  <c r="H1738" i="16" s="1"/>
  <c r="G1739" i="16"/>
  <c r="H1739" i="16" s="1"/>
  <c r="G1740" i="16"/>
  <c r="H1740" i="16" s="1"/>
  <c r="G1743" i="16"/>
  <c r="H1743" i="16" s="1"/>
  <c r="H1744" i="16" s="1"/>
  <c r="G1746" i="16"/>
  <c r="H1746" i="16" s="1"/>
  <c r="H1747" i="16" s="1"/>
  <c r="B107" i="339"/>
  <c r="C107" i="339"/>
  <c r="G1758" i="16"/>
  <c r="H1758" i="16" s="1"/>
  <c r="G1759" i="16"/>
  <c r="H1759" i="16" s="1"/>
  <c r="G1760" i="16"/>
  <c r="H1760" i="16" s="1"/>
  <c r="B108" i="339"/>
  <c r="C108" i="339"/>
  <c r="G1771" i="16"/>
  <c r="H1771" i="16" s="1"/>
  <c r="G1772" i="16"/>
  <c r="H1772" i="16" s="1"/>
  <c r="B109" i="339"/>
  <c r="C109" i="339"/>
  <c r="G1781" i="16"/>
  <c r="H1781" i="16" s="1"/>
  <c r="G1782" i="16"/>
  <c r="H1782" i="16" s="1"/>
  <c r="G1783" i="16"/>
  <c r="H1783" i="16" s="1"/>
  <c r="B110" i="339"/>
  <c r="C110" i="339"/>
  <c r="G1794" i="16"/>
  <c r="H1794" i="16" s="1"/>
  <c r="G1795" i="16"/>
  <c r="H1795" i="16" s="1"/>
  <c r="G1796" i="16"/>
  <c r="H1796" i="16" s="1"/>
  <c r="G1797" i="16"/>
  <c r="H1797" i="16" s="1"/>
  <c r="G1800" i="16"/>
  <c r="H1800" i="16" s="1"/>
  <c r="G1801" i="16"/>
  <c r="H1801" i="16" s="1"/>
  <c r="G1802" i="16"/>
  <c r="H1802" i="16" s="1"/>
  <c r="B111" i="339"/>
  <c r="C111" i="339"/>
  <c r="G1811" i="16"/>
  <c r="H1811" i="16" s="1"/>
  <c r="G1812" i="16"/>
  <c r="H1812" i="16" s="1"/>
  <c r="G1813" i="16"/>
  <c r="H1813" i="16" s="1"/>
  <c r="G1814" i="16"/>
  <c r="H1814" i="16" s="1"/>
  <c r="B113" i="339"/>
  <c r="C113" i="339"/>
  <c r="B114" i="339"/>
  <c r="I111" i="351" s="1"/>
  <c r="C114" i="339"/>
  <c r="G1826" i="16"/>
  <c r="H1826" i="16" s="1"/>
  <c r="M1826" i="16" s="1"/>
  <c r="G1827" i="16"/>
  <c r="H1827" i="16" s="1"/>
  <c r="M1827" i="16" s="1"/>
  <c r="G1828" i="16"/>
  <c r="H1828" i="16" s="1"/>
  <c r="M1828" i="16" s="1"/>
  <c r="G1829" i="16"/>
  <c r="H1829" i="16" s="1"/>
  <c r="M1829" i="16" s="1"/>
  <c r="G1832" i="16"/>
  <c r="H1832" i="16" s="1"/>
  <c r="B115" i="339"/>
  <c r="C115" i="339"/>
  <c r="G1841" i="16"/>
  <c r="H1841" i="16" s="1"/>
  <c r="G1842" i="16"/>
  <c r="H1842" i="16" s="1"/>
  <c r="G1843" i="16"/>
  <c r="H1843" i="16" s="1"/>
  <c r="G1844" i="16"/>
  <c r="H1844" i="16" s="1"/>
  <c r="G1847" i="16"/>
  <c r="H1847" i="16" s="1"/>
  <c r="H1848" i="16" s="1"/>
  <c r="B116" i="339"/>
  <c r="C116" i="339"/>
  <c r="G1856" i="16"/>
  <c r="H1856" i="16" s="1"/>
  <c r="G1857" i="16"/>
  <c r="H1857" i="16" s="1"/>
  <c r="G1858" i="16"/>
  <c r="H1858" i="16" s="1"/>
  <c r="G1859" i="16"/>
  <c r="H1859" i="16" s="1"/>
  <c r="G1862" i="16"/>
  <c r="H1862" i="16" s="1"/>
  <c r="G1863" i="16"/>
  <c r="H1863" i="16" s="1"/>
  <c r="B117" i="339"/>
  <c r="I66" i="351" s="1"/>
  <c r="C117" i="339"/>
  <c r="G1872" i="16"/>
  <c r="H1872" i="16" s="1"/>
  <c r="M1872" i="16" s="1"/>
  <c r="G1873" i="16"/>
  <c r="H1873" i="16" s="1"/>
  <c r="M1873" i="16" s="1"/>
  <c r="G1874" i="16"/>
  <c r="H1874" i="16" s="1"/>
  <c r="M1874" i="16" s="1"/>
  <c r="G1875" i="16"/>
  <c r="H1875" i="16" s="1"/>
  <c r="M1875" i="16" s="1"/>
  <c r="G1878" i="16"/>
  <c r="H1878" i="16" s="1"/>
  <c r="M1878" i="16" s="1"/>
  <c r="G1879" i="16"/>
  <c r="H1879" i="16" s="1"/>
  <c r="M1879" i="16" s="1"/>
  <c r="G1880" i="16"/>
  <c r="H1880" i="16" s="1"/>
  <c r="M1880" i="16" s="1"/>
  <c r="B118" i="339"/>
  <c r="C118" i="339"/>
  <c r="G1889" i="16"/>
  <c r="H1889" i="16" s="1"/>
  <c r="G1890" i="16"/>
  <c r="H1890" i="16" s="1"/>
  <c r="G1891" i="16"/>
  <c r="H1891" i="16" s="1"/>
  <c r="G1892" i="16"/>
  <c r="H1892" i="16" s="1"/>
  <c r="G1895" i="16"/>
  <c r="H1895" i="16" s="1"/>
  <c r="G1896" i="16"/>
  <c r="H1896" i="16" s="1"/>
  <c r="G1897" i="16"/>
  <c r="H1897" i="16" s="1"/>
  <c r="G1900" i="16"/>
  <c r="H1900" i="16" s="1"/>
  <c r="H1901" i="16" s="1"/>
  <c r="B119" i="339"/>
  <c r="C119" i="339"/>
  <c r="G1911" i="16"/>
  <c r="H1911" i="16" s="1"/>
  <c r="G1912" i="16"/>
  <c r="H1912" i="16" s="1"/>
  <c r="G1913" i="16"/>
  <c r="H1913" i="16" s="1"/>
  <c r="G1914" i="16"/>
  <c r="H1914" i="16" s="1"/>
  <c r="G1917" i="16"/>
  <c r="H1917" i="16" s="1"/>
  <c r="G1918" i="16"/>
  <c r="H1918" i="16" s="1"/>
  <c r="B120" i="339"/>
  <c r="C120" i="339"/>
  <c r="G1928" i="16"/>
  <c r="H1928" i="16" s="1"/>
  <c r="G1929" i="16"/>
  <c r="H1929" i="16" s="1"/>
  <c r="G1930" i="16"/>
  <c r="H1930" i="16" s="1"/>
  <c r="G1931" i="16"/>
  <c r="H1931" i="16" s="1"/>
  <c r="G1934" i="16"/>
  <c r="H1934" i="16" s="1"/>
  <c r="H1935" i="16" s="1"/>
  <c r="B121" i="339"/>
  <c r="C121" i="339"/>
  <c r="G1943" i="16"/>
  <c r="H1943" i="16" s="1"/>
  <c r="G1944" i="16"/>
  <c r="H1944" i="16" s="1"/>
  <c r="G1945" i="16"/>
  <c r="H1945" i="16" s="1"/>
  <c r="G1946" i="16"/>
  <c r="H1946" i="16" s="1"/>
  <c r="G1949" i="16"/>
  <c r="H1949" i="16" s="1"/>
  <c r="H1950" i="16" s="1"/>
  <c r="B122" i="339"/>
  <c r="C122" i="339"/>
  <c r="G1958" i="16"/>
  <c r="H1958" i="16" s="1"/>
  <c r="G1959" i="16"/>
  <c r="H1959" i="16" s="1"/>
  <c r="G1960" i="16"/>
  <c r="H1960" i="16" s="1"/>
  <c r="G1961" i="16"/>
  <c r="H1961" i="16" s="1"/>
  <c r="G1964" i="16"/>
  <c r="H1964" i="16" s="1"/>
  <c r="H1965" i="16" s="1"/>
  <c r="B123" i="339"/>
  <c r="C123" i="339"/>
  <c r="G1973" i="16"/>
  <c r="H1973" i="16" s="1"/>
  <c r="G1974" i="16"/>
  <c r="H1974" i="16" s="1"/>
  <c r="G1975" i="16"/>
  <c r="H1975" i="16" s="1"/>
  <c r="G1976" i="16"/>
  <c r="H1976" i="16" s="1"/>
  <c r="G1979" i="16"/>
  <c r="H1979" i="16" s="1"/>
  <c r="H1980" i="16" s="1"/>
  <c r="B124" i="339"/>
  <c r="C124" i="339"/>
  <c r="G1988" i="16"/>
  <c r="H1988" i="16" s="1"/>
  <c r="G1989" i="16"/>
  <c r="H1989" i="16" s="1"/>
  <c r="G1990" i="16"/>
  <c r="H1990" i="16" s="1"/>
  <c r="G1991" i="16"/>
  <c r="H1991" i="16" s="1"/>
  <c r="G1994" i="16"/>
  <c r="H1994" i="16" s="1"/>
  <c r="G1995" i="16"/>
  <c r="H1995" i="16" s="1"/>
  <c r="G1996" i="16"/>
  <c r="H1996" i="16" s="1"/>
  <c r="B125" i="339"/>
  <c r="C125" i="339"/>
  <c r="G2005" i="16"/>
  <c r="H2005" i="16" s="1"/>
  <c r="G2006" i="16"/>
  <c r="H2006" i="16" s="1"/>
  <c r="G2007" i="16"/>
  <c r="H2007" i="16" s="1"/>
  <c r="G2008" i="16"/>
  <c r="H2008" i="16" s="1"/>
  <c r="G2011" i="16"/>
  <c r="H2011" i="16" s="1"/>
  <c r="G2012" i="16"/>
  <c r="H2012" i="16" s="1"/>
  <c r="G2013" i="16"/>
  <c r="H2013" i="16" s="1"/>
  <c r="B126" i="339"/>
  <c r="C126" i="339"/>
  <c r="G2022" i="16"/>
  <c r="H2022" i="16" s="1"/>
  <c r="G2023" i="16"/>
  <c r="H2023" i="16" s="1"/>
  <c r="G2024" i="16"/>
  <c r="H2024" i="16" s="1"/>
  <c r="G2025" i="16"/>
  <c r="H2025" i="16" s="1"/>
  <c r="G2028" i="16"/>
  <c r="H2028" i="16" s="1"/>
  <c r="G2029" i="16"/>
  <c r="H2029" i="16" s="1"/>
  <c r="G2030" i="16"/>
  <c r="H2030" i="16" s="1"/>
  <c r="B127" i="339"/>
  <c r="C127" i="339"/>
  <c r="G2039" i="16"/>
  <c r="H2039" i="16" s="1"/>
  <c r="G2040" i="16"/>
  <c r="H2040" i="16" s="1"/>
  <c r="G2041" i="16"/>
  <c r="H2041" i="16" s="1"/>
  <c r="G2042" i="16"/>
  <c r="H2042" i="16" s="1"/>
  <c r="G2045" i="16"/>
  <c r="H2045" i="16" s="1"/>
  <c r="G2046" i="16"/>
  <c r="H2046" i="16" s="1"/>
  <c r="G2047" i="16"/>
  <c r="H2047" i="16" s="1"/>
  <c r="B128" i="339"/>
  <c r="C128" i="339"/>
  <c r="G2056" i="16"/>
  <c r="H2056" i="16" s="1"/>
  <c r="G2057" i="16"/>
  <c r="H2057" i="16" s="1"/>
  <c r="G2058" i="16"/>
  <c r="H2058" i="16" s="1"/>
  <c r="G2059" i="16"/>
  <c r="H2059" i="16" s="1"/>
  <c r="G2062" i="16"/>
  <c r="H2062" i="16" s="1"/>
  <c r="G2063" i="16"/>
  <c r="H2063" i="16" s="1"/>
  <c r="B129" i="339"/>
  <c r="C129" i="339"/>
  <c r="G2072" i="16"/>
  <c r="H2072" i="16" s="1"/>
  <c r="G2073" i="16"/>
  <c r="H2073" i="16" s="1"/>
  <c r="G2074" i="16"/>
  <c r="H2074" i="16" s="1"/>
  <c r="G2075" i="16"/>
  <c r="H2075" i="16" s="1"/>
  <c r="G2078" i="16"/>
  <c r="H2078" i="16" s="1"/>
  <c r="G2079" i="16"/>
  <c r="H2079" i="16" s="1"/>
  <c r="G2080" i="16"/>
  <c r="H2080" i="16" s="1"/>
  <c r="B130" i="339"/>
  <c r="C130" i="339"/>
  <c r="G2089" i="16"/>
  <c r="H2089" i="16" s="1"/>
  <c r="G2090" i="16"/>
  <c r="H2090" i="16" s="1"/>
  <c r="G2091" i="16"/>
  <c r="H2091" i="16" s="1"/>
  <c r="G2092" i="16"/>
  <c r="H2092" i="16" s="1"/>
  <c r="G2095" i="16"/>
  <c r="H2095" i="16" s="1"/>
  <c r="H2096" i="16" s="1"/>
  <c r="B131" i="339"/>
  <c r="C131" i="339"/>
  <c r="G2104" i="16"/>
  <c r="H2104" i="16" s="1"/>
  <c r="G2105" i="16"/>
  <c r="H2105" i="16" s="1"/>
  <c r="G2106" i="16"/>
  <c r="H2106" i="16" s="1"/>
  <c r="G2107" i="16"/>
  <c r="H2107" i="16" s="1"/>
  <c r="G2110" i="16"/>
  <c r="H2110" i="16" s="1"/>
  <c r="H2111" i="16" s="1"/>
  <c r="B132" i="339"/>
  <c r="C132" i="339"/>
  <c r="G2119" i="16"/>
  <c r="H2119" i="16" s="1"/>
  <c r="G2120" i="16"/>
  <c r="H2120" i="16" s="1"/>
  <c r="G2121" i="16"/>
  <c r="H2121" i="16" s="1"/>
  <c r="G2122" i="16"/>
  <c r="H2122" i="16" s="1"/>
  <c r="G2125" i="16"/>
  <c r="H2125" i="16" s="1"/>
  <c r="B133" i="339"/>
  <c r="C133" i="339"/>
  <c r="G2135" i="16"/>
  <c r="H2135" i="16" s="1"/>
  <c r="G2136" i="16"/>
  <c r="H2136" i="16" s="1"/>
  <c r="G2137" i="16"/>
  <c r="H2137" i="16" s="1"/>
  <c r="G2138" i="16"/>
  <c r="H2138" i="16" s="1"/>
  <c r="G2141" i="16"/>
  <c r="H2141" i="16" s="1"/>
  <c r="G2143" i="16"/>
  <c r="H2143" i="16" s="1"/>
  <c r="B134" i="339"/>
  <c r="C134" i="339"/>
  <c r="G2152" i="16"/>
  <c r="H2152" i="16" s="1"/>
  <c r="G2153" i="16"/>
  <c r="H2153" i="16" s="1"/>
  <c r="G2154" i="16"/>
  <c r="H2154" i="16" s="1"/>
  <c r="G2155" i="16"/>
  <c r="H2155" i="16" s="1"/>
  <c r="G2158" i="16"/>
  <c r="H2158" i="16" s="1"/>
  <c r="G2159" i="16"/>
  <c r="H2159" i="16" s="1"/>
  <c r="G2160" i="16"/>
  <c r="B135" i="339"/>
  <c r="C135" i="339"/>
  <c r="G2169" i="16"/>
  <c r="H2169" i="16" s="1"/>
  <c r="G2170" i="16"/>
  <c r="H2170" i="16" s="1"/>
  <c r="G2171" i="16"/>
  <c r="H2171" i="16" s="1"/>
  <c r="G2172" i="16"/>
  <c r="H2172" i="16" s="1"/>
  <c r="G2175" i="16"/>
  <c r="H2175" i="16" s="1"/>
  <c r="G2176" i="16"/>
  <c r="H2176" i="16" s="1"/>
  <c r="G2177" i="16"/>
  <c r="H2177" i="16" s="1"/>
  <c r="B136" i="339"/>
  <c r="C136" i="339"/>
  <c r="G2186" i="16"/>
  <c r="H2186" i="16" s="1"/>
  <c r="G2187" i="16"/>
  <c r="H2187" i="16" s="1"/>
  <c r="G2188" i="16"/>
  <c r="H2188" i="16" s="1"/>
  <c r="G2189" i="16"/>
  <c r="H2189" i="16" s="1"/>
  <c r="G2192" i="16"/>
  <c r="H2192" i="16" s="1"/>
  <c r="G2193" i="16"/>
  <c r="H2193" i="16" s="1"/>
  <c r="G2194" i="16"/>
  <c r="H2194" i="16" s="1"/>
  <c r="B137" i="339"/>
  <c r="C137" i="339"/>
  <c r="G2203" i="16"/>
  <c r="H2203" i="16" s="1"/>
  <c r="G2204" i="16"/>
  <c r="H2204" i="16" s="1"/>
  <c r="G2205" i="16"/>
  <c r="H2205" i="16" s="1"/>
  <c r="G2206" i="16"/>
  <c r="H2206" i="16" s="1"/>
  <c r="G2209" i="16"/>
  <c r="H2209" i="16" s="1"/>
  <c r="G2226" i="16" s="1"/>
  <c r="H2226" i="16" s="1"/>
  <c r="B138" i="339"/>
  <c r="C138" i="339"/>
  <c r="G2269" i="16"/>
  <c r="H2269" i="16" s="1"/>
  <c r="G2270" i="16"/>
  <c r="H2270" i="16" s="1"/>
  <c r="G2271" i="16"/>
  <c r="H2271" i="16" s="1"/>
  <c r="G2272" i="16"/>
  <c r="H2272" i="16" s="1"/>
  <c r="G2275" i="16"/>
  <c r="H2275" i="16" s="1"/>
  <c r="G2241" i="16"/>
  <c r="H2241" i="16" s="1"/>
  <c r="B139" i="339"/>
  <c r="C139" i="339"/>
  <c r="G2252" i="16"/>
  <c r="H2252" i="16" s="1"/>
  <c r="G2253" i="16"/>
  <c r="H2253" i="16" s="1"/>
  <c r="G2254" i="16"/>
  <c r="H2254" i="16" s="1"/>
  <c r="G2255" i="16"/>
  <c r="H2255" i="16" s="1"/>
  <c r="G2258" i="16"/>
  <c r="B140" i="339"/>
  <c r="C140" i="339"/>
  <c r="G2235" i="16"/>
  <c r="H2235" i="16" s="1"/>
  <c r="G2236" i="16"/>
  <c r="H2236" i="16" s="1"/>
  <c r="G2237" i="16"/>
  <c r="H2237" i="16" s="1"/>
  <c r="G2238" i="16"/>
  <c r="H2238" i="16" s="1"/>
  <c r="B141" i="339"/>
  <c r="C141" i="339"/>
  <c r="G2286" i="16"/>
  <c r="H2286" i="16" s="1"/>
  <c r="G2287" i="16"/>
  <c r="H2287" i="16" s="1"/>
  <c r="G2288" i="16"/>
  <c r="H2288" i="16" s="1"/>
  <c r="G2289" i="16"/>
  <c r="H2289" i="16" s="1"/>
  <c r="G2292" i="16"/>
  <c r="H2292" i="16" s="1"/>
  <c r="G2293" i="16"/>
  <c r="H2293" i="16" s="1"/>
  <c r="G2294" i="16"/>
  <c r="H2294" i="16" s="1"/>
  <c r="B142" i="339"/>
  <c r="C142" i="339"/>
  <c r="G2303" i="16"/>
  <c r="H2303" i="16" s="1"/>
  <c r="G2304" i="16"/>
  <c r="H2304" i="16" s="1"/>
  <c r="G2305" i="16"/>
  <c r="H2305" i="16" s="1"/>
  <c r="G2306" i="16"/>
  <c r="H2306" i="16" s="1"/>
  <c r="G2309" i="16"/>
  <c r="H2309" i="16" s="1"/>
  <c r="G2310" i="16"/>
  <c r="H2310" i="16" s="1"/>
  <c r="G2311" i="16"/>
  <c r="H2311" i="16" s="1"/>
  <c r="B143" i="339"/>
  <c r="C143" i="339"/>
  <c r="G2320" i="16"/>
  <c r="H2320" i="16" s="1"/>
  <c r="G2321" i="16"/>
  <c r="H2321" i="16" s="1"/>
  <c r="G2322" i="16"/>
  <c r="H2322" i="16" s="1"/>
  <c r="G2323" i="16"/>
  <c r="H2323" i="16" s="1"/>
  <c r="G2326" i="16"/>
  <c r="H2326" i="16" s="1"/>
  <c r="G2327" i="16"/>
  <c r="H2327" i="16" s="1"/>
  <c r="G2328" i="16"/>
  <c r="H2328" i="16" s="1"/>
  <c r="B144" i="339"/>
  <c r="C144" i="339"/>
  <c r="G2337" i="16"/>
  <c r="H2337" i="16" s="1"/>
  <c r="G2338" i="16"/>
  <c r="H2338" i="16" s="1"/>
  <c r="G2339" i="16"/>
  <c r="H2339" i="16" s="1"/>
  <c r="G2340" i="16"/>
  <c r="H2340" i="16" s="1"/>
  <c r="G2343" i="16"/>
  <c r="H2343" i="16" s="1"/>
  <c r="G2344" i="16"/>
  <c r="H2344" i="16" s="1"/>
  <c r="G2345" i="16"/>
  <c r="H2345" i="16" s="1"/>
  <c r="B146" i="339"/>
  <c r="C146" i="339"/>
  <c r="B147" i="339"/>
  <c r="C147" i="339"/>
  <c r="G2355" i="16"/>
  <c r="H2355" i="16" s="1"/>
  <c r="G2356" i="16"/>
  <c r="H2356" i="16" s="1"/>
  <c r="G2357" i="16"/>
  <c r="H2357" i="16" s="1"/>
  <c r="G2358" i="16"/>
  <c r="H2358" i="16" s="1"/>
  <c r="G2361" i="16"/>
  <c r="H2361" i="16" s="1"/>
  <c r="G2362" i="16"/>
  <c r="H2362" i="16" s="1"/>
  <c r="G2363" i="16"/>
  <c r="H2363" i="16" s="1"/>
  <c r="B148" i="339"/>
  <c r="C148" i="339"/>
  <c r="G2372" i="16"/>
  <c r="H2372" i="16" s="1"/>
  <c r="G2373" i="16"/>
  <c r="H2373" i="16" s="1"/>
  <c r="G2374" i="16"/>
  <c r="H2374" i="16" s="1"/>
  <c r="G2375" i="16"/>
  <c r="H2375" i="16" s="1"/>
  <c r="G2378" i="16"/>
  <c r="H2378" i="16" s="1"/>
  <c r="G2379" i="16"/>
  <c r="H2379" i="16" s="1"/>
  <c r="G2380" i="16"/>
  <c r="H2380" i="16" s="1"/>
  <c r="C149" i="339"/>
  <c r="G2389" i="16"/>
  <c r="H2389" i="16" s="1"/>
  <c r="G2390" i="16"/>
  <c r="H2390" i="16" s="1"/>
  <c r="G2391" i="16"/>
  <c r="H2391" i="16" s="1"/>
  <c r="G2392" i="16"/>
  <c r="H2392" i="16" s="1"/>
  <c r="G2395" i="16"/>
  <c r="H2395" i="16" s="1"/>
  <c r="H2396" i="16"/>
  <c r="G2397" i="16"/>
  <c r="H2397" i="16" s="1"/>
  <c r="B150" i="339"/>
  <c r="C150" i="339"/>
  <c r="G2406" i="16"/>
  <c r="H2406" i="16" s="1"/>
  <c r="G2407" i="16"/>
  <c r="H2407" i="16" s="1"/>
  <c r="G2408" i="16"/>
  <c r="H2408" i="16" s="1"/>
  <c r="G2409" i="16"/>
  <c r="H2409" i="16" s="1"/>
  <c r="G2412" i="16"/>
  <c r="H2412" i="16" s="1"/>
  <c r="G2413" i="16"/>
  <c r="H2413" i="16" s="1"/>
  <c r="G2414" i="16"/>
  <c r="H2414" i="16" s="1"/>
  <c r="B151" i="339"/>
  <c r="C151" i="339"/>
  <c r="G2423" i="16"/>
  <c r="H2423" i="16" s="1"/>
  <c r="G2424" i="16"/>
  <c r="H2424" i="16" s="1"/>
  <c r="G2425" i="16"/>
  <c r="H2425" i="16" s="1"/>
  <c r="G2426" i="16"/>
  <c r="H2426" i="16" s="1"/>
  <c r="G2429" i="16"/>
  <c r="H2429" i="16" s="1"/>
  <c r="G2430" i="16"/>
  <c r="H2430" i="16" s="1"/>
  <c r="G2431" i="16"/>
  <c r="H2431" i="16" s="1"/>
  <c r="B152" i="339"/>
  <c r="D7977" i="16" s="1"/>
  <c r="C152" i="339"/>
  <c r="C7977" i="16" s="1"/>
  <c r="G2441" i="16"/>
  <c r="H2441" i="16" s="1"/>
  <c r="G2442" i="16"/>
  <c r="H2442" i="16" s="1"/>
  <c r="G2443" i="16"/>
  <c r="H2443" i="16" s="1"/>
  <c r="G2444" i="16"/>
  <c r="H2444" i="16" s="1"/>
  <c r="G2447" i="16"/>
  <c r="H2447" i="16" s="1"/>
  <c r="G2448" i="16"/>
  <c r="H2448" i="16" s="1"/>
  <c r="G2449" i="16"/>
  <c r="H2449" i="16" s="1"/>
  <c r="B153" i="339"/>
  <c r="C153" i="339"/>
  <c r="G2458" i="16"/>
  <c r="H2458" i="16" s="1"/>
  <c r="G2459" i="16"/>
  <c r="H2459" i="16" s="1"/>
  <c r="G2460" i="16"/>
  <c r="H2460" i="16" s="1"/>
  <c r="G2461" i="16"/>
  <c r="H2461" i="16" s="1"/>
  <c r="G2464" i="16"/>
  <c r="H2464" i="16" s="1"/>
  <c r="G2465" i="16"/>
  <c r="H2465" i="16" s="1"/>
  <c r="G2466" i="16"/>
  <c r="H2466" i="16" s="1"/>
  <c r="B154" i="339"/>
  <c r="I104" i="351" s="1"/>
  <c r="C154" i="339"/>
  <c r="G2474" i="16"/>
  <c r="H2474" i="16" s="1"/>
  <c r="M2474" i="16" s="1"/>
  <c r="G2475" i="16"/>
  <c r="H2475" i="16" s="1"/>
  <c r="M2475" i="16" s="1"/>
  <c r="G2476" i="16"/>
  <c r="H2476" i="16" s="1"/>
  <c r="M2476" i="16" s="1"/>
  <c r="G2477" i="16"/>
  <c r="H2477" i="16" s="1"/>
  <c r="M2477" i="16" s="1"/>
  <c r="G2480" i="16"/>
  <c r="H2480" i="16" s="1"/>
  <c r="M2480" i="16" s="1"/>
  <c r="G2481" i="16"/>
  <c r="H2481" i="16" s="1"/>
  <c r="M2481" i="16" s="1"/>
  <c r="G2482" i="16"/>
  <c r="H2482" i="16" s="1"/>
  <c r="M2482" i="16" s="1"/>
  <c r="B155" i="339"/>
  <c r="C155" i="339"/>
  <c r="G2491" i="16"/>
  <c r="G2492" i="16"/>
  <c r="G2493" i="16"/>
  <c r="H2493" i="16" s="1"/>
  <c r="G2494" i="16"/>
  <c r="G8909" i="16" s="1"/>
  <c r="H8909" i="16" s="1"/>
  <c r="G2497" i="16"/>
  <c r="H2497" i="16" s="1"/>
  <c r="G2498" i="16"/>
  <c r="H2498" i="16" s="1"/>
  <c r="G2499" i="16"/>
  <c r="H2499" i="16" s="1"/>
  <c r="B156" i="339"/>
  <c r="C156" i="339"/>
  <c r="G2508" i="16"/>
  <c r="H2508" i="16" s="1"/>
  <c r="G2509" i="16"/>
  <c r="H2509" i="16" s="1"/>
  <c r="G2510" i="16"/>
  <c r="H2510" i="16" s="1"/>
  <c r="G2511" i="16"/>
  <c r="H2511" i="16" s="1"/>
  <c r="G2514" i="16"/>
  <c r="H2514" i="16" s="1"/>
  <c r="G2515" i="16"/>
  <c r="H2515" i="16" s="1"/>
  <c r="G2516" i="16"/>
  <c r="H2516" i="16" s="1"/>
  <c r="B157" i="339"/>
  <c r="C157" i="339"/>
  <c r="G2525" i="16"/>
  <c r="H2525" i="16" s="1"/>
  <c r="G2526" i="16"/>
  <c r="H2526" i="16" s="1"/>
  <c r="G2527" i="16"/>
  <c r="H2527" i="16" s="1"/>
  <c r="G2528" i="16"/>
  <c r="H2528" i="16" s="1"/>
  <c r="G2531" i="16"/>
  <c r="H2531" i="16" s="1"/>
  <c r="G2532" i="16"/>
  <c r="H2532" i="16" s="1"/>
  <c r="G2533" i="16"/>
  <c r="H2533" i="16" s="1"/>
  <c r="G2534" i="16"/>
  <c r="H2534" i="16" s="1"/>
  <c r="B158" i="339"/>
  <c r="C158" i="339"/>
  <c r="G2543" i="16"/>
  <c r="H2543" i="16" s="1"/>
  <c r="G2544" i="16"/>
  <c r="H2544" i="16" s="1"/>
  <c r="G2545" i="16"/>
  <c r="H2545" i="16" s="1"/>
  <c r="G2546" i="16"/>
  <c r="H2546" i="16" s="1"/>
  <c r="G2549" i="16"/>
  <c r="H2549" i="16" s="1"/>
  <c r="G2550" i="16"/>
  <c r="H2550" i="16" s="1"/>
  <c r="G2551" i="16"/>
  <c r="H2551" i="16" s="1"/>
  <c r="G2552" i="16"/>
  <c r="H2552" i="16" s="1"/>
  <c r="B159" i="339"/>
  <c r="C159" i="339"/>
  <c r="G2603" i="16"/>
  <c r="H2603" i="16" s="1"/>
  <c r="G2604" i="16"/>
  <c r="H2604" i="16" s="1"/>
  <c r="G2605" i="16"/>
  <c r="H2605" i="16" s="1"/>
  <c r="G2606" i="16"/>
  <c r="H2606" i="16" s="1"/>
  <c r="G2609" i="16"/>
  <c r="H2609" i="16" s="1"/>
  <c r="G2610" i="16"/>
  <c r="H2610" i="16" s="1"/>
  <c r="G2611" i="16"/>
  <c r="H2611" i="16" s="1"/>
  <c r="G2612" i="16"/>
  <c r="H2612" i="16" s="1"/>
  <c r="B160" i="339"/>
  <c r="C160" i="339"/>
  <c r="G2621" i="16"/>
  <c r="H2621" i="16" s="1"/>
  <c r="G2622" i="16"/>
  <c r="H2622" i="16" s="1"/>
  <c r="G2623" i="16"/>
  <c r="H2623" i="16" s="1"/>
  <c r="G2624" i="16"/>
  <c r="H2624" i="16" s="1"/>
  <c r="G2627" i="16"/>
  <c r="H2627" i="16" s="1"/>
  <c r="G2628" i="16"/>
  <c r="H2628" i="16" s="1"/>
  <c r="G2629" i="16"/>
  <c r="H2629" i="16" s="1"/>
  <c r="G2630" i="16"/>
  <c r="H2630" i="16" s="1"/>
  <c r="B161" i="339"/>
  <c r="C161" i="339"/>
  <c r="G2640" i="16"/>
  <c r="H2640" i="16" s="1"/>
  <c r="G2641" i="16"/>
  <c r="H2641" i="16" s="1"/>
  <c r="G2642" i="16"/>
  <c r="H2642" i="16" s="1"/>
  <c r="G2643" i="16"/>
  <c r="H2643" i="16" s="1"/>
  <c r="G2646" i="16"/>
  <c r="H2646" i="16" s="1"/>
  <c r="G2647" i="16"/>
  <c r="H2647" i="16" s="1"/>
  <c r="G2648" i="16"/>
  <c r="H2648" i="16" s="1"/>
  <c r="G2649" i="16"/>
  <c r="H2649" i="16" s="1"/>
  <c r="B162" i="339"/>
  <c r="C162" i="339"/>
  <c r="G2658" i="16"/>
  <c r="H2658" i="16" s="1"/>
  <c r="G2659" i="16"/>
  <c r="H2659" i="16" s="1"/>
  <c r="G2660" i="16"/>
  <c r="H2660" i="16" s="1"/>
  <c r="G2661" i="16"/>
  <c r="H2661" i="16" s="1"/>
  <c r="G2664" i="16"/>
  <c r="H2664" i="16" s="1"/>
  <c r="G2665" i="16"/>
  <c r="H2665" i="16" s="1"/>
  <c r="G2666" i="16"/>
  <c r="H2666" i="16" s="1"/>
  <c r="G2667" i="16"/>
  <c r="H2667" i="16" s="1"/>
  <c r="B163" i="339"/>
  <c r="C163" i="339"/>
  <c r="G2676" i="16"/>
  <c r="H2676" i="16" s="1"/>
  <c r="M2676" i="16" s="1"/>
  <c r="G2677" i="16"/>
  <c r="H2677" i="16" s="1"/>
  <c r="M2677" i="16" s="1"/>
  <c r="G2678" i="16"/>
  <c r="H2678" i="16" s="1"/>
  <c r="M2678" i="16" s="1"/>
  <c r="G2679" i="16"/>
  <c r="H2679" i="16" s="1"/>
  <c r="M2679" i="16" s="1"/>
  <c r="G2682" i="16"/>
  <c r="H2682" i="16" s="1"/>
  <c r="M2682" i="16" s="1"/>
  <c r="G2683" i="16"/>
  <c r="H2683" i="16" s="1"/>
  <c r="M2683" i="16" s="1"/>
  <c r="G2684" i="16"/>
  <c r="H2684" i="16" s="1"/>
  <c r="M2684" i="16" s="1"/>
  <c r="B164" i="339"/>
  <c r="C164" i="339"/>
  <c r="G2693" i="16"/>
  <c r="H2693" i="16" s="1"/>
  <c r="G2694" i="16"/>
  <c r="H2694" i="16" s="1"/>
  <c r="G2695" i="16"/>
  <c r="H2695" i="16" s="1"/>
  <c r="G2696" i="16"/>
  <c r="H2696" i="16" s="1"/>
  <c r="G2699" i="16"/>
  <c r="H2699" i="16" s="1"/>
  <c r="G2700" i="16"/>
  <c r="H2700" i="16" s="1"/>
  <c r="G2701" i="16"/>
  <c r="H2701" i="16" s="1"/>
  <c r="B165" i="339"/>
  <c r="C165" i="339"/>
  <c r="G2710" i="16"/>
  <c r="H2710" i="16" s="1"/>
  <c r="G2711" i="16"/>
  <c r="H2711" i="16" s="1"/>
  <c r="G2712" i="16"/>
  <c r="H2712" i="16" s="1"/>
  <c r="G2713" i="16"/>
  <c r="H2713" i="16" s="1"/>
  <c r="G2716" i="16"/>
  <c r="H2716" i="16" s="1"/>
  <c r="G2717" i="16"/>
  <c r="H2717" i="16" s="1"/>
  <c r="B166" i="339"/>
  <c r="C166" i="339"/>
  <c r="G2726" i="16"/>
  <c r="H2726" i="16" s="1"/>
  <c r="G2727" i="16"/>
  <c r="H2727" i="16" s="1"/>
  <c r="G2728" i="16"/>
  <c r="H2728" i="16" s="1"/>
  <c r="G2729" i="16"/>
  <c r="H2729" i="16" s="1"/>
  <c r="G2732" i="16"/>
  <c r="H2732" i="16" s="1"/>
  <c r="G2733" i="16"/>
  <c r="H2733" i="16" s="1"/>
  <c r="B168" i="339"/>
  <c r="C168" i="339"/>
  <c r="B169" i="339"/>
  <c r="C169" i="339"/>
  <c r="G2743" i="16"/>
  <c r="H2743" i="16" s="1"/>
  <c r="G2744" i="16"/>
  <c r="H2744" i="16" s="1"/>
  <c r="G2745" i="16"/>
  <c r="H2745" i="16" s="1"/>
  <c r="G2746" i="16"/>
  <c r="H2746" i="16" s="1"/>
  <c r="G2749" i="16"/>
  <c r="H2749" i="16" s="1"/>
  <c r="G2750" i="16"/>
  <c r="H2750" i="16" s="1"/>
  <c r="B170" i="339"/>
  <c r="D7978" i="16" s="1"/>
  <c r="C170" i="339"/>
  <c r="C7978" i="16" s="1"/>
  <c r="C8147" i="16" s="1"/>
  <c r="G2759" i="16"/>
  <c r="H2759" i="16" s="1"/>
  <c r="G2760" i="16"/>
  <c r="H2760" i="16" s="1"/>
  <c r="G2761" i="16"/>
  <c r="H2761" i="16" s="1"/>
  <c r="G2762" i="16"/>
  <c r="H2762" i="16" s="1"/>
  <c r="G2765" i="16"/>
  <c r="H2765" i="16" s="1"/>
  <c r="G2766" i="16"/>
  <c r="H2766" i="16" s="1"/>
  <c r="B171" i="339"/>
  <c r="C171" i="339"/>
  <c r="G2775" i="16"/>
  <c r="H2775" i="16" s="1"/>
  <c r="G2776" i="16"/>
  <c r="H2776" i="16" s="1"/>
  <c r="G2777" i="16"/>
  <c r="H2777" i="16" s="1"/>
  <c r="G2778" i="16"/>
  <c r="H2778" i="16" s="1"/>
  <c r="G2781" i="16"/>
  <c r="H2781" i="16" s="1"/>
  <c r="G2782" i="16"/>
  <c r="H2782" i="16" s="1"/>
  <c r="B172" i="339"/>
  <c r="I105" i="351" s="1"/>
  <c r="C172" i="339"/>
  <c r="G2791" i="16"/>
  <c r="H2791" i="16" s="1"/>
  <c r="M2791" i="16" s="1"/>
  <c r="G2792" i="16"/>
  <c r="H2792" i="16" s="1"/>
  <c r="M2792" i="16" s="1"/>
  <c r="G2793" i="16"/>
  <c r="H2793" i="16" s="1"/>
  <c r="M2793" i="16" s="1"/>
  <c r="G2794" i="16"/>
  <c r="H2794" i="16" s="1"/>
  <c r="M2794" i="16" s="1"/>
  <c r="G2797" i="16"/>
  <c r="H2797" i="16" s="1"/>
  <c r="M2797" i="16" s="1"/>
  <c r="M2799" i="16" s="1"/>
  <c r="G2798" i="16"/>
  <c r="H2798" i="16" s="1"/>
  <c r="M2798" i="16" s="1"/>
  <c r="B173" i="339"/>
  <c r="C173" i="339"/>
  <c r="G2807" i="16"/>
  <c r="H2807" i="16" s="1"/>
  <c r="G2808" i="16"/>
  <c r="H2808" i="16" s="1"/>
  <c r="G2809" i="16"/>
  <c r="H2809" i="16" s="1"/>
  <c r="G2810" i="16"/>
  <c r="H2810" i="16" s="1"/>
  <c r="G2813" i="16"/>
  <c r="H2813" i="16" s="1"/>
  <c r="G2814" i="16"/>
  <c r="H2814" i="16" s="1"/>
  <c r="B174" i="339"/>
  <c r="C174" i="339"/>
  <c r="G2823" i="16"/>
  <c r="H2823" i="16" s="1"/>
  <c r="G2824" i="16"/>
  <c r="H2824" i="16" s="1"/>
  <c r="G2825" i="16"/>
  <c r="H2825" i="16" s="1"/>
  <c r="G2826" i="16"/>
  <c r="H2826" i="16" s="1"/>
  <c r="G2829" i="16"/>
  <c r="H2829" i="16" s="1"/>
  <c r="G2830" i="16"/>
  <c r="H2830" i="16" s="1"/>
  <c r="B175" i="339"/>
  <c r="C175" i="339"/>
  <c r="G2839" i="16"/>
  <c r="H2839" i="16" s="1"/>
  <c r="G2840" i="16"/>
  <c r="H2840" i="16" s="1"/>
  <c r="G2841" i="16"/>
  <c r="H2841" i="16" s="1"/>
  <c r="G2842" i="16"/>
  <c r="H2842" i="16" s="1"/>
  <c r="G2845" i="16"/>
  <c r="H2845" i="16" s="1"/>
  <c r="G2846" i="16"/>
  <c r="H2846" i="16" s="1"/>
  <c r="B176" i="339"/>
  <c r="C176" i="339"/>
  <c r="G2855" i="16"/>
  <c r="H2855" i="16" s="1"/>
  <c r="G2856" i="16"/>
  <c r="H2856" i="16" s="1"/>
  <c r="G2857" i="16"/>
  <c r="H2857" i="16" s="1"/>
  <c r="G2858" i="16"/>
  <c r="H2858" i="16" s="1"/>
  <c r="G2861" i="16"/>
  <c r="H2861" i="16" s="1"/>
  <c r="G2862" i="16"/>
  <c r="H2862" i="16" s="1"/>
  <c r="B177" i="339"/>
  <c r="C177" i="339"/>
  <c r="G2871" i="16"/>
  <c r="H2871" i="16" s="1"/>
  <c r="G2872" i="16"/>
  <c r="H2872" i="16" s="1"/>
  <c r="G2873" i="16"/>
  <c r="H2873" i="16" s="1"/>
  <c r="G2874" i="16"/>
  <c r="H2874" i="16" s="1"/>
  <c r="G2877" i="16"/>
  <c r="H2877" i="16" s="1"/>
  <c r="G2878" i="16"/>
  <c r="H2878" i="16" s="1"/>
  <c r="B178" i="339"/>
  <c r="C178" i="339"/>
  <c r="G2887" i="16"/>
  <c r="H2887" i="16" s="1"/>
  <c r="G2888" i="16"/>
  <c r="H2888" i="16" s="1"/>
  <c r="G2889" i="16"/>
  <c r="H2889" i="16" s="1"/>
  <c r="G2890" i="16"/>
  <c r="H2890" i="16" s="1"/>
  <c r="G2893" i="16"/>
  <c r="H2893" i="16" s="1"/>
  <c r="G2894" i="16"/>
  <c r="H2894" i="16" s="1"/>
  <c r="B179" i="339"/>
  <c r="C179" i="339"/>
  <c r="G2903" i="16"/>
  <c r="H2903" i="16" s="1"/>
  <c r="G2904" i="16"/>
  <c r="H2904" i="16" s="1"/>
  <c r="G2905" i="16"/>
  <c r="H2905" i="16" s="1"/>
  <c r="G2906" i="16"/>
  <c r="H2906" i="16" s="1"/>
  <c r="G2909" i="16"/>
  <c r="H2909" i="16" s="1"/>
  <c r="G2910" i="16"/>
  <c r="H2910" i="16" s="1"/>
  <c r="B180" i="339"/>
  <c r="C180" i="339"/>
  <c r="G2919" i="16"/>
  <c r="H2919" i="16" s="1"/>
  <c r="G2920" i="16"/>
  <c r="H2920" i="16" s="1"/>
  <c r="G2921" i="16"/>
  <c r="H2921" i="16" s="1"/>
  <c r="G2922" i="16"/>
  <c r="H2922" i="16" s="1"/>
  <c r="G2925" i="16"/>
  <c r="H2925" i="16" s="1"/>
  <c r="G2926" i="16"/>
  <c r="H2926" i="16" s="1"/>
  <c r="B181" i="339"/>
  <c r="C181" i="339"/>
  <c r="G2935" i="16"/>
  <c r="H2935" i="16" s="1"/>
  <c r="G2936" i="16"/>
  <c r="H2936" i="16" s="1"/>
  <c r="G2937" i="16"/>
  <c r="H2937" i="16" s="1"/>
  <c r="G2938" i="16"/>
  <c r="H2938" i="16" s="1"/>
  <c r="G2941" i="16"/>
  <c r="H2941" i="16" s="1"/>
  <c r="G2942" i="16"/>
  <c r="H2942" i="16" s="1"/>
  <c r="B182" i="339"/>
  <c r="C182" i="339"/>
  <c r="G2951" i="16"/>
  <c r="H2951" i="16" s="1"/>
  <c r="G2952" i="16"/>
  <c r="H2952" i="16" s="1"/>
  <c r="G2953" i="16"/>
  <c r="H2953" i="16" s="1"/>
  <c r="G2954" i="16"/>
  <c r="H2954" i="16" s="1"/>
  <c r="G2957" i="16"/>
  <c r="H2957" i="16" s="1"/>
  <c r="G2958" i="16"/>
  <c r="H2958" i="16" s="1"/>
  <c r="B183" i="339"/>
  <c r="C183" i="339"/>
  <c r="G2967" i="16"/>
  <c r="H2967" i="16" s="1"/>
  <c r="G2968" i="16"/>
  <c r="H2968" i="16" s="1"/>
  <c r="G2969" i="16"/>
  <c r="H2969" i="16" s="1"/>
  <c r="G2970" i="16"/>
  <c r="H2970" i="16" s="1"/>
  <c r="G2973" i="16"/>
  <c r="H2973" i="16" s="1"/>
  <c r="G2974" i="16"/>
  <c r="H2974" i="16" s="1"/>
  <c r="B184" i="339"/>
  <c r="C184" i="339"/>
  <c r="G2983" i="16"/>
  <c r="H2983" i="16" s="1"/>
  <c r="G2984" i="16"/>
  <c r="H2984" i="16" s="1"/>
  <c r="G2985" i="16"/>
  <c r="H2985" i="16" s="1"/>
  <c r="G2986" i="16"/>
  <c r="H2986" i="16" s="1"/>
  <c r="G2989" i="16"/>
  <c r="H2989" i="16" s="1"/>
  <c r="G2990" i="16"/>
  <c r="H2990" i="16" s="1"/>
  <c r="B185" i="339"/>
  <c r="C185" i="339"/>
  <c r="G2999" i="16"/>
  <c r="H2999" i="16" s="1"/>
  <c r="G3000" i="16"/>
  <c r="H3000" i="16" s="1"/>
  <c r="G3001" i="16"/>
  <c r="H3001" i="16" s="1"/>
  <c r="G3002" i="16"/>
  <c r="H3002" i="16" s="1"/>
  <c r="G3005" i="16"/>
  <c r="H3005" i="16" s="1"/>
  <c r="H3006" i="16" s="1"/>
  <c r="B186" i="339"/>
  <c r="C186" i="339"/>
  <c r="G3014" i="16"/>
  <c r="H3014" i="16" s="1"/>
  <c r="G3015" i="16"/>
  <c r="H3015" i="16" s="1"/>
  <c r="G3016" i="16"/>
  <c r="H3016" i="16" s="1"/>
  <c r="G3017" i="16"/>
  <c r="H3017" i="16" s="1"/>
  <c r="G3020" i="16"/>
  <c r="H3020" i="16" s="1"/>
  <c r="H3021" i="16" s="1"/>
  <c r="B187" i="339"/>
  <c r="C187" i="339"/>
  <c r="G3029" i="16"/>
  <c r="H3029" i="16" s="1"/>
  <c r="G3030" i="16"/>
  <c r="H3030" i="16" s="1"/>
  <c r="G3031" i="16"/>
  <c r="H3031" i="16" s="1"/>
  <c r="G3032" i="16"/>
  <c r="H3032" i="16" s="1"/>
  <c r="G3035" i="16"/>
  <c r="H3035" i="16" s="1"/>
  <c r="G3036" i="16"/>
  <c r="H3036" i="16" s="1"/>
  <c r="B188" i="339"/>
  <c r="C188" i="339"/>
  <c r="G3045" i="16"/>
  <c r="H3045" i="16" s="1"/>
  <c r="G3046" i="16"/>
  <c r="H3046" i="16" s="1"/>
  <c r="G3047" i="16"/>
  <c r="H3047" i="16" s="1"/>
  <c r="G3048" i="16"/>
  <c r="H3048" i="16" s="1"/>
  <c r="G3051" i="16"/>
  <c r="H3051" i="16" s="1"/>
  <c r="H3052" i="16" s="1"/>
  <c r="B189" i="339"/>
  <c r="C189" i="339"/>
  <c r="G3060" i="16"/>
  <c r="H3060" i="16" s="1"/>
  <c r="G3061" i="16"/>
  <c r="H3061" i="16" s="1"/>
  <c r="G3062" i="16"/>
  <c r="H3062" i="16" s="1"/>
  <c r="G3063" i="16"/>
  <c r="H3063" i="16" s="1"/>
  <c r="G3066" i="16"/>
  <c r="H3066" i="16" s="1"/>
  <c r="G3067" i="16"/>
  <c r="H3067" i="16" s="1"/>
  <c r="B191" i="339"/>
  <c r="C191" i="339"/>
  <c r="B192" i="339"/>
  <c r="I60" i="351" s="1"/>
  <c r="G3076" i="16"/>
  <c r="H3076" i="16" s="1"/>
  <c r="M3076" i="16" s="1"/>
  <c r="G3077" i="16"/>
  <c r="H3077" i="16" s="1"/>
  <c r="M3077" i="16" s="1"/>
  <c r="G3078" i="16"/>
  <c r="H3078" i="16" s="1"/>
  <c r="M3078" i="16" s="1"/>
  <c r="G3079" i="16"/>
  <c r="H3079" i="16" s="1"/>
  <c r="M3079" i="16" s="1"/>
  <c r="G3082" i="16"/>
  <c r="H3082" i="16" s="1"/>
  <c r="M3082" i="16" s="1"/>
  <c r="G3083" i="16"/>
  <c r="H3083" i="16" s="1"/>
  <c r="M3083" i="16" s="1"/>
  <c r="M3085" i="16" s="1"/>
  <c r="G3084" i="16"/>
  <c r="H3084" i="16" s="1"/>
  <c r="M3084" i="16" s="1"/>
  <c r="B193" i="339"/>
  <c r="C193" i="339"/>
  <c r="G3093" i="16"/>
  <c r="H3093" i="16" s="1"/>
  <c r="G3094" i="16"/>
  <c r="H3094" i="16" s="1"/>
  <c r="G3095" i="16"/>
  <c r="H3095" i="16" s="1"/>
  <c r="G3096" i="16"/>
  <c r="H3096" i="16" s="1"/>
  <c r="G3099" i="16"/>
  <c r="H3099" i="16" s="1"/>
  <c r="G3100" i="16"/>
  <c r="H3100" i="16" s="1"/>
  <c r="G3101" i="16"/>
  <c r="H3101" i="16" s="1"/>
  <c r="B194" i="339"/>
  <c r="C194" i="339"/>
  <c r="G3110" i="16"/>
  <c r="H3110" i="16" s="1"/>
  <c r="G3111" i="16"/>
  <c r="H3111" i="16" s="1"/>
  <c r="G3112" i="16"/>
  <c r="H3112" i="16" s="1"/>
  <c r="G3113" i="16"/>
  <c r="H3113" i="16" s="1"/>
  <c r="G3116" i="16"/>
  <c r="H3116" i="16" s="1"/>
  <c r="G3117" i="16"/>
  <c r="H3117" i="16" s="1"/>
  <c r="G3118" i="16"/>
  <c r="H3118" i="16" s="1"/>
  <c r="B195" i="339"/>
  <c r="C195" i="339"/>
  <c r="G3127" i="16"/>
  <c r="H3127" i="16" s="1"/>
  <c r="G3128" i="16"/>
  <c r="H3128" i="16" s="1"/>
  <c r="G3129" i="16"/>
  <c r="H3129" i="16" s="1"/>
  <c r="G3130" i="16"/>
  <c r="H3130" i="16" s="1"/>
  <c r="G3133" i="16"/>
  <c r="H3133" i="16" s="1"/>
  <c r="G3134" i="16"/>
  <c r="H3134" i="16" s="1"/>
  <c r="G3135" i="16"/>
  <c r="H3135" i="16" s="1"/>
  <c r="G3136" i="16"/>
  <c r="H3136" i="16" s="1"/>
  <c r="B196" i="339"/>
  <c r="C196" i="339"/>
  <c r="G3145" i="16"/>
  <c r="H3145" i="16" s="1"/>
  <c r="G3146" i="16"/>
  <c r="H3146" i="16" s="1"/>
  <c r="G3147" i="16"/>
  <c r="H3147" i="16" s="1"/>
  <c r="G3148" i="16"/>
  <c r="H3148" i="16" s="1"/>
  <c r="G3151" i="16"/>
  <c r="H3151" i="16" s="1"/>
  <c r="G3152" i="16"/>
  <c r="H3152" i="16" s="1"/>
  <c r="G3153" i="16"/>
  <c r="H3153" i="16" s="1"/>
  <c r="G3154" i="16"/>
  <c r="H3154" i="16" s="1"/>
  <c r="B197" i="339"/>
  <c r="C197" i="339"/>
  <c r="G3163" i="16"/>
  <c r="H3163" i="16" s="1"/>
  <c r="G3164" i="16"/>
  <c r="H3164" i="16" s="1"/>
  <c r="G3165" i="16"/>
  <c r="H3165" i="16" s="1"/>
  <c r="G3166" i="16"/>
  <c r="H3166" i="16" s="1"/>
  <c r="G3169" i="16"/>
  <c r="H3169" i="16" s="1"/>
  <c r="G3170" i="16"/>
  <c r="H3170" i="16" s="1"/>
  <c r="G3171" i="16"/>
  <c r="H3171" i="16" s="1"/>
  <c r="G3172" i="16"/>
  <c r="H3172" i="16" s="1"/>
  <c r="B198" i="339"/>
  <c r="C198" i="339"/>
  <c r="G3181" i="16"/>
  <c r="H3181" i="16" s="1"/>
  <c r="G3182" i="16"/>
  <c r="H3182" i="16" s="1"/>
  <c r="G3183" i="16"/>
  <c r="H3183" i="16" s="1"/>
  <c r="G3184" i="16"/>
  <c r="H3184" i="16" s="1"/>
  <c r="G3187" i="16"/>
  <c r="H3187" i="16" s="1"/>
  <c r="G3188" i="16"/>
  <c r="H3188" i="16" s="1"/>
  <c r="G3189" i="16"/>
  <c r="H3189" i="16" s="1"/>
  <c r="G3190" i="16"/>
  <c r="H3190" i="16" s="1"/>
  <c r="B199" i="339"/>
  <c r="C199" i="339"/>
  <c r="G3199" i="16"/>
  <c r="H3199" i="16" s="1"/>
  <c r="G3200" i="16"/>
  <c r="H3200" i="16" s="1"/>
  <c r="G3201" i="16"/>
  <c r="H3201" i="16" s="1"/>
  <c r="G3202" i="16"/>
  <c r="H3202" i="16" s="1"/>
  <c r="G3205" i="16"/>
  <c r="H3205" i="16" s="1"/>
  <c r="G3206" i="16"/>
  <c r="H3206" i="16" s="1"/>
  <c r="G3207" i="16"/>
  <c r="H3207" i="16" s="1"/>
  <c r="G3208" i="16"/>
  <c r="H3208" i="16" s="1"/>
  <c r="B200" i="339"/>
  <c r="C200" i="339"/>
  <c r="G3217" i="16"/>
  <c r="H3217" i="16" s="1"/>
  <c r="G3218" i="16"/>
  <c r="H3218" i="16" s="1"/>
  <c r="G3219" i="16"/>
  <c r="H3219" i="16" s="1"/>
  <c r="G3220" i="16"/>
  <c r="H3220" i="16" s="1"/>
  <c r="G3223" i="16"/>
  <c r="H3223" i="16" s="1"/>
  <c r="G3224" i="16"/>
  <c r="H3224" i="16" s="1"/>
  <c r="G3225" i="16"/>
  <c r="H3225" i="16" s="1"/>
  <c r="G3226" i="16"/>
  <c r="H3226" i="16" s="1"/>
  <c r="B201" i="339"/>
  <c r="C201" i="339"/>
  <c r="G3235" i="16"/>
  <c r="H3235" i="16" s="1"/>
  <c r="G3236" i="16"/>
  <c r="H3236" i="16" s="1"/>
  <c r="G3237" i="16"/>
  <c r="H3237" i="16" s="1"/>
  <c r="G3238" i="16"/>
  <c r="H3238" i="16" s="1"/>
  <c r="G3241" i="16"/>
  <c r="H3241" i="16" s="1"/>
  <c r="G3242" i="16"/>
  <c r="H3242" i="16" s="1"/>
  <c r="G3243" i="16"/>
  <c r="H3243" i="16" s="1"/>
  <c r="G3244" i="16"/>
  <c r="H3244" i="16" s="1"/>
  <c r="B202" i="339"/>
  <c r="C202" i="339"/>
  <c r="G3253" i="16"/>
  <c r="H3253" i="16" s="1"/>
  <c r="G3254" i="16"/>
  <c r="H3254" i="16" s="1"/>
  <c r="G3255" i="16"/>
  <c r="H3255" i="16" s="1"/>
  <c r="G3256" i="16"/>
  <c r="H3256" i="16" s="1"/>
  <c r="G3259" i="16"/>
  <c r="H3259" i="16" s="1"/>
  <c r="G3260" i="16"/>
  <c r="H3260" i="16" s="1"/>
  <c r="G3261" i="16"/>
  <c r="H3261" i="16" s="1"/>
  <c r="G3262" i="16"/>
  <c r="H3262" i="16" s="1"/>
  <c r="B203" i="339"/>
  <c r="C203" i="339"/>
  <c r="G3271" i="16"/>
  <c r="H3271" i="16" s="1"/>
  <c r="G3272" i="16"/>
  <c r="H3272" i="16" s="1"/>
  <c r="G3273" i="16"/>
  <c r="H3273" i="16" s="1"/>
  <c r="G3274" i="16"/>
  <c r="H3274" i="16" s="1"/>
  <c r="G3277" i="16"/>
  <c r="H3277" i="16" s="1"/>
  <c r="G3278" i="16"/>
  <c r="H3278" i="16" s="1"/>
  <c r="G3279" i="16"/>
  <c r="H3279" i="16" s="1"/>
  <c r="G3280" i="16"/>
  <c r="H3280" i="16" s="1"/>
  <c r="B204" i="339"/>
  <c r="C204" i="339"/>
  <c r="G3289" i="16"/>
  <c r="H3289" i="16" s="1"/>
  <c r="G3290" i="16"/>
  <c r="H3290" i="16" s="1"/>
  <c r="G3291" i="16"/>
  <c r="H3291" i="16" s="1"/>
  <c r="G3292" i="16"/>
  <c r="H3292" i="16" s="1"/>
  <c r="G3295" i="16"/>
  <c r="H3295" i="16" s="1"/>
  <c r="G3296" i="16"/>
  <c r="H3296" i="16" s="1"/>
  <c r="G3297" i="16"/>
  <c r="H3297" i="16" s="1"/>
  <c r="G3298" i="16"/>
  <c r="H3298" i="16" s="1"/>
  <c r="B205" i="339"/>
  <c r="C205" i="339"/>
  <c r="G3307" i="16"/>
  <c r="H3307" i="16" s="1"/>
  <c r="G3308" i="16"/>
  <c r="H3308" i="16" s="1"/>
  <c r="G3309" i="16"/>
  <c r="H3309" i="16" s="1"/>
  <c r="G3310" i="16"/>
  <c r="H3310" i="16" s="1"/>
  <c r="G3313" i="16"/>
  <c r="H3313" i="16" s="1"/>
  <c r="G3314" i="16"/>
  <c r="H3314" i="16" s="1"/>
  <c r="G3315" i="16"/>
  <c r="H3315" i="16" s="1"/>
  <c r="G3316" i="16"/>
  <c r="H3316" i="16" s="1"/>
  <c r="B206" i="339"/>
  <c r="C206" i="339"/>
  <c r="G3325" i="16"/>
  <c r="H3325" i="16" s="1"/>
  <c r="M3325" i="16" s="1"/>
  <c r="G3326" i="16"/>
  <c r="H3326" i="16" s="1"/>
  <c r="M3326" i="16" s="1"/>
  <c r="G3327" i="16"/>
  <c r="H3327" i="16" s="1"/>
  <c r="M3327" i="16" s="1"/>
  <c r="G3328" i="16"/>
  <c r="H3328" i="16" s="1"/>
  <c r="M3328" i="16" s="1"/>
  <c r="G3331" i="16"/>
  <c r="H3331" i="16" s="1"/>
  <c r="M3331" i="16" s="1"/>
  <c r="G3332" i="16"/>
  <c r="H3332" i="16" s="1"/>
  <c r="M3332" i="16" s="1"/>
  <c r="G3333" i="16"/>
  <c r="H3333" i="16" s="1"/>
  <c r="M3333" i="16" s="1"/>
  <c r="G3334" i="16"/>
  <c r="H3334" i="16" s="1"/>
  <c r="M3334" i="16" s="1"/>
  <c r="C207" i="339"/>
  <c r="G3343" i="16"/>
  <c r="H3343" i="16" s="1"/>
  <c r="M3343" i="16" s="1"/>
  <c r="G3344" i="16"/>
  <c r="H3344" i="16" s="1"/>
  <c r="M3344" i="16" s="1"/>
  <c r="G3345" i="16"/>
  <c r="H3345" i="16" s="1"/>
  <c r="M3345" i="16" s="1"/>
  <c r="G3346" i="16"/>
  <c r="H3346" i="16" s="1"/>
  <c r="M3346" i="16" s="1"/>
  <c r="G3349" i="16"/>
  <c r="H3349" i="16" s="1"/>
  <c r="M3349" i="16" s="1"/>
  <c r="G3350" i="16"/>
  <c r="H3350" i="16" s="1"/>
  <c r="M3350" i="16" s="1"/>
  <c r="G3351" i="16"/>
  <c r="H3351" i="16" s="1"/>
  <c r="M3351" i="16" s="1"/>
  <c r="G3352" i="16"/>
  <c r="H3352" i="16" s="1"/>
  <c r="M3352" i="16" s="1"/>
  <c r="B208" i="339"/>
  <c r="C208" i="339"/>
  <c r="G3361" i="16"/>
  <c r="H3361" i="16" s="1"/>
  <c r="G3362" i="16"/>
  <c r="H3362" i="16" s="1"/>
  <c r="G3363" i="16"/>
  <c r="H3363" i="16" s="1"/>
  <c r="G3364" i="16"/>
  <c r="H3364" i="16" s="1"/>
  <c r="G3367" i="16"/>
  <c r="H3367" i="16" s="1"/>
  <c r="G3368" i="16"/>
  <c r="H3368" i="16" s="1"/>
  <c r="G3369" i="16"/>
  <c r="H3369" i="16" s="1"/>
  <c r="G3370" i="16"/>
  <c r="H3370" i="16" s="1"/>
  <c r="B209" i="339"/>
  <c r="C209" i="339"/>
  <c r="G3379" i="16"/>
  <c r="H3379" i="16" s="1"/>
  <c r="G3380" i="16"/>
  <c r="H3380" i="16" s="1"/>
  <c r="G3381" i="16"/>
  <c r="H3381" i="16" s="1"/>
  <c r="G3382" i="16"/>
  <c r="H3382" i="16" s="1"/>
  <c r="G3385" i="16"/>
  <c r="H3385" i="16" s="1"/>
  <c r="G3386" i="16"/>
  <c r="H3386" i="16" s="1"/>
  <c r="G3387" i="16"/>
  <c r="H3387" i="16" s="1"/>
  <c r="G3388" i="16"/>
  <c r="H3388" i="16" s="1"/>
  <c r="B210" i="339"/>
  <c r="C210" i="339"/>
  <c r="G3397" i="16"/>
  <c r="H3397" i="16" s="1"/>
  <c r="G3398" i="16"/>
  <c r="H3398" i="16" s="1"/>
  <c r="G3399" i="16"/>
  <c r="H3399" i="16" s="1"/>
  <c r="G3400" i="16"/>
  <c r="H3400" i="16" s="1"/>
  <c r="G3403" i="16"/>
  <c r="H3403" i="16" s="1"/>
  <c r="G3404" i="16"/>
  <c r="H3404" i="16" s="1"/>
  <c r="G3405" i="16"/>
  <c r="H3405" i="16" s="1"/>
  <c r="G3406" i="16"/>
  <c r="H3406" i="16" s="1"/>
  <c r="B211" i="339"/>
  <c r="C211" i="339"/>
  <c r="G3415" i="16"/>
  <c r="H3415" i="16" s="1"/>
  <c r="G3416" i="16"/>
  <c r="H3416" i="16" s="1"/>
  <c r="G3417" i="16"/>
  <c r="H3417" i="16" s="1"/>
  <c r="G3418" i="16"/>
  <c r="H3418" i="16" s="1"/>
  <c r="G3421" i="16"/>
  <c r="H3421" i="16" s="1"/>
  <c r="G3422" i="16"/>
  <c r="H3422" i="16" s="1"/>
  <c r="G3423" i="16"/>
  <c r="H3423" i="16" s="1"/>
  <c r="G3424" i="16"/>
  <c r="H3424" i="16" s="1"/>
  <c r="B212" i="339"/>
  <c r="C212" i="339"/>
  <c r="G3433" i="16"/>
  <c r="H3433" i="16" s="1"/>
  <c r="G3434" i="16"/>
  <c r="H3434" i="16" s="1"/>
  <c r="G3435" i="16"/>
  <c r="H3435" i="16" s="1"/>
  <c r="G3436" i="16"/>
  <c r="H3436" i="16" s="1"/>
  <c r="G3439" i="16"/>
  <c r="H3439" i="16" s="1"/>
  <c r="G3440" i="16"/>
  <c r="H3440" i="16" s="1"/>
  <c r="G3441" i="16"/>
  <c r="H3441" i="16" s="1"/>
  <c r="G3442" i="16"/>
  <c r="H3442" i="16" s="1"/>
  <c r="B213" i="339"/>
  <c r="C213" i="339"/>
  <c r="G3451" i="16"/>
  <c r="H3451" i="16" s="1"/>
  <c r="G3452" i="16"/>
  <c r="H3452" i="16" s="1"/>
  <c r="G3453" i="16"/>
  <c r="H3453" i="16" s="1"/>
  <c r="G3454" i="16"/>
  <c r="H3454" i="16" s="1"/>
  <c r="G3457" i="16"/>
  <c r="H3457" i="16" s="1"/>
  <c r="G3458" i="16"/>
  <c r="H3458" i="16" s="1"/>
  <c r="G3459" i="16"/>
  <c r="H3459" i="16" s="1"/>
  <c r="G3460" i="16"/>
  <c r="H3460" i="16" s="1"/>
  <c r="B214" i="339"/>
  <c r="C214" i="339"/>
  <c r="G3469" i="16"/>
  <c r="H3469" i="16" s="1"/>
  <c r="G3470" i="16"/>
  <c r="H3470" i="16" s="1"/>
  <c r="G3471" i="16"/>
  <c r="H3471" i="16" s="1"/>
  <c r="G3472" i="16"/>
  <c r="H3472" i="16" s="1"/>
  <c r="B215" i="339"/>
  <c r="C215" i="339"/>
  <c r="G3487" i="16"/>
  <c r="H3487" i="16" s="1"/>
  <c r="G3488" i="16"/>
  <c r="H3488" i="16" s="1"/>
  <c r="G3489" i="16"/>
  <c r="H3489" i="16" s="1"/>
  <c r="G3490" i="16"/>
  <c r="H3490" i="16" s="1"/>
  <c r="G3493" i="16"/>
  <c r="H3493" i="16" s="1"/>
  <c r="G3494" i="16"/>
  <c r="H3494" i="16" s="1"/>
  <c r="G3495" i="16"/>
  <c r="H3495" i="16" s="1"/>
  <c r="G3496" i="16"/>
  <c r="H3496" i="16" s="1"/>
  <c r="B216" i="339"/>
  <c r="C216" i="339"/>
  <c r="G3505" i="16"/>
  <c r="H3505" i="16" s="1"/>
  <c r="G3506" i="16"/>
  <c r="H3506" i="16" s="1"/>
  <c r="G3507" i="16"/>
  <c r="H3507" i="16" s="1"/>
  <c r="G3508" i="16"/>
  <c r="H3508" i="16" s="1"/>
  <c r="G3511" i="16"/>
  <c r="H3511" i="16" s="1"/>
  <c r="G3512" i="16"/>
  <c r="H3512" i="16" s="1"/>
  <c r="G3513" i="16"/>
  <c r="H3513" i="16" s="1"/>
  <c r="G3514" i="16"/>
  <c r="H3514" i="16" s="1"/>
  <c r="B217" i="339"/>
  <c r="C217" i="339"/>
  <c r="G3523" i="16"/>
  <c r="H3523" i="16" s="1"/>
  <c r="G3524" i="16"/>
  <c r="H3524" i="16" s="1"/>
  <c r="G3525" i="16"/>
  <c r="H3525" i="16" s="1"/>
  <c r="G3526" i="16"/>
  <c r="H3526" i="16" s="1"/>
  <c r="G3529" i="16"/>
  <c r="H3529" i="16" s="1"/>
  <c r="G3530" i="16"/>
  <c r="H3530" i="16" s="1"/>
  <c r="G3531" i="16"/>
  <c r="H3531" i="16" s="1"/>
  <c r="G3532" i="16"/>
  <c r="H3532" i="16" s="1"/>
  <c r="B218" i="339"/>
  <c r="C218" i="339"/>
  <c r="G3541" i="16"/>
  <c r="H3541" i="16" s="1"/>
  <c r="G3542" i="16"/>
  <c r="H3542" i="16" s="1"/>
  <c r="G3543" i="16"/>
  <c r="H3543" i="16" s="1"/>
  <c r="G3544" i="16"/>
  <c r="H3544" i="16" s="1"/>
  <c r="G3547" i="16"/>
  <c r="H3547" i="16" s="1"/>
  <c r="G3548" i="16"/>
  <c r="H3548" i="16" s="1"/>
  <c r="G3549" i="16"/>
  <c r="H3549" i="16" s="1"/>
  <c r="G3550" i="16"/>
  <c r="H3550" i="16" s="1"/>
  <c r="G3553" i="16"/>
  <c r="H3553" i="16" s="1"/>
  <c r="H3554" i="16" s="1"/>
  <c r="B219" i="339"/>
  <c r="C219" i="339"/>
  <c r="G3562" i="16"/>
  <c r="H3562" i="16" s="1"/>
  <c r="G3563" i="16"/>
  <c r="H3563" i="16" s="1"/>
  <c r="G3564" i="16"/>
  <c r="H3564" i="16" s="1"/>
  <c r="G3565" i="16"/>
  <c r="H3565" i="16" s="1"/>
  <c r="G3568" i="16"/>
  <c r="H3568" i="16" s="1"/>
  <c r="G3569" i="16"/>
  <c r="H3569" i="16" s="1"/>
  <c r="B220" i="339"/>
  <c r="C220" i="339"/>
  <c r="G3578" i="16"/>
  <c r="H3578" i="16" s="1"/>
  <c r="G3579" i="16"/>
  <c r="H3579" i="16" s="1"/>
  <c r="G3580" i="16"/>
  <c r="H3580" i="16" s="1"/>
  <c r="G3581" i="16"/>
  <c r="H3581" i="16" s="1"/>
  <c r="G3584" i="16"/>
  <c r="H3584" i="16" s="1"/>
  <c r="G3585" i="16"/>
  <c r="H3585" i="16" s="1"/>
  <c r="B221" i="339"/>
  <c r="C221" i="339"/>
  <c r="G3594" i="16"/>
  <c r="H3594" i="16" s="1"/>
  <c r="G3595" i="16"/>
  <c r="H3595" i="16" s="1"/>
  <c r="G3596" i="16"/>
  <c r="H3596" i="16" s="1"/>
  <c r="G3597" i="16"/>
  <c r="H3597" i="16" s="1"/>
  <c r="G3600" i="16"/>
  <c r="H3600" i="16" s="1"/>
  <c r="G3601" i="16"/>
  <c r="H3601" i="16" s="1"/>
  <c r="B222" i="339"/>
  <c r="C222" i="339"/>
  <c r="G3610" i="16"/>
  <c r="H3610" i="16" s="1"/>
  <c r="G3611" i="16"/>
  <c r="H3611" i="16" s="1"/>
  <c r="G3612" i="16"/>
  <c r="H3612" i="16" s="1"/>
  <c r="G3613" i="16"/>
  <c r="H3613" i="16" s="1"/>
  <c r="G3616" i="16"/>
  <c r="H3616" i="16" s="1"/>
  <c r="G3617" i="16"/>
  <c r="H3617" i="16" s="1"/>
  <c r="B223" i="339"/>
  <c r="C223" i="339"/>
  <c r="G3626" i="16"/>
  <c r="H3626" i="16" s="1"/>
  <c r="G3627" i="16"/>
  <c r="H3627" i="16" s="1"/>
  <c r="G3628" i="16"/>
  <c r="H3628" i="16" s="1"/>
  <c r="G3629" i="16"/>
  <c r="H3629" i="16" s="1"/>
  <c r="G3632" i="16"/>
  <c r="H3632" i="16" s="1"/>
  <c r="G3633" i="16"/>
  <c r="H3633" i="16" s="1"/>
  <c r="G3634" i="16"/>
  <c r="H3634" i="16" s="1"/>
  <c r="G3635" i="16"/>
  <c r="H3635" i="16" s="1"/>
  <c r="B224" i="339"/>
  <c r="C224" i="339"/>
  <c r="G3644" i="16"/>
  <c r="H3644" i="16" s="1"/>
  <c r="G3645" i="16"/>
  <c r="H3645" i="16" s="1"/>
  <c r="G3646" i="16"/>
  <c r="H3646" i="16" s="1"/>
  <c r="G3647" i="16"/>
  <c r="H3647" i="16" s="1"/>
  <c r="G3650" i="16"/>
  <c r="H3650" i="16" s="1"/>
  <c r="G3651" i="16"/>
  <c r="H3651" i="16" s="1"/>
  <c r="G3652" i="16"/>
  <c r="H3652" i="16" s="1"/>
  <c r="G3653" i="16"/>
  <c r="H3653" i="16" s="1"/>
  <c r="B225" i="339"/>
  <c r="C225" i="339"/>
  <c r="G3662" i="16"/>
  <c r="H3662" i="16" s="1"/>
  <c r="M3662" i="16" s="1"/>
  <c r="G3663" i="16"/>
  <c r="H3663" i="16" s="1"/>
  <c r="M3663" i="16" s="1"/>
  <c r="G3664" i="16"/>
  <c r="H3664" i="16" s="1"/>
  <c r="M3664" i="16" s="1"/>
  <c r="G3665" i="16"/>
  <c r="H3665" i="16" s="1"/>
  <c r="M3665" i="16" s="1"/>
  <c r="G3668" i="16"/>
  <c r="H3668" i="16" s="1"/>
  <c r="M3668" i="16" s="1"/>
  <c r="G3669" i="16"/>
  <c r="H3669" i="16" s="1"/>
  <c r="M3669" i="16" s="1"/>
  <c r="G3670" i="16"/>
  <c r="H3670" i="16" s="1"/>
  <c r="M3670" i="16" s="1"/>
  <c r="G3671" i="16"/>
  <c r="H3671" i="16" s="1"/>
  <c r="M3671" i="16" s="1"/>
  <c r="B226" i="339"/>
  <c r="C226" i="339"/>
  <c r="G3680" i="16"/>
  <c r="H3680" i="16" s="1"/>
  <c r="G3681" i="16"/>
  <c r="H3681" i="16" s="1"/>
  <c r="G3682" i="16"/>
  <c r="H3682" i="16" s="1"/>
  <c r="G3683" i="16"/>
  <c r="H3683" i="16" s="1"/>
  <c r="G3686" i="16"/>
  <c r="H3686" i="16" s="1"/>
  <c r="G3687" i="16"/>
  <c r="H3687" i="16" s="1"/>
  <c r="G3688" i="16"/>
  <c r="H3688" i="16" s="1"/>
  <c r="G3689" i="16"/>
  <c r="H3689" i="16" s="1"/>
  <c r="B227" i="339"/>
  <c r="C227" i="339"/>
  <c r="G3698" i="16"/>
  <c r="H3698" i="16" s="1"/>
  <c r="G3699" i="16"/>
  <c r="H3699" i="16" s="1"/>
  <c r="G3700" i="16"/>
  <c r="H3700" i="16" s="1"/>
  <c r="G3701" i="16"/>
  <c r="H3701" i="16" s="1"/>
  <c r="G3704" i="16"/>
  <c r="H3704" i="16" s="1"/>
  <c r="G3705" i="16"/>
  <c r="H3705" i="16" s="1"/>
  <c r="G3706" i="16"/>
  <c r="H3706" i="16" s="1"/>
  <c r="G3707" i="16"/>
  <c r="H3707" i="16" s="1"/>
  <c r="B228" i="339"/>
  <c r="C228" i="339"/>
  <c r="G3716" i="16"/>
  <c r="H3716" i="16" s="1"/>
  <c r="G3717" i="16"/>
  <c r="H3717" i="16" s="1"/>
  <c r="G3718" i="16"/>
  <c r="H3718" i="16" s="1"/>
  <c r="G3719" i="16"/>
  <c r="H3719" i="16" s="1"/>
  <c r="G3722" i="16"/>
  <c r="H3722" i="16" s="1"/>
  <c r="G3723" i="16"/>
  <c r="H3723" i="16" s="1"/>
  <c r="G3724" i="16"/>
  <c r="H3724" i="16" s="1"/>
  <c r="G3725" i="16"/>
  <c r="H3725" i="16" s="1"/>
  <c r="B229" i="339"/>
  <c r="C229" i="339"/>
  <c r="G3734" i="16"/>
  <c r="H3734" i="16" s="1"/>
  <c r="G3735" i="16"/>
  <c r="H3735" i="16" s="1"/>
  <c r="G3736" i="16"/>
  <c r="H3736" i="16" s="1"/>
  <c r="G3737" i="16"/>
  <c r="H3737" i="16" s="1"/>
  <c r="G3740" i="16"/>
  <c r="H3740" i="16" s="1"/>
  <c r="G3741" i="16"/>
  <c r="H3741" i="16" s="1"/>
  <c r="G3742" i="16"/>
  <c r="H3742" i="16" s="1"/>
  <c r="G3743" i="16"/>
  <c r="H3743" i="16" s="1"/>
  <c r="G3744" i="16"/>
  <c r="H3744" i="16" s="1"/>
  <c r="G3747" i="16"/>
  <c r="H3747" i="16" s="1"/>
  <c r="H3748" i="16" s="1"/>
  <c r="B230" i="339"/>
  <c r="C230" i="339"/>
  <c r="G3756" i="16"/>
  <c r="H3756" i="16" s="1"/>
  <c r="G3757" i="16"/>
  <c r="H3757" i="16" s="1"/>
  <c r="G3758" i="16"/>
  <c r="H3758" i="16" s="1"/>
  <c r="G3759" i="16"/>
  <c r="H3759" i="16" s="1"/>
  <c r="G3762" i="16"/>
  <c r="H3762" i="16" s="1"/>
  <c r="G3763" i="16"/>
  <c r="H3763" i="16" s="1"/>
  <c r="G3764" i="16"/>
  <c r="H3764" i="16" s="1"/>
  <c r="G3765" i="16"/>
  <c r="H3765" i="16" s="1"/>
  <c r="B231" i="339"/>
  <c r="C231" i="339"/>
  <c r="G3774" i="16"/>
  <c r="H3774" i="16" s="1"/>
  <c r="G3775" i="16"/>
  <c r="H3775" i="16" s="1"/>
  <c r="G3776" i="16"/>
  <c r="H3776" i="16" s="1"/>
  <c r="G3777" i="16"/>
  <c r="H3777" i="16" s="1"/>
  <c r="G3780" i="16"/>
  <c r="H3780" i="16" s="1"/>
  <c r="G3781" i="16"/>
  <c r="H3781" i="16" s="1"/>
  <c r="G3782" i="16"/>
  <c r="H3782" i="16" s="1"/>
  <c r="C232" i="339"/>
  <c r="G3791" i="16"/>
  <c r="H3791" i="16" s="1"/>
  <c r="M3791" i="16" s="1"/>
  <c r="G3792" i="16"/>
  <c r="H3792" i="16" s="1"/>
  <c r="M3792" i="16" s="1"/>
  <c r="G3793" i="16"/>
  <c r="H3793" i="16" s="1"/>
  <c r="M3793" i="16" s="1"/>
  <c r="G3794" i="16"/>
  <c r="H3794" i="16" s="1"/>
  <c r="M3794" i="16" s="1"/>
  <c r="H3797" i="16"/>
  <c r="M3797" i="16" s="1"/>
  <c r="G3798" i="16"/>
  <c r="H3798" i="16" s="1"/>
  <c r="M3798" i="16" s="1"/>
  <c r="G3799" i="16"/>
  <c r="C233" i="339"/>
  <c r="G3808" i="16"/>
  <c r="H3808" i="16" s="1"/>
  <c r="M3808" i="16" s="1"/>
  <c r="G3809" i="16"/>
  <c r="H3809" i="16" s="1"/>
  <c r="M3809" i="16" s="1"/>
  <c r="G3810" i="16"/>
  <c r="H3810" i="16" s="1"/>
  <c r="M3810" i="16" s="1"/>
  <c r="G3811" i="16"/>
  <c r="H3811" i="16" s="1"/>
  <c r="M3811" i="16" s="1"/>
  <c r="G3814" i="16"/>
  <c r="H3814" i="16" s="1"/>
  <c r="M3814" i="16" s="1"/>
  <c r="M3816" i="16" s="1"/>
  <c r="G3815" i="16"/>
  <c r="H3815" i="16" s="1"/>
  <c r="M3815" i="16" s="1"/>
  <c r="B235" i="339"/>
  <c r="C235" i="339"/>
  <c r="G3824" i="16"/>
  <c r="H3824" i="16" s="1"/>
  <c r="G3825" i="16"/>
  <c r="H3825" i="16" s="1"/>
  <c r="G3826" i="16"/>
  <c r="H3826" i="16" s="1"/>
  <c r="G3827" i="16"/>
  <c r="H3827" i="16" s="1"/>
  <c r="G3830" i="16"/>
  <c r="H3830" i="16" s="1"/>
  <c r="G3831" i="16"/>
  <c r="H3831" i="16" s="1"/>
  <c r="B236" i="339"/>
  <c r="C236" i="339"/>
  <c r="G3840" i="16"/>
  <c r="H3840" i="16" s="1"/>
  <c r="G3841" i="16"/>
  <c r="H3841" i="16" s="1"/>
  <c r="G3842" i="16"/>
  <c r="H3842" i="16" s="1"/>
  <c r="G3843" i="16"/>
  <c r="H3843" i="16" s="1"/>
  <c r="G3846" i="16"/>
  <c r="H3846" i="16" s="1"/>
  <c r="G3847" i="16"/>
  <c r="H3847" i="16" s="1"/>
  <c r="B237" i="339"/>
  <c r="G3856" i="16"/>
  <c r="H3856" i="16" s="1"/>
  <c r="G3857" i="16"/>
  <c r="H3857" i="16" s="1"/>
  <c r="G3858" i="16"/>
  <c r="H3858" i="16" s="1"/>
  <c r="G3859" i="16"/>
  <c r="H3859" i="16" s="1"/>
  <c r="G3862" i="16"/>
  <c r="H3862" i="16" s="1"/>
  <c r="H3863" i="16" s="1"/>
  <c r="G3865" i="16"/>
  <c r="H3865" i="16" s="1"/>
  <c r="H3866" i="16" s="1"/>
  <c r="B238" i="339"/>
  <c r="C238" i="339"/>
  <c r="G3874" i="16"/>
  <c r="H3874" i="16" s="1"/>
  <c r="G3875" i="16"/>
  <c r="H3875" i="16" s="1"/>
  <c r="G3876" i="16"/>
  <c r="H3876" i="16" s="1"/>
  <c r="G3877" i="16"/>
  <c r="H3877" i="16" s="1"/>
  <c r="G3880" i="16"/>
  <c r="H3880" i="16" s="1"/>
  <c r="G3881" i="16"/>
  <c r="H3881" i="16" s="1"/>
  <c r="B239" i="339"/>
  <c r="C239" i="339"/>
  <c r="G3890" i="16"/>
  <c r="H3890" i="16" s="1"/>
  <c r="G3891" i="16"/>
  <c r="H3891" i="16" s="1"/>
  <c r="G3892" i="16"/>
  <c r="H3892" i="16" s="1"/>
  <c r="G3893" i="16"/>
  <c r="H3893" i="16" s="1"/>
  <c r="G3896" i="16"/>
  <c r="H3896" i="16" s="1"/>
  <c r="G3897" i="16"/>
  <c r="H3897" i="16" s="1"/>
  <c r="B240" i="339"/>
  <c r="C240" i="339"/>
  <c r="G3906" i="16"/>
  <c r="H3906" i="16" s="1"/>
  <c r="G3907" i="16"/>
  <c r="H3907" i="16" s="1"/>
  <c r="G3908" i="16"/>
  <c r="H3908" i="16" s="1"/>
  <c r="G3909" i="16"/>
  <c r="H3909" i="16" s="1"/>
  <c r="G3912" i="16"/>
  <c r="H3912" i="16" s="1"/>
  <c r="G3913" i="16"/>
  <c r="H3913" i="16" s="1"/>
  <c r="B241" i="339"/>
  <c r="C241" i="339"/>
  <c r="G3922" i="16"/>
  <c r="H3922" i="16" s="1"/>
  <c r="G3923" i="16"/>
  <c r="H3923" i="16" s="1"/>
  <c r="G3924" i="16"/>
  <c r="H3924" i="16" s="1"/>
  <c r="G3925" i="16"/>
  <c r="H3925" i="16" s="1"/>
  <c r="G3928" i="16"/>
  <c r="H3928" i="16" s="1"/>
  <c r="G3929" i="16"/>
  <c r="H3929" i="16" s="1"/>
  <c r="B242" i="339"/>
  <c r="C242" i="339"/>
  <c r="G3938" i="16"/>
  <c r="H3938" i="16" s="1"/>
  <c r="G3939" i="16"/>
  <c r="H3939" i="16" s="1"/>
  <c r="G3940" i="16"/>
  <c r="H3940" i="16" s="1"/>
  <c r="G3941" i="16"/>
  <c r="H3941" i="16" s="1"/>
  <c r="G3944" i="16"/>
  <c r="H3944" i="16" s="1"/>
  <c r="G3945" i="16"/>
  <c r="H3945" i="16" s="1"/>
  <c r="G3946" i="16"/>
  <c r="H3946" i="16" s="1"/>
  <c r="B243" i="339"/>
  <c r="C243" i="339"/>
  <c r="G3955" i="16"/>
  <c r="H3955" i="16" s="1"/>
  <c r="G3956" i="16"/>
  <c r="H3956" i="16" s="1"/>
  <c r="G3957" i="16"/>
  <c r="H3957" i="16" s="1"/>
  <c r="G3958" i="16"/>
  <c r="H3958" i="16" s="1"/>
  <c r="G3961" i="16"/>
  <c r="H3961" i="16" s="1"/>
  <c r="G3962" i="16"/>
  <c r="H3962" i="16" s="1"/>
  <c r="G3963" i="16"/>
  <c r="H3963" i="16" s="1"/>
  <c r="B244" i="339"/>
  <c r="C244" i="339"/>
  <c r="H3972" i="16"/>
  <c r="G3975" i="16"/>
  <c r="H3975" i="16" s="1"/>
  <c r="M3975" i="16" s="1"/>
  <c r="G3976" i="16"/>
  <c r="H3976" i="16" s="1"/>
  <c r="M3976" i="16" s="1"/>
  <c r="G3977" i="16"/>
  <c r="H3977" i="16" s="1"/>
  <c r="M3977" i="16" s="1"/>
  <c r="G3978" i="16"/>
  <c r="H3978" i="16" s="1"/>
  <c r="M3978" i="16" s="1"/>
  <c r="G3979" i="16"/>
  <c r="H3979" i="16" s="1"/>
  <c r="M3979" i="16" s="1"/>
  <c r="H3982" i="16"/>
  <c r="B245" i="339"/>
  <c r="C245" i="339"/>
  <c r="G3991" i="16"/>
  <c r="H3991" i="16" s="1"/>
  <c r="G3992" i="16"/>
  <c r="H3992" i="16" s="1"/>
  <c r="G3993" i="16"/>
  <c r="H3993" i="16" s="1"/>
  <c r="G3994" i="16"/>
  <c r="H3994" i="16" s="1"/>
  <c r="G3997" i="16"/>
  <c r="H3997" i="16" s="1"/>
  <c r="G3998" i="16"/>
  <c r="H3998" i="16" s="1"/>
  <c r="B246" i="339"/>
  <c r="C246" i="339"/>
  <c r="G4007" i="16"/>
  <c r="H4007" i="16" s="1"/>
  <c r="G4008" i="16"/>
  <c r="H4008" i="16" s="1"/>
  <c r="G4009" i="16"/>
  <c r="H4009" i="16" s="1"/>
  <c r="G4010" i="16"/>
  <c r="H4010" i="16" s="1"/>
  <c r="G4013" i="16"/>
  <c r="G4014" i="16"/>
  <c r="H4014" i="16" s="1"/>
  <c r="B247" i="339"/>
  <c r="C247" i="339"/>
  <c r="G4024" i="16"/>
  <c r="H4024" i="16" s="1"/>
  <c r="G4025" i="16"/>
  <c r="H4025" i="16" s="1"/>
  <c r="G4026" i="16"/>
  <c r="H4026" i="16" s="1"/>
  <c r="G4027" i="16"/>
  <c r="H4027" i="16" s="1"/>
  <c r="G4030" i="16"/>
  <c r="H4030" i="16" s="1"/>
  <c r="C248" i="339"/>
  <c r="G4041" i="16"/>
  <c r="H4041" i="16" s="1"/>
  <c r="G4042" i="16"/>
  <c r="H4042" i="16" s="1"/>
  <c r="G4043" i="16"/>
  <c r="H4043" i="16" s="1"/>
  <c r="G4044" i="16"/>
  <c r="H4044" i="16" s="1"/>
  <c r="G4047" i="16"/>
  <c r="H4047" i="16" s="1"/>
  <c r="B249" i="339"/>
  <c r="C249" i="339"/>
  <c r="G4058" i="16"/>
  <c r="H4058" i="16" s="1"/>
  <c r="G4059" i="16"/>
  <c r="H4059" i="16" s="1"/>
  <c r="G4062" i="16"/>
  <c r="H4062" i="16" s="1"/>
  <c r="G4063" i="16"/>
  <c r="H4063" i="16" s="1"/>
  <c r="G6490" i="16"/>
  <c r="H6490" i="16" s="1"/>
  <c r="G6457" i="16"/>
  <c r="G6492" i="16" s="1"/>
  <c r="H6492" i="16" s="1"/>
  <c r="G6483" i="16"/>
  <c r="H6483" i="16" s="1"/>
  <c r="G6484" i="16"/>
  <c r="H6484" i="16" s="1"/>
  <c r="G6485" i="16"/>
  <c r="H6485" i="16" s="1"/>
  <c r="G6486" i="16"/>
  <c r="H6486" i="16" s="1"/>
  <c r="G8132" i="16"/>
  <c r="H8132" i="16" s="1"/>
  <c r="G8133" i="16"/>
  <c r="H8133" i="16" s="1"/>
  <c r="G8134" i="16"/>
  <c r="H8134" i="16" s="1"/>
  <c r="G8546" i="16"/>
  <c r="G8585" i="16" s="1"/>
  <c r="H8585" i="16" s="1"/>
  <c r="G8547" i="16"/>
  <c r="H8547" i="16" s="1"/>
  <c r="G8548" i="16"/>
  <c r="H8548" i="16" s="1"/>
  <c r="G8549" i="16"/>
  <c r="H8549" i="16" s="1"/>
  <c r="G8550" i="16"/>
  <c r="G8589" i="16" s="1"/>
  <c r="H8589" i="16" s="1"/>
  <c r="G8551" i="16"/>
  <c r="H8551" i="16" s="1"/>
  <c r="G8552" i="16"/>
  <c r="G8591" i="16" s="1"/>
  <c r="H8591" i="16" s="1"/>
  <c r="G8553" i="16"/>
  <c r="H8553" i="16" s="1"/>
  <c r="G8554" i="16"/>
  <c r="G8593" i="16" s="1"/>
  <c r="H8593" i="16" s="1"/>
  <c r="G8555" i="16"/>
  <c r="H8555" i="16" s="1"/>
  <c r="G8556" i="16"/>
  <c r="H8556" i="16" s="1"/>
  <c r="G8557" i="16"/>
  <c r="H8557" i="16" s="1"/>
  <c r="G8558" i="16"/>
  <c r="H8558" i="16" s="1"/>
  <c r="G8559" i="16"/>
  <c r="G8560" i="16"/>
  <c r="H8560" i="16" s="1"/>
  <c r="G8561" i="16"/>
  <c r="G8562" i="16"/>
  <c r="G8601" i="16" s="1"/>
  <c r="H8601" i="16" s="1"/>
  <c r="G8563" i="16"/>
  <c r="H8563" i="16" s="1"/>
  <c r="G8564" i="16"/>
  <c r="G8565" i="16"/>
  <c r="H8565" i="16" s="1"/>
  <c r="G8538" i="16"/>
  <c r="H8538" i="16" s="1"/>
  <c r="G8539" i="16"/>
  <c r="H8539" i="16" s="1"/>
  <c r="G8540" i="16"/>
  <c r="H8540" i="16" s="1"/>
  <c r="G8541" i="16"/>
  <c r="H8541" i="16" s="1"/>
  <c r="G8542" i="16"/>
  <c r="H8542" i="16" s="1"/>
  <c r="G8597" i="16"/>
  <c r="H8597" i="16" s="1"/>
  <c r="G8577" i="16"/>
  <c r="H8577" i="16" s="1"/>
  <c r="G8578" i="16"/>
  <c r="H8578" i="16" s="1"/>
  <c r="G8579" i="16"/>
  <c r="H8579" i="16" s="1"/>
  <c r="G8580" i="16"/>
  <c r="H8580" i="16" s="1"/>
  <c r="G8581" i="16"/>
  <c r="H8581" i="16" s="1"/>
  <c r="G8582" i="16"/>
  <c r="H8582" i="16" s="1"/>
  <c r="H8617" i="16"/>
  <c r="G8620" i="16"/>
  <c r="G8621" i="16"/>
  <c r="G8622" i="16"/>
  <c r="G8623" i="16"/>
  <c r="H8623" i="16" s="1"/>
  <c r="G8624" i="16"/>
  <c r="H8624" i="16" s="1"/>
  <c r="G8625" i="16"/>
  <c r="H8625" i="16" s="1"/>
  <c r="F8626" i="16"/>
  <c r="G8626" i="16"/>
  <c r="G8627" i="16"/>
  <c r="H8627" i="16" s="1"/>
  <c r="G8628" i="16"/>
  <c r="H8628" i="16" s="1"/>
  <c r="G8629" i="16"/>
  <c r="H8629" i="16" s="1"/>
  <c r="G8630" i="16"/>
  <c r="G8631" i="16"/>
  <c r="H8631" i="16" s="1"/>
  <c r="G8632" i="16"/>
  <c r="H8632" i="16" s="1"/>
  <c r="G8633" i="16"/>
  <c r="H8633" i="16" s="1"/>
  <c r="G8634" i="16"/>
  <c r="G8635" i="16"/>
  <c r="G8636" i="16"/>
  <c r="G8637" i="16"/>
  <c r="G8638" i="16"/>
  <c r="H8638" i="16" s="1"/>
  <c r="G8639" i="16"/>
  <c r="G8640" i="16"/>
  <c r="H8640" i="16" s="1"/>
  <c r="G8641" i="16"/>
  <c r="H8641" i="16" s="1"/>
  <c r="H8652" i="16"/>
  <c r="G8655" i="16"/>
  <c r="G8656" i="16"/>
  <c r="G8657" i="16"/>
  <c r="G8658" i="16"/>
  <c r="H8658" i="16" s="1"/>
  <c r="G8659" i="16"/>
  <c r="H8659" i="16" s="1"/>
  <c r="G8660" i="16"/>
  <c r="H8660" i="16" s="1"/>
  <c r="F8661" i="16"/>
  <c r="G8661" i="16"/>
  <c r="G8662" i="16"/>
  <c r="H8662" i="16" s="1"/>
  <c r="G8663" i="16"/>
  <c r="H8663" i="16" s="1"/>
  <c r="G8664" i="16"/>
  <c r="H8664" i="16" s="1"/>
  <c r="G8665" i="16"/>
  <c r="G8666" i="16"/>
  <c r="H8666" i="16" s="1"/>
  <c r="G8667" i="16"/>
  <c r="H8667" i="16" s="1"/>
  <c r="G8668" i="16"/>
  <c r="H8668" i="16" s="1"/>
  <c r="G8669" i="16"/>
  <c r="G8670" i="16"/>
  <c r="G8671" i="16"/>
  <c r="G8672" i="16"/>
  <c r="G8673" i="16"/>
  <c r="H8673" i="16" s="1"/>
  <c r="G8674" i="16"/>
  <c r="G8675" i="16"/>
  <c r="H8675" i="16" s="1"/>
  <c r="G8676" i="16"/>
  <c r="H8676" i="16" s="1"/>
  <c r="G8760" i="16"/>
  <c r="H8760" i="16" s="1"/>
  <c r="G8761" i="16"/>
  <c r="H8761" i="16" s="1"/>
  <c r="H8762" i="16"/>
  <c r="G8777" i="16"/>
  <c r="H8777" i="16" s="1"/>
  <c r="G8778" i="16"/>
  <c r="H8778" i="16" s="1"/>
  <c r="H8779" i="16"/>
  <c r="G8794" i="16"/>
  <c r="H8794" i="16" s="1"/>
  <c r="G8795" i="16"/>
  <c r="H8795" i="16" s="1"/>
  <c r="H8796" i="16"/>
  <c r="G8811" i="16"/>
  <c r="H8811" i="16" s="1"/>
  <c r="G8812" i="16"/>
  <c r="H8812" i="16" s="1"/>
  <c r="H8813" i="16"/>
  <c r="G8828" i="16"/>
  <c r="G8829" i="16"/>
  <c r="H8829" i="16" s="1"/>
  <c r="H8830" i="16"/>
  <c r="G8845" i="16"/>
  <c r="G8846" i="16"/>
  <c r="H8846" i="16" s="1"/>
  <c r="H8847" i="16"/>
  <c r="G8862" i="16"/>
  <c r="G8863" i="16"/>
  <c r="H8863" i="16" s="1"/>
  <c r="H8864" i="16"/>
  <c r="G8879" i="16"/>
  <c r="G8880" i="16"/>
  <c r="H8880" i="16" s="1"/>
  <c r="H8881" i="16"/>
  <c r="G8896" i="16"/>
  <c r="H8896" i="16" s="1"/>
  <c r="H8897" i="16"/>
  <c r="G8912" i="16"/>
  <c r="H8912" i="16" s="1"/>
  <c r="H8913" i="16"/>
  <c r="G8928" i="16"/>
  <c r="H8928" i="16" s="1"/>
  <c r="H8929" i="16"/>
  <c r="G8944" i="16"/>
  <c r="H8944" i="16" s="1"/>
  <c r="M8944" i="16" s="1"/>
  <c r="M8946" i="16" s="1"/>
  <c r="H8945" i="16"/>
  <c r="M8945" i="16" s="1"/>
  <c r="G8960" i="16"/>
  <c r="H8960" i="16" s="1"/>
  <c r="M8960" i="16" s="1"/>
  <c r="M8962" i="16" s="1"/>
  <c r="H8961" i="16"/>
  <c r="M8961" i="16" s="1"/>
  <c r="G8976" i="16"/>
  <c r="H8976" i="16" s="1"/>
  <c r="M8976" i="16" s="1"/>
  <c r="H8977" i="16"/>
  <c r="M8977" i="16" s="1"/>
  <c r="G8992" i="16"/>
  <c r="H8992" i="16" s="1"/>
  <c r="M8992" i="16" s="1"/>
  <c r="H8993" i="16"/>
  <c r="M8993" i="16" s="1"/>
  <c r="G9008" i="16"/>
  <c r="H9008" i="16" s="1"/>
  <c r="H9009" i="16"/>
  <c r="G9024" i="16"/>
  <c r="H9024" i="16" s="1"/>
  <c r="H9025" i="16"/>
  <c r="G9129" i="16"/>
  <c r="Q9129" i="16" s="1"/>
  <c r="G9130" i="16"/>
  <c r="H9130" i="16" s="1"/>
  <c r="G9125" i="16"/>
  <c r="G9126" i="16"/>
  <c r="G9147" i="16"/>
  <c r="H9147" i="16" s="1"/>
  <c r="G9181" i="16"/>
  <c r="H9181" i="16" s="1"/>
  <c r="F9201" i="16"/>
  <c r="F9235" i="16" s="1"/>
  <c r="G9198" i="16"/>
  <c r="H9198" i="16" s="1"/>
  <c r="G9215" i="16"/>
  <c r="H9215" i="16" s="1"/>
  <c r="G9232" i="16"/>
  <c r="H9232" i="16" s="1"/>
  <c r="G9249" i="16"/>
  <c r="H9249" i="16" s="1"/>
  <c r="G9266" i="16"/>
  <c r="H9266" i="16" s="1"/>
  <c r="G9283" i="16"/>
  <c r="H9283" i="16" s="1"/>
  <c r="G9300" i="16"/>
  <c r="H9300" i="16" s="1"/>
  <c r="B396" i="339"/>
  <c r="B397" i="339"/>
  <c r="B398" i="339"/>
  <c r="I130" i="351" s="1"/>
  <c r="B399" i="339"/>
  <c r="C397" i="339"/>
  <c r="G6279" i="16"/>
  <c r="H6279" i="16" s="1"/>
  <c r="G6280" i="16"/>
  <c r="H6280" i="16" s="1"/>
  <c r="G6281" i="16"/>
  <c r="H6281" i="16" s="1"/>
  <c r="G6282" i="16"/>
  <c r="H6282" i="16" s="1"/>
  <c r="G6285" i="16"/>
  <c r="H6285" i="16" s="1"/>
  <c r="G6286" i="16" s="1"/>
  <c r="H6286" i="16" s="1"/>
  <c r="C398" i="339"/>
  <c r="G6295" i="16"/>
  <c r="H6295" i="16" s="1"/>
  <c r="M6295" i="16" s="1"/>
  <c r="G6296" i="16"/>
  <c r="H6296" i="16" s="1"/>
  <c r="M6296" i="16" s="1"/>
  <c r="G6297" i="16"/>
  <c r="H6297" i="16" s="1"/>
  <c r="M6297" i="16" s="1"/>
  <c r="G6298" i="16"/>
  <c r="H6298" i="16" s="1"/>
  <c r="M6298" i="16" s="1"/>
  <c r="G6301" i="16"/>
  <c r="H6301" i="16" s="1"/>
  <c r="C399" i="339"/>
  <c r="G6311" i="16"/>
  <c r="H6311" i="16" s="1"/>
  <c r="G6312" i="16"/>
  <c r="H6312" i="16" s="1"/>
  <c r="G6313" i="16"/>
  <c r="H6313" i="16" s="1"/>
  <c r="G6314" i="16"/>
  <c r="H6314" i="16" s="1"/>
  <c r="G6317" i="16"/>
  <c r="H6317" i="16" s="1"/>
  <c r="G6318" i="16"/>
  <c r="H6318" i="16" s="1"/>
  <c r="G6319" i="16"/>
  <c r="H6319" i="16" s="1"/>
  <c r="B400" i="339"/>
  <c r="C400" i="339"/>
  <c r="G6328" i="16"/>
  <c r="H6328" i="16" s="1"/>
  <c r="G6329" i="16"/>
  <c r="H6329" i="16" s="1"/>
  <c r="G6330" i="16"/>
  <c r="H6330" i="16" s="1"/>
  <c r="G6331" i="16"/>
  <c r="H6331" i="16" s="1"/>
  <c r="G6334" i="16"/>
  <c r="H6334" i="16" s="1"/>
  <c r="G6335" i="16"/>
  <c r="H6335" i="16" s="1"/>
  <c r="G6336" i="16"/>
  <c r="H6336" i="16" s="1"/>
  <c r="B401" i="339"/>
  <c r="I129" i="351" s="1"/>
  <c r="C401" i="339"/>
  <c r="G6345" i="16"/>
  <c r="H6345" i="16" s="1"/>
  <c r="M6345" i="16" s="1"/>
  <c r="G6346" i="16"/>
  <c r="H6346" i="16" s="1"/>
  <c r="M6346" i="16" s="1"/>
  <c r="G6347" i="16"/>
  <c r="H6347" i="16" s="1"/>
  <c r="M6347" i="16" s="1"/>
  <c r="G6348" i="16"/>
  <c r="H6348" i="16" s="1"/>
  <c r="M6348" i="16" s="1"/>
  <c r="G6351" i="16"/>
  <c r="H6351" i="16" s="1"/>
  <c r="M6351" i="16" s="1"/>
  <c r="G6352" i="16"/>
  <c r="H6352" i="16" s="1"/>
  <c r="M6352" i="16" s="1"/>
  <c r="G6353" i="16"/>
  <c r="H6353" i="16" s="1"/>
  <c r="M6353" i="16" s="1"/>
  <c r="C402" i="339"/>
  <c r="G6362" i="16"/>
  <c r="H6362" i="16" s="1"/>
  <c r="M6362" i="16" s="1"/>
  <c r="G6363" i="16"/>
  <c r="H6363" i="16" s="1"/>
  <c r="M6363" i="16" s="1"/>
  <c r="G6364" i="16"/>
  <c r="H6364" i="16" s="1"/>
  <c r="M6364" i="16" s="1"/>
  <c r="G6365" i="16"/>
  <c r="H6365" i="16" s="1"/>
  <c r="M6365" i="16" s="1"/>
  <c r="G6368" i="16"/>
  <c r="H6368" i="16" s="1"/>
  <c r="G6369" i="16"/>
  <c r="H6369" i="16" s="1"/>
  <c r="M6369" i="16" s="1"/>
  <c r="G6370" i="16"/>
  <c r="H6370" i="16" s="1"/>
  <c r="M6370" i="16" s="1"/>
  <c r="B403" i="339"/>
  <c r="G6380" i="16"/>
  <c r="H6380" i="16" s="1"/>
  <c r="G6381" i="16"/>
  <c r="H6381" i="16" s="1"/>
  <c r="G6382" i="16"/>
  <c r="H6382" i="16" s="1"/>
  <c r="G6383" i="16"/>
  <c r="H6383" i="16" s="1"/>
  <c r="G6386" i="16"/>
  <c r="H6386" i="16" s="1"/>
  <c r="G6389" i="16" s="1"/>
  <c r="H6389" i="16" s="1"/>
  <c r="G6387" i="16"/>
  <c r="H6387" i="16" s="1"/>
  <c r="G6388" i="16"/>
  <c r="H6388" i="16" s="1"/>
  <c r="B404" i="339"/>
  <c r="I132" i="351" s="1"/>
  <c r="C404" i="339"/>
  <c r="G6398" i="16"/>
  <c r="H6398" i="16" s="1"/>
  <c r="M6398" i="16" s="1"/>
  <c r="G6399" i="16"/>
  <c r="H6399" i="16" s="1"/>
  <c r="M6399" i="16" s="1"/>
  <c r="G6400" i="16"/>
  <c r="H6400" i="16" s="1"/>
  <c r="M6400" i="16" s="1"/>
  <c r="G6401" i="16"/>
  <c r="H6401" i="16" s="1"/>
  <c r="M6401" i="16" s="1"/>
  <c r="G6404" i="16"/>
  <c r="H6404" i="16" s="1"/>
  <c r="G6405" i="16"/>
  <c r="H6405" i="16" s="1"/>
  <c r="M6405" i="16" s="1"/>
  <c r="G6406" i="16"/>
  <c r="H6406" i="16" s="1"/>
  <c r="M6406" i="16" s="1"/>
  <c r="B405" i="339"/>
  <c r="C405" i="339"/>
  <c r="G6416" i="16"/>
  <c r="H6416" i="16" s="1"/>
  <c r="G6417" i="16"/>
  <c r="H6417" i="16" s="1"/>
  <c r="G6418" i="16"/>
  <c r="H6418" i="16" s="1"/>
  <c r="G6419" i="16"/>
  <c r="H6419" i="16" s="1"/>
  <c r="G6422" i="16"/>
  <c r="H6422" i="16" s="1"/>
  <c r="B406" i="339"/>
  <c r="C406" i="339"/>
  <c r="G6432" i="16"/>
  <c r="H6432" i="16" s="1"/>
  <c r="G6433" i="16"/>
  <c r="H6433" i="16" s="1"/>
  <c r="G6434" i="16"/>
  <c r="H6434" i="16" s="1"/>
  <c r="G6435" i="16"/>
  <c r="H6435" i="16" s="1"/>
  <c r="G6438" i="16"/>
  <c r="H6438" i="16" s="1"/>
  <c r="G6439" i="16" s="1"/>
  <c r="H6439" i="16" s="1"/>
  <c r="H6440" i="16" s="1"/>
  <c r="B407" i="339"/>
  <c r="C407" i="339"/>
  <c r="G6448" i="16"/>
  <c r="H6448" i="16" s="1"/>
  <c r="G6449" i="16"/>
  <c r="H6449" i="16" s="1"/>
  <c r="G6450" i="16"/>
  <c r="H6450" i="16" s="1"/>
  <c r="G6451" i="16"/>
  <c r="H6451" i="16" s="1"/>
  <c r="G6454" i="16"/>
  <c r="H6454" i="16" s="1"/>
  <c r="G6455" i="16"/>
  <c r="H6455" i="16" s="1"/>
  <c r="G6456" i="16"/>
  <c r="H6456" i="16" s="1"/>
  <c r="G6458" i="16"/>
  <c r="H6458" i="16" s="1"/>
  <c r="B408" i="339"/>
  <c r="C408" i="339"/>
  <c r="G6467" i="16"/>
  <c r="H6467" i="16" s="1"/>
  <c r="G6468" i="16"/>
  <c r="H6468" i="16" s="1"/>
  <c r="G6469" i="16"/>
  <c r="H6469" i="16" s="1"/>
  <c r="G6470" i="16"/>
  <c r="H6470" i="16" s="1"/>
  <c r="G6473" i="16"/>
  <c r="H6473" i="16" s="1"/>
  <c r="B409" i="339"/>
  <c r="C409" i="339"/>
  <c r="B410" i="339"/>
  <c r="C410" i="339"/>
  <c r="G6502" i="16"/>
  <c r="H6502" i="16" s="1"/>
  <c r="G6503" i="16"/>
  <c r="H6503" i="16" s="1"/>
  <c r="G6504" i="16"/>
  <c r="H6504" i="16" s="1"/>
  <c r="G6505" i="16"/>
  <c r="H6505" i="16" s="1"/>
  <c r="G6508" i="16"/>
  <c r="H6508" i="16" s="1"/>
  <c r="G6509" i="16"/>
  <c r="H6509" i="16" s="1"/>
  <c r="B411" i="339"/>
  <c r="C411" i="339"/>
  <c r="G6518" i="16"/>
  <c r="H6518" i="16" s="1"/>
  <c r="G6519" i="16"/>
  <c r="H6519" i="16" s="1"/>
  <c r="G6520" i="16"/>
  <c r="H6520" i="16" s="1"/>
  <c r="G6521" i="16"/>
  <c r="H6521" i="16" s="1"/>
  <c r="G6524" i="16"/>
  <c r="H6524" i="16" s="1"/>
  <c r="G6525" i="16"/>
  <c r="H6525" i="16" s="1"/>
  <c r="G6526" i="16"/>
  <c r="H6526" i="16" s="1"/>
  <c r="G6527" i="16"/>
  <c r="H6527" i="16" s="1"/>
  <c r="B412" i="339"/>
  <c r="I133" i="351" s="1"/>
  <c r="C412" i="339"/>
  <c r="G6536" i="16"/>
  <c r="H6536" i="16" s="1"/>
  <c r="M6536" i="16" s="1"/>
  <c r="G6537" i="16"/>
  <c r="H6537" i="16" s="1"/>
  <c r="M6537" i="16" s="1"/>
  <c r="G6538" i="16"/>
  <c r="H6538" i="16" s="1"/>
  <c r="M6538" i="16" s="1"/>
  <c r="G6539" i="16"/>
  <c r="H6539" i="16" s="1"/>
  <c r="M6539" i="16" s="1"/>
  <c r="G6542" i="16"/>
  <c r="H6542" i="16" s="1"/>
  <c r="B413" i="339"/>
  <c r="I135" i="351" s="1"/>
  <c r="C413" i="339"/>
  <c r="G6551" i="16"/>
  <c r="H6551" i="16" s="1"/>
  <c r="M6551" i="16" s="1"/>
  <c r="G6552" i="16"/>
  <c r="H6552" i="16" s="1"/>
  <c r="M6552" i="16" s="1"/>
  <c r="G6553" i="16"/>
  <c r="H6553" i="16" s="1"/>
  <c r="M6553" i="16" s="1"/>
  <c r="G6554" i="16"/>
  <c r="H6554" i="16" s="1"/>
  <c r="M6554" i="16" s="1"/>
  <c r="G6557" i="16"/>
  <c r="H6557" i="16" s="1"/>
  <c r="M6557" i="16" s="1"/>
  <c r="G6558" i="16"/>
  <c r="H6558" i="16" s="1"/>
  <c r="M6558" i="16" s="1"/>
  <c r="B414" i="339"/>
  <c r="C414" i="339"/>
  <c r="G6567" i="16"/>
  <c r="H6567" i="16" s="1"/>
  <c r="G6568" i="16"/>
  <c r="H6568" i="16" s="1"/>
  <c r="G6569" i="16"/>
  <c r="H6569" i="16" s="1"/>
  <c r="G6570" i="16"/>
  <c r="H6570" i="16" s="1"/>
  <c r="G6573" i="16"/>
  <c r="H6573" i="16" s="1"/>
  <c r="G6574" i="16"/>
  <c r="H6574" i="16" s="1"/>
  <c r="B415" i="339"/>
  <c r="I134" i="351" s="1"/>
  <c r="C415" i="339"/>
  <c r="G6584" i="16"/>
  <c r="H6584" i="16" s="1"/>
  <c r="M6584" i="16" s="1"/>
  <c r="G6585" i="16"/>
  <c r="H6585" i="16" s="1"/>
  <c r="M6585" i="16" s="1"/>
  <c r="G6586" i="16"/>
  <c r="H6586" i="16" s="1"/>
  <c r="M6586" i="16" s="1"/>
  <c r="G6587" i="16"/>
  <c r="H6587" i="16" s="1"/>
  <c r="M6587" i="16" s="1"/>
  <c r="G6590" i="16"/>
  <c r="H6590" i="16" s="1"/>
  <c r="M6590" i="16" s="1"/>
  <c r="M6592" i="16" s="1"/>
  <c r="G6591" i="16"/>
  <c r="H6591" i="16" s="1"/>
  <c r="M6591" i="16" s="1"/>
  <c r="B416" i="339"/>
  <c r="C416" i="339"/>
  <c r="G6600" i="16"/>
  <c r="H6600" i="16" s="1"/>
  <c r="G6601" i="16"/>
  <c r="H6601" i="16" s="1"/>
  <c r="G6602" i="16"/>
  <c r="H6602" i="16" s="1"/>
  <c r="G6603" i="16"/>
  <c r="H6603" i="16" s="1"/>
  <c r="G6606" i="16"/>
  <c r="H6606" i="16" s="1"/>
  <c r="G6607" i="16"/>
  <c r="H6607" i="16" s="1"/>
  <c r="B417" i="339"/>
  <c r="C417" i="339"/>
  <c r="G6616" i="16"/>
  <c r="H6616" i="16" s="1"/>
  <c r="G6617" i="16"/>
  <c r="H6617" i="16" s="1"/>
  <c r="G6618" i="16"/>
  <c r="H6618" i="16" s="1"/>
  <c r="G6619" i="16"/>
  <c r="H6619" i="16" s="1"/>
  <c r="G6622" i="16"/>
  <c r="H6622" i="16" s="1"/>
  <c r="B418" i="339"/>
  <c r="C418" i="339"/>
  <c r="G6632" i="16"/>
  <c r="H6632" i="16" s="1"/>
  <c r="G6633" i="16"/>
  <c r="H6633" i="16" s="1"/>
  <c r="G6634" i="16"/>
  <c r="H6634" i="16" s="1"/>
  <c r="G6635" i="16"/>
  <c r="H6635" i="16" s="1"/>
  <c r="G6638" i="16"/>
  <c r="H6638" i="16" s="1"/>
  <c r="B419" i="339"/>
  <c r="C419" i="339"/>
  <c r="G6648" i="16"/>
  <c r="H6648" i="16" s="1"/>
  <c r="G6649" i="16"/>
  <c r="H6649" i="16" s="1"/>
  <c r="G6650" i="16"/>
  <c r="H6650" i="16" s="1"/>
  <c r="G6651" i="16"/>
  <c r="H6651" i="16" s="1"/>
  <c r="G6654" i="16"/>
  <c r="H6654" i="16" s="1"/>
  <c r="B420" i="339"/>
  <c r="C420" i="339"/>
  <c r="G6664" i="16"/>
  <c r="H6664" i="16" s="1"/>
  <c r="G6665" i="16"/>
  <c r="H6665" i="16" s="1"/>
  <c r="G6666" i="16"/>
  <c r="H6666" i="16" s="1"/>
  <c r="G6667" i="16"/>
  <c r="H6667" i="16" s="1"/>
  <c r="G6670" i="16"/>
  <c r="H6670" i="16" s="1"/>
  <c r="G6671" i="16" s="1"/>
  <c r="H6671" i="16" s="1"/>
  <c r="B421" i="339"/>
  <c r="C421" i="339"/>
  <c r="G6680" i="16"/>
  <c r="H6680" i="16" s="1"/>
  <c r="G6681" i="16"/>
  <c r="H6681" i="16" s="1"/>
  <c r="G6682" i="16"/>
  <c r="H6682" i="16" s="1"/>
  <c r="G6683" i="16"/>
  <c r="H6683" i="16" s="1"/>
  <c r="G6686" i="16"/>
  <c r="H6686" i="16" s="1"/>
  <c r="G6687" i="16" s="1"/>
  <c r="H6687" i="16" s="1"/>
  <c r="H6688" i="16" s="1"/>
  <c r="C422" i="339"/>
  <c r="G6696" i="16"/>
  <c r="H6696" i="16" s="1"/>
  <c r="G6697" i="16"/>
  <c r="H6697" i="16" s="1"/>
  <c r="G6698" i="16"/>
  <c r="H6698" i="16" s="1"/>
  <c r="G6699" i="16"/>
  <c r="H6699" i="16" s="1"/>
  <c r="G6702" i="16"/>
  <c r="H6702" i="16" s="1"/>
  <c r="B423" i="339"/>
  <c r="C423" i="339"/>
  <c r="G6712" i="16"/>
  <c r="H6712" i="16" s="1"/>
  <c r="G6713" i="16"/>
  <c r="H6713" i="16" s="1"/>
  <c r="G6714" i="16"/>
  <c r="H6714" i="16" s="1"/>
  <c r="G6715" i="16"/>
  <c r="H6715" i="16" s="1"/>
  <c r="G6718" i="16"/>
  <c r="H6718" i="16" s="1"/>
  <c r="G6719" i="16" s="1"/>
  <c r="H6719" i="16" s="1"/>
  <c r="C424" i="339"/>
  <c r="G6728" i="16"/>
  <c r="H6728" i="16" s="1"/>
  <c r="M6728" i="16" s="1"/>
  <c r="G6729" i="16"/>
  <c r="H6729" i="16" s="1"/>
  <c r="M6729" i="16" s="1"/>
  <c r="G6730" i="16"/>
  <c r="H6730" i="16" s="1"/>
  <c r="M6730" i="16" s="1"/>
  <c r="G6731" i="16"/>
  <c r="H6731" i="16" s="1"/>
  <c r="M6731" i="16" s="1"/>
  <c r="G6734" i="16"/>
  <c r="H6734" i="16" s="1"/>
  <c r="B425" i="339"/>
  <c r="C425" i="339"/>
  <c r="G6744" i="16"/>
  <c r="H6744" i="16" s="1"/>
  <c r="G6745" i="16"/>
  <c r="H6745" i="16" s="1"/>
  <c r="G6746" i="16"/>
  <c r="H6746" i="16" s="1"/>
  <c r="G6747" i="16"/>
  <c r="H6747" i="16" s="1"/>
  <c r="G6750" i="16"/>
  <c r="H6750" i="16" s="1"/>
  <c r="G6751" i="16" s="1"/>
  <c r="H6751" i="16" s="1"/>
  <c r="B426" i="339"/>
  <c r="I123" i="351" s="1"/>
  <c r="C426" i="339"/>
  <c r="G6760" i="16"/>
  <c r="H6760" i="16" s="1"/>
  <c r="M6760" i="16" s="1"/>
  <c r="G6761" i="16"/>
  <c r="H6761" i="16" s="1"/>
  <c r="M6761" i="16" s="1"/>
  <c r="G6762" i="16"/>
  <c r="H6762" i="16" s="1"/>
  <c r="M6762" i="16" s="1"/>
  <c r="G6763" i="16"/>
  <c r="H6763" i="16" s="1"/>
  <c r="M6763" i="16" s="1"/>
  <c r="G6766" i="16"/>
  <c r="H6766" i="16" s="1"/>
  <c r="M6766" i="16" s="1"/>
  <c r="B427" i="339"/>
  <c r="G6776" i="16"/>
  <c r="H6776" i="16" s="1"/>
  <c r="G6777" i="16"/>
  <c r="H6777" i="16" s="1"/>
  <c r="G6778" i="16"/>
  <c r="H6778" i="16" s="1"/>
  <c r="G6779" i="16"/>
  <c r="H6779" i="16" s="1"/>
  <c r="G6782" i="16"/>
  <c r="H6782" i="16" s="1"/>
  <c r="B428" i="339"/>
  <c r="C428" i="339"/>
  <c r="G6792" i="16"/>
  <c r="H6792" i="16" s="1"/>
  <c r="G6793" i="16"/>
  <c r="H6793" i="16" s="1"/>
  <c r="G6794" i="16"/>
  <c r="H6794" i="16" s="1"/>
  <c r="G6795" i="16"/>
  <c r="H6795" i="16" s="1"/>
  <c r="G6798" i="16"/>
  <c r="H6798" i="16" s="1"/>
  <c r="B429" i="339"/>
  <c r="I124" i="351" s="1"/>
  <c r="C429" i="339"/>
  <c r="G6808" i="16"/>
  <c r="H6808" i="16" s="1"/>
  <c r="M6808" i="16" s="1"/>
  <c r="G6809" i="16"/>
  <c r="H6809" i="16" s="1"/>
  <c r="M6809" i="16" s="1"/>
  <c r="G6810" i="16"/>
  <c r="H6810" i="16" s="1"/>
  <c r="M6810" i="16" s="1"/>
  <c r="G6811" i="16"/>
  <c r="H6811" i="16" s="1"/>
  <c r="M6811" i="16" s="1"/>
  <c r="G6814" i="16"/>
  <c r="H6814" i="16" s="1"/>
  <c r="M6814" i="16" s="1"/>
  <c r="B430" i="339"/>
  <c r="I125" i="351" s="1"/>
  <c r="C430" i="339"/>
  <c r="G6824" i="16"/>
  <c r="H6824" i="16" s="1"/>
  <c r="M6824" i="16" s="1"/>
  <c r="G6825" i="16"/>
  <c r="H6825" i="16" s="1"/>
  <c r="M6825" i="16" s="1"/>
  <c r="G6826" i="16"/>
  <c r="H6826" i="16" s="1"/>
  <c r="M6826" i="16" s="1"/>
  <c r="G6827" i="16"/>
  <c r="H6827" i="16" s="1"/>
  <c r="M6827" i="16" s="1"/>
  <c r="G6830" i="16"/>
  <c r="H6830" i="16" s="1"/>
  <c r="M6830" i="16" s="1"/>
  <c r="B431" i="339"/>
  <c r="C431" i="339"/>
  <c r="G6840" i="16"/>
  <c r="H6840" i="16" s="1"/>
  <c r="G6841" i="16"/>
  <c r="H6841" i="16" s="1"/>
  <c r="G6842" i="16"/>
  <c r="H6842" i="16" s="1"/>
  <c r="G6843" i="16"/>
  <c r="H6843" i="16" s="1"/>
  <c r="G6846" i="16"/>
  <c r="H6846" i="16" s="1"/>
  <c r="G6847" i="16" s="1"/>
  <c r="H6847" i="16" s="1"/>
  <c r="B432" i="339"/>
  <c r="C432" i="339"/>
  <c r="G6856" i="16"/>
  <c r="H6856" i="16" s="1"/>
  <c r="G6857" i="16"/>
  <c r="H6857" i="16" s="1"/>
  <c r="G6858" i="16"/>
  <c r="H6858" i="16" s="1"/>
  <c r="G6859" i="16"/>
  <c r="H6859" i="16" s="1"/>
  <c r="G6862" i="16"/>
  <c r="H6862" i="16" s="1"/>
  <c r="G6863" i="16" s="1"/>
  <c r="H6863" i="16" s="1"/>
  <c r="B433" i="339"/>
  <c r="C433" i="339"/>
  <c r="G6872" i="16"/>
  <c r="H6872" i="16" s="1"/>
  <c r="G6873" i="16"/>
  <c r="H6873" i="16" s="1"/>
  <c r="G6874" i="16"/>
  <c r="H6874" i="16" s="1"/>
  <c r="G6875" i="16"/>
  <c r="H6875" i="16" s="1"/>
  <c r="G6878" i="16"/>
  <c r="H6878" i="16" s="1"/>
  <c r="G6879" i="16"/>
  <c r="H6879" i="16" s="1"/>
  <c r="G6880" i="16"/>
  <c r="H6880" i="16" s="1"/>
  <c r="B434" i="339"/>
  <c r="C434" i="339"/>
  <c r="G6889" i="16"/>
  <c r="H6889" i="16" s="1"/>
  <c r="G6890" i="16"/>
  <c r="H6890" i="16" s="1"/>
  <c r="G6891" i="16"/>
  <c r="H6891" i="16" s="1"/>
  <c r="G6892" i="16"/>
  <c r="H6892" i="16" s="1"/>
  <c r="G6895" i="16"/>
  <c r="H6895" i="16" s="1"/>
  <c r="G6896" i="16"/>
  <c r="H6896" i="16" s="1"/>
  <c r="G6897" i="16"/>
  <c r="H6897" i="16" s="1"/>
  <c r="B435" i="339"/>
  <c r="C435" i="339"/>
  <c r="G6906" i="16"/>
  <c r="H6906" i="16" s="1"/>
  <c r="G6907" i="16"/>
  <c r="H6907" i="16" s="1"/>
  <c r="G6908" i="16"/>
  <c r="H6908" i="16" s="1"/>
  <c r="G6909" i="16"/>
  <c r="H6909" i="16" s="1"/>
  <c r="G6912" i="16"/>
  <c r="H6912" i="16" s="1"/>
  <c r="G6913" i="16"/>
  <c r="H6913" i="16" s="1"/>
  <c r="G6914" i="16"/>
  <c r="H6914" i="16" s="1"/>
  <c r="B436" i="339"/>
  <c r="C436" i="339"/>
  <c r="G6923" i="16"/>
  <c r="H6923" i="16" s="1"/>
  <c r="G6924" i="16"/>
  <c r="H6924" i="16" s="1"/>
  <c r="G6925" i="16"/>
  <c r="H6925" i="16" s="1"/>
  <c r="G6926" i="16"/>
  <c r="H6926" i="16" s="1"/>
  <c r="G6929" i="16"/>
  <c r="H6929" i="16" s="1"/>
  <c r="G6930" i="16"/>
  <c r="H6930" i="16" s="1"/>
  <c r="G6931" i="16"/>
  <c r="H6931" i="16" s="1"/>
  <c r="B437" i="339"/>
  <c r="C437" i="339"/>
  <c r="G6940" i="16"/>
  <c r="H6940" i="16" s="1"/>
  <c r="G6941" i="16"/>
  <c r="H6941" i="16" s="1"/>
  <c r="G6942" i="16"/>
  <c r="H6942" i="16" s="1"/>
  <c r="G6943" i="16"/>
  <c r="H6943" i="16" s="1"/>
  <c r="G6946" i="16"/>
  <c r="H6946" i="16" s="1"/>
  <c r="G6947" i="16"/>
  <c r="H6947" i="16" s="1"/>
  <c r="G6948" i="16"/>
  <c r="H6948" i="16" s="1"/>
  <c r="B438" i="339"/>
  <c r="C438" i="339"/>
  <c r="G6957" i="16"/>
  <c r="H6957" i="16" s="1"/>
  <c r="G6958" i="16"/>
  <c r="H6958" i="16" s="1"/>
  <c r="G6959" i="16"/>
  <c r="H6959" i="16" s="1"/>
  <c r="G6960" i="16"/>
  <c r="H6960" i="16" s="1"/>
  <c r="G6963" i="16"/>
  <c r="H6963" i="16" s="1"/>
  <c r="G6964" i="16"/>
  <c r="H6964" i="16" s="1"/>
  <c r="G6965" i="16"/>
  <c r="H6965" i="16" s="1"/>
  <c r="B439" i="339"/>
  <c r="C439" i="339"/>
  <c r="G6974" i="16"/>
  <c r="H6974" i="16" s="1"/>
  <c r="G6975" i="16"/>
  <c r="H6975" i="16" s="1"/>
  <c r="G6976" i="16"/>
  <c r="H6976" i="16" s="1"/>
  <c r="G6977" i="16"/>
  <c r="H6977" i="16" s="1"/>
  <c r="G6980" i="16"/>
  <c r="H6980" i="16" s="1"/>
  <c r="G6981" i="16"/>
  <c r="H6981" i="16" s="1"/>
  <c r="G6982" i="16"/>
  <c r="H6982" i="16" s="1"/>
  <c r="B440" i="339"/>
  <c r="C440" i="339"/>
  <c r="G6991" i="16"/>
  <c r="H6991" i="16" s="1"/>
  <c r="G6992" i="16"/>
  <c r="H6992" i="16" s="1"/>
  <c r="G6993" i="16"/>
  <c r="H6993" i="16" s="1"/>
  <c r="G6994" i="16"/>
  <c r="H6994" i="16" s="1"/>
  <c r="G6997" i="16"/>
  <c r="H6997" i="16" s="1"/>
  <c r="G6998" i="16"/>
  <c r="H6998" i="16" s="1"/>
  <c r="G6999" i="16"/>
  <c r="H6999" i="16" s="1"/>
  <c r="B441" i="339"/>
  <c r="C441" i="339"/>
  <c r="G7008" i="16"/>
  <c r="H7008" i="16" s="1"/>
  <c r="G7009" i="16"/>
  <c r="H7009" i="16" s="1"/>
  <c r="G7010" i="16"/>
  <c r="H7010" i="16" s="1"/>
  <c r="G7011" i="16"/>
  <c r="H7011" i="16" s="1"/>
  <c r="G7014" i="16"/>
  <c r="H7014" i="16" s="1"/>
  <c r="G7015" i="16"/>
  <c r="H7015" i="16" s="1"/>
  <c r="G7016" i="16"/>
  <c r="H7016" i="16" s="1"/>
  <c r="B442" i="339"/>
  <c r="C442" i="339"/>
  <c r="G7025" i="16"/>
  <c r="H7025" i="16" s="1"/>
  <c r="G7026" i="16"/>
  <c r="H7026" i="16" s="1"/>
  <c r="G7027" i="16"/>
  <c r="H7027" i="16" s="1"/>
  <c r="G7028" i="16"/>
  <c r="H7028" i="16" s="1"/>
  <c r="G7031" i="16"/>
  <c r="H7031" i="16" s="1"/>
  <c r="G7032" i="16"/>
  <c r="H7032" i="16" s="1"/>
  <c r="G7033" i="16"/>
  <c r="H7033" i="16" s="1"/>
  <c r="B443" i="339"/>
  <c r="C443" i="339"/>
  <c r="G7042" i="16"/>
  <c r="H7042" i="16" s="1"/>
  <c r="G7043" i="16"/>
  <c r="H7043" i="16" s="1"/>
  <c r="G7044" i="16"/>
  <c r="G7174" i="16" s="1"/>
  <c r="H7174" i="16" s="1"/>
  <c r="G7045" i="16"/>
  <c r="G7099" i="16" s="1"/>
  <c r="G7118" i="16" s="1"/>
  <c r="H7118" i="16" s="1"/>
  <c r="G7048" i="16"/>
  <c r="H7048" i="16" s="1"/>
  <c r="G7049" i="16"/>
  <c r="H7049" i="16" s="1"/>
  <c r="G7050" i="16"/>
  <c r="H7050" i="16" s="1"/>
  <c r="B444" i="339"/>
  <c r="C444" i="339"/>
  <c r="G7059" i="16"/>
  <c r="H7059" i="16" s="1"/>
  <c r="G7060" i="16"/>
  <c r="H7060" i="16" s="1"/>
  <c r="G7061" i="16"/>
  <c r="H7061" i="16" s="1"/>
  <c r="G7062" i="16"/>
  <c r="H7062" i="16" s="1"/>
  <c r="G7065" i="16"/>
  <c r="H7065" i="16" s="1"/>
  <c r="G7066" i="16"/>
  <c r="H7066" i="16" s="1"/>
  <c r="G7067" i="16"/>
  <c r="H7067" i="16" s="1"/>
  <c r="G7068" i="16"/>
  <c r="H7068" i="16" s="1"/>
  <c r="B445" i="339"/>
  <c r="C445" i="339"/>
  <c r="G7077" i="16"/>
  <c r="H7077" i="16" s="1"/>
  <c r="G7078" i="16"/>
  <c r="H7078" i="16" s="1"/>
  <c r="G7079" i="16"/>
  <c r="H7079" i="16" s="1"/>
  <c r="G7080" i="16"/>
  <c r="H7080" i="16" s="1"/>
  <c r="G7083" i="16"/>
  <c r="H7083" i="16" s="1"/>
  <c r="G7084" i="16"/>
  <c r="H7084" i="16" s="1"/>
  <c r="G7085" i="16"/>
  <c r="H7085" i="16" s="1"/>
  <c r="G7086" i="16"/>
  <c r="H7086" i="16" s="1"/>
  <c r="B447" i="339"/>
  <c r="C447" i="339"/>
  <c r="B448" i="339"/>
  <c r="C448" i="339"/>
  <c r="G7102" i="16"/>
  <c r="H7102" i="16" s="1"/>
  <c r="G7103" i="16"/>
  <c r="H7103" i="16" s="1"/>
  <c r="H7106" i="16"/>
  <c r="H7107" i="16" s="1"/>
  <c r="B449" i="339"/>
  <c r="C449" i="339"/>
  <c r="G7121" i="16"/>
  <c r="H7121" i="16" s="1"/>
  <c r="G7122" i="16"/>
  <c r="H7122" i="16" s="1"/>
  <c r="H7125" i="16"/>
  <c r="H7126" i="16" s="1"/>
  <c r="B450" i="339"/>
  <c r="C450" i="339"/>
  <c r="G7140" i="16"/>
  <c r="H7140" i="16" s="1"/>
  <c r="G7141" i="16"/>
  <c r="H7141" i="16" s="1"/>
  <c r="H7144" i="16"/>
  <c r="H7145" i="16" s="1"/>
  <c r="B451" i="339"/>
  <c r="C451" i="339"/>
  <c r="G7159" i="16"/>
  <c r="H7159" i="16" s="1"/>
  <c r="G7160" i="16"/>
  <c r="H7160" i="16" s="1"/>
  <c r="H7163" i="16"/>
  <c r="H7164" i="16" s="1"/>
  <c r="B452" i="339"/>
  <c r="C452" i="339"/>
  <c r="G7178" i="16"/>
  <c r="H7178" i="16" s="1"/>
  <c r="G7179" i="16"/>
  <c r="H7179" i="16" s="1"/>
  <c r="H7182" i="16"/>
  <c r="H7183" i="16" s="1"/>
  <c r="B453" i="339"/>
  <c r="C453" i="339"/>
  <c r="G7197" i="16"/>
  <c r="H7197" i="16" s="1"/>
  <c r="G7198" i="16"/>
  <c r="H7198" i="16" s="1"/>
  <c r="H7201" i="16"/>
  <c r="H7202" i="16" s="1"/>
  <c r="B454" i="339"/>
  <c r="C454" i="339"/>
  <c r="G7216" i="16"/>
  <c r="H7216" i="16" s="1"/>
  <c r="G7217" i="16"/>
  <c r="H7217" i="16" s="1"/>
  <c r="H7220" i="16"/>
  <c r="H7221" i="16" s="1"/>
  <c r="B455" i="339"/>
  <c r="C455" i="339"/>
  <c r="G7235" i="16"/>
  <c r="H7235" i="16" s="1"/>
  <c r="G7236" i="16"/>
  <c r="H7236" i="16" s="1"/>
  <c r="H7239" i="16"/>
  <c r="H7240" i="16" s="1"/>
  <c r="B456" i="339"/>
  <c r="I126" i="351" s="1"/>
  <c r="C456" i="339"/>
  <c r="G7254" i="16"/>
  <c r="H7254" i="16" s="1"/>
  <c r="M7254" i="16" s="1"/>
  <c r="M7256" i="16" s="1"/>
  <c r="G7255" i="16"/>
  <c r="H7255" i="16" s="1"/>
  <c r="M7255" i="16" s="1"/>
  <c r="H7258" i="16"/>
  <c r="H7259" i="16" s="1"/>
  <c r="B457" i="339"/>
  <c r="G7273" i="16"/>
  <c r="H7273" i="16" s="1"/>
  <c r="G7274" i="16"/>
  <c r="H7274" i="16" s="1"/>
  <c r="H7277" i="16"/>
  <c r="H7278" i="16" s="1"/>
  <c r="B458" i="339"/>
  <c r="C458" i="339"/>
  <c r="G7292" i="16"/>
  <c r="H7292" i="16" s="1"/>
  <c r="G7293" i="16"/>
  <c r="H7293" i="16" s="1"/>
  <c r="H7296" i="16"/>
  <c r="H7297" i="16" s="1"/>
  <c r="B459" i="339"/>
  <c r="C459" i="339"/>
  <c r="G7311" i="16"/>
  <c r="H7311" i="16" s="1"/>
  <c r="G7312" i="16"/>
  <c r="H7312" i="16" s="1"/>
  <c r="H7315" i="16"/>
  <c r="H7316" i="16" s="1"/>
  <c r="B460" i="339"/>
  <c r="C460" i="339"/>
  <c r="G7330" i="16"/>
  <c r="H7330" i="16" s="1"/>
  <c r="H7331" i="16" s="1"/>
  <c r="H7333" i="16"/>
  <c r="H7334" i="16" s="1"/>
  <c r="B461" i="339"/>
  <c r="C461" i="339"/>
  <c r="G7348" i="16"/>
  <c r="H7348" i="16" s="1"/>
  <c r="H7349" i="16" s="1"/>
  <c r="H7351" i="16"/>
  <c r="H7352" i="16" s="1"/>
  <c r="B462" i="339"/>
  <c r="C462" i="339"/>
  <c r="G7366" i="16"/>
  <c r="H7366" i="16" s="1"/>
  <c r="H7367" i="16" s="1"/>
  <c r="H7369" i="16"/>
  <c r="H7370" i="16" s="1"/>
  <c r="B463" i="339"/>
  <c r="C463" i="339"/>
  <c r="G7384" i="16"/>
  <c r="H7384" i="16" s="1"/>
  <c r="H7385" i="16" s="1"/>
  <c r="H7387" i="16"/>
  <c r="H7388" i="16" s="1"/>
  <c r="B465" i="339"/>
  <c r="C465" i="339"/>
  <c r="B466" i="339"/>
  <c r="C466" i="339"/>
  <c r="G7403" i="16"/>
  <c r="H7403" i="16" s="1"/>
  <c r="G7404" i="16"/>
  <c r="H7404" i="16" s="1"/>
  <c r="H7407" i="16"/>
  <c r="H7408" i="16" s="1"/>
  <c r="B467" i="339"/>
  <c r="C467" i="339"/>
  <c r="G7422" i="16"/>
  <c r="H7422" i="16" s="1"/>
  <c r="G7423" i="16"/>
  <c r="H7423" i="16" s="1"/>
  <c r="H7426" i="16"/>
  <c r="H7427" i="16" s="1"/>
  <c r="B468" i="339"/>
  <c r="C468" i="339"/>
  <c r="G7441" i="16"/>
  <c r="H7441" i="16" s="1"/>
  <c r="G7442" i="16"/>
  <c r="H7442" i="16" s="1"/>
  <c r="H7445" i="16"/>
  <c r="H7446" i="16" s="1"/>
  <c r="B469" i="339"/>
  <c r="C469" i="339"/>
  <c r="G7460" i="16"/>
  <c r="H7460" i="16" s="1"/>
  <c r="G7461" i="16"/>
  <c r="H7461" i="16" s="1"/>
  <c r="H7464" i="16"/>
  <c r="H7465" i="16" s="1"/>
  <c r="B470" i="339"/>
  <c r="C470" i="339"/>
  <c r="G7479" i="16"/>
  <c r="H7479" i="16" s="1"/>
  <c r="G7480" i="16"/>
  <c r="H7480" i="16" s="1"/>
  <c r="H7483" i="16"/>
  <c r="H7484" i="16" s="1"/>
  <c r="B471" i="339"/>
  <c r="C471" i="339"/>
  <c r="G7498" i="16"/>
  <c r="H7498" i="16" s="1"/>
  <c r="G7499" i="16"/>
  <c r="H7499" i="16" s="1"/>
  <c r="H7502" i="16"/>
  <c r="H7503" i="16" s="1"/>
  <c r="B472" i="339"/>
  <c r="C472" i="339"/>
  <c r="G7517" i="16"/>
  <c r="H7517" i="16" s="1"/>
  <c r="H7518" i="16" s="1"/>
  <c r="H7520" i="16"/>
  <c r="H7521" i="16" s="1"/>
  <c r="B473" i="339"/>
  <c r="C473" i="339"/>
  <c r="G7535" i="16"/>
  <c r="H7535" i="16" s="1"/>
  <c r="H7536" i="16" s="1"/>
  <c r="H7538" i="16"/>
  <c r="H7539" i="16" s="1"/>
  <c r="B474" i="339"/>
  <c r="C474" i="339"/>
  <c r="G7553" i="16"/>
  <c r="H7553" i="16" s="1"/>
  <c r="H7554" i="16" s="1"/>
  <c r="H7556" i="16"/>
  <c r="H7557" i="16" s="1"/>
  <c r="B475" i="339"/>
  <c r="C475" i="339"/>
  <c r="F7567" i="16"/>
  <c r="G7571" i="16"/>
  <c r="H7571" i="16" s="1"/>
  <c r="H7572" i="16" s="1"/>
  <c r="H7574" i="16"/>
  <c r="H7575" i="16" s="1"/>
  <c r="B476" i="339"/>
  <c r="C476" i="339"/>
  <c r="G7589" i="16"/>
  <c r="H7589" i="16" s="1"/>
  <c r="H7590" i="16" s="1"/>
  <c r="H7592" i="16"/>
  <c r="H7593" i="16" s="1"/>
  <c r="B477" i="339"/>
  <c r="C477" i="339"/>
  <c r="G7607" i="16"/>
  <c r="H7607" i="16" s="1"/>
  <c r="H7608" i="16" s="1"/>
  <c r="H7610" i="16"/>
  <c r="H7611" i="16" s="1"/>
  <c r="B478" i="339"/>
  <c r="C478" i="339"/>
  <c r="G7625" i="16"/>
  <c r="H7625" i="16" s="1"/>
  <c r="H7626" i="16" s="1"/>
  <c r="H7628" i="16"/>
  <c r="H7629" i="16" s="1"/>
  <c r="B479" i="339"/>
  <c r="C479" i="339"/>
  <c r="G7643" i="16"/>
  <c r="H7643" i="16" s="1"/>
  <c r="H7644" i="16" s="1"/>
  <c r="H7646" i="16"/>
  <c r="H7647" i="16" s="1"/>
  <c r="B480" i="339"/>
  <c r="C480" i="339"/>
  <c r="G7661" i="16"/>
  <c r="H7661" i="16" s="1"/>
  <c r="H7662" i="16" s="1"/>
  <c r="H7664" i="16"/>
  <c r="H7665" i="16" s="1"/>
  <c r="B481" i="339"/>
  <c r="C481" i="339"/>
  <c r="G7679" i="16"/>
  <c r="H7679" i="16" s="1"/>
  <c r="H7680" i="16" s="1"/>
  <c r="H7682" i="16"/>
  <c r="H7683" i="16" s="1"/>
  <c r="B482" i="339"/>
  <c r="C482" i="339"/>
  <c r="G7697" i="16"/>
  <c r="H7697" i="16" s="1"/>
  <c r="H7698" i="16" s="1"/>
  <c r="H7700" i="16"/>
  <c r="H7701" i="16" s="1"/>
  <c r="B483" i="339"/>
  <c r="C483" i="339"/>
  <c r="G7715" i="16"/>
  <c r="H7715" i="16" s="1"/>
  <c r="H7716" i="16" s="1"/>
  <c r="H7718" i="16"/>
  <c r="H7719" i="16" s="1"/>
  <c r="B484" i="339"/>
  <c r="C484" i="339"/>
  <c r="G7733" i="16"/>
  <c r="H7733" i="16" s="1"/>
  <c r="H7734" i="16" s="1"/>
  <c r="H7736" i="16"/>
  <c r="H7737" i="16" s="1"/>
  <c r="B485" i="339"/>
  <c r="C485" i="339"/>
  <c r="G7751" i="16"/>
  <c r="H7751" i="16" s="1"/>
  <c r="H7752" i="16" s="1"/>
  <c r="H7754" i="16"/>
  <c r="H7755" i="16" s="1"/>
  <c r="B486" i="339"/>
  <c r="C486" i="339"/>
  <c r="G7769" i="16"/>
  <c r="H7769" i="16" s="1"/>
  <c r="H7770" i="16" s="1"/>
  <c r="H7772" i="16"/>
  <c r="H7773" i="16" s="1"/>
  <c r="B487" i="339"/>
  <c r="C487" i="339"/>
  <c r="G7787" i="16"/>
  <c r="H7787" i="16" s="1"/>
  <c r="H7788" i="16" s="1"/>
  <c r="H7790" i="16"/>
  <c r="H7791" i="16" s="1"/>
  <c r="B488" i="339"/>
  <c r="C488" i="339"/>
  <c r="G7805" i="16"/>
  <c r="G7806" i="16"/>
  <c r="G7807" i="16"/>
  <c r="H7807" i="16" s="1"/>
  <c r="G7808" i="16"/>
  <c r="H7808" i="16" s="1"/>
  <c r="G7809" i="16"/>
  <c r="G7810" i="16"/>
  <c r="G7844" i="16" s="1"/>
  <c r="G7811" i="16"/>
  <c r="G7812" i="16"/>
  <c r="G7813" i="16"/>
  <c r="G7814" i="16"/>
  <c r="G7848" i="16" s="1"/>
  <c r="H7848" i="16" s="1"/>
  <c r="G7815" i="16"/>
  <c r="H7815" i="16" s="1"/>
  <c r="G7816" i="16"/>
  <c r="G7817" i="16"/>
  <c r="H7817" i="16" s="1"/>
  <c r="G7818" i="16"/>
  <c r="G7852" i="16" s="1"/>
  <c r="H7852" i="16" s="1"/>
  <c r="G7819" i="16"/>
  <c r="H7819" i="16" s="1"/>
  <c r="G7820" i="16"/>
  <c r="H7820" i="16" s="1"/>
  <c r="G7821" i="16"/>
  <c r="H7824" i="16"/>
  <c r="H7825" i="16" s="1"/>
  <c r="B489" i="339"/>
  <c r="C489" i="339"/>
  <c r="G7842" i="16"/>
  <c r="H7842" i="16" s="1"/>
  <c r="H7858" i="16"/>
  <c r="H7859" i="16" s="1"/>
  <c r="B490" i="339"/>
  <c r="C490" i="339"/>
  <c r="G7876" i="16"/>
  <c r="H7876" i="16" s="1"/>
  <c r="H7892" i="16"/>
  <c r="H7893" i="16" s="1"/>
  <c r="B491" i="339"/>
  <c r="C491" i="339"/>
  <c r="G7910" i="16"/>
  <c r="H7910" i="16" s="1"/>
  <c r="H7926" i="16"/>
  <c r="H7927" i="16" s="1"/>
  <c r="B493" i="339"/>
  <c r="C493" i="339"/>
  <c r="B494" i="339"/>
  <c r="C494" i="339"/>
  <c r="G7936" i="16"/>
  <c r="H7936" i="16" s="1"/>
  <c r="G7937" i="16"/>
  <c r="H7937" i="16" s="1"/>
  <c r="G7942" i="16"/>
  <c r="H7942" i="16" s="1"/>
  <c r="G7943" i="16"/>
  <c r="H7943" i="16" s="1"/>
  <c r="H7946" i="16"/>
  <c r="H7947" i="16" s="1"/>
  <c r="B495" i="339"/>
  <c r="C495" i="339"/>
  <c r="G7955" i="16"/>
  <c r="H7955" i="16" s="1"/>
  <c r="G7956" i="16"/>
  <c r="H7956" i="16" s="1"/>
  <c r="F7957" i="16"/>
  <c r="G7961" i="16"/>
  <c r="H7961" i="16" s="1"/>
  <c r="H7965" i="16"/>
  <c r="H7966" i="16" s="1"/>
  <c r="B496" i="339"/>
  <c r="C496" i="339"/>
  <c r="B497" i="339"/>
  <c r="C497" i="339"/>
  <c r="B498" i="339"/>
  <c r="C498" i="339"/>
  <c r="B499" i="339"/>
  <c r="C499" i="339"/>
  <c r="G8049" i="16"/>
  <c r="H8049" i="16" s="1"/>
  <c r="G8050" i="16"/>
  <c r="H8050" i="16" s="1"/>
  <c r="G8051" i="16"/>
  <c r="H8051" i="16" s="1"/>
  <c r="G8054" i="16"/>
  <c r="H8054" i="16" s="1"/>
  <c r="H8055" i="16" s="1"/>
  <c r="H8057" i="16"/>
  <c r="H8058" i="16" s="1"/>
  <c r="B500" i="339"/>
  <c r="C500" i="339"/>
  <c r="B501" i="339"/>
  <c r="C501" i="339"/>
  <c r="B502" i="339"/>
  <c r="C502" i="339"/>
  <c r="B503" i="339"/>
  <c r="C503" i="339"/>
  <c r="B504" i="339"/>
  <c r="C504" i="339"/>
  <c r="G8167" i="16"/>
  <c r="H8167" i="16" s="1"/>
  <c r="G8168" i="16"/>
  <c r="H8168" i="16" s="1"/>
  <c r="G8173" i="16"/>
  <c r="G8174" i="16"/>
  <c r="G8196" i="16" s="1"/>
  <c r="G8175" i="16"/>
  <c r="G8197" i="16" s="1"/>
  <c r="H8197" i="16" s="1"/>
  <c r="G8176" i="16"/>
  <c r="H8180" i="16"/>
  <c r="H8181" i="16" s="1"/>
  <c r="B505" i="339"/>
  <c r="C505" i="339"/>
  <c r="G8189" i="16"/>
  <c r="H8189" i="16" s="1"/>
  <c r="G8190" i="16"/>
  <c r="H8190" i="16" s="1"/>
  <c r="G8202" i="16"/>
  <c r="H8202" i="16" s="1"/>
  <c r="H8203" i="16" s="1"/>
  <c r="B506" i="339"/>
  <c r="C506" i="339"/>
  <c r="G8211" i="16"/>
  <c r="H8211" i="16" s="1"/>
  <c r="G8212" i="16"/>
  <c r="H8212" i="16" s="1"/>
  <c r="B508" i="339"/>
  <c r="C508" i="339"/>
  <c r="B509" i="339"/>
  <c r="C509" i="339"/>
  <c r="G8234" i="16"/>
  <c r="G8235" i="16"/>
  <c r="H8235" i="16" s="1"/>
  <c r="G8239" i="16"/>
  <c r="H8239" i="16" s="1"/>
  <c r="H8240" i="16" s="1"/>
  <c r="H8242" i="16"/>
  <c r="G8243" i="16"/>
  <c r="G8263" i="16" s="1"/>
  <c r="G8283" i="16" s="1"/>
  <c r="H8283" i="16" s="1"/>
  <c r="G8244" i="16"/>
  <c r="H8244" i="16" s="1"/>
  <c r="H8245" i="16"/>
  <c r="B510" i="339"/>
  <c r="C510" i="339"/>
  <c r="G8254" i="16"/>
  <c r="G8255" i="16"/>
  <c r="H8255" i="16" s="1"/>
  <c r="G8259" i="16"/>
  <c r="H8259" i="16" s="1"/>
  <c r="H8260" i="16" s="1"/>
  <c r="G8262" i="16"/>
  <c r="H8262" i="16" s="1"/>
  <c r="G8265" i="16"/>
  <c r="H8265" i="16" s="1"/>
  <c r="B511" i="339"/>
  <c r="C511" i="339"/>
  <c r="G8274" i="16"/>
  <c r="G8275" i="16"/>
  <c r="H8275" i="16" s="1"/>
  <c r="G8279" i="16"/>
  <c r="H8279" i="16" s="1"/>
  <c r="H8280" i="16" s="1"/>
  <c r="B512" i="339"/>
  <c r="C512" i="339"/>
  <c r="G8294" i="16"/>
  <c r="G8295" i="16"/>
  <c r="H8295" i="16" s="1"/>
  <c r="G8299" i="16"/>
  <c r="H8299" i="16" s="1"/>
  <c r="H8300" i="16" s="1"/>
  <c r="B513" i="339"/>
  <c r="C513" i="339"/>
  <c r="G8314" i="16"/>
  <c r="G8315" i="16"/>
  <c r="H8315" i="16" s="1"/>
  <c r="G8319" i="16"/>
  <c r="H8319" i="16" s="1"/>
  <c r="H8320" i="16" s="1"/>
  <c r="B514" i="339"/>
  <c r="C514" i="339"/>
  <c r="G8334" i="16"/>
  <c r="G8335" i="16"/>
  <c r="H8335" i="16" s="1"/>
  <c r="G8339" i="16"/>
  <c r="H8339" i="16" s="1"/>
  <c r="H8340" i="16" s="1"/>
  <c r="B516" i="339"/>
  <c r="C516" i="339"/>
  <c r="B517" i="339"/>
  <c r="C517" i="339"/>
  <c r="G8355" i="16"/>
  <c r="H8355" i="16" s="1"/>
  <c r="B518" i="339"/>
  <c r="C518" i="339"/>
  <c r="G8368" i="16"/>
  <c r="H8368" i="16" s="1"/>
  <c r="G8369" i="16"/>
  <c r="H8369" i="16" s="1"/>
  <c r="G8370" i="16"/>
  <c r="H8370" i="16" s="1"/>
  <c r="G8371" i="16"/>
  <c r="H8371" i="16" s="1"/>
  <c r="G8374" i="16"/>
  <c r="H8374" i="16" s="1"/>
  <c r="H8378" i="16" s="1"/>
  <c r="G8380" i="16"/>
  <c r="B519" i="339"/>
  <c r="C519" i="339"/>
  <c r="G8389" i="16"/>
  <c r="H8389" i="16" s="1"/>
  <c r="G8390" i="16"/>
  <c r="H8390" i="16" s="1"/>
  <c r="G8391" i="16"/>
  <c r="H8391" i="16" s="1"/>
  <c r="G8392" i="16"/>
  <c r="H8392" i="16" s="1"/>
  <c r="G8395" i="16"/>
  <c r="H8395" i="16" s="1"/>
  <c r="H8399" i="16" s="1"/>
  <c r="G8401" i="16"/>
  <c r="G8414" i="16" s="1"/>
  <c r="B520" i="339"/>
  <c r="C520" i="339"/>
  <c r="G8410" i="16"/>
  <c r="H8410" i="16" s="1"/>
  <c r="G8411" i="16"/>
  <c r="H8411" i="16" s="1"/>
  <c r="B521" i="339"/>
  <c r="C521" i="339"/>
  <c r="G8423" i="16"/>
  <c r="H8423" i="16" s="1"/>
  <c r="G8424" i="16"/>
  <c r="H8424" i="16" s="1"/>
  <c r="G8425" i="16"/>
  <c r="H8425" i="16" s="1"/>
  <c r="G8426" i="16"/>
  <c r="H8426" i="16" s="1"/>
  <c r="G8429" i="16"/>
  <c r="H8429" i="16" s="1"/>
  <c r="G8430" i="16"/>
  <c r="H8430" i="16" s="1"/>
  <c r="G8431" i="16"/>
  <c r="H8431" i="16" s="1"/>
  <c r="G8432" i="16"/>
  <c r="H8432" i="16" s="1"/>
  <c r="B522" i="339"/>
  <c r="C522" i="339"/>
  <c r="G8444" i="16"/>
  <c r="H8444" i="16" s="1"/>
  <c r="G8445" i="16"/>
  <c r="H8445" i="16" s="1"/>
  <c r="G8446" i="16"/>
  <c r="H8446" i="16" s="1"/>
  <c r="G8447" i="16"/>
  <c r="H8447" i="16" s="1"/>
  <c r="G8450" i="16"/>
  <c r="H8450" i="16" s="1"/>
  <c r="G8451" i="16"/>
  <c r="H8451" i="16" s="1"/>
  <c r="G8452" i="16"/>
  <c r="H8452" i="16" s="1"/>
  <c r="G8453" i="16"/>
  <c r="H8453" i="16" s="1"/>
  <c r="B523" i="339"/>
  <c r="C523" i="339"/>
  <c r="G8465" i="16"/>
  <c r="H8465" i="16" s="1"/>
  <c r="G8466" i="16"/>
  <c r="H8466" i="16" s="1"/>
  <c r="G8467" i="16"/>
  <c r="H8467" i="16" s="1"/>
  <c r="G8468" i="16"/>
  <c r="H8468" i="16" s="1"/>
  <c r="G8471" i="16"/>
  <c r="H8474" i="16"/>
  <c r="H8475" i="16" s="1"/>
  <c r="B524" i="339"/>
  <c r="C524" i="339"/>
  <c r="G8483" i="16"/>
  <c r="H8483" i="16" s="1"/>
  <c r="G8484" i="16"/>
  <c r="H8484" i="16" s="1"/>
  <c r="G8485" i="16"/>
  <c r="H8485" i="16" s="1"/>
  <c r="G8486" i="16"/>
  <c r="H8486" i="16" s="1"/>
  <c r="G8489" i="16"/>
  <c r="H8492" i="16"/>
  <c r="H8493" i="16" s="1"/>
  <c r="B525" i="339"/>
  <c r="C525" i="339"/>
  <c r="G8501" i="16"/>
  <c r="G8502" i="16"/>
  <c r="G8503" i="16"/>
  <c r="H8503" i="16" s="1"/>
  <c r="G8504" i="16"/>
  <c r="G8507" i="16"/>
  <c r="H8510" i="16"/>
  <c r="H8511" i="16" s="1"/>
  <c r="B526" i="339"/>
  <c r="C526" i="339"/>
  <c r="G8519" i="16"/>
  <c r="H8519" i="16" s="1"/>
  <c r="G8520" i="16"/>
  <c r="H8520" i="16" s="1"/>
  <c r="G8521" i="16"/>
  <c r="H8521" i="16" s="1"/>
  <c r="G8522" i="16"/>
  <c r="H8522" i="16" s="1"/>
  <c r="G8525" i="16"/>
  <c r="H8528" i="16"/>
  <c r="H8529" i="16" s="1"/>
  <c r="B528" i="339"/>
  <c r="C528" i="339"/>
  <c r="B529" i="339"/>
  <c r="C529" i="339"/>
  <c r="B530" i="339"/>
  <c r="C530" i="339"/>
  <c r="B531" i="339"/>
  <c r="C531" i="339"/>
  <c r="B532" i="339"/>
  <c r="C532" i="339"/>
  <c r="B533" i="339"/>
  <c r="C533" i="339"/>
  <c r="H8685" i="16"/>
  <c r="H8686" i="16" s="1"/>
  <c r="G8688" i="16"/>
  <c r="H8688" i="16" s="1"/>
  <c r="G8689" i="16"/>
  <c r="H8689" i="16" s="1"/>
  <c r="G8690" i="16"/>
  <c r="H8690" i="16" s="1"/>
  <c r="F8691" i="16"/>
  <c r="G8691" i="16"/>
  <c r="G8692" i="16"/>
  <c r="H8692" i="16" s="1"/>
  <c r="G8693" i="16"/>
  <c r="H8693" i="16" s="1"/>
  <c r="G8694" i="16"/>
  <c r="H8694" i="16" s="1"/>
  <c r="G8695" i="16"/>
  <c r="H8695" i="16" s="1"/>
  <c r="G8696" i="16"/>
  <c r="G8697" i="16"/>
  <c r="G8698" i="16"/>
  <c r="G8699" i="16"/>
  <c r="H8699" i="16" s="1"/>
  <c r="G8700" i="16"/>
  <c r="H8700" i="16" s="1"/>
  <c r="B534" i="339"/>
  <c r="C534" i="339"/>
  <c r="H8709" i="16"/>
  <c r="H8710" i="16" s="1"/>
  <c r="G8712" i="16"/>
  <c r="H8712" i="16" s="1"/>
  <c r="G8713" i="16"/>
  <c r="H8713" i="16" s="1"/>
  <c r="G8714" i="16"/>
  <c r="H8714" i="16" s="1"/>
  <c r="F8715" i="16"/>
  <c r="G8715" i="16"/>
  <c r="G8716" i="16"/>
  <c r="H8716" i="16" s="1"/>
  <c r="G8717" i="16"/>
  <c r="H8717" i="16" s="1"/>
  <c r="G8718" i="16"/>
  <c r="H8718" i="16" s="1"/>
  <c r="G8719" i="16"/>
  <c r="H8719" i="16" s="1"/>
  <c r="G8720" i="16"/>
  <c r="G8721" i="16"/>
  <c r="G8722" i="16"/>
  <c r="G8723" i="16"/>
  <c r="H8723" i="16" s="1"/>
  <c r="G8724" i="16"/>
  <c r="H8724" i="16" s="1"/>
  <c r="B536" i="339"/>
  <c r="C536" i="339"/>
  <c r="B537" i="339"/>
  <c r="C537" i="339"/>
  <c r="H8734" i="16"/>
  <c r="B545" i="339"/>
  <c r="C545" i="339"/>
  <c r="B546" i="339"/>
  <c r="C546" i="339"/>
  <c r="B547" i="339"/>
  <c r="C547" i="339"/>
  <c r="B548" i="339"/>
  <c r="C548" i="339"/>
  <c r="B549" i="339"/>
  <c r="C549" i="339"/>
  <c r="B550" i="339"/>
  <c r="C550" i="339"/>
  <c r="B551" i="339"/>
  <c r="C551" i="339"/>
  <c r="B552" i="339"/>
  <c r="C552" i="339"/>
  <c r="B553" i="339"/>
  <c r="C553" i="339"/>
  <c r="B554" i="339"/>
  <c r="C554" i="339"/>
  <c r="B555" i="339"/>
  <c r="C555" i="339"/>
  <c r="B556" i="339"/>
  <c r="C556" i="339"/>
  <c r="B557" i="339"/>
  <c r="I144" i="351" s="1"/>
  <c r="C557" i="339"/>
  <c r="C558" i="339"/>
  <c r="C559" i="339"/>
  <c r="B560" i="339"/>
  <c r="C560" i="339"/>
  <c r="B561" i="339"/>
  <c r="C561" i="339"/>
  <c r="B562" i="339"/>
  <c r="C562" i="339"/>
  <c r="H9034" i="16"/>
  <c r="H9035" i="16" s="1"/>
  <c r="H9036" i="16" s="1"/>
  <c r="B563" i="339"/>
  <c r="C563" i="339"/>
  <c r="H9043" i="16"/>
  <c r="H9044" i="16" s="1"/>
  <c r="H9045" i="16" s="1"/>
  <c r="B564" i="339"/>
  <c r="C564" i="339"/>
  <c r="H9052" i="16"/>
  <c r="H9053" i="16"/>
  <c r="H9054" i="16"/>
  <c r="H9055" i="16"/>
  <c r="B565" i="339"/>
  <c r="C565" i="339"/>
  <c r="H9064" i="16"/>
  <c r="H9065" i="16" s="1"/>
  <c r="H9067" i="16"/>
  <c r="H9068" i="16"/>
  <c r="H9069" i="16"/>
  <c r="H9070" i="16"/>
  <c r="G9073" i="16"/>
  <c r="H9073" i="16" s="1"/>
  <c r="G9074" i="16"/>
  <c r="H9074" i="16" s="1"/>
  <c r="G9077" i="16"/>
  <c r="H9077" i="16" s="1"/>
  <c r="G9078" i="16"/>
  <c r="H9078" i="16" s="1"/>
  <c r="G9079" i="16"/>
  <c r="H9079" i="16" s="1"/>
  <c r="G9080" i="16"/>
  <c r="H9080" i="16" s="1"/>
  <c r="G9081" i="16"/>
  <c r="H9081" i="16" s="1"/>
  <c r="G9082" i="16"/>
  <c r="H9082" i="16" s="1"/>
  <c r="G9083" i="16"/>
  <c r="H9083" i="16" s="1"/>
  <c r="G9084" i="16"/>
  <c r="H9084" i="16" s="1"/>
  <c r="G9085" i="16"/>
  <c r="H9085" i="16" s="1"/>
  <c r="B566" i="339"/>
  <c r="C566" i="339"/>
  <c r="H9094" i="16"/>
  <c r="H9095" i="16" s="1"/>
  <c r="H9097" i="16"/>
  <c r="H9098" i="16"/>
  <c r="H9099" i="16"/>
  <c r="H9100" i="16"/>
  <c r="G9103" i="16"/>
  <c r="H9103" i="16" s="1"/>
  <c r="G9104" i="16"/>
  <c r="H9104" i="16" s="1"/>
  <c r="G9107" i="16"/>
  <c r="H9107" i="16" s="1"/>
  <c r="G9108" i="16"/>
  <c r="H9108" i="16" s="1"/>
  <c r="G9109" i="16"/>
  <c r="H9109" i="16" s="1"/>
  <c r="G9110" i="16"/>
  <c r="H9110" i="16" s="1"/>
  <c r="G9111" i="16"/>
  <c r="H9111" i="16" s="1"/>
  <c r="G9112" i="16"/>
  <c r="H9112" i="16" s="1"/>
  <c r="G9113" i="16"/>
  <c r="H9113" i="16" s="1"/>
  <c r="G9114" i="16"/>
  <c r="H9114" i="16" s="1"/>
  <c r="G9115" i="16"/>
  <c r="H9115" i="16" s="1"/>
  <c r="B569" i="339"/>
  <c r="C569" i="339"/>
  <c r="B570" i="339"/>
  <c r="C570" i="339"/>
  <c r="G9164" i="16"/>
  <c r="B572" i="339"/>
  <c r="C572" i="339"/>
  <c r="B573" i="339"/>
  <c r="C573" i="339"/>
  <c r="C574" i="339"/>
  <c r="B575" i="339"/>
  <c r="C575" i="339"/>
  <c r="B576" i="339"/>
  <c r="C576" i="339"/>
  <c r="B577" i="339"/>
  <c r="C577" i="339"/>
  <c r="B578" i="339"/>
  <c r="C578" i="339"/>
  <c r="B579" i="339"/>
  <c r="C579" i="339"/>
  <c r="B252" i="339"/>
  <c r="B253" i="339"/>
  <c r="B254" i="339"/>
  <c r="B255" i="339"/>
  <c r="C252" i="339"/>
  <c r="G4073" i="16"/>
  <c r="H4073" i="16" s="1"/>
  <c r="G4074" i="16"/>
  <c r="H4074" i="16" s="1"/>
  <c r="G4075" i="16"/>
  <c r="H4075" i="16" s="1"/>
  <c r="G4076" i="16"/>
  <c r="H4076" i="16" s="1"/>
  <c r="G4079" i="16"/>
  <c r="H4079" i="16" s="1"/>
  <c r="G4080" i="16"/>
  <c r="H4080" i="16" s="1"/>
  <c r="C253" i="339"/>
  <c r="G4089" i="16"/>
  <c r="H4089" i="16" s="1"/>
  <c r="G4090" i="16"/>
  <c r="H4090" i="16" s="1"/>
  <c r="G4091" i="16"/>
  <c r="H4091" i="16" s="1"/>
  <c r="G4092" i="16"/>
  <c r="H4092" i="16" s="1"/>
  <c r="G4095" i="16"/>
  <c r="H4095" i="16" s="1"/>
  <c r="G4096" i="16"/>
  <c r="H4096" i="16" s="1"/>
  <c r="C254" i="339"/>
  <c r="G4105" i="16"/>
  <c r="H4105" i="16" s="1"/>
  <c r="G4106" i="16"/>
  <c r="H4106" i="16" s="1"/>
  <c r="G4107" i="16"/>
  <c r="H4107" i="16" s="1"/>
  <c r="G4108" i="16"/>
  <c r="H4108" i="16" s="1"/>
  <c r="G4111" i="16"/>
  <c r="H4111" i="16" s="1"/>
  <c r="G4112" i="16"/>
  <c r="H4112" i="16" s="1"/>
  <c r="C255" i="339"/>
  <c r="G4121" i="16"/>
  <c r="H4121" i="16" s="1"/>
  <c r="M4121" i="16" s="1"/>
  <c r="G4122" i="16"/>
  <c r="H4122" i="16" s="1"/>
  <c r="M4122" i="16" s="1"/>
  <c r="G4123" i="16"/>
  <c r="H4123" i="16" s="1"/>
  <c r="M4123" i="16" s="1"/>
  <c r="G4124" i="16"/>
  <c r="H4124" i="16" s="1"/>
  <c r="M4124" i="16" s="1"/>
  <c r="G4127" i="16"/>
  <c r="H4127" i="16" s="1"/>
  <c r="M4127" i="16" s="1"/>
  <c r="H4130" i="16"/>
  <c r="M4130" i="16" s="1"/>
  <c r="B256" i="339"/>
  <c r="C256" i="339"/>
  <c r="G4139" i="16"/>
  <c r="H4139" i="16" s="1"/>
  <c r="G4140" i="16"/>
  <c r="H4140" i="16" s="1"/>
  <c r="G4141" i="16"/>
  <c r="H4141" i="16" s="1"/>
  <c r="G4142" i="16"/>
  <c r="H4142" i="16" s="1"/>
  <c r="G4145" i="16"/>
  <c r="H4145" i="16" s="1"/>
  <c r="G4146" i="16"/>
  <c r="H4146" i="16" s="1"/>
  <c r="B257" i="339"/>
  <c r="C257" i="339"/>
  <c r="G4155" i="16"/>
  <c r="H4155" i="16" s="1"/>
  <c r="G4156" i="16"/>
  <c r="H4156" i="16" s="1"/>
  <c r="G4157" i="16"/>
  <c r="H4157" i="16" s="1"/>
  <c r="G4158" i="16"/>
  <c r="H4158" i="16" s="1"/>
  <c r="G4161" i="16"/>
  <c r="H4161" i="16" s="1"/>
  <c r="G4162" i="16"/>
  <c r="H4162" i="16" s="1"/>
  <c r="B258" i="339"/>
  <c r="C258" i="339"/>
  <c r="G4171" i="16"/>
  <c r="H4171" i="16" s="1"/>
  <c r="G4172" i="16"/>
  <c r="H4172" i="16" s="1"/>
  <c r="G4173" i="16"/>
  <c r="H4173" i="16" s="1"/>
  <c r="G4174" i="16"/>
  <c r="H4174" i="16" s="1"/>
  <c r="G4177" i="16"/>
  <c r="H4177" i="16" s="1"/>
  <c r="G4178" i="16"/>
  <c r="H4178" i="16" s="1"/>
  <c r="B259" i="339"/>
  <c r="C259" i="339"/>
  <c r="G4187" i="16"/>
  <c r="H4187" i="16" s="1"/>
  <c r="G4188" i="16"/>
  <c r="H4188" i="16" s="1"/>
  <c r="G4189" i="16"/>
  <c r="H4189" i="16" s="1"/>
  <c r="G4190" i="16"/>
  <c r="H4190" i="16" s="1"/>
  <c r="G4193" i="16"/>
  <c r="H4193" i="16" s="1"/>
  <c r="G4194" i="16"/>
  <c r="H4194" i="16" s="1"/>
  <c r="B261" i="339"/>
  <c r="B262" i="339"/>
  <c r="B263" i="339"/>
  <c r="B264" i="339"/>
  <c r="C261" i="339"/>
  <c r="G4220" i="16"/>
  <c r="H4220" i="16" s="1"/>
  <c r="G4221" i="16"/>
  <c r="H4221" i="16" s="1"/>
  <c r="G4222" i="16"/>
  <c r="H4222" i="16" s="1"/>
  <c r="G4223" i="16"/>
  <c r="H4223" i="16" s="1"/>
  <c r="G4226" i="16"/>
  <c r="H4226" i="16" s="1"/>
  <c r="G4227" i="16"/>
  <c r="H4227" i="16" s="1"/>
  <c r="C262" i="339"/>
  <c r="G4236" i="16"/>
  <c r="H4236" i="16" s="1"/>
  <c r="G4237" i="16"/>
  <c r="H4237" i="16" s="1"/>
  <c r="G4238" i="16"/>
  <c r="H4238" i="16" s="1"/>
  <c r="G4239" i="16"/>
  <c r="H4239" i="16" s="1"/>
  <c r="G4242" i="16"/>
  <c r="H4242" i="16" s="1"/>
  <c r="G4243" i="16"/>
  <c r="H4243" i="16" s="1"/>
  <c r="G4244" i="16"/>
  <c r="H4244" i="16" s="1"/>
  <c r="G4245" i="16"/>
  <c r="H4245" i="16" s="1"/>
  <c r="C263" i="339"/>
  <c r="G4254" i="16"/>
  <c r="H4254" i="16" s="1"/>
  <c r="G4255" i="16"/>
  <c r="H4255" i="16" s="1"/>
  <c r="G4256" i="16"/>
  <c r="H4256" i="16" s="1"/>
  <c r="G4257" i="16"/>
  <c r="H4257" i="16" s="1"/>
  <c r="G4260" i="16"/>
  <c r="H4260" i="16" s="1"/>
  <c r="G4261" i="16"/>
  <c r="H4261" i="16" s="1"/>
  <c r="C264" i="339"/>
  <c r="G4270" i="16"/>
  <c r="H4270" i="16" s="1"/>
  <c r="G4271" i="16"/>
  <c r="H4271" i="16" s="1"/>
  <c r="G4272" i="16"/>
  <c r="H4272" i="16" s="1"/>
  <c r="G4273" i="16"/>
  <c r="H4273" i="16" s="1"/>
  <c r="G4276" i="16"/>
  <c r="H4276" i="16" s="1"/>
  <c r="G4277" i="16"/>
  <c r="H4277" i="16" s="1"/>
  <c r="B265" i="339"/>
  <c r="C265" i="339"/>
  <c r="G4286" i="16"/>
  <c r="H4286" i="16" s="1"/>
  <c r="G4287" i="16"/>
  <c r="H4287" i="16" s="1"/>
  <c r="G4288" i="16"/>
  <c r="H4288" i="16" s="1"/>
  <c r="G4289" i="16"/>
  <c r="H4289" i="16" s="1"/>
  <c r="G4292" i="16"/>
  <c r="H4292" i="16" s="1"/>
  <c r="G4293" i="16"/>
  <c r="H4293" i="16" s="1"/>
  <c r="B266" i="339"/>
  <c r="C266" i="339"/>
  <c r="G4302" i="16"/>
  <c r="H4302" i="16" s="1"/>
  <c r="G4303" i="16"/>
  <c r="H4303" i="16" s="1"/>
  <c r="G4304" i="16"/>
  <c r="H4304" i="16" s="1"/>
  <c r="G4305" i="16"/>
  <c r="H4305" i="16" s="1"/>
  <c r="G4308" i="16"/>
  <c r="H4308" i="16" s="1"/>
  <c r="G4309" i="16"/>
  <c r="H4309" i="16" s="1"/>
  <c r="B267" i="339"/>
  <c r="C267" i="339"/>
  <c r="G4318" i="16"/>
  <c r="H4318" i="16" s="1"/>
  <c r="G4319" i="16"/>
  <c r="H4319" i="16" s="1"/>
  <c r="G4320" i="16"/>
  <c r="H4320" i="16" s="1"/>
  <c r="G4321" i="16"/>
  <c r="H4321" i="16" s="1"/>
  <c r="G4324" i="16"/>
  <c r="H4324" i="16" s="1"/>
  <c r="G4325" i="16"/>
  <c r="H4325" i="16" s="1"/>
  <c r="B268" i="339"/>
  <c r="C268" i="339"/>
  <c r="G4334" i="16"/>
  <c r="H4334" i="16" s="1"/>
  <c r="M4334" i="16" s="1"/>
  <c r="G4335" i="16"/>
  <c r="H4335" i="16" s="1"/>
  <c r="M4335" i="16" s="1"/>
  <c r="G4336" i="16"/>
  <c r="H4336" i="16" s="1"/>
  <c r="M4336" i="16" s="1"/>
  <c r="G4337" i="16"/>
  <c r="H4337" i="16" s="1"/>
  <c r="M4337" i="16" s="1"/>
  <c r="G4340" i="16"/>
  <c r="H4340" i="16" s="1"/>
  <c r="M4340" i="16" s="1"/>
  <c r="H4341" i="16"/>
  <c r="M4341" i="16" s="1"/>
  <c r="B270" i="339"/>
  <c r="B271" i="339"/>
  <c r="B272" i="339"/>
  <c r="B273" i="339"/>
  <c r="C270" i="339"/>
  <c r="C271" i="339"/>
  <c r="G4351" i="16"/>
  <c r="H4351" i="16" s="1"/>
  <c r="G4352" i="16"/>
  <c r="H4352" i="16" s="1"/>
  <c r="G4353" i="16"/>
  <c r="H4353" i="16" s="1"/>
  <c r="G4354" i="16"/>
  <c r="H4354" i="16" s="1"/>
  <c r="G4357" i="16"/>
  <c r="H4357" i="16" s="1"/>
  <c r="G4358" i="16"/>
  <c r="H4358" i="16" s="1"/>
  <c r="C272" i="339"/>
  <c r="G4367" i="16"/>
  <c r="H4367" i="16" s="1"/>
  <c r="G4368" i="16"/>
  <c r="H4368" i="16" s="1"/>
  <c r="G4369" i="16"/>
  <c r="H4369" i="16" s="1"/>
  <c r="G4370" i="16"/>
  <c r="H4370" i="16" s="1"/>
  <c r="G4373" i="16"/>
  <c r="H4373" i="16" s="1"/>
  <c r="G4374" i="16"/>
  <c r="H4374" i="16" s="1"/>
  <c r="C273" i="339"/>
  <c r="G4383" i="16"/>
  <c r="H4383" i="16" s="1"/>
  <c r="G4384" i="16"/>
  <c r="H4384" i="16" s="1"/>
  <c r="G4385" i="16"/>
  <c r="H4385" i="16" s="1"/>
  <c r="G4386" i="16"/>
  <c r="H4386" i="16" s="1"/>
  <c r="G4389" i="16"/>
  <c r="H4389" i="16" s="1"/>
  <c r="G4390" i="16"/>
  <c r="H4390" i="16" s="1"/>
  <c r="B274" i="339"/>
  <c r="C274" i="339"/>
  <c r="G4399" i="16"/>
  <c r="H4399" i="16" s="1"/>
  <c r="G4400" i="16"/>
  <c r="H4400" i="16" s="1"/>
  <c r="G4401" i="16"/>
  <c r="H4401" i="16" s="1"/>
  <c r="G4402" i="16"/>
  <c r="H4402" i="16" s="1"/>
  <c r="G4405" i="16"/>
  <c r="H4405" i="16" s="1"/>
  <c r="G4406" i="16"/>
  <c r="H4406" i="16" s="1"/>
  <c r="B275" i="339"/>
  <c r="C275" i="339"/>
  <c r="G4415" i="16"/>
  <c r="H4415" i="16" s="1"/>
  <c r="G4416" i="16"/>
  <c r="H4416" i="16" s="1"/>
  <c r="G4417" i="16"/>
  <c r="H4417" i="16" s="1"/>
  <c r="G4418" i="16"/>
  <c r="H4418" i="16" s="1"/>
  <c r="G4421" i="16"/>
  <c r="H4421" i="16" s="1"/>
  <c r="G4422" i="16"/>
  <c r="H4422" i="16" s="1"/>
  <c r="B276" i="339"/>
  <c r="C276" i="339"/>
  <c r="G4431" i="16"/>
  <c r="H4431" i="16" s="1"/>
  <c r="G4432" i="16"/>
  <c r="H4432" i="16" s="1"/>
  <c r="G4433" i="16"/>
  <c r="H4433" i="16" s="1"/>
  <c r="G4434" i="16"/>
  <c r="H4434" i="16" s="1"/>
  <c r="G4437" i="16"/>
  <c r="H4437" i="16" s="1"/>
  <c r="G4438" i="16"/>
  <c r="H4438" i="16" s="1"/>
  <c r="B277" i="339"/>
  <c r="I112" i="351" s="1"/>
  <c r="C277" i="339"/>
  <c r="G4447" i="16"/>
  <c r="H4447" i="16" s="1"/>
  <c r="M4447" i="16" s="1"/>
  <c r="G4448" i="16"/>
  <c r="H4448" i="16" s="1"/>
  <c r="M4448" i="16" s="1"/>
  <c r="G4449" i="16"/>
  <c r="H4449" i="16" s="1"/>
  <c r="M4449" i="16" s="1"/>
  <c r="G4450" i="16"/>
  <c r="H4450" i="16" s="1"/>
  <c r="M4450" i="16" s="1"/>
  <c r="H4453" i="16"/>
  <c r="M4453" i="16" s="1"/>
  <c r="M4455" i="16" s="1"/>
  <c r="H4454" i="16"/>
  <c r="M4454" i="16" s="1"/>
  <c r="B278" i="339"/>
  <c r="C278" i="339"/>
  <c r="G4463" i="16"/>
  <c r="H4463" i="16" s="1"/>
  <c r="G4464" i="16"/>
  <c r="H4464" i="16" s="1"/>
  <c r="G4465" i="16"/>
  <c r="H4465" i="16" s="1"/>
  <c r="G4466" i="16"/>
  <c r="H4466" i="16" s="1"/>
  <c r="G4469" i="16"/>
  <c r="H4469" i="16" s="1"/>
  <c r="G4470" i="16"/>
  <c r="H4470" i="16" s="1"/>
  <c r="B279" i="339"/>
  <c r="C279" i="339"/>
  <c r="G4479" i="16"/>
  <c r="H4479" i="16" s="1"/>
  <c r="G4480" i="16"/>
  <c r="H4480" i="16" s="1"/>
  <c r="G4481" i="16"/>
  <c r="H4481" i="16" s="1"/>
  <c r="G4482" i="16"/>
  <c r="H4482" i="16" s="1"/>
  <c r="G4485" i="16"/>
  <c r="H4485" i="16" s="1"/>
  <c r="G4486" i="16"/>
  <c r="H4486" i="16" s="1"/>
  <c r="B280" i="339"/>
  <c r="C280" i="339"/>
  <c r="G4495" i="16"/>
  <c r="H4495" i="16" s="1"/>
  <c r="G4496" i="16"/>
  <c r="H4496" i="16" s="1"/>
  <c r="G4497" i="16"/>
  <c r="H4497" i="16" s="1"/>
  <c r="G4498" i="16"/>
  <c r="H4498" i="16" s="1"/>
  <c r="G4501" i="16"/>
  <c r="H4501" i="16" s="1"/>
  <c r="G4502" i="16"/>
  <c r="H4502" i="16" s="1"/>
  <c r="B281" i="339"/>
  <c r="C281" i="339"/>
  <c r="G4511" i="16"/>
  <c r="H4511" i="16" s="1"/>
  <c r="G4512" i="16"/>
  <c r="H4512" i="16" s="1"/>
  <c r="G4513" i="16"/>
  <c r="H4513" i="16" s="1"/>
  <c r="G4514" i="16"/>
  <c r="H4514" i="16" s="1"/>
  <c r="G4517" i="16"/>
  <c r="H4517" i="16" s="1"/>
  <c r="G4518" i="16"/>
  <c r="H4518" i="16" s="1"/>
  <c r="B282" i="339"/>
  <c r="C282" i="339"/>
  <c r="G4527" i="16"/>
  <c r="H4527" i="16" s="1"/>
  <c r="G4528" i="16"/>
  <c r="H4528" i="16" s="1"/>
  <c r="G4529" i="16"/>
  <c r="H4529" i="16" s="1"/>
  <c r="G4530" i="16"/>
  <c r="H4530" i="16" s="1"/>
  <c r="G4533" i="16"/>
  <c r="H4533" i="16" s="1"/>
  <c r="G4534" i="16"/>
  <c r="H4534" i="16" s="1"/>
  <c r="G4535" i="16"/>
  <c r="H4535" i="16" s="1"/>
  <c r="G4536" i="16"/>
  <c r="H4536" i="16" s="1"/>
  <c r="G4537" i="16"/>
  <c r="H4537" i="16" s="1"/>
  <c r="B283" i="339"/>
  <c r="C283" i="339"/>
  <c r="G4546" i="16"/>
  <c r="H4546" i="16" s="1"/>
  <c r="G4547" i="16"/>
  <c r="H4547" i="16" s="1"/>
  <c r="G4548" i="16"/>
  <c r="H4548" i="16" s="1"/>
  <c r="G4549" i="16"/>
  <c r="H4549" i="16" s="1"/>
  <c r="G4552" i="16"/>
  <c r="H4552" i="16" s="1"/>
  <c r="G4553" i="16"/>
  <c r="H4553" i="16" s="1"/>
  <c r="G4554" i="16"/>
  <c r="H4554" i="16" s="1"/>
  <c r="G4555" i="16"/>
  <c r="H4555" i="16" s="1"/>
  <c r="B284" i="339"/>
  <c r="C284" i="339"/>
  <c r="G4564" i="16"/>
  <c r="H4564" i="16" s="1"/>
  <c r="G4565" i="16"/>
  <c r="H4565" i="16" s="1"/>
  <c r="G4566" i="16"/>
  <c r="H4566" i="16" s="1"/>
  <c r="G4567" i="16"/>
  <c r="H4567" i="16" s="1"/>
  <c r="G4570" i="16"/>
  <c r="H4570" i="16" s="1"/>
  <c r="G4571" i="16"/>
  <c r="H4571" i="16" s="1"/>
  <c r="B285" i="339"/>
  <c r="C285" i="339"/>
  <c r="G4580" i="16"/>
  <c r="H4580" i="16" s="1"/>
  <c r="G4581" i="16"/>
  <c r="H4581" i="16" s="1"/>
  <c r="G4582" i="16"/>
  <c r="H4582" i="16" s="1"/>
  <c r="G4583" i="16"/>
  <c r="H4583" i="16" s="1"/>
  <c r="G4586" i="16"/>
  <c r="H4586" i="16" s="1"/>
  <c r="G4587" i="16"/>
  <c r="H4587" i="16" s="1"/>
  <c r="B286" i="339"/>
  <c r="C286" i="339"/>
  <c r="G4602" i="16"/>
  <c r="H4602" i="16" s="1"/>
  <c r="G4603" i="16"/>
  <c r="H4603" i="16" s="1"/>
  <c r="B287" i="339"/>
  <c r="C287" i="339"/>
  <c r="G4612" i="16"/>
  <c r="H4612" i="16" s="1"/>
  <c r="G4613" i="16"/>
  <c r="H4613" i="16" s="1"/>
  <c r="G4614" i="16"/>
  <c r="H4614" i="16" s="1"/>
  <c r="G4615" i="16"/>
  <c r="H4615" i="16" s="1"/>
  <c r="G4618" i="16"/>
  <c r="H4618" i="16" s="1"/>
  <c r="G4619" i="16"/>
  <c r="H4619" i="16" s="1"/>
  <c r="G4620" i="16"/>
  <c r="H4620" i="16" s="1"/>
  <c r="B288" i="339"/>
  <c r="C288" i="339"/>
  <c r="G4629" i="16"/>
  <c r="H4629" i="16" s="1"/>
  <c r="G4630" i="16"/>
  <c r="H4630" i="16" s="1"/>
  <c r="G4631" i="16"/>
  <c r="H4631" i="16" s="1"/>
  <c r="G4632" i="16"/>
  <c r="H4632" i="16" s="1"/>
  <c r="G4635" i="16"/>
  <c r="H4635" i="16" s="1"/>
  <c r="G4636" i="16"/>
  <c r="H4636" i="16" s="1"/>
  <c r="B289" i="339"/>
  <c r="C289" i="339"/>
  <c r="G4645" i="16"/>
  <c r="H4645" i="16" s="1"/>
  <c r="G4646" i="16"/>
  <c r="H4646" i="16" s="1"/>
  <c r="G4647" i="16"/>
  <c r="H4647" i="16" s="1"/>
  <c r="G4648" i="16"/>
  <c r="H4648" i="16" s="1"/>
  <c r="G4651" i="16"/>
  <c r="H4651" i="16" s="1"/>
  <c r="G4652" i="16"/>
  <c r="H4652" i="16" s="1"/>
  <c r="B290" i="339"/>
  <c r="C290" i="339"/>
  <c r="G4661" i="16"/>
  <c r="H4661" i="16" s="1"/>
  <c r="G4662" i="16"/>
  <c r="H4662" i="16" s="1"/>
  <c r="G4663" i="16"/>
  <c r="H4663" i="16" s="1"/>
  <c r="G4664" i="16"/>
  <c r="H4664" i="16" s="1"/>
  <c r="G4667" i="16"/>
  <c r="H4667" i="16" s="1"/>
  <c r="G4668" i="16"/>
  <c r="H4668" i="16" s="1"/>
  <c r="B291" i="339"/>
  <c r="C291" i="339"/>
  <c r="G4677" i="16"/>
  <c r="H4677" i="16" s="1"/>
  <c r="G4678" i="16"/>
  <c r="H4678" i="16" s="1"/>
  <c r="G4679" i="16"/>
  <c r="H4679" i="16" s="1"/>
  <c r="G4680" i="16"/>
  <c r="H4680" i="16" s="1"/>
  <c r="G4683" i="16"/>
  <c r="H4683" i="16" s="1"/>
  <c r="G4684" i="16"/>
  <c r="H4684" i="16" s="1"/>
  <c r="B292" i="339"/>
  <c r="C292" i="339"/>
  <c r="G4693" i="16"/>
  <c r="H4693" i="16" s="1"/>
  <c r="G4694" i="16"/>
  <c r="H4694" i="16" s="1"/>
  <c r="G4695" i="16"/>
  <c r="H4695" i="16" s="1"/>
  <c r="G4696" i="16"/>
  <c r="H4696" i="16" s="1"/>
  <c r="G4699" i="16"/>
  <c r="H4699" i="16" s="1"/>
  <c r="H4700" i="16" s="1"/>
  <c r="B295" i="339"/>
  <c r="B296" i="339"/>
  <c r="B297" i="339"/>
  <c r="B298" i="339"/>
  <c r="G4709" i="16"/>
  <c r="H4709" i="16" s="1"/>
  <c r="G4710" i="16"/>
  <c r="H4710" i="16" s="1"/>
  <c r="G4711" i="16"/>
  <c r="H4711" i="16" s="1"/>
  <c r="G4712" i="16"/>
  <c r="H4712" i="16" s="1"/>
  <c r="G4715" i="16"/>
  <c r="H4715" i="16" s="1"/>
  <c r="G4716" i="16"/>
  <c r="H4716" i="16" s="1"/>
  <c r="G4717" i="16"/>
  <c r="H4717" i="16" s="1"/>
  <c r="C296" i="339"/>
  <c r="G4726" i="16"/>
  <c r="H4726" i="16" s="1"/>
  <c r="G4727" i="16"/>
  <c r="H4727" i="16" s="1"/>
  <c r="G4728" i="16"/>
  <c r="H4728" i="16" s="1"/>
  <c r="G4729" i="16"/>
  <c r="H4729" i="16" s="1"/>
  <c r="G4732" i="16"/>
  <c r="H4732" i="16" s="1"/>
  <c r="G4733" i="16"/>
  <c r="H4733" i="16" s="1"/>
  <c r="G4734" i="16"/>
  <c r="H4734" i="16" s="1"/>
  <c r="C297" i="339"/>
  <c r="G4743" i="16"/>
  <c r="H4743" i="16" s="1"/>
  <c r="G4744" i="16"/>
  <c r="H4744" i="16" s="1"/>
  <c r="G4745" i="16"/>
  <c r="H4745" i="16" s="1"/>
  <c r="G4746" i="16"/>
  <c r="H4746" i="16" s="1"/>
  <c r="G4749" i="16"/>
  <c r="H4749" i="16" s="1"/>
  <c r="G4750" i="16"/>
  <c r="H4750" i="16" s="1"/>
  <c r="C298" i="339"/>
  <c r="G4759" i="16"/>
  <c r="H4759" i="16" s="1"/>
  <c r="G4760" i="16"/>
  <c r="H4760" i="16" s="1"/>
  <c r="G4761" i="16"/>
  <c r="H4761" i="16" s="1"/>
  <c r="G4762" i="16"/>
  <c r="H4762" i="16" s="1"/>
  <c r="G4765" i="16"/>
  <c r="H4765" i="16" s="1"/>
  <c r="G4766" i="16"/>
  <c r="H4766" i="16" s="1"/>
  <c r="B299" i="339"/>
  <c r="C299" i="339"/>
  <c r="G4775" i="16"/>
  <c r="H4775" i="16" s="1"/>
  <c r="G4776" i="16"/>
  <c r="H4776" i="16" s="1"/>
  <c r="G4777" i="16"/>
  <c r="H4777" i="16" s="1"/>
  <c r="G4778" i="16"/>
  <c r="H4778" i="16" s="1"/>
  <c r="G4781" i="16"/>
  <c r="H4781" i="16" s="1"/>
  <c r="G4782" i="16"/>
  <c r="H4782" i="16" s="1"/>
  <c r="B300" i="339"/>
  <c r="C300" i="339"/>
  <c r="G4791" i="16"/>
  <c r="H4791" i="16" s="1"/>
  <c r="G4792" i="16"/>
  <c r="H4792" i="16" s="1"/>
  <c r="G4793" i="16"/>
  <c r="H4793" i="16" s="1"/>
  <c r="G4794" i="16"/>
  <c r="H4794" i="16" s="1"/>
  <c r="G4797" i="16"/>
  <c r="H4797" i="16" s="1"/>
  <c r="G4798" i="16"/>
  <c r="H4798" i="16" s="1"/>
  <c r="B301" i="339"/>
  <c r="C301" i="339"/>
  <c r="G4807" i="16"/>
  <c r="H4807" i="16" s="1"/>
  <c r="G4808" i="16"/>
  <c r="H4808" i="16" s="1"/>
  <c r="G4809" i="16"/>
  <c r="H4809" i="16" s="1"/>
  <c r="G4810" i="16"/>
  <c r="H4810" i="16" s="1"/>
  <c r="G4813" i="16"/>
  <c r="H4813" i="16" s="1"/>
  <c r="G4814" i="16"/>
  <c r="H4814" i="16" s="1"/>
  <c r="B302" i="339"/>
  <c r="C302" i="339"/>
  <c r="G4823" i="16"/>
  <c r="H4823" i="16" s="1"/>
  <c r="G4824" i="16"/>
  <c r="H4824" i="16" s="1"/>
  <c r="G4825" i="16"/>
  <c r="H4825" i="16" s="1"/>
  <c r="G4826" i="16"/>
  <c r="H4826" i="16" s="1"/>
  <c r="G4829" i="16"/>
  <c r="H4829" i="16" s="1"/>
  <c r="G4830" i="16"/>
  <c r="H4830" i="16" s="1"/>
  <c r="G4831" i="16"/>
  <c r="H4831" i="16" s="1"/>
  <c r="G4832" i="16"/>
  <c r="H4832" i="16" s="1"/>
  <c r="B303" i="339"/>
  <c r="C303" i="339"/>
  <c r="G4841" i="16"/>
  <c r="H4841" i="16" s="1"/>
  <c r="G4842" i="16"/>
  <c r="H4842" i="16" s="1"/>
  <c r="G4843" i="16"/>
  <c r="H4843" i="16" s="1"/>
  <c r="G4844" i="16"/>
  <c r="H4844" i="16" s="1"/>
  <c r="G4847" i="16"/>
  <c r="H4847" i="16" s="1"/>
  <c r="G4848" i="16"/>
  <c r="H4848" i="16" s="1"/>
  <c r="G4849" i="16"/>
  <c r="H4849" i="16" s="1"/>
  <c r="G4850" i="16"/>
  <c r="H4850" i="16" s="1"/>
  <c r="B304" i="339"/>
  <c r="C304" i="339"/>
  <c r="G4859" i="16"/>
  <c r="H4859" i="16" s="1"/>
  <c r="G4860" i="16"/>
  <c r="H4860" i="16" s="1"/>
  <c r="G4861" i="16"/>
  <c r="H4861" i="16" s="1"/>
  <c r="G4862" i="16"/>
  <c r="H4862" i="16" s="1"/>
  <c r="G4865" i="16"/>
  <c r="H4865" i="16" s="1"/>
  <c r="G4866" i="16"/>
  <c r="H4866" i="16" s="1"/>
  <c r="B305" i="339"/>
  <c r="C305" i="339"/>
  <c r="G4875" i="16"/>
  <c r="H4875" i="16" s="1"/>
  <c r="G4876" i="16"/>
  <c r="H4876" i="16" s="1"/>
  <c r="G4877" i="16"/>
  <c r="H4877" i="16" s="1"/>
  <c r="G4878" i="16"/>
  <c r="H4878" i="16" s="1"/>
  <c r="G4881" i="16"/>
  <c r="H4881" i="16" s="1"/>
  <c r="G4882" i="16"/>
  <c r="H4882" i="16" s="1"/>
  <c r="G4883" i="16"/>
  <c r="H4883" i="16" s="1"/>
  <c r="G4884" i="16"/>
  <c r="H4884" i="16" s="1"/>
  <c r="B306" i="339"/>
  <c r="C306" i="339"/>
  <c r="G4893" i="16"/>
  <c r="H4893" i="16" s="1"/>
  <c r="G4894" i="16"/>
  <c r="H4894" i="16" s="1"/>
  <c r="G4895" i="16"/>
  <c r="H4895" i="16" s="1"/>
  <c r="G4896" i="16"/>
  <c r="H4896" i="16" s="1"/>
  <c r="G4899" i="16"/>
  <c r="H4899" i="16" s="1"/>
  <c r="G4900" i="16"/>
  <c r="H4900" i="16" s="1"/>
  <c r="G4901" i="16"/>
  <c r="H4901" i="16" s="1"/>
  <c r="G4902" i="16"/>
  <c r="H4902" i="16" s="1"/>
  <c r="G4903" i="16"/>
  <c r="H4903" i="16" s="1"/>
  <c r="B307" i="339"/>
  <c r="C307" i="339"/>
  <c r="G4912" i="16"/>
  <c r="H4912" i="16" s="1"/>
  <c r="G4913" i="16"/>
  <c r="H4913" i="16" s="1"/>
  <c r="G4914" i="16"/>
  <c r="H4914" i="16" s="1"/>
  <c r="G4915" i="16"/>
  <c r="H4915" i="16" s="1"/>
  <c r="G4918" i="16"/>
  <c r="H4918" i="16" s="1"/>
  <c r="G4919" i="16"/>
  <c r="H4919" i="16" s="1"/>
  <c r="G4920" i="16"/>
  <c r="H4920" i="16" s="1"/>
  <c r="B308" i="339"/>
  <c r="C308" i="339"/>
  <c r="G4929" i="16"/>
  <c r="H4929" i="16" s="1"/>
  <c r="G4930" i="16"/>
  <c r="H4930" i="16" s="1"/>
  <c r="G4931" i="16"/>
  <c r="H4931" i="16" s="1"/>
  <c r="G4932" i="16"/>
  <c r="H4932" i="16" s="1"/>
  <c r="G4935" i="16"/>
  <c r="H4935" i="16" s="1"/>
  <c r="G4936" i="16"/>
  <c r="H4936" i="16" s="1"/>
  <c r="G4937" i="16"/>
  <c r="H4937" i="16" s="1"/>
  <c r="B309" i="339"/>
  <c r="C309" i="339"/>
  <c r="G4946" i="16"/>
  <c r="H4946" i="16" s="1"/>
  <c r="G4947" i="16"/>
  <c r="H4947" i="16" s="1"/>
  <c r="G4948" i="16"/>
  <c r="H4948" i="16" s="1"/>
  <c r="G4949" i="16"/>
  <c r="H4949" i="16" s="1"/>
  <c r="G4952" i="16"/>
  <c r="H4952" i="16" s="1"/>
  <c r="G4953" i="16"/>
  <c r="H4953" i="16" s="1"/>
  <c r="G4954" i="16"/>
  <c r="H4954" i="16" s="1"/>
  <c r="B310" i="339"/>
  <c r="C310" i="339"/>
  <c r="G4963" i="16"/>
  <c r="H4963" i="16" s="1"/>
  <c r="G4964" i="16"/>
  <c r="H4964" i="16" s="1"/>
  <c r="G4965" i="16"/>
  <c r="H4965" i="16" s="1"/>
  <c r="G4966" i="16"/>
  <c r="H4966" i="16" s="1"/>
  <c r="G4969" i="16"/>
  <c r="H4969" i="16" s="1"/>
  <c r="G4970" i="16"/>
  <c r="H4970" i="16" s="1"/>
  <c r="G4971" i="16"/>
  <c r="H4971" i="16" s="1"/>
  <c r="B311" i="339"/>
  <c r="C311" i="339"/>
  <c r="G4980" i="16"/>
  <c r="H4980" i="16" s="1"/>
  <c r="G4981" i="16"/>
  <c r="H4981" i="16" s="1"/>
  <c r="G4982" i="16"/>
  <c r="H4982" i="16" s="1"/>
  <c r="G4983" i="16"/>
  <c r="H4983" i="16" s="1"/>
  <c r="G4986" i="16"/>
  <c r="H4986" i="16" s="1"/>
  <c r="G4987" i="16"/>
  <c r="H4987" i="16" s="1"/>
  <c r="G4988" i="16"/>
  <c r="H4988" i="16" s="1"/>
  <c r="B312" i="339"/>
  <c r="C312" i="339"/>
  <c r="G4997" i="16"/>
  <c r="H4997" i="16" s="1"/>
  <c r="G4998" i="16"/>
  <c r="H4998" i="16" s="1"/>
  <c r="G4999" i="16"/>
  <c r="H4999" i="16" s="1"/>
  <c r="G5000" i="16"/>
  <c r="H5000" i="16" s="1"/>
  <c r="G5003" i="16"/>
  <c r="H5003" i="16" s="1"/>
  <c r="G5005" i="16"/>
  <c r="H5005" i="16" s="1"/>
  <c r="B313" i="339"/>
  <c r="C313" i="339"/>
  <c r="G5014" i="16"/>
  <c r="H5014" i="16" s="1"/>
  <c r="G5015" i="16"/>
  <c r="H5015" i="16" s="1"/>
  <c r="G5016" i="16"/>
  <c r="H5016" i="16" s="1"/>
  <c r="G5017" i="16"/>
  <c r="H5017" i="16" s="1"/>
  <c r="G5020" i="16"/>
  <c r="G5021" i="16" s="1"/>
  <c r="H5021" i="16" s="1"/>
  <c r="G5022" i="16"/>
  <c r="H5022" i="16" s="1"/>
  <c r="B314" i="339"/>
  <c r="C314" i="339"/>
  <c r="G5031" i="16"/>
  <c r="H5031" i="16" s="1"/>
  <c r="G5032" i="16"/>
  <c r="H5032" i="16" s="1"/>
  <c r="G5033" i="16"/>
  <c r="H5033" i="16" s="1"/>
  <c r="G5034" i="16"/>
  <c r="H5034" i="16" s="1"/>
  <c r="G5037" i="16"/>
  <c r="H5037" i="16" s="1"/>
  <c r="G5038" i="16"/>
  <c r="H5038" i="16" s="1"/>
  <c r="B315" i="339"/>
  <c r="C315" i="339"/>
  <c r="G5047" i="16"/>
  <c r="H5047" i="16" s="1"/>
  <c r="G5048" i="16"/>
  <c r="H5048" i="16" s="1"/>
  <c r="G5049" i="16"/>
  <c r="H5049" i="16" s="1"/>
  <c r="G5050" i="16"/>
  <c r="H5050" i="16" s="1"/>
  <c r="G5053" i="16"/>
  <c r="H5053" i="16" s="1"/>
  <c r="G5054" i="16"/>
  <c r="H5054" i="16" s="1"/>
  <c r="B316" i="339"/>
  <c r="C316" i="339"/>
  <c r="G5063" i="16"/>
  <c r="H5063" i="16" s="1"/>
  <c r="G5064" i="16"/>
  <c r="H5064" i="16" s="1"/>
  <c r="G5065" i="16"/>
  <c r="H5065" i="16" s="1"/>
  <c r="G5066" i="16"/>
  <c r="H5066" i="16" s="1"/>
  <c r="G5069" i="16"/>
  <c r="H5069" i="16" s="1"/>
  <c r="G5070" i="16"/>
  <c r="H5070" i="16" s="1"/>
  <c r="B318" i="339"/>
  <c r="B320" i="339"/>
  <c r="B321" i="339"/>
  <c r="B322" i="339"/>
  <c r="B323" i="339"/>
  <c r="C320" i="339"/>
  <c r="G5127" i="16"/>
  <c r="H5127" i="16" s="1"/>
  <c r="M5127" i="16" s="1"/>
  <c r="G5128" i="16"/>
  <c r="H5128" i="16" s="1"/>
  <c r="M5128" i="16" s="1"/>
  <c r="G5129" i="16"/>
  <c r="H5129" i="16" s="1"/>
  <c r="M5129" i="16" s="1"/>
  <c r="G5130" i="16"/>
  <c r="H5130" i="16" s="1"/>
  <c r="M5130" i="16" s="1"/>
  <c r="H5133" i="16"/>
  <c r="M5133" i="16" s="1"/>
  <c r="G5135" i="16"/>
  <c r="H5135" i="16" s="1"/>
  <c r="M5135" i="16" s="1"/>
  <c r="C321" i="339"/>
  <c r="G5144" i="16"/>
  <c r="H5144" i="16" s="1"/>
  <c r="M5144" i="16" s="1"/>
  <c r="G5145" i="16"/>
  <c r="H5145" i="16" s="1"/>
  <c r="M5145" i="16" s="1"/>
  <c r="G5146" i="16"/>
  <c r="H5146" i="16" s="1"/>
  <c r="M5146" i="16" s="1"/>
  <c r="G5147" i="16"/>
  <c r="H5147" i="16" s="1"/>
  <c r="M5147" i="16" s="1"/>
  <c r="G5150" i="16"/>
  <c r="H5150" i="16" s="1"/>
  <c r="M5150" i="16" s="1"/>
  <c r="G5151" i="16"/>
  <c r="H5151" i="16" s="1"/>
  <c r="M5151" i="16" s="1"/>
  <c r="C322" i="339"/>
  <c r="G5160" i="16"/>
  <c r="H5160" i="16" s="1"/>
  <c r="G5161" i="16"/>
  <c r="H5161" i="16" s="1"/>
  <c r="G5162" i="16"/>
  <c r="H5162" i="16" s="1"/>
  <c r="G5163" i="16"/>
  <c r="H5163" i="16" s="1"/>
  <c r="G5166" i="16"/>
  <c r="H5166" i="16" s="1"/>
  <c r="G5167" i="16"/>
  <c r="H5167" i="16" s="1"/>
  <c r="C323" i="339"/>
  <c r="G5176" i="16"/>
  <c r="H5176" i="16" s="1"/>
  <c r="G5177" i="16"/>
  <c r="H5177" i="16" s="1"/>
  <c r="G5178" i="16"/>
  <c r="H5178" i="16" s="1"/>
  <c r="G5179" i="16"/>
  <c r="H5179" i="16" s="1"/>
  <c r="G5182" i="16"/>
  <c r="H5182" i="16" s="1"/>
  <c r="G5183" i="16"/>
  <c r="H5183" i="16" s="1"/>
  <c r="B324" i="339"/>
  <c r="C324" i="339"/>
  <c r="G5192" i="16"/>
  <c r="H5192" i="16" s="1"/>
  <c r="M5192" i="16" s="1"/>
  <c r="G5193" i="16"/>
  <c r="H5193" i="16" s="1"/>
  <c r="M5193" i="16" s="1"/>
  <c r="G5194" i="16"/>
  <c r="H5194" i="16" s="1"/>
  <c r="M5194" i="16" s="1"/>
  <c r="G5195" i="16"/>
  <c r="H5195" i="16" s="1"/>
  <c r="M5195" i="16" s="1"/>
  <c r="G5198" i="16"/>
  <c r="H5198" i="16" s="1"/>
  <c r="M5198" i="16" s="1"/>
  <c r="G5199" i="16"/>
  <c r="H5199" i="16" s="1"/>
  <c r="M5199" i="16" s="1"/>
  <c r="B325" i="339"/>
  <c r="I56" i="351" s="1"/>
  <c r="C325" i="339"/>
  <c r="G5208" i="16"/>
  <c r="H5208" i="16" s="1"/>
  <c r="M5208" i="16" s="1"/>
  <c r="G5209" i="16"/>
  <c r="H5209" i="16" s="1"/>
  <c r="M5209" i="16" s="1"/>
  <c r="G5210" i="16"/>
  <c r="H5210" i="16" s="1"/>
  <c r="M5210" i="16" s="1"/>
  <c r="G5211" i="16"/>
  <c r="H5211" i="16" s="1"/>
  <c r="M5211" i="16" s="1"/>
  <c r="G5214" i="16"/>
  <c r="H5214" i="16" s="1"/>
  <c r="M5214" i="16" s="1"/>
  <c r="G5215" i="16"/>
  <c r="H5215" i="16" s="1"/>
  <c r="M5215" i="16" s="1"/>
  <c r="B326" i="339"/>
  <c r="C326" i="339"/>
  <c r="G5224" i="16"/>
  <c r="H5224" i="16" s="1"/>
  <c r="G5225" i="16"/>
  <c r="H5225" i="16" s="1"/>
  <c r="G5226" i="16"/>
  <c r="H5226" i="16" s="1"/>
  <c r="G5227" i="16"/>
  <c r="H5227" i="16" s="1"/>
  <c r="G5230" i="16"/>
  <c r="H5230" i="16" s="1"/>
  <c r="G5231" i="16"/>
  <c r="H5231" i="16" s="1"/>
  <c r="C327" i="339"/>
  <c r="G5241" i="16"/>
  <c r="H5241" i="16" s="1"/>
  <c r="G5242" i="16"/>
  <c r="H5242" i="16" s="1"/>
  <c r="G5243" i="16"/>
  <c r="H5243" i="16" s="1"/>
  <c r="G5244" i="16"/>
  <c r="H5244" i="16" s="1"/>
  <c r="G5247" i="16"/>
  <c r="H5247" i="16" s="1"/>
  <c r="G5248" i="16"/>
  <c r="H5248" i="16" s="1"/>
  <c r="B328" i="339"/>
  <c r="C328" i="339"/>
  <c r="G5273" i="16"/>
  <c r="H5273" i="16" s="1"/>
  <c r="G5274" i="16"/>
  <c r="H5274" i="16" s="1"/>
  <c r="G5275" i="16"/>
  <c r="H5275" i="16" s="1"/>
  <c r="G5276" i="16"/>
  <c r="H5276" i="16" s="1"/>
  <c r="G5279" i="16"/>
  <c r="H5279" i="16" s="1"/>
  <c r="G5280" i="16"/>
  <c r="H5280" i="16" s="1"/>
  <c r="B329" i="339"/>
  <c r="C329" i="339"/>
  <c r="G5289" i="16"/>
  <c r="G5290" i="16"/>
  <c r="G5291" i="16"/>
  <c r="G5292" i="16"/>
  <c r="G5295" i="16"/>
  <c r="G5296" i="16" s="1"/>
  <c r="H5296" i="16" s="1"/>
  <c r="G5330" i="16"/>
  <c r="H5330" i="16" s="1"/>
  <c r="B330" i="339"/>
  <c r="C330" i="339"/>
  <c r="G5306" i="16"/>
  <c r="G5307" i="16"/>
  <c r="G5308" i="16"/>
  <c r="G5309" i="16"/>
  <c r="G5312" i="16"/>
  <c r="H5312" i="16" s="1"/>
  <c r="B331" i="339"/>
  <c r="C331" i="339"/>
  <c r="G5257" i="16"/>
  <c r="H5257" i="16" s="1"/>
  <c r="G5258" i="16"/>
  <c r="H5258" i="16" s="1"/>
  <c r="G5259" i="16"/>
  <c r="H5259" i="16" s="1"/>
  <c r="G5260" i="16"/>
  <c r="H5260" i="16" s="1"/>
  <c r="G5263" i="16"/>
  <c r="G5264" i="16"/>
  <c r="B332" i="339"/>
  <c r="C332" i="339"/>
  <c r="G5323" i="16"/>
  <c r="H5323" i="16" s="1"/>
  <c r="G5324" i="16"/>
  <c r="H5324" i="16" s="1"/>
  <c r="G5325" i="16"/>
  <c r="H5325" i="16" s="1"/>
  <c r="G5326" i="16"/>
  <c r="H5326" i="16" s="1"/>
  <c r="G5329" i="16"/>
  <c r="H5329" i="16" s="1"/>
  <c r="G5331" i="16"/>
  <c r="H5331" i="16" s="1"/>
  <c r="G5332" i="16"/>
  <c r="H5332" i="16" s="1"/>
  <c r="B333" i="339"/>
  <c r="C333" i="339"/>
  <c r="G5341" i="16"/>
  <c r="H5341" i="16" s="1"/>
  <c r="G5342" i="16"/>
  <c r="H5342" i="16" s="1"/>
  <c r="G5343" i="16"/>
  <c r="H5343" i="16" s="1"/>
  <c r="G5344" i="16"/>
  <c r="H5344" i="16" s="1"/>
  <c r="G5347" i="16"/>
  <c r="H5347" i="16" s="1"/>
  <c r="G5348" i="16"/>
  <c r="H5348" i="16" s="1"/>
  <c r="G5349" i="16"/>
  <c r="H5349" i="16" s="1"/>
  <c r="G5350" i="16"/>
  <c r="H5350" i="16" s="1"/>
  <c r="B334" i="339"/>
  <c r="C334" i="339"/>
  <c r="G5359" i="16"/>
  <c r="H5359" i="16" s="1"/>
  <c r="G5360" i="16"/>
  <c r="H5360" i="16" s="1"/>
  <c r="G5361" i="16"/>
  <c r="H5361" i="16" s="1"/>
  <c r="G5362" i="16"/>
  <c r="H5362" i="16" s="1"/>
  <c r="G5365" i="16"/>
  <c r="H5365" i="16" s="1"/>
  <c r="G5366" i="16"/>
  <c r="H5366" i="16" s="1"/>
  <c r="G5367" i="16"/>
  <c r="H5367" i="16" s="1"/>
  <c r="B335" i="339"/>
  <c r="G5376" i="16"/>
  <c r="H5376" i="16" s="1"/>
  <c r="G5377" i="16"/>
  <c r="H5377" i="16" s="1"/>
  <c r="G5378" i="16"/>
  <c r="H5378" i="16" s="1"/>
  <c r="G5379" i="16"/>
  <c r="H5379" i="16" s="1"/>
  <c r="G5382" i="16"/>
  <c r="H5382" i="16" s="1"/>
  <c r="G5383" i="16"/>
  <c r="H5383" i="16" s="1"/>
  <c r="B336" i="339"/>
  <c r="C336" i="339"/>
  <c r="G5392" i="16"/>
  <c r="H5392" i="16" s="1"/>
  <c r="G5393" i="16"/>
  <c r="H5393" i="16" s="1"/>
  <c r="G5394" i="16"/>
  <c r="H5394" i="16" s="1"/>
  <c r="G5395" i="16"/>
  <c r="H5395" i="16" s="1"/>
  <c r="G5398" i="16"/>
  <c r="H5398" i="16" s="1"/>
  <c r="G5399" i="16"/>
  <c r="H5399" i="16" s="1"/>
  <c r="G5400" i="16"/>
  <c r="H5400" i="16" s="1"/>
  <c r="G5401" i="16"/>
  <c r="H5401" i="16" s="1"/>
  <c r="B337" i="339"/>
  <c r="C337" i="339"/>
  <c r="G5410" i="16"/>
  <c r="G5411" i="16"/>
  <c r="G5412" i="16"/>
  <c r="G5413" i="16"/>
  <c r="H5413" i="16" s="1"/>
  <c r="G5416" i="16"/>
  <c r="H5416" i="16" s="1"/>
  <c r="H5417" i="16" s="1"/>
  <c r="G5419" i="16"/>
  <c r="G5420" i="16"/>
  <c r="G5439" i="16" s="1"/>
  <c r="H5439" i="16" s="1"/>
  <c r="B338" i="339"/>
  <c r="C338" i="339"/>
  <c r="G5429" i="16"/>
  <c r="G5430" i="16"/>
  <c r="G5431" i="16"/>
  <c r="G5432" i="16"/>
  <c r="H5432" i="16" s="1"/>
  <c r="G5435" i="16"/>
  <c r="H5435" i="16" s="1"/>
  <c r="H5436" i="16" s="1"/>
  <c r="B340" i="339"/>
  <c r="C340" i="339"/>
  <c r="B341" i="339"/>
  <c r="C341" i="339"/>
  <c r="G5449" i="16"/>
  <c r="H5449" i="16" s="1"/>
  <c r="G5450" i="16"/>
  <c r="H5450" i="16" s="1"/>
  <c r="G5451" i="16"/>
  <c r="H5451" i="16" s="1"/>
  <c r="G5452" i="16"/>
  <c r="H5452" i="16" s="1"/>
  <c r="G5455" i="16"/>
  <c r="H5455" i="16" s="1"/>
  <c r="H5456" i="16" s="1"/>
  <c r="B342" i="339"/>
  <c r="C342" i="339"/>
  <c r="G5464" i="16"/>
  <c r="H5464" i="16" s="1"/>
  <c r="G5465" i="16"/>
  <c r="H5465" i="16" s="1"/>
  <c r="G5466" i="16"/>
  <c r="H5466" i="16" s="1"/>
  <c r="G5467" i="16"/>
  <c r="H5467" i="16" s="1"/>
  <c r="G5470" i="16"/>
  <c r="H5470" i="16" s="1"/>
  <c r="H5471" i="16" s="1"/>
  <c r="B343" i="339"/>
  <c r="C343" i="339"/>
  <c r="G5479" i="16"/>
  <c r="H5479" i="16" s="1"/>
  <c r="G5480" i="16"/>
  <c r="H5480" i="16" s="1"/>
  <c r="G5481" i="16"/>
  <c r="H5481" i="16" s="1"/>
  <c r="G5482" i="16"/>
  <c r="H5482" i="16" s="1"/>
  <c r="G5485" i="16"/>
  <c r="H5485" i="16" s="1"/>
  <c r="H5486" i="16" s="1"/>
  <c r="B344" i="339"/>
  <c r="C344" i="339"/>
  <c r="G5494" i="16"/>
  <c r="H5494" i="16" s="1"/>
  <c r="G5495" i="16"/>
  <c r="H5495" i="16" s="1"/>
  <c r="G5496" i="16"/>
  <c r="H5496" i="16" s="1"/>
  <c r="G5497" i="16"/>
  <c r="H5497" i="16" s="1"/>
  <c r="G5500" i="16"/>
  <c r="H5500" i="16" s="1"/>
  <c r="H5501" i="16" s="1"/>
  <c r="B345" i="339"/>
  <c r="C345" i="339"/>
  <c r="G5509" i="16"/>
  <c r="H5509" i="16" s="1"/>
  <c r="G5510" i="16"/>
  <c r="H5510" i="16" s="1"/>
  <c r="G5511" i="16"/>
  <c r="H5511" i="16" s="1"/>
  <c r="G5512" i="16"/>
  <c r="H5512" i="16" s="1"/>
  <c r="G5515" i="16"/>
  <c r="H5515" i="16" s="1"/>
  <c r="H5516" i="16" s="1"/>
  <c r="B346" i="339"/>
  <c r="C346" i="339"/>
  <c r="G5524" i="16"/>
  <c r="H5524" i="16" s="1"/>
  <c r="G5525" i="16"/>
  <c r="H5525" i="16" s="1"/>
  <c r="G5526" i="16"/>
  <c r="H5526" i="16" s="1"/>
  <c r="G5527" i="16"/>
  <c r="H5527" i="16" s="1"/>
  <c r="G5530" i="16"/>
  <c r="H5530" i="16" s="1"/>
  <c r="H5531" i="16" s="1"/>
  <c r="B347" i="339"/>
  <c r="C347" i="339"/>
  <c r="G5539" i="16"/>
  <c r="H5539" i="16" s="1"/>
  <c r="G5540" i="16"/>
  <c r="H5540" i="16" s="1"/>
  <c r="G5541" i="16"/>
  <c r="H5541" i="16" s="1"/>
  <c r="G5542" i="16"/>
  <c r="H5542" i="16" s="1"/>
  <c r="G5545" i="16"/>
  <c r="H5545" i="16" s="1"/>
  <c r="H5546" i="16" s="1"/>
  <c r="B348" i="339"/>
  <c r="C348" i="339"/>
  <c r="G5554" i="16"/>
  <c r="H5554" i="16" s="1"/>
  <c r="G5555" i="16"/>
  <c r="H5555" i="16" s="1"/>
  <c r="G5556" i="16"/>
  <c r="H5556" i="16" s="1"/>
  <c r="G5557" i="16"/>
  <c r="H5557" i="16" s="1"/>
  <c r="G5560" i="16"/>
  <c r="H5560" i="16" s="1"/>
  <c r="H5561" i="16" s="1"/>
  <c r="B349" i="339"/>
  <c r="C349" i="339"/>
  <c r="G5569" i="16"/>
  <c r="H5569" i="16" s="1"/>
  <c r="G5570" i="16"/>
  <c r="H5570" i="16" s="1"/>
  <c r="G5571" i="16"/>
  <c r="H5571" i="16" s="1"/>
  <c r="G5572" i="16"/>
  <c r="H5572" i="16" s="1"/>
  <c r="G5575" i="16"/>
  <c r="H5575" i="16" s="1"/>
  <c r="H5576" i="16" s="1"/>
  <c r="B350" i="339"/>
  <c r="C350" i="339"/>
  <c r="G5584" i="16"/>
  <c r="H5584" i="16" s="1"/>
  <c r="G5585" i="16"/>
  <c r="H5585" i="16" s="1"/>
  <c r="G5586" i="16"/>
  <c r="H5586" i="16" s="1"/>
  <c r="G5587" i="16"/>
  <c r="H5587" i="16" s="1"/>
  <c r="G5590" i="16"/>
  <c r="H5590" i="16" s="1"/>
  <c r="H5591" i="16" s="1"/>
  <c r="B351" i="339"/>
  <c r="C351" i="339"/>
  <c r="G5599" i="16"/>
  <c r="H5599" i="16" s="1"/>
  <c r="G5600" i="16"/>
  <c r="H5600" i="16" s="1"/>
  <c r="G5601" i="16"/>
  <c r="H5601" i="16" s="1"/>
  <c r="G5602" i="16"/>
  <c r="H5602" i="16" s="1"/>
  <c r="G5605" i="16"/>
  <c r="H5605" i="16" s="1"/>
  <c r="H5606" i="16" s="1"/>
  <c r="B352" i="339"/>
  <c r="C352" i="339"/>
  <c r="G5614" i="16"/>
  <c r="H5614" i="16" s="1"/>
  <c r="G5615" i="16"/>
  <c r="H5615" i="16" s="1"/>
  <c r="G5616" i="16"/>
  <c r="H5616" i="16" s="1"/>
  <c r="G5617" i="16"/>
  <c r="H5617" i="16" s="1"/>
  <c r="G5620" i="16"/>
  <c r="H5620" i="16" s="1"/>
  <c r="H5621" i="16" s="1"/>
  <c r="B353" i="339"/>
  <c r="C353" i="339"/>
  <c r="G5629" i="16"/>
  <c r="H5629" i="16" s="1"/>
  <c r="G5630" i="16"/>
  <c r="H5630" i="16" s="1"/>
  <c r="G5631" i="16"/>
  <c r="H5631" i="16" s="1"/>
  <c r="G5632" i="16"/>
  <c r="H5632" i="16" s="1"/>
  <c r="G5635" i="16"/>
  <c r="H5635" i="16" s="1"/>
  <c r="H5636" i="16" s="1"/>
  <c r="B354" i="339"/>
  <c r="C354" i="339"/>
  <c r="G5644" i="16"/>
  <c r="H5644" i="16" s="1"/>
  <c r="G5645" i="16"/>
  <c r="H5645" i="16" s="1"/>
  <c r="G5646" i="16"/>
  <c r="H5646" i="16" s="1"/>
  <c r="G5647" i="16"/>
  <c r="H5647" i="16" s="1"/>
  <c r="G5650" i="16"/>
  <c r="H5650" i="16" s="1"/>
  <c r="H5651" i="16" s="1"/>
  <c r="B355" i="339"/>
  <c r="C355" i="339"/>
  <c r="G5659" i="16"/>
  <c r="H5659" i="16" s="1"/>
  <c r="G5660" i="16"/>
  <c r="H5660" i="16" s="1"/>
  <c r="G5661" i="16"/>
  <c r="H5661" i="16" s="1"/>
  <c r="G5662" i="16"/>
  <c r="H5662" i="16" s="1"/>
  <c r="G5665" i="16"/>
  <c r="H5665" i="16" s="1"/>
  <c r="H5666" i="16" s="1"/>
  <c r="B356" i="339"/>
  <c r="C356" i="339"/>
  <c r="G5674" i="16"/>
  <c r="H5674" i="16" s="1"/>
  <c r="G5675" i="16"/>
  <c r="H5675" i="16" s="1"/>
  <c r="G5676" i="16"/>
  <c r="H5676" i="16" s="1"/>
  <c r="G5677" i="16"/>
  <c r="H5677" i="16" s="1"/>
  <c r="G5680" i="16"/>
  <c r="H5680" i="16" s="1"/>
  <c r="H5681" i="16" s="1"/>
  <c r="B357" i="339"/>
  <c r="C357" i="339"/>
  <c r="G5689" i="16"/>
  <c r="H5689" i="16" s="1"/>
  <c r="G5690" i="16"/>
  <c r="H5690" i="16" s="1"/>
  <c r="G5691" i="16"/>
  <c r="H5691" i="16" s="1"/>
  <c r="G5692" i="16"/>
  <c r="H5692" i="16" s="1"/>
  <c r="G5695" i="16"/>
  <c r="H5695" i="16" s="1"/>
  <c r="H5696" i="16" s="1"/>
  <c r="B358" i="339"/>
  <c r="C358" i="339"/>
  <c r="G5704" i="16"/>
  <c r="H5704" i="16" s="1"/>
  <c r="G5705" i="16"/>
  <c r="H5705" i="16" s="1"/>
  <c r="G5706" i="16"/>
  <c r="H5706" i="16" s="1"/>
  <c r="G5707" i="16"/>
  <c r="H5707" i="16" s="1"/>
  <c r="G5710" i="16"/>
  <c r="H5710" i="16" s="1"/>
  <c r="G5711" i="16"/>
  <c r="H5711" i="16" s="1"/>
  <c r="B359" i="339"/>
  <c r="C359" i="339"/>
  <c r="G5720" i="16"/>
  <c r="H5720" i="16" s="1"/>
  <c r="G5721" i="16"/>
  <c r="H5721" i="16" s="1"/>
  <c r="G5722" i="16"/>
  <c r="H5722" i="16" s="1"/>
  <c r="G5723" i="16"/>
  <c r="H5723" i="16" s="1"/>
  <c r="G5726" i="16"/>
  <c r="H5726" i="16" s="1"/>
  <c r="G5727" i="16"/>
  <c r="H5727" i="16" s="1"/>
  <c r="B360" i="339"/>
  <c r="C360" i="339"/>
  <c r="G5736" i="16"/>
  <c r="H5736" i="16" s="1"/>
  <c r="G5737" i="16"/>
  <c r="H5737" i="16" s="1"/>
  <c r="G5738" i="16"/>
  <c r="H5738" i="16" s="1"/>
  <c r="G5739" i="16"/>
  <c r="H5739" i="16" s="1"/>
  <c r="G5742" i="16"/>
  <c r="H5742" i="16" s="1"/>
  <c r="G5743" i="16"/>
  <c r="H5743" i="16" s="1"/>
  <c r="B361" i="339"/>
  <c r="C361" i="339"/>
  <c r="G5752" i="16"/>
  <c r="H5752" i="16" s="1"/>
  <c r="G5753" i="16"/>
  <c r="H5753" i="16" s="1"/>
  <c r="G5754" i="16"/>
  <c r="H5754" i="16" s="1"/>
  <c r="G5755" i="16"/>
  <c r="H5755" i="16" s="1"/>
  <c r="G5758" i="16"/>
  <c r="H5758" i="16" s="1"/>
  <c r="G5759" i="16"/>
  <c r="H5759" i="16" s="1"/>
  <c r="B362" i="339"/>
  <c r="C362" i="339"/>
  <c r="G5768" i="16"/>
  <c r="G5784" i="16" s="1"/>
  <c r="H5784" i="16" s="1"/>
  <c r="M5784" i="16" s="1"/>
  <c r="G5769" i="16"/>
  <c r="G5785" i="16" s="1"/>
  <c r="H5785" i="16" s="1"/>
  <c r="M5785" i="16" s="1"/>
  <c r="G5770" i="16"/>
  <c r="H5770" i="16" s="1"/>
  <c r="G5771" i="16"/>
  <c r="H5771" i="16" s="1"/>
  <c r="G5774" i="16"/>
  <c r="H5774" i="16" s="1"/>
  <c r="G5775" i="16"/>
  <c r="B363" i="339"/>
  <c r="C363" i="339"/>
  <c r="G5790" i="16"/>
  <c r="H5790" i="16" s="1"/>
  <c r="M5790" i="16" s="1"/>
  <c r="C364" i="339"/>
  <c r="G5800" i="16"/>
  <c r="H5800" i="16" s="1"/>
  <c r="M5800" i="16" s="1"/>
  <c r="G5801" i="16"/>
  <c r="H5801" i="16" s="1"/>
  <c r="M5801" i="16" s="1"/>
  <c r="G5802" i="16"/>
  <c r="H5802" i="16" s="1"/>
  <c r="M5802" i="16" s="1"/>
  <c r="G5803" i="16"/>
  <c r="H5803" i="16" s="1"/>
  <c r="M5803" i="16" s="1"/>
  <c r="G5806" i="16"/>
  <c r="H5806" i="16" s="1"/>
  <c r="B365" i="339"/>
  <c r="C365" i="339"/>
  <c r="G5815" i="16"/>
  <c r="H5815" i="16" s="1"/>
  <c r="G5816" i="16"/>
  <c r="H5816" i="16" s="1"/>
  <c r="G5817" i="16"/>
  <c r="H5817" i="16" s="1"/>
  <c r="G5818" i="16"/>
  <c r="H5818" i="16" s="1"/>
  <c r="G5821" i="16"/>
  <c r="H5821" i="16" s="1"/>
  <c r="H5822" i="16" s="1"/>
  <c r="B370" i="339"/>
  <c r="B371" i="339"/>
  <c r="B372" i="339"/>
  <c r="B373" i="339"/>
  <c r="C370" i="339"/>
  <c r="G5857" i="16"/>
  <c r="H5857" i="16" s="1"/>
  <c r="G5858" i="16"/>
  <c r="H5858" i="16" s="1"/>
  <c r="G5861" i="16"/>
  <c r="H5861" i="16" s="1"/>
  <c r="H5862" i="16" s="1"/>
  <c r="C371" i="339"/>
  <c r="G5870" i="16"/>
  <c r="H5870" i="16" s="1"/>
  <c r="G5871" i="16"/>
  <c r="H5871" i="16" s="1"/>
  <c r="G5872" i="16"/>
  <c r="H5872" i="16" s="1"/>
  <c r="G5873" i="16"/>
  <c r="H5873" i="16" s="1"/>
  <c r="G5876" i="16"/>
  <c r="H5876" i="16" s="1"/>
  <c r="G5877" i="16"/>
  <c r="H5877" i="16" s="1"/>
  <c r="G5878" i="16"/>
  <c r="H5878" i="16" s="1"/>
  <c r="G5879" i="16"/>
  <c r="H5879" i="16" s="1"/>
  <c r="G5880" i="16"/>
  <c r="H5880" i="16" s="1"/>
  <c r="G5881" i="16"/>
  <c r="H5881" i="16" s="1"/>
  <c r="G5882" i="16"/>
  <c r="H5882" i="16" s="1"/>
  <c r="C372" i="339"/>
  <c r="G5891" i="16"/>
  <c r="H5891" i="16" s="1"/>
  <c r="G5892" i="16"/>
  <c r="H5892" i="16" s="1"/>
  <c r="G5893" i="16"/>
  <c r="H5893" i="16" s="1"/>
  <c r="G5894" i="16"/>
  <c r="H5894" i="16" s="1"/>
  <c r="G5897" i="16"/>
  <c r="H5897" i="16" s="1"/>
  <c r="G5898" i="16"/>
  <c r="H5898" i="16" s="1"/>
  <c r="G5899" i="16"/>
  <c r="H5899" i="16" s="1"/>
  <c r="G5900" i="16"/>
  <c r="H5900" i="16" s="1"/>
  <c r="G5901" i="16"/>
  <c r="H5901" i="16" s="1"/>
  <c r="G5902" i="16"/>
  <c r="H5902" i="16" s="1"/>
  <c r="G5903" i="16"/>
  <c r="H5903" i="16" s="1"/>
  <c r="C373" i="339"/>
  <c r="G5912" i="16"/>
  <c r="H5912" i="16" s="1"/>
  <c r="G5913" i="16"/>
  <c r="H5913" i="16" s="1"/>
  <c r="G5914" i="16"/>
  <c r="H5914" i="16" s="1"/>
  <c r="G5915" i="16"/>
  <c r="H5915" i="16" s="1"/>
  <c r="G5918" i="16"/>
  <c r="H5918" i="16" s="1"/>
  <c r="H5919" i="16" s="1"/>
  <c r="B374" i="339"/>
  <c r="C374" i="339"/>
  <c r="G5927" i="16"/>
  <c r="H5927" i="16" s="1"/>
  <c r="G5928" i="16"/>
  <c r="H5928" i="16" s="1"/>
  <c r="G5929" i="16"/>
  <c r="H5929" i="16" s="1"/>
  <c r="G5930" i="16"/>
  <c r="H5930" i="16" s="1"/>
  <c r="G5933" i="16"/>
  <c r="H5933" i="16" s="1"/>
  <c r="G5934" i="16"/>
  <c r="H5934" i="16" s="1"/>
  <c r="G5935" i="16"/>
  <c r="H5935" i="16" s="1"/>
  <c r="B375" i="339"/>
  <c r="C375" i="339"/>
  <c r="G5944" i="16"/>
  <c r="H5944" i="16" s="1"/>
  <c r="G5945" i="16"/>
  <c r="H5945" i="16" s="1"/>
  <c r="G5948" i="16"/>
  <c r="H5948" i="16" s="1"/>
  <c r="H5949" i="16" s="1"/>
  <c r="B376" i="339"/>
  <c r="C376" i="339"/>
  <c r="G5957" i="16"/>
  <c r="H5957" i="16" s="1"/>
  <c r="G5958" i="16"/>
  <c r="H5958" i="16" s="1"/>
  <c r="G5959" i="16"/>
  <c r="H5959" i="16" s="1"/>
  <c r="G5960" i="16"/>
  <c r="H5960" i="16" s="1"/>
  <c r="G5963" i="16"/>
  <c r="H5963" i="16" s="1"/>
  <c r="G5964" i="16"/>
  <c r="H5964" i="16" s="1"/>
  <c r="G5965" i="16"/>
  <c r="H5965" i="16" s="1"/>
  <c r="B378" i="339"/>
  <c r="B379" i="339"/>
  <c r="B380" i="339"/>
  <c r="B381" i="339"/>
  <c r="C378" i="339"/>
  <c r="G5991" i="16"/>
  <c r="H5991" i="16" s="1"/>
  <c r="G5992" i="16"/>
  <c r="H5992" i="16" s="1"/>
  <c r="G5993" i="16"/>
  <c r="H5993" i="16" s="1"/>
  <c r="G5994" i="16"/>
  <c r="H5994" i="16" s="1"/>
  <c r="G5997" i="16"/>
  <c r="H5997" i="16" s="1"/>
  <c r="G5998" i="16"/>
  <c r="H5998" i="16" s="1"/>
  <c r="G5999" i="16"/>
  <c r="H5999" i="16" s="1"/>
  <c r="C379" i="339"/>
  <c r="G6008" i="16"/>
  <c r="H6008" i="16" s="1"/>
  <c r="G6009" i="16"/>
  <c r="H6009" i="16" s="1"/>
  <c r="G6010" i="16"/>
  <c r="H6010" i="16" s="1"/>
  <c r="G6011" i="16"/>
  <c r="H6011" i="16" s="1"/>
  <c r="G6014" i="16"/>
  <c r="H6014" i="16" s="1"/>
  <c r="G6015" i="16"/>
  <c r="H6015" i="16" s="1"/>
  <c r="G6016" i="16"/>
  <c r="H6016" i="16" s="1"/>
  <c r="C380" i="339"/>
  <c r="G6025" i="16"/>
  <c r="H6025" i="16" s="1"/>
  <c r="M6025" i="16" s="1"/>
  <c r="G6026" i="16"/>
  <c r="H6026" i="16" s="1"/>
  <c r="M6026" i="16" s="1"/>
  <c r="G6027" i="16"/>
  <c r="H6027" i="16" s="1"/>
  <c r="M6027" i="16" s="1"/>
  <c r="G6028" i="16"/>
  <c r="H6028" i="16" s="1"/>
  <c r="M6028" i="16" s="1"/>
  <c r="G6031" i="16"/>
  <c r="H6031" i="16" s="1"/>
  <c r="M6031" i="16" s="1"/>
  <c r="M6034" i="16" s="1"/>
  <c r="G6032" i="16"/>
  <c r="H6032" i="16" s="1"/>
  <c r="M6032" i="16" s="1"/>
  <c r="C381" i="339"/>
  <c r="G6042" i="16"/>
  <c r="H6042" i="16" s="1"/>
  <c r="G6043" i="16"/>
  <c r="H6043" i="16" s="1"/>
  <c r="G6044" i="16"/>
  <c r="H6044" i="16" s="1"/>
  <c r="G6045" i="16"/>
  <c r="H6045" i="16" s="1"/>
  <c r="G6048" i="16"/>
  <c r="H6048" i="16" s="1"/>
  <c r="H6049" i="16" s="1"/>
  <c r="B382" i="339"/>
  <c r="C382" i="339"/>
  <c r="G6057" i="16"/>
  <c r="H6057" i="16" s="1"/>
  <c r="G6058" i="16"/>
  <c r="H6058" i="16" s="1"/>
  <c r="G6059" i="16"/>
  <c r="H6059" i="16" s="1"/>
  <c r="G6060" i="16"/>
  <c r="H6060" i="16" s="1"/>
  <c r="G6063" i="16"/>
  <c r="H6063" i="16" s="1"/>
  <c r="G6064" i="16"/>
  <c r="H6064" i="16" s="1"/>
  <c r="G6065" i="16"/>
  <c r="H6065" i="16" s="1"/>
  <c r="B383" i="339"/>
  <c r="C383" i="339"/>
  <c r="G6074" i="16"/>
  <c r="H6074" i="16" s="1"/>
  <c r="G6075" i="16"/>
  <c r="H6075" i="16" s="1"/>
  <c r="G6076" i="16"/>
  <c r="H6076" i="16" s="1"/>
  <c r="G6077" i="16"/>
  <c r="H6077" i="16" s="1"/>
  <c r="G6080" i="16"/>
  <c r="H6080" i="16" s="1"/>
  <c r="G6081" i="16"/>
  <c r="H6081" i="16" s="1"/>
  <c r="B384" i="339"/>
  <c r="C384" i="339"/>
  <c r="G6090" i="16"/>
  <c r="H6090" i="16" s="1"/>
  <c r="G6091" i="16"/>
  <c r="H6091" i="16" s="1"/>
  <c r="G6092" i="16"/>
  <c r="H6092" i="16" s="1"/>
  <c r="G6093" i="16"/>
  <c r="H6093" i="16" s="1"/>
  <c r="G6096" i="16"/>
  <c r="H6096" i="16" s="1"/>
  <c r="H6097" i="16" s="1"/>
  <c r="B385" i="339"/>
  <c r="C385" i="339"/>
  <c r="G6105" i="16"/>
  <c r="H6105" i="16" s="1"/>
  <c r="G6106" i="16"/>
  <c r="H6106" i="16" s="1"/>
  <c r="G6107" i="16"/>
  <c r="H6107" i="16" s="1"/>
  <c r="G6108" i="16"/>
  <c r="H6108" i="16" s="1"/>
  <c r="G6111" i="16"/>
  <c r="H6111" i="16" s="1"/>
  <c r="G6112" i="16"/>
  <c r="H6112" i="16" s="1"/>
  <c r="G6113" i="16"/>
  <c r="H6113" i="16" s="1"/>
  <c r="B386" i="339"/>
  <c r="C386" i="339"/>
  <c r="G6123" i="16"/>
  <c r="H6123" i="16" s="1"/>
  <c r="G6124" i="16"/>
  <c r="H6124" i="16" s="1"/>
  <c r="G6125" i="16"/>
  <c r="H6125" i="16" s="1"/>
  <c r="G6126" i="16"/>
  <c r="H6126" i="16" s="1"/>
  <c r="G6129" i="16"/>
  <c r="H6129" i="16" s="1"/>
  <c r="G6130" i="16"/>
  <c r="H6130" i="16" s="1"/>
  <c r="B387" i="339"/>
  <c r="G6139" i="16"/>
  <c r="H6139" i="16" s="1"/>
  <c r="M6139" i="16" s="1"/>
  <c r="G6140" i="16"/>
  <c r="H6140" i="16" s="1"/>
  <c r="M6140" i="16" s="1"/>
  <c r="G6141" i="16"/>
  <c r="H6141" i="16" s="1"/>
  <c r="M6141" i="16" s="1"/>
  <c r="G6142" i="16"/>
  <c r="H6142" i="16" s="1"/>
  <c r="M6142" i="16" s="1"/>
  <c r="G6145" i="16"/>
  <c r="H6145" i="16" s="1"/>
  <c r="M6145" i="16" s="1"/>
  <c r="G6146" i="16"/>
  <c r="H6146" i="16" s="1"/>
  <c r="M6146" i="16" s="1"/>
  <c r="H6147" i="16"/>
  <c r="M6147" i="16" s="1"/>
  <c r="B389" i="339"/>
  <c r="B390" i="339"/>
  <c r="B391" i="339"/>
  <c r="B392" i="339"/>
  <c r="G7" i="350"/>
  <c r="H7" i="350" s="1"/>
  <c r="G8" i="350"/>
  <c r="G12" i="350" s="1"/>
  <c r="H12" i="350" s="1"/>
  <c r="G77" i="350"/>
  <c r="H77" i="350" s="1"/>
  <c r="G78" i="350"/>
  <c r="H78" i="350" s="1"/>
  <c r="G29" i="350"/>
  <c r="H29" i="350" s="1"/>
  <c r="H37" i="350" s="1"/>
  <c r="G20" i="350"/>
  <c r="H20" i="350" s="1"/>
  <c r="G21" i="350"/>
  <c r="H21" i="350" s="1"/>
  <c r="G22" i="350"/>
  <c r="H22" i="350" s="1"/>
  <c r="G23" i="350"/>
  <c r="H23" i="350" s="1"/>
  <c r="G5844" i="16"/>
  <c r="H5844" i="16" s="1"/>
  <c r="G5845" i="16"/>
  <c r="H5845" i="16" s="1"/>
  <c r="G5848" i="16"/>
  <c r="H5848" i="16" s="1"/>
  <c r="H5849" i="16" s="1"/>
  <c r="G6262" i="16"/>
  <c r="H6262" i="16" s="1"/>
  <c r="G6263" i="16"/>
  <c r="H6263" i="16" s="1"/>
  <c r="G6264" i="16"/>
  <c r="H6264" i="16" s="1"/>
  <c r="G6265" i="16"/>
  <c r="H6265" i="16" s="1"/>
  <c r="G6268" i="16"/>
  <c r="H6268" i="16" s="1"/>
  <c r="G6269" i="16"/>
  <c r="H6269" i="16" s="1"/>
  <c r="G5118" i="16"/>
  <c r="H5118" i="16" s="1"/>
  <c r="G5117" i="16"/>
  <c r="H5117" i="16" s="1"/>
  <c r="G5111" i="16"/>
  <c r="H5111" i="16" s="1"/>
  <c r="G5112" i="16"/>
  <c r="H5112" i="16" s="1"/>
  <c r="G5113" i="16"/>
  <c r="H5113" i="16" s="1"/>
  <c r="G5114" i="16"/>
  <c r="H5114" i="16" s="1"/>
  <c r="G5086" i="16"/>
  <c r="H5086" i="16" s="1"/>
  <c r="G5085" i="16"/>
  <c r="H5085" i="16" s="1"/>
  <c r="G5079" i="16"/>
  <c r="H5079" i="16" s="1"/>
  <c r="G5080" i="16"/>
  <c r="H5080" i="16" s="1"/>
  <c r="G5081" i="16"/>
  <c r="H5081" i="16" s="1"/>
  <c r="G5082" i="16"/>
  <c r="H5082" i="16" s="1"/>
  <c r="G4211" i="16"/>
  <c r="H4211" i="16" s="1"/>
  <c r="M4211" i="16" s="1"/>
  <c r="G4210" i="16"/>
  <c r="H4210" i="16" s="1"/>
  <c r="M4210" i="16" s="1"/>
  <c r="G4204" i="16"/>
  <c r="H4204" i="16" s="1"/>
  <c r="M4204" i="16" s="1"/>
  <c r="G4205" i="16"/>
  <c r="H4205" i="16" s="1"/>
  <c r="M4205" i="16" s="1"/>
  <c r="G4206" i="16"/>
  <c r="H4206" i="16" s="1"/>
  <c r="M4206" i="16" s="1"/>
  <c r="G4207" i="16"/>
  <c r="H4207" i="16" s="1"/>
  <c r="M4207" i="16" s="1"/>
  <c r="G5831" i="16"/>
  <c r="H5831" i="16" s="1"/>
  <c r="G5832" i="16"/>
  <c r="H5832" i="16" s="1"/>
  <c r="G5835" i="16"/>
  <c r="H5835" i="16" s="1"/>
  <c r="H5836" i="16" s="1"/>
  <c r="G6156" i="16"/>
  <c r="H6156" i="16" s="1"/>
  <c r="M6156" i="16" s="1"/>
  <c r="G6157" i="16"/>
  <c r="H6157" i="16" s="1"/>
  <c r="M6157" i="16" s="1"/>
  <c r="G6158" i="16"/>
  <c r="H6158" i="16" s="1"/>
  <c r="M6158" i="16" s="1"/>
  <c r="G6159" i="16"/>
  <c r="H6159" i="16" s="1"/>
  <c r="M6159" i="16" s="1"/>
  <c r="G6162" i="16"/>
  <c r="H6162" i="16" s="1"/>
  <c r="M6162" i="16" s="1"/>
  <c r="G6163" i="16"/>
  <c r="H6163" i="16" s="1"/>
  <c r="M6163" i="16" s="1"/>
  <c r="G6164" i="16"/>
  <c r="H6164" i="16" s="1"/>
  <c r="M6164" i="16" s="1"/>
  <c r="G5975" i="16"/>
  <c r="H5975" i="16" s="1"/>
  <c r="M5975" i="16" s="1"/>
  <c r="G5976" i="16"/>
  <c r="H5976" i="16" s="1"/>
  <c r="M5976" i="16" s="1"/>
  <c r="G5977" i="16"/>
  <c r="H5977" i="16" s="1"/>
  <c r="M5977" i="16" s="1"/>
  <c r="G5978" i="16"/>
  <c r="H5978" i="16" s="1"/>
  <c r="M5978" i="16" s="1"/>
  <c r="H5981" i="16"/>
  <c r="M5981" i="16" s="1"/>
  <c r="H5982" i="16"/>
  <c r="M5982" i="16" s="1"/>
  <c r="C394" i="339"/>
  <c r="B394" i="339"/>
  <c r="H105" i="350"/>
  <c r="H101" i="350"/>
  <c r="H100" i="350"/>
  <c r="H99" i="350"/>
  <c r="H98" i="350"/>
  <c r="H97" i="350"/>
  <c r="H96" i="350"/>
  <c r="C542" i="339"/>
  <c r="B542" i="339"/>
  <c r="C541" i="339"/>
  <c r="B541" i="339"/>
  <c r="C540" i="339"/>
  <c r="C539" i="339"/>
  <c r="B539" i="339"/>
  <c r="C538" i="339"/>
  <c r="B538" i="339"/>
  <c r="H82" i="350"/>
  <c r="H66" i="350"/>
  <c r="H63" i="350"/>
  <c r="H51" i="350"/>
  <c r="G45" i="350"/>
  <c r="G92" i="350" s="1"/>
  <c r="H92" i="350" s="1"/>
  <c r="G44" i="350"/>
  <c r="H44" i="350" s="1"/>
  <c r="H75" i="350"/>
  <c r="F5431" i="16"/>
  <c r="F5430" i="16"/>
  <c r="F5429" i="16"/>
  <c r="H9167" i="16"/>
  <c r="H9168" i="16" s="1"/>
  <c r="G3475" i="16"/>
  <c r="H3475" i="16" s="1"/>
  <c r="F5263" i="16"/>
  <c r="E28" i="345"/>
  <c r="J28" i="345" s="1"/>
  <c r="F9286" i="16"/>
  <c r="J17" i="345"/>
  <c r="F9269" i="16"/>
  <c r="J49" i="345"/>
  <c r="J48" i="345"/>
  <c r="J187" i="345"/>
  <c r="J186" i="345"/>
  <c r="J185" i="345"/>
  <c r="J184" i="345"/>
  <c r="J183" i="345"/>
  <c r="J182" i="345"/>
  <c r="J181" i="345"/>
  <c r="J180" i="345"/>
  <c r="J179" i="345"/>
  <c r="J178" i="345"/>
  <c r="J177" i="345"/>
  <c r="J176" i="345"/>
  <c r="E188" i="345"/>
  <c r="J188" i="345" s="1"/>
  <c r="J172" i="345"/>
  <c r="J171" i="345"/>
  <c r="J170" i="345"/>
  <c r="J169" i="345"/>
  <c r="J168" i="345"/>
  <c r="J167" i="345"/>
  <c r="J166" i="345"/>
  <c r="J165" i="345"/>
  <c r="E173" i="345"/>
  <c r="J173" i="345"/>
  <c r="J161" i="345"/>
  <c r="J160" i="345"/>
  <c r="J159" i="345"/>
  <c r="J158" i="345"/>
  <c r="J157" i="345"/>
  <c r="J156" i="345"/>
  <c r="J155" i="345"/>
  <c r="J154" i="345"/>
  <c r="J153" i="345"/>
  <c r="E162" i="345"/>
  <c r="J162" i="345" s="1"/>
  <c r="J149" i="345"/>
  <c r="J148" i="345"/>
  <c r="J147" i="345"/>
  <c r="J146" i="345"/>
  <c r="J145" i="345"/>
  <c r="J144" i="345"/>
  <c r="J143" i="345"/>
  <c r="J142" i="345"/>
  <c r="E150" i="345"/>
  <c r="J150" i="345" s="1"/>
  <c r="J138" i="345"/>
  <c r="J137" i="345"/>
  <c r="J136" i="345"/>
  <c r="J135" i="345"/>
  <c r="J134" i="345"/>
  <c r="J133" i="345"/>
  <c r="J132" i="345"/>
  <c r="J131" i="345"/>
  <c r="J130" i="345"/>
  <c r="E139" i="345"/>
  <c r="J139" i="345" s="1"/>
  <c r="J126" i="345"/>
  <c r="J125" i="345"/>
  <c r="J124" i="345"/>
  <c r="J123" i="345"/>
  <c r="J122" i="345"/>
  <c r="J121" i="345"/>
  <c r="E127" i="345"/>
  <c r="J127" i="345" s="1"/>
  <c r="J117" i="345"/>
  <c r="J116" i="345"/>
  <c r="J115" i="345"/>
  <c r="J114" i="345"/>
  <c r="J113" i="345"/>
  <c r="J112" i="345"/>
  <c r="J111" i="345"/>
  <c r="J110" i="345"/>
  <c r="E118" i="345"/>
  <c r="J118" i="345" s="1"/>
  <c r="J106" i="345"/>
  <c r="J105" i="345"/>
  <c r="J104" i="345"/>
  <c r="J103" i="345"/>
  <c r="J102" i="345"/>
  <c r="J101" i="345"/>
  <c r="J100" i="345"/>
  <c r="J99" i="345"/>
  <c r="J98" i="345"/>
  <c r="E107" i="345"/>
  <c r="J107" i="345" s="1"/>
  <c r="J94" i="345"/>
  <c r="J93" i="345"/>
  <c r="J92" i="345"/>
  <c r="J91" i="345"/>
  <c r="J90" i="345"/>
  <c r="J89" i="345"/>
  <c r="J88" i="345"/>
  <c r="J87" i="345"/>
  <c r="E95" i="345"/>
  <c r="J95" i="345" s="1"/>
  <c r="J83" i="345"/>
  <c r="J82" i="345"/>
  <c r="J81" i="345"/>
  <c r="J80" i="345"/>
  <c r="J79" i="345"/>
  <c r="J78" i="345"/>
  <c r="J77" i="345"/>
  <c r="E84" i="345"/>
  <c r="J84" i="345" s="1"/>
  <c r="H21" i="345"/>
  <c r="J8" i="346" s="1"/>
  <c r="J73" i="345"/>
  <c r="J72" i="345"/>
  <c r="J71" i="345"/>
  <c r="J70" i="345"/>
  <c r="J69" i="345"/>
  <c r="J68" i="345"/>
  <c r="E74" i="345"/>
  <c r="J74" i="345" s="1"/>
  <c r="F67" i="345"/>
  <c r="E67" i="345"/>
  <c r="F5264" i="16"/>
  <c r="F2258" i="16"/>
  <c r="G2225" i="16"/>
  <c r="H2225" i="16" s="1"/>
  <c r="G2222" i="16"/>
  <c r="H2222" i="16" s="1"/>
  <c r="G2221" i="16"/>
  <c r="H2221" i="16" s="1"/>
  <c r="G2220" i="16"/>
  <c r="H2220" i="16" s="1"/>
  <c r="G2219" i="16"/>
  <c r="H2219" i="16" s="1"/>
  <c r="E43" i="345"/>
  <c r="J40" i="345"/>
  <c r="J37" i="345"/>
  <c r="J32" i="345"/>
  <c r="F9218" i="16"/>
  <c r="M38" i="345"/>
  <c r="E33" i="345"/>
  <c r="J33" i="345" s="1"/>
  <c r="F9133" i="16"/>
  <c r="J25" i="345"/>
  <c r="H31" i="346"/>
  <c r="J18" i="345"/>
  <c r="J16" i="345"/>
  <c r="J15" i="345"/>
  <c r="U27" i="346"/>
  <c r="U26" i="346"/>
  <c r="W26" i="346" s="1"/>
  <c r="T18" i="346"/>
  <c r="U18" i="346" s="1"/>
  <c r="AG27" i="346"/>
  <c r="AD27" i="346"/>
  <c r="AH27" i="346" s="1"/>
  <c r="AC27" i="346"/>
  <c r="AB27" i="346"/>
  <c r="AA27" i="346"/>
  <c r="Z27" i="346"/>
  <c r="P27" i="346"/>
  <c r="N27" i="346"/>
  <c r="M27" i="346"/>
  <c r="V27" i="346" s="1"/>
  <c r="K27" i="346"/>
  <c r="J16" i="346"/>
  <c r="AC16" i="346"/>
  <c r="AG16" i="346" s="1"/>
  <c r="AB16" i="346"/>
  <c r="AA16" i="346"/>
  <c r="S16" i="346"/>
  <c r="R16" i="346"/>
  <c r="Q16" i="346"/>
  <c r="P16" i="346"/>
  <c r="M16" i="346"/>
  <c r="V16" i="346" s="1"/>
  <c r="AD16" i="346"/>
  <c r="AK16" i="346" s="1"/>
  <c r="H16" i="346"/>
  <c r="U16" i="346"/>
  <c r="I13" i="346"/>
  <c r="AD13" i="346" s="1"/>
  <c r="AI31" i="346"/>
  <c r="AJ31" i="346" s="1"/>
  <c r="AG31" i="346"/>
  <c r="AH31" i="346" s="1"/>
  <c r="AD31" i="346"/>
  <c r="AC31" i="346"/>
  <c r="AB31" i="346"/>
  <c r="AA31" i="346"/>
  <c r="Z31" i="346"/>
  <c r="V31" i="346"/>
  <c r="R31" i="346"/>
  <c r="Q31" i="346"/>
  <c r="P31" i="346"/>
  <c r="AA30" i="346"/>
  <c r="AG26" i="346"/>
  <c r="AD26" i="346"/>
  <c r="AH26" i="346" s="1"/>
  <c r="AC26" i="346"/>
  <c r="AB26" i="346"/>
  <c r="AA26" i="346"/>
  <c r="Z26" i="346"/>
  <c r="P26" i="346"/>
  <c r="N26" i="346"/>
  <c r="M26" i="346"/>
  <c r="K26" i="346"/>
  <c r="K28" i="346" s="1"/>
  <c r="AG24" i="346"/>
  <c r="AC24" i="346"/>
  <c r="AB24" i="346"/>
  <c r="AA24" i="346"/>
  <c r="Z24" i="346"/>
  <c r="U24" i="346"/>
  <c r="W24" i="346" s="1"/>
  <c r="P24" i="346"/>
  <c r="M24" i="346"/>
  <c r="AD24" i="346"/>
  <c r="AH24" i="346" s="1"/>
  <c r="AL24" i="346" s="1"/>
  <c r="AO23" i="346"/>
  <c r="AC18" i="346"/>
  <c r="AH18" i="346"/>
  <c r="AB18" i="346"/>
  <c r="AA18" i="346"/>
  <c r="S18" i="346"/>
  <c r="R18" i="346"/>
  <c r="Q18" i="346"/>
  <c r="P18" i="346"/>
  <c r="M18" i="346"/>
  <c r="AD18" i="346"/>
  <c r="AK18" i="346" s="1"/>
  <c r="H18" i="346"/>
  <c r="K18" i="346" s="1"/>
  <c r="AG13" i="346"/>
  <c r="AH13" i="346" s="1"/>
  <c r="AC13" i="346"/>
  <c r="AB13" i="346"/>
  <c r="T13" i="346"/>
  <c r="S13" i="346"/>
  <c r="R13" i="346"/>
  <c r="Q13" i="346"/>
  <c r="P13" i="346"/>
  <c r="M13" i="346"/>
  <c r="H13" i="346"/>
  <c r="AC8" i="346"/>
  <c r="AI8" i="346" s="1"/>
  <c r="AB8" i="346"/>
  <c r="AG8" i="346" s="1"/>
  <c r="AH8" i="346" s="1"/>
  <c r="S8" i="346"/>
  <c r="R8" i="346"/>
  <c r="Q8" i="346"/>
  <c r="P8" i="346"/>
  <c r="M8" i="346"/>
  <c r="H8" i="346"/>
  <c r="AC6" i="346"/>
  <c r="P6" i="346"/>
  <c r="G6" i="346"/>
  <c r="AG18" i="346"/>
  <c r="V18" i="346"/>
  <c r="K24" i="346"/>
  <c r="N24" i="346"/>
  <c r="F8879" i="16"/>
  <c r="F8862" i="16"/>
  <c r="F8845" i="16"/>
  <c r="F8828" i="16"/>
  <c r="F8039" i="16"/>
  <c r="F8036" i="16"/>
  <c r="F8034" i="16"/>
  <c r="F8035" i="16" s="1"/>
  <c r="F8031" i="16"/>
  <c r="F7978" i="16"/>
  <c r="F7977" i="16"/>
  <c r="F8028" i="16"/>
  <c r="F8027" i="16"/>
  <c r="F8024" i="16"/>
  <c r="F8040" i="16"/>
  <c r="C8039" i="16"/>
  <c r="F8037" i="16"/>
  <c r="C8036" i="16"/>
  <c r="C8035" i="16"/>
  <c r="C8034" i="16"/>
  <c r="F8032" i="16"/>
  <c r="C8031" i="16"/>
  <c r="F8029" i="16"/>
  <c r="F8025" i="16"/>
  <c r="C8024" i="16"/>
  <c r="F8014" i="16"/>
  <c r="F8011" i="16"/>
  <c r="F8009" i="16"/>
  <c r="F8010" i="16" s="1"/>
  <c r="F7981" i="16"/>
  <c r="F8006" i="16"/>
  <c r="F8003" i="16"/>
  <c r="F8002" i="16"/>
  <c r="F7999" i="16"/>
  <c r="F8015" i="16"/>
  <c r="C8014" i="16"/>
  <c r="F8012" i="16"/>
  <c r="C8011" i="16"/>
  <c r="C8010" i="16"/>
  <c r="C8009" i="16"/>
  <c r="F8007" i="16"/>
  <c r="C8006" i="16"/>
  <c r="F8004" i="16"/>
  <c r="F8000" i="16"/>
  <c r="C7999" i="16"/>
  <c r="C8054" i="16"/>
  <c r="C8066" i="16"/>
  <c r="D8066" i="16"/>
  <c r="F8066" i="16"/>
  <c r="F8067" i="16"/>
  <c r="F8069" i="16"/>
  <c r="F8070" i="16"/>
  <c r="F8071" i="16"/>
  <c r="C8073" i="16"/>
  <c r="D8073" i="16"/>
  <c r="F8073" i="16"/>
  <c r="F8074" i="16"/>
  <c r="C8076" i="16"/>
  <c r="D8076" i="16"/>
  <c r="F8076" i="16"/>
  <c r="F8077" i="16" s="1"/>
  <c r="C8077" i="16"/>
  <c r="D8077" i="16"/>
  <c r="C8078" i="16"/>
  <c r="D8078" i="16"/>
  <c r="F8078" i="16"/>
  <c r="F8079" i="16"/>
  <c r="C8081" i="16"/>
  <c r="D8081" i="16"/>
  <c r="F8081" i="16"/>
  <c r="F8082" i="16"/>
  <c r="C8090" i="16"/>
  <c r="D8090" i="16"/>
  <c r="F8090" i="16"/>
  <c r="F8091" i="16"/>
  <c r="F8093" i="16"/>
  <c r="F8094" i="16"/>
  <c r="F8095" i="16"/>
  <c r="C8097" i="16"/>
  <c r="D8097" i="16"/>
  <c r="F8097" i="16"/>
  <c r="F8098" i="16"/>
  <c r="C8100" i="16"/>
  <c r="D8100" i="16"/>
  <c r="F8100" i="16"/>
  <c r="F8101" i="16" s="1"/>
  <c r="C8101" i="16"/>
  <c r="D8101" i="16"/>
  <c r="C8102" i="16"/>
  <c r="D8102" i="16"/>
  <c r="F8102" i="16"/>
  <c r="F8103" i="16"/>
  <c r="C8105" i="16"/>
  <c r="D8105" i="16"/>
  <c r="F8105" i="16"/>
  <c r="F8106" i="16"/>
  <c r="G6252" i="16"/>
  <c r="H6252" i="16" s="1"/>
  <c r="G6234" i="16"/>
  <c r="H6234" i="16" s="1"/>
  <c r="G6233" i="16"/>
  <c r="H6233" i="16" s="1"/>
  <c r="G6198" i="16"/>
  <c r="H6198" i="16" s="1"/>
  <c r="G6197" i="16"/>
  <c r="H6197" i="16" s="1"/>
  <c r="G6182" i="16"/>
  <c r="H6182" i="16" s="1"/>
  <c r="C5560" i="16"/>
  <c r="C5150" i="16"/>
  <c r="F4013" i="16"/>
  <c r="H2248" i="16"/>
  <c r="C260" i="339"/>
  <c r="B260" i="339"/>
  <c r="F9116" i="16"/>
  <c r="F9105" i="16"/>
  <c r="F9086" i="16"/>
  <c r="F9075" i="16"/>
  <c r="F8151" i="16"/>
  <c r="F8159" i="16"/>
  <c r="F8156" i="16"/>
  <c r="F8148" i="16"/>
  <c r="F8144" i="16"/>
  <c r="F8135" i="16"/>
  <c r="F8130" i="16"/>
  <c r="F8127" i="16"/>
  <c r="F8122" i="16"/>
  <c r="F8119" i="16"/>
  <c r="F8115" i="16"/>
  <c r="F7990" i="16"/>
  <c r="F7987" i="16"/>
  <c r="F7982" i="16"/>
  <c r="F7979" i="16"/>
  <c r="F7975" i="16"/>
  <c r="F2160" i="16"/>
  <c r="I3650" i="16"/>
  <c r="I3632" i="16"/>
  <c r="I3686" i="16"/>
  <c r="I3668" i="16"/>
  <c r="F5309" i="16"/>
  <c r="F5308" i="16"/>
  <c r="F5307" i="16"/>
  <c r="F5306" i="16"/>
  <c r="F5292" i="16"/>
  <c r="F5291" i="16"/>
  <c r="F5290" i="16"/>
  <c r="F5289" i="16"/>
  <c r="F5412" i="16"/>
  <c r="F5411" i="16"/>
  <c r="F5410" i="16"/>
  <c r="G8396" i="16"/>
  <c r="H8396" i="16" s="1"/>
  <c r="G8377" i="16"/>
  <c r="H8377" i="16" s="1"/>
  <c r="F8722" i="16"/>
  <c r="F8721" i="16"/>
  <c r="F8720" i="16"/>
  <c r="F8698" i="16"/>
  <c r="F8697" i="16"/>
  <c r="F8696" i="16"/>
  <c r="F8674" i="16"/>
  <c r="F8672" i="16"/>
  <c r="F8671" i="16"/>
  <c r="F8670" i="16"/>
  <c r="F8669" i="16"/>
  <c r="F8665" i="16"/>
  <c r="F8657" i="16"/>
  <c r="F8656" i="16"/>
  <c r="F8655" i="16"/>
  <c r="D8651" i="16"/>
  <c r="C8651" i="16"/>
  <c r="D8650" i="16"/>
  <c r="C8650" i="16"/>
  <c r="F8639" i="16"/>
  <c r="F8637" i="16"/>
  <c r="F8636" i="16"/>
  <c r="F8635" i="16"/>
  <c r="F8634" i="16"/>
  <c r="F8630" i="16"/>
  <c r="F8622" i="16"/>
  <c r="F8621" i="16"/>
  <c r="F8620" i="16"/>
  <c r="D8616" i="16"/>
  <c r="C8616" i="16"/>
  <c r="D8615" i="16"/>
  <c r="C8615" i="16"/>
  <c r="F8525" i="16"/>
  <c r="F8507" i="16"/>
  <c r="F8504" i="16"/>
  <c r="F8502" i="16"/>
  <c r="F8501" i="16"/>
  <c r="F8489" i="16"/>
  <c r="F8471" i="16"/>
  <c r="F8456" i="16"/>
  <c r="F8435" i="16"/>
  <c r="F8414" i="16"/>
  <c r="F8401" i="16"/>
  <c r="F8380" i="16"/>
  <c r="F8359" i="16"/>
  <c r="H8359" i="16" s="1"/>
  <c r="H8360" i="16" s="1"/>
  <c r="F8334" i="16"/>
  <c r="F8314" i="16"/>
  <c r="F8294" i="16"/>
  <c r="F8274" i="16"/>
  <c r="F8254" i="16"/>
  <c r="F8234" i="16"/>
  <c r="C8224" i="16"/>
  <c r="C8202" i="16"/>
  <c r="F8158" i="16"/>
  <c r="D8158" i="16"/>
  <c r="C8158" i="16"/>
  <c r="F8155" i="16"/>
  <c r="D8155" i="16"/>
  <c r="C8155" i="16"/>
  <c r="D8154" i="16"/>
  <c r="C8154" i="16"/>
  <c r="F8153" i="16"/>
  <c r="F8154" i="16" s="1"/>
  <c r="D8153" i="16"/>
  <c r="C8153" i="16"/>
  <c r="F8150" i="16"/>
  <c r="D8150" i="16"/>
  <c r="C8150" i="16"/>
  <c r="F8147" i="16"/>
  <c r="F8146" i="16"/>
  <c r="F8143" i="16"/>
  <c r="D8143" i="16"/>
  <c r="C8143" i="16"/>
  <c r="F8129" i="16"/>
  <c r="D8129" i="16"/>
  <c r="C8129" i="16"/>
  <c r="F8126" i="16"/>
  <c r="D8126" i="16"/>
  <c r="C8126" i="16"/>
  <c r="D8125" i="16"/>
  <c r="C8125" i="16"/>
  <c r="F8124" i="16"/>
  <c r="F8125" i="16" s="1"/>
  <c r="D8124" i="16"/>
  <c r="C8124" i="16"/>
  <c r="F8121" i="16"/>
  <c r="D8121" i="16"/>
  <c r="C8121" i="16"/>
  <c r="F8118" i="16"/>
  <c r="F8117" i="16"/>
  <c r="F8114" i="16"/>
  <c r="D8114" i="16"/>
  <c r="C8114" i="16"/>
  <c r="F7989" i="16"/>
  <c r="C7989" i="16"/>
  <c r="F7986" i="16"/>
  <c r="C7986" i="16"/>
  <c r="C7985" i="16"/>
  <c r="F7984" i="16"/>
  <c r="F7985" i="16" s="1"/>
  <c r="C7984" i="16"/>
  <c r="C7981" i="16"/>
  <c r="F7974" i="16"/>
  <c r="C7974" i="16"/>
  <c r="F7904" i="16"/>
  <c r="F7902" i="16"/>
  <c r="F7901" i="16"/>
  <c r="F7870" i="16"/>
  <c r="F7868" i="16"/>
  <c r="F7867" i="16"/>
  <c r="F7836" i="16"/>
  <c r="F7834" i="16"/>
  <c r="F7833" i="16"/>
  <c r="F7802" i="16"/>
  <c r="F7800" i="16"/>
  <c r="F7799" i="16"/>
  <c r="F7784" i="16"/>
  <c r="F7782" i="16"/>
  <c r="F7781" i="16"/>
  <c r="F7712" i="16"/>
  <c r="F7710" i="16"/>
  <c r="F7709" i="16"/>
  <c r="G4599" i="16"/>
  <c r="H4599" i="16" s="1"/>
  <c r="G4598" i="16"/>
  <c r="H4598" i="16" s="1"/>
  <c r="G4597" i="16"/>
  <c r="H4597" i="16" s="1"/>
  <c r="G4596" i="16"/>
  <c r="H4596" i="16" s="1"/>
  <c r="F136" i="343"/>
  <c r="G136" i="343" s="1"/>
  <c r="F135" i="343"/>
  <c r="G135" i="343" s="1"/>
  <c r="F115" i="343"/>
  <c r="G115" i="343" s="1"/>
  <c r="F94" i="343"/>
  <c r="G94" i="343" s="1"/>
  <c r="F73" i="343"/>
  <c r="G73" i="343" s="1"/>
  <c r="F256" i="343"/>
  <c r="G256" i="343" s="1"/>
  <c r="F255" i="343"/>
  <c r="G255" i="343" s="1"/>
  <c r="F252" i="343"/>
  <c r="G252" i="343" s="1"/>
  <c r="F251" i="343"/>
  <c r="G251" i="343" s="1"/>
  <c r="F250" i="343"/>
  <c r="G250" i="343" s="1"/>
  <c r="F249" i="343"/>
  <c r="G249" i="343" s="1"/>
  <c r="F233" i="343"/>
  <c r="G233" i="343" s="1"/>
  <c r="F236" i="343"/>
  <c r="G236" i="343" s="1"/>
  <c r="F230" i="343"/>
  <c r="G230" i="343" s="1"/>
  <c r="F229" i="343"/>
  <c r="G229" i="343" s="1"/>
  <c r="F228" i="343"/>
  <c r="G228" i="343" s="1"/>
  <c r="F227" i="343"/>
  <c r="G227" i="343" s="1"/>
  <c r="F211" i="343"/>
  <c r="G211" i="343" s="1"/>
  <c r="F210" i="343"/>
  <c r="G210" i="343" s="1"/>
  <c r="F209" i="343"/>
  <c r="G209" i="343" s="1"/>
  <c r="F208" i="343"/>
  <c r="G208" i="343" s="1"/>
  <c r="I3055" i="16"/>
  <c r="F132" i="343"/>
  <c r="G132" i="343" s="1"/>
  <c r="F131" i="343"/>
  <c r="G131" i="343" s="1"/>
  <c r="F130" i="343"/>
  <c r="G130" i="343" s="1"/>
  <c r="F129" i="343"/>
  <c r="G129" i="343" s="1"/>
  <c r="F196" i="343"/>
  <c r="G196" i="343" s="1"/>
  <c r="F192" i="343"/>
  <c r="G192" i="343" s="1"/>
  <c r="F191" i="343"/>
  <c r="G191" i="343" s="1"/>
  <c r="F190" i="343"/>
  <c r="G190" i="343" s="1"/>
  <c r="F189" i="343"/>
  <c r="G189" i="343" s="1"/>
  <c r="F177" i="343"/>
  <c r="G177" i="343" s="1"/>
  <c r="G176" i="343"/>
  <c r="F173" i="343"/>
  <c r="G173" i="343" s="1"/>
  <c r="F172" i="343"/>
  <c r="G172" i="343" s="1"/>
  <c r="F171" i="343"/>
  <c r="G171" i="343" s="1"/>
  <c r="F170" i="343"/>
  <c r="G170" i="343" s="1"/>
  <c r="F114" i="343"/>
  <c r="G114" i="343" s="1"/>
  <c r="F93" i="343"/>
  <c r="G93" i="343" s="1"/>
  <c r="F157" i="343"/>
  <c r="G157" i="343" s="1"/>
  <c r="F51" i="343"/>
  <c r="G51" i="343" s="1"/>
  <c r="F153" i="343"/>
  <c r="G153" i="343" s="1"/>
  <c r="F152" i="343"/>
  <c r="G152" i="343" s="1"/>
  <c r="F151" i="343"/>
  <c r="G151" i="343" s="1"/>
  <c r="F150" i="343"/>
  <c r="G150" i="343" s="1"/>
  <c r="F111" i="343"/>
  <c r="G111" i="343" s="1"/>
  <c r="F110" i="343"/>
  <c r="G110" i="343" s="1"/>
  <c r="F109" i="343"/>
  <c r="G109" i="343" s="1"/>
  <c r="F108" i="343"/>
  <c r="G108" i="343" s="1"/>
  <c r="F90" i="343"/>
  <c r="G90" i="343" s="1"/>
  <c r="F89" i="343"/>
  <c r="G89" i="343" s="1"/>
  <c r="F88" i="343"/>
  <c r="G88" i="343" s="1"/>
  <c r="F87" i="343"/>
  <c r="G87" i="343" s="1"/>
  <c r="F69" i="343"/>
  <c r="G69" i="343" s="1"/>
  <c r="F68" i="343"/>
  <c r="G68" i="343" s="1"/>
  <c r="F67" i="343"/>
  <c r="G67" i="343" s="1"/>
  <c r="F66" i="343"/>
  <c r="G66" i="343" s="1"/>
  <c r="F48" i="343"/>
  <c r="G48" i="343" s="1"/>
  <c r="F47" i="343"/>
  <c r="G47" i="343" s="1"/>
  <c r="F46" i="343"/>
  <c r="G46" i="343" s="1"/>
  <c r="F45" i="343"/>
  <c r="G45" i="343" s="1"/>
  <c r="F27" i="343"/>
  <c r="G27" i="343" s="1"/>
  <c r="F26" i="343"/>
  <c r="G26" i="343" s="1"/>
  <c r="F25" i="343"/>
  <c r="G25" i="343" s="1"/>
  <c r="F24" i="343"/>
  <c r="G24" i="343" s="1"/>
  <c r="F8" i="343"/>
  <c r="G8" i="343" s="1"/>
  <c r="F7" i="343"/>
  <c r="G7" i="343" s="1"/>
  <c r="E276" i="343"/>
  <c r="E275" i="343"/>
  <c r="E274" i="343"/>
  <c r="E269" i="343"/>
  <c r="E268" i="343"/>
  <c r="E267" i="343"/>
  <c r="E266" i="343"/>
  <c r="E270" i="343"/>
  <c r="E265" i="343"/>
  <c r="I3769" i="16"/>
  <c r="I6497" i="16"/>
  <c r="I6491" i="16"/>
  <c r="C388" i="339"/>
  <c r="B388" i="339"/>
  <c r="C377" i="339"/>
  <c r="B377" i="339"/>
  <c r="G3478" i="16"/>
  <c r="H3478" i="16" s="1"/>
  <c r="D1482" i="16"/>
  <c r="G5101" i="16"/>
  <c r="H5101" i="16" s="1"/>
  <c r="G6179" i="16"/>
  <c r="H6179" i="16" s="1"/>
  <c r="G6249" i="16"/>
  <c r="H6249" i="16" s="1"/>
  <c r="G6248" i="16"/>
  <c r="H6248" i="16" s="1"/>
  <c r="G6247" i="16"/>
  <c r="H6247" i="16" s="1"/>
  <c r="G6246" i="16"/>
  <c r="H6246" i="16" s="1"/>
  <c r="G6230" i="16"/>
  <c r="H6230" i="16" s="1"/>
  <c r="G6229" i="16"/>
  <c r="H6229" i="16" s="1"/>
  <c r="G6228" i="16"/>
  <c r="H6228" i="16" s="1"/>
  <c r="G6227" i="16"/>
  <c r="H6227" i="16" s="1"/>
  <c r="G6213" i="16"/>
  <c r="H6213" i="16" s="1"/>
  <c r="G6212" i="16"/>
  <c r="H6212" i="16" s="1"/>
  <c r="G6211" i="16"/>
  <c r="H6211" i="16" s="1"/>
  <c r="G6210" i="16"/>
  <c r="H6210" i="16" s="1"/>
  <c r="G6194" i="16"/>
  <c r="H6194" i="16" s="1"/>
  <c r="G6193" i="16"/>
  <c r="H6193" i="16" s="1"/>
  <c r="G6192" i="16"/>
  <c r="H6192" i="16" s="1"/>
  <c r="G6191" i="16"/>
  <c r="H6191" i="16" s="1"/>
  <c r="G6176" i="16"/>
  <c r="H6176" i="16" s="1"/>
  <c r="G6175" i="16"/>
  <c r="H6175" i="16" s="1"/>
  <c r="G6174" i="16"/>
  <c r="H6174" i="16" s="1"/>
  <c r="G6173" i="16"/>
  <c r="H6173" i="16" s="1"/>
  <c r="G5098" i="16"/>
  <c r="H5098" i="16" s="1"/>
  <c r="G5097" i="16"/>
  <c r="H5097" i="16" s="1"/>
  <c r="G5096" i="16"/>
  <c r="H5096" i="16" s="1"/>
  <c r="G5095" i="16"/>
  <c r="H5095" i="16" s="1"/>
  <c r="B509" i="340"/>
  <c r="B511" i="340" s="1"/>
  <c r="B513" i="340" s="1"/>
  <c r="B514" i="340" s="1"/>
  <c r="B516" i="340" s="1"/>
  <c r="B517" i="340" s="1"/>
  <c r="B518" i="340" s="1"/>
  <c r="B519" i="340" s="1"/>
  <c r="B520" i="340" s="1"/>
  <c r="B521" i="340" s="1"/>
  <c r="B522" i="340" s="1"/>
  <c r="B523" i="340" s="1"/>
  <c r="B496" i="340"/>
  <c r="B497" i="340" s="1"/>
  <c r="B498" i="340" s="1"/>
  <c r="B499" i="340" s="1"/>
  <c r="B500" i="340" s="1"/>
  <c r="B501" i="340" s="1"/>
  <c r="B502" i="340" s="1"/>
  <c r="B503" i="340" s="1"/>
  <c r="B504" i="340" s="1"/>
  <c r="B505" i="340" s="1"/>
  <c r="B484" i="340"/>
  <c r="B485" i="340" s="1"/>
  <c r="B486" i="340" s="1"/>
  <c r="B487" i="340" s="1"/>
  <c r="B488" i="340" s="1"/>
  <c r="B490" i="340" s="1"/>
  <c r="B491" i="340" s="1"/>
  <c r="B492" i="340" s="1"/>
  <c r="F234" i="343"/>
  <c r="G234" i="343" s="1"/>
  <c r="G3476" i="16"/>
  <c r="H3476" i="16" s="1"/>
  <c r="C251" i="339"/>
  <c r="C393" i="339"/>
  <c r="C392" i="339"/>
  <c r="C391" i="339"/>
  <c r="C390" i="339"/>
  <c r="C389" i="339"/>
  <c r="C369" i="339"/>
  <c r="C368" i="339"/>
  <c r="C367" i="339"/>
  <c r="C319" i="339"/>
  <c r="C318" i="339"/>
  <c r="C317" i="339"/>
  <c r="C294" i="339"/>
  <c r="B393" i="339"/>
  <c r="B369" i="339"/>
  <c r="B368" i="339"/>
  <c r="B367" i="339"/>
  <c r="B319" i="339"/>
  <c r="B317" i="339"/>
  <c r="B294" i="339"/>
  <c r="B251" i="339"/>
  <c r="F11" i="343"/>
  <c r="G11" i="343" s="1"/>
  <c r="G12" i="343" s="1"/>
  <c r="G8376" i="16"/>
  <c r="H8376" i="16" s="1"/>
  <c r="G8375" i="16"/>
  <c r="H8375" i="16" s="1"/>
  <c r="M14" i="345"/>
  <c r="G6199" i="16"/>
  <c r="H6199" i="16" s="1"/>
  <c r="G6235" i="16"/>
  <c r="H6235" i="16" s="1"/>
  <c r="G6216" i="16"/>
  <c r="H6216" i="16" s="1"/>
  <c r="G6237" i="16"/>
  <c r="H6237" i="16" s="1"/>
  <c r="G6180" i="16"/>
  <c r="H6180" i="16" s="1"/>
  <c r="G6218" i="16"/>
  <c r="H6218" i="16" s="1"/>
  <c r="G6253" i="16"/>
  <c r="H6253" i="16" s="1"/>
  <c r="G6201" i="16"/>
  <c r="H6201" i="16" s="1"/>
  <c r="F30" i="343"/>
  <c r="G30" i="343" s="1"/>
  <c r="G6236" i="16"/>
  <c r="H6236" i="16" s="1"/>
  <c r="G6217" i="16"/>
  <c r="H6217" i="16" s="1"/>
  <c r="G6181" i="16"/>
  <c r="H6181" i="16" s="1"/>
  <c r="G6200" i="16"/>
  <c r="H6200" i="16" s="1"/>
  <c r="F156" i="343"/>
  <c r="G156" i="343" s="1"/>
  <c r="G5102" i="16"/>
  <c r="H5102" i="16" s="1"/>
  <c r="F215" i="343"/>
  <c r="G215" i="343" s="1"/>
  <c r="F72" i="343"/>
  <c r="G72" i="343" s="1"/>
  <c r="F214" i="343"/>
  <c r="G214" i="343" s="1"/>
  <c r="F195" i="343"/>
  <c r="G195" i="343" s="1"/>
  <c r="F235" i="343"/>
  <c r="G235" i="343" s="1"/>
  <c r="G8397" i="16"/>
  <c r="H8397" i="16" s="1"/>
  <c r="G3477" i="16"/>
  <c r="H3477" i="16" s="1"/>
  <c r="F31" i="343"/>
  <c r="G31" i="343" s="1"/>
  <c r="F52" i="343"/>
  <c r="G52" i="343" s="1"/>
  <c r="G8398" i="16"/>
  <c r="H8398" i="16" s="1"/>
  <c r="M4131" i="16" l="1"/>
  <c r="M8994" i="16"/>
  <c r="M8745" i="16"/>
  <c r="M8746" i="16" s="1"/>
  <c r="M5152" i="16"/>
  <c r="M8978" i="16"/>
  <c r="M4212" i="16"/>
  <c r="M5216" i="16"/>
  <c r="M5200" i="16"/>
  <c r="K13" i="346"/>
  <c r="AE31" i="346"/>
  <c r="AE27" i="346"/>
  <c r="M481" i="16"/>
  <c r="J67" i="345"/>
  <c r="AL18" i="346"/>
  <c r="AM18" i="346" s="1"/>
  <c r="AE24" i="346"/>
  <c r="V26" i="346"/>
  <c r="X26" i="346" s="1"/>
  <c r="AE26" i="346"/>
  <c r="AL26" i="346"/>
  <c r="M6165" i="16"/>
  <c r="M6166" i="16" s="1"/>
  <c r="M6160" i="16"/>
  <c r="M6148" i="16"/>
  <c r="M6143" i="16"/>
  <c r="M6149" i="16" s="1"/>
  <c r="M6029" i="16"/>
  <c r="M6035" i="16" s="1"/>
  <c r="H5807" i="16"/>
  <c r="M5806" i="16"/>
  <c r="M5807" i="16" s="1"/>
  <c r="M5804" i="16"/>
  <c r="M5808" i="16" s="1"/>
  <c r="M5212" i="16"/>
  <c r="M5217" i="16" s="1"/>
  <c r="M5196" i="16"/>
  <c r="M5148" i="16"/>
  <c r="M5153" i="16" s="1"/>
  <c r="H8735" i="16"/>
  <c r="M8734" i="16"/>
  <c r="M6828" i="16"/>
  <c r="M6588" i="16"/>
  <c r="M6593" i="16" s="1"/>
  <c r="M6559" i="16"/>
  <c r="M6555" i="16"/>
  <c r="M6560" i="16" s="1"/>
  <c r="G6371" i="16"/>
  <c r="H6371" i="16" s="1"/>
  <c r="M6371" i="16" s="1"/>
  <c r="M6368" i="16"/>
  <c r="M6366" i="16"/>
  <c r="M6354" i="16"/>
  <c r="M6349" i="16"/>
  <c r="M6355" i="16" s="1"/>
  <c r="G6302" i="16"/>
  <c r="H6302" i="16" s="1"/>
  <c r="M6301" i="16"/>
  <c r="M6299" i="16"/>
  <c r="H3983" i="16"/>
  <c r="M3982" i="16"/>
  <c r="M3983" i="16" s="1"/>
  <c r="H3973" i="16"/>
  <c r="M3972" i="16"/>
  <c r="M3973" i="16" s="1"/>
  <c r="M3353" i="16"/>
  <c r="M3347" i="16"/>
  <c r="M3080" i="16"/>
  <c r="M3086" i="16" s="1"/>
  <c r="M2795" i="16"/>
  <c r="M2800" i="16" s="1"/>
  <c r="M2685" i="16"/>
  <c r="M2680" i="16"/>
  <c r="M1324" i="16"/>
  <c r="M1325" i="16" s="1"/>
  <c r="M1315" i="16"/>
  <c r="M1276" i="16"/>
  <c r="M1012" i="16"/>
  <c r="M1008" i="16"/>
  <c r="M995" i="16"/>
  <c r="M996" i="16" s="1"/>
  <c r="M991" i="16"/>
  <c r="M592" i="16"/>
  <c r="M468" i="16"/>
  <c r="M472" i="16" s="1"/>
  <c r="M447" i="16"/>
  <c r="M444" i="16"/>
  <c r="AE16" i="346"/>
  <c r="J151" i="345"/>
  <c r="J163" i="345"/>
  <c r="J189" i="345"/>
  <c r="M5983" i="16"/>
  <c r="M5979" i="16"/>
  <c r="M4208" i="16"/>
  <c r="M5136" i="16"/>
  <c r="M5137" i="16" s="1"/>
  <c r="M5131" i="16"/>
  <c r="M4451" i="16"/>
  <c r="M4456" i="16" s="1"/>
  <c r="M4342" i="16"/>
  <c r="M4338" i="16"/>
  <c r="M4132" i="16"/>
  <c r="M4125" i="16"/>
  <c r="M6812" i="16"/>
  <c r="M6764" i="16"/>
  <c r="G6735" i="16"/>
  <c r="H6735" i="16" s="1"/>
  <c r="M6735" i="16" s="1"/>
  <c r="M6734" i="16"/>
  <c r="M6732" i="16"/>
  <c r="H6543" i="16"/>
  <c r="M6542" i="16"/>
  <c r="M6543" i="16" s="1"/>
  <c r="M6544" i="16" s="1"/>
  <c r="M6540" i="16"/>
  <c r="G6407" i="16"/>
  <c r="H6407" i="16" s="1"/>
  <c r="M6407" i="16" s="1"/>
  <c r="M6404" i="16"/>
  <c r="M6402" i="16"/>
  <c r="M3980" i="16"/>
  <c r="M3812" i="16"/>
  <c r="M3817" i="16" s="1"/>
  <c r="M3795" i="16"/>
  <c r="M3672" i="16"/>
  <c r="M3666" i="16"/>
  <c r="M3335" i="16"/>
  <c r="M3329" i="16"/>
  <c r="M2483" i="16"/>
  <c r="M2478" i="16"/>
  <c r="M2484" i="16" s="1"/>
  <c r="M1881" i="16"/>
  <c r="M1876" i="16"/>
  <c r="H1833" i="16"/>
  <c r="M1832" i="16"/>
  <c r="M1833" i="16" s="1"/>
  <c r="M1830" i="16"/>
  <c r="M1371" i="16"/>
  <c r="M1362" i="16"/>
  <c r="M1256" i="16"/>
  <c r="M1215" i="16"/>
  <c r="M1132" i="16"/>
  <c r="M1099" i="16"/>
  <c r="M1100" i="16" s="1"/>
  <c r="M1101" i="16" s="1"/>
  <c r="M1094" i="16"/>
  <c r="M1064" i="16"/>
  <c r="M1065" i="16" s="1"/>
  <c r="M1066" i="16" s="1"/>
  <c r="M1059" i="16"/>
  <c r="M856" i="16"/>
  <c r="M716" i="16"/>
  <c r="M717" i="16" s="1"/>
  <c r="M710" i="16"/>
  <c r="M587" i="16"/>
  <c r="M351" i="16"/>
  <c r="M348" i="16"/>
  <c r="M8747" i="16"/>
  <c r="M8748" i="16" s="1"/>
  <c r="M8749" i="16" s="1"/>
  <c r="M265" i="16"/>
  <c r="M262" i="16"/>
  <c r="H471" i="16"/>
  <c r="H444" i="16"/>
  <c r="AK13" i="346"/>
  <c r="I43" i="351"/>
  <c r="I155" i="351"/>
  <c r="H2799" i="16"/>
  <c r="H2795" i="16"/>
  <c r="H4455" i="16"/>
  <c r="H4451" i="16"/>
  <c r="H3666" i="16"/>
  <c r="G8594" i="16"/>
  <c r="H8594" i="16" s="1"/>
  <c r="H6034" i="16"/>
  <c r="I72" i="351"/>
  <c r="I96" i="351"/>
  <c r="I55" i="351"/>
  <c r="H5775" i="16"/>
  <c r="H5776" i="16" s="1"/>
  <c r="G5791" i="16"/>
  <c r="H5791" i="16" s="1"/>
  <c r="H8401" i="16"/>
  <c r="H8402" i="16" s="1"/>
  <c r="H1196" i="16"/>
  <c r="G1220" i="16"/>
  <c r="H1220" i="16" s="1"/>
  <c r="H1114" i="16"/>
  <c r="G1137" i="16"/>
  <c r="H1137" i="16" s="1"/>
  <c r="B524" i="340"/>
  <c r="B525" i="340" s="1"/>
  <c r="B526" i="340" s="1"/>
  <c r="B527" i="340" s="1"/>
  <c r="B528" i="340" s="1"/>
  <c r="B529" i="340" s="1"/>
  <c r="B530" i="340" s="1"/>
  <c r="H8691" i="16"/>
  <c r="I81" i="351"/>
  <c r="I59" i="351"/>
  <c r="I53" i="351"/>
  <c r="D7981" i="16"/>
  <c r="I20" i="351"/>
  <c r="I35" i="351"/>
  <c r="I21" i="351"/>
  <c r="I36" i="351"/>
  <c r="I32" i="351"/>
  <c r="I17" i="351"/>
  <c r="D7999" i="16"/>
  <c r="I30" i="351"/>
  <c r="I15" i="351"/>
  <c r="I117" i="351"/>
  <c r="I116" i="351"/>
  <c r="I54" i="351"/>
  <c r="I82" i="351"/>
  <c r="D8010" i="16"/>
  <c r="I42" i="351"/>
  <c r="I19" i="351"/>
  <c r="I34" i="351"/>
  <c r="I87" i="351"/>
  <c r="I88" i="351"/>
  <c r="I64" i="351"/>
  <c r="I80" i="351"/>
  <c r="I52" i="351"/>
  <c r="D7984" i="16"/>
  <c r="H2492" i="16"/>
  <c r="Z8857" i="16"/>
  <c r="AA8857" i="16" s="1"/>
  <c r="Q8857" i="16"/>
  <c r="R8857" i="16" s="1"/>
  <c r="J19" i="345"/>
  <c r="H2491" i="16"/>
  <c r="Q8856" i="16"/>
  <c r="R8856" i="16" s="1"/>
  <c r="Z8856" i="16"/>
  <c r="AA8856" i="16" s="1"/>
  <c r="J174" i="345"/>
  <c r="AL13" i="346"/>
  <c r="G257" i="343"/>
  <c r="U13" i="346"/>
  <c r="W31" i="346"/>
  <c r="J85" i="345"/>
  <c r="H9164" i="16"/>
  <c r="R9129" i="16"/>
  <c r="R9131" i="16" s="1"/>
  <c r="Q9146" i="16"/>
  <c r="R9146" i="16" s="1"/>
  <c r="R9148" i="16" s="1"/>
  <c r="G74" i="343"/>
  <c r="H9126" i="16"/>
  <c r="Q9126" i="16"/>
  <c r="G9142" i="16"/>
  <c r="G9159" i="16" s="1"/>
  <c r="H9159" i="16" s="1"/>
  <c r="Q9125" i="16"/>
  <c r="AK31" i="346"/>
  <c r="W18" i="346"/>
  <c r="X18" i="346" s="1"/>
  <c r="V24" i="346"/>
  <c r="X24" i="346" s="1"/>
  <c r="W13" i="346"/>
  <c r="AE13" i="346"/>
  <c r="J96" i="345"/>
  <c r="J140" i="345"/>
  <c r="K16" i="346"/>
  <c r="W16" i="346"/>
  <c r="X16" i="346" s="1"/>
  <c r="W27" i="346"/>
  <c r="X27" i="346" s="1"/>
  <c r="J108" i="345"/>
  <c r="J128" i="345"/>
  <c r="G9" i="343"/>
  <c r="G16" i="343" s="1"/>
  <c r="G17" i="343" s="1"/>
  <c r="H18" i="343" s="1"/>
  <c r="G18" i="343" s="1"/>
  <c r="G178" i="343"/>
  <c r="AJ8" i="346"/>
  <c r="V13" i="346"/>
  <c r="AL27" i="346"/>
  <c r="AL28" i="346" s="1"/>
  <c r="AM28" i="346" s="1"/>
  <c r="H23" i="345"/>
  <c r="J23" i="345" s="1"/>
  <c r="G95" i="343"/>
  <c r="K8" i="346"/>
  <c r="K9" i="346" s="1"/>
  <c r="H102" i="350"/>
  <c r="H8621" i="16"/>
  <c r="D8006" i="16"/>
  <c r="H8634" i="16"/>
  <c r="G8285" i="16"/>
  <c r="H8285" i="16" s="1"/>
  <c r="G116" i="343"/>
  <c r="G53" i="343"/>
  <c r="D8011" i="16"/>
  <c r="H27" i="350"/>
  <c r="H38" i="350" s="1"/>
  <c r="G5004" i="16"/>
  <c r="H5004" i="16" s="1"/>
  <c r="H5006" i="16" s="1"/>
  <c r="H8962" i="16"/>
  <c r="H8930" i="16"/>
  <c r="H9101" i="16"/>
  <c r="H8546" i="16"/>
  <c r="G8282" i="16"/>
  <c r="H8282" i="16" s="1"/>
  <c r="H9071" i="16"/>
  <c r="D8009" i="16"/>
  <c r="C8118" i="16"/>
  <c r="G7853" i="16"/>
  <c r="H7853" i="16" s="1"/>
  <c r="G7531" i="16"/>
  <c r="H7531" i="16" s="1"/>
  <c r="D8024" i="16"/>
  <c r="H8722" i="16"/>
  <c r="H8562" i="16"/>
  <c r="H8552" i="16"/>
  <c r="D8093" i="16"/>
  <c r="D8146" i="16"/>
  <c r="D8039" i="16"/>
  <c r="D7989" i="16"/>
  <c r="H8630" i="16"/>
  <c r="H8637" i="16"/>
  <c r="D8014" i="16"/>
  <c r="H8698" i="16"/>
  <c r="G7849" i="16"/>
  <c r="H7849" i="16" s="1"/>
  <c r="G8824" i="16"/>
  <c r="H8824" i="16" s="1"/>
  <c r="G8807" i="16"/>
  <c r="H8807" i="16" s="1"/>
  <c r="H7218" i="16"/>
  <c r="D8034" i="16"/>
  <c r="D8031" i="16"/>
  <c r="H8720" i="16"/>
  <c r="H4013" i="16"/>
  <c r="G4015" i="16" s="1"/>
  <c r="H4015" i="16" s="1"/>
  <c r="G8588" i="16"/>
  <c r="H8588" i="16" s="1"/>
  <c r="G166" i="16"/>
  <c r="H166" i="16" s="1"/>
  <c r="H171" i="16" s="1"/>
  <c r="C8027" i="16"/>
  <c r="C8069" i="16"/>
  <c r="C8093" i="16"/>
  <c r="C8117" i="16"/>
  <c r="C8002" i="16"/>
  <c r="C8146" i="16"/>
  <c r="D8094" i="16"/>
  <c r="D8003" i="16"/>
  <c r="D8035" i="16"/>
  <c r="C8028" i="16"/>
  <c r="D8117" i="16"/>
  <c r="D7985" i="16"/>
  <c r="D7986" i="16"/>
  <c r="D8027" i="16"/>
  <c r="H2227" i="16"/>
  <c r="H8636" i="16"/>
  <c r="H5290" i="16"/>
  <c r="G8755" i="16"/>
  <c r="H8755" i="16" s="1"/>
  <c r="H3848" i="16"/>
  <c r="C8003" i="16"/>
  <c r="C8094" i="16"/>
  <c r="C8070" i="16"/>
  <c r="H5410" i="16"/>
  <c r="G8772" i="16"/>
  <c r="H8772" i="16" s="1"/>
  <c r="G4031" i="16"/>
  <c r="D8069" i="16"/>
  <c r="D8002" i="16"/>
  <c r="H8525" i="16"/>
  <c r="H8526" i="16" s="1"/>
  <c r="H8671" i="16"/>
  <c r="H8697" i="16"/>
  <c r="H7818" i="16"/>
  <c r="H6457" i="16"/>
  <c r="H6459" i="16" s="1"/>
  <c r="G8839" i="16"/>
  <c r="H8839" i="16" s="1"/>
  <c r="G8586" i="16"/>
  <c r="H8586" i="16" s="1"/>
  <c r="G6799" i="16"/>
  <c r="H6799" i="16" s="1"/>
  <c r="H6800" i="16" s="1"/>
  <c r="H5200" i="16"/>
  <c r="D8028" i="16"/>
  <c r="H8828" i="16"/>
  <c r="H8831" i="16" s="1"/>
  <c r="H5846" i="16"/>
  <c r="H5850" i="16" s="1"/>
  <c r="H5851" i="16" s="1"/>
  <c r="H5852" i="16" s="1"/>
  <c r="D369" i="339" s="1"/>
  <c r="H4503" i="16"/>
  <c r="H4131" i="16"/>
  <c r="D8118" i="16"/>
  <c r="D7974" i="16"/>
  <c r="D8070" i="16"/>
  <c r="D8147" i="16"/>
  <c r="H5744" i="16"/>
  <c r="H4195" i="16"/>
  <c r="G8170" i="16"/>
  <c r="H8170" i="16" s="1"/>
  <c r="G842" i="16"/>
  <c r="G860" i="16" s="1"/>
  <c r="H2160" i="16"/>
  <c r="H2161" i="16" s="1"/>
  <c r="H5020" i="16"/>
  <c r="H5023" i="16" s="1"/>
  <c r="H8263" i="16"/>
  <c r="G8192" i="16"/>
  <c r="H8192" i="16" s="1"/>
  <c r="H8174" i="16"/>
  <c r="G7938" i="16"/>
  <c r="H7938" i="16" s="1"/>
  <c r="G7693" i="16"/>
  <c r="H7693" i="16" s="1"/>
  <c r="G8592" i="16"/>
  <c r="H8592" i="16" s="1"/>
  <c r="H2178" i="16"/>
  <c r="H4685" i="16"/>
  <c r="G7846" i="16"/>
  <c r="G7880" i="16" s="1"/>
  <c r="H7812" i="16"/>
  <c r="H6559" i="16"/>
  <c r="G8603" i="16"/>
  <c r="H8603" i="16" s="1"/>
  <c r="H8564" i="16"/>
  <c r="H8561" i="16"/>
  <c r="G8600" i="16"/>
  <c r="H8600" i="16" s="1"/>
  <c r="G7843" i="16"/>
  <c r="H7843" i="16" s="1"/>
  <c r="H7809" i="16"/>
  <c r="G197" i="343"/>
  <c r="H5712" i="16"/>
  <c r="H8674" i="16"/>
  <c r="H5384" i="16"/>
  <c r="H5249" i="16"/>
  <c r="H4519" i="16"/>
  <c r="H7811" i="16"/>
  <c r="G7845" i="16"/>
  <c r="G7879" i="16" s="1"/>
  <c r="H7879" i="16" s="1"/>
  <c r="G7096" i="16"/>
  <c r="G7115" i="16" s="1"/>
  <c r="G7134" i="16" s="1"/>
  <c r="G8587" i="16"/>
  <c r="H8587" i="16" s="1"/>
  <c r="G1281" i="16"/>
  <c r="H1281" i="16" s="1"/>
  <c r="G137" i="343"/>
  <c r="H8670" i="16"/>
  <c r="H4799" i="16"/>
  <c r="H4653" i="16"/>
  <c r="H4487" i="16"/>
  <c r="G7854" i="16"/>
  <c r="G7840" i="16"/>
  <c r="H7806" i="16"/>
  <c r="H2329" i="16"/>
  <c r="H642" i="16"/>
  <c r="H2064" i="16"/>
  <c r="H45" i="350"/>
  <c r="G11" i="350"/>
  <c r="H11" i="350" s="1"/>
  <c r="H13" i="350" s="1"/>
  <c r="G8891" i="16"/>
  <c r="H8891" i="16" s="1"/>
  <c r="G8923" i="16"/>
  <c r="H8923" i="16" s="1"/>
  <c r="G8907" i="16"/>
  <c r="H8907" i="16" s="1"/>
  <c r="G8806" i="16"/>
  <c r="H8806" i="16" s="1"/>
  <c r="H5306" i="16"/>
  <c r="H8" i="350"/>
  <c r="H9" i="350" s="1"/>
  <c r="G5787" i="16"/>
  <c r="H5787" i="16" s="1"/>
  <c r="M5787" i="16" s="1"/>
  <c r="H481" i="16"/>
  <c r="H485" i="16" s="1"/>
  <c r="H486" i="16" s="1"/>
  <c r="I487" i="16" s="1"/>
  <c r="H46" i="350"/>
  <c r="G93" i="350"/>
  <c r="H93" i="350" s="1"/>
  <c r="G7344" i="16"/>
  <c r="H7344" i="16" s="1"/>
  <c r="G193" i="343"/>
  <c r="H6254" i="16"/>
  <c r="H5983" i="16"/>
  <c r="H6000" i="16"/>
  <c r="H4637" i="16"/>
  <c r="H4342" i="16"/>
  <c r="H4246" i="16"/>
  <c r="H4851" i="16"/>
  <c r="H4767" i="16"/>
  <c r="H4471" i="16"/>
  <c r="H4326" i="16"/>
  <c r="H4278" i="16"/>
  <c r="H4972" i="16"/>
  <c r="G5314" i="16"/>
  <c r="H5314" i="16" s="1"/>
  <c r="G5297" i="16"/>
  <c r="H5297" i="16" s="1"/>
  <c r="H1238" i="16"/>
  <c r="H1244" i="16" s="1"/>
  <c r="H4556" i="16"/>
  <c r="H4538" i="16"/>
  <c r="H3102" i="16"/>
  <c r="H558" i="16"/>
  <c r="H3964" i="16"/>
  <c r="H3930" i="16"/>
  <c r="G8972" i="16"/>
  <c r="H8972" i="16" s="1"/>
  <c r="M8972" i="16" s="1"/>
  <c r="G8908" i="16"/>
  <c r="H8908" i="16" s="1"/>
  <c r="G8841" i="16"/>
  <c r="H8841" i="16" s="1"/>
  <c r="H5833" i="16"/>
  <c r="H5837" i="16" s="1"/>
  <c r="H5838" i="16" s="1"/>
  <c r="I5839" i="16" s="1"/>
  <c r="G8941" i="16"/>
  <c r="H8941" i="16" s="1"/>
  <c r="M8941" i="16" s="1"/>
  <c r="G8925" i="16"/>
  <c r="H8925" i="16" s="1"/>
  <c r="H43" i="350"/>
  <c r="H8334" i="16"/>
  <c r="H384" i="16"/>
  <c r="H387" i="16" s="1"/>
  <c r="H388" i="16" s="1"/>
  <c r="G90" i="350"/>
  <c r="H90" i="350" s="1"/>
  <c r="G8754" i="16"/>
  <c r="H8754" i="16" s="1"/>
  <c r="G9018" i="16"/>
  <c r="H9018" i="16" s="1"/>
  <c r="G8890" i="16"/>
  <c r="H8890" i="16" s="1"/>
  <c r="G8856" i="16"/>
  <c r="H8856" i="16" s="1"/>
  <c r="G8822" i="16"/>
  <c r="H8822" i="16" s="1"/>
  <c r="H8234" i="16"/>
  <c r="H4747" i="16"/>
  <c r="G28" i="343"/>
  <c r="G49" i="343"/>
  <c r="H4600" i="16"/>
  <c r="H79" i="350"/>
  <c r="H84" i="350" s="1"/>
  <c r="H8489" i="16"/>
  <c r="H8490" i="16" s="1"/>
  <c r="H784" i="16"/>
  <c r="H8502" i="16"/>
  <c r="G9019" i="16"/>
  <c r="H9019" i="16" s="1"/>
  <c r="G8955" i="16"/>
  <c r="H8955" i="16" s="1"/>
  <c r="M8955" i="16" s="1"/>
  <c r="H5430" i="16"/>
  <c r="G9003" i="16"/>
  <c r="H9003" i="16" s="1"/>
  <c r="G8987" i="16"/>
  <c r="H8987" i="16" s="1"/>
  <c r="M8987" i="16" s="1"/>
  <c r="G8971" i="16"/>
  <c r="H8971" i="16" s="1"/>
  <c r="M8971" i="16" s="1"/>
  <c r="G8939" i="16"/>
  <c r="H8939" i="16" s="1"/>
  <c r="M8939" i="16" s="1"/>
  <c r="G8874" i="16"/>
  <c r="H8874" i="16" s="1"/>
  <c r="G8857" i="16"/>
  <c r="H8857" i="16" s="1"/>
  <c r="G8840" i="16"/>
  <c r="H8840" i="16" s="1"/>
  <c r="G8823" i="16"/>
  <c r="H8823" i="16" s="1"/>
  <c r="G8789" i="16"/>
  <c r="H8789" i="16" s="1"/>
  <c r="G9002" i="16"/>
  <c r="H9002" i="16" s="1"/>
  <c r="G8970" i="16"/>
  <c r="H8970" i="16" s="1"/>
  <c r="M8970" i="16" s="1"/>
  <c r="G8954" i="16"/>
  <c r="H8954" i="16" s="1"/>
  <c r="M8954" i="16" s="1"/>
  <c r="G8922" i="16"/>
  <c r="H8922" i="16" s="1"/>
  <c r="G8788" i="16"/>
  <c r="H8788" i="16" s="1"/>
  <c r="H1607" i="16"/>
  <c r="H1610" i="16" s="1"/>
  <c r="H1611" i="16" s="1"/>
  <c r="I1612" i="16" s="1"/>
  <c r="G8805" i="16"/>
  <c r="H8805" i="16" s="1"/>
  <c r="H8314" i="16"/>
  <c r="H9125" i="16"/>
  <c r="G8986" i="16"/>
  <c r="H8986" i="16" s="1"/>
  <c r="M8986" i="16" s="1"/>
  <c r="G8938" i="16"/>
  <c r="H8938" i="16" s="1"/>
  <c r="M8938" i="16" s="1"/>
  <c r="M8942" i="16" s="1"/>
  <c r="M8947" i="16" s="1"/>
  <c r="G8906" i="16"/>
  <c r="H8906" i="16" s="1"/>
  <c r="G8873" i="16"/>
  <c r="H8873" i="16" s="1"/>
  <c r="G8771" i="16"/>
  <c r="H8771" i="16" s="1"/>
  <c r="H5308" i="16"/>
  <c r="G8940" i="16"/>
  <c r="H8940" i="16" s="1"/>
  <c r="M8940" i="16" s="1"/>
  <c r="G8924" i="16"/>
  <c r="H8924" i="16" s="1"/>
  <c r="G8892" i="16"/>
  <c r="H8892" i="16" s="1"/>
  <c r="G8858" i="16"/>
  <c r="H8858" i="16" s="1"/>
  <c r="G8756" i="16"/>
  <c r="H8756" i="16" s="1"/>
  <c r="H1480" i="16"/>
  <c r="H2223" i="16"/>
  <c r="G9020" i="16"/>
  <c r="H9020" i="16" s="1"/>
  <c r="G8988" i="16"/>
  <c r="H8988" i="16" s="1"/>
  <c r="M8988" i="16" s="1"/>
  <c r="G8875" i="16"/>
  <c r="H8875" i="16" s="1"/>
  <c r="H6349" i="16"/>
  <c r="G9004" i="16"/>
  <c r="H9004" i="16" s="1"/>
  <c r="G8956" i="16"/>
  <c r="H8956" i="16" s="1"/>
  <c r="M8956" i="16" s="1"/>
  <c r="G8790" i="16"/>
  <c r="H8790" i="16" s="1"/>
  <c r="G8773" i="16"/>
  <c r="H8773" i="16" s="1"/>
  <c r="H6160" i="16"/>
  <c r="H5558" i="16"/>
  <c r="H5562" i="16" s="1"/>
  <c r="H5563" i="16" s="1"/>
  <c r="H5564" i="16" s="1"/>
  <c r="D348" i="339" s="1"/>
  <c r="H7045" i="16"/>
  <c r="H6668" i="16"/>
  <c r="G9021" i="16"/>
  <c r="H9021" i="16" s="1"/>
  <c r="H494" i="16"/>
  <c r="H498" i="16" s="1"/>
  <c r="H499" i="16" s="1"/>
  <c r="I500" i="16" s="1"/>
  <c r="H5663" i="16"/>
  <c r="H5667" i="16" s="1"/>
  <c r="H5668" i="16" s="1"/>
  <c r="I5669" i="16" s="1"/>
  <c r="H5083" i="16"/>
  <c r="H6143" i="16"/>
  <c r="H6127" i="16"/>
  <c r="H5633" i="16"/>
  <c r="H5637" i="16" s="1"/>
  <c r="H4879" i="16"/>
  <c r="H4531" i="16"/>
  <c r="G8876" i="16"/>
  <c r="H8876" i="16" s="1"/>
  <c r="G8842" i="16"/>
  <c r="H8842" i="16" s="1"/>
  <c r="G8791" i="16"/>
  <c r="H8791" i="16" s="1"/>
  <c r="H60" i="350"/>
  <c r="H68" i="350" s="1"/>
  <c r="D541" i="339" s="1"/>
  <c r="H5961" i="16"/>
  <c r="H5931" i="16"/>
  <c r="H5874" i="16"/>
  <c r="H5804" i="16"/>
  <c r="H5808" i="16" s="1"/>
  <c r="H4984" i="16"/>
  <c r="H4355" i="16"/>
  <c r="H746" i="16"/>
  <c r="H537" i="16"/>
  <c r="H541" i="16" s="1"/>
  <c r="H447" i="16"/>
  <c r="H448" i="16" s="1"/>
  <c r="I449" i="16" s="1"/>
  <c r="H396" i="16"/>
  <c r="H399" i="16" s="1"/>
  <c r="H400" i="16" s="1"/>
  <c r="I401" i="16" s="1"/>
  <c r="H5099" i="16"/>
  <c r="H6094" i="16"/>
  <c r="H6098" i="16" s="1"/>
  <c r="H6099" i="16" s="1"/>
  <c r="I6100" i="16" s="1"/>
  <c r="H6078" i="16"/>
  <c r="H6046" i="16"/>
  <c r="H6050" i="16" s="1"/>
  <c r="H6051" i="16" s="1"/>
  <c r="H6052" i="16" s="1"/>
  <c r="D381" i="339" s="1"/>
  <c r="H5904" i="16"/>
  <c r="G216" i="343"/>
  <c r="H6202" i="16"/>
  <c r="H6214" i="16"/>
  <c r="H6195" i="16"/>
  <c r="H6250" i="16"/>
  <c r="J119" i="345"/>
  <c r="H4208" i="16"/>
  <c r="H5115" i="16"/>
  <c r="H6270" i="16"/>
  <c r="G32" i="343"/>
  <c r="H6219" i="16"/>
  <c r="H6177" i="16"/>
  <c r="H6231" i="16"/>
  <c r="J75" i="345"/>
  <c r="AD8" i="346"/>
  <c r="AE8" i="346" s="1"/>
  <c r="V8" i="346"/>
  <c r="J31" i="346"/>
  <c r="AL31" i="346" s="1"/>
  <c r="U8" i="346"/>
  <c r="W8" i="346" s="1"/>
  <c r="W9" i="346" s="1"/>
  <c r="AK8" i="346"/>
  <c r="AL8" i="346" s="1"/>
  <c r="AL9" i="346" s="1"/>
  <c r="AM9" i="346" s="1"/>
  <c r="H6165" i="16"/>
  <c r="G91" i="343"/>
  <c r="F8651" i="16"/>
  <c r="F8650" i="16"/>
  <c r="H8655" i="16"/>
  <c r="AE18" i="346"/>
  <c r="AH16" i="346"/>
  <c r="AL16" i="346" s="1"/>
  <c r="J21" i="345"/>
  <c r="H5543" i="16"/>
  <c r="H5547" i="16" s="1"/>
  <c r="H5498" i="16"/>
  <c r="H5502" i="16" s="1"/>
  <c r="H5503" i="16" s="1"/>
  <c r="H5504" i="16" s="1"/>
  <c r="D344" i="339" s="1"/>
  <c r="H5431" i="16"/>
  <c r="H4897" i="16"/>
  <c r="G70" i="343"/>
  <c r="G112" i="343"/>
  <c r="G231" i="343"/>
  <c r="H5946" i="16"/>
  <c r="H5950" i="16" s="1"/>
  <c r="H5951" i="16" s="1"/>
  <c r="I5952" i="16" s="1"/>
  <c r="H5916" i="16"/>
  <c r="H5920" i="16" s="1"/>
  <c r="H5921" i="16" s="1"/>
  <c r="I5922" i="16" s="1"/>
  <c r="H5895" i="16"/>
  <c r="H5756" i="16"/>
  <c r="H5740" i="16"/>
  <c r="H5724" i="16"/>
  <c r="H5309" i="16"/>
  <c r="H4845" i="16"/>
  <c r="H4419" i="16"/>
  <c r="H8414" i="16"/>
  <c r="H8415" i="16" s="1"/>
  <c r="G8435" i="16"/>
  <c r="G154" i="343"/>
  <c r="G212" i="343"/>
  <c r="H4212" i="16"/>
  <c r="H5119" i="16"/>
  <c r="H5603" i="16"/>
  <c r="H5607" i="16" s="1"/>
  <c r="H4863" i="16"/>
  <c r="G253" i="343"/>
  <c r="F8615" i="16"/>
  <c r="F8616" i="16"/>
  <c r="H6109" i="16"/>
  <c r="H6061" i="16"/>
  <c r="H6012" i="16"/>
  <c r="H5728" i="16"/>
  <c r="H5164" i="16"/>
  <c r="H5035" i="16"/>
  <c r="H5411" i="16"/>
  <c r="H5327" i="16"/>
  <c r="H5263" i="16"/>
  <c r="H5307" i="16"/>
  <c r="H5292" i="16"/>
  <c r="H5289" i="16"/>
  <c r="H4669" i="16"/>
  <c r="H8721" i="16"/>
  <c r="H8507" i="16"/>
  <c r="H8508" i="16" s="1"/>
  <c r="H8274" i="16"/>
  <c r="H7805" i="16"/>
  <c r="G7839" i="16"/>
  <c r="H7839" i="16" s="1"/>
  <c r="G6831" i="16"/>
  <c r="H6831" i="16" s="1"/>
  <c r="H9129" i="16"/>
  <c r="H9131" i="16" s="1"/>
  <c r="G9146" i="16"/>
  <c r="H9146" i="16" s="1"/>
  <c r="H9148" i="16" s="1"/>
  <c r="H8622" i="16"/>
  <c r="H8559" i="16"/>
  <c r="G8598" i="16"/>
  <c r="H8598" i="16" s="1"/>
  <c r="H5380" i="16"/>
  <c r="H5368" i="16"/>
  <c r="H5291" i="16"/>
  <c r="H5281" i="16"/>
  <c r="H5216" i="16"/>
  <c r="H5196" i="16"/>
  <c r="H5067" i="16"/>
  <c r="H4989" i="16"/>
  <c r="H4885" i="16"/>
  <c r="H4718" i="16"/>
  <c r="H4713" i="16"/>
  <c r="H4588" i="16"/>
  <c r="H4387" i="16"/>
  <c r="H4294" i="16"/>
  <c r="H8504" i="16"/>
  <c r="H8243" i="16"/>
  <c r="H8246" i="16" s="1"/>
  <c r="H7813" i="16"/>
  <c r="G7847" i="16"/>
  <c r="H7847" i="16" s="1"/>
  <c r="G7878" i="16"/>
  <c r="G7912" i="16" s="1"/>
  <c r="H7912" i="16" s="1"/>
  <c r="H7844" i="16"/>
  <c r="G7212" i="16"/>
  <c r="H7212" i="16" s="1"/>
  <c r="G7193" i="16"/>
  <c r="H7193" i="16" s="1"/>
  <c r="H6700" i="16"/>
  <c r="H8669" i="16"/>
  <c r="H5483" i="16"/>
  <c r="H5487" i="16" s="1"/>
  <c r="H5488" i="16" s="1"/>
  <c r="H5489" i="16" s="1"/>
  <c r="D343" i="339" s="1"/>
  <c r="H5468" i="16"/>
  <c r="H5472" i="16" s="1"/>
  <c r="H5473" i="16" s="1"/>
  <c r="I5474" i="16" s="1"/>
  <c r="H5261" i="16"/>
  <c r="H5232" i="16"/>
  <c r="H5212" i="16"/>
  <c r="H5184" i="16"/>
  <c r="H5039" i="16"/>
  <c r="H4967" i="16"/>
  <c r="H4921" i="16"/>
  <c r="H4833" i="16"/>
  <c r="H4811" i="16"/>
  <c r="H4568" i="16"/>
  <c r="H4550" i="16"/>
  <c r="H4375" i="16"/>
  <c r="H4310" i="16"/>
  <c r="H4240" i="16"/>
  <c r="H4163" i="16"/>
  <c r="H4113" i="16"/>
  <c r="H8696" i="16"/>
  <c r="H8501" i="16"/>
  <c r="H7816" i="16"/>
  <c r="G7850" i="16"/>
  <c r="G7884" i="16" s="1"/>
  <c r="G7918" i="16" s="1"/>
  <c r="H7918" i="16" s="1"/>
  <c r="H7044" i="16"/>
  <c r="G7117" i="16"/>
  <c r="H7117" i="16" s="1"/>
  <c r="G7136" i="16"/>
  <c r="H7136" i="16" s="1"/>
  <c r="G7231" i="16"/>
  <c r="H7231" i="16" s="1"/>
  <c r="G7380" i="16"/>
  <c r="H7380" i="16" s="1"/>
  <c r="G7621" i="16"/>
  <c r="H7621" i="16" s="1"/>
  <c r="G7657" i="16"/>
  <c r="H7657" i="16" s="1"/>
  <c r="G7747" i="16"/>
  <c r="H7747" i="16" s="1"/>
  <c r="G7783" i="16"/>
  <c r="H7783" i="16" s="1"/>
  <c r="G7869" i="16"/>
  <c r="H7869" i="16" s="1"/>
  <c r="G7903" i="16"/>
  <c r="H7903" i="16" s="1"/>
  <c r="G8214" i="16"/>
  <c r="H8214" i="16" s="1"/>
  <c r="G7155" i="16"/>
  <c r="H7155" i="16" s="1"/>
  <c r="G7362" i="16"/>
  <c r="H7362" i="16" s="1"/>
  <c r="G7437" i="16"/>
  <c r="H7437" i="16" s="1"/>
  <c r="G7456" i="16"/>
  <c r="H7456" i="16" s="1"/>
  <c r="G7513" i="16"/>
  <c r="H7513" i="16" s="1"/>
  <c r="G7585" i="16"/>
  <c r="H7585" i="16" s="1"/>
  <c r="G7675" i="16"/>
  <c r="H7675" i="16" s="1"/>
  <c r="G7711" i="16"/>
  <c r="H7711" i="16" s="1"/>
  <c r="G7098" i="16"/>
  <c r="H7098" i="16" s="1"/>
  <c r="G7250" i="16"/>
  <c r="H7250" i="16" s="1"/>
  <c r="M7250" i="16" s="1"/>
  <c r="G7269" i="16"/>
  <c r="H7269" i="16" s="1"/>
  <c r="G7288" i="16"/>
  <c r="H7288" i="16" s="1"/>
  <c r="G7307" i="16"/>
  <c r="H7307" i="16" s="1"/>
  <c r="G7326" i="16"/>
  <c r="H7326" i="16" s="1"/>
  <c r="G7399" i="16"/>
  <c r="H7399" i="16" s="1"/>
  <c r="G7418" i="16"/>
  <c r="H7418" i="16" s="1"/>
  <c r="G7475" i="16"/>
  <c r="H7475" i="16" s="1"/>
  <c r="G7494" i="16"/>
  <c r="H7494" i="16" s="1"/>
  <c r="G7567" i="16"/>
  <c r="H7567" i="16" s="1"/>
  <c r="G7603" i="16"/>
  <c r="H7603" i="16" s="1"/>
  <c r="G7639" i="16"/>
  <c r="H7639" i="16" s="1"/>
  <c r="G7765" i="16"/>
  <c r="H7765" i="16" s="1"/>
  <c r="G7801" i="16"/>
  <c r="H7801" i="16" s="1"/>
  <c r="G6703" i="16"/>
  <c r="H6703" i="16" s="1"/>
  <c r="H6704" i="16" s="1"/>
  <c r="H3799" i="16"/>
  <c r="G4032" i="16"/>
  <c r="H3003" i="16"/>
  <c r="H3007" i="16" s="1"/>
  <c r="H3008" i="16" s="1"/>
  <c r="I3009" i="16" s="1"/>
  <c r="H2494" i="16"/>
  <c r="G8808" i="16"/>
  <c r="H8808" i="16" s="1"/>
  <c r="G8859" i="16"/>
  <c r="H8859" i="16" s="1"/>
  <c r="G8893" i="16"/>
  <c r="H8893" i="16" s="1"/>
  <c r="G8825" i="16"/>
  <c r="H8825" i="16" s="1"/>
  <c r="G8989" i="16"/>
  <c r="H8989" i="16" s="1"/>
  <c r="M8989" i="16" s="1"/>
  <c r="G9005" i="16"/>
  <c r="H9005" i="16" s="1"/>
  <c r="G8757" i="16"/>
  <c r="H8757" i="16" s="1"/>
  <c r="G8774" i="16"/>
  <c r="H8774" i="16" s="1"/>
  <c r="G8957" i="16"/>
  <c r="H8957" i="16" s="1"/>
  <c r="M8957" i="16" s="1"/>
  <c r="G8973" i="16"/>
  <c r="H8973" i="16" s="1"/>
  <c r="M8973" i="16" s="1"/>
  <c r="H2258" i="16"/>
  <c r="H5760" i="16"/>
  <c r="H5528" i="16"/>
  <c r="H5532" i="16" s="1"/>
  <c r="H5533" i="16" s="1"/>
  <c r="H5534" i="16" s="1"/>
  <c r="D346" i="339" s="1"/>
  <c r="H5429" i="16"/>
  <c r="H5412" i="16"/>
  <c r="H5264" i="16"/>
  <c r="H5277" i="16"/>
  <c r="H5136" i="16"/>
  <c r="H5071" i="16"/>
  <c r="H4815" i="16"/>
  <c r="H4735" i="16"/>
  <c r="H4621" i="16"/>
  <c r="H4604" i="16"/>
  <c r="H4584" i="16"/>
  <c r="H4228" i="16"/>
  <c r="H9056" i="16"/>
  <c r="H9057" i="16" s="1"/>
  <c r="H9058" i="16" s="1"/>
  <c r="H9059" i="16" s="1"/>
  <c r="D564" i="339" s="1"/>
  <c r="H8471" i="16"/>
  <c r="H8472" i="16" s="1"/>
  <c r="H8380" i="16"/>
  <c r="H8381" i="16" s="1"/>
  <c r="H8176" i="16"/>
  <c r="G8198" i="16"/>
  <c r="H8173" i="16"/>
  <c r="G8195" i="16"/>
  <c r="G8217" i="16" s="1"/>
  <c r="H8217" i="16" s="1"/>
  <c r="G7957" i="16"/>
  <c r="H7957" i="16" s="1"/>
  <c r="G7835" i="16"/>
  <c r="H7835" i="16" s="1"/>
  <c r="H7821" i="16"/>
  <c r="G7855" i="16"/>
  <c r="H7855" i="16" s="1"/>
  <c r="G7729" i="16"/>
  <c r="H7729" i="16" s="1"/>
  <c r="G7549" i="16"/>
  <c r="H7549" i="16" s="1"/>
  <c r="H7051" i="16"/>
  <c r="H6571" i="16"/>
  <c r="H8639" i="16"/>
  <c r="H7294" i="16"/>
  <c r="H6636" i="16"/>
  <c r="H9010" i="16"/>
  <c r="H8862" i="16"/>
  <c r="H8865" i="16" s="1"/>
  <c r="H8543" i="16"/>
  <c r="H3570" i="16"/>
  <c r="H3068" i="16"/>
  <c r="H2346" i="16"/>
  <c r="I2347" i="16" s="1"/>
  <c r="H2031" i="16"/>
  <c r="H1784" i="16"/>
  <c r="H1787" i="16" s="1"/>
  <c r="H1788" i="16" s="1"/>
  <c r="I1789" i="16" s="1"/>
  <c r="H8294" i="16"/>
  <c r="H7462" i="16"/>
  <c r="H6932" i="16"/>
  <c r="H6828" i="16"/>
  <c r="H6604" i="16"/>
  <c r="H8845" i="16"/>
  <c r="H8848" i="16" s="1"/>
  <c r="H8665" i="16"/>
  <c r="H8657" i="16"/>
  <c r="H8635" i="16"/>
  <c r="H2081" i="16"/>
  <c r="H8254" i="16"/>
  <c r="H6978" i="16"/>
  <c r="H6796" i="16"/>
  <c r="H8946" i="16"/>
  <c r="H8879" i="16"/>
  <c r="H8882" i="16" s="1"/>
  <c r="H8672" i="16"/>
  <c r="H8656" i="16"/>
  <c r="H8626" i="16"/>
  <c r="H8620" i="16"/>
  <c r="G8596" i="16"/>
  <c r="H8596" i="16" s="1"/>
  <c r="H4060" i="16"/>
  <c r="H3353" i="16"/>
  <c r="G2242" i="16"/>
  <c r="H2242" i="16" s="1"/>
  <c r="H2244" i="16" s="1"/>
  <c r="G2276" i="16"/>
  <c r="H2276" i="16" s="1"/>
  <c r="H2278" i="16" s="1"/>
  <c r="G2259" i="16"/>
  <c r="H2259" i="16" s="1"/>
  <c r="H2207" i="16"/>
  <c r="H961" i="16"/>
  <c r="H965" i="16" s="1"/>
  <c r="H966" i="16" s="1"/>
  <c r="H3335" i="16"/>
  <c r="H2697" i="16"/>
  <c r="H1864" i="16"/>
  <c r="H1690" i="16"/>
  <c r="H3329" i="16"/>
  <c r="H514" i="16"/>
  <c r="G1261" i="16"/>
  <c r="H1261" i="16" s="1"/>
  <c r="H1155" i="16"/>
  <c r="H1094" i="16"/>
  <c r="H638" i="16"/>
  <c r="H524" i="16"/>
  <c r="H528" i="16" s="1"/>
  <c r="H529" i="16" s="1"/>
  <c r="I530" i="16" s="1"/>
  <c r="H1236" i="16"/>
  <c r="G1117" i="16"/>
  <c r="H1117" i="16" s="1"/>
  <c r="H9037" i="16"/>
  <c r="H9038" i="16" s="1"/>
  <c r="D562" i="339" s="1"/>
  <c r="H9046" i="16"/>
  <c r="H9047" i="16" s="1"/>
  <c r="D563" i="339" s="1"/>
  <c r="H9075" i="16"/>
  <c r="H8469" i="16"/>
  <c r="H7237" i="16"/>
  <c r="H7161" i="16"/>
  <c r="H7142" i="16"/>
  <c r="H7081" i="16"/>
  <c r="H7017" i="16"/>
  <c r="H7000" i="16"/>
  <c r="H6995" i="16"/>
  <c r="H6927" i="16"/>
  <c r="H6898" i="16"/>
  <c r="H6860" i="16"/>
  <c r="H6732" i="16"/>
  <c r="H6716" i="16"/>
  <c r="H6522" i="16"/>
  <c r="H6506" i="16"/>
  <c r="H6283" i="16"/>
  <c r="H8814" i="16"/>
  <c r="H8797" i="16"/>
  <c r="H9105" i="16"/>
  <c r="H9086" i="16"/>
  <c r="H8715" i="16"/>
  <c r="H8523" i="16"/>
  <c r="H8433" i="16"/>
  <c r="H8412" i="16"/>
  <c r="H8052" i="16"/>
  <c r="H8059" i="16" s="1"/>
  <c r="H8060" i="16" s="1"/>
  <c r="H8061" i="16" s="1"/>
  <c r="D499" i="339" s="1"/>
  <c r="H7944" i="16"/>
  <c r="G7886" i="16"/>
  <c r="G7920" i="16" s="1"/>
  <c r="H7920" i="16" s="1"/>
  <c r="H7481" i="16"/>
  <c r="H7443" i="16"/>
  <c r="H7405" i="16"/>
  <c r="H7313" i="16"/>
  <c r="H7275" i="16"/>
  <c r="H7256" i="16"/>
  <c r="H7199" i="16"/>
  <c r="H7180" i="16"/>
  <c r="H7104" i="16"/>
  <c r="H7063" i="16"/>
  <c r="H7034" i="16"/>
  <c r="H6966" i="16"/>
  <c r="H6961" i="16"/>
  <c r="H6944" i="16"/>
  <c r="H6915" i="16"/>
  <c r="H6910" i="16"/>
  <c r="H6893" i="16"/>
  <c r="G6815" i="16"/>
  <c r="H6815" i="16" s="1"/>
  <c r="H6764" i="16"/>
  <c r="H6672" i="16"/>
  <c r="H6608" i="16"/>
  <c r="H6592" i="16"/>
  <c r="H6575" i="16"/>
  <c r="H6540" i="16"/>
  <c r="H6366" i="16"/>
  <c r="H6315" i="16"/>
  <c r="H6299" i="16"/>
  <c r="H9026" i="16"/>
  <c r="H8994" i="16"/>
  <c r="H8978" i="16"/>
  <c r="H8914" i="16"/>
  <c r="H8898" i="16"/>
  <c r="H8780" i="16"/>
  <c r="H8763" i="16"/>
  <c r="H8661" i="16"/>
  <c r="H8135" i="16"/>
  <c r="H4175" i="16"/>
  <c r="H4143" i="16"/>
  <c r="H4109" i="16"/>
  <c r="H4093" i="16"/>
  <c r="H4064" i="16"/>
  <c r="H3999" i="16"/>
  <c r="H3959" i="16"/>
  <c r="H3926" i="16"/>
  <c r="H3914" i="16"/>
  <c r="H3832" i="16"/>
  <c r="H3812" i="16"/>
  <c r="H3783" i="16"/>
  <c r="H3778" i="16"/>
  <c r="H3766" i="16"/>
  <c r="H3745" i="16"/>
  <c r="H3708" i="16"/>
  <c r="H3702" i="16"/>
  <c r="H3672" i="16"/>
  <c r="H3654" i="16"/>
  <c r="H3630" i="16"/>
  <c r="H3618" i="16"/>
  <c r="H3614" i="16"/>
  <c r="H3586" i="16"/>
  <c r="H3551" i="16"/>
  <c r="H3497" i="16"/>
  <c r="H3473" i="16"/>
  <c r="H3480" i="16" s="1"/>
  <c r="H3481" i="16" s="1"/>
  <c r="I3482" i="16" s="1"/>
  <c r="H3425" i="16"/>
  <c r="H3407" i="16"/>
  <c r="H3401" i="16"/>
  <c r="H3365" i="16"/>
  <c r="H3347" i="16"/>
  <c r="H3275" i="16"/>
  <c r="H3173" i="16"/>
  <c r="H3137" i="16"/>
  <c r="H3114" i="16"/>
  <c r="H3085" i="16"/>
  <c r="H3080" i="16"/>
  <c r="H3049" i="16"/>
  <c r="H3053" i="16" s="1"/>
  <c r="H3054" i="16" s="1"/>
  <c r="H3055" i="16" s="1"/>
  <c r="D188" i="339" s="1"/>
  <c r="H3037" i="16"/>
  <c r="H2991" i="16"/>
  <c r="H2975" i="16"/>
  <c r="H2943" i="16"/>
  <c r="H2939" i="16"/>
  <c r="H2911" i="16"/>
  <c r="H2879" i="16"/>
  <c r="H2847" i="16"/>
  <c r="H2815" i="16"/>
  <c r="H2811" i="16"/>
  <c r="H2783" i="16"/>
  <c r="H2751" i="16"/>
  <c r="H2714" i="16"/>
  <c r="H2680" i="16"/>
  <c r="H2644" i="16"/>
  <c r="H2607" i="16"/>
  <c r="H2483" i="16"/>
  <c r="H2427" i="16"/>
  <c r="H2410" i="16"/>
  <c r="H2364" i="16"/>
  <c r="H2359" i="16"/>
  <c r="H2312" i="16"/>
  <c r="H2273" i="16"/>
  <c r="H2195" i="16"/>
  <c r="H2076" i="16"/>
  <c r="H2009" i="16"/>
  <c r="H1947" i="16"/>
  <c r="H1951" i="16" s="1"/>
  <c r="H1952" i="16" s="1"/>
  <c r="I1953" i="16" s="1"/>
  <c r="H1881" i="16"/>
  <c r="H1876" i="16"/>
  <c r="H1845" i="16"/>
  <c r="H1849" i="16" s="1"/>
  <c r="H1815" i="16"/>
  <c r="H1818" i="16" s="1"/>
  <c r="H1819" i="16" s="1"/>
  <c r="I1820" i="16" s="1"/>
  <c r="H1803" i="16"/>
  <c r="H1798" i="16"/>
  <c r="H1722" i="16"/>
  <c r="H1730" i="16" s="1"/>
  <c r="H1731" i="16" s="1"/>
  <c r="I1732" i="16" s="1"/>
  <c r="H1667" i="16"/>
  <c r="H1622" i="16"/>
  <c r="H1562" i="16"/>
  <c r="H1565" i="16" s="1"/>
  <c r="H1566" i="16" s="1"/>
  <c r="I1567" i="16" s="1"/>
  <c r="H1549" i="16"/>
  <c r="H1552" i="16" s="1"/>
  <c r="H1553" i="16" s="1"/>
  <c r="I1554" i="16" s="1"/>
  <c r="H1444" i="16"/>
  <c r="H1408" i="16"/>
  <c r="H1371" i="16"/>
  <c r="H1296" i="16"/>
  <c r="H1153" i="16"/>
  <c r="H1082" i="16"/>
  <c r="H1029" i="16"/>
  <c r="H1012" i="16"/>
  <c r="H995" i="16"/>
  <c r="H928" i="16"/>
  <c r="H856" i="16"/>
  <c r="H838" i="16"/>
  <c r="H820" i="16"/>
  <c r="H802" i="16"/>
  <c r="H790" i="16"/>
  <c r="H728" i="16"/>
  <c r="H710" i="16"/>
  <c r="H692" i="16"/>
  <c r="H674" i="16"/>
  <c r="H654" i="16"/>
  <c r="H621" i="16"/>
  <c r="H468" i="16"/>
  <c r="H472" i="16" s="1"/>
  <c r="H360" i="16"/>
  <c r="H363" i="16" s="1"/>
  <c r="H364" i="16" s="1"/>
  <c r="I365" i="16" s="1"/>
  <c r="H274" i="16"/>
  <c r="H277" i="16" s="1"/>
  <c r="H278" i="16" s="1"/>
  <c r="I279" i="16" s="1"/>
  <c r="L279" i="16" s="1"/>
  <c r="H252" i="16"/>
  <c r="H214" i="16"/>
  <c r="H199" i="16"/>
  <c r="H181" i="16"/>
  <c r="H184" i="16" s="1"/>
  <c r="H185" i="16" s="1"/>
  <c r="I186" i="16" s="1"/>
  <c r="H161" i="16"/>
  <c r="H139" i="16"/>
  <c r="H121" i="16"/>
  <c r="H93" i="16"/>
  <c r="H75" i="16"/>
  <c r="H55" i="16"/>
  <c r="H63" i="16"/>
  <c r="H21" i="16"/>
  <c r="H4179" i="16"/>
  <c r="H4125" i="16"/>
  <c r="H4097" i="16"/>
  <c r="H4081" i="16"/>
  <c r="H3980" i="16"/>
  <c r="H3984" i="16" s="1"/>
  <c r="H3985" i="16" s="1"/>
  <c r="I3986" i="16" s="1"/>
  <c r="H3947" i="16"/>
  <c r="H3942" i="16"/>
  <c r="H3898" i="16"/>
  <c r="H3882" i="16"/>
  <c r="H3828" i="16"/>
  <c r="H3816" i="16"/>
  <c r="H3684" i="16"/>
  <c r="H3648" i="16"/>
  <c r="H3602" i="16"/>
  <c r="H3598" i="16"/>
  <c r="H3582" i="16"/>
  <c r="H3566" i="16"/>
  <c r="H3545" i="16"/>
  <c r="H3509" i="16"/>
  <c r="H3461" i="16"/>
  <c r="H3419" i="16"/>
  <c r="H3389" i="16"/>
  <c r="H3317" i="16"/>
  <c r="H3281" i="16"/>
  <c r="H3263" i="16"/>
  <c r="H3209" i="16"/>
  <c r="H3203" i="16"/>
  <c r="H3191" i="16"/>
  <c r="H3119" i="16"/>
  <c r="H2987" i="16"/>
  <c r="H2959" i="16"/>
  <c r="H2927" i="16"/>
  <c r="H2895" i="16"/>
  <c r="H2891" i="16"/>
  <c r="H2863" i="16"/>
  <c r="H2859" i="16"/>
  <c r="H2831" i="16"/>
  <c r="H2767" i="16"/>
  <c r="H2763" i="16"/>
  <c r="H2734" i="16"/>
  <c r="H2730" i="16"/>
  <c r="H2718" i="16"/>
  <c r="H2625" i="16"/>
  <c r="H2547" i="16"/>
  <c r="H2500" i="16"/>
  <c r="H2467" i="16"/>
  <c r="H2462" i="16"/>
  <c r="H2450" i="16"/>
  <c r="H2432" i="16"/>
  <c r="H2415" i="16"/>
  <c r="H2393" i="16"/>
  <c r="H2341" i="16"/>
  <c r="H2324" i="16"/>
  <c r="H2173" i="16"/>
  <c r="H2048" i="16"/>
  <c r="H2043" i="16"/>
  <c r="H1962" i="16"/>
  <c r="H1966" i="16" s="1"/>
  <c r="H1967" i="16" s="1"/>
  <c r="I1968" i="16" s="1"/>
  <c r="H1830" i="16"/>
  <c r="H1761" i="16"/>
  <c r="H1762" i="16" s="1"/>
  <c r="H1763" i="16" s="1"/>
  <c r="I1764" i="16" s="1"/>
  <c r="H1660" i="16"/>
  <c r="H1629" i="16"/>
  <c r="H1592" i="16"/>
  <c r="H1595" i="16" s="1"/>
  <c r="H1596" i="16" s="1"/>
  <c r="I1597" i="16" s="1"/>
  <c r="H1536" i="16"/>
  <c r="H1539" i="16" s="1"/>
  <c r="H1506" i="16"/>
  <c r="H1315" i="16"/>
  <c r="H1173" i="16"/>
  <c r="H1132" i="16"/>
  <c r="H1077" i="16"/>
  <c r="H1025" i="16"/>
  <c r="H910" i="16"/>
  <c r="H892" i="16"/>
  <c r="H874" i="16"/>
  <c r="H826" i="16"/>
  <c r="H766" i="16"/>
  <c r="H680" i="16"/>
  <c r="H609" i="16"/>
  <c r="H604" i="16"/>
  <c r="H570" i="16"/>
  <c r="H509" i="16"/>
  <c r="H456" i="16"/>
  <c r="H459" i="16" s="1"/>
  <c r="H460" i="16" s="1"/>
  <c r="I461" i="16" s="1"/>
  <c r="H432" i="16"/>
  <c r="H435" i="16" s="1"/>
  <c r="H436" i="16" s="1"/>
  <c r="I437" i="16" s="1"/>
  <c r="H408" i="16"/>
  <c r="H411" i="16" s="1"/>
  <c r="H412" i="16" s="1"/>
  <c r="I413" i="16" s="1"/>
  <c r="H109" i="16"/>
  <c r="H80" i="16"/>
  <c r="H43" i="16"/>
  <c r="H12" i="16"/>
  <c r="H6183" i="16"/>
  <c r="G158" i="343"/>
  <c r="H5103" i="16"/>
  <c r="H6238" i="16"/>
  <c r="G237" i="343"/>
  <c r="H5087" i="16"/>
  <c r="H6066" i="16"/>
  <c r="H6017" i="16"/>
  <c r="H5648" i="16"/>
  <c r="H5652" i="16" s="1"/>
  <c r="H5859" i="16"/>
  <c r="H5863" i="16" s="1"/>
  <c r="H5708" i="16"/>
  <c r="H5588" i="16"/>
  <c r="H5592" i="16" s="1"/>
  <c r="H6266" i="16"/>
  <c r="H6148" i="16"/>
  <c r="H6082" i="16"/>
  <c r="H5995" i="16"/>
  <c r="H5966" i="16"/>
  <c r="G133" i="343"/>
  <c r="G174" i="343"/>
  <c r="H6114" i="16"/>
  <c r="H6029" i="16"/>
  <c r="H5883" i="16"/>
  <c r="H5819" i="16"/>
  <c r="H5823" i="16" s="1"/>
  <c r="H5618" i="16"/>
  <c r="H5622" i="16" s="1"/>
  <c r="H5979" i="16"/>
  <c r="H6131" i="16"/>
  <c r="H5936" i="16"/>
  <c r="H5678" i="16"/>
  <c r="H5682" i="16" s="1"/>
  <c r="H5768" i="16"/>
  <c r="H5180" i="16"/>
  <c r="H5131" i="16"/>
  <c r="H4730" i="16"/>
  <c r="G91" i="350"/>
  <c r="H91" i="350" s="1"/>
  <c r="H5513" i="16"/>
  <c r="H5517" i="16" s="1"/>
  <c r="H4763" i="16"/>
  <c r="G5786" i="16"/>
  <c r="H5786" i="16" s="1"/>
  <c r="M5786" i="16" s="1"/>
  <c r="M5788" i="16" s="1"/>
  <c r="H5333" i="16"/>
  <c r="H5001" i="16"/>
  <c r="H4933" i="16"/>
  <c r="H4904" i="16"/>
  <c r="H4779" i="16"/>
  <c r="H5573" i="16"/>
  <c r="H5577" i="16" s="1"/>
  <c r="H5396" i="16"/>
  <c r="H5345" i="16"/>
  <c r="H5245" i="16"/>
  <c r="H5168" i="16"/>
  <c r="H5148" i="16"/>
  <c r="H5051" i="16"/>
  <c r="H4938" i="16"/>
  <c r="H4783" i="16"/>
  <c r="H4616" i="16"/>
  <c r="H5693" i="16"/>
  <c r="H5697" i="16" s="1"/>
  <c r="H5769" i="16"/>
  <c r="H5453" i="16"/>
  <c r="H5457" i="16" s="1"/>
  <c r="G5438" i="16"/>
  <c r="H5438" i="16" s="1"/>
  <c r="H5440" i="16" s="1"/>
  <c r="H5419" i="16"/>
  <c r="H5363" i="16"/>
  <c r="H5055" i="16"/>
  <c r="H4827" i="16"/>
  <c r="H4795" i="16"/>
  <c r="H4572" i="16"/>
  <c r="H5402" i="16"/>
  <c r="H5351" i="16"/>
  <c r="H5228" i="16"/>
  <c r="H5152" i="16"/>
  <c r="H5018" i="16"/>
  <c r="H4955" i="16"/>
  <c r="H4867" i="16"/>
  <c r="G5313" i="16"/>
  <c r="H5313" i="16" s="1"/>
  <c r="H5295" i="16"/>
  <c r="H4751" i="16"/>
  <c r="H4649" i="16"/>
  <c r="H4423" i="16"/>
  <c r="H4391" i="16"/>
  <c r="H4359" i="16"/>
  <c r="H4338" i="16"/>
  <c r="H4306" i="16"/>
  <c r="H4274" i="16"/>
  <c r="H4159" i="16"/>
  <c r="H8487" i="16"/>
  <c r="H8454" i="16"/>
  <c r="H5420" i="16"/>
  <c r="H4916" i="16"/>
  <c r="H4633" i="16"/>
  <c r="H4483" i="16"/>
  <c r="H4515" i="16"/>
  <c r="H4435" i="16"/>
  <c r="H4403" i="16"/>
  <c r="H4371" i="16"/>
  <c r="H4258" i="16"/>
  <c r="H4191" i="16"/>
  <c r="H4950" i="16"/>
  <c r="H4499" i="16"/>
  <c r="H8196" i="16"/>
  <c r="G8218" i="16"/>
  <c r="H8218" i="16" s="1"/>
  <c r="H4439" i="16"/>
  <c r="H4407" i="16"/>
  <c r="H4322" i="16"/>
  <c r="H4290" i="16"/>
  <c r="H4262" i="16"/>
  <c r="H4224" i="16"/>
  <c r="H4147" i="16"/>
  <c r="H4077" i="16"/>
  <c r="H8393" i="16"/>
  <c r="H8403" i="16" s="1"/>
  <c r="H4697" i="16"/>
  <c r="H4701" i="16" s="1"/>
  <c r="H8448" i="16"/>
  <c r="H4681" i="16"/>
  <c r="H9116" i="16"/>
  <c r="H4665" i="16"/>
  <c r="H4467" i="16"/>
  <c r="G8303" i="16"/>
  <c r="G8219" i="16"/>
  <c r="H8219" i="16" s="1"/>
  <c r="G7962" i="16"/>
  <c r="H7962" i="16" s="1"/>
  <c r="H7963" i="16" s="1"/>
  <c r="G7851" i="16"/>
  <c r="G7841" i="16"/>
  <c r="H6452" i="16"/>
  <c r="H6420" i="16"/>
  <c r="H6471" i="16"/>
  <c r="G8264" i="16"/>
  <c r="H7500" i="16"/>
  <c r="H7424" i="16"/>
  <c r="H7087" i="16"/>
  <c r="G6423" i="16"/>
  <c r="H6423" i="16" s="1"/>
  <c r="H6424" i="16" s="1"/>
  <c r="G7882" i="16"/>
  <c r="H6848" i="16"/>
  <c r="G6783" i="16"/>
  <c r="H6783" i="16" s="1"/>
  <c r="H6784" i="16" s="1"/>
  <c r="H6720" i="16"/>
  <c r="G8224" i="16"/>
  <c r="H8224" i="16" s="1"/>
  <c r="H8225" i="16" s="1"/>
  <c r="H8175" i="16"/>
  <c r="H7810" i="16"/>
  <c r="H7029" i="16"/>
  <c r="H6983" i="16"/>
  <c r="G6655" i="16"/>
  <c r="H6655" i="16" s="1"/>
  <c r="H6656" i="16" s="1"/>
  <c r="G6474" i="16"/>
  <c r="H6474" i="16" s="1"/>
  <c r="H6475" i="16" s="1"/>
  <c r="H8427" i="16"/>
  <c r="H7814" i="16"/>
  <c r="G6767" i="16"/>
  <c r="H6767" i="16" s="1"/>
  <c r="H8372" i="16"/>
  <c r="G6639" i="16"/>
  <c r="H6639" i="16" s="1"/>
  <c r="H6640" i="16" s="1"/>
  <c r="H7069" i="16"/>
  <c r="G7137" i="16"/>
  <c r="H7123" i="16"/>
  <c r="H7012" i="16"/>
  <c r="H6652" i="16"/>
  <c r="H6436" i="16"/>
  <c r="H6441" i="16" s="1"/>
  <c r="H6320" i="16"/>
  <c r="G7097" i="16"/>
  <c r="H6876" i="16"/>
  <c r="H6864" i="16"/>
  <c r="G6623" i="16"/>
  <c r="H6623" i="16" s="1"/>
  <c r="H6624" i="16" s="1"/>
  <c r="H6620" i="16"/>
  <c r="H6332" i="16"/>
  <c r="H6881" i="16"/>
  <c r="H6844" i="16"/>
  <c r="H6812" i="16"/>
  <c r="H6752" i="16"/>
  <c r="H6780" i="16"/>
  <c r="H6588" i="16"/>
  <c r="H6337" i="16"/>
  <c r="H8583" i="16"/>
  <c r="H7099" i="16"/>
  <c r="H6748" i="16"/>
  <c r="H6736" i="16"/>
  <c r="H6528" i="16"/>
  <c r="H6402" i="16"/>
  <c r="H6384" i="16"/>
  <c r="H6354" i="16"/>
  <c r="H6510" i="16"/>
  <c r="H6390" i="16"/>
  <c r="H6372" i="16"/>
  <c r="H6949" i="16"/>
  <c r="H6684" i="16"/>
  <c r="H6689" i="16" s="1"/>
  <c r="H6555" i="16"/>
  <c r="H6287" i="16"/>
  <c r="G8595" i="16"/>
  <c r="H8595" i="16" s="1"/>
  <c r="G8590" i="16"/>
  <c r="H8590" i="16" s="1"/>
  <c r="H6487" i="16"/>
  <c r="H4045" i="16"/>
  <c r="H4011" i="16"/>
  <c r="H3878" i="16"/>
  <c r="H3726" i="16"/>
  <c r="H3720" i="16"/>
  <c r="H3527" i="16"/>
  <c r="H3515" i="16"/>
  <c r="H3437" i="16"/>
  <c r="H3239" i="16"/>
  <c r="H3227" i="16"/>
  <c r="G9143" i="16"/>
  <c r="G8599" i="16"/>
  <c r="H8599" i="16" s="1"/>
  <c r="H3910" i="16"/>
  <c r="H3860" i="16"/>
  <c r="H3867" i="16" s="1"/>
  <c r="H3738" i="16"/>
  <c r="H3383" i="16"/>
  <c r="H3371" i="16"/>
  <c r="H3311" i="16"/>
  <c r="H3299" i="16"/>
  <c r="H3033" i="16"/>
  <c r="H3995" i="16"/>
  <c r="H3795" i="16"/>
  <c r="H3636" i="16"/>
  <c r="H3455" i="16"/>
  <c r="H3443" i="16"/>
  <c r="H3533" i="16"/>
  <c r="H3491" i="16"/>
  <c r="H3245" i="16"/>
  <c r="H8550" i="16"/>
  <c r="H4028" i="16"/>
  <c r="H3894" i="16"/>
  <c r="H3844" i="16"/>
  <c r="H3690" i="16"/>
  <c r="H3257" i="16"/>
  <c r="G8602" i="16"/>
  <c r="H8602" i="16" s="1"/>
  <c r="H8554" i="16"/>
  <c r="H3760" i="16"/>
  <c r="H3221" i="16"/>
  <c r="H3293" i="16"/>
  <c r="H3185" i="16"/>
  <c r="H2955" i="16"/>
  <c r="H2827" i="16"/>
  <c r="H2662" i="16"/>
  <c r="H1997" i="16"/>
  <c r="H2907" i="16"/>
  <c r="H2779" i="16"/>
  <c r="H2702" i="16"/>
  <c r="H2529" i="16"/>
  <c r="H2398" i="16"/>
  <c r="H2307" i="16"/>
  <c r="H2256" i="16"/>
  <c r="H2478" i="16"/>
  <c r="G2210" i="16"/>
  <c r="H2210" i="16" s="1"/>
  <c r="H2211" i="16" s="1"/>
  <c r="H3167" i="16"/>
  <c r="H3155" i="16"/>
  <c r="H3149" i="16"/>
  <c r="H2971" i="16"/>
  <c r="H2843" i="16"/>
  <c r="H2685" i="16"/>
  <c r="H2014" i="16"/>
  <c r="H3097" i="16"/>
  <c r="H3064" i="16"/>
  <c r="H3018" i="16"/>
  <c r="H3022" i="16" s="1"/>
  <c r="H2923" i="16"/>
  <c r="H2747" i="16"/>
  <c r="H3131" i="16"/>
  <c r="H2875" i="16"/>
  <c r="H2517" i="16"/>
  <c r="H2239" i="16"/>
  <c r="H2093" i="16"/>
  <c r="H2097" i="16" s="1"/>
  <c r="H2512" i="16"/>
  <c r="H2295" i="16"/>
  <c r="H2108" i="16"/>
  <c r="H2112" i="16" s="1"/>
  <c r="H2026" i="16"/>
  <c r="H1741" i="16"/>
  <c r="H1749" i="16" s="1"/>
  <c r="H2156" i="16"/>
  <c r="H1992" i="16"/>
  <c r="H2668" i="16"/>
  <c r="H2631" i="16"/>
  <c r="H2553" i="16"/>
  <c r="H2445" i="16"/>
  <c r="H2139" i="16"/>
  <c r="H1860" i="16"/>
  <c r="H2123" i="16"/>
  <c r="H1915" i="16"/>
  <c r="H2376" i="16"/>
  <c r="H1898" i="16"/>
  <c r="H2650" i="16"/>
  <c r="H2613" i="16"/>
  <c r="H2535" i="16"/>
  <c r="H2381" i="16"/>
  <c r="H2290" i="16"/>
  <c r="H2190" i="16"/>
  <c r="H1977" i="16"/>
  <c r="H1981" i="16" s="1"/>
  <c r="H2060" i="16"/>
  <c r="H1932" i="16"/>
  <c r="H1936" i="16" s="1"/>
  <c r="H1432" i="16"/>
  <c r="H1414" i="16"/>
  <c r="H1893" i="16"/>
  <c r="H1324" i="16"/>
  <c r="H1301" i="16"/>
  <c r="H1362" i="16"/>
  <c r="H1773" i="16"/>
  <c r="H1774" i="16" s="1"/>
  <c r="H1683" i="16"/>
  <c r="H1703" i="16"/>
  <c r="H1711" i="16" s="1"/>
  <c r="H1462" i="16"/>
  <c r="H1577" i="16"/>
  <c r="H1580" i="16" s="1"/>
  <c r="H1518" i="16"/>
  <c r="H1525" i="16"/>
  <c r="H1468" i="16"/>
  <c r="H1450" i="16"/>
  <c r="H1426" i="16"/>
  <c r="H1500" i="16"/>
  <c r="H1276" i="16"/>
  <c r="H1256" i="16"/>
  <c r="G1199" i="16"/>
  <c r="H1199" i="16" s="1"/>
  <c r="H1112" i="16"/>
  <c r="H1059" i="16"/>
  <c r="H1047" i="16"/>
  <c r="H1008" i="16"/>
  <c r="H934" i="16"/>
  <c r="H1099" i="16"/>
  <c r="H1100" i="16" s="1"/>
  <c r="H1064" i="16"/>
  <c r="H1065" i="16" s="1"/>
  <c r="H976" i="16"/>
  <c r="H980" i="16" s="1"/>
  <c r="H1194" i="16"/>
  <c r="H1181" i="16"/>
  <c r="H1182" i="16" s="1"/>
  <c r="H991" i="16"/>
  <c r="H1215" i="16"/>
  <c r="H1042" i="16"/>
  <c r="G1158" i="16"/>
  <c r="H1158" i="16" s="1"/>
  <c r="H808" i="16"/>
  <c r="H209" i="16"/>
  <c r="H33" i="16"/>
  <c r="H330" i="16"/>
  <c r="H697" i="16"/>
  <c r="H575" i="16"/>
  <c r="H372" i="16"/>
  <c r="H375" i="16" s="1"/>
  <c r="H315" i="16"/>
  <c r="H319" i="16" s="1"/>
  <c r="H195" i="16"/>
  <c r="H127" i="16"/>
  <c r="H716" i="16"/>
  <c r="H587" i="16"/>
  <c r="H734" i="16"/>
  <c r="H662" i="16"/>
  <c r="H626" i="16"/>
  <c r="H553" i="16"/>
  <c r="H420" i="16"/>
  <c r="H423" i="16" s="1"/>
  <c r="H337" i="16"/>
  <c r="H262" i="16"/>
  <c r="H265" i="16" s="1"/>
  <c r="H149" i="16"/>
  <c r="H946" i="16"/>
  <c r="H950" i="16" s="1"/>
  <c r="H752" i="16"/>
  <c r="H8745" i="16"/>
  <c r="H772" i="16"/>
  <c r="H592" i="16"/>
  <c r="H348" i="16"/>
  <c r="H351" i="16" s="1"/>
  <c r="H247" i="16"/>
  <c r="H6544" i="16" l="1"/>
  <c r="H6545" i="16" s="1"/>
  <c r="I6546" i="16" s="1"/>
  <c r="M3673" i="16"/>
  <c r="M4213" i="16"/>
  <c r="H8746" i="16"/>
  <c r="K8746" i="16" s="1"/>
  <c r="H26" i="345"/>
  <c r="J26" i="345" s="1"/>
  <c r="M5201" i="16"/>
  <c r="H1834" i="16"/>
  <c r="H1835" i="16" s="1"/>
  <c r="I1836" i="16" s="1"/>
  <c r="H6408" i="16"/>
  <c r="H6409" i="16" s="1"/>
  <c r="H6410" i="16" s="1"/>
  <c r="I6411" i="16" s="1"/>
  <c r="G8302" i="16"/>
  <c r="M5154" i="16"/>
  <c r="M5155" i="16" s="1"/>
  <c r="M6036" i="16"/>
  <c r="M6037" i="16" s="1"/>
  <c r="E380" i="339" s="1"/>
  <c r="M3818" i="16"/>
  <c r="M3819" i="16"/>
  <c r="E233" i="339" s="1"/>
  <c r="L61" i="351" s="1"/>
  <c r="M61" i="351" s="1"/>
  <c r="K472" i="16"/>
  <c r="M473" i="16"/>
  <c r="M474" i="16" s="1"/>
  <c r="E32" i="339" s="1"/>
  <c r="H6816" i="16"/>
  <c r="M6815" i="16"/>
  <c r="M6816" i="16" s="1"/>
  <c r="M6817" i="16" s="1"/>
  <c r="H1264" i="16"/>
  <c r="M1261" i="16"/>
  <c r="M1264" i="16" s="1"/>
  <c r="M8948" i="16"/>
  <c r="M8949" i="16" s="1"/>
  <c r="E556" i="339" s="1"/>
  <c r="L139" i="351" s="1"/>
  <c r="M139" i="351" s="1"/>
  <c r="M8958" i="16"/>
  <c r="M8963" i="16" s="1"/>
  <c r="H5792" i="16"/>
  <c r="M5791" i="16"/>
  <c r="M5792" i="16" s="1"/>
  <c r="M5793" i="16" s="1"/>
  <c r="M718" i="16"/>
  <c r="M719" i="16" s="1"/>
  <c r="E51" i="339" s="1"/>
  <c r="M1067" i="16"/>
  <c r="M1068" i="16" s="1"/>
  <c r="E71" i="339" s="1"/>
  <c r="M1102" i="16"/>
  <c r="M1103" i="16" s="1"/>
  <c r="E73" i="339" s="1"/>
  <c r="M2485" i="16"/>
  <c r="M2486" i="16" s="1"/>
  <c r="E154" i="339" s="1"/>
  <c r="M3674" i="16"/>
  <c r="M3675" i="16" s="1"/>
  <c r="E225" i="339" s="1"/>
  <c r="M6408" i="16"/>
  <c r="M6409" i="16" s="1"/>
  <c r="M6736" i="16"/>
  <c r="M4343" i="16"/>
  <c r="M4214" i="16"/>
  <c r="M4215" i="16"/>
  <c r="M5984" i="16"/>
  <c r="K447" i="16"/>
  <c r="M448" i="16"/>
  <c r="M449" i="16" s="1"/>
  <c r="E30" i="339" s="1"/>
  <c r="M1013" i="16"/>
  <c r="M2686" i="16"/>
  <c r="M2801" i="16"/>
  <c r="M2802" i="16" s="1"/>
  <c r="E172" i="339" s="1"/>
  <c r="M3354" i="16"/>
  <c r="M3984" i="16"/>
  <c r="H6303" i="16"/>
  <c r="H6304" i="16" s="1"/>
  <c r="H6305" i="16" s="1"/>
  <c r="I6306" i="16" s="1"/>
  <c r="M6302" i="16"/>
  <c r="M6303" i="16" s="1"/>
  <c r="M6304" i="16" s="1"/>
  <c r="M6372" i="16"/>
  <c r="M6373" i="16" s="1"/>
  <c r="M6561" i="16"/>
  <c r="M6562" i="16" s="1"/>
  <c r="E413" i="339" s="1"/>
  <c r="L135" i="351" s="1"/>
  <c r="M135" i="351" s="1"/>
  <c r="M6594" i="16"/>
  <c r="M6595" i="16" s="1"/>
  <c r="E415" i="339" s="1"/>
  <c r="L134" i="351" s="1"/>
  <c r="M134" i="351" s="1"/>
  <c r="M5809" i="16"/>
  <c r="M5810" i="16" s="1"/>
  <c r="K5808" i="16"/>
  <c r="M6167" i="16"/>
  <c r="M6168" i="16" s="1"/>
  <c r="E388" i="339" s="1"/>
  <c r="H6768" i="16"/>
  <c r="H6769" i="16" s="1"/>
  <c r="H6770" i="16" s="1"/>
  <c r="H6771" i="16" s="1"/>
  <c r="D426" i="339" s="1"/>
  <c r="J123" i="351" s="1"/>
  <c r="K123" i="351" s="1"/>
  <c r="M6767" i="16"/>
  <c r="M6768" i="16" s="1"/>
  <c r="M6769" i="16" s="1"/>
  <c r="H3800" i="16"/>
  <c r="M3799" i="16"/>
  <c r="M3800" i="16" s="1"/>
  <c r="M3801" i="16" s="1"/>
  <c r="H6832" i="16"/>
  <c r="M6831" i="16"/>
  <c r="M6832" i="16" s="1"/>
  <c r="M8990" i="16"/>
  <c r="M8995" i="16" s="1"/>
  <c r="M8974" i="16"/>
  <c r="M8979" i="16" s="1"/>
  <c r="H1284" i="16"/>
  <c r="H1285" i="16" s="1"/>
  <c r="H1286" i="16" s="1"/>
  <c r="I1287" i="16" s="1"/>
  <c r="M1281" i="16"/>
  <c r="M1284" i="16" s="1"/>
  <c r="M1285" i="16" s="1"/>
  <c r="H1140" i="16"/>
  <c r="H1141" i="16" s="1"/>
  <c r="M1137" i="16"/>
  <c r="M1140" i="16" s="1"/>
  <c r="M1141" i="16" s="1"/>
  <c r="M1142" i="16" s="1"/>
  <c r="H1223" i="16"/>
  <c r="H1224" i="16" s="1"/>
  <c r="M1220" i="16"/>
  <c r="M1223" i="16" s="1"/>
  <c r="M1224" i="16" s="1"/>
  <c r="K265" i="16"/>
  <c r="K351" i="16"/>
  <c r="M353" i="16"/>
  <c r="M352" i="16"/>
  <c r="M1225" i="16"/>
  <c r="M1265" i="16"/>
  <c r="M1372" i="16"/>
  <c r="M1834" i="16"/>
  <c r="M1882" i="16"/>
  <c r="M3336" i="16"/>
  <c r="M6545" i="16"/>
  <c r="M6546" i="16" s="1"/>
  <c r="E412" i="339" s="1"/>
  <c r="L133" i="351" s="1"/>
  <c r="M133" i="351" s="1"/>
  <c r="N133" i="351" s="1"/>
  <c r="K6544" i="16"/>
  <c r="M6737" i="16"/>
  <c r="M4133" i="16"/>
  <c r="M4134" i="16" s="1"/>
  <c r="M4457" i="16"/>
  <c r="M4458" i="16"/>
  <c r="E277" i="339" s="1"/>
  <c r="L112" i="351" s="1"/>
  <c r="M112" i="351" s="1"/>
  <c r="M5138" i="16"/>
  <c r="M5139" i="16" s="1"/>
  <c r="E320" i="339" s="1"/>
  <c r="L114" i="351" s="1"/>
  <c r="M114" i="351" s="1"/>
  <c r="M593" i="16"/>
  <c r="M997" i="16"/>
  <c r="M998" i="16" s="1"/>
  <c r="M999" i="16" s="1"/>
  <c r="E67" i="339" s="1"/>
  <c r="L42" i="351" s="1"/>
  <c r="M42" i="351" s="1"/>
  <c r="M1326" i="16"/>
  <c r="M1327" i="16" s="1"/>
  <c r="E84" i="339" s="1"/>
  <c r="M3087" i="16"/>
  <c r="M3088" i="16" s="1"/>
  <c r="E192" i="339" s="1"/>
  <c r="L60" i="351" s="1"/>
  <c r="M60" i="351" s="1"/>
  <c r="M6356" i="16"/>
  <c r="M6357" i="16"/>
  <c r="E401" i="339" s="1"/>
  <c r="L129" i="351" s="1"/>
  <c r="M129" i="351" s="1"/>
  <c r="M6833" i="16"/>
  <c r="M5218" i="16"/>
  <c r="M5219" i="16" s="1"/>
  <c r="E325" i="339" s="1"/>
  <c r="L56" i="351" s="1"/>
  <c r="M56" i="351" s="1"/>
  <c r="N56" i="351" s="1"/>
  <c r="M6150" i="16"/>
  <c r="M6151" i="16"/>
  <c r="E387" i="339" s="1"/>
  <c r="M267" i="16"/>
  <c r="E16" i="339" s="1"/>
  <c r="L27" i="351" s="1"/>
  <c r="M27" i="351" s="1"/>
  <c r="M266" i="16"/>
  <c r="H2800" i="16"/>
  <c r="K2800" i="16" s="1"/>
  <c r="H2495" i="16"/>
  <c r="H4456" i="16"/>
  <c r="H4457" i="16" s="1"/>
  <c r="H4458" i="16" s="1"/>
  <c r="G261" i="343"/>
  <c r="G262" i="343" s="1"/>
  <c r="H263" i="343" s="1"/>
  <c r="G263" i="343" s="1"/>
  <c r="G79" i="343"/>
  <c r="G80" i="343" s="1"/>
  <c r="H81" i="343" s="1"/>
  <c r="G81" i="343" s="1"/>
  <c r="G100" i="343"/>
  <c r="G101" i="343" s="1"/>
  <c r="H102" i="343" s="1"/>
  <c r="G102" i="343" s="1"/>
  <c r="D542" i="339"/>
  <c r="H1202" i="16"/>
  <c r="H1120" i="16"/>
  <c r="R8860" i="16"/>
  <c r="R8866" i="16" s="1"/>
  <c r="R8867" i="16" s="1"/>
  <c r="R8868" i="16" s="1"/>
  <c r="G201" i="343"/>
  <c r="G202" i="343" s="1"/>
  <c r="H203" i="343" s="1"/>
  <c r="G203" i="343" s="1"/>
  <c r="X13" i="346"/>
  <c r="AA8860" i="16"/>
  <c r="AA8866" i="16" s="1"/>
  <c r="AA8867" i="16" s="1"/>
  <c r="AA8868" i="16" s="1"/>
  <c r="G9176" i="16"/>
  <c r="Q9143" i="16"/>
  <c r="R9143" i="16" s="1"/>
  <c r="R9126" i="16"/>
  <c r="H9142" i="16"/>
  <c r="G182" i="343"/>
  <c r="G183" i="343" s="1"/>
  <c r="H184" i="343" s="1"/>
  <c r="G184" i="343" s="1"/>
  <c r="H9127" i="16"/>
  <c r="Q9142" i="16"/>
  <c r="R9142" i="16" s="1"/>
  <c r="R9125" i="16"/>
  <c r="G121" i="343"/>
  <c r="G122" i="343" s="1"/>
  <c r="H123" i="343" s="1"/>
  <c r="G123" i="343" s="1"/>
  <c r="G37" i="343"/>
  <c r="G38" i="343" s="1"/>
  <c r="H39" i="343" s="1"/>
  <c r="G39" i="343" s="1"/>
  <c r="X28" i="346"/>
  <c r="G58" i="343"/>
  <c r="G59" i="343" s="1"/>
  <c r="H60" i="343" s="1"/>
  <c r="G60" i="343" s="1"/>
  <c r="H8382" i="16"/>
  <c r="H8383" i="16" s="1"/>
  <c r="H8384" i="16" s="1"/>
  <c r="D518" i="339" s="1"/>
  <c r="G8305" i="16"/>
  <c r="H8305" i="16" s="1"/>
  <c r="H6255" i="16"/>
  <c r="H6256" i="16" s="1"/>
  <c r="I6257" i="16" s="1"/>
  <c r="G163" i="343"/>
  <c r="G164" i="343" s="1"/>
  <c r="H165" i="343" s="1"/>
  <c r="G165" i="343" s="1"/>
  <c r="G142" i="343"/>
  <c r="G143" i="343" s="1"/>
  <c r="H144" i="343" s="1"/>
  <c r="G144" i="343" s="1"/>
  <c r="H6203" i="16"/>
  <c r="H6204" i="16" s="1"/>
  <c r="H6205" i="16" s="1"/>
  <c r="D390" i="339" s="1"/>
  <c r="H4196" i="16"/>
  <c r="H4197" i="16" s="1"/>
  <c r="I4198" i="16" s="1"/>
  <c r="H5713" i="16"/>
  <c r="H5714" i="16" s="1"/>
  <c r="H5715" i="16" s="1"/>
  <c r="D358" i="339" s="1"/>
  <c r="H2330" i="16"/>
  <c r="H2331" i="16" s="1"/>
  <c r="H2332" i="16" s="1"/>
  <c r="D143" i="339" s="1"/>
  <c r="G7887" i="16"/>
  <c r="H7887" i="16" s="1"/>
  <c r="H5334" i="16"/>
  <c r="H5335" i="16" s="1"/>
  <c r="H5336" i="16" s="1"/>
  <c r="D332" i="339" s="1"/>
  <c r="H6115" i="16"/>
  <c r="H6116" i="16" s="1"/>
  <c r="I6117" i="16" s="1"/>
  <c r="H3849" i="16"/>
  <c r="H3850" i="16" s="1"/>
  <c r="H3851" i="16" s="1"/>
  <c r="D236" i="339" s="1"/>
  <c r="G7881" i="16"/>
  <c r="H7881" i="16" s="1"/>
  <c r="H7115" i="16"/>
  <c r="H8701" i="16"/>
  <c r="H8702" i="16" s="1"/>
  <c r="H8703" i="16" s="1"/>
  <c r="H8704" i="16" s="1"/>
  <c r="D533" i="339" s="1"/>
  <c r="H7878" i="16"/>
  <c r="H8476" i="16"/>
  <c r="H8477" i="16" s="1"/>
  <c r="H8478" i="16" s="1"/>
  <c r="D523" i="339" s="1"/>
  <c r="H2261" i="16"/>
  <c r="H2262" i="16" s="1"/>
  <c r="H1507" i="16"/>
  <c r="H1508" i="16" s="1"/>
  <c r="H1509" i="16" s="1"/>
  <c r="D93" i="339" s="1"/>
  <c r="H3069" i="16"/>
  <c r="H3070" i="16" s="1"/>
  <c r="H3071" i="16" s="1"/>
  <c r="D189" i="339" s="1"/>
  <c r="H842" i="16"/>
  <c r="H844" i="16" s="1"/>
  <c r="H845" i="16" s="1"/>
  <c r="H846" i="16" s="1"/>
  <c r="H847" i="16" s="1"/>
  <c r="D58" i="339" s="1"/>
  <c r="H6849" i="16"/>
  <c r="H6850" i="16" s="1"/>
  <c r="H6851" i="16" s="1"/>
  <c r="H8530" i="16"/>
  <c r="H8531" i="16" s="1"/>
  <c r="H8532" i="16" s="1"/>
  <c r="D526" i="339" s="1"/>
  <c r="H4376" i="16"/>
  <c r="H4377" i="16" s="1"/>
  <c r="I4378" i="16" s="1"/>
  <c r="H3931" i="16"/>
  <c r="H3932" i="16" s="1"/>
  <c r="H3933" i="16" s="1"/>
  <c r="D241" i="339" s="1"/>
  <c r="H8416" i="16"/>
  <c r="H8417" i="16" s="1"/>
  <c r="H8418" i="16" s="1"/>
  <c r="D520" i="339" s="1"/>
  <c r="H753" i="16"/>
  <c r="H754" i="16" s="1"/>
  <c r="I755" i="16" s="1"/>
  <c r="H4016" i="16"/>
  <c r="H4017" i="16" s="1"/>
  <c r="H4018" i="16" s="1"/>
  <c r="H4019" i="16" s="1"/>
  <c r="D246" i="339" s="1"/>
  <c r="H4000" i="16"/>
  <c r="H4001" i="16" s="1"/>
  <c r="I4002" i="16" s="1"/>
  <c r="H6355" i="16"/>
  <c r="H6356" i="16" s="1"/>
  <c r="H6357" i="16" s="1"/>
  <c r="D401" i="339" s="1"/>
  <c r="J129" i="351" s="1"/>
  <c r="K129" i="351" s="1"/>
  <c r="G7913" i="16"/>
  <c r="H7913" i="16" s="1"/>
  <c r="H2179" i="16"/>
  <c r="H2180" i="16" s="1"/>
  <c r="I2181" i="16" s="1"/>
  <c r="H8942" i="16"/>
  <c r="H8947" i="16" s="1"/>
  <c r="H8948" i="16" s="1"/>
  <c r="H8949" i="16" s="1"/>
  <c r="H389" i="16"/>
  <c r="D25" i="339" s="1"/>
  <c r="H3103" i="16"/>
  <c r="H3104" i="16" s="1"/>
  <c r="H3105" i="16" s="1"/>
  <c r="D193" i="339" s="1"/>
  <c r="H4295" i="16"/>
  <c r="H4296" i="16" s="1"/>
  <c r="I4297" i="16" s="1"/>
  <c r="G7883" i="16"/>
  <c r="H7883" i="16" s="1"/>
  <c r="H2228" i="16"/>
  <c r="H2229" i="16" s="1"/>
  <c r="H2230" i="16" s="1"/>
  <c r="H1865" i="16"/>
  <c r="H1866" i="16" s="1"/>
  <c r="H1867" i="16" s="1"/>
  <c r="H7884" i="16"/>
  <c r="H4472" i="16"/>
  <c r="H4473" i="16" s="1"/>
  <c r="H4474" i="16" s="1"/>
  <c r="D278" i="339" s="1"/>
  <c r="H4800" i="16"/>
  <c r="H4801" i="16" s="1"/>
  <c r="I4802" i="16" s="1"/>
  <c r="H5984" i="16"/>
  <c r="H5985" i="16" s="1"/>
  <c r="H5986" i="16" s="1"/>
  <c r="H5385" i="16"/>
  <c r="H5386" i="16" s="1"/>
  <c r="H5387" i="16" s="1"/>
  <c r="D335" i="339" s="1"/>
  <c r="H3264" i="16"/>
  <c r="H3265" i="16" s="1"/>
  <c r="H3266" i="16" s="1"/>
  <c r="D202" i="339" s="1"/>
  <c r="H7850" i="16"/>
  <c r="H4488" i="16"/>
  <c r="H4489" i="16" s="1"/>
  <c r="I4490" i="16" s="1"/>
  <c r="H5007" i="16"/>
  <c r="H5008" i="16" s="1"/>
  <c r="I5009" i="16" s="1"/>
  <c r="H3408" i="16"/>
  <c r="H3409" i="16" s="1"/>
  <c r="I3410" i="16" s="1"/>
  <c r="H4180" i="16"/>
  <c r="H4181" i="16" s="1"/>
  <c r="H4182" i="16" s="1"/>
  <c r="D258" i="339" s="1"/>
  <c r="H6801" i="16"/>
  <c r="H6802" i="16" s="1"/>
  <c r="I6803" i="16" s="1"/>
  <c r="H4852" i="16"/>
  <c r="H4853" i="16" s="1"/>
  <c r="I4854" i="16" s="1"/>
  <c r="H8860" i="16"/>
  <c r="H8866" i="16" s="1"/>
  <c r="H8867" i="16" s="1"/>
  <c r="H8868" i="16" s="1"/>
  <c r="D551" i="339" s="1"/>
  <c r="H3899" i="16"/>
  <c r="H3900" i="16" s="1"/>
  <c r="H3901" i="16" s="1"/>
  <c r="D239" i="339" s="1"/>
  <c r="H6593" i="16"/>
  <c r="H6594" i="16" s="1"/>
  <c r="H6595" i="16" s="1"/>
  <c r="D415" i="339" s="1"/>
  <c r="J134" i="351" s="1"/>
  <c r="K134" i="351" s="1"/>
  <c r="H3571" i="16"/>
  <c r="H3572" i="16" s="1"/>
  <c r="I3573" i="16" s="1"/>
  <c r="H3587" i="16"/>
  <c r="H3588" i="16" s="1"/>
  <c r="H3589" i="16" s="1"/>
  <c r="D220" i="339" s="1"/>
  <c r="H4834" i="16"/>
  <c r="H4835" i="16" s="1"/>
  <c r="I4836" i="16" s="1"/>
  <c r="H4768" i="16"/>
  <c r="H4769" i="16" s="1"/>
  <c r="H4770" i="16" s="1"/>
  <c r="D298" i="339" s="1"/>
  <c r="H3603" i="16"/>
  <c r="H3604" i="16" s="1"/>
  <c r="I3605" i="16" s="1"/>
  <c r="H64" i="16"/>
  <c r="H65" i="16" s="1"/>
  <c r="H66" i="16" s="1"/>
  <c r="D6" i="339" s="1"/>
  <c r="H6899" i="16"/>
  <c r="H6900" i="16" s="1"/>
  <c r="H6901" i="16" s="1"/>
  <c r="D434" i="339" s="1"/>
  <c r="H5433" i="16"/>
  <c r="H5441" i="16" s="1"/>
  <c r="H5201" i="16"/>
  <c r="H5202" i="16" s="1"/>
  <c r="I5203" i="16" s="1"/>
  <c r="H2928" i="16"/>
  <c r="H2929" i="16" s="1"/>
  <c r="H2930" i="16" s="1"/>
  <c r="D180" i="339" s="1"/>
  <c r="H5298" i="16"/>
  <c r="H5137" i="16"/>
  <c r="H5138" i="16" s="1"/>
  <c r="H5139" i="16" s="1"/>
  <c r="H8725" i="16"/>
  <c r="H8726" i="16" s="1"/>
  <c r="H8727" i="16" s="1"/>
  <c r="H8728" i="16" s="1"/>
  <c r="D534" i="339" s="1"/>
  <c r="H8505" i="16"/>
  <c r="H8512" i="16" s="1"/>
  <c r="H8513" i="16" s="1"/>
  <c r="H8514" i="16" s="1"/>
  <c r="D525" i="339" s="1"/>
  <c r="H4247" i="16"/>
  <c r="H4248" i="16" s="1"/>
  <c r="H4249" i="16" s="1"/>
  <c r="D262" i="339" s="1"/>
  <c r="H5905" i="16"/>
  <c r="H5906" i="16" s="1"/>
  <c r="H5907" i="16" s="1"/>
  <c r="D372" i="339" s="1"/>
  <c r="H2065" i="16"/>
  <c r="H2066" i="16" s="1"/>
  <c r="H2067" i="16" s="1"/>
  <c r="D128" i="339" s="1"/>
  <c r="H2296" i="16"/>
  <c r="H2297" i="16" s="1"/>
  <c r="I2298" i="16" s="1"/>
  <c r="H2032" i="16"/>
  <c r="H2033" i="16" s="1"/>
  <c r="H2034" i="16" s="1"/>
  <c r="D126" i="339" s="1"/>
  <c r="H3138" i="16"/>
  <c r="H3139" i="16" s="1"/>
  <c r="H3140" i="16" s="1"/>
  <c r="D195" i="339" s="1"/>
  <c r="H7845" i="16"/>
  <c r="H4670" i="16"/>
  <c r="H4671" i="16" s="1"/>
  <c r="H4672" i="16" s="1"/>
  <c r="D290" i="339" s="1"/>
  <c r="H4327" i="16"/>
  <c r="H4328" i="16" s="1"/>
  <c r="H4329" i="16" s="1"/>
  <c r="D267" i="339" s="1"/>
  <c r="H4408" i="16"/>
  <c r="H4409" i="16" s="1"/>
  <c r="H4410" i="16" s="1"/>
  <c r="D274" i="339" s="1"/>
  <c r="H4343" i="16"/>
  <c r="H4344" i="16" s="1"/>
  <c r="H4345" i="16" s="1"/>
  <c r="D268" i="339" s="1"/>
  <c r="H5315" i="16"/>
  <c r="H2735" i="16"/>
  <c r="H2736" i="16" s="1"/>
  <c r="H2737" i="16" s="1"/>
  <c r="D166" i="339" s="1"/>
  <c r="H4114" i="16"/>
  <c r="H4115" i="16" s="1"/>
  <c r="I4116" i="16" s="1"/>
  <c r="H7846" i="16"/>
  <c r="H8826" i="16"/>
  <c r="H8832" i="16" s="1"/>
  <c r="H8833" i="16" s="1"/>
  <c r="H8834" i="16" s="1"/>
  <c r="D549" i="339" s="1"/>
  <c r="H8758" i="16"/>
  <c r="H8764" i="16" s="1"/>
  <c r="H6737" i="16"/>
  <c r="H6738" i="16" s="1"/>
  <c r="H6739" i="16" s="1"/>
  <c r="D424" i="339" s="1"/>
  <c r="J122" i="351" s="1"/>
  <c r="K122" i="351" s="1"/>
  <c r="H4504" i="16"/>
  <c r="H4505" i="16" s="1"/>
  <c r="H4506" i="16" s="1"/>
  <c r="D280" i="339" s="1"/>
  <c r="H4654" i="16"/>
  <c r="H4655" i="16" s="1"/>
  <c r="I4656" i="16" s="1"/>
  <c r="H5250" i="16"/>
  <c r="H5251" i="16" s="1"/>
  <c r="H5252" i="16" s="1"/>
  <c r="D327" i="339" s="1"/>
  <c r="H6271" i="16"/>
  <c r="H6272" i="16" s="1"/>
  <c r="I6273" i="16" s="1"/>
  <c r="H2049" i="16"/>
  <c r="H2050" i="16" s="1"/>
  <c r="I2051" i="16" s="1"/>
  <c r="H2279" i="16"/>
  <c r="H2280" i="16" s="1"/>
  <c r="I2281" i="16" s="1"/>
  <c r="H5745" i="16"/>
  <c r="H5746" i="16" s="1"/>
  <c r="I5747" i="16" s="1"/>
  <c r="H8792" i="16"/>
  <c r="H8798" i="16" s="1"/>
  <c r="H8799" i="16" s="1"/>
  <c r="H8800" i="16" s="1"/>
  <c r="D547" i="339" s="1"/>
  <c r="G4048" i="16"/>
  <c r="H4048" i="16" s="1"/>
  <c r="H4031" i="16"/>
  <c r="H860" i="16"/>
  <c r="G878" i="16"/>
  <c r="H878" i="16" s="1"/>
  <c r="H880" i="16" s="1"/>
  <c r="H881" i="16" s="1"/>
  <c r="G7877" i="16"/>
  <c r="G7911" i="16" s="1"/>
  <c r="H7911" i="16" s="1"/>
  <c r="H8809" i="16"/>
  <c r="H8815" i="16" s="1"/>
  <c r="H8816" i="16" s="1"/>
  <c r="H8817" i="16" s="1"/>
  <c r="D548" i="339" s="1"/>
  <c r="H4132" i="16"/>
  <c r="H4133" i="16" s="1"/>
  <c r="I4134" i="16" s="1"/>
  <c r="H7822" i="16"/>
  <c r="H4638" i="16"/>
  <c r="H4639" i="16" s="1"/>
  <c r="I4640" i="16" s="1"/>
  <c r="H8494" i="16"/>
  <c r="H8495" i="16" s="1"/>
  <c r="H8496" i="16" s="1"/>
  <c r="D524" i="339" s="1"/>
  <c r="H1669" i="16"/>
  <c r="H1670" i="16" s="1"/>
  <c r="I1671" i="16" s="1"/>
  <c r="H3833" i="16"/>
  <c r="H3834" i="16" s="1"/>
  <c r="I3835" i="16" s="1"/>
  <c r="H8642" i="16"/>
  <c r="H4973" i="16"/>
  <c r="H4974" i="16" s="1"/>
  <c r="I4975" i="16" s="1"/>
  <c r="H8677" i="16"/>
  <c r="H8877" i="16"/>
  <c r="H8883" i="16" s="1"/>
  <c r="H8884" i="16" s="1"/>
  <c r="H8885" i="16" s="1"/>
  <c r="D552" i="339" s="1"/>
  <c r="H1013" i="16"/>
  <c r="H1014" i="16" s="1"/>
  <c r="H1015" i="16" s="1"/>
  <c r="H2801" i="16"/>
  <c r="H2802" i="16" s="1"/>
  <c r="D172" i="339" s="1"/>
  <c r="J105" i="351" s="1"/>
  <c r="K105" i="351" s="1"/>
  <c r="H3767" i="16"/>
  <c r="H3768" i="16" s="1"/>
  <c r="H3769" i="16" s="1"/>
  <c r="D230" i="339" s="1"/>
  <c r="H6560" i="16"/>
  <c r="H6561" i="16" s="1"/>
  <c r="I6562" i="16" s="1"/>
  <c r="G7889" i="16"/>
  <c r="G7923" i="16" s="1"/>
  <c r="H7923" i="16" s="1"/>
  <c r="H4520" i="16"/>
  <c r="H4521" i="16" s="1"/>
  <c r="H4522" i="16" s="1"/>
  <c r="D281" i="339" s="1"/>
  <c r="H4922" i="16"/>
  <c r="H4923" i="16" s="1"/>
  <c r="I4924" i="16" s="1"/>
  <c r="H5233" i="16"/>
  <c r="H5234" i="16" s="1"/>
  <c r="I5235" i="16" s="1"/>
  <c r="H5369" i="16"/>
  <c r="H5370" i="16" s="1"/>
  <c r="H5371" i="16" s="1"/>
  <c r="D334" i="339" s="1"/>
  <c r="H1325" i="16"/>
  <c r="H1326" i="16" s="1"/>
  <c r="H1327" i="16" s="1"/>
  <c r="D84" i="339" s="1"/>
  <c r="H2880" i="16"/>
  <c r="H2881" i="16" s="1"/>
  <c r="H2882" i="16" s="1"/>
  <c r="D177" i="339" s="1"/>
  <c r="H2015" i="16"/>
  <c r="H2016" i="16" s="1"/>
  <c r="H2017" i="16" s="1"/>
  <c r="D125" i="339" s="1"/>
  <c r="G9163" i="16"/>
  <c r="H8195" i="16"/>
  <c r="H4686" i="16"/>
  <c r="H4687" i="16" s="1"/>
  <c r="H4688" i="16" s="1"/>
  <c r="D291" i="339" s="1"/>
  <c r="H5788" i="16"/>
  <c r="H22" i="16"/>
  <c r="H23" i="16" s="1"/>
  <c r="I24" i="16" s="1"/>
  <c r="H643" i="16"/>
  <c r="H644" i="16" s="1"/>
  <c r="I645" i="16" s="1"/>
  <c r="H6833" i="16"/>
  <c r="H6834" i="16" s="1"/>
  <c r="I6835" i="16" s="1"/>
  <c r="H4719" i="16"/>
  <c r="H4720" i="16" s="1"/>
  <c r="I4721" i="16" s="1"/>
  <c r="H6576" i="16"/>
  <c r="H6577" i="16" s="1"/>
  <c r="I6578" i="16" s="1"/>
  <c r="H4816" i="16"/>
  <c r="H4817" i="16" s="1"/>
  <c r="H4818" i="16" s="1"/>
  <c r="D301" i="339" s="1"/>
  <c r="H2651" i="16"/>
  <c r="H2652" i="16" s="1"/>
  <c r="H2653" i="16" s="1"/>
  <c r="D161" i="339" s="1"/>
  <c r="H3498" i="16"/>
  <c r="H3499" i="16" s="1"/>
  <c r="H3500" i="16" s="1"/>
  <c r="D215" i="339" s="1"/>
  <c r="H8177" i="16"/>
  <c r="H8178" i="16" s="1"/>
  <c r="G7873" i="16"/>
  <c r="H2313" i="16"/>
  <c r="H2314" i="16" s="1"/>
  <c r="H2315" i="16" s="1"/>
  <c r="D142" i="339" s="1"/>
  <c r="H6132" i="16"/>
  <c r="H6133" i="16" s="1"/>
  <c r="I6134" i="16" s="1"/>
  <c r="H1631" i="16"/>
  <c r="H1632" i="16" s="1"/>
  <c r="H1633" i="16" s="1"/>
  <c r="D101" i="339" s="1"/>
  <c r="H4065" i="16"/>
  <c r="H4066" i="16" s="1"/>
  <c r="H4067" i="16" s="1"/>
  <c r="M279" i="16"/>
  <c r="H200" i="16"/>
  <c r="H201" i="16" s="1"/>
  <c r="H202" i="16" s="1"/>
  <c r="D13" i="339" s="1"/>
  <c r="H3915" i="16"/>
  <c r="H3916" i="16" s="1"/>
  <c r="H3917" i="16" s="1"/>
  <c r="D240" i="339" s="1"/>
  <c r="H2082" i="16"/>
  <c r="H2083" i="16" s="1"/>
  <c r="H2084" i="16" s="1"/>
  <c r="D129" i="339" s="1"/>
  <c r="H698" i="16"/>
  <c r="H699" i="16" s="1"/>
  <c r="I700" i="16" s="1"/>
  <c r="D48" i="339" s="1"/>
  <c r="H935" i="16"/>
  <c r="H936" i="16" s="1"/>
  <c r="H937" i="16" s="1"/>
  <c r="D63" i="339" s="1"/>
  <c r="H3174" i="16"/>
  <c r="H3175" i="16" s="1"/>
  <c r="H3176" i="16" s="1"/>
  <c r="D197" i="339" s="1"/>
  <c r="H2784" i="16"/>
  <c r="H2785" i="16" s="1"/>
  <c r="H2786" i="16" s="1"/>
  <c r="H6785" i="16"/>
  <c r="H6786" i="16" s="1"/>
  <c r="H6787" i="16" s="1"/>
  <c r="D427" i="339" s="1"/>
  <c r="H9117" i="16"/>
  <c r="H9118" i="16" s="1"/>
  <c r="H9119" i="16" s="1"/>
  <c r="D566" i="339" s="1"/>
  <c r="H1692" i="16"/>
  <c r="H1693" i="16" s="1"/>
  <c r="H1694" i="16" s="1"/>
  <c r="D103" i="339" s="1"/>
  <c r="H1302" i="16"/>
  <c r="H1303" i="16" s="1"/>
  <c r="H1304" i="16" s="1"/>
  <c r="D83" i="339" s="1"/>
  <c r="H1764" i="16"/>
  <c r="D107" i="339" s="1"/>
  <c r="H2976" i="16"/>
  <c r="H2977" i="16" s="1"/>
  <c r="H2978" i="16" s="1"/>
  <c r="D183" i="339" s="1"/>
  <c r="H3801" i="16"/>
  <c r="H3802" i="16" s="1"/>
  <c r="H3803" i="16" s="1"/>
  <c r="H3516" i="16"/>
  <c r="H3517" i="16" s="1"/>
  <c r="I3518" i="16" s="1"/>
  <c r="H2347" i="16"/>
  <c r="H2348" i="16" s="1"/>
  <c r="H3619" i="16"/>
  <c r="H3620" i="16" s="1"/>
  <c r="H3621" i="16" s="1"/>
  <c r="D222" i="339" s="1"/>
  <c r="H9087" i="16"/>
  <c r="H9088" i="16" s="1"/>
  <c r="H9089" i="16" s="1"/>
  <c r="D565" i="339" s="1"/>
  <c r="G221" i="343"/>
  <c r="G222" i="343" s="1"/>
  <c r="H223" i="343" s="1"/>
  <c r="G223" i="343" s="1"/>
  <c r="H4213" i="16"/>
  <c r="H4214" i="16" s="1"/>
  <c r="H4215" i="16" s="1"/>
  <c r="D260" i="339" s="1"/>
  <c r="H7840" i="16"/>
  <c r="G7874" i="16"/>
  <c r="H7096" i="16"/>
  <c r="G7888" i="16"/>
  <c r="H7854" i="16"/>
  <c r="H47" i="350"/>
  <c r="H52" i="350" s="1"/>
  <c r="D540" i="339" s="1"/>
  <c r="D539" i="339"/>
  <c r="J8" i="351"/>
  <c r="H3986" i="16"/>
  <c r="H717" i="16"/>
  <c r="H718" i="16" s="1"/>
  <c r="H719" i="16" s="1"/>
  <c r="D51" i="339" s="1"/>
  <c r="H2703" i="16"/>
  <c r="H2704" i="16" s="1"/>
  <c r="I2705" i="16" s="1"/>
  <c r="D164" i="339" s="1"/>
  <c r="H8990" i="16"/>
  <c r="H8995" i="16" s="1"/>
  <c r="H8996" i="16" s="1"/>
  <c r="H8997" i="16" s="1"/>
  <c r="D559" i="339" s="1"/>
  <c r="J143" i="351" s="1"/>
  <c r="K143" i="351" s="1"/>
  <c r="H3709" i="16"/>
  <c r="H3710" i="16" s="1"/>
  <c r="H3711" i="16" s="1"/>
  <c r="D227" i="339" s="1"/>
  <c r="H9022" i="16"/>
  <c r="H9027" i="16" s="1"/>
  <c r="H9028" i="16" s="1"/>
  <c r="H9029" i="16" s="1"/>
  <c r="D561" i="339" s="1"/>
  <c r="H8910" i="16"/>
  <c r="H8915" i="16" s="1"/>
  <c r="H8916" i="16" s="1"/>
  <c r="H8917" i="16" s="1"/>
  <c r="D554" i="339" s="1"/>
  <c r="H6705" i="16"/>
  <c r="H6706" i="16" s="1"/>
  <c r="I6707" i="16" s="1"/>
  <c r="H6184" i="16"/>
  <c r="H6185" i="16" s="1"/>
  <c r="I6186" i="16" s="1"/>
  <c r="H6220" i="16"/>
  <c r="H6221" i="16" s="1"/>
  <c r="H6222" i="16" s="1"/>
  <c r="D391" i="339" s="1"/>
  <c r="H6239" i="16"/>
  <c r="H6240" i="16" s="1"/>
  <c r="I6241" i="16" s="1"/>
  <c r="H6166" i="16"/>
  <c r="H6167" i="16" s="1"/>
  <c r="I6168" i="16" s="1"/>
  <c r="H6035" i="16"/>
  <c r="H6036" i="16" s="1"/>
  <c r="H6037" i="16" s="1"/>
  <c r="D380" i="339" s="1"/>
  <c r="H6067" i="16"/>
  <c r="H6068" i="16" s="1"/>
  <c r="I6069" i="16" s="1"/>
  <c r="H6001" i="16"/>
  <c r="H6002" i="16" s="1"/>
  <c r="I6003" i="16" s="1"/>
  <c r="H6018" i="16"/>
  <c r="H6019" i="16" s="1"/>
  <c r="I6020" i="16" s="1"/>
  <c r="H4229" i="16"/>
  <c r="H4230" i="16" s="1"/>
  <c r="I4231" i="16" s="1"/>
  <c r="H4311" i="16"/>
  <c r="H4312" i="16" s="1"/>
  <c r="I4313" i="16" s="1"/>
  <c r="H4622" i="16"/>
  <c r="H4623" i="16" s="1"/>
  <c r="H4624" i="16" s="1"/>
  <c r="D287" i="339" s="1"/>
  <c r="H4589" i="16"/>
  <c r="H4590" i="16" s="1"/>
  <c r="I4591" i="16" s="1"/>
  <c r="H4279" i="16"/>
  <c r="H4280" i="16" s="1"/>
  <c r="H4281" i="16" s="1"/>
  <c r="D264" i="339" s="1"/>
  <c r="H3318" i="16"/>
  <c r="H3319" i="16" s="1"/>
  <c r="H3320" i="16" s="1"/>
  <c r="D205" i="339" s="1"/>
  <c r="H3555" i="16"/>
  <c r="H3556" i="16" s="1"/>
  <c r="I3557" i="16" s="1"/>
  <c r="H3354" i="16"/>
  <c r="H3355" i="16" s="1"/>
  <c r="H3356" i="16" s="1"/>
  <c r="H2912" i="16"/>
  <c r="H2913" i="16" s="1"/>
  <c r="H2914" i="16" s="1"/>
  <c r="D179" i="339" s="1"/>
  <c r="H2960" i="16"/>
  <c r="H2961" i="16" s="1"/>
  <c r="H2962" i="16" s="1"/>
  <c r="D182" i="339" s="1"/>
  <c r="H2484" i="16"/>
  <c r="H2485" i="16" s="1"/>
  <c r="I2486" i="16" s="1"/>
  <c r="H5282" i="16"/>
  <c r="H5283" i="16" s="1"/>
  <c r="I5284" i="16" s="1"/>
  <c r="H4082" i="16"/>
  <c r="H4083" i="16" s="1"/>
  <c r="H4084" i="16" s="1"/>
  <c r="D252" i="339" s="1"/>
  <c r="H4736" i="16"/>
  <c r="H4737" i="16" s="1"/>
  <c r="H4738" i="16" s="1"/>
  <c r="D296" i="339" s="1"/>
  <c r="H1372" i="16"/>
  <c r="H1373" i="16" s="1"/>
  <c r="I1374" i="16" s="1"/>
  <c r="H4939" i="16"/>
  <c r="H5185" i="16"/>
  <c r="H5186" i="16" s="1"/>
  <c r="I5187" i="16" s="1"/>
  <c r="H4539" i="16"/>
  <c r="H4540" i="16" s="1"/>
  <c r="I4541" i="16" s="1"/>
  <c r="H5120" i="16"/>
  <c r="H5121" i="16" s="1"/>
  <c r="I5122" i="16" s="1"/>
  <c r="H5088" i="16"/>
  <c r="H5089" i="16" s="1"/>
  <c r="H5090" i="16" s="1"/>
  <c r="D317" i="339" s="1"/>
  <c r="H4164" i="16"/>
  <c r="H4165" i="16" s="1"/>
  <c r="H4166" i="16" s="1"/>
  <c r="D257" i="339" s="1"/>
  <c r="H44" i="16"/>
  <c r="H45" i="16" s="1"/>
  <c r="H46" i="16" s="1"/>
  <c r="D5" i="339" s="1"/>
  <c r="H1161" i="16"/>
  <c r="H1162" i="16" s="1"/>
  <c r="H1163" i="16" s="1"/>
  <c r="H1164" i="16" s="1"/>
  <c r="D76" i="339" s="1"/>
  <c r="H1101" i="16"/>
  <c r="H1102" i="16" s="1"/>
  <c r="H1103" i="16" s="1"/>
  <c r="D73" i="339" s="1"/>
  <c r="H1030" i="16"/>
  <c r="H1031" i="16" s="1"/>
  <c r="H1032" i="16" s="1"/>
  <c r="H1033" i="16" s="1"/>
  <c r="D69" i="339" s="1"/>
  <c r="H791" i="16"/>
  <c r="H792" i="16" s="1"/>
  <c r="I793" i="16" s="1"/>
  <c r="G6489" i="16" s="1"/>
  <c r="H6489" i="16" s="1"/>
  <c r="H3336" i="16"/>
  <c r="H3337" i="16" s="1"/>
  <c r="H3338" i="16" s="1"/>
  <c r="H2468" i="16"/>
  <c r="H2469" i="16" s="1"/>
  <c r="I2470" i="16" s="1"/>
  <c r="H2768" i="16"/>
  <c r="H2769" i="16" s="1"/>
  <c r="I2770" i="16" s="1"/>
  <c r="H2864" i="16"/>
  <c r="H2865" i="16" s="1"/>
  <c r="I2866" i="16" s="1"/>
  <c r="H6967" i="16"/>
  <c r="H6968" i="16" s="1"/>
  <c r="I6969" i="16" s="1"/>
  <c r="H2832" i="16"/>
  <c r="H2833" i="16" s="1"/>
  <c r="H2834" i="16" s="1"/>
  <c r="D174" i="339" s="1"/>
  <c r="H3948" i="16"/>
  <c r="H3949" i="16" s="1"/>
  <c r="I3950" i="16" s="1"/>
  <c r="D242" i="339" s="1"/>
  <c r="H2944" i="16"/>
  <c r="H2945" i="16" s="1"/>
  <c r="I2946" i="16" s="1"/>
  <c r="H3673" i="16"/>
  <c r="H3674" i="16" s="1"/>
  <c r="H3675" i="16" s="1"/>
  <c r="D225" i="339" s="1"/>
  <c r="H4557" i="16"/>
  <c r="H4558" i="16" s="1"/>
  <c r="H4559" i="16" s="1"/>
  <c r="H559" i="16"/>
  <c r="H560" i="16" s="1"/>
  <c r="I561" i="16" s="1"/>
  <c r="H2451" i="16"/>
  <c r="H2452" i="16" s="1"/>
  <c r="H2453" i="16" s="1"/>
  <c r="D152" i="339" s="1"/>
  <c r="G7977" i="16" s="1"/>
  <c r="H2752" i="16"/>
  <c r="H2753" i="16" s="1"/>
  <c r="H2754" i="16" s="1"/>
  <c r="D169" i="339" s="1"/>
  <c r="H2848" i="16"/>
  <c r="H2849" i="16" s="1"/>
  <c r="H2850" i="16" s="1"/>
  <c r="D175" i="339" s="1"/>
  <c r="H6933" i="16"/>
  <c r="H6934" i="16" s="1"/>
  <c r="I6935" i="16" s="1"/>
  <c r="H515" i="16"/>
  <c r="H516" i="16" s="1"/>
  <c r="H517" i="16" s="1"/>
  <c r="H110" i="16"/>
  <c r="H111" i="16" s="1"/>
  <c r="I112" i="16" s="1"/>
  <c r="H3372" i="16"/>
  <c r="H3373" i="16" s="1"/>
  <c r="H3374" i="16" s="1"/>
  <c r="D208" i="339" s="1"/>
  <c r="H3965" i="16"/>
  <c r="H3966" i="16" s="1"/>
  <c r="H3967" i="16" s="1"/>
  <c r="H3038" i="16"/>
  <c r="H3039" i="16" s="1"/>
  <c r="H3040" i="16" s="1"/>
  <c r="D187" i="339" s="1"/>
  <c r="H3390" i="16"/>
  <c r="H3391" i="16" s="1"/>
  <c r="I3392" i="16" s="1"/>
  <c r="H2399" i="16"/>
  <c r="H2400" i="16" s="1"/>
  <c r="H2401" i="16" s="1"/>
  <c r="D149" i="339" s="1"/>
  <c r="H7035" i="16"/>
  <c r="H7036" i="16" s="1"/>
  <c r="I7037" i="16" s="1"/>
  <c r="D442" i="339" s="1"/>
  <c r="H3210" i="16"/>
  <c r="H3211" i="16" s="1"/>
  <c r="H3212" i="16" s="1"/>
  <c r="D199" i="339" s="1"/>
  <c r="H7046" i="16"/>
  <c r="H7052" i="16" s="1"/>
  <c r="H7053" i="16" s="1"/>
  <c r="I7054" i="16" s="1"/>
  <c r="H6288" i="16"/>
  <c r="H6289" i="16" s="1"/>
  <c r="H6290" i="16" s="1"/>
  <c r="D397" i="339" s="1"/>
  <c r="D277" i="339"/>
  <c r="H4573" i="16"/>
  <c r="H4574" i="16" s="1"/>
  <c r="I4575" i="16" s="1"/>
  <c r="H5104" i="16"/>
  <c r="H5105" i="16" s="1"/>
  <c r="I5106" i="16" s="1"/>
  <c r="H9006" i="16"/>
  <c r="H9011" i="16" s="1"/>
  <c r="H9012" i="16" s="1"/>
  <c r="H9013" i="16" s="1"/>
  <c r="D560" i="339" s="1"/>
  <c r="H4868" i="16"/>
  <c r="H4869" i="16" s="1"/>
  <c r="H4870" i="16" s="1"/>
  <c r="D304" i="339" s="1"/>
  <c r="H5884" i="16"/>
  <c r="H5885" i="16" s="1"/>
  <c r="H5886" i="16" s="1"/>
  <c r="D371" i="339" s="1"/>
  <c r="H6673" i="16"/>
  <c r="H6674" i="16" s="1"/>
  <c r="H6675" i="16" s="1"/>
  <c r="D420" i="339" s="1"/>
  <c r="H5293" i="16"/>
  <c r="H5414" i="16"/>
  <c r="H4905" i="16"/>
  <c r="H4906" i="16" s="1"/>
  <c r="H4907" i="16" s="1"/>
  <c r="D306" i="339" s="1"/>
  <c r="H809" i="16"/>
  <c r="H810" i="16" s="1"/>
  <c r="H811" i="16" s="1"/>
  <c r="D56" i="339" s="1"/>
  <c r="H5967" i="16"/>
  <c r="H5968" i="16" s="1"/>
  <c r="I5969" i="16" s="1"/>
  <c r="H627" i="16"/>
  <c r="H628" i="16" s="1"/>
  <c r="H629" i="16" s="1"/>
  <c r="D44" i="339" s="1"/>
  <c r="H4990" i="16"/>
  <c r="H4991" i="16" s="1"/>
  <c r="I4992" i="16" s="1"/>
  <c r="H8775" i="16"/>
  <c r="H8781" i="16" s="1"/>
  <c r="H8782" i="16" s="1"/>
  <c r="H8783" i="16" s="1"/>
  <c r="D546" i="339" s="1"/>
  <c r="I389" i="16"/>
  <c r="H8926" i="16"/>
  <c r="H8931" i="16" s="1"/>
  <c r="H8932" i="16" s="1"/>
  <c r="H8933" i="16" s="1"/>
  <c r="D555" i="339" s="1"/>
  <c r="H14" i="350"/>
  <c r="D538" i="339" s="1"/>
  <c r="H150" i="16"/>
  <c r="H151" i="16" s="1"/>
  <c r="H152" i="16" s="1"/>
  <c r="D10" i="339" s="1"/>
  <c r="H6529" i="16"/>
  <c r="H6530" i="16" s="1"/>
  <c r="H6531" i="16" s="1"/>
  <c r="D411" i="339" s="1"/>
  <c r="H94" i="350"/>
  <c r="H107" i="350" s="1"/>
  <c r="H4752" i="16"/>
  <c r="H4753" i="16" s="1"/>
  <c r="I4754" i="16" s="1"/>
  <c r="H8894" i="16"/>
  <c r="H8899" i="16" s="1"/>
  <c r="H8900" i="16" s="1"/>
  <c r="H8901" i="16" s="1"/>
  <c r="D553" i="339" s="1"/>
  <c r="H1245" i="16"/>
  <c r="H1246" i="16" s="1"/>
  <c r="H1247" i="16" s="1"/>
  <c r="D80" i="339" s="1"/>
  <c r="H8974" i="16"/>
  <c r="H8979" i="16" s="1"/>
  <c r="H8980" i="16" s="1"/>
  <c r="H8981" i="16" s="1"/>
  <c r="D558" i="339" s="1"/>
  <c r="J142" i="351" s="1"/>
  <c r="K142" i="351" s="1"/>
  <c r="H487" i="16"/>
  <c r="H6609" i="16"/>
  <c r="H6610" i="16" s="1"/>
  <c r="H6611" i="16" s="1"/>
  <c r="D416" i="339" s="1"/>
  <c r="H4605" i="16"/>
  <c r="H4606" i="16" s="1"/>
  <c r="I4607" i="16" s="1"/>
  <c r="H6149" i="16"/>
  <c r="H6150" i="16" s="1"/>
  <c r="H6151" i="16" s="1"/>
  <c r="H6984" i="16"/>
  <c r="H6985" i="16" s="1"/>
  <c r="I6986" i="16" s="1"/>
  <c r="H4424" i="16"/>
  <c r="H4425" i="16" s="1"/>
  <c r="I4426" i="16" s="1"/>
  <c r="G241" i="343"/>
  <c r="G242" i="343" s="1"/>
  <c r="H243" i="343" s="1"/>
  <c r="G243" i="343" s="1"/>
  <c r="H8958" i="16"/>
  <c r="H8963" i="16" s="1"/>
  <c r="H8964" i="16" s="1"/>
  <c r="H8965" i="16" s="1"/>
  <c r="D557" i="339" s="1"/>
  <c r="J144" i="351" s="1"/>
  <c r="K144" i="351" s="1"/>
  <c r="H8843" i="16"/>
  <c r="H8849" i="16" s="1"/>
  <c r="H8850" i="16" s="1"/>
  <c r="H8851" i="16" s="1"/>
  <c r="D550" i="339" s="1"/>
  <c r="H6641" i="16"/>
  <c r="H6642" i="16" s="1"/>
  <c r="H6643" i="16" s="1"/>
  <c r="D418" i="339" s="1"/>
  <c r="H6865" i="16"/>
  <c r="H6866" i="16" s="1"/>
  <c r="I6867" i="16" s="1"/>
  <c r="H5169" i="16"/>
  <c r="H5170" i="16" s="1"/>
  <c r="I5171" i="16" s="1"/>
  <c r="H4886" i="16"/>
  <c r="H4887" i="16" s="1"/>
  <c r="I4888" i="16" s="1"/>
  <c r="H6721" i="16"/>
  <c r="H6722" i="16" s="1"/>
  <c r="H6723" i="16" s="1"/>
  <c r="D423" i="339" s="1"/>
  <c r="H7088" i="16"/>
  <c r="H7089" i="16" s="1"/>
  <c r="H7090" i="16" s="1"/>
  <c r="D445" i="339" s="1"/>
  <c r="H4148" i="16"/>
  <c r="H4149" i="16" s="1"/>
  <c r="H4150" i="16" s="1"/>
  <c r="D256" i="339" s="1"/>
  <c r="H2212" i="16"/>
  <c r="H2213" i="16" s="1"/>
  <c r="I2214" i="16" s="1"/>
  <c r="H172" i="16"/>
  <c r="H173" i="16" s="1"/>
  <c r="H174" i="16" s="1"/>
  <c r="D11" i="339" s="1"/>
  <c r="H1451" i="16"/>
  <c r="H1452" i="16" s="1"/>
  <c r="H1453" i="16" s="1"/>
  <c r="D90" i="339" s="1"/>
  <c r="H3691" i="16"/>
  <c r="H3692" i="16" s="1"/>
  <c r="H3693" i="16" s="1"/>
  <c r="D226" i="339" s="1"/>
  <c r="H6950" i="16"/>
  <c r="H6951" i="16" s="1"/>
  <c r="H6952" i="16" s="1"/>
  <c r="D437" i="339" s="1"/>
  <c r="H6321" i="16"/>
  <c r="H6322" i="16" s="1"/>
  <c r="H6323" i="16" s="1"/>
  <c r="D399" i="339" s="1"/>
  <c r="I5504" i="16"/>
  <c r="H2614" i="16"/>
  <c r="H2615" i="16" s="1"/>
  <c r="I2616" i="16" s="1"/>
  <c r="I967" i="16"/>
  <c r="H967" i="16"/>
  <c r="D65" i="339" s="1"/>
  <c r="H2554" i="16"/>
  <c r="H2555" i="16" s="1"/>
  <c r="I2556" i="16" s="1"/>
  <c r="H4360" i="16"/>
  <c r="H4361" i="16" s="1"/>
  <c r="I4362" i="16" s="1"/>
  <c r="H6100" i="16"/>
  <c r="D384" i="339" s="1"/>
  <c r="H6083" i="16"/>
  <c r="H6084" i="16" s="1"/>
  <c r="I6085" i="16" s="1"/>
  <c r="H5952" i="16"/>
  <c r="D375" i="339" s="1"/>
  <c r="H1597" i="16"/>
  <c r="D99" i="339" s="1"/>
  <c r="H1142" i="16"/>
  <c r="H1143" i="16" s="1"/>
  <c r="H1144" i="16" s="1"/>
  <c r="D75" i="339" s="1"/>
  <c r="H1804" i="16"/>
  <c r="H1805" i="16" s="1"/>
  <c r="H1806" i="16" s="1"/>
  <c r="D110" i="339" s="1"/>
  <c r="H1882" i="16"/>
  <c r="H1883" i="16" s="1"/>
  <c r="H1884" i="16" s="1"/>
  <c r="H3655" i="16"/>
  <c r="H3656" i="16" s="1"/>
  <c r="H3657" i="16" s="1"/>
  <c r="D224" i="339" s="1"/>
  <c r="H5310" i="16"/>
  <c r="H6511" i="16"/>
  <c r="H6512" i="16" s="1"/>
  <c r="H6513" i="16" s="1"/>
  <c r="D410" i="339" s="1"/>
  <c r="H4392" i="16"/>
  <c r="H4393" i="16" s="1"/>
  <c r="H4394" i="16" s="1"/>
  <c r="D273" i="339" s="1"/>
  <c r="H5937" i="16"/>
  <c r="H5938" i="16" s="1"/>
  <c r="I5939" i="16" s="1"/>
  <c r="H663" i="16"/>
  <c r="H664" i="16" s="1"/>
  <c r="H665" i="16" s="1"/>
  <c r="D46" i="339" s="1"/>
  <c r="H735" i="16"/>
  <c r="H736" i="16" s="1"/>
  <c r="I737" i="16" s="1"/>
  <c r="H128" i="16"/>
  <c r="H129" i="16" s="1"/>
  <c r="H130" i="16" s="1"/>
  <c r="D9" i="339" s="1"/>
  <c r="H2686" i="16"/>
  <c r="H2687" i="16" s="1"/>
  <c r="I2688" i="16" s="1"/>
  <c r="H3637" i="16"/>
  <c r="H3638" i="16" s="1"/>
  <c r="H3639" i="16" s="1"/>
  <c r="D223" i="339" s="1"/>
  <c r="H253" i="16"/>
  <c r="H254" i="16" s="1"/>
  <c r="I255" i="16" s="1"/>
  <c r="H365" i="16"/>
  <c r="D23" i="339" s="1"/>
  <c r="H1048" i="16"/>
  <c r="H1049" i="16" s="1"/>
  <c r="H1050" i="16" s="1"/>
  <c r="D70" i="339" s="1"/>
  <c r="H2196" i="16"/>
  <c r="H2197" i="16" s="1"/>
  <c r="H2198" i="16" s="1"/>
  <c r="D136" i="339" s="1"/>
  <c r="H2162" i="16"/>
  <c r="H2163" i="16" s="1"/>
  <c r="I2164" i="16" s="1"/>
  <c r="H3192" i="16"/>
  <c r="H3193" i="16" s="1"/>
  <c r="H3194" i="16" s="1"/>
  <c r="D198" i="339" s="1"/>
  <c r="H3300" i="16"/>
  <c r="H3301" i="16" s="1"/>
  <c r="H3302" i="16" s="1"/>
  <c r="D204" i="339" s="1"/>
  <c r="H3462" i="16"/>
  <c r="H3463" i="16" s="1"/>
  <c r="H3464" i="16" s="1"/>
  <c r="D213" i="339" s="1"/>
  <c r="H6460" i="16"/>
  <c r="H6461" i="16" s="1"/>
  <c r="I6462" i="16" s="1"/>
  <c r="H5153" i="16"/>
  <c r="H5154" i="16" s="1"/>
  <c r="I5155" i="16" s="1"/>
  <c r="H5403" i="16"/>
  <c r="H5404" i="16" s="1"/>
  <c r="I5405" i="16" s="1"/>
  <c r="H5839" i="16"/>
  <c r="D368" i="339" s="1"/>
  <c r="H3426" i="16"/>
  <c r="H3427" i="16" s="1"/>
  <c r="I3428" i="16" s="1"/>
  <c r="H8198" i="16"/>
  <c r="G8220" i="16"/>
  <c r="H8220" i="16" s="1"/>
  <c r="H8221" i="16" s="1"/>
  <c r="H8222" i="16" s="1"/>
  <c r="H5217" i="16"/>
  <c r="H5218" i="16" s="1"/>
  <c r="H5219" i="16" s="1"/>
  <c r="D325" i="339" s="1"/>
  <c r="J56" i="351" s="1"/>
  <c r="K56" i="351" s="1"/>
  <c r="H5040" i="16"/>
  <c r="V9" i="346"/>
  <c r="X8" i="346"/>
  <c r="X9" i="346" s="1"/>
  <c r="G7914" i="16"/>
  <c r="H7914" i="16" s="1"/>
  <c r="H7880" i="16"/>
  <c r="H5265" i="16"/>
  <c r="H5266" i="16" s="1"/>
  <c r="H5267" i="16" s="1"/>
  <c r="H5268" i="16" s="1"/>
  <c r="D331" i="339" s="1"/>
  <c r="H5729" i="16"/>
  <c r="H2245" i="16"/>
  <c r="H2246" i="16" s="1"/>
  <c r="H2247" i="16" s="1"/>
  <c r="H996" i="16"/>
  <c r="H997" i="16" s="1"/>
  <c r="H998" i="16" s="1"/>
  <c r="H1789" i="16"/>
  <c r="D109" i="339" s="1"/>
  <c r="H2632" i="16"/>
  <c r="H2633" i="16" s="1"/>
  <c r="I2634" i="16" s="1"/>
  <c r="H3749" i="16"/>
  <c r="H3750" i="16" s="1"/>
  <c r="H3751" i="16" s="1"/>
  <c r="D229" i="339" s="1"/>
  <c r="H6373" i="16"/>
  <c r="H6374" i="16" s="1"/>
  <c r="H6375" i="16" s="1"/>
  <c r="D402" i="339" s="1"/>
  <c r="J131" i="351" s="1"/>
  <c r="K131" i="351" s="1"/>
  <c r="H7018" i="16"/>
  <c r="H7019" i="16" s="1"/>
  <c r="I7020" i="16" s="1"/>
  <c r="H7070" i="16"/>
  <c r="H7071" i="16" s="1"/>
  <c r="H7072" i="16" s="1"/>
  <c r="D444" i="339" s="1"/>
  <c r="H7886" i="16"/>
  <c r="I5534" i="16"/>
  <c r="I5852" i="16"/>
  <c r="G8322" i="16"/>
  <c r="H8302" i="16"/>
  <c r="H4032" i="16"/>
  <c r="G4049" i="16"/>
  <c r="H4049" i="16" s="1"/>
  <c r="H5072" i="16"/>
  <c r="H773" i="16"/>
  <c r="H774" i="16" s="1"/>
  <c r="I775" i="16" s="1"/>
  <c r="H215" i="16"/>
  <c r="H216" i="16" s="1"/>
  <c r="I217" i="16" s="1"/>
  <c r="H1415" i="16"/>
  <c r="H1416" i="16" s="1"/>
  <c r="I1417" i="16" s="1"/>
  <c r="H576" i="16"/>
  <c r="H577" i="16" s="1"/>
  <c r="H578" i="16" s="1"/>
  <c r="D41" i="339" s="1"/>
  <c r="H1183" i="16"/>
  <c r="H1184" i="16" s="1"/>
  <c r="H1185" i="16" s="1"/>
  <c r="H1998" i="16"/>
  <c r="H1999" i="16" s="1"/>
  <c r="H2000" i="16" s="1"/>
  <c r="D124" i="339" s="1"/>
  <c r="H2518" i="16"/>
  <c r="H2519" i="16" s="1"/>
  <c r="H2520" i="16" s="1"/>
  <c r="D156" i="339" s="1"/>
  <c r="H3883" i="16"/>
  <c r="H3884" i="16" s="1"/>
  <c r="H3885" i="16" s="1"/>
  <c r="D238" i="339" s="1"/>
  <c r="H5352" i="16"/>
  <c r="H5353" i="16" s="1"/>
  <c r="I5354" i="16" s="1"/>
  <c r="H4784" i="16"/>
  <c r="H4785" i="16" s="1"/>
  <c r="H4786" i="16" s="1"/>
  <c r="D299" i="339" s="1"/>
  <c r="H5474" i="16"/>
  <c r="D342" i="339" s="1"/>
  <c r="H5922" i="16"/>
  <c r="D373" i="339" s="1"/>
  <c r="H1083" i="16"/>
  <c r="H2896" i="16"/>
  <c r="H2992" i="16"/>
  <c r="H2993" i="16" s="1"/>
  <c r="I2994" i="16" s="1"/>
  <c r="H3086" i="16"/>
  <c r="H3087" i="16" s="1"/>
  <c r="I3088" i="16" s="1"/>
  <c r="H3784" i="16"/>
  <c r="H3785" i="16" s="1"/>
  <c r="I3786" i="16" s="1"/>
  <c r="H8435" i="16"/>
  <c r="H8436" i="16" s="1"/>
  <c r="H8437" i="16" s="1"/>
  <c r="H8438" i="16" s="1"/>
  <c r="H8439" i="16" s="1"/>
  <c r="D521" i="339" s="1"/>
  <c r="G8456" i="16"/>
  <c r="H8456" i="16" s="1"/>
  <c r="H8457" i="16" s="1"/>
  <c r="H8458" i="16" s="1"/>
  <c r="H5761" i="16"/>
  <c r="X31" i="346"/>
  <c r="K31" i="346"/>
  <c r="H6391" i="16"/>
  <c r="H6392" i="16" s="1"/>
  <c r="H6393" i="16" s="1"/>
  <c r="D403" i="339" s="1"/>
  <c r="H6817" i="16"/>
  <c r="H6818" i="16" s="1"/>
  <c r="I6819" i="16" s="1"/>
  <c r="H6476" i="16"/>
  <c r="H6477" i="16" s="1"/>
  <c r="H6478" i="16" s="1"/>
  <c r="D408" i="339" s="1"/>
  <c r="H6916" i="16"/>
  <c r="H7001" i="16"/>
  <c r="H1540" i="16"/>
  <c r="H1541" i="16" s="1"/>
  <c r="D95" i="339" s="1"/>
  <c r="H542" i="16"/>
  <c r="H543" i="16" s="1"/>
  <c r="D37" i="339" s="1"/>
  <c r="H186" i="16"/>
  <c r="D12" i="339" s="1"/>
  <c r="H279" i="16"/>
  <c r="D17" i="339" s="1"/>
  <c r="H500" i="16"/>
  <c r="D34" i="339" s="1"/>
  <c r="H413" i="16"/>
  <c r="D27" i="339" s="1"/>
  <c r="H449" i="16"/>
  <c r="D30" i="339" s="1"/>
  <c r="H1066" i="16"/>
  <c r="H1067" i="16" s="1"/>
  <c r="H1068" i="16" s="1"/>
  <c r="D71" i="339" s="1"/>
  <c r="H1469" i="16"/>
  <c r="H1470" i="16" s="1"/>
  <c r="H1567" i="16"/>
  <c r="D97" i="339" s="1"/>
  <c r="H610" i="16"/>
  <c r="H81" i="16"/>
  <c r="H827" i="16"/>
  <c r="H2365" i="16"/>
  <c r="H2366" i="16" s="1"/>
  <c r="I2367" i="16" s="1"/>
  <c r="H2416" i="16"/>
  <c r="H2417" i="16" s="1"/>
  <c r="I2418" i="16" s="1"/>
  <c r="H2816" i="16"/>
  <c r="H2817" i="16" s="1"/>
  <c r="I2818" i="16" s="1"/>
  <c r="H3282" i="16"/>
  <c r="H3283" i="16" s="1"/>
  <c r="I3284" i="16" s="1"/>
  <c r="H4098" i="16"/>
  <c r="H473" i="16"/>
  <c r="H474" i="16" s="1"/>
  <c r="D32" i="339" s="1"/>
  <c r="H593" i="16"/>
  <c r="H594" i="16" s="1"/>
  <c r="H595" i="16" s="1"/>
  <c r="D42" i="339" s="1"/>
  <c r="H530" i="16"/>
  <c r="D36" i="339" s="1"/>
  <c r="H1121" i="16"/>
  <c r="H1122" i="16" s="1"/>
  <c r="H1123" i="16" s="1"/>
  <c r="D74" i="339" s="1"/>
  <c r="H1265" i="16"/>
  <c r="H1266" i="16" s="1"/>
  <c r="H1267" i="16" s="1"/>
  <c r="D81" i="339" s="1"/>
  <c r="J154" i="351" s="1"/>
  <c r="K154" i="351" s="1"/>
  <c r="H1526" i="16"/>
  <c r="H1527" i="16" s="1"/>
  <c r="I1528" i="16" s="1"/>
  <c r="H1953" i="16"/>
  <c r="D121" i="339" s="1"/>
  <c r="H2536" i="16"/>
  <c r="H2537" i="16" s="1"/>
  <c r="H2538" i="16" s="1"/>
  <c r="D157" i="339" s="1"/>
  <c r="H3009" i="16"/>
  <c r="D185" i="339" s="1"/>
  <c r="H3534" i="16"/>
  <c r="H3535" i="16" s="1"/>
  <c r="H3536" i="16" s="1"/>
  <c r="D217" i="339" s="1"/>
  <c r="H681" i="16"/>
  <c r="H2434" i="16"/>
  <c r="H2435" i="16" s="1"/>
  <c r="I2436" i="16" s="1"/>
  <c r="H2501" i="16"/>
  <c r="H2502" i="16" s="1"/>
  <c r="I2503" i="16" s="1"/>
  <c r="H2719" i="16"/>
  <c r="H3120" i="16"/>
  <c r="H3121" i="16" s="1"/>
  <c r="I3122" i="16" s="1"/>
  <c r="H3817" i="16"/>
  <c r="K3817" i="16" s="1"/>
  <c r="H266" i="16"/>
  <c r="H267" i="16" s="1"/>
  <c r="D16" i="339" s="1"/>
  <c r="J27" i="351" s="1"/>
  <c r="K27" i="351" s="1"/>
  <c r="H376" i="16"/>
  <c r="H377" i="16" s="1"/>
  <c r="D24" i="339" s="1"/>
  <c r="H437" i="16"/>
  <c r="D29" i="339" s="1"/>
  <c r="H1225" i="16"/>
  <c r="H1433" i="16"/>
  <c r="H1820" i="16"/>
  <c r="D111" i="339" s="1"/>
  <c r="H3023" i="16"/>
  <c r="I3024" i="16" s="1"/>
  <c r="H3156" i="16"/>
  <c r="H2669" i="16"/>
  <c r="H3228" i="16"/>
  <c r="H3482" i="16"/>
  <c r="D214" i="339" s="1"/>
  <c r="H6338" i="16"/>
  <c r="H4956" i="16"/>
  <c r="H5056" i="16"/>
  <c r="H5578" i="16"/>
  <c r="H5579" i="16" s="1"/>
  <c r="D349" i="339" s="1"/>
  <c r="H5772" i="16"/>
  <c r="H5777" i="16" s="1"/>
  <c r="H5623" i="16"/>
  <c r="H5624" i="16" s="1"/>
  <c r="D352" i="339" s="1"/>
  <c r="I5489" i="16"/>
  <c r="H5669" i="16"/>
  <c r="D355" i="339" s="1"/>
  <c r="H1850" i="16"/>
  <c r="H1851" i="16" s="1"/>
  <c r="D115" i="339" s="1"/>
  <c r="H6625" i="16"/>
  <c r="G7916" i="16"/>
  <c r="H7916" i="16" s="1"/>
  <c r="H7882" i="16"/>
  <c r="H7134" i="16"/>
  <c r="G7153" i="16"/>
  <c r="H8303" i="16"/>
  <c r="G8323" i="16"/>
  <c r="H8404" i="16"/>
  <c r="H8405" i="16" s="1"/>
  <c r="D519" i="339" s="1"/>
  <c r="H5421" i="16"/>
  <c r="H5638" i="16"/>
  <c r="H5639" i="16" s="1"/>
  <c r="D353" i="339" s="1"/>
  <c r="H5864" i="16"/>
  <c r="I5865" i="16" s="1"/>
  <c r="H951" i="16"/>
  <c r="H952" i="16" s="1"/>
  <c r="D64" i="339" s="1"/>
  <c r="H1203" i="16"/>
  <c r="H2382" i="16"/>
  <c r="H1836" i="16"/>
  <c r="H1968" i="16"/>
  <c r="D122" i="339" s="1"/>
  <c r="G9160" i="16"/>
  <c r="H9143" i="16"/>
  <c r="H3727" i="16"/>
  <c r="H6753" i="16"/>
  <c r="H6546" i="16"/>
  <c r="D412" i="339" s="1"/>
  <c r="J133" i="351" s="1"/>
  <c r="K133" i="351" s="1"/>
  <c r="H4440" i="16"/>
  <c r="H5518" i="16"/>
  <c r="I5519" i="16" s="1"/>
  <c r="H1982" i="16"/>
  <c r="H1983" i="16" s="1"/>
  <c r="D123" i="339" s="1"/>
  <c r="H2113" i="16"/>
  <c r="H2114" i="16" s="1"/>
  <c r="D131" i="339" s="1"/>
  <c r="H6442" i="16"/>
  <c r="H6443" i="16" s="1"/>
  <c r="D406" i="339" s="1"/>
  <c r="H7841" i="16"/>
  <c r="G7875" i="16"/>
  <c r="H4702" i="16"/>
  <c r="I4703" i="16" s="1"/>
  <c r="H5024" i="16"/>
  <c r="H5458" i="16"/>
  <c r="H5459" i="16" s="1"/>
  <c r="D341" i="339" s="1"/>
  <c r="H5698" i="16"/>
  <c r="I5699" i="16" s="1"/>
  <c r="I6052" i="16"/>
  <c r="H8747" i="16"/>
  <c r="H8748" i="16" s="1"/>
  <c r="H8749" i="16" s="1"/>
  <c r="D537" i="339" s="1"/>
  <c r="H401" i="16"/>
  <c r="D26" i="339" s="1"/>
  <c r="H461" i="16"/>
  <c r="D31" i="339" s="1"/>
  <c r="H1903" i="16"/>
  <c r="H1554" i="16"/>
  <c r="D96" i="339" s="1"/>
  <c r="H1612" i="16"/>
  <c r="D100" i="339" s="1"/>
  <c r="H3246" i="16"/>
  <c r="H6882" i="16"/>
  <c r="H6657" i="16"/>
  <c r="H7851" i="16"/>
  <c r="G7885" i="16"/>
  <c r="H5683" i="16"/>
  <c r="H5684" i="16" s="1"/>
  <c r="D356" i="339" s="1"/>
  <c r="H5824" i="16"/>
  <c r="I5825" i="16" s="1"/>
  <c r="H5548" i="16"/>
  <c r="H5549" i="16" s="1"/>
  <c r="D347" i="339" s="1"/>
  <c r="H981" i="16"/>
  <c r="H982" i="16" s="1"/>
  <c r="D66" i="339" s="1"/>
  <c r="H1712" i="16"/>
  <c r="I1713" i="16" s="1"/>
  <c r="H7097" i="16"/>
  <c r="G7116" i="16"/>
  <c r="H5608" i="16"/>
  <c r="H5609" i="16" s="1"/>
  <c r="D351" i="339" s="1"/>
  <c r="H320" i="16"/>
  <c r="H321" i="16" s="1"/>
  <c r="D18" i="339" s="1"/>
  <c r="H338" i="16"/>
  <c r="H1732" i="16"/>
  <c r="D105" i="339" s="1"/>
  <c r="H2098" i="16"/>
  <c r="H2099" i="16" s="1"/>
  <c r="D130" i="339" s="1"/>
  <c r="G8284" i="16"/>
  <c r="H8264" i="16"/>
  <c r="H8266" i="16" s="1"/>
  <c r="H5653" i="16"/>
  <c r="H5654" i="16" s="1"/>
  <c r="D354" i="339" s="1"/>
  <c r="H352" i="16"/>
  <c r="H353" i="16" s="1"/>
  <c r="D22" i="339" s="1"/>
  <c r="H424" i="16"/>
  <c r="I425" i="16" s="1"/>
  <c r="H1581" i="16"/>
  <c r="I1582" i="16" s="1"/>
  <c r="H1775" i="16"/>
  <c r="H1776" i="16" s="1"/>
  <c r="D108" i="339" s="1"/>
  <c r="H1937" i="16"/>
  <c r="H1938" i="16" s="1"/>
  <c r="D120" i="339" s="1"/>
  <c r="H1750" i="16"/>
  <c r="H1751" i="16" s="1"/>
  <c r="D106" i="339" s="1"/>
  <c r="H3868" i="16"/>
  <c r="I3869" i="16" s="1"/>
  <c r="H3444" i="16"/>
  <c r="H6690" i="16"/>
  <c r="H6691" i="16" s="1"/>
  <c r="D421" i="339" s="1"/>
  <c r="H7137" i="16"/>
  <c r="G7156" i="16"/>
  <c r="H6425" i="16"/>
  <c r="H4263" i="16"/>
  <c r="H5593" i="16"/>
  <c r="I5594" i="16" s="1"/>
  <c r="H5809" i="16"/>
  <c r="I5810" i="16" s="1"/>
  <c r="L35" i="351" l="1"/>
  <c r="M35" i="351" s="1"/>
  <c r="L20" i="351"/>
  <c r="M20" i="351" s="1"/>
  <c r="L97" i="351"/>
  <c r="M97" i="351" s="1"/>
  <c r="L73" i="351"/>
  <c r="M73" i="351" s="1"/>
  <c r="N73" i="351" s="1"/>
  <c r="M5202" i="16"/>
  <c r="M5203" i="16" s="1"/>
  <c r="E324" i="339" s="1"/>
  <c r="L55" i="351" s="1"/>
  <c r="M55" i="351" s="1"/>
  <c r="L16" i="351"/>
  <c r="M16" i="351" s="1"/>
  <c r="L31" i="351"/>
  <c r="M31" i="351" s="1"/>
  <c r="L54" i="351"/>
  <c r="M54" i="351" s="1"/>
  <c r="L82" i="351"/>
  <c r="M82" i="351" s="1"/>
  <c r="L34" i="351"/>
  <c r="M34" i="351" s="1"/>
  <c r="L19" i="351"/>
  <c r="M19" i="351" s="1"/>
  <c r="N19" i="351" s="1"/>
  <c r="E22" i="339"/>
  <c r="L30" i="351" s="1"/>
  <c r="M30" i="351" s="1"/>
  <c r="N30" i="351" s="1"/>
  <c r="L15" i="351"/>
  <c r="M15" i="351" s="1"/>
  <c r="L80" i="351"/>
  <c r="M80" i="351" s="1"/>
  <c r="L104" i="351"/>
  <c r="M104" i="351" s="1"/>
  <c r="L52" i="351"/>
  <c r="M52" i="351" s="1"/>
  <c r="N112" i="351"/>
  <c r="L117" i="351"/>
  <c r="M117" i="351" s="1"/>
  <c r="L116" i="351"/>
  <c r="M116" i="351" s="1"/>
  <c r="N129" i="351"/>
  <c r="K8" i="351"/>
  <c r="K10" i="351" s="1"/>
  <c r="E7" i="353" s="1"/>
  <c r="L8" i="351"/>
  <c r="M8" i="351" s="1"/>
  <c r="H5793" i="16"/>
  <c r="H5794" i="16" s="1"/>
  <c r="I5795" i="16" s="1"/>
  <c r="D363" i="339" s="1"/>
  <c r="J64" i="351" s="1"/>
  <c r="K64" i="351" s="1"/>
  <c r="L96" i="351"/>
  <c r="M96" i="351" s="1"/>
  <c r="N96" i="351" s="1"/>
  <c r="L72" i="351"/>
  <c r="M72" i="351" s="1"/>
  <c r="N60" i="351"/>
  <c r="L53" i="351"/>
  <c r="M53" i="351" s="1"/>
  <c r="L105" i="351"/>
  <c r="M105" i="351" s="1"/>
  <c r="N105" i="351" s="1"/>
  <c r="N27" i="351"/>
  <c r="N134" i="351"/>
  <c r="M1286" i="16"/>
  <c r="M1287" i="16"/>
  <c r="E82" i="339" s="1"/>
  <c r="L41" i="351" s="1"/>
  <c r="M41" i="351" s="1"/>
  <c r="K1285" i="16"/>
  <c r="M6770" i="16"/>
  <c r="M6771" i="16" s="1"/>
  <c r="E426" i="339" s="1"/>
  <c r="L123" i="351" s="1"/>
  <c r="M123" i="351" s="1"/>
  <c r="N123" i="351" s="1"/>
  <c r="K6769" i="16"/>
  <c r="M5794" i="16"/>
  <c r="M5795" i="16"/>
  <c r="E363" i="339" s="1"/>
  <c r="K6817" i="16"/>
  <c r="M6818" i="16"/>
  <c r="M6819" i="16" s="1"/>
  <c r="E429" i="339" s="1"/>
  <c r="L124" i="351" s="1"/>
  <c r="M124" i="351" s="1"/>
  <c r="H862" i="16"/>
  <c r="H863" i="16" s="1"/>
  <c r="H864" i="16" s="1"/>
  <c r="I865" i="16" s="1"/>
  <c r="M860" i="16"/>
  <c r="M862" i="16" s="1"/>
  <c r="M863" i="16" s="1"/>
  <c r="K6149" i="16"/>
  <c r="M6834" i="16"/>
  <c r="M6835" i="16" s="1"/>
  <c r="E430" i="339" s="1"/>
  <c r="L125" i="351" s="1"/>
  <c r="M125" i="351" s="1"/>
  <c r="K6833" i="16"/>
  <c r="K3086" i="16"/>
  <c r="K1325" i="16"/>
  <c r="K996" i="16"/>
  <c r="K593" i="16"/>
  <c r="M594" i="16"/>
  <c r="M595" i="16" s="1"/>
  <c r="E42" i="339" s="1"/>
  <c r="K4132" i="16"/>
  <c r="K6737" i="16"/>
  <c r="M6738" i="16"/>
  <c r="M6739" i="16"/>
  <c r="E424" i="339" s="1"/>
  <c r="L122" i="351" s="1"/>
  <c r="M122" i="351" s="1"/>
  <c r="M3337" i="16"/>
  <c r="M3338" i="16" s="1"/>
  <c r="E206" i="339" s="1"/>
  <c r="K3336" i="16"/>
  <c r="M1835" i="16"/>
  <c r="K1834" i="16"/>
  <c r="M1836" i="16"/>
  <c r="E114" i="339" s="1"/>
  <c r="M1266" i="16"/>
  <c r="K1265" i="16"/>
  <c r="M1267" i="16"/>
  <c r="E81" i="339" s="1"/>
  <c r="L154" i="351" s="1"/>
  <c r="M154" i="351" s="1"/>
  <c r="M1143" i="16"/>
  <c r="M1144" i="16" s="1"/>
  <c r="E75" i="339" s="1"/>
  <c r="K1142" i="16"/>
  <c r="K8979" i="16"/>
  <c r="M8980" i="16"/>
  <c r="M8981" i="16" s="1"/>
  <c r="E558" i="339" s="1"/>
  <c r="L142" i="351" s="1"/>
  <c r="M142" i="351" s="1"/>
  <c r="N142" i="351" s="1"/>
  <c r="M3802" i="16"/>
  <c r="M3803" i="16" s="1"/>
  <c r="E232" i="339" s="1"/>
  <c r="L107" i="351" s="1"/>
  <c r="M107" i="351" s="1"/>
  <c r="K3801" i="16"/>
  <c r="K6593" i="16"/>
  <c r="K6560" i="16"/>
  <c r="M6305" i="16"/>
  <c r="M6306" i="16" s="1"/>
  <c r="E398" i="339" s="1"/>
  <c r="L130" i="351" s="1"/>
  <c r="M130" i="351" s="1"/>
  <c r="N130" i="351" s="1"/>
  <c r="K6304" i="16"/>
  <c r="M3985" i="16"/>
  <c r="M3986" i="16" s="1"/>
  <c r="L108" i="351" s="1"/>
  <c r="M108" i="351" s="1"/>
  <c r="N108" i="351" s="1"/>
  <c r="K3984" i="16"/>
  <c r="K4213" i="16"/>
  <c r="K3673" i="16"/>
  <c r="K2484" i="16"/>
  <c r="K717" i="16"/>
  <c r="K8947" i="16"/>
  <c r="K5201" i="16"/>
  <c r="K6035" i="16"/>
  <c r="K5153" i="16"/>
  <c r="K5217" i="16"/>
  <c r="K6355" i="16"/>
  <c r="K5137" i="16"/>
  <c r="K4456" i="16"/>
  <c r="M1883" i="16"/>
  <c r="M1884" i="16"/>
  <c r="E117" i="339" s="1"/>
  <c r="L66" i="351" s="1"/>
  <c r="M66" i="351" s="1"/>
  <c r="K1372" i="16"/>
  <c r="M1373" i="16"/>
  <c r="M1374" i="16" s="1"/>
  <c r="K1225" i="16"/>
  <c r="M1226" i="16"/>
  <c r="M1227" i="16" s="1"/>
  <c r="E79" i="339" s="1"/>
  <c r="M8996" i="16"/>
  <c r="M8997" i="16" s="1"/>
  <c r="E559" i="339" s="1"/>
  <c r="L143" i="351" s="1"/>
  <c r="M143" i="351" s="1"/>
  <c r="N143" i="351" s="1"/>
  <c r="K8995" i="16"/>
  <c r="K6166" i="16"/>
  <c r="M5811" i="16"/>
  <c r="M6374" i="16"/>
  <c r="M6375" i="16" s="1"/>
  <c r="E402" i="339" s="1"/>
  <c r="L131" i="351" s="1"/>
  <c r="M131" i="351" s="1"/>
  <c r="N131" i="351" s="1"/>
  <c r="K6373" i="16"/>
  <c r="M3355" i="16"/>
  <c r="M3356" i="16" s="1"/>
  <c r="E207" i="339" s="1"/>
  <c r="L83" i="351" s="1"/>
  <c r="M83" i="351" s="1"/>
  <c r="K3354" i="16"/>
  <c r="M2687" i="16"/>
  <c r="M2688" i="16"/>
  <c r="E163" i="339" s="1"/>
  <c r="L57" i="351" s="1"/>
  <c r="M57" i="351" s="1"/>
  <c r="K2686" i="16"/>
  <c r="K1013" i="16"/>
  <c r="M1014" i="16"/>
  <c r="M1015" i="16" s="1"/>
  <c r="M1016" i="16" s="1"/>
  <c r="E68" i="339" s="1"/>
  <c r="K5984" i="16"/>
  <c r="M5985" i="16"/>
  <c r="M5986" i="16" s="1"/>
  <c r="L98" i="351" s="1"/>
  <c r="M98" i="351" s="1"/>
  <c r="K4343" i="16"/>
  <c r="M4344" i="16"/>
  <c r="M4345" i="16"/>
  <c r="K6409" i="16"/>
  <c r="M6410" i="16"/>
  <c r="M6411" i="16" s="1"/>
  <c r="E404" i="339" s="1"/>
  <c r="L132" i="351" s="1"/>
  <c r="M132" i="351" s="1"/>
  <c r="K1101" i="16"/>
  <c r="K1066" i="16"/>
  <c r="M8964" i="16"/>
  <c r="M8965" i="16" s="1"/>
  <c r="E557" i="339" s="1"/>
  <c r="L144" i="351" s="1"/>
  <c r="M144" i="351" s="1"/>
  <c r="N144" i="351" s="1"/>
  <c r="K8963" i="16"/>
  <c r="J112" i="351"/>
  <c r="K112" i="351" s="1"/>
  <c r="D320" i="339"/>
  <c r="J114" i="351"/>
  <c r="K114" i="351" s="1"/>
  <c r="N114" i="351" s="1"/>
  <c r="D556" i="339"/>
  <c r="J139" i="351"/>
  <c r="K139" i="351" s="1"/>
  <c r="E15" i="353" s="1"/>
  <c r="D377" i="339"/>
  <c r="J98" i="351"/>
  <c r="D387" i="339"/>
  <c r="J73" i="351"/>
  <c r="K73" i="351" s="1"/>
  <c r="J97" i="351"/>
  <c r="K97" i="351" s="1"/>
  <c r="J72" i="351"/>
  <c r="K72" i="351" s="1"/>
  <c r="J96" i="351"/>
  <c r="K96" i="351" s="1"/>
  <c r="D244" i="339"/>
  <c r="J108" i="351"/>
  <c r="K108" i="351" s="1"/>
  <c r="G8325" i="16"/>
  <c r="D114" i="339"/>
  <c r="J111" i="351" s="1"/>
  <c r="K111" i="351" s="1"/>
  <c r="J85" i="351"/>
  <c r="K85" i="351" s="1"/>
  <c r="J30" i="351"/>
  <c r="K30" i="351" s="1"/>
  <c r="J15" i="351"/>
  <c r="K15" i="351" s="1"/>
  <c r="J36" i="351"/>
  <c r="K36" i="351" s="1"/>
  <c r="J21" i="351"/>
  <c r="K21" i="351" s="1"/>
  <c r="J82" i="351"/>
  <c r="K82" i="351" s="1"/>
  <c r="J54" i="351"/>
  <c r="K54" i="351" s="1"/>
  <c r="J34" i="351"/>
  <c r="K34" i="351" s="1"/>
  <c r="J19" i="351"/>
  <c r="K19" i="351" s="1"/>
  <c r="J31" i="351"/>
  <c r="K31" i="351" s="1"/>
  <c r="J16" i="351"/>
  <c r="K16" i="351" s="1"/>
  <c r="J20" i="351"/>
  <c r="K20" i="351" s="1"/>
  <c r="J35" i="351"/>
  <c r="K35" i="351" s="1"/>
  <c r="J53" i="351"/>
  <c r="K53" i="351" s="1"/>
  <c r="J88" i="351"/>
  <c r="K88" i="351" s="1"/>
  <c r="J87" i="351"/>
  <c r="K87" i="351" s="1"/>
  <c r="D171" i="339"/>
  <c r="H9163" i="16"/>
  <c r="H9165" i="16" s="1"/>
  <c r="D117" i="339"/>
  <c r="J66" i="351" s="1"/>
  <c r="K66" i="351" s="1"/>
  <c r="D232" i="339"/>
  <c r="J107" i="351" s="1"/>
  <c r="K107" i="351" s="1"/>
  <c r="R9127" i="16"/>
  <c r="H9144" i="16"/>
  <c r="D207" i="339"/>
  <c r="D431" i="339"/>
  <c r="R9144" i="16"/>
  <c r="D140" i="339"/>
  <c r="D33" i="339"/>
  <c r="D206" i="339"/>
  <c r="G9210" i="16"/>
  <c r="G9193" i="16"/>
  <c r="H9193" i="16" s="1"/>
  <c r="H9176" i="16"/>
  <c r="D77" i="339"/>
  <c r="H6257" i="16"/>
  <c r="D393" i="339" s="1"/>
  <c r="G7917" i="16"/>
  <c r="H7917" i="16" s="1"/>
  <c r="G7921" i="16"/>
  <c r="H7921" i="16" s="1"/>
  <c r="G7915" i="16"/>
  <c r="H7915" i="16" s="1"/>
  <c r="I2801" i="16"/>
  <c r="I2230" i="16"/>
  <c r="H5316" i="16"/>
  <c r="H5317" i="16" s="1"/>
  <c r="H5318" i="16" s="1"/>
  <c r="D330" i="339" s="1"/>
  <c r="H5203" i="16"/>
  <c r="D324" i="339" s="1"/>
  <c r="G9180" i="16"/>
  <c r="G9214" i="16" s="1"/>
  <c r="H4975" i="16"/>
  <c r="D310" i="339" s="1"/>
  <c r="H2181" i="16"/>
  <c r="D135" i="339" s="1"/>
  <c r="G896" i="16"/>
  <c r="H896" i="16" s="1"/>
  <c r="H898" i="16" s="1"/>
  <c r="H899" i="16" s="1"/>
  <c r="H8199" i="16"/>
  <c r="H8200" i="16" s="1"/>
  <c r="H7100" i="16"/>
  <c r="H7108" i="16" s="1"/>
  <c r="H7109" i="16" s="1"/>
  <c r="H7110" i="16" s="1"/>
  <c r="D448" i="339" s="1"/>
  <c r="H7889" i="16"/>
  <c r="H2946" i="16"/>
  <c r="D181" i="339" s="1"/>
  <c r="H3835" i="16"/>
  <c r="D235" i="339" s="1"/>
  <c r="H5747" i="16"/>
  <c r="D360" i="339" s="1"/>
  <c r="H5299" i="16"/>
  <c r="H5300" i="16" s="1"/>
  <c r="I5301" i="16" s="1"/>
  <c r="H5422" i="16"/>
  <c r="H5423" i="16" s="1"/>
  <c r="H5424" i="16" s="1"/>
  <c r="D337" i="339" s="1"/>
  <c r="H4116" i="16"/>
  <c r="D254" i="339" s="1"/>
  <c r="I4067" i="16"/>
  <c r="D249" i="339" s="1"/>
  <c r="I5387" i="16"/>
  <c r="H3605" i="16"/>
  <c r="D221" i="339" s="1"/>
  <c r="I517" i="16"/>
  <c r="D35" i="339" s="1"/>
  <c r="H6803" i="16"/>
  <c r="D428" i="339" s="1"/>
  <c r="H4854" i="16"/>
  <c r="D303" i="339" s="1"/>
  <c r="H645" i="16"/>
  <c r="D45" i="339" s="1"/>
  <c r="I1776" i="16"/>
  <c r="H2281" i="16"/>
  <c r="D138" i="339" s="1"/>
  <c r="H4033" i="16"/>
  <c r="H4034" i="16" s="1"/>
  <c r="H4035" i="16" s="1"/>
  <c r="H4036" i="16" s="1"/>
  <c r="D247" i="339" s="1"/>
  <c r="H3573" i="16"/>
  <c r="D219" i="339" s="1"/>
  <c r="H7877" i="16"/>
  <c r="H2436" i="16"/>
  <c r="D151" i="339" s="1"/>
  <c r="H4050" i="16"/>
  <c r="H4051" i="16" s="1"/>
  <c r="H4052" i="16" s="1"/>
  <c r="H4053" i="16" s="1"/>
  <c r="D248" i="339" s="1"/>
  <c r="H4607" i="16"/>
  <c r="D286" i="339" s="1"/>
  <c r="I1033" i="16"/>
  <c r="H6835" i="16"/>
  <c r="I5219" i="16"/>
  <c r="H2418" i="16"/>
  <c r="D150" i="339" s="1"/>
  <c r="H2470" i="16"/>
  <c r="D153" i="339" s="1"/>
  <c r="H5284" i="16"/>
  <c r="D328" i="339" s="1"/>
  <c r="H7054" i="16"/>
  <c r="D443" i="339" s="1"/>
  <c r="G7922" i="16"/>
  <c r="H7922" i="16" s="1"/>
  <c r="H7888" i="16"/>
  <c r="H6969" i="16"/>
  <c r="D438" i="339" s="1"/>
  <c r="H2349" i="16"/>
  <c r="D144" i="339" s="1"/>
  <c r="H7873" i="16"/>
  <c r="G7907" i="16"/>
  <c r="H7907" i="16" s="1"/>
  <c r="H3786" i="16"/>
  <c r="D231" i="339" s="1"/>
  <c r="G7908" i="16"/>
  <c r="H7908" i="16" s="1"/>
  <c r="H7874" i="16"/>
  <c r="H6707" i="16"/>
  <c r="D422" i="339" s="1"/>
  <c r="H4940" i="16"/>
  <c r="H4941" i="16" s="1"/>
  <c r="H4591" i="16"/>
  <c r="D285" i="339" s="1"/>
  <c r="H4992" i="16"/>
  <c r="D311" i="339" s="1"/>
  <c r="H2770" i="16"/>
  <c r="D170" i="339" s="1"/>
  <c r="G7978" i="16" s="1"/>
  <c r="G8028" i="16" s="1"/>
  <c r="H8028" i="16" s="1"/>
  <c r="H3122" i="16"/>
  <c r="D194" i="339" s="1"/>
  <c r="H3088" i="16"/>
  <c r="D192" i="339" s="1"/>
  <c r="J60" i="351" s="1"/>
  <c r="K60" i="351" s="1"/>
  <c r="H6935" i="16"/>
  <c r="D436" i="339" s="1"/>
  <c r="H2994" i="16"/>
  <c r="D184" i="339" s="1"/>
  <c r="H3284" i="16"/>
  <c r="D203" i="339" s="1"/>
  <c r="H2367" i="16"/>
  <c r="D147" i="339" s="1"/>
  <c r="I3105" i="16"/>
  <c r="H6020" i="16"/>
  <c r="D379" i="339" s="1"/>
  <c r="H6186" i="16"/>
  <c r="D389" i="339" s="1"/>
  <c r="I6393" i="16"/>
  <c r="H2298" i="16"/>
  <c r="D141" i="339" s="1"/>
  <c r="I1123" i="16"/>
  <c r="I267" i="16"/>
  <c r="I4394" i="16"/>
  <c r="I719" i="16"/>
  <c r="G1482" i="16" s="1"/>
  <c r="H1482" i="16" s="1"/>
  <c r="H1488" i="16" s="1"/>
  <c r="H1489" i="16" s="1"/>
  <c r="H1490" i="16" s="1"/>
  <c r="H1491" i="16" s="1"/>
  <c r="D92" i="339" s="1"/>
  <c r="H5235" i="16"/>
  <c r="D326" i="339" s="1"/>
  <c r="I5639" i="16"/>
  <c r="H6168" i="16"/>
  <c r="D388" i="339" s="1"/>
  <c r="H4231" i="16"/>
  <c r="D261" i="339" s="1"/>
  <c r="I4281" i="16"/>
  <c r="H5699" i="16"/>
  <c r="D357" i="339" s="1"/>
  <c r="H4836" i="16"/>
  <c r="D302" i="339" s="1"/>
  <c r="I2737" i="16"/>
  <c r="I1509" i="16"/>
  <c r="H5865" i="16"/>
  <c r="D370" i="339" s="1"/>
  <c r="I5715" i="16"/>
  <c r="H2556" i="16"/>
  <c r="D158" i="339" s="1"/>
  <c r="I5459" i="16"/>
  <c r="H5594" i="16"/>
  <c r="D350" i="339" s="1"/>
  <c r="H4541" i="16"/>
  <c r="D282" i="339" s="1"/>
  <c r="I46" i="16"/>
  <c r="H24" i="16"/>
  <c r="D4" i="339" s="1"/>
  <c r="I6037" i="16"/>
  <c r="I6443" i="16"/>
  <c r="H4426" i="16"/>
  <c r="D275" i="339" s="1"/>
  <c r="I4182" i="16"/>
  <c r="I6205" i="16"/>
  <c r="I2067" i="16"/>
  <c r="H755" i="16"/>
  <c r="H4888" i="16"/>
  <c r="D305" i="339" s="1"/>
  <c r="I6723" i="16"/>
  <c r="I6691" i="16"/>
  <c r="H5122" i="16"/>
  <c r="D319" i="339" s="1"/>
  <c r="I6222" i="16"/>
  <c r="H4703" i="16"/>
  <c r="D292" i="339" s="1"/>
  <c r="I5907" i="16"/>
  <c r="H6085" i="16"/>
  <c r="D383" i="339" s="1"/>
  <c r="H6986" i="16"/>
  <c r="D439" i="339" s="1"/>
  <c r="H2634" i="16"/>
  <c r="D160" i="339" s="1"/>
  <c r="I4559" i="16"/>
  <c r="D283" i="339" s="1"/>
  <c r="I3901" i="16"/>
  <c r="I3464" i="16"/>
  <c r="H3410" i="16"/>
  <c r="D210" i="339" s="1"/>
  <c r="I2247" i="16"/>
  <c r="H1582" i="16"/>
  <c r="D98" i="339" s="1"/>
  <c r="I3751" i="16"/>
  <c r="I4215" i="16"/>
  <c r="I4818" i="16"/>
  <c r="I4624" i="16"/>
  <c r="I6771" i="16"/>
  <c r="H6306" i="16"/>
  <c r="D398" i="339" s="1"/>
  <c r="J130" i="351" s="1"/>
  <c r="K130" i="351" s="1"/>
  <c r="I5684" i="16"/>
  <c r="H5009" i="16"/>
  <c r="D312" i="339" s="1"/>
  <c r="H4656" i="16"/>
  <c r="D289" i="339" s="1"/>
  <c r="I4907" i="16"/>
  <c r="H6241" i="16"/>
  <c r="D392" i="339" s="1"/>
  <c r="I3212" i="16"/>
  <c r="I2017" i="16"/>
  <c r="H4378" i="16"/>
  <c r="D272" i="339" s="1"/>
  <c r="H4297" i="16"/>
  <c r="D265" i="339" s="1"/>
  <c r="I6323" i="16"/>
  <c r="H4362" i="16"/>
  <c r="D271" i="339" s="1"/>
  <c r="H5171" i="16"/>
  <c r="D322" i="339" s="1"/>
  <c r="I2653" i="16"/>
  <c r="I3693" i="16"/>
  <c r="H793" i="16"/>
  <c r="D55" i="339" s="1"/>
  <c r="H4721" i="16"/>
  <c r="D295" i="339" s="1"/>
  <c r="H3869" i="16"/>
  <c r="D237" i="339" s="1"/>
  <c r="I1304" i="16"/>
  <c r="I5268" i="16"/>
  <c r="H4002" i="16"/>
  <c r="D245" i="339" s="1"/>
  <c r="H5354" i="16"/>
  <c r="D333" i="339" s="1"/>
  <c r="I4474" i="16"/>
  <c r="H7020" i="16"/>
  <c r="D441" i="339" s="1"/>
  <c r="I6851" i="16"/>
  <c r="I202" i="16"/>
  <c r="H5825" i="16"/>
  <c r="D365" i="339" s="1"/>
  <c r="H5106" i="16"/>
  <c r="D318" i="339" s="1"/>
  <c r="I4786" i="16"/>
  <c r="I3040" i="16"/>
  <c r="H2486" i="16"/>
  <c r="I2401" i="16"/>
  <c r="I2034" i="16"/>
  <c r="H6867" i="16"/>
  <c r="H4575" i="16"/>
  <c r="D284" i="339" s="1"/>
  <c r="I6513" i="16"/>
  <c r="I474" i="16"/>
  <c r="H561" i="16"/>
  <c r="D40" i="339" s="1"/>
  <c r="H700" i="16"/>
  <c r="I578" i="16"/>
  <c r="H8459" i="16"/>
  <c r="H8460" i="16" s="1"/>
  <c r="D522" i="339" s="1"/>
  <c r="I1471" i="16"/>
  <c r="H1471" i="16"/>
  <c r="D91" i="339" s="1"/>
  <c r="H5041" i="16"/>
  <c r="I5042" i="16" s="1"/>
  <c r="H5810" i="16"/>
  <c r="D364" i="339" s="1"/>
  <c r="H6273" i="16"/>
  <c r="D394" i="339" s="1"/>
  <c r="H5187" i="16"/>
  <c r="D323" i="339" s="1"/>
  <c r="H4313" i="16"/>
  <c r="D266" i="339" s="1"/>
  <c r="H3428" i="16"/>
  <c r="D211" i="339" s="1"/>
  <c r="H4490" i="16"/>
  <c r="D279" i="339" s="1"/>
  <c r="I174" i="16"/>
  <c r="H112" i="16"/>
  <c r="D8" i="339" s="1"/>
  <c r="I3933" i="16"/>
  <c r="H2866" i="16"/>
  <c r="D176" i="339" s="1"/>
  <c r="H2503" i="16"/>
  <c r="D155" i="339" s="1"/>
  <c r="H6003" i="16"/>
  <c r="D378" i="339" s="1"/>
  <c r="I4522" i="16"/>
  <c r="H4802" i="16"/>
  <c r="D300" i="339" s="1"/>
  <c r="H2818" i="16"/>
  <c r="D173" i="339" s="1"/>
  <c r="H5155" i="16"/>
  <c r="I6901" i="16"/>
  <c r="I2882" i="16"/>
  <c r="I5624" i="16"/>
  <c r="H6462" i="16"/>
  <c r="D407" i="339" s="1"/>
  <c r="H6819" i="16"/>
  <c r="I3917" i="16"/>
  <c r="I1806" i="16"/>
  <c r="I6375" i="16"/>
  <c r="H5969" i="16"/>
  <c r="D376" i="339" s="1"/>
  <c r="I5336" i="16"/>
  <c r="I1453" i="16"/>
  <c r="I4870" i="16"/>
  <c r="H4754" i="16"/>
  <c r="D297" i="339" s="1"/>
  <c r="G8342" i="16"/>
  <c r="H8342" i="16" s="1"/>
  <c r="H8322" i="16"/>
  <c r="H5795" i="16"/>
  <c r="H2897" i="16"/>
  <c r="I2898" i="16" s="1"/>
  <c r="H5073" i="16"/>
  <c r="I5074" i="16" s="1"/>
  <c r="H5730" i="16"/>
  <c r="H5731" i="16" s="1"/>
  <c r="D359" i="339" s="1"/>
  <c r="H8765" i="16"/>
  <c r="H8766" i="16" s="1"/>
  <c r="D545" i="339" s="1"/>
  <c r="H7037" i="16"/>
  <c r="I2802" i="16"/>
  <c r="H737" i="16"/>
  <c r="I4166" i="16"/>
  <c r="I811" i="16"/>
  <c r="H5519" i="16"/>
  <c r="D345" i="339" s="1"/>
  <c r="I6787" i="16"/>
  <c r="I5986" i="16"/>
  <c r="I4410" i="16"/>
  <c r="I5371" i="16"/>
  <c r="H6578" i="16"/>
  <c r="D414" i="339" s="1"/>
  <c r="I1884" i="16"/>
  <c r="H5939" i="16"/>
  <c r="D374" i="339" s="1"/>
  <c r="H2616" i="16"/>
  <c r="D159" i="339" s="1"/>
  <c r="H2214" i="16"/>
  <c r="I6675" i="16"/>
  <c r="H5762" i="16"/>
  <c r="H5763" i="16" s="1"/>
  <c r="D361" i="339" s="1"/>
  <c r="H1084" i="16"/>
  <c r="I1085" i="16" s="1"/>
  <c r="H7002" i="16"/>
  <c r="I7003" i="16" s="1"/>
  <c r="I6290" i="16"/>
  <c r="H6562" i="16"/>
  <c r="D413" i="339" s="1"/>
  <c r="J135" i="351" s="1"/>
  <c r="K135" i="351" s="1"/>
  <c r="N135" i="351" s="1"/>
  <c r="H6917" i="16"/>
  <c r="I6918" i="16" s="1"/>
  <c r="H8325" i="16"/>
  <c r="G8345" i="16"/>
  <c r="H8345" i="16" s="1"/>
  <c r="H7856" i="16"/>
  <c r="H682" i="16"/>
  <c r="I683" i="16" s="1"/>
  <c r="H4099" i="16"/>
  <c r="I4100" i="16" s="1"/>
  <c r="H82" i="16"/>
  <c r="I83" i="16" s="1"/>
  <c r="I3356" i="16"/>
  <c r="I2198" i="16"/>
  <c r="I3675" i="16"/>
  <c r="H3557" i="16"/>
  <c r="D218" i="339" s="1"/>
  <c r="I3302" i="16"/>
  <c r="I2538" i="16"/>
  <c r="I2114" i="16"/>
  <c r="H3818" i="16"/>
  <c r="I3819" i="16" s="1"/>
  <c r="H2720" i="16"/>
  <c r="I2721" i="16" s="1"/>
  <c r="H828" i="16"/>
  <c r="I829" i="16" s="1"/>
  <c r="H611" i="16"/>
  <c r="I612" i="16" s="1"/>
  <c r="I2084" i="16"/>
  <c r="I1751" i="16"/>
  <c r="I1050" i="16"/>
  <c r="I353" i="16"/>
  <c r="I2099" i="16"/>
  <c r="H2164" i="16"/>
  <c r="D134" i="339" s="1"/>
  <c r="I321" i="16"/>
  <c r="H255" i="16"/>
  <c r="D15" i="339" s="1"/>
  <c r="H3950" i="16"/>
  <c r="I3967" i="16"/>
  <c r="D243" i="339" s="1"/>
  <c r="I3374" i="16"/>
  <c r="I3176" i="16"/>
  <c r="I2453" i="16"/>
  <c r="I1633" i="16"/>
  <c r="H1713" i="16"/>
  <c r="D104" i="339" s="1"/>
  <c r="I982" i="16"/>
  <c r="I4084" i="16"/>
  <c r="H4134" i="16"/>
  <c r="D255" i="339" s="1"/>
  <c r="I3657" i="16"/>
  <c r="H775" i="16"/>
  <c r="D54" i="339" s="1"/>
  <c r="I595" i="16"/>
  <c r="H3518" i="16"/>
  <c r="D216" i="339" s="1"/>
  <c r="I2834" i="16"/>
  <c r="H1374" i="16"/>
  <c r="I1267" i="16"/>
  <c r="G6491" i="16" s="1"/>
  <c r="H6491" i="16" s="1"/>
  <c r="G6493" i="16" s="1"/>
  <c r="H6493" i="16" s="1"/>
  <c r="H6494" i="16" s="1"/>
  <c r="H6495" i="16" s="1"/>
  <c r="H3024" i="16"/>
  <c r="D186" i="339" s="1"/>
  <c r="H2705" i="16"/>
  <c r="I152" i="16"/>
  <c r="H2688" i="16"/>
  <c r="H1417" i="16"/>
  <c r="D88" i="339" s="1"/>
  <c r="I665" i="16"/>
  <c r="I1541" i="16"/>
  <c r="D116" i="339"/>
  <c r="G8616" i="16"/>
  <c r="H1016" i="16"/>
  <c r="D68" i="339" s="1"/>
  <c r="I1016" i="16"/>
  <c r="G8027" i="16"/>
  <c r="H8027" i="16" s="1"/>
  <c r="H7977" i="16"/>
  <c r="G8002" i="16"/>
  <c r="H8002" i="16" s="1"/>
  <c r="G8069" i="16"/>
  <c r="G7981" i="16"/>
  <c r="G8006" i="16"/>
  <c r="H8006" i="16" s="1"/>
  <c r="H8007" i="16" s="1"/>
  <c r="G8031" i="16"/>
  <c r="H8031" i="16" s="1"/>
  <c r="H8032" i="16" s="1"/>
  <c r="G7974" i="16"/>
  <c r="G7999" i="16"/>
  <c r="H7999" i="16" s="1"/>
  <c r="H8000" i="16" s="1"/>
  <c r="G8024" i="16"/>
  <c r="H8024" i="16" s="1"/>
  <c r="H8025" i="16" s="1"/>
  <c r="G9133" i="16"/>
  <c r="Q9133" i="16" s="1"/>
  <c r="D14" i="339"/>
  <c r="H217" i="16"/>
  <c r="I2520" i="16"/>
  <c r="I3803" i="16"/>
  <c r="H5025" i="16"/>
  <c r="H5026" i="16" s="1"/>
  <c r="D313" i="339" s="1"/>
  <c r="H4441" i="16"/>
  <c r="I4442" i="16" s="1"/>
  <c r="H4640" i="16"/>
  <c r="D288" i="339" s="1"/>
  <c r="H6411" i="16"/>
  <c r="D404" i="339" s="1"/>
  <c r="J132" i="351" s="1"/>
  <c r="K132" i="351" s="1"/>
  <c r="I2978" i="16"/>
  <c r="I937" i="16"/>
  <c r="H425" i="16"/>
  <c r="D28" i="339" s="1"/>
  <c r="H4198" i="16"/>
  <c r="D259" i="339" s="1"/>
  <c r="H2051" i="16"/>
  <c r="D127" i="339" s="1"/>
  <c r="H1528" i="16"/>
  <c r="D94" i="339" s="1"/>
  <c r="H339" i="16"/>
  <c r="H340" i="16" s="1"/>
  <c r="D19" i="339" s="1"/>
  <c r="H3392" i="16"/>
  <c r="D209" i="339" s="1"/>
  <c r="I4738" i="16"/>
  <c r="G1919" i="16"/>
  <c r="H1904" i="16"/>
  <c r="H1905" i="16" s="1"/>
  <c r="H6754" i="16"/>
  <c r="H6755" i="16" s="1"/>
  <c r="D425" i="339" s="1"/>
  <c r="H1671" i="16"/>
  <c r="D102" i="339" s="1"/>
  <c r="H1287" i="16"/>
  <c r="I4770" i="16"/>
  <c r="I4329" i="16"/>
  <c r="H4924" i="16"/>
  <c r="D307" i="339" s="1"/>
  <c r="H1226" i="16"/>
  <c r="H1227" i="16" s="1"/>
  <c r="D79" i="339" s="1"/>
  <c r="I5886" i="16"/>
  <c r="I6357" i="16"/>
  <c r="I4150" i="16"/>
  <c r="G8304" i="16"/>
  <c r="H8284" i="16"/>
  <c r="H8286" i="16" s="1"/>
  <c r="I1983" i="16"/>
  <c r="I66" i="16"/>
  <c r="I5090" i="16"/>
  <c r="I6952" i="16"/>
  <c r="I2962" i="16"/>
  <c r="I1867" i="16"/>
  <c r="H1204" i="16"/>
  <c r="H1205" i="16" s="1"/>
  <c r="D78" i="339" s="1"/>
  <c r="H6339" i="16"/>
  <c r="H6340" i="16" s="1"/>
  <c r="D400" i="339" s="1"/>
  <c r="H2670" i="16"/>
  <c r="I2671" i="16" s="1"/>
  <c r="I2670" i="16"/>
  <c r="H882" i="16"/>
  <c r="I883" i="16" s="1"/>
  <c r="I4458" i="16"/>
  <c r="I1327" i="16"/>
  <c r="I6151" i="16"/>
  <c r="I6739" i="16"/>
  <c r="I1164" i="16"/>
  <c r="H3445" i="16"/>
  <c r="H3446" i="16" s="1"/>
  <c r="D212" i="339" s="1"/>
  <c r="H6426" i="16"/>
  <c r="H6427" i="16" s="1"/>
  <c r="D405" i="339" s="1"/>
  <c r="H7156" i="16"/>
  <c r="G7175" i="16"/>
  <c r="I2850" i="16"/>
  <c r="I5609" i="16"/>
  <c r="I5139" i="16"/>
  <c r="I2786" i="16"/>
  <c r="I2000" i="16"/>
  <c r="I4249" i="16"/>
  <c r="I3320" i="16"/>
  <c r="I3266" i="16"/>
  <c r="I3140" i="16"/>
  <c r="H6134" i="16"/>
  <c r="D386" i="339" s="1"/>
  <c r="H6626" i="16"/>
  <c r="H6627" i="16" s="1"/>
  <c r="D417" i="339" s="1"/>
  <c r="H5057" i="16"/>
  <c r="H5058" i="16" s="1"/>
  <c r="D315" i="339" s="1"/>
  <c r="F315" i="339" s="1"/>
  <c r="H2263" i="16"/>
  <c r="H2264" i="16" s="1"/>
  <c r="D139" i="339" s="1"/>
  <c r="I377" i="16"/>
  <c r="I4345" i="16"/>
  <c r="H4264" i="16"/>
  <c r="H4265" i="16" s="1"/>
  <c r="D263" i="339" s="1"/>
  <c r="I2930" i="16"/>
  <c r="H5405" i="16"/>
  <c r="D336" i="339" s="1"/>
  <c r="H7116" i="16"/>
  <c r="H7119" i="16" s="1"/>
  <c r="H7127" i="16" s="1"/>
  <c r="G7135" i="16"/>
  <c r="G7919" i="16"/>
  <c r="H7919" i="16" s="1"/>
  <c r="H7885" i="16"/>
  <c r="I3885" i="16"/>
  <c r="I5252" i="16"/>
  <c r="H3157" i="16"/>
  <c r="H3158" i="16" s="1"/>
  <c r="D196" i="339" s="1"/>
  <c r="I6531" i="16"/>
  <c r="I629" i="16"/>
  <c r="I6643" i="16"/>
  <c r="I3500" i="16"/>
  <c r="I1694" i="16"/>
  <c r="I4019" i="16"/>
  <c r="H6658" i="16"/>
  <c r="H6659" i="16" s="1"/>
  <c r="D419" i="339" s="1"/>
  <c r="H6069" i="16"/>
  <c r="D382" i="339" s="1"/>
  <c r="I4506" i="16"/>
  <c r="I1938" i="16"/>
  <c r="I5654" i="16"/>
  <c r="I2914" i="16"/>
  <c r="H6117" i="16"/>
  <c r="D385" i="339" s="1"/>
  <c r="I2754" i="16"/>
  <c r="H6883" i="16"/>
  <c r="I6884" i="16" s="1"/>
  <c r="I3194" i="16"/>
  <c r="H3728" i="16"/>
  <c r="H3729" i="16" s="1"/>
  <c r="D228" i="339" s="1"/>
  <c r="H4957" i="16"/>
  <c r="H4958" i="16" s="1"/>
  <c r="D309" i="339" s="1"/>
  <c r="I847" i="16"/>
  <c r="H7875" i="16"/>
  <c r="G7909" i="16"/>
  <c r="H7909" i="16" s="1"/>
  <c r="H2383" i="16"/>
  <c r="H2384" i="16" s="1"/>
  <c r="D148" i="339" s="1"/>
  <c r="H8323" i="16"/>
  <c r="G8343" i="16"/>
  <c r="H8343" i="16" s="1"/>
  <c r="I1851" i="16"/>
  <c r="I3621" i="16"/>
  <c r="H1434" i="16"/>
  <c r="H1435" i="16" s="1"/>
  <c r="D89" i="339" s="1"/>
  <c r="I3639" i="16"/>
  <c r="I130" i="16"/>
  <c r="G7986" i="16"/>
  <c r="G8011" i="16"/>
  <c r="H8011" i="16" s="1"/>
  <c r="G8036" i="16"/>
  <c r="H8036" i="16" s="1"/>
  <c r="H3247" i="16"/>
  <c r="H3248" i="16" s="1"/>
  <c r="D201" i="339" s="1"/>
  <c r="G9177" i="16"/>
  <c r="H9160" i="16"/>
  <c r="H9161" i="16" s="1"/>
  <c r="H5778" i="16"/>
  <c r="H5779" i="16" s="1"/>
  <c r="D362" i="339" s="1"/>
  <c r="H3229" i="16"/>
  <c r="I3230" i="16" s="1"/>
  <c r="H5442" i="16"/>
  <c r="H5443" i="16" s="1"/>
  <c r="H7153" i="16"/>
  <c r="G7172" i="16"/>
  <c r="H999" i="16"/>
  <c r="I999" i="16"/>
  <c r="N83" i="351" l="1"/>
  <c r="L59" i="351"/>
  <c r="M59" i="351" s="1"/>
  <c r="N59" i="351" s="1"/>
  <c r="L81" i="351"/>
  <c r="M81" i="351" s="1"/>
  <c r="N72" i="351"/>
  <c r="L64" i="351"/>
  <c r="M64" i="351" s="1"/>
  <c r="N64" i="351" s="1"/>
  <c r="L88" i="351"/>
  <c r="M88" i="351" s="1"/>
  <c r="N88" i="351" s="1"/>
  <c r="L87" i="351"/>
  <c r="M87" i="351" s="1"/>
  <c r="N87" i="351" s="1"/>
  <c r="N139" i="351"/>
  <c r="N34" i="351"/>
  <c r="G7989" i="16"/>
  <c r="H865" i="16"/>
  <c r="D59" i="339" s="1"/>
  <c r="N132" i="351"/>
  <c r="L24" i="351"/>
  <c r="M24" i="351" s="1"/>
  <c r="L39" i="351"/>
  <c r="M39" i="351" s="1"/>
  <c r="N39" i="351" s="1"/>
  <c r="N8" i="351"/>
  <c r="M10" i="351"/>
  <c r="N82" i="351"/>
  <c r="N97" i="351"/>
  <c r="G8014" i="16"/>
  <c r="H8014" i="16" s="1"/>
  <c r="H8015" i="16" s="1"/>
  <c r="G8039" i="16"/>
  <c r="H8039" i="16" s="1"/>
  <c r="H8040" i="16" s="1"/>
  <c r="N107" i="351"/>
  <c r="L85" i="351"/>
  <c r="M85" i="351" s="1"/>
  <c r="N85" i="351" s="1"/>
  <c r="L111" i="351"/>
  <c r="M111" i="351" s="1"/>
  <c r="N111" i="351" s="1"/>
  <c r="K5793" i="16"/>
  <c r="N54" i="351"/>
  <c r="N122" i="351"/>
  <c r="N66" i="351"/>
  <c r="L36" i="351"/>
  <c r="M36" i="351" s="1"/>
  <c r="N36" i="351" s="1"/>
  <c r="L21" i="351"/>
  <c r="M21" i="351" s="1"/>
  <c r="N21" i="351" s="1"/>
  <c r="N31" i="351"/>
  <c r="N20" i="351"/>
  <c r="N154" i="351"/>
  <c r="N53" i="351"/>
  <c r="N15" i="351"/>
  <c r="N16" i="351"/>
  <c r="N35" i="351"/>
  <c r="M864" i="16"/>
  <c r="M865" i="16" s="1"/>
  <c r="E59" i="339" s="1"/>
  <c r="K863" i="16"/>
  <c r="J43" i="351"/>
  <c r="K43" i="351" s="1"/>
  <c r="J155" i="351"/>
  <c r="J83" i="351"/>
  <c r="K83" i="351" s="1"/>
  <c r="D163" i="339"/>
  <c r="J57" i="351"/>
  <c r="K57" i="351" s="1"/>
  <c r="N57" i="351" s="1"/>
  <c r="K98" i="351"/>
  <c r="N98" i="351" s="1"/>
  <c r="U149" i="352"/>
  <c r="V149" i="352" s="1"/>
  <c r="K155" i="351"/>
  <c r="K156" i="351" s="1"/>
  <c r="J55" i="351"/>
  <c r="K55" i="351" s="1"/>
  <c r="N55" i="351" s="1"/>
  <c r="R9172" i="16"/>
  <c r="H9169" i="16"/>
  <c r="J24" i="351"/>
  <c r="K24" i="351" s="1"/>
  <c r="J39" i="351"/>
  <c r="K39" i="351" s="1"/>
  <c r="D82" i="339"/>
  <c r="J41" i="351"/>
  <c r="K41" i="351" s="1"/>
  <c r="N41" i="351" s="1"/>
  <c r="G8034" i="16"/>
  <c r="H8034" i="16" s="1"/>
  <c r="J117" i="351"/>
  <c r="K117" i="351" s="1"/>
  <c r="N117" i="351" s="1"/>
  <c r="J116" i="351"/>
  <c r="K116" i="351" s="1"/>
  <c r="N116" i="351" s="1"/>
  <c r="J59" i="351"/>
  <c r="K59" i="351" s="1"/>
  <c r="J81" i="351"/>
  <c r="K81" i="351" s="1"/>
  <c r="J32" i="351"/>
  <c r="K32" i="351" s="1"/>
  <c r="J17" i="351"/>
  <c r="K17" i="351" s="1"/>
  <c r="Q9150" i="16"/>
  <c r="R9150" i="16" s="1"/>
  <c r="R9151" i="16" s="1"/>
  <c r="R9133" i="16"/>
  <c r="R9134" i="16" s="1"/>
  <c r="D137" i="339"/>
  <c r="D432" i="339"/>
  <c r="H9210" i="16"/>
  <c r="G9227" i="16"/>
  <c r="D154" i="339"/>
  <c r="J104" i="351" s="1"/>
  <c r="K104" i="351" s="1"/>
  <c r="K118" i="351" s="1"/>
  <c r="D53" i="339"/>
  <c r="D67" i="339"/>
  <c r="G8035" i="16" s="1"/>
  <c r="H8035" i="16" s="1"/>
  <c r="D429" i="339"/>
  <c r="J124" i="351" s="1"/>
  <c r="K124" i="351" s="1"/>
  <c r="N124" i="351" s="1"/>
  <c r="D321" i="339"/>
  <c r="D430" i="339"/>
  <c r="J125" i="351" s="1"/>
  <c r="K125" i="351" s="1"/>
  <c r="N125" i="351" s="1"/>
  <c r="D52" i="339"/>
  <c r="H9180" i="16"/>
  <c r="H9182" i="16" s="1"/>
  <c r="D85" i="339"/>
  <c r="I4941" i="16"/>
  <c r="G8009" i="16"/>
  <c r="H8009" i="16" s="1"/>
  <c r="I5318" i="16"/>
  <c r="G9197" i="16"/>
  <c r="H9197" i="16" s="1"/>
  <c r="H9199" i="16" s="1"/>
  <c r="G914" i="16"/>
  <c r="H914" i="16" s="1"/>
  <c r="H916" i="16" s="1"/>
  <c r="H917" i="16" s="1"/>
  <c r="H918" i="16" s="1"/>
  <c r="I919" i="16" s="1"/>
  <c r="I4036" i="16"/>
  <c r="G8566" i="16"/>
  <c r="H8566" i="16" s="1"/>
  <c r="H7924" i="16"/>
  <c r="H7890" i="16"/>
  <c r="G7984" i="16"/>
  <c r="H7984" i="16" s="1"/>
  <c r="D308" i="339"/>
  <c r="G8070" i="16"/>
  <c r="G8147" i="16" s="1"/>
  <c r="I6493" i="16"/>
  <c r="H8029" i="16"/>
  <c r="G8003" i="16"/>
  <c r="H8003" i="16" s="1"/>
  <c r="H8004" i="16" s="1"/>
  <c r="H8017" i="16" s="1"/>
  <c r="H7978" i="16"/>
  <c r="H7979" i="16" s="1"/>
  <c r="H5042" i="16"/>
  <c r="D314" i="339" s="1"/>
  <c r="H5074" i="16"/>
  <c r="D316" i="339" s="1"/>
  <c r="I5443" i="16"/>
  <c r="D338" i="339" s="1"/>
  <c r="I5779" i="16"/>
  <c r="I1905" i="16"/>
  <c r="H6918" i="16"/>
  <c r="D435" i="339" s="1"/>
  <c r="H2671" i="16"/>
  <c r="D162" i="339" s="1"/>
  <c r="I6755" i="16"/>
  <c r="H3230" i="16"/>
  <c r="D200" i="339" s="1"/>
  <c r="H6884" i="16"/>
  <c r="D433" i="339" s="1"/>
  <c r="I6659" i="16"/>
  <c r="H4442" i="16"/>
  <c r="D276" i="339" s="1"/>
  <c r="H829" i="16"/>
  <c r="D57" i="339" s="1"/>
  <c r="H83" i="16"/>
  <c r="D7" i="339" s="1"/>
  <c r="I2384" i="16"/>
  <c r="I5731" i="16"/>
  <c r="H683" i="16"/>
  <c r="D47" i="339" s="1"/>
  <c r="H5301" i="16"/>
  <c r="D329" i="339" s="1"/>
  <c r="I1435" i="16"/>
  <c r="I4053" i="16"/>
  <c r="I2264" i="16"/>
  <c r="I6427" i="16"/>
  <c r="I5763" i="16"/>
  <c r="H1085" i="16"/>
  <c r="D72" i="339" s="1"/>
  <c r="H2898" i="16"/>
  <c r="D178" i="339" s="1"/>
  <c r="H7003" i="16"/>
  <c r="D440" i="339" s="1"/>
  <c r="I1491" i="16"/>
  <c r="I3158" i="16"/>
  <c r="H883" i="16"/>
  <c r="D60" i="339" s="1"/>
  <c r="I1205" i="16"/>
  <c r="H612" i="16"/>
  <c r="D43" i="339" s="1"/>
  <c r="H2721" i="16"/>
  <c r="D165" i="339" s="1"/>
  <c r="H3819" i="16"/>
  <c r="D233" i="339" s="1"/>
  <c r="J61" i="351" s="1"/>
  <c r="K61" i="351" s="1"/>
  <c r="N61" i="351" s="1"/>
  <c r="H4100" i="16"/>
  <c r="D253" i="339" s="1"/>
  <c r="H9170" i="16"/>
  <c r="H9171" i="16" s="1"/>
  <c r="G8078" i="16"/>
  <c r="H7986" i="16"/>
  <c r="H1906" i="16"/>
  <c r="D118" i="339" s="1"/>
  <c r="G8615" i="16"/>
  <c r="G9211" i="16"/>
  <c r="G9194" i="16"/>
  <c r="H9194" i="16" s="1"/>
  <c r="H9195" i="16" s="1"/>
  <c r="H9177" i="16"/>
  <c r="H9178" i="16" s="1"/>
  <c r="H7989" i="16"/>
  <c r="H7990" i="16" s="1"/>
  <c r="G8081" i="16"/>
  <c r="I4265" i="16"/>
  <c r="I6340" i="16"/>
  <c r="H8304" i="16"/>
  <c r="H8306" i="16" s="1"/>
  <c r="G8324" i="16"/>
  <c r="H900" i="16"/>
  <c r="H901" i="16" s="1"/>
  <c r="D61" i="339" s="1"/>
  <c r="H8069" i="16"/>
  <c r="G8146" i="16"/>
  <c r="H8146" i="16" s="1"/>
  <c r="G8093" i="16"/>
  <c r="I3248" i="16"/>
  <c r="H7135" i="16"/>
  <c r="H7138" i="16" s="1"/>
  <c r="H7146" i="16" s="1"/>
  <c r="G7154" i="16"/>
  <c r="I5058" i="16"/>
  <c r="I5424" i="16"/>
  <c r="H1919" i="16"/>
  <c r="H1920" i="16" s="1"/>
  <c r="H1921" i="16" s="1"/>
  <c r="G2126" i="16"/>
  <c r="H9133" i="16"/>
  <c r="G9286" i="16"/>
  <c r="G9150" i="16"/>
  <c r="H7128" i="16"/>
  <c r="H7129" i="16" s="1"/>
  <c r="D449" i="339" s="1"/>
  <c r="H7175" i="16"/>
  <c r="G7194" i="16"/>
  <c r="I5026" i="16"/>
  <c r="H6496" i="16"/>
  <c r="H6497" i="16" s="1"/>
  <c r="D409" i="339" s="1"/>
  <c r="H7172" i="16"/>
  <c r="G7191" i="16"/>
  <c r="I4958" i="16"/>
  <c r="I340" i="16"/>
  <c r="H7974" i="16"/>
  <c r="H7975" i="16" s="1"/>
  <c r="G8066" i="16"/>
  <c r="G9231" i="16"/>
  <c r="H9214" i="16"/>
  <c r="H9216" i="16" s="1"/>
  <c r="H8616" i="16"/>
  <c r="G8651" i="16"/>
  <c r="H8651" i="16" s="1"/>
  <c r="G8073" i="16"/>
  <c r="H7981" i="16"/>
  <c r="H7982" i="16" s="1"/>
  <c r="L155" i="351" l="1"/>
  <c r="M155" i="351" s="1"/>
  <c r="L43" i="351"/>
  <c r="M43" i="351" s="1"/>
  <c r="N43" i="351" s="1"/>
  <c r="N81" i="351"/>
  <c r="M99" i="351"/>
  <c r="N24" i="351"/>
  <c r="H8042" i="16"/>
  <c r="H8043" i="16" s="1"/>
  <c r="H8044" i="16" s="1"/>
  <c r="D498" i="339" s="1"/>
  <c r="M118" i="351"/>
  <c r="N104" i="351"/>
  <c r="E12" i="353"/>
  <c r="R9135" i="16"/>
  <c r="R9136" i="16" s="1"/>
  <c r="R9137" i="16" s="1"/>
  <c r="G8076" i="16"/>
  <c r="G8100" i="16" s="1"/>
  <c r="G8010" i="16"/>
  <c r="H8010" i="16" s="1"/>
  <c r="H8012" i="16" s="1"/>
  <c r="G7985" i="16"/>
  <c r="G8077" i="16" s="1"/>
  <c r="H8037" i="16"/>
  <c r="J52" i="351"/>
  <c r="K52" i="351" s="1"/>
  <c r="N52" i="351" s="1"/>
  <c r="J80" i="351"/>
  <c r="K80" i="351" s="1"/>
  <c r="N80" i="351" s="1"/>
  <c r="J42" i="351"/>
  <c r="K42" i="351" s="1"/>
  <c r="R9152" i="16"/>
  <c r="R9153" i="16" s="1"/>
  <c r="R9154" i="16" s="1"/>
  <c r="H9227" i="16"/>
  <c r="G9244" i="16"/>
  <c r="D571" i="339"/>
  <c r="G8604" i="16"/>
  <c r="H8604" i="16" s="1"/>
  <c r="H8147" i="16"/>
  <c r="H8148" i="16" s="1"/>
  <c r="G8568" i="16"/>
  <c r="H8568" i="16" s="1"/>
  <c r="G8094" i="16"/>
  <c r="H8070" i="16"/>
  <c r="H8071" i="16" s="1"/>
  <c r="I901" i="16"/>
  <c r="H7992" i="16"/>
  <c r="H7993" i="16" s="1"/>
  <c r="H7994" i="16" s="1"/>
  <c r="D496" i="339" s="1"/>
  <c r="G9218" i="16"/>
  <c r="G9303" i="16"/>
  <c r="H9303" i="16" s="1"/>
  <c r="H9304" i="16" s="1"/>
  <c r="H9150" i="16"/>
  <c r="H7147" i="16"/>
  <c r="H7148" i="16" s="1"/>
  <c r="D450" i="339" s="1"/>
  <c r="H919" i="16"/>
  <c r="D62" i="339" s="1"/>
  <c r="H9134" i="16"/>
  <c r="H9135" i="16"/>
  <c r="G8150" i="16"/>
  <c r="H8150" i="16" s="1"/>
  <c r="H8151" i="16" s="1"/>
  <c r="H8073" i="16"/>
  <c r="H8074" i="16" s="1"/>
  <c r="G8097" i="16"/>
  <c r="H8018" i="16"/>
  <c r="H8019" i="16" s="1"/>
  <c r="D497" i="339" s="1"/>
  <c r="H2126" i="16"/>
  <c r="H2127" i="16" s="1"/>
  <c r="H2128" i="16" s="1"/>
  <c r="G2142" i="16"/>
  <c r="H2142" i="16" s="1"/>
  <c r="H2144" i="16" s="1"/>
  <c r="H2145" i="16" s="1"/>
  <c r="H8324" i="16"/>
  <c r="H8326" i="16" s="1"/>
  <c r="G8344" i="16"/>
  <c r="H8344" i="16" s="1"/>
  <c r="H8346" i="16" s="1"/>
  <c r="H7191" i="16"/>
  <c r="G7210" i="16"/>
  <c r="H1922" i="16"/>
  <c r="H1923" i="16" s="1"/>
  <c r="D119" i="339" s="1"/>
  <c r="G9228" i="16"/>
  <c r="H9211" i="16"/>
  <c r="H9212" i="16" s="1"/>
  <c r="G7213" i="16"/>
  <c r="H7194" i="16"/>
  <c r="G9248" i="16"/>
  <c r="H9231" i="16"/>
  <c r="H9233" i="16" s="1"/>
  <c r="H8066" i="16"/>
  <c r="H8067" i="16" s="1"/>
  <c r="G8090" i="16"/>
  <c r="G8143" i="16"/>
  <c r="H8143" i="16" s="1"/>
  <c r="H8144" i="16" s="1"/>
  <c r="G9269" i="16"/>
  <c r="H9286" i="16"/>
  <c r="H9287" i="16" s="1"/>
  <c r="H8093" i="16"/>
  <c r="G8117" i="16"/>
  <c r="H8615" i="16"/>
  <c r="H8618" i="16" s="1"/>
  <c r="H8643" i="16" s="1"/>
  <c r="G8650" i="16"/>
  <c r="H8650" i="16" s="1"/>
  <c r="H8653" i="16" s="1"/>
  <c r="H8678" i="16" s="1"/>
  <c r="H8078" i="16"/>
  <c r="G8102" i="16"/>
  <c r="G8155" i="16"/>
  <c r="H8155" i="16" s="1"/>
  <c r="G7173" i="16"/>
  <c r="H7154" i="16"/>
  <c r="H7157" i="16" s="1"/>
  <c r="H7165" i="16" s="1"/>
  <c r="H8081" i="16"/>
  <c r="H8082" i="16" s="1"/>
  <c r="G8158" i="16"/>
  <c r="H8158" i="16" s="1"/>
  <c r="H8159" i="16" s="1"/>
  <c r="G8105" i="16"/>
  <c r="K44" i="351" l="1"/>
  <c r="N42" i="351"/>
  <c r="N155" i="351"/>
  <c r="M156" i="351"/>
  <c r="K99" i="351"/>
  <c r="E11" i="353" s="1"/>
  <c r="K77" i="351"/>
  <c r="E10" i="353" s="1"/>
  <c r="E8" i="353"/>
  <c r="H8076" i="16"/>
  <c r="G8153" i="16"/>
  <c r="H8153" i="16" s="1"/>
  <c r="H7985" i="16"/>
  <c r="H7987" i="16" s="1"/>
  <c r="G9261" i="16"/>
  <c r="H9244" i="16"/>
  <c r="G8606" i="16"/>
  <c r="H8606" i="16" s="1"/>
  <c r="G8118" i="16"/>
  <c r="H8118" i="16" s="1"/>
  <c r="H8094" i="16"/>
  <c r="H8095" i="16" s="1"/>
  <c r="I1923" i="16"/>
  <c r="G8124" i="16"/>
  <c r="H8124" i="16" s="1"/>
  <c r="H8100" i="16"/>
  <c r="H8097" i="16"/>
  <c r="H8098" i="16" s="1"/>
  <c r="G8121" i="16"/>
  <c r="H8121" i="16" s="1"/>
  <c r="H8122" i="16" s="1"/>
  <c r="H7166" i="16"/>
  <c r="H7167" i="16" s="1"/>
  <c r="D451" i="339" s="1"/>
  <c r="G7192" i="16"/>
  <c r="H7173" i="16"/>
  <c r="H7176" i="16" s="1"/>
  <c r="H7184" i="16" s="1"/>
  <c r="H9248" i="16"/>
  <c r="H9250" i="16" s="1"/>
  <c r="G9265" i="16"/>
  <c r="H2146" i="16"/>
  <c r="H2147" i="16" s="1"/>
  <c r="D133" i="339" s="1"/>
  <c r="H8102" i="16"/>
  <c r="G8126" i="16"/>
  <c r="H8126" i="16" s="1"/>
  <c r="G9252" i="16"/>
  <c r="H9269" i="16"/>
  <c r="H9270" i="16" s="1"/>
  <c r="H7213" i="16"/>
  <c r="G7232" i="16"/>
  <c r="H2129" i="16"/>
  <c r="H2130" i="16" s="1"/>
  <c r="D132" i="339" s="1"/>
  <c r="G7229" i="16"/>
  <c r="H7210" i="16"/>
  <c r="G8154" i="16"/>
  <c r="H8154" i="16" s="1"/>
  <c r="H8077" i="16"/>
  <c r="G8101" i="16"/>
  <c r="H8679" i="16"/>
  <c r="H8680" i="16" s="1"/>
  <c r="D532" i="339" s="1"/>
  <c r="H8090" i="16"/>
  <c r="H8091" i="16" s="1"/>
  <c r="G8114" i="16"/>
  <c r="H8114" i="16" s="1"/>
  <c r="H8115" i="16" s="1"/>
  <c r="H9228" i="16"/>
  <c r="H9229" i="16" s="1"/>
  <c r="G9245" i="16"/>
  <c r="H8105" i="16"/>
  <c r="H8106" i="16" s="1"/>
  <c r="G8129" i="16"/>
  <c r="H8129" i="16" s="1"/>
  <c r="H8130" i="16" s="1"/>
  <c r="H9136" i="16"/>
  <c r="H9137" i="16" s="1"/>
  <c r="D569" i="339" s="1"/>
  <c r="H9151" i="16"/>
  <c r="H9152" i="16"/>
  <c r="H8644" i="16"/>
  <c r="H8645" i="16" s="1"/>
  <c r="D531" i="339" s="1"/>
  <c r="G8567" i="16"/>
  <c r="H8117" i="16"/>
  <c r="G9201" i="16"/>
  <c r="H9218" i="16"/>
  <c r="G12" i="353" l="1"/>
  <c r="K119" i="351"/>
  <c r="E9" i="353" s="1"/>
  <c r="H8079" i="16"/>
  <c r="H8083" i="16" s="1"/>
  <c r="H8156" i="16"/>
  <c r="H8160" i="16" s="1"/>
  <c r="H8161" i="16" s="1"/>
  <c r="H8162" i="16" s="1"/>
  <c r="D503" i="339" s="1"/>
  <c r="H9261" i="16"/>
  <c r="G9278" i="16"/>
  <c r="H8119" i="16"/>
  <c r="I2147" i="16"/>
  <c r="H7192" i="16"/>
  <c r="H7195" i="16" s="1"/>
  <c r="H7203" i="16" s="1"/>
  <c r="G7211" i="16"/>
  <c r="H7185" i="16"/>
  <c r="H7186" i="16" s="1"/>
  <c r="D452" i="339" s="1"/>
  <c r="I2130" i="16"/>
  <c r="G9235" i="16"/>
  <c r="H9235" i="16" s="1"/>
  <c r="H9252" i="16"/>
  <c r="H9253" i="16" s="1"/>
  <c r="H9153" i="16"/>
  <c r="H9154" i="16" s="1"/>
  <c r="D570" i="339" s="1"/>
  <c r="H8101" i="16"/>
  <c r="H8103" i="16" s="1"/>
  <c r="H8107" i="16" s="1"/>
  <c r="G8125" i="16"/>
  <c r="H8125" i="16" s="1"/>
  <c r="H8127" i="16" s="1"/>
  <c r="H9219" i="16"/>
  <c r="H9220" i="16"/>
  <c r="H9245" i="16"/>
  <c r="H9246" i="16" s="1"/>
  <c r="G9262" i="16"/>
  <c r="H7232" i="16"/>
  <c r="G7251" i="16"/>
  <c r="H7229" i="16"/>
  <c r="G7248" i="16"/>
  <c r="H8567" i="16"/>
  <c r="H8569" i="16" s="1"/>
  <c r="H8570" i="16" s="1"/>
  <c r="G8605" i="16"/>
  <c r="H8605" i="16" s="1"/>
  <c r="H8607" i="16" s="1"/>
  <c r="H8608" i="16" s="1"/>
  <c r="H8084" i="16"/>
  <c r="H8085" i="16" s="1"/>
  <c r="D500" i="339" s="1"/>
  <c r="G9184" i="16"/>
  <c r="H9184" i="16" s="1"/>
  <c r="H9201" i="16"/>
  <c r="H9265" i="16"/>
  <c r="H9267" i="16" s="1"/>
  <c r="G9282" i="16"/>
  <c r="H9278" i="16" l="1"/>
  <c r="G9295" i="16"/>
  <c r="H9295" i="16" s="1"/>
  <c r="D234" i="339"/>
  <c r="H8136" i="16"/>
  <c r="H8137" i="16" s="1"/>
  <c r="H8138" i="16" s="1"/>
  <c r="D502" i="339" s="1"/>
  <c r="H9254" i="16"/>
  <c r="H9255" i="16" s="1"/>
  <c r="H9256" i="16" s="1"/>
  <c r="D576" i="339" s="1"/>
  <c r="H8108" i="16"/>
  <c r="H8109" i="16" s="1"/>
  <c r="D501" i="339" s="1"/>
  <c r="H7211" i="16"/>
  <c r="H7214" i="16" s="1"/>
  <c r="H7222" i="16" s="1"/>
  <c r="G7230" i="16"/>
  <c r="H7251" i="16"/>
  <c r="M7251" i="16" s="1"/>
  <c r="G7270" i="16"/>
  <c r="H7204" i="16"/>
  <c r="H7205" i="16" s="1"/>
  <c r="D453" i="339" s="1"/>
  <c r="H9202" i="16"/>
  <c r="H9203" i="16"/>
  <c r="H9236" i="16"/>
  <c r="H9237" i="16"/>
  <c r="H9185" i="16"/>
  <c r="H9186" i="16"/>
  <c r="G9279" i="16"/>
  <c r="H9262" i="16"/>
  <c r="H9263" i="16" s="1"/>
  <c r="H9271" i="16" s="1"/>
  <c r="G9299" i="16"/>
  <c r="H9299" i="16" s="1"/>
  <c r="H9301" i="16" s="1"/>
  <c r="H9282" i="16"/>
  <c r="H9284" i="16" s="1"/>
  <c r="H8609" i="16"/>
  <c r="H8610" i="16" s="1"/>
  <c r="D530" i="339" s="1"/>
  <c r="H9221" i="16"/>
  <c r="H9222" i="16" s="1"/>
  <c r="H8571" i="16"/>
  <c r="H8572" i="16" s="1"/>
  <c r="D529" i="339" s="1"/>
  <c r="H7248" i="16"/>
  <c r="M7248" i="16" s="1"/>
  <c r="G7267" i="16"/>
  <c r="D574" i="339" l="1"/>
  <c r="G7249" i="16"/>
  <c r="H7230" i="16"/>
  <c r="H7233" i="16" s="1"/>
  <c r="H7241" i="16" s="1"/>
  <c r="H9238" i="16"/>
  <c r="H9239" i="16" s="1"/>
  <c r="D575" i="339" s="1"/>
  <c r="H7223" i="16"/>
  <c r="H7224" i="16" s="1"/>
  <c r="D454" i="339" s="1"/>
  <c r="H9272" i="16"/>
  <c r="H9273" i="16" s="1"/>
  <c r="D577" i="339" s="1"/>
  <c r="H7267" i="16"/>
  <c r="G7286" i="16"/>
  <c r="H9204" i="16"/>
  <c r="H9205" i="16" s="1"/>
  <c r="D573" i="339" s="1"/>
  <c r="G9296" i="16"/>
  <c r="H9296" i="16" s="1"/>
  <c r="H9297" i="16" s="1"/>
  <c r="H9305" i="16" s="1"/>
  <c r="H9279" i="16"/>
  <c r="H9280" i="16" s="1"/>
  <c r="H9288" i="16" s="1"/>
  <c r="H9187" i="16"/>
  <c r="H9188" i="16" s="1"/>
  <c r="D572" i="339" s="1"/>
  <c r="G7289" i="16"/>
  <c r="H7270" i="16"/>
  <c r="E16" i="353" l="1"/>
  <c r="H9306" i="16"/>
  <c r="H9307" i="16" s="1"/>
  <c r="D579" i="339" s="1"/>
  <c r="H9289" i="16"/>
  <c r="H9290" i="16" s="1"/>
  <c r="D578" i="339" s="1"/>
  <c r="H7289" i="16"/>
  <c r="G7308" i="16"/>
  <c r="G7305" i="16"/>
  <c r="H7286" i="16"/>
  <c r="H7242" i="16"/>
  <c r="H7243" i="16" s="1"/>
  <c r="D455" i="339" s="1"/>
  <c r="H7249" i="16"/>
  <c r="G7268" i="16"/>
  <c r="H7252" i="16" l="1"/>
  <c r="H7260" i="16" s="1"/>
  <c r="M7249" i="16"/>
  <c r="M7252" i="16" s="1"/>
  <c r="M7260" i="16" s="1"/>
  <c r="H7308" i="16"/>
  <c r="G7327" i="16"/>
  <c r="H7305" i="16"/>
  <c r="G7324" i="16"/>
  <c r="H7268" i="16"/>
  <c r="H7271" i="16" s="1"/>
  <c r="H7279" i="16" s="1"/>
  <c r="G7287" i="16"/>
  <c r="H7261" i="16"/>
  <c r="H7262" i="16" s="1"/>
  <c r="D456" i="339" s="1"/>
  <c r="J126" i="351" s="1"/>
  <c r="K126" i="351" s="1"/>
  <c r="M7261" i="16" l="1"/>
  <c r="K7260" i="16"/>
  <c r="M7262" i="16"/>
  <c r="E456" i="339" s="1"/>
  <c r="L126" i="351" s="1"/>
  <c r="M126" i="351" s="1"/>
  <c r="E14" i="353"/>
  <c r="G15" i="353" s="1"/>
  <c r="K151" i="351"/>
  <c r="H7287" i="16"/>
  <c r="H7290" i="16" s="1"/>
  <c r="H7298" i="16" s="1"/>
  <c r="G7306" i="16"/>
  <c r="H7324" i="16"/>
  <c r="G7342" i="16"/>
  <c r="H7280" i="16"/>
  <c r="H7281" i="16" s="1"/>
  <c r="D457" i="339" s="1"/>
  <c r="H7327" i="16"/>
  <c r="G7345" i="16"/>
  <c r="N126" i="351" l="1"/>
  <c r="M151" i="351"/>
  <c r="E13" i="353"/>
  <c r="E18" i="353" s="1"/>
  <c r="E19" i="353" s="1"/>
  <c r="E20" i="353" s="1"/>
  <c r="E21" i="353" s="1"/>
  <c r="K160" i="351"/>
  <c r="H7342" i="16"/>
  <c r="G7360" i="16"/>
  <c r="G7325" i="16"/>
  <c r="H7306" i="16"/>
  <c r="H7309" i="16" s="1"/>
  <c r="H7317" i="16" s="1"/>
  <c r="G7363" i="16"/>
  <c r="H7345" i="16"/>
  <c r="H7299" i="16"/>
  <c r="H7300" i="16" s="1"/>
  <c r="D458" i="339" s="1"/>
  <c r="L868" i="340" l="1"/>
  <c r="G22" i="353"/>
  <c r="H7363" i="16"/>
  <c r="G7381" i="16"/>
  <c r="H7360" i="16"/>
  <c r="G7378" i="16"/>
  <c r="H7318" i="16"/>
  <c r="H7319" i="16" s="1"/>
  <c r="D459" i="339" s="1"/>
  <c r="H7325" i="16"/>
  <c r="H7328" i="16" s="1"/>
  <c r="H7335" i="16" s="1"/>
  <c r="G7343" i="16"/>
  <c r="H7343" i="16" l="1"/>
  <c r="H7346" i="16" s="1"/>
  <c r="H7353" i="16" s="1"/>
  <c r="G7361" i="16"/>
  <c r="G7397" i="16"/>
  <c r="H7378" i="16"/>
  <c r="H7336" i="16"/>
  <c r="H7337" i="16" s="1"/>
  <c r="D460" i="339" s="1"/>
  <c r="H7381" i="16"/>
  <c r="G7400" i="16"/>
  <c r="G7379" i="16" l="1"/>
  <c r="H7361" i="16"/>
  <c r="H7364" i="16" s="1"/>
  <c r="H7371" i="16" s="1"/>
  <c r="H7397" i="16"/>
  <c r="G7416" i="16"/>
  <c r="H7400" i="16"/>
  <c r="G7419" i="16"/>
  <c r="H7354" i="16"/>
  <c r="H7355" i="16" s="1"/>
  <c r="D461" i="339" s="1"/>
  <c r="H7416" i="16" l="1"/>
  <c r="G7435" i="16"/>
  <c r="H7379" i="16"/>
  <c r="H7382" i="16" s="1"/>
  <c r="H7389" i="16" s="1"/>
  <c r="G7398" i="16"/>
  <c r="G7438" i="16"/>
  <c r="H7419" i="16"/>
  <c r="H7372" i="16"/>
  <c r="H7373" i="16" s="1"/>
  <c r="D462" i="339" s="1"/>
  <c r="H7390" i="16" l="1"/>
  <c r="H7391" i="16" s="1"/>
  <c r="D463" i="339" s="1"/>
  <c r="G7454" i="16"/>
  <c r="H7435" i="16"/>
  <c r="G7457" i="16"/>
  <c r="H7438" i="16"/>
  <c r="G7417" i="16"/>
  <c r="H7398" i="16"/>
  <c r="H7401" i="16" s="1"/>
  <c r="H7409" i="16" s="1"/>
  <c r="H7457" i="16" l="1"/>
  <c r="G7476" i="16"/>
  <c r="H7410" i="16"/>
  <c r="H7411" i="16" s="1"/>
  <c r="D466" i="339" s="1"/>
  <c r="H7417" i="16"/>
  <c r="H7420" i="16" s="1"/>
  <c r="H7428" i="16" s="1"/>
  <c r="G7436" i="16"/>
  <c r="G7473" i="16"/>
  <c r="H7454" i="16"/>
  <c r="H7473" i="16" l="1"/>
  <c r="G7492" i="16"/>
  <c r="H7436" i="16"/>
  <c r="H7439" i="16" s="1"/>
  <c r="H7447" i="16" s="1"/>
  <c r="G7455" i="16"/>
  <c r="H7429" i="16"/>
  <c r="H7430" i="16" s="1"/>
  <c r="D467" i="339" s="1"/>
  <c r="G7495" i="16"/>
  <c r="H7476" i="16"/>
  <c r="H7495" i="16" l="1"/>
  <c r="G7514" i="16"/>
  <c r="G7474" i="16"/>
  <c r="H7455" i="16"/>
  <c r="H7458" i="16" s="1"/>
  <c r="H7466" i="16" s="1"/>
  <c r="G7511" i="16"/>
  <c r="H7492" i="16"/>
  <c r="H7448" i="16"/>
  <c r="H7449" i="16" s="1"/>
  <c r="D468" i="339" s="1"/>
  <c r="H7467" i="16" l="1"/>
  <c r="H7468" i="16" s="1"/>
  <c r="D469" i="339" s="1"/>
  <c r="H7511" i="16"/>
  <c r="G7529" i="16"/>
  <c r="H7474" i="16"/>
  <c r="H7477" i="16" s="1"/>
  <c r="H7485" i="16" s="1"/>
  <c r="G7493" i="16"/>
  <c r="H7514" i="16"/>
  <c r="G7532" i="16"/>
  <c r="G7547" i="16" l="1"/>
  <c r="H7529" i="16"/>
  <c r="H7493" i="16"/>
  <c r="H7496" i="16" s="1"/>
  <c r="H7504" i="16" s="1"/>
  <c r="G7512" i="16"/>
  <c r="H7486" i="16"/>
  <c r="H7487" i="16" s="1"/>
  <c r="D470" i="339" s="1"/>
  <c r="H7532" i="16"/>
  <c r="G7550" i="16"/>
  <c r="G7530" i="16" l="1"/>
  <c r="H7512" i="16"/>
  <c r="H7515" i="16" s="1"/>
  <c r="H7522" i="16" s="1"/>
  <c r="H7505" i="16"/>
  <c r="H7506" i="16" s="1"/>
  <c r="D471" i="339" s="1"/>
  <c r="H7550" i="16"/>
  <c r="G7568" i="16"/>
  <c r="G7565" i="16"/>
  <c r="H7547" i="16"/>
  <c r="H7565" i="16" l="1"/>
  <c r="G7583" i="16"/>
  <c r="H7523" i="16"/>
  <c r="H7524" i="16" s="1"/>
  <c r="D472" i="339" s="1"/>
  <c r="G7586" i="16"/>
  <c r="H7568" i="16"/>
  <c r="H7530" i="16"/>
  <c r="H7533" i="16" s="1"/>
  <c r="H7540" i="16" s="1"/>
  <c r="G7548" i="16"/>
  <c r="H7541" i="16" l="1"/>
  <c r="H7542" i="16" s="1"/>
  <c r="D473" i="339" s="1"/>
  <c r="H7586" i="16"/>
  <c r="G7604" i="16"/>
  <c r="G7601" i="16"/>
  <c r="H7583" i="16"/>
  <c r="G7566" i="16"/>
  <c r="H7548" i="16"/>
  <c r="H7551" i="16" s="1"/>
  <c r="H7558" i="16" s="1"/>
  <c r="H7559" i="16" l="1"/>
  <c r="H7560" i="16" s="1"/>
  <c r="D474" i="339" s="1"/>
  <c r="G7619" i="16"/>
  <c r="H7601" i="16"/>
  <c r="G7622" i="16"/>
  <c r="H7604" i="16"/>
  <c r="H7566" i="16"/>
  <c r="H7569" i="16" s="1"/>
  <c r="H7576" i="16" s="1"/>
  <c r="G7584" i="16"/>
  <c r="G7637" i="16" l="1"/>
  <c r="H7619" i="16"/>
  <c r="H7577" i="16"/>
  <c r="H7578" i="16" s="1"/>
  <c r="D475" i="339" s="1"/>
  <c r="H7622" i="16"/>
  <c r="G7640" i="16"/>
  <c r="G7602" i="16"/>
  <c r="H7584" i="16"/>
  <c r="H7587" i="16" s="1"/>
  <c r="H7594" i="16" s="1"/>
  <c r="G7658" i="16" l="1"/>
  <c r="H7640" i="16"/>
  <c r="H7602" i="16"/>
  <c r="H7605" i="16" s="1"/>
  <c r="H7612" i="16" s="1"/>
  <c r="G7620" i="16"/>
  <c r="G7655" i="16"/>
  <c r="H7637" i="16"/>
  <c r="H7595" i="16"/>
  <c r="H7596" i="16" s="1"/>
  <c r="D476" i="339" s="1"/>
  <c r="H7613" i="16" l="1"/>
  <c r="H7614" i="16" s="1"/>
  <c r="D477" i="339" s="1"/>
  <c r="G7673" i="16"/>
  <c r="H7655" i="16"/>
  <c r="G7638" i="16"/>
  <c r="H7620" i="16"/>
  <c r="H7623" i="16" s="1"/>
  <c r="H7630" i="16" s="1"/>
  <c r="H7658" i="16"/>
  <c r="G7676" i="16"/>
  <c r="H7631" i="16" l="1"/>
  <c r="H7632" i="16" s="1"/>
  <c r="D478" i="339" s="1"/>
  <c r="H7638" i="16"/>
  <c r="H7641" i="16" s="1"/>
  <c r="H7648" i="16" s="1"/>
  <c r="G7656" i="16"/>
  <c r="G7691" i="16"/>
  <c r="H7673" i="16"/>
  <c r="G7694" i="16"/>
  <c r="H7676" i="16"/>
  <c r="H7694" i="16" l="1"/>
  <c r="G7712" i="16"/>
  <c r="G7674" i="16"/>
  <c r="H7656" i="16"/>
  <c r="H7659" i="16" s="1"/>
  <c r="H7666" i="16" s="1"/>
  <c r="H7649" i="16"/>
  <c r="H7650" i="16" s="1"/>
  <c r="D479" i="339" s="1"/>
  <c r="G7709" i="16"/>
  <c r="H7691" i="16"/>
  <c r="G7727" i="16" l="1"/>
  <c r="H7709" i="16"/>
  <c r="H7674" i="16"/>
  <c r="H7677" i="16" s="1"/>
  <c r="H7684" i="16" s="1"/>
  <c r="G7692" i="16"/>
  <c r="G7730" i="16"/>
  <c r="H7712" i="16"/>
  <c r="H7667" i="16"/>
  <c r="H7668" i="16" s="1"/>
  <c r="D480" i="339" s="1"/>
  <c r="H7685" i="16" l="1"/>
  <c r="H7686" i="16" s="1"/>
  <c r="D481" i="339" s="1"/>
  <c r="H7730" i="16"/>
  <c r="G7748" i="16"/>
  <c r="G7710" i="16"/>
  <c r="H7692" i="16"/>
  <c r="H7695" i="16" s="1"/>
  <c r="H7702" i="16" s="1"/>
  <c r="G7745" i="16"/>
  <c r="H7727" i="16"/>
  <c r="G7763" i="16" l="1"/>
  <c r="H7745" i="16"/>
  <c r="H7703" i="16"/>
  <c r="H7704" i="16" s="1"/>
  <c r="D482" i="339" s="1"/>
  <c r="H7710" i="16"/>
  <c r="H7713" i="16" s="1"/>
  <c r="H7720" i="16" s="1"/>
  <c r="G7728" i="16"/>
  <c r="G7766" i="16"/>
  <c r="H7748" i="16"/>
  <c r="H7721" i="16" l="1"/>
  <c r="H7722" i="16" s="1"/>
  <c r="D483" i="339" s="1"/>
  <c r="H7766" i="16"/>
  <c r="G7784" i="16"/>
  <c r="G7746" i="16"/>
  <c r="H7728" i="16"/>
  <c r="H7731" i="16" s="1"/>
  <c r="H7738" i="16" s="1"/>
  <c r="G7781" i="16"/>
  <c r="H7763" i="16"/>
  <c r="G7799" i="16" l="1"/>
  <c r="H7781" i="16"/>
  <c r="H7739" i="16"/>
  <c r="H7740" i="16" s="1"/>
  <c r="D484" i="339" s="1"/>
  <c r="H7746" i="16"/>
  <c r="H7749" i="16" s="1"/>
  <c r="H7756" i="16" s="1"/>
  <c r="G7764" i="16"/>
  <c r="G7802" i="16"/>
  <c r="H7784" i="16"/>
  <c r="H7802" i="16" l="1"/>
  <c r="G7836" i="16"/>
  <c r="G7782" i="16"/>
  <c r="H7764" i="16"/>
  <c r="H7767" i="16" s="1"/>
  <c r="H7774" i="16" s="1"/>
  <c r="H7757" i="16"/>
  <c r="H7758" i="16" s="1"/>
  <c r="D485" i="339" s="1"/>
  <c r="H7799" i="16"/>
  <c r="G7833" i="16"/>
  <c r="H7775" i="16" l="1"/>
  <c r="H7776" i="16" s="1"/>
  <c r="D486" i="339" s="1"/>
  <c r="H7782" i="16"/>
  <c r="H7785" i="16" s="1"/>
  <c r="H7792" i="16" s="1"/>
  <c r="G7800" i="16"/>
  <c r="G7870" i="16"/>
  <c r="H7870" i="16" s="1"/>
  <c r="G8191" i="16"/>
  <c r="H8191" i="16" s="1"/>
  <c r="H8193" i="16" s="1"/>
  <c r="H8204" i="16" s="1"/>
  <c r="G7958" i="16"/>
  <c r="H7958" i="16" s="1"/>
  <c r="H7959" i="16" s="1"/>
  <c r="H7967" i="16" s="1"/>
  <c r="G8256" i="16"/>
  <c r="H8256" i="16" s="1"/>
  <c r="H8257" i="16" s="1"/>
  <c r="H8267" i="16" s="1"/>
  <c r="G8213" i="16"/>
  <c r="H8213" i="16" s="1"/>
  <c r="H8215" i="16" s="1"/>
  <c r="H8226" i="16" s="1"/>
  <c r="G8236" i="16"/>
  <c r="H8236" i="16" s="1"/>
  <c r="H8237" i="16" s="1"/>
  <c r="H8247" i="16" s="1"/>
  <c r="G8296" i="16"/>
  <c r="H8296" i="16" s="1"/>
  <c r="H8297" i="16" s="1"/>
  <c r="H8307" i="16" s="1"/>
  <c r="G8276" i="16"/>
  <c r="H8276" i="16" s="1"/>
  <c r="H8277" i="16" s="1"/>
  <c r="H8287" i="16" s="1"/>
  <c r="H7836" i="16"/>
  <c r="G7904" i="16"/>
  <c r="H7904" i="16" s="1"/>
  <c r="G8169" i="16"/>
  <c r="H8169" i="16" s="1"/>
  <c r="H8171" i="16" s="1"/>
  <c r="H8182" i="16" s="1"/>
  <c r="G8336" i="16"/>
  <c r="H8336" i="16" s="1"/>
  <c r="H8337" i="16" s="1"/>
  <c r="H8347" i="16" s="1"/>
  <c r="G8356" i="16"/>
  <c r="H8356" i="16" s="1"/>
  <c r="H8357" i="16" s="1"/>
  <c r="H8361" i="16" s="1"/>
  <c r="G7939" i="16"/>
  <c r="H7939" i="16" s="1"/>
  <c r="H7940" i="16" s="1"/>
  <c r="H7948" i="16" s="1"/>
  <c r="G8316" i="16"/>
  <c r="H8316" i="16" s="1"/>
  <c r="H8317" i="16" s="1"/>
  <c r="H8327" i="16" s="1"/>
  <c r="G7867" i="16"/>
  <c r="H7867" i="16" s="1"/>
  <c r="H7833" i="16"/>
  <c r="G7901" i="16"/>
  <c r="H7901" i="16" s="1"/>
  <c r="H8183" i="16" l="1"/>
  <c r="H8184" i="16" s="1"/>
  <c r="D504" i="339" s="1"/>
  <c r="H8288" i="16"/>
  <c r="H8289" i="16" s="1"/>
  <c r="D511" i="339" s="1"/>
  <c r="G7834" i="16"/>
  <c r="H7800" i="16"/>
  <c r="H7803" i="16" s="1"/>
  <c r="H7826" i="16" s="1"/>
  <c r="H8205" i="16"/>
  <c r="H8206" i="16" s="1"/>
  <c r="D505" i="339" s="1"/>
  <c r="H7793" i="16"/>
  <c r="H7794" i="16" s="1"/>
  <c r="D487" i="339" s="1"/>
  <c r="H7949" i="16"/>
  <c r="H7950" i="16" s="1"/>
  <c r="D494" i="339" s="1"/>
  <c r="H7968" i="16"/>
  <c r="H7969" i="16" s="1"/>
  <c r="D495" i="339" s="1"/>
  <c r="H8308" i="16"/>
  <c r="H8309" i="16" s="1"/>
  <c r="D512" i="339" s="1"/>
  <c r="H8362" i="16"/>
  <c r="H8363" i="16" s="1"/>
  <c r="D517" i="339" s="1"/>
  <c r="H8227" i="16"/>
  <c r="H8228" i="16" s="1"/>
  <c r="D506" i="339" s="1"/>
  <c r="H8328" i="16"/>
  <c r="H8329" i="16" s="1"/>
  <c r="D513" i="339" s="1"/>
  <c r="H8248" i="16"/>
  <c r="H8249" i="16" s="1"/>
  <c r="D509" i="339" s="1"/>
  <c r="H8348" i="16"/>
  <c r="H8349" i="16" s="1"/>
  <c r="D514" i="339" s="1"/>
  <c r="H8268" i="16"/>
  <c r="H8269" i="16" s="1"/>
  <c r="D510" i="339" s="1"/>
  <c r="G7902" i="16" l="1"/>
  <c r="H7902" i="16" s="1"/>
  <c r="H7905" i="16" s="1"/>
  <c r="H7928" i="16" s="1"/>
  <c r="H7834" i="16"/>
  <c r="H7837" i="16" s="1"/>
  <c r="H7860" i="16" s="1"/>
  <c r="G7868" i="16"/>
  <c r="H7868" i="16" s="1"/>
  <c r="H7871" i="16" s="1"/>
  <c r="H7894" i="16" s="1"/>
  <c r="H7827" i="16"/>
  <c r="H7828" i="16" s="1"/>
  <c r="D488" i="339" s="1"/>
  <c r="H7861" i="16" l="1"/>
  <c r="H7862" i="16" s="1"/>
  <c r="D489" i="339" s="1"/>
  <c r="H7895" i="16"/>
  <c r="H7896" i="16" s="1"/>
  <c r="D490" i="339" s="1"/>
  <c r="H7929" i="16"/>
  <c r="H7930" i="16" s="1"/>
  <c r="D491" i="339" s="1"/>
  <c r="M483" i="16" l="1"/>
  <c r="M484" i="16" s="1"/>
  <c r="M485" i="16" s="1"/>
  <c r="K485" i="16" s="1"/>
  <c r="M486" i="16" l="1"/>
  <c r="M487" i="16" s="1"/>
  <c r="E33" i="339" s="1"/>
  <c r="L17" i="351" l="1"/>
  <c r="M17" i="351" s="1"/>
  <c r="L32" i="351"/>
  <c r="M32" i="351" s="1"/>
  <c r="N32" i="351" s="1"/>
  <c r="N17" i="351" l="1"/>
  <c r="M44" i="351"/>
  <c r="M160" i="351" s="1"/>
  <c r="M162" i="351" s="1"/>
</calcChain>
</file>

<file path=xl/sharedStrings.xml><?xml version="1.0" encoding="utf-8"?>
<sst xmlns="http://schemas.openxmlformats.org/spreadsheetml/2006/main" count="49341" uniqueCount="5353">
  <si>
    <t>LEVEL 1</t>
  </si>
  <si>
    <t>LEVEL 2</t>
  </si>
  <si>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</si>
  <si>
    <r>
      <rPr>
        <i/>
        <sz val="10"/>
        <color indexed="8"/>
        <rFont val="Arial"/>
        <family val="2"/>
      </rPr>
      <t>De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gn</t>
    </r>
    <r>
      <rPr>
        <i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de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pm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>nt</t>
    </r>
  </si>
  <si>
    <t>Dokumen kontrak</t>
  </si>
  <si>
    <t>Asuransi dan jaminan</t>
  </si>
  <si>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h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p</t>
    </r>
    <r>
      <rPr>
        <i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d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w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</t>
    </r>
    <r>
      <rPr>
        <i/>
        <sz val="10"/>
        <color indexed="8"/>
        <rFont val="Arial"/>
        <family val="2"/>
      </rPr>
      <t>g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-</t>
    </r>
    <r>
      <rPr>
        <i/>
        <sz val="10"/>
        <color indexed="8"/>
        <rFont val="Arial"/>
        <family val="2"/>
      </rPr>
      <t>b</t>
    </r>
    <r>
      <rPr>
        <i/>
        <sz val="10"/>
        <color indexed="8"/>
        <rFont val="Arial"/>
        <family val="2"/>
      </rPr>
      <t>u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d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aw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ng</t>
    </r>
  </si>
  <si>
    <t>Site management</t>
  </si>
  <si>
    <t>Dokumentasi proyek</t>
  </si>
  <si>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</t>
    </r>
  </si>
  <si>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ewo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k</t>
    </r>
  </si>
  <si>
    <t>Setting-out</t>
  </si>
  <si>
    <t>Fasiltas sementara</t>
  </si>
  <si>
    <t>Mobilisasi dan demobilisasi</t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</si>
  <si>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han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h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dan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>mo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al</t>
    </r>
  </si>
  <si>
    <t>Galian, pemotongan, timbunan dan buangan</t>
  </si>
  <si>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</t>
    </r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</si>
  <si>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tu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al</t>
    </r>
  </si>
  <si>
    <t>Pekerjaan struktural di atas tanah</t>
  </si>
  <si>
    <t>Pekerjaan struktural di bawah tanah</t>
  </si>
  <si>
    <t>Rangka atap</t>
  </si>
  <si>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</t>
    </r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</si>
  <si>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te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tur</t>
    </r>
  </si>
  <si>
    <t>Beton</t>
  </si>
  <si>
    <t>Logam</t>
  </si>
  <si>
    <t>Kau dan plastik</t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</si>
  <si>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gan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(</t>
    </r>
    <r>
      <rPr>
        <i/>
        <sz val="10"/>
        <color indexed="8"/>
        <rFont val="Arial"/>
        <family val="2"/>
      </rPr>
      <t>ma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on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y</t>
    </r>
    <r>
      <rPr>
        <i/>
        <sz val="10"/>
        <color indexed="8"/>
        <rFont val="Arial"/>
        <family val="2"/>
      </rPr>
      <t>)</t>
    </r>
  </si>
  <si>
    <t>Perlindungan suhu dan kelembaban</t>
  </si>
  <si>
    <t>Bukaan (jendela, pintu, kusen)</t>
  </si>
  <si>
    <t>Finishing</t>
  </si>
  <si>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</si>
  <si>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al</t>
    </r>
  </si>
  <si>
    <t>Plumbing</t>
  </si>
  <si>
    <t>Pemanasan, ventilasi dan pengkondisian udara</t>
  </si>
  <si>
    <t>Pencegahan kebakaran</t>
  </si>
  <si>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6</t>
    </r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</si>
  <si>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al</t>
    </r>
  </si>
  <si>
    <t>Sistem distribusi jaringan listrik</t>
  </si>
  <si>
    <t>Sistem pencahayaan</t>
  </si>
  <si>
    <t>Sistem komunikasi</t>
  </si>
  <si>
    <t>Pencegahan petir</t>
  </si>
  <si>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7</t>
    </r>
  </si>
  <si>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tas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or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un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</si>
  <si>
    <r>
      <rPr>
        <i/>
        <sz val="10"/>
        <color indexed="8"/>
        <rFont val="Arial"/>
        <family val="2"/>
      </rPr>
      <t>P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</t>
    </r>
    <r>
      <rPr>
        <i/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,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an,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ede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an</t>
    </r>
  </si>
  <si>
    <t>Pagar dan gerbang</t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</si>
  <si>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ta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anan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dan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nd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c</t>
    </r>
    <r>
      <rPr>
        <i/>
        <sz val="10"/>
        <color indexed="8"/>
        <rFont val="Arial"/>
        <family val="2"/>
      </rPr>
      <t>ap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ng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ta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an,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put,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tan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h)</t>
    </r>
  </si>
  <si>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8</t>
    </r>
  </si>
  <si>
    <t>Peralatan</t>
  </si>
  <si>
    <t>Konstruksi khusus</t>
  </si>
  <si>
    <t>Conveying equipment</t>
  </si>
  <si>
    <r>
      <rPr>
        <sz val="10"/>
        <color indexed="8"/>
        <rFont val="Arial"/>
        <family val="2"/>
      </rPr>
      <t>8.4</t>
    </r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</si>
  <si>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num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nan
</t>
    </r>
    <r>
      <rPr>
        <sz val="10"/>
        <color indexed="8"/>
        <rFont val="Arial"/>
        <family val="2"/>
      </rPr>
      <t>ged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ng</t>
    </r>
  </si>
  <si>
    <r>
      <rPr>
        <b/>
        <sz val="10"/>
        <color indexed="8"/>
        <rFont val="Arial"/>
        <family val="2"/>
      </rPr>
      <t>L</t>
    </r>
    <r>
      <rPr>
        <b/>
        <sz val="10"/>
        <color indexed="8"/>
        <rFont val="Arial"/>
        <family val="2"/>
      </rPr>
      <t>E</t>
    </r>
    <r>
      <rPr>
        <b/>
        <sz val="10"/>
        <color indexed="8"/>
        <rFont val="Arial"/>
        <family val="2"/>
      </rPr>
      <t>V</t>
    </r>
    <r>
      <rPr>
        <b/>
        <sz val="10"/>
        <color indexed="8"/>
        <rFont val="Arial"/>
        <family val="2"/>
      </rPr>
      <t>E</t>
    </r>
    <r>
      <rPr>
        <b/>
        <sz val="10"/>
        <color indexed="8"/>
        <rFont val="Arial"/>
        <family val="2"/>
      </rPr>
      <t>L</t>
    </r>
    <r>
      <rPr>
        <b/>
        <sz val="10"/>
        <color indexed="8"/>
        <rFont val="Arial"/>
        <family val="2"/>
      </rPr>
      <t xml:space="preserve"> </t>
    </r>
    <r>
      <rPr>
        <b/>
        <sz val="10"/>
        <color indexed="8"/>
        <rFont val="Arial"/>
        <family val="2"/>
      </rPr>
      <t>1</t>
    </r>
  </si>
  <si>
    <r>
      <rPr>
        <b/>
        <sz val="10"/>
        <color indexed="8"/>
        <rFont val="Arial"/>
        <family val="2"/>
      </rPr>
      <t>K</t>
    </r>
    <r>
      <rPr>
        <b/>
        <sz val="10"/>
        <color indexed="8"/>
        <rFont val="Arial"/>
        <family val="2"/>
      </rPr>
      <t>E</t>
    </r>
    <r>
      <rPr>
        <b/>
        <sz val="10"/>
        <color indexed="8"/>
        <rFont val="Arial"/>
        <family val="2"/>
      </rPr>
      <t>L</t>
    </r>
    <r>
      <rPr>
        <b/>
        <sz val="10"/>
        <color indexed="8"/>
        <rFont val="Arial"/>
        <family val="2"/>
      </rPr>
      <t>O</t>
    </r>
    <r>
      <rPr>
        <b/>
        <sz val="10"/>
        <color indexed="8"/>
        <rFont val="Arial"/>
        <family val="2"/>
      </rPr>
      <t>M</t>
    </r>
    <r>
      <rPr>
        <b/>
        <sz val="10"/>
        <color indexed="8"/>
        <rFont val="Arial"/>
        <family val="2"/>
      </rPr>
      <t>P</t>
    </r>
    <r>
      <rPr>
        <b/>
        <sz val="10"/>
        <color indexed="8"/>
        <rFont val="Arial"/>
        <family val="2"/>
      </rPr>
      <t>O</t>
    </r>
    <r>
      <rPr>
        <b/>
        <sz val="10"/>
        <color indexed="8"/>
        <rFont val="Arial"/>
        <family val="2"/>
      </rPr>
      <t xml:space="preserve">K
</t>
    </r>
    <r>
      <rPr>
        <b/>
        <sz val="10"/>
        <color indexed="8"/>
        <rFont val="Arial"/>
        <family val="2"/>
      </rPr>
      <t>PE</t>
    </r>
    <r>
      <rPr>
        <b/>
        <sz val="10"/>
        <color indexed="8"/>
        <rFont val="Arial"/>
        <family val="2"/>
      </rPr>
      <t>K</t>
    </r>
    <r>
      <rPr>
        <b/>
        <sz val="10"/>
        <color indexed="8"/>
        <rFont val="Arial"/>
        <family val="2"/>
      </rPr>
      <t>E</t>
    </r>
    <r>
      <rPr>
        <b/>
        <sz val="10"/>
        <color indexed="8"/>
        <rFont val="Arial"/>
        <family val="2"/>
      </rPr>
      <t>R</t>
    </r>
    <r>
      <rPr>
        <b/>
        <sz val="10"/>
        <color indexed="8"/>
        <rFont val="Arial"/>
        <family val="2"/>
      </rPr>
      <t>J</t>
    </r>
    <r>
      <rPr>
        <b/>
        <sz val="10"/>
        <color indexed="8"/>
        <rFont val="Arial"/>
        <family val="2"/>
      </rPr>
      <t>A</t>
    </r>
    <r>
      <rPr>
        <b/>
        <sz val="10"/>
        <color indexed="8"/>
        <rFont val="Arial"/>
        <family val="2"/>
      </rPr>
      <t>A</t>
    </r>
    <r>
      <rPr>
        <b/>
        <sz val="10"/>
        <color indexed="8"/>
        <rFont val="Arial"/>
        <family val="2"/>
      </rPr>
      <t>N</t>
    </r>
    <r>
      <rPr>
        <b/>
        <sz val="10"/>
        <color indexed="8"/>
        <rFont val="Arial"/>
        <family val="2"/>
      </rPr>
      <t xml:space="preserve"> </t>
    </r>
    <r>
      <rPr>
        <b/>
        <sz val="10"/>
        <color indexed="8"/>
        <rFont val="Arial"/>
        <family val="2"/>
      </rPr>
      <t>(</t>
    </r>
    <r>
      <rPr>
        <b/>
        <sz val="10"/>
        <color indexed="8"/>
        <rFont val="Arial"/>
        <family val="2"/>
      </rPr>
      <t>L</t>
    </r>
    <r>
      <rPr>
        <b/>
        <sz val="10"/>
        <color indexed="8"/>
        <rFont val="Arial"/>
        <family val="2"/>
      </rPr>
      <t>EVE</t>
    </r>
    <r>
      <rPr>
        <b/>
        <sz val="10"/>
        <color indexed="8"/>
        <rFont val="Arial"/>
        <family val="2"/>
      </rPr>
      <t>L</t>
    </r>
    <r>
      <rPr>
        <b/>
        <sz val="10"/>
        <color indexed="8"/>
        <rFont val="Arial"/>
        <family val="2"/>
      </rPr>
      <t xml:space="preserve"> </t>
    </r>
    <r>
      <rPr>
        <b/>
        <sz val="10"/>
        <color indexed="8"/>
        <rFont val="Arial"/>
        <family val="2"/>
      </rPr>
      <t>2)</t>
    </r>
  </si>
  <si>
    <r>
      <rPr>
        <b/>
        <sz val="10"/>
        <color indexed="8"/>
        <rFont val="Arial"/>
        <family val="2"/>
      </rPr>
      <t>J</t>
    </r>
    <r>
      <rPr>
        <b/>
        <sz val="10"/>
        <color indexed="8"/>
        <rFont val="Arial"/>
        <family val="2"/>
      </rPr>
      <t>E</t>
    </r>
    <r>
      <rPr>
        <b/>
        <sz val="10"/>
        <color indexed="8"/>
        <rFont val="Arial"/>
        <family val="2"/>
      </rPr>
      <t>N</t>
    </r>
    <r>
      <rPr>
        <b/>
        <sz val="10"/>
        <color indexed="8"/>
        <rFont val="Arial"/>
        <family val="2"/>
      </rPr>
      <t>I</t>
    </r>
    <r>
      <rPr>
        <b/>
        <sz val="10"/>
        <color indexed="8"/>
        <rFont val="Arial"/>
        <family val="2"/>
      </rPr>
      <t>S</t>
    </r>
    <r>
      <rPr>
        <b/>
        <sz val="10"/>
        <color indexed="8"/>
        <rFont val="Arial"/>
        <family val="2"/>
      </rPr>
      <t xml:space="preserve"> </t>
    </r>
    <r>
      <rPr>
        <b/>
        <sz val="10"/>
        <color indexed="8"/>
        <rFont val="Arial"/>
        <family val="2"/>
      </rPr>
      <t>PE</t>
    </r>
    <r>
      <rPr>
        <b/>
        <sz val="10"/>
        <color indexed="8"/>
        <rFont val="Arial"/>
        <family val="2"/>
      </rPr>
      <t>K</t>
    </r>
    <r>
      <rPr>
        <b/>
        <sz val="10"/>
        <color indexed="8"/>
        <rFont val="Arial"/>
        <family val="2"/>
      </rPr>
      <t>E</t>
    </r>
    <r>
      <rPr>
        <b/>
        <sz val="10"/>
        <color indexed="8"/>
        <rFont val="Arial"/>
        <family val="2"/>
      </rPr>
      <t>R</t>
    </r>
    <r>
      <rPr>
        <b/>
        <sz val="10"/>
        <color indexed="8"/>
        <rFont val="Arial"/>
        <family val="2"/>
      </rPr>
      <t>J</t>
    </r>
    <r>
      <rPr>
        <b/>
        <sz val="10"/>
        <color indexed="8"/>
        <rFont val="Arial"/>
        <family val="2"/>
      </rPr>
      <t>A</t>
    </r>
    <r>
      <rPr>
        <b/>
        <sz val="10"/>
        <color indexed="8"/>
        <rFont val="Arial"/>
        <family val="2"/>
      </rPr>
      <t>A</t>
    </r>
    <r>
      <rPr>
        <b/>
        <sz val="10"/>
        <color indexed="8"/>
        <rFont val="Arial"/>
        <family val="2"/>
      </rPr>
      <t>N</t>
    </r>
    <r>
      <rPr>
        <b/>
        <sz val="10"/>
        <color indexed="8"/>
        <rFont val="Arial"/>
        <family val="2"/>
      </rPr>
      <t xml:space="preserve"> </t>
    </r>
    <r>
      <rPr>
        <b/>
        <sz val="10"/>
        <color indexed="8"/>
        <rFont val="Arial"/>
        <family val="2"/>
      </rPr>
      <t>(</t>
    </r>
    <r>
      <rPr>
        <b/>
        <sz val="10"/>
        <color indexed="8"/>
        <rFont val="Arial"/>
        <family val="2"/>
      </rPr>
      <t>S</t>
    </r>
    <r>
      <rPr>
        <b/>
        <sz val="10"/>
        <color indexed="8"/>
        <rFont val="Arial"/>
        <family val="2"/>
      </rPr>
      <t>UB</t>
    </r>
    <r>
      <rPr>
        <b/>
        <sz val="10"/>
        <color indexed="8"/>
        <rFont val="Arial"/>
        <family val="2"/>
      </rPr>
      <t xml:space="preserve"> </t>
    </r>
    <r>
      <rPr>
        <b/>
        <sz val="10"/>
        <color indexed="8"/>
        <rFont val="Arial"/>
        <family val="2"/>
      </rPr>
      <t>L</t>
    </r>
    <r>
      <rPr>
        <b/>
        <sz val="10"/>
        <color indexed="8"/>
        <rFont val="Arial"/>
        <family val="2"/>
      </rPr>
      <t>E</t>
    </r>
    <r>
      <rPr>
        <b/>
        <sz val="10"/>
        <color indexed="8"/>
        <rFont val="Arial"/>
        <family val="2"/>
      </rPr>
      <t>V</t>
    </r>
    <r>
      <rPr>
        <b/>
        <sz val="10"/>
        <color indexed="8"/>
        <rFont val="Arial"/>
        <family val="2"/>
      </rPr>
      <t>E</t>
    </r>
    <r>
      <rPr>
        <b/>
        <sz val="10"/>
        <color indexed="8"/>
        <rFont val="Arial"/>
        <family val="2"/>
      </rPr>
      <t>L</t>
    </r>
    <r>
      <rPr>
        <b/>
        <sz val="10"/>
        <color indexed="8"/>
        <rFont val="Arial"/>
        <family val="2"/>
      </rPr>
      <t xml:space="preserve"> </t>
    </r>
    <r>
      <rPr>
        <b/>
        <sz val="10"/>
        <color indexed="8"/>
        <rFont val="Arial"/>
        <family val="2"/>
      </rPr>
      <t>2)</t>
    </r>
  </si>
  <si>
    <r>
      <rPr>
        <sz val="10"/>
        <color indexed="8"/>
        <rFont val="Arial"/>
        <family val="2"/>
      </rPr>
      <t xml:space="preserve">2.2.1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pan</t>
    </r>
  </si>
  <si>
    <r>
      <rPr>
        <sz val="10"/>
        <color indexed="8"/>
        <rFont val="Arial"/>
        <family val="2"/>
      </rPr>
      <t>1.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pagar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enta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u</t>
    </r>
  </si>
  <si>
    <r>
      <rPr>
        <sz val="10"/>
        <color indexed="8"/>
        <rFont val="Arial"/>
        <family val="2"/>
      </rPr>
      <t>2.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pagar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enta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ng</t>
    </r>
  </si>
  <si>
    <r>
      <rPr>
        <sz val="10"/>
        <color indexed="8"/>
        <rFont val="Arial"/>
        <family val="2"/>
      </rPr>
      <t>3.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pagar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enta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awat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</si>
  <si>
    <r>
      <rPr>
        <sz val="10"/>
        <color indexed="8"/>
        <rFont val="Arial"/>
        <family val="2"/>
      </rPr>
      <t>4.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6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B</t>
    </r>
    <r>
      <rPr>
        <i/>
        <sz val="10"/>
        <color indexed="8"/>
        <rFont val="Arial"/>
        <family val="2"/>
      </rPr>
      <t>ouw</t>
    </r>
    <r>
      <rPr>
        <i/>
        <sz val="10"/>
        <color indexed="8"/>
        <rFont val="Arial"/>
        <family val="2"/>
      </rPr>
      <t>p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nk</t>
    </r>
  </si>
  <si>
    <r>
      <rPr>
        <sz val="10"/>
        <color indexed="8"/>
        <rFont val="Arial"/>
        <family val="2"/>
      </rPr>
      <t>5.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antor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enta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</si>
  <si>
    <r>
      <rPr>
        <sz val="10"/>
        <color indexed="8"/>
        <rFont val="Arial"/>
        <family val="2"/>
      </rPr>
      <t>6.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guda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</si>
  <si>
    <r>
      <rPr>
        <sz val="10"/>
        <color indexed="8"/>
        <rFont val="Arial"/>
        <family val="2"/>
      </rPr>
      <t>7.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aga</t>
    </r>
  </si>
  <si>
    <r>
      <rPr>
        <sz val="10"/>
        <color indexed="8"/>
        <rFont val="Arial"/>
        <family val="2"/>
      </rPr>
      <t>8.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han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</si>
  <si>
    <r>
      <rPr>
        <sz val="10"/>
        <color indexed="8"/>
        <rFont val="Arial"/>
        <family val="2"/>
      </rPr>
      <t>9.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bede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</t>
    </r>
  </si>
  <si>
    <r>
      <rPr>
        <sz val="10"/>
        <color indexed="8"/>
        <rFont val="Arial"/>
        <family val="2"/>
      </rPr>
      <t>10.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adu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an</t>
    </r>
  </si>
  <si>
    <r>
      <rPr>
        <sz val="10"/>
        <color indexed="8"/>
        <rFont val="Arial"/>
        <family val="2"/>
      </rPr>
      <t>11.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</t>
    </r>
  </si>
  <si>
    <r>
      <rPr>
        <sz val="10"/>
        <color indexed="8"/>
        <rFont val="Arial"/>
        <family val="2"/>
      </rPr>
      <t>12.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enta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</si>
  <si>
    <r>
      <rPr>
        <sz val="10"/>
        <color indexed="8"/>
        <rFont val="Arial"/>
        <family val="2"/>
      </rPr>
      <t>13.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bong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</si>
  <si>
    <r>
      <rPr>
        <sz val="10"/>
        <color indexed="8"/>
        <rFont val="Arial"/>
        <family val="2"/>
      </rPr>
      <t>14.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bong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bok</t>
    </r>
  </si>
  <si>
    <r>
      <rPr>
        <sz val="10"/>
        <color indexed="8"/>
        <rFont val="Arial"/>
        <family val="2"/>
      </rPr>
      <t>15.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>at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</si>
  <si>
    <r>
      <rPr>
        <sz val="10"/>
        <color indexed="8"/>
        <rFont val="Arial"/>
        <family val="2"/>
      </rPr>
      <t>16.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pagar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etak</t>
    </r>
  </si>
  <si>
    <r>
      <rPr>
        <sz val="10"/>
        <color indexed="8"/>
        <rFont val="Arial"/>
        <family val="2"/>
      </rPr>
      <t xml:space="preserve">2.3.1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ah</t>
    </r>
  </si>
  <si>
    <t>1.   Penggalian tanah biasa sedalam 1 m</t>
  </si>
  <si>
    <t>2.   Penggalian tanah biasa sedalam 2 m</t>
  </si>
  <si>
    <t>3.   Penggalian tanah biasa sedalam 3 m</t>
  </si>
  <si>
    <t>4.   Penggalian tanah keras sedalam 1 m</t>
  </si>
  <si>
    <t>5.   Penggalian tanah cadas sedalam 1 m</t>
  </si>
  <si>
    <t>6.   Penggalian tanah lumpur sedalam 1 m</t>
  </si>
  <si>
    <t>7.   Pengerjaan stripping setinggi 1 m</t>
  </si>
  <si>
    <t>8.   Pembuangan tanah sejauh 30m</t>
  </si>
  <si>
    <t>9.   Pengurugan kembali galian</t>
  </si>
  <si>
    <t>10. Pemadatan tanah per 20 cm</t>
  </si>
  <si>
    <t>11. Pengurugan dengan pasir urug</t>
  </si>
  <si>
    <t>12. Pemasangan lapisan pudel 1:3:7</t>
  </si>
  <si>
    <t>13. Pemasangan lapisan pudel 1:5</t>
  </si>
  <si>
    <t>14. Pemasangan lapisan ijuk</t>
  </si>
  <si>
    <t>15. Pengurugan dengan sirtu padat</t>
  </si>
  <si>
    <r>
      <rPr>
        <sz val="10"/>
        <color indexed="8"/>
        <rFont val="Arial"/>
        <family val="2"/>
      </rPr>
      <t xml:space="preserve">3.2.1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nda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</si>
  <si>
    <t>1.   Pemasangan pondasi batu belah 1PC:3PP</t>
  </si>
  <si>
    <t>2.   Pemasangan pondasi batu belah 1PC:4PP</t>
  </si>
  <si>
    <t>3.   Pemasangan pondasi batu belah 1PC:5PP</t>
  </si>
  <si>
    <t>4.   Pemasangan pondasi batu belah 1PC:6PP</t>
  </si>
  <si>
    <t>5.   Pemasangan pondasi batu belah 1PC:8PP</t>
  </si>
  <si>
    <t>6.   Pemasangan pondasi batu belah 1KP:1SM:2 PP</t>
  </si>
  <si>
    <t>7.   Pemasangan pondasi batu belah 1PC:3KP:10 PP</t>
  </si>
  <si>
    <t>8.   Pemasangan pondasi batu belah 1/4PC:1KP:4 PP</t>
  </si>
  <si>
    <r>
      <rPr>
        <sz val="10"/>
        <color indexed="8"/>
        <rFont val="Arial"/>
        <family val="2"/>
      </rPr>
      <t>9.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batu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ong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i/>
        <sz val="10"/>
        <color indexed="8"/>
        <rFont val="Arial"/>
        <family val="2"/>
      </rPr>
      <t>aan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m</t>
    </r>
    <r>
      <rPr>
        <i/>
        <sz val="10"/>
        <color indexed="8"/>
        <rFont val="Arial"/>
        <family val="2"/>
      </rPr>
      <t>p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>)</t>
    </r>
  </si>
  <si>
    <t>10. Pemasangan pondasi siklop 60% beton</t>
  </si>
  <si>
    <t>11. Pemasangan pondasi sumuran Ø 100cm</t>
  </si>
  <si>
    <r>
      <rPr>
        <sz val="10"/>
        <color indexed="8"/>
        <rFont val="Arial"/>
        <family val="2"/>
      </rPr>
      <t xml:space="preserve">4.1.1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on</t>
    </r>
  </si>
  <si>
    <r>
      <rPr>
        <sz val="10"/>
        <color indexed="8"/>
        <rFont val="Arial"/>
        <family val="2"/>
      </rPr>
      <t>1.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utu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7,4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0)
</t>
    </r>
    <r>
      <rPr>
        <sz val="6"/>
        <color indexed="8"/>
        <rFont val="Arial"/>
        <family val="2"/>
      </rPr>
      <t>c</t>
    </r>
  </si>
  <si>
    <r>
      <rPr>
        <sz val="10"/>
        <color indexed="8"/>
        <rFont val="Arial"/>
        <family val="2"/>
      </rPr>
      <t>2.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utu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9,8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 xml:space="preserve">5)
</t>
    </r>
    <r>
      <rPr>
        <sz val="6"/>
        <color indexed="8"/>
        <rFont val="Arial"/>
        <family val="2"/>
      </rPr>
      <t>c</t>
    </r>
  </si>
  <si>
    <r>
      <rPr>
        <sz val="10"/>
        <color indexed="8"/>
        <rFont val="Arial"/>
        <family val="2"/>
      </rPr>
      <t>3.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utu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12,2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50)
</t>
    </r>
    <r>
      <rPr>
        <sz val="6"/>
        <color indexed="8"/>
        <rFont val="Arial"/>
        <family val="2"/>
      </rPr>
      <t>c</t>
    </r>
  </si>
  <si>
    <r>
      <rPr>
        <sz val="10"/>
        <color indexed="8"/>
        <rFont val="Arial"/>
        <family val="2"/>
      </rPr>
      <t>4.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utu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7,4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 xml:space="preserve">Pa
</t>
    </r>
    <r>
      <rPr>
        <sz val="6"/>
        <color indexed="8"/>
        <rFont val="Arial"/>
        <family val="2"/>
      </rPr>
      <t>c</t>
    </r>
  </si>
  <si>
    <r>
      <rPr>
        <sz val="10"/>
        <color indexed="8"/>
        <rFont val="Arial"/>
        <family val="2"/>
      </rPr>
      <t>5.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utu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14,5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75)
</t>
    </r>
    <r>
      <rPr>
        <sz val="6"/>
        <color indexed="8"/>
        <rFont val="Arial"/>
        <family val="2"/>
      </rPr>
      <t>c</t>
    </r>
  </si>
  <si>
    <r>
      <rPr>
        <sz val="10"/>
        <color indexed="8"/>
        <rFont val="Arial"/>
        <family val="2"/>
      </rPr>
      <t>6.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utu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16,9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 xml:space="preserve">00)
</t>
    </r>
    <r>
      <rPr>
        <sz val="6"/>
        <color indexed="8"/>
        <rFont val="Arial"/>
        <family val="2"/>
      </rPr>
      <t>c</t>
    </r>
  </si>
  <si>
    <r>
      <rPr>
        <sz val="10"/>
        <color indexed="8"/>
        <rFont val="Arial"/>
        <family val="2"/>
      </rPr>
      <t>7.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utu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19,3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 xml:space="preserve">25)
</t>
    </r>
    <r>
      <rPr>
        <sz val="6"/>
        <color indexed="8"/>
        <rFont val="Arial"/>
        <family val="2"/>
      </rPr>
      <t>c</t>
    </r>
  </si>
  <si>
    <r>
      <rPr>
        <sz val="10"/>
        <color indexed="8"/>
        <rFont val="Arial"/>
        <family val="2"/>
      </rPr>
      <t>8.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utu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21,7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 xml:space="preserve">50)
</t>
    </r>
    <r>
      <rPr>
        <sz val="6"/>
        <color indexed="8"/>
        <rFont val="Arial"/>
        <family val="2"/>
      </rPr>
      <t>c</t>
    </r>
  </si>
  <si>
    <r>
      <rPr>
        <sz val="10"/>
        <color indexed="8"/>
        <rFont val="Arial"/>
        <family val="2"/>
      </rPr>
      <t>9.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utu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24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 xml:space="preserve">5)
</t>
    </r>
    <r>
      <rPr>
        <sz val="6"/>
        <color indexed="8"/>
        <rFont val="Arial"/>
        <family val="2"/>
      </rPr>
      <t>c</t>
    </r>
  </si>
  <si>
    <r>
      <rPr>
        <sz val="10"/>
        <color indexed="8"/>
        <rFont val="Arial"/>
        <family val="2"/>
      </rPr>
      <t>10.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utu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26,4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 xml:space="preserve">00)
</t>
    </r>
    <r>
      <rPr>
        <sz val="6"/>
        <color indexed="8"/>
        <rFont val="Arial"/>
        <family val="2"/>
      </rPr>
      <t>c</t>
    </r>
  </si>
  <si>
    <r>
      <rPr>
        <sz val="10"/>
        <color indexed="8"/>
        <rFont val="Arial"/>
        <family val="2"/>
      </rPr>
      <t>11.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utu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28,8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 xml:space="preserve">25)
</t>
    </r>
    <r>
      <rPr>
        <sz val="6"/>
        <color indexed="8"/>
        <rFont val="Arial"/>
        <family val="2"/>
      </rPr>
      <t>c</t>
    </r>
  </si>
  <si>
    <r>
      <rPr>
        <sz val="10"/>
        <color indexed="8"/>
        <rFont val="Arial"/>
        <family val="2"/>
      </rPr>
      <t>12.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utu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31,2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 xml:space="preserve">50)
</t>
    </r>
    <r>
      <rPr>
        <sz val="6"/>
        <color indexed="8"/>
        <rFont val="Arial"/>
        <family val="2"/>
      </rPr>
      <t>c</t>
    </r>
  </si>
  <si>
    <r>
      <rPr>
        <sz val="10"/>
        <color indexed="8"/>
        <rFont val="Arial"/>
        <family val="2"/>
      </rPr>
      <t>13.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ox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</si>
  <si>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14.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PV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W</t>
    </r>
    <r>
      <rPr>
        <i/>
        <sz val="10"/>
        <color indexed="8"/>
        <rFont val="Arial"/>
        <family val="2"/>
      </rPr>
      <t>ate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top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</si>
  <si>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15.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PV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W</t>
    </r>
    <r>
      <rPr>
        <i/>
        <sz val="10"/>
        <color indexed="8"/>
        <rFont val="Arial"/>
        <family val="2"/>
      </rPr>
      <t>ate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top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</si>
  <si>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16.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PV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W</t>
    </r>
    <r>
      <rPr>
        <i/>
        <sz val="10"/>
        <color indexed="8"/>
        <rFont val="Arial"/>
        <family val="2"/>
      </rPr>
      <t>ate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top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-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</si>
  <si>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t>17. Pembesian 10 Kg dengan besi polos atau ulir</t>
  </si>
  <si>
    <r>
      <rPr>
        <sz val="10"/>
        <color indexed="8"/>
        <rFont val="Arial"/>
        <family val="2"/>
      </rPr>
      <t>18.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abel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p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ed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po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/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nds</t>
    </r>
  </si>
  <si>
    <r>
      <rPr>
        <sz val="10"/>
        <color indexed="8"/>
        <rFont val="Arial"/>
        <family val="2"/>
      </rPr>
      <t>19.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>at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i/>
        <sz val="10"/>
        <color indexed="8"/>
        <rFont val="Arial"/>
        <family val="2"/>
      </rPr>
      <t>w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>me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h</t>
    </r>
    <r>
      <rPr>
        <sz val="10"/>
        <color indexed="8"/>
        <rFont val="Arial"/>
        <family val="2"/>
      </rPr>
      <t>)</t>
    </r>
  </si>
  <si>
    <r>
      <rPr>
        <sz val="10"/>
        <color indexed="8"/>
        <rFont val="Arial"/>
        <family val="2"/>
      </rPr>
      <t>20.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ponda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</si>
  <si>
    <r>
      <rPr>
        <sz val="10"/>
        <color indexed="8"/>
        <rFont val="Arial"/>
        <family val="2"/>
      </rPr>
      <t>21.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uk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oof</t>
    </r>
  </si>
  <si>
    <r>
      <rPr>
        <sz val="10"/>
        <color indexed="8"/>
        <rFont val="Arial"/>
        <family val="2"/>
      </rPr>
      <t>22.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om</t>
    </r>
  </si>
  <si>
    <r>
      <rPr>
        <sz val="10"/>
        <color indexed="8"/>
        <rFont val="Arial"/>
        <family val="2"/>
      </rPr>
      <t>23.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ok</t>
    </r>
  </si>
  <si>
    <r>
      <rPr>
        <sz val="10"/>
        <color indexed="8"/>
        <rFont val="Arial"/>
        <family val="2"/>
      </rPr>
      <t>24.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</si>
  <si>
    <r>
      <rPr>
        <sz val="10"/>
        <color indexed="8"/>
        <rFont val="Arial"/>
        <family val="2"/>
      </rPr>
      <t>25.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</si>
  <si>
    <r>
      <rPr>
        <sz val="10"/>
        <color indexed="8"/>
        <rFont val="Arial"/>
        <family val="2"/>
      </rPr>
      <t>26.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tang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a</t>
    </r>
  </si>
  <si>
    <r>
      <rPr>
        <sz val="10"/>
        <color indexed="8"/>
        <rFont val="Arial"/>
        <family val="2"/>
      </rPr>
      <t>27.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tangga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on</t>
    </r>
  </si>
  <si>
    <r>
      <rPr>
        <sz val="10"/>
        <color indexed="8"/>
        <rFont val="Arial"/>
        <family val="2"/>
      </rPr>
      <t>28.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ponda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)</t>
    </r>
  </si>
  <si>
    <r>
      <rPr>
        <sz val="10"/>
        <color indexed="8"/>
        <rFont val="Arial"/>
        <family val="2"/>
      </rPr>
      <t>29.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oof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)</t>
    </r>
  </si>
  <si>
    <r>
      <rPr>
        <sz val="10"/>
        <color indexed="8"/>
        <rFont val="Arial"/>
        <family val="2"/>
      </rPr>
      <t>30.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om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tu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300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)</t>
    </r>
  </si>
  <si>
    <r>
      <rPr>
        <sz val="10"/>
        <color indexed="8"/>
        <rFont val="Arial"/>
        <family val="2"/>
      </rPr>
      <t>31.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tu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200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)</t>
    </r>
  </si>
  <si>
    <r>
      <rPr>
        <sz val="10"/>
        <color indexed="8"/>
        <rFont val="Arial"/>
        <family val="2"/>
      </rPr>
      <t>32.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et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)</t>
    </r>
  </si>
  <si>
    <r>
      <rPr>
        <sz val="10"/>
        <color indexed="8"/>
        <rFont val="Arial"/>
        <family val="2"/>
      </rPr>
      <t>33.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)</t>
    </r>
  </si>
  <si>
    <r>
      <rPr>
        <sz val="10"/>
        <color indexed="8"/>
        <rFont val="Arial"/>
        <family val="2"/>
      </rPr>
      <t>34.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)</t>
    </r>
  </si>
  <si>
    <r>
      <rPr>
        <sz val="10"/>
        <color indexed="8"/>
        <rFont val="Arial"/>
        <family val="2"/>
      </rPr>
      <t>35.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om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tu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11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)</t>
    </r>
  </si>
  <si>
    <r>
      <rPr>
        <sz val="10"/>
        <color indexed="8"/>
        <rFont val="Arial"/>
        <family val="2"/>
      </rPr>
      <t>36.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tu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15)</t>
    </r>
  </si>
  <si>
    <r>
      <rPr>
        <sz val="10"/>
        <color indexed="8"/>
        <rFont val="Arial"/>
        <family val="2"/>
      </rPr>
      <t xml:space="preserve">4.1.2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etak</t>
    </r>
  </si>
  <si>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ahan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tebal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>’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14,5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</si>
  <si>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 xml:space="preserve"> 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ahan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tebal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beton
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>’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14,5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</si>
  <si>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 xml:space="preserve"> 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ahan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tebal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12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beton
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>’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14,5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</si>
  <si>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 xml:space="preserve"> 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ahan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tebal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beton
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>’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14,5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</si>
  <si>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ntuk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tak</t>
    </r>
  </si>
  <si>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 xml:space="preserve"> 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ntuk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ak</t>
    </r>
  </si>
  <si>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 xml:space="preserve"> 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ntuk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om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ak</t>
    </r>
  </si>
  <si>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 xml:space="preserve"> 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at
</t>
    </r>
    <r>
      <rPr>
        <sz val="10"/>
        <color indexed="8"/>
        <rFont val="Arial"/>
        <family val="2"/>
      </rPr>
      <t>bet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ak</t>
    </r>
  </si>
  <si>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ak</t>
    </r>
  </si>
  <si>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om
</t>
    </r>
    <r>
      <rPr>
        <sz val="10"/>
        <color indexed="8"/>
        <rFont val="Arial"/>
        <family val="2"/>
      </rPr>
      <t>bet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ak</t>
    </r>
  </si>
  <si>
    <r>
      <rPr>
        <sz val="10"/>
        <color indexed="8"/>
        <rFont val="Arial"/>
        <family val="2"/>
      </rPr>
      <t>11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ua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/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enebar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untuk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ton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etak</t>
    </r>
  </si>
  <si>
    <r>
      <rPr>
        <sz val="10"/>
        <color indexed="8"/>
        <rFont val="Arial"/>
        <family val="2"/>
      </rPr>
      <t>12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ua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/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enebar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untuk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beton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etak</t>
    </r>
  </si>
  <si>
    <r>
      <rPr>
        <sz val="10"/>
        <color indexed="8"/>
        <rFont val="Arial"/>
        <family val="2"/>
      </rPr>
      <t>13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ua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/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enebar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untuk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om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beton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etak</t>
    </r>
  </si>
  <si>
    <t>14 Mendirikan 1 buah komponen plat beton pracetak</t>
  </si>
  <si>
    <t>15 Mendirikan 1 buah komponen balok beton pracetak</t>
  </si>
  <si>
    <t>16 Mendirikan 1 buah komponen kolom beton pracetak</t>
  </si>
  <si>
    <t>17 Melangsir 1 buah komponen plat beton pracetak (± 20 m)</t>
  </si>
  <si>
    <r>
      <rPr>
        <sz val="10"/>
        <color indexed="8"/>
        <rFont val="Arial"/>
        <family val="2"/>
      </rPr>
      <t>18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ang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ponen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 xml:space="preserve">ak
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±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m)</t>
    </r>
  </si>
  <si>
    <r>
      <rPr>
        <sz val="10"/>
        <color indexed="8"/>
        <rFont val="Arial"/>
        <family val="2"/>
      </rPr>
      <t>19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ang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ponen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om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 xml:space="preserve">ak
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±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20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)</t>
    </r>
  </si>
  <si>
    <r>
      <rPr>
        <sz val="10"/>
        <color indexed="8"/>
        <rFont val="Arial"/>
        <family val="2"/>
      </rPr>
      <t>20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h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9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g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out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ng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pu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</t>
    </r>
  </si>
  <si>
    <r>
      <rPr>
        <sz val="10"/>
        <color indexed="8"/>
        <rFont val="Arial"/>
        <family val="2"/>
      </rPr>
      <t>21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h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9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g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out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ng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ak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pu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</t>
    </r>
  </si>
  <si>
    <t>22 Upah melakukan grouting 1 titik pada join pracetak</t>
  </si>
  <si>
    <t>23 Pemasangan 1 titik bekisting join pracetak</t>
  </si>
  <si>
    <r>
      <rPr>
        <sz val="10"/>
        <color indexed="8"/>
        <rFont val="Arial"/>
        <family val="2"/>
      </rPr>
      <t>24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Upah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en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</t>
    </r>
    <r>
      <rPr>
        <i/>
        <sz val="10"/>
        <color indexed="8"/>
        <rFont val="Arial"/>
        <family val="2"/>
      </rPr>
      <t>g</t>
    </r>
  </si>
  <si>
    <r>
      <rPr>
        <sz val="10"/>
        <color indexed="8"/>
        <rFont val="Arial"/>
        <family val="2"/>
      </rPr>
      <t xml:space="preserve">4.2.1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&amp;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um</t>
    </r>
  </si>
  <si>
    <t>1   Pemasangan baja profil</t>
  </si>
  <si>
    <t>2   Pemasangan rangka kuda-kuda baja IWF</t>
  </si>
  <si>
    <t>3   Pengerjaan perakitan baja</t>
  </si>
  <si>
    <t>4   Pembuatan pintu plat baja tebal 2 mm rangkap</t>
  </si>
  <si>
    <t>5   Pengerjaan pengelasan dengan las listrik</t>
  </si>
  <si>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ang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end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qua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et</t>
    </r>
    <r>
      <rPr>
        <i/>
        <sz val="10"/>
        <color indexed="8"/>
        <rFont val="Arial"/>
        <family val="2"/>
      </rPr>
      <t>u</t>
    </r>
    <r>
      <rPr>
        <i/>
        <sz val="10"/>
        <color indexed="8"/>
        <rFont val="Arial"/>
        <family val="2"/>
      </rPr>
      <t>be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25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5</t>
    </r>
  </si>
  <si>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tu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</t>
    </r>
    <r>
      <rPr>
        <i/>
        <sz val="10"/>
        <color indexed="8"/>
        <rFont val="Arial"/>
        <family val="2"/>
      </rPr>
      <t>g</t>
    </r>
    <r>
      <rPr>
        <i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d</t>
    </r>
    <r>
      <rPr>
        <i/>
        <sz val="10"/>
        <color indexed="8"/>
        <rFont val="Arial"/>
        <family val="2"/>
      </rPr>
      <t>oor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</si>
  <si>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tu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f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d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</t>
    </r>
    <r>
      <rPr>
        <i/>
        <sz val="10"/>
        <color indexed="8"/>
        <rFont val="Arial"/>
        <family val="2"/>
      </rPr>
      <t>g</t>
    </r>
    <r>
      <rPr>
        <i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door</t>
    </r>
  </si>
  <si>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u</t>
    </r>
    <r>
      <rPr>
        <i/>
        <sz val="10"/>
        <color indexed="8"/>
        <rFont val="Arial"/>
        <family val="2"/>
      </rPr>
      <t>n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c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een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um</t>
    </r>
  </si>
  <si>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h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ow</t>
    </r>
  </si>
  <si>
    <r>
      <rPr>
        <sz val="10"/>
        <color indexed="8"/>
        <rFont val="Arial"/>
        <family val="2"/>
      </rPr>
      <t xml:space="preserve">4.4.1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ng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gan</t>
    </r>
  </si>
  <si>
    <t>1    Pemasangan dinding bata merah 1 batu camp. 1PC:2PP</t>
  </si>
  <si>
    <t>2    Pemasangan dinding bata merah 1 batu camp. 1PC:3PP</t>
  </si>
  <si>
    <t>3    Pemasangan dinding bata merah 1 batu camp. 1PC:4PP</t>
  </si>
  <si>
    <t>4    Pemasangan dinding bata merah 1 batu camp. 1PC:5PP</t>
  </si>
  <si>
    <t>5    Pemasangan dinding bata merah 1 batu camp. 1PC:6PP</t>
  </si>
  <si>
    <t>6    Pemasangan dinding bata merah 1 batu 1PC:3KP: 2PP</t>
  </si>
  <si>
    <t>7    Pemasangan dinding bata merah 1/2 batu camp. 1PC:2PP</t>
  </si>
  <si>
    <t>8    Pemasangan dinding bata merah 1/2 batu camp. 1PC:3PP</t>
  </si>
  <si>
    <t>9    Pemasangan dinding bata merah 1/2 batu camp. 1PC:4PP</t>
  </si>
  <si>
    <t>10  Pemasangan dinding bata merah 1/2 batu camp. 1PC:5PP</t>
  </si>
  <si>
    <t>11  Pemasangan dinding bata merah 1/2 batu camp. 1PC:6PP</t>
  </si>
  <si>
    <t>12  Pemasangan dinding bata merah 1/2 batu 1PC:8PP</t>
  </si>
  <si>
    <t>13  Pemasangan dinding bata merah 1/2 batu 1PC:3KP: 10PP</t>
  </si>
  <si>
    <t>14  Pemasangan dinding bata merah 1/2 batu 1KP:1SM:1PP</t>
  </si>
  <si>
    <t>15  Pemasangan dinding bata merah 1/2 batu 1KP:1SM:2PP</t>
  </si>
  <si>
    <t>16  Pemasangan dinding HB20 camp. 1PC:3PP</t>
  </si>
  <si>
    <t>17  Pemasangan dinding HB20 camp. 1PC:4PP</t>
  </si>
  <si>
    <t>18  Pemasangan dinding HB15 camp. 1PC:3PP</t>
  </si>
  <si>
    <t>19 Pemasangan dinding HB15 camp. 1PC:4PP</t>
  </si>
  <si>
    <t>20 Pemasangan dinding HB10 camp. 1PC:3PP</t>
  </si>
  <si>
    <t>21 Pemasangan dinding HB10 camp. 1PC:4PP</t>
  </si>
  <si>
    <r>
      <rPr>
        <sz val="10"/>
        <color indexed="8"/>
        <rFont val="Arial"/>
        <family val="2"/>
      </rPr>
      <t>22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wang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te</t>
    </r>
    <r>
      <rPr>
        <i/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)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: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P</t>
    </r>
  </si>
  <si>
    <r>
      <rPr>
        <sz val="10"/>
        <color indexed="8"/>
        <rFont val="Arial"/>
        <family val="2"/>
      </rPr>
      <t>23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wang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te</t>
    </r>
    <r>
      <rPr>
        <i/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)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: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P</t>
    </r>
  </si>
  <si>
    <t>24 Pemasangan dinding bata berongga camp. 1PC:3PP</t>
  </si>
  <si>
    <r>
      <rPr>
        <sz val="10"/>
        <color indexed="8"/>
        <rFont val="Arial"/>
        <family val="2"/>
      </rPr>
      <t xml:space="preserve">4.4.2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</si>
  <si>
    <t>1.  Pemasangan plesteran 1PC:1PP tebal 15 mm</t>
  </si>
  <si>
    <t>2.  Pemasangan plesteran 1PC:2PP tebal 15 mm</t>
  </si>
  <si>
    <t>3.  Pemasangan plesteran 1PC:3PP tebal 15 mm</t>
  </si>
  <si>
    <t>4.  Pemasangan plesteran 1PC:4PP tebal 15 mm</t>
  </si>
  <si>
    <t>5.  Pemasangan plesteran 1PC:5PP tebal 15 mm</t>
  </si>
  <si>
    <t>6.  Pemasangan plesteran 1PC:6PP tebal 15 mm</t>
  </si>
  <si>
    <t>7.  Pemasangan plesteran 1PC:7PP tebal 15 mm</t>
  </si>
  <si>
    <t>8.  Pemasangan plesteran 1PC:8PP tebal 15 mm</t>
  </si>
  <si>
    <t>9.  Pemasangan plesteran 1PC:1/2KP:3PP tebal 15 mm</t>
  </si>
  <si>
    <t>10. Pemasangan plesteran 1PC:2KP:8PP tebal 15 mm</t>
  </si>
  <si>
    <t>11. Pemasangan plesteran 1SM:1KP:1PP tebal 15 mm</t>
  </si>
  <si>
    <t>12. Pemasangan plesteran 1SM:1KP:2PP tebal 15 mm</t>
  </si>
  <si>
    <t>13. Pemasangan plesteran 1PC:2PP tebal 20 mm</t>
  </si>
  <si>
    <t>14. Pemasangan plesteran 1PC:3PP tebal 20 mm</t>
  </si>
  <si>
    <t>15. Pemasangan plesteran 1PC:4PP tebal 20 mm</t>
  </si>
  <si>
    <t>16. Pemasangan plesteran 1PC:5PP tebal 20 mm</t>
  </si>
  <si>
    <t>17. Pemasangan plesteran 1PC:6PP tebal 20 mm</t>
  </si>
  <si>
    <t>18. Pemasangan plesteran 1SM:1KP:2PP tebal 20 mm</t>
  </si>
  <si>
    <t>19. Pemasangan berapen 1PC:5PP tebal 15 mm</t>
  </si>
  <si>
    <t>20. Pemasangan plesteran skoning 1PC:2PP lebar 10 cm</t>
  </si>
  <si>
    <t>21. Pemasangan plesteran granit 1PC:2 Granit tebal 10 mm</t>
  </si>
  <si>
    <t>22. Pemasangan plesteran teraso 1PC:2 Teraso tebal 10 mm</t>
  </si>
  <si>
    <t>23. Pemasangan plesteran ciprat 1PC:2PP</t>
  </si>
  <si>
    <r>
      <rPr>
        <sz val="10"/>
        <color indexed="8"/>
        <rFont val="Arial"/>
        <family val="2"/>
      </rPr>
      <t>24.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f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h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ng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ar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bata</t>
    </r>
  </si>
  <si>
    <r>
      <rPr>
        <sz val="10"/>
        <color indexed="8"/>
        <rFont val="Arial"/>
        <family val="2"/>
      </rPr>
      <t>25.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f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h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ng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ar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.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c</t>
    </r>
    <r>
      <rPr>
        <i/>
        <sz val="10"/>
        <color indexed="8"/>
        <rFont val="Arial"/>
        <family val="2"/>
      </rPr>
      <t>on</t>
    </r>
    <r>
      <rPr>
        <i/>
        <sz val="10"/>
        <color indexed="8"/>
        <rFont val="Arial"/>
        <family val="2"/>
      </rPr>
      <t>b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c</t>
    </r>
    <r>
      <rPr>
        <i/>
        <sz val="10"/>
        <color indexed="8"/>
        <rFont val="Arial"/>
        <family val="2"/>
      </rPr>
      <t>k</t>
    </r>
  </si>
  <si>
    <r>
      <rPr>
        <sz val="10"/>
        <color indexed="8"/>
        <rFont val="Arial"/>
        <family val="2"/>
      </rPr>
      <t>26.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f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h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ng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ar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tu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ah</t>
    </r>
  </si>
  <si>
    <t>27. Pemasangan acian</t>
  </si>
  <si>
    <r>
      <rPr>
        <sz val="10"/>
        <color indexed="8"/>
        <rFont val="Arial"/>
        <family val="2"/>
      </rPr>
      <t xml:space="preserve">4.4.3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ut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&amp;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ut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</si>
  <si>
    <r>
      <rPr>
        <sz val="10"/>
        <color indexed="8"/>
        <rFont val="Arial"/>
        <family val="2"/>
      </rPr>
      <t>1.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Times New Roman"/>
        <family val="1"/>
      </rPr>
      <t>1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Times New Roman"/>
        <family val="1"/>
      </rPr>
      <t>m</t>
    </r>
    <r>
      <rPr>
        <sz val="6"/>
        <color indexed="8"/>
        <rFont val="Times New Roman"/>
        <family val="1"/>
      </rPr>
      <t>2</t>
    </r>
    <r>
      <rPr>
        <sz val="6"/>
        <color indexed="8"/>
        <rFont val="Times New Roman"/>
        <family val="1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bu</t>
    </r>
    <r>
      <rPr>
        <sz val="10"/>
        <color indexed="8"/>
        <rFont val="Arial"/>
        <family val="2"/>
      </rPr>
      <t>-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40</t>
    </r>
  </si>
  <si>
    <r>
      <rPr>
        <sz val="10"/>
        <color indexed="8"/>
        <rFont val="Arial"/>
        <family val="2"/>
      </rPr>
      <t>2.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Times New Roman"/>
        <family val="1"/>
      </rPr>
      <t>1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Times New Roman"/>
        <family val="1"/>
      </rPr>
      <t>m</t>
    </r>
    <r>
      <rPr>
        <sz val="6"/>
        <color indexed="8"/>
        <rFont val="Times New Roman"/>
        <family val="1"/>
      </rPr>
      <t>2</t>
    </r>
    <r>
      <rPr>
        <sz val="6"/>
        <color indexed="8"/>
        <rFont val="Times New Roman"/>
        <family val="1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bu</t>
    </r>
    <r>
      <rPr>
        <sz val="10"/>
        <color indexed="8"/>
        <rFont val="Arial"/>
        <family val="2"/>
      </rPr>
      <t>-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30</t>
    </r>
  </si>
  <si>
    <r>
      <rPr>
        <sz val="10"/>
        <color indexed="8"/>
        <rFont val="Arial"/>
        <family val="2"/>
      </rPr>
      <t>3.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Times New Roman"/>
        <family val="1"/>
      </rPr>
      <t>1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Times New Roman"/>
        <family val="1"/>
      </rPr>
      <t>m</t>
    </r>
    <r>
      <rPr>
        <sz val="6"/>
        <color indexed="8"/>
        <rFont val="Times New Roman"/>
        <family val="1"/>
      </rPr>
      <t>2</t>
    </r>
    <r>
      <rPr>
        <sz val="6"/>
        <color indexed="8"/>
        <rFont val="Times New Roman"/>
        <family val="1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bu</t>
    </r>
    <r>
      <rPr>
        <sz val="10"/>
        <color indexed="8"/>
        <rFont val="Arial"/>
        <family val="2"/>
      </rPr>
      <t>-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20</t>
    </r>
  </si>
  <si>
    <r>
      <rPr>
        <sz val="10"/>
        <color indexed="8"/>
        <rFont val="Arial"/>
        <family val="2"/>
      </rPr>
      <t>4.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Times New Roman"/>
        <family val="1"/>
      </rPr>
      <t>1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Times New Roman"/>
        <family val="1"/>
      </rPr>
      <t>m</t>
    </r>
    <r>
      <rPr>
        <sz val="6"/>
        <color indexed="8"/>
        <rFont val="Times New Roman"/>
        <family val="1"/>
      </rPr>
      <t>2</t>
    </r>
    <r>
      <rPr>
        <sz val="6"/>
        <color indexed="8"/>
        <rFont val="Times New Roman"/>
        <family val="1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wa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na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40</t>
    </r>
  </si>
  <si>
    <r>
      <rPr>
        <sz val="10"/>
        <color indexed="8"/>
        <rFont val="Arial"/>
        <family val="2"/>
      </rPr>
      <t>5.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Times New Roman"/>
        <family val="1"/>
      </rPr>
      <t>1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Times New Roman"/>
        <family val="1"/>
      </rPr>
      <t>m</t>
    </r>
    <r>
      <rPr>
        <sz val="6"/>
        <color indexed="8"/>
        <rFont val="Times New Roman"/>
        <family val="1"/>
      </rPr>
      <t>2</t>
    </r>
    <r>
      <rPr>
        <sz val="6"/>
        <color indexed="8"/>
        <rFont val="Times New Roman"/>
        <family val="1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wa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na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30</t>
    </r>
  </si>
  <si>
    <r>
      <rPr>
        <sz val="10"/>
        <color indexed="8"/>
        <rFont val="Arial"/>
        <family val="2"/>
      </rPr>
      <t>6.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Times New Roman"/>
        <family val="1"/>
      </rPr>
      <t>1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Times New Roman"/>
        <family val="1"/>
      </rPr>
      <t>m</t>
    </r>
    <r>
      <rPr>
        <sz val="6"/>
        <color indexed="8"/>
        <rFont val="Times New Roman"/>
        <family val="1"/>
      </rPr>
      <t>2</t>
    </r>
    <r>
      <rPr>
        <sz val="6"/>
        <color indexed="8"/>
        <rFont val="Times New Roman"/>
        <family val="1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wa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na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20</t>
    </r>
  </si>
  <si>
    <r>
      <rPr>
        <sz val="10"/>
        <color indexed="8"/>
        <rFont val="Arial"/>
        <family val="2"/>
      </rPr>
      <t>7.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Times New Roman"/>
        <family val="1"/>
      </rPr>
      <t>1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Times New Roman"/>
        <family val="1"/>
      </rPr>
      <t>m</t>
    </r>
    <r>
      <rPr>
        <sz val="6"/>
        <color indexed="8"/>
        <rFont val="Times New Roman"/>
        <family val="1"/>
      </rPr>
      <t>2</t>
    </r>
    <r>
      <rPr>
        <sz val="6"/>
        <color indexed="8"/>
        <rFont val="Times New Roman"/>
        <family val="1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40</t>
    </r>
  </si>
  <si>
    <r>
      <rPr>
        <sz val="10"/>
        <color indexed="8"/>
        <rFont val="Arial"/>
        <family val="2"/>
      </rPr>
      <t>8.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Times New Roman"/>
        <family val="1"/>
      </rPr>
      <t>1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Times New Roman"/>
        <family val="1"/>
      </rPr>
      <t>m</t>
    </r>
    <r>
      <rPr>
        <sz val="6"/>
        <color indexed="8"/>
        <rFont val="Times New Roman"/>
        <family val="1"/>
      </rPr>
      <t>2</t>
    </r>
    <r>
      <rPr>
        <sz val="6"/>
        <color indexed="8"/>
        <rFont val="Times New Roman"/>
        <family val="1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30</t>
    </r>
  </si>
  <si>
    <r>
      <rPr>
        <sz val="10"/>
        <color indexed="8"/>
        <rFont val="Arial"/>
        <family val="2"/>
      </rPr>
      <t>9.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Times New Roman"/>
        <family val="1"/>
      </rPr>
      <t>1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Times New Roman"/>
        <family val="1"/>
      </rPr>
      <t>m</t>
    </r>
    <r>
      <rPr>
        <sz val="6"/>
        <color indexed="8"/>
        <rFont val="Times New Roman"/>
        <family val="1"/>
      </rPr>
      <t>2</t>
    </r>
    <r>
      <rPr>
        <sz val="6"/>
        <color indexed="8"/>
        <rFont val="Times New Roman"/>
        <family val="1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</si>
  <si>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10.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Times New Roman"/>
        <family val="1"/>
      </rPr>
      <t>1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Times New Roman"/>
        <family val="1"/>
      </rPr>
      <t>m</t>
    </r>
    <r>
      <rPr>
        <sz val="6"/>
        <color indexed="8"/>
        <rFont val="Times New Roman"/>
        <family val="1"/>
      </rPr>
      <t>2</t>
    </r>
    <r>
      <rPr>
        <sz val="6"/>
        <color indexed="8"/>
        <rFont val="Times New Roman"/>
        <family val="1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</si>
  <si>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11.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Times New Roman"/>
        <family val="1"/>
      </rPr>
      <t>1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Times New Roman"/>
        <family val="1"/>
      </rPr>
      <t>m</t>
    </r>
    <r>
      <rPr>
        <sz val="6"/>
        <color indexed="8"/>
        <rFont val="Times New Roman"/>
        <family val="1"/>
      </rPr>
      <t>2</t>
    </r>
    <r>
      <rPr>
        <sz val="6"/>
        <color indexed="8"/>
        <rFont val="Times New Roman"/>
        <family val="1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ux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40</t>
    </r>
  </si>
  <si>
    <r>
      <rPr>
        <sz val="10"/>
        <color indexed="8"/>
        <rFont val="Arial"/>
        <family val="2"/>
      </rPr>
      <t>12.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ux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30</t>
    </r>
  </si>
  <si>
    <r>
      <rPr>
        <sz val="10"/>
        <color indexed="8"/>
        <rFont val="Arial"/>
        <family val="2"/>
      </rPr>
      <t>13.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ux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60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60</t>
    </r>
  </si>
  <si>
    <r>
      <rPr>
        <sz val="10"/>
        <color indexed="8"/>
        <rFont val="Arial"/>
        <family val="2"/>
      </rPr>
      <t>14.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ux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40</t>
    </r>
  </si>
  <si>
    <r>
      <rPr>
        <sz val="10"/>
        <color indexed="8"/>
        <rFont val="Arial"/>
        <family val="2"/>
      </rPr>
      <t>15.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ux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30</t>
    </r>
  </si>
  <si>
    <r>
      <rPr>
        <sz val="10"/>
        <color indexed="8"/>
        <rFont val="Arial"/>
        <family val="2"/>
      </rPr>
      <t>16.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abu</t>
    </r>
    <r>
      <rPr>
        <sz val="10"/>
        <color indexed="8"/>
        <rFont val="Arial"/>
        <family val="2"/>
      </rPr>
      <t>-</t>
    </r>
    <r>
      <rPr>
        <sz val="10"/>
        <color indexed="8"/>
        <rFont val="Arial"/>
        <family val="2"/>
      </rPr>
      <t>abu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15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</si>
  <si>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17.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abu</t>
    </r>
    <r>
      <rPr>
        <sz val="10"/>
        <color indexed="8"/>
        <rFont val="Arial"/>
        <family val="2"/>
      </rPr>
      <t>-</t>
    </r>
    <r>
      <rPr>
        <sz val="10"/>
        <color indexed="8"/>
        <rFont val="Arial"/>
        <family val="2"/>
      </rPr>
      <t>abu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</si>
  <si>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18.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abu</t>
    </r>
    <r>
      <rPr>
        <sz val="10"/>
        <color indexed="8"/>
        <rFont val="Arial"/>
        <family val="2"/>
      </rPr>
      <t>-</t>
    </r>
    <r>
      <rPr>
        <sz val="10"/>
        <color indexed="8"/>
        <rFont val="Arial"/>
        <family val="2"/>
      </rPr>
      <t>abu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</si>
  <si>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19.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na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</si>
  <si>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20.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na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</si>
  <si>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21.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na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</si>
  <si>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22.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30</t>
    </r>
  </si>
  <si>
    <r>
      <rPr>
        <sz val="10"/>
        <color indexed="8"/>
        <rFont val="Arial"/>
        <family val="2"/>
      </rPr>
      <t>23.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40</t>
    </r>
  </si>
  <si>
    <r>
      <rPr>
        <sz val="10"/>
        <color indexed="8"/>
        <rFont val="Arial"/>
        <family val="2"/>
      </rPr>
      <t>24.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40</t>
    </r>
  </si>
  <si>
    <r>
      <rPr>
        <sz val="10"/>
        <color indexed="8"/>
        <rFont val="Arial"/>
        <family val="2"/>
      </rPr>
      <t>25.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30</t>
    </r>
  </si>
  <si>
    <r>
      <rPr>
        <sz val="10"/>
        <color indexed="8"/>
        <rFont val="Arial"/>
        <family val="2"/>
      </rPr>
      <t>26.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ux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</si>
  <si>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27.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ux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</si>
  <si>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28.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ux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60</t>
    </r>
  </si>
  <si>
    <r>
      <rPr>
        <sz val="10"/>
        <color indexed="8"/>
        <rFont val="Arial"/>
        <family val="2"/>
      </rPr>
      <t>29.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ux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40</t>
    </r>
  </si>
  <si>
    <r>
      <rPr>
        <sz val="10"/>
        <color indexed="8"/>
        <rFont val="Arial"/>
        <family val="2"/>
      </rPr>
      <t>30.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ux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30</t>
    </r>
  </si>
  <si>
    <r>
      <rPr>
        <sz val="10"/>
        <color indexed="8"/>
        <rFont val="Arial"/>
        <family val="2"/>
      </rPr>
      <t>31.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or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pat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</si>
  <si>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32.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20</t>
    </r>
  </si>
  <si>
    <r>
      <rPr>
        <sz val="10"/>
        <color indexed="8"/>
        <rFont val="Arial"/>
        <family val="2"/>
      </rPr>
      <t>33.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20</t>
    </r>
  </si>
  <si>
    <r>
      <rPr>
        <sz val="10"/>
        <color indexed="8"/>
        <rFont val="Arial"/>
        <family val="2"/>
      </rPr>
      <t>34.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33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33</t>
    </r>
  </si>
  <si>
    <r>
      <rPr>
        <sz val="10"/>
        <color indexed="8"/>
        <rFont val="Arial"/>
        <family val="2"/>
      </rPr>
      <t>35.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30</t>
    </r>
  </si>
  <si>
    <r>
      <rPr>
        <sz val="10"/>
        <color indexed="8"/>
        <rFont val="Arial"/>
        <family val="2"/>
      </rPr>
      <t>36.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20</t>
    </r>
  </si>
  <si>
    <r>
      <rPr>
        <sz val="10"/>
        <color indexed="8"/>
        <rFont val="Arial"/>
        <family val="2"/>
      </rPr>
      <t>37.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33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/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der</t>
    </r>
  </si>
  <si>
    <r>
      <rPr>
        <sz val="10"/>
        <color indexed="8"/>
        <rFont val="Arial"/>
        <family val="2"/>
      </rPr>
      <t>38.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z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: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P</t>
    </r>
  </si>
  <si>
    <r>
      <rPr>
        <sz val="10"/>
        <color indexed="8"/>
        <rFont val="Arial"/>
        <family val="2"/>
      </rPr>
      <t>39.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20</t>
    </r>
  </si>
  <si>
    <r>
      <rPr>
        <sz val="10"/>
        <color indexed="8"/>
        <rFont val="Arial"/>
        <family val="2"/>
      </rPr>
      <t>40.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10</t>
    </r>
  </si>
  <si>
    <r>
      <rPr>
        <sz val="10"/>
        <color indexed="8"/>
        <rFont val="Arial"/>
        <family val="2"/>
      </rPr>
      <t>41.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20</t>
    </r>
  </si>
  <si>
    <r>
      <rPr>
        <sz val="10"/>
        <color indexed="8"/>
        <rFont val="Arial"/>
        <family val="2"/>
      </rPr>
      <t>42.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nal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20</t>
    </r>
  </si>
  <si>
    <r>
      <rPr>
        <sz val="10"/>
        <color indexed="8"/>
        <rFont val="Arial"/>
        <family val="2"/>
      </rPr>
      <t>43.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100</t>
    </r>
  </si>
  <si>
    <r>
      <rPr>
        <sz val="10"/>
        <color indexed="8"/>
        <rFont val="Arial"/>
        <family val="2"/>
      </rPr>
      <t>44.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pet</t>
    </r>
  </si>
  <si>
    <r>
      <rPr>
        <sz val="10"/>
        <color indexed="8"/>
        <rFont val="Arial"/>
        <family val="2"/>
      </rPr>
      <t>45.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unde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pet)</t>
    </r>
  </si>
  <si>
    <r>
      <rPr>
        <sz val="10"/>
        <color indexed="8"/>
        <rFont val="Arial"/>
        <family val="2"/>
      </rPr>
      <t>46.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quet</t>
    </r>
  </si>
  <si>
    <r>
      <rPr>
        <sz val="10"/>
        <color indexed="8"/>
        <rFont val="Arial"/>
        <family val="2"/>
      </rPr>
      <t>47.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oor</t>
    </r>
  </si>
  <si>
    <r>
      <rPr>
        <sz val="10"/>
        <color indexed="8"/>
        <rFont val="Arial"/>
        <family val="2"/>
      </rPr>
      <t>48.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po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en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11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1</t>
    </r>
  </si>
  <si>
    <r>
      <rPr>
        <sz val="10"/>
        <color indexed="8"/>
        <rFont val="Arial"/>
        <family val="2"/>
      </rPr>
      <t>49.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po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en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</si>
  <si>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50.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po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en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</si>
  <si>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51.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20</t>
    </r>
  </si>
  <si>
    <r>
      <rPr>
        <sz val="10"/>
        <color indexed="8"/>
        <rFont val="Arial"/>
        <family val="2"/>
      </rPr>
      <t>52.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20</t>
    </r>
  </si>
  <si>
    <r>
      <rPr>
        <sz val="10"/>
        <color indexed="8"/>
        <rFont val="Arial"/>
        <family val="2"/>
      </rPr>
      <t>53.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20</t>
    </r>
  </si>
  <si>
    <r>
      <rPr>
        <sz val="10"/>
        <color indexed="8"/>
        <rFont val="Arial"/>
        <family val="2"/>
      </rPr>
      <t>54.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20</t>
    </r>
  </si>
  <si>
    <r>
      <rPr>
        <sz val="10"/>
        <color indexed="8"/>
        <rFont val="Arial"/>
        <family val="2"/>
      </rPr>
      <t>55.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100</t>
    </r>
  </si>
  <si>
    <r>
      <rPr>
        <sz val="10"/>
        <color indexed="8"/>
        <rFont val="Arial"/>
        <family val="2"/>
      </rPr>
      <t>56.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bata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24</t>
    </r>
  </si>
  <si>
    <r>
      <rPr>
        <sz val="10"/>
        <color indexed="8"/>
        <rFont val="Arial"/>
        <family val="2"/>
      </rPr>
      <t>57.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batu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as</t>
    </r>
  </si>
  <si>
    <r>
      <rPr>
        <sz val="10"/>
        <color indexed="8"/>
        <rFont val="Arial"/>
        <family val="2"/>
      </rPr>
      <t>58.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batu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h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tam</t>
    </r>
  </si>
  <si>
    <r>
      <rPr>
        <sz val="10"/>
        <color indexed="8"/>
        <rFont val="Arial"/>
        <family val="2"/>
      </rPr>
      <t>59.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</si>
  <si>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60.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50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</si>
  <si>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61.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F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oor</t>
    </r>
    <r>
      <rPr>
        <i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h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de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ner</t>
    </r>
  </si>
  <si>
    <r>
      <rPr>
        <sz val="10"/>
        <color indexed="8"/>
        <rFont val="Arial"/>
        <family val="2"/>
      </rPr>
      <t>62.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et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15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</si>
  <si>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63.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10</t>
    </r>
  </si>
  <si>
    <r>
      <rPr>
        <sz val="10"/>
        <color indexed="8"/>
        <rFont val="Arial"/>
        <family val="2"/>
      </rPr>
      <t xml:space="preserve">4.5.1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>ond</t>
    </r>
  </si>
  <si>
    <t>1.    Pemasangan langit-langit asbes semen 4,5,6 mm</t>
  </si>
  <si>
    <t>2.    Pemasangan langit-langit akustik 30x30</t>
  </si>
  <si>
    <t>3.    Pemasangan langit-langit akustik 30x60</t>
  </si>
  <si>
    <t>4.    Pemasangan langit-langit akustik 60x120</t>
  </si>
  <si>
    <t>5.    Pemasangan langit-langit tripleks 3,4,6 mm</t>
  </si>
  <si>
    <t>6.    Pemasangan langit-langit lambrisering kayu</t>
  </si>
  <si>
    <t>7.    Pemasangan langit-langit gypsum board tebal 9 mm</t>
  </si>
  <si>
    <t>8.    Pemasangan list langit-langit gypsum</t>
  </si>
  <si>
    <t>9.    Pemasangan langit-langit akustik berikut rangka almn</t>
  </si>
  <si>
    <t>10.  Pemasangan list langit-langit kayu profil</t>
  </si>
  <si>
    <r>
      <rPr>
        <sz val="10"/>
        <color indexed="8"/>
        <rFont val="Arial"/>
        <family val="2"/>
      </rPr>
      <t xml:space="preserve">4.5.2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nu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</si>
  <si>
    <r>
      <rPr>
        <sz val="10"/>
        <color indexed="8"/>
        <rFont val="Arial"/>
        <family val="2"/>
      </rPr>
      <t>1.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nte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nto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l</t>
    </r>
  </si>
  <si>
    <r>
      <rPr>
        <sz val="10"/>
        <color indexed="8"/>
        <rFont val="Arial"/>
        <family val="2"/>
      </rPr>
      <t>2.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nte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odok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z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ur</t>
    </r>
  </si>
  <si>
    <r>
      <rPr>
        <sz val="10"/>
        <color indexed="8"/>
        <rFont val="Arial"/>
        <family val="2"/>
      </rPr>
      <t>3.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nte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nto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/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er</t>
    </r>
  </si>
  <si>
    <r>
      <rPr>
        <sz val="10"/>
        <color indexed="8"/>
        <rFont val="Arial"/>
        <family val="2"/>
      </rPr>
      <t>4.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bubu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gen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to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l</t>
    </r>
  </si>
  <si>
    <r>
      <rPr>
        <sz val="10"/>
        <color indexed="8"/>
        <rFont val="Arial"/>
        <family val="2"/>
      </rPr>
      <t>5.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bubu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gen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odok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z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ur</t>
    </r>
  </si>
  <si>
    <r>
      <rPr>
        <sz val="10"/>
        <color indexed="8"/>
        <rFont val="Arial"/>
        <family val="2"/>
      </rPr>
      <t>6.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bubu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gen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to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ar</t>
    </r>
  </si>
  <si>
    <r>
      <rPr>
        <sz val="10"/>
        <color indexed="8"/>
        <rFont val="Arial"/>
        <family val="2"/>
      </rPr>
      <t>7.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oof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g</t>
    </r>
    <r>
      <rPr>
        <i/>
        <sz val="10"/>
        <color indexed="8"/>
        <rFont val="Arial"/>
        <family val="2"/>
      </rPr>
      <t>ht</t>
    </r>
    <r>
      <rPr>
        <i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f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b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g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180</t>
    </r>
  </si>
  <si>
    <r>
      <rPr>
        <sz val="10"/>
        <color indexed="8"/>
        <rFont val="Arial"/>
        <family val="2"/>
      </rPr>
      <t>8.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bes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 xml:space="preserve">250
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</si>
  <si>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9.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bes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 xml:space="preserve">225
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</si>
  <si>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bes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</si>
  <si>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11.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bes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 xml:space="preserve">180
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</si>
  <si>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bes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05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0
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</si>
  <si>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bes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05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</si>
  <si>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14.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bes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05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 xml:space="preserve">0
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</si>
  <si>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15.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bes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05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0
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</si>
  <si>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16.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bes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05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0
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</si>
  <si>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17.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bes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08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0
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</si>
  <si>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18.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bes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08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 xml:space="preserve">0
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</si>
  <si>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19.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bes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08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</si>
  <si>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bes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08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0
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</si>
  <si>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21.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bes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08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 xml:space="preserve">0
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</si>
  <si>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bubu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tel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92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</si>
  <si>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no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tel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</si>
  <si>
    <t>24. Pemasangan 1 m nokstel gelombang 108 cm</t>
  </si>
  <si>
    <r>
      <rPr>
        <sz val="10"/>
        <color indexed="8"/>
        <rFont val="Arial"/>
        <family val="2"/>
      </rPr>
      <t>25.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no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paten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92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</si>
  <si>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26.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no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paten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</si>
  <si>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27.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no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paten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</si>
  <si>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28.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no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tel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ata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</si>
  <si>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29.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no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tel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ata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</si>
  <si>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30.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nte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ton</t>
    </r>
  </si>
  <si>
    <r>
      <rPr>
        <sz val="10"/>
        <color indexed="8"/>
        <rFont val="Arial"/>
        <family val="2"/>
      </rPr>
      <t>31.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nte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</si>
  <si>
    <r>
      <rPr>
        <sz val="10"/>
        <color indexed="8"/>
        <rFont val="Arial"/>
        <family val="2"/>
      </rPr>
      <t>32.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nte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etal</t>
    </r>
  </si>
  <si>
    <r>
      <rPr>
        <sz val="10"/>
        <color indexed="8"/>
        <rFont val="Arial"/>
        <family val="2"/>
      </rPr>
      <t>33.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u</t>
    </r>
  </si>
  <si>
    <r>
      <rPr>
        <sz val="10"/>
        <color indexed="8"/>
        <rFont val="Arial"/>
        <family val="2"/>
      </rPr>
      <t>34.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nok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genteng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on</t>
    </r>
  </si>
  <si>
    <r>
      <rPr>
        <sz val="10"/>
        <color indexed="8"/>
        <rFont val="Arial"/>
        <family val="2"/>
      </rPr>
      <t>35.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nok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genteng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</si>
  <si>
    <r>
      <rPr>
        <sz val="10"/>
        <color indexed="8"/>
        <rFont val="Arial"/>
        <family val="2"/>
      </rPr>
      <t>36.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nok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genteng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etal</t>
    </r>
  </si>
  <si>
    <r>
      <rPr>
        <sz val="10"/>
        <color indexed="8"/>
        <rFont val="Arial"/>
        <family val="2"/>
      </rPr>
      <t>37.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nok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ap</t>
    </r>
  </si>
  <si>
    <r>
      <rPr>
        <sz val="10"/>
        <color indexed="8"/>
        <rFont val="Arial"/>
        <family val="2"/>
      </rPr>
      <t>38.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</si>
  <si>
    <r>
      <rPr>
        <sz val="10"/>
        <color indexed="8"/>
        <rFont val="Arial"/>
        <family val="2"/>
      </rPr>
      <t>39.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nok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eng</t>
    </r>
  </si>
  <si>
    <r>
      <rPr>
        <sz val="10"/>
        <color indexed="8"/>
        <rFont val="Arial"/>
        <family val="2"/>
      </rPr>
      <t>40.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</si>
  <si>
    <r>
      <rPr>
        <sz val="10"/>
        <color indexed="8"/>
        <rFont val="Arial"/>
        <family val="2"/>
      </rPr>
      <t>41.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nok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um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</si>
  <si>
    <r>
      <rPr>
        <sz val="10"/>
        <color indexed="8"/>
        <rFont val="Arial"/>
        <family val="2"/>
      </rPr>
      <t>42.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um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l</t>
    </r>
  </si>
  <si>
    <r>
      <rPr>
        <sz val="10"/>
        <color indexed="8"/>
        <rFont val="Arial"/>
        <family val="2"/>
      </rPr>
      <t xml:space="preserve">4.6.1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yu</t>
    </r>
  </si>
  <si>
    <t>1.   Pembuatan &amp; pemasangan kusen kayu kelas I</t>
  </si>
  <si>
    <t>2.   Pembuatan &amp; pemasangan kusen kayu kelas II dan III</t>
  </si>
  <si>
    <t>3.   Pembuatan &amp; pemasangan kayu klam kayu kelas II</t>
  </si>
  <si>
    <t>4.   Pembuatan &amp; pemasangan pintu klam kayu kelas III</t>
  </si>
  <si>
    <t>5.   Pembuatan &amp; pemasangan pintu panel kayu kelas I atau II</t>
  </si>
  <si>
    <r>
      <rPr>
        <sz val="10"/>
        <color indexed="8"/>
        <rFont val="Arial"/>
        <family val="2"/>
      </rPr>
      <t>6.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&amp;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tu/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I
</t>
    </r>
    <r>
      <rPr>
        <sz val="10"/>
        <color indexed="8"/>
        <rFont val="Arial"/>
        <family val="2"/>
      </rPr>
      <t>atau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II</t>
    </r>
  </si>
  <si>
    <r>
      <rPr>
        <sz val="10"/>
        <color indexed="8"/>
        <rFont val="Arial"/>
        <family val="2"/>
      </rPr>
      <t>7.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&amp;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tu/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I
</t>
    </r>
    <r>
      <rPr>
        <sz val="10"/>
        <color indexed="8"/>
        <rFont val="Arial"/>
        <family val="2"/>
      </rPr>
      <t>atau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II</t>
    </r>
  </si>
  <si>
    <r>
      <rPr>
        <sz val="10"/>
        <color indexed="8"/>
        <rFont val="Arial"/>
        <family val="2"/>
      </rPr>
      <t>8.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&amp;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tu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p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y</t>
    </r>
    <r>
      <rPr>
        <i/>
        <sz val="10"/>
        <color indexed="8"/>
        <rFont val="Arial"/>
        <family val="2"/>
      </rPr>
      <t>wo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d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ap</t>
    </r>
  </si>
  <si>
    <r>
      <rPr>
        <sz val="10"/>
        <color indexed="8"/>
        <rFont val="Arial"/>
        <family val="2"/>
      </rPr>
      <t>9.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&amp;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tu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p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y</t>
    </r>
    <r>
      <rPr>
        <i/>
        <sz val="10"/>
        <color indexed="8"/>
        <rFont val="Arial"/>
        <family val="2"/>
      </rPr>
      <t>wo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d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 xml:space="preserve">e
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II</t>
    </r>
  </si>
  <si>
    <t>10. Pembuatan &amp; pemasangan jalusi kusen kayu kelas I atau II</t>
  </si>
  <si>
    <r>
      <rPr>
        <sz val="10"/>
        <color indexed="8"/>
        <rFont val="Arial"/>
        <family val="2"/>
      </rPr>
      <t>11.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&amp;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tu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ea</t>
    </r>
    <r>
      <rPr>
        <i/>
        <sz val="10"/>
        <color indexed="8"/>
        <rFont val="Arial"/>
        <family val="2"/>
      </rPr>
      <t>k</t>
    </r>
    <r>
      <rPr>
        <i/>
        <sz val="10"/>
        <color indexed="8"/>
        <rFont val="Arial"/>
        <family val="2"/>
      </rPr>
      <t>wo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d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po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 xml:space="preserve">e
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I</t>
    </r>
  </si>
  <si>
    <r>
      <rPr>
        <sz val="10"/>
        <color indexed="8"/>
        <rFont val="Arial"/>
        <family val="2"/>
      </rPr>
      <t>12.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&amp;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tu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ang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a
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po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II</t>
    </r>
  </si>
  <si>
    <t>13. Pemasangan kuda-kuda konvensional kayu kelas I,II,III</t>
  </si>
  <si>
    <t>14. Pemasangan kuda-kuda ekpose kayu kelas I</t>
  </si>
  <si>
    <t>15. Pemasangan konstruksi gordeng kayu kelas II</t>
  </si>
  <si>
    <t>16. Pemasangan rangka atap genteng keramik kayu kelas II</t>
  </si>
  <si>
    <t>17. Pemasangan rangka atap genteng beton kayu kelas II</t>
  </si>
  <si>
    <t>18. Pemasangan rangka atap sirap kayu kelas II</t>
  </si>
  <si>
    <t>19. Pemasangan rangka langit-langit 50x100 kayu kelas II &amp; III</t>
  </si>
  <si>
    <t>20. Pemasangan rangka langit-langit 60x60 kayu kelas II atau III</t>
  </si>
  <si>
    <t>21. Pemasangan listplank 3x20 kayu kelas I dan II</t>
  </si>
  <si>
    <t>22. Pemasangan listplank 3/30 kayu kelas I dan II</t>
  </si>
  <si>
    <t>23. Pemasangan rangka dinding pemisah kayu kelas II atau III</t>
  </si>
  <si>
    <r>
      <rPr>
        <sz val="10"/>
        <color indexed="8"/>
        <rFont val="Arial"/>
        <family val="2"/>
      </rPr>
      <t>24.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tea</t>
    </r>
    <r>
      <rPr>
        <i/>
        <sz val="10"/>
        <color indexed="8"/>
        <rFont val="Arial"/>
        <family val="2"/>
      </rPr>
      <t>k</t>
    </r>
    <r>
      <rPr>
        <i/>
        <sz val="10"/>
        <color indexed="8"/>
        <rFont val="Arial"/>
        <family val="2"/>
      </rPr>
      <t>w</t>
    </r>
    <r>
      <rPr>
        <i/>
        <sz val="10"/>
        <color indexed="8"/>
        <rFont val="Arial"/>
        <family val="2"/>
      </rPr>
      <t>ood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do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as
</t>
    </r>
    <r>
      <rPr>
        <sz val="10"/>
        <color indexed="8"/>
        <rFont val="Arial"/>
        <family val="2"/>
      </rPr>
      <t>II</t>
    </r>
  </si>
  <si>
    <r>
      <rPr>
        <sz val="10"/>
        <color indexed="8"/>
        <rFont val="Arial"/>
        <family val="2"/>
      </rPr>
      <t>25.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p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y</t>
    </r>
    <r>
      <rPr>
        <i/>
        <sz val="10"/>
        <color indexed="8"/>
        <rFont val="Arial"/>
        <family val="2"/>
      </rPr>
      <t>w</t>
    </r>
    <r>
      <rPr>
        <i/>
        <sz val="10"/>
        <color indexed="8"/>
        <rFont val="Arial"/>
        <family val="2"/>
      </rPr>
      <t>ood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ang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as
</t>
    </r>
    <r>
      <rPr>
        <sz val="10"/>
        <color indexed="8"/>
        <rFont val="Arial"/>
        <family val="2"/>
      </rPr>
      <t>II</t>
    </r>
  </si>
  <si>
    <t>26. Pemasangan dinding lambrisering kayu kelas I</t>
  </si>
  <si>
    <r>
      <rPr>
        <sz val="10"/>
        <color indexed="8"/>
        <rFont val="Arial"/>
        <family val="2"/>
      </rPr>
      <t>27.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p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y</t>
    </r>
    <r>
      <rPr>
        <i/>
        <sz val="10"/>
        <color indexed="8"/>
        <rFont val="Arial"/>
        <family val="2"/>
      </rPr>
      <t>wo</t>
    </r>
    <r>
      <rPr>
        <i/>
        <sz val="10"/>
        <color indexed="8"/>
        <rFont val="Arial"/>
        <family val="2"/>
      </rPr>
      <t>od</t>
    </r>
  </si>
  <si>
    <t>28. Pemasangan dinding bilik rangka kayu kelas III</t>
  </si>
  <si>
    <r>
      <rPr>
        <sz val="10"/>
        <color indexed="8"/>
        <rFont val="Arial"/>
        <family val="2"/>
      </rPr>
      <t xml:space="preserve">4.6.2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&amp;
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</si>
  <si>
    <t>1.   Pemasangan 1 buah kunci tanam antik</t>
  </si>
  <si>
    <t>2.   Pemasangan 1 buah kunci tanam biasa</t>
  </si>
  <si>
    <t>3.   Pemasangan 1 buah kunci tanam Kamar Mandi</t>
  </si>
  <si>
    <t>4.   Pemasangan 1 buah kunci tanam silinder</t>
  </si>
  <si>
    <t>5.   Pemasangan 1 buah engsel pintu</t>
  </si>
  <si>
    <t>6.   Pemasangan 1 buah engsel jendela kupu-kupu</t>
  </si>
  <si>
    <t>7.   Pemasangan 1 buah engsel angin</t>
  </si>
  <si>
    <r>
      <rPr>
        <sz val="10"/>
        <color indexed="8"/>
        <rFont val="Arial"/>
        <family val="2"/>
      </rPr>
      <t>8.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p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ng</t>
    </r>
    <r>
      <rPr>
        <i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k</t>
    </r>
    <r>
      <rPr>
        <i/>
        <sz val="10"/>
        <color indexed="8"/>
        <rFont val="Arial"/>
        <family val="2"/>
      </rPr>
      <t>n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p</t>
    </r>
  </si>
  <si>
    <t>9.   Pemasangan 1 buah kait angin</t>
  </si>
  <si>
    <r>
      <rPr>
        <sz val="10"/>
        <color indexed="8"/>
        <rFont val="Arial"/>
        <family val="2"/>
      </rPr>
      <t>10.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doo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c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er</t>
    </r>
  </si>
  <si>
    <t>11. Pemasangan 1 buah slot</t>
  </si>
  <si>
    <r>
      <rPr>
        <sz val="10"/>
        <color indexed="8"/>
        <rFont val="Arial"/>
        <family val="2"/>
      </rPr>
      <t>12.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doo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h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d</t>
    </r>
    <r>
      <rPr>
        <i/>
        <sz val="10"/>
        <color indexed="8"/>
        <rFont val="Arial"/>
        <family val="2"/>
      </rPr>
      <t>er</t>
    </r>
  </si>
  <si>
    <r>
      <rPr>
        <sz val="10"/>
        <color indexed="8"/>
        <rFont val="Arial"/>
        <family val="2"/>
      </rPr>
      <t>13.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doo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top</t>
    </r>
  </si>
  <si>
    <t>14. Pemasangan 1 buah rel pintu dorong</t>
  </si>
  <si>
    <t>15. Pemasangan 1 buah kunci lemari</t>
  </si>
  <si>
    <r>
      <rPr>
        <sz val="10"/>
        <color indexed="8"/>
        <rFont val="Arial"/>
        <family val="2"/>
      </rPr>
      <t>16.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po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</si>
  <si>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17.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po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</si>
  <si>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18.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po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</si>
  <si>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19.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po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</si>
  <si>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tebal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</si>
  <si>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21.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tebal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</si>
  <si>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tebal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</si>
  <si>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“</t>
    </r>
    <r>
      <rPr>
        <i/>
        <sz val="10"/>
        <color indexed="8"/>
        <rFont val="Arial"/>
        <family val="2"/>
      </rPr>
      <t>W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eme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h</t>
    </r>
    <r>
      <rPr>
        <i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g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”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</si>
  <si>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24.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</si>
  <si>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 xml:space="preserve">4.7.1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nge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tan</t>
    </r>
  </si>
  <si>
    <r>
      <rPr>
        <sz val="10"/>
        <color indexed="8"/>
        <rFont val="Arial"/>
        <family val="2"/>
      </rPr>
      <t>1.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an/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</si>
  <si>
    <r>
      <rPr>
        <sz val="10"/>
        <color indexed="8"/>
        <rFont val="Arial"/>
        <family val="2"/>
      </rPr>
      <t>2.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en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</si>
  <si>
    <r>
      <rPr>
        <sz val="10"/>
        <color indexed="8"/>
        <rFont val="Arial"/>
        <family val="2"/>
      </rPr>
      <t>3.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</t>
    </r>
  </si>
  <si>
    <r>
      <rPr>
        <sz val="10"/>
        <color indexed="8"/>
        <rFont val="Arial"/>
        <family val="2"/>
      </rPr>
      <t>4.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ge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s
</t>
    </r>
    <r>
      <rPr>
        <sz val="10"/>
        <color indexed="8"/>
        <rFont val="Arial"/>
        <family val="2"/>
      </rPr>
      <t>pen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tup</t>
    </r>
  </si>
  <si>
    <r>
      <rPr>
        <sz val="10"/>
        <color indexed="8"/>
        <rFont val="Arial"/>
        <family val="2"/>
      </rPr>
      <t>5.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ge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u,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ata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,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s
</t>
    </r>
    <r>
      <rPr>
        <sz val="10"/>
        <color indexed="8"/>
        <rFont val="Arial"/>
        <family val="2"/>
      </rPr>
      <t>pen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tup</t>
    </r>
  </si>
  <si>
    <t>6.   Pelaburan bidang kayu dgn teak oil</t>
  </si>
  <si>
    <r>
      <rPr>
        <sz val="10"/>
        <color indexed="8"/>
        <rFont val="Arial"/>
        <family val="2"/>
      </rPr>
      <t>7.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da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tur</t>
    </r>
  </si>
  <si>
    <r>
      <rPr>
        <sz val="10"/>
        <color indexed="8"/>
        <rFont val="Arial"/>
        <family val="2"/>
      </rPr>
      <t>8.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da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er</t>
    </r>
  </si>
  <si>
    <r>
      <rPr>
        <sz val="10"/>
        <color indexed="8"/>
        <rFont val="Arial"/>
        <family val="2"/>
      </rPr>
      <t>9.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da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</si>
  <si>
    <r>
      <rPr>
        <sz val="10"/>
        <color indexed="8"/>
        <rFont val="Arial"/>
        <family val="2"/>
      </rPr>
      <t>10.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ge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r</t>
    </r>
  </si>
  <si>
    <t>11. Pengecatan tembok lama</t>
  </si>
  <si>
    <r>
      <rPr>
        <sz val="10"/>
        <color indexed="8"/>
        <rFont val="Arial"/>
        <family val="2"/>
      </rPr>
      <t>12.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</si>
  <si>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apur</t>
    </r>
  </si>
  <si>
    <r>
      <rPr>
        <sz val="10"/>
        <color indexed="8"/>
        <rFont val="Arial"/>
        <family val="2"/>
      </rPr>
      <t>14.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dengan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apur</t>
    </r>
  </si>
  <si>
    <t>15. Pemasangan wall paper</t>
  </si>
  <si>
    <r>
      <rPr>
        <sz val="10"/>
        <color indexed="8"/>
        <rFont val="Arial"/>
        <family val="2"/>
      </rPr>
      <t>16.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ge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e</t>
    </r>
  </si>
  <si>
    <r>
      <rPr>
        <sz val="10"/>
        <color indexed="8"/>
        <rFont val="Arial"/>
        <family val="2"/>
      </rPr>
      <t>17.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ge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al
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is</t>
    </r>
  </si>
  <si>
    <r>
      <rPr>
        <sz val="10"/>
        <color indexed="8"/>
        <rFont val="Arial"/>
        <family val="2"/>
      </rPr>
      <t>18.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ge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al
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is</t>
    </r>
  </si>
  <si>
    <r>
      <rPr>
        <sz val="10"/>
        <color indexed="8"/>
        <rFont val="Arial"/>
        <family val="2"/>
      </rPr>
      <t>19.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ge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al
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is</t>
    </r>
  </si>
  <si>
    <r>
      <rPr>
        <sz val="10"/>
        <color indexed="8"/>
        <rFont val="Arial"/>
        <family val="2"/>
      </rPr>
      <t>20.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ge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ot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</si>
  <si>
    <r>
      <rPr>
        <sz val="10"/>
        <color indexed="8"/>
        <rFont val="Arial"/>
        <family val="2"/>
      </rPr>
      <t xml:space="preserve">5.1.1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 xml:space="preserve">i
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edu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</si>
  <si>
    <r>
      <rPr>
        <sz val="10"/>
        <color indexed="8"/>
        <rFont val="Arial"/>
        <family val="2"/>
      </rPr>
      <t>1.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du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/</t>
    </r>
    <r>
      <rPr>
        <i/>
        <sz val="10"/>
        <color indexed="8"/>
        <rFont val="Arial"/>
        <family val="2"/>
      </rPr>
      <t>mono</t>
    </r>
    <r>
      <rPr>
        <i/>
        <sz val="10"/>
        <color indexed="8"/>
        <rFont val="Arial"/>
        <family val="2"/>
      </rPr>
      <t>b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c</t>
    </r>
    <r>
      <rPr>
        <i/>
        <sz val="10"/>
        <color indexed="8"/>
        <rFont val="Arial"/>
        <family val="2"/>
      </rPr>
      <t>k</t>
    </r>
  </si>
  <si>
    <t>2.   Pemasangan 1 buah closet jongkok porslen</t>
  </si>
  <si>
    <t>3.   Pemasangan 1 buah closet jongkok teraso</t>
  </si>
  <si>
    <t>4.   Pemasangan 1 buah urinoir</t>
  </si>
  <si>
    <t>5.   Pemasangan 1 buah wastafel</t>
  </si>
  <si>
    <r>
      <rPr>
        <sz val="10"/>
        <color indexed="8"/>
        <rFont val="Arial"/>
        <family val="2"/>
      </rPr>
      <t>6.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ol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0,30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</si>
  <si>
    <r>
      <rPr>
        <sz val="10"/>
        <color indexed="8"/>
        <rFont val="Arial"/>
        <family val="2"/>
      </rPr>
      <t>7.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f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be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g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ol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0,3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</si>
  <si>
    <r>
      <rPr>
        <sz val="10"/>
        <color indexed="8"/>
        <rFont val="Arial"/>
        <family val="2"/>
      </rPr>
      <t>8.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ta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,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</si>
  <si>
    <t>9.   Pemasangan 1 buah bedtube porslen</t>
  </si>
  <si>
    <r>
      <rPr>
        <sz val="10"/>
        <color indexed="8"/>
        <rFont val="Arial"/>
        <family val="2"/>
      </rPr>
      <t>10.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ol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</si>
  <si>
    <r>
      <rPr>
        <sz val="10"/>
        <color indexed="8"/>
        <rFont val="Arial"/>
        <family val="2"/>
      </rPr>
      <t>11.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ol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</si>
  <si>
    <r>
      <rPr>
        <sz val="10"/>
        <color indexed="8"/>
        <rFont val="Arial"/>
        <family val="2"/>
      </rPr>
      <t>12.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’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untuk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bah</t>
    </r>
  </si>
  <si>
    <r>
      <rPr>
        <sz val="10"/>
        <color indexed="8"/>
        <rFont val="Arial"/>
        <family val="2"/>
      </rPr>
      <t>13.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’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untuk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bah</t>
    </r>
  </si>
  <si>
    <r>
      <rPr>
        <sz val="10"/>
        <color indexed="8"/>
        <rFont val="Arial"/>
        <family val="2"/>
      </rPr>
      <t>14.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’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-</t>
    </r>
    <r>
      <rPr>
        <sz val="10"/>
        <color indexed="8"/>
        <rFont val="Arial"/>
        <family val="2"/>
      </rPr>
      <t>20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</si>
  <si>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15.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’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-</t>
    </r>
    <r>
      <rPr>
        <sz val="10"/>
        <color indexed="8"/>
        <rFont val="Arial"/>
        <family val="2"/>
      </rPr>
      <t>100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</si>
  <si>
    <t>16. Pemasangan 1 buah pak kontrol pasangan bata 30x30</t>
  </si>
  <si>
    <t>17. Pemasangan 1 buah pak kontrol pasangan bata 45x45</t>
  </si>
  <si>
    <t>18. Pemasangan 1 buah pak control pasangan bata 60x60</t>
  </si>
  <si>
    <t>19. Pemasangan 1 m’ pipa galvanis Ø ½”</t>
  </si>
  <si>
    <r>
      <rPr>
        <sz val="10"/>
        <color indexed="8"/>
        <rFont val="Arial"/>
        <family val="2"/>
      </rPr>
      <t>20.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’</t>
    </r>
    <r>
      <rPr>
        <sz val="6"/>
        <color indexed="8"/>
        <rFont val="Arial"/>
        <family val="2"/>
      </rPr>
      <t xml:space="preserve"> 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¾”</t>
    </r>
  </si>
  <si>
    <r>
      <rPr>
        <sz val="10"/>
        <color indexed="8"/>
        <rFont val="Arial"/>
        <family val="2"/>
      </rPr>
      <t>21.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’</t>
    </r>
    <r>
      <rPr>
        <sz val="6"/>
        <color indexed="8"/>
        <rFont val="Arial"/>
        <family val="2"/>
      </rPr>
      <t xml:space="preserve"> 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1”</t>
    </r>
  </si>
  <si>
    <r>
      <rPr>
        <sz val="10"/>
        <color indexed="8"/>
        <rFont val="Arial"/>
        <family val="2"/>
      </rPr>
      <t>22.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’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1/2”</t>
    </r>
  </si>
  <si>
    <r>
      <rPr>
        <sz val="10"/>
        <color indexed="8"/>
        <rFont val="Arial"/>
        <family val="2"/>
      </rPr>
      <t>23.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’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3”</t>
    </r>
  </si>
  <si>
    <r>
      <rPr>
        <sz val="10"/>
        <color indexed="8"/>
        <rFont val="Arial"/>
        <family val="2"/>
      </rPr>
      <t>24.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’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4”</t>
    </r>
  </si>
  <si>
    <r>
      <rPr>
        <sz val="10"/>
        <color indexed="8"/>
        <rFont val="Arial"/>
        <family val="2"/>
      </rPr>
      <t>25.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’</t>
    </r>
    <r>
      <rPr>
        <sz val="6"/>
        <color indexed="8"/>
        <rFont val="Arial"/>
        <family val="2"/>
      </rPr>
      <t xml:space="preserve"> 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½”</t>
    </r>
  </si>
  <si>
    <r>
      <rPr>
        <sz val="10"/>
        <color indexed="8"/>
        <rFont val="Arial"/>
        <family val="2"/>
      </rPr>
      <t>26.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’</t>
    </r>
    <r>
      <rPr>
        <sz val="6"/>
        <color indexed="8"/>
        <rFont val="Arial"/>
        <family val="2"/>
      </rPr>
      <t xml:space="preserve"> 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3/4”</t>
    </r>
  </si>
  <si>
    <r>
      <rPr>
        <sz val="10"/>
        <color indexed="8"/>
        <rFont val="Arial"/>
        <family val="2"/>
      </rPr>
      <t>27.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’</t>
    </r>
    <r>
      <rPr>
        <sz val="6"/>
        <color indexed="8"/>
        <rFont val="Arial"/>
        <family val="2"/>
      </rPr>
      <t xml:space="preserve"> 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1”</t>
    </r>
  </si>
  <si>
    <r>
      <rPr>
        <sz val="10"/>
        <color indexed="8"/>
        <rFont val="Arial"/>
        <family val="2"/>
      </rPr>
      <t>28.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’</t>
    </r>
    <r>
      <rPr>
        <sz val="6"/>
        <color indexed="8"/>
        <rFont val="Arial"/>
        <family val="2"/>
      </rPr>
      <t xml:space="preserve"> 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½”</t>
    </r>
  </si>
  <si>
    <r>
      <rPr>
        <sz val="10"/>
        <color indexed="8"/>
        <rFont val="Arial"/>
        <family val="2"/>
      </rPr>
      <t>29.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’</t>
    </r>
    <r>
      <rPr>
        <sz val="6"/>
        <color indexed="8"/>
        <rFont val="Arial"/>
        <family val="2"/>
      </rPr>
      <t xml:space="preserve"> 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2”</t>
    </r>
  </si>
  <si>
    <r>
      <rPr>
        <sz val="10"/>
        <color indexed="8"/>
        <rFont val="Arial"/>
        <family val="2"/>
      </rPr>
      <t>30.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’</t>
    </r>
    <r>
      <rPr>
        <sz val="6"/>
        <color indexed="8"/>
        <rFont val="Arial"/>
        <family val="2"/>
      </rPr>
      <t xml:space="preserve"> 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½”</t>
    </r>
  </si>
  <si>
    <t>31. Pemasangan 1 m’ pipa PVC tipe AW Ø 3”</t>
  </si>
  <si>
    <r>
      <rPr>
        <sz val="10"/>
        <color indexed="8"/>
        <rFont val="Arial"/>
        <family val="2"/>
      </rPr>
      <t>32.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’</t>
    </r>
    <r>
      <rPr>
        <sz val="6"/>
        <color indexed="8"/>
        <rFont val="Arial"/>
        <family val="2"/>
      </rPr>
      <t xml:space="preserve"> 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4”</t>
    </r>
  </si>
  <si>
    <r>
      <rPr>
        <sz val="10"/>
        <color indexed="8"/>
        <rFont val="Arial"/>
        <family val="2"/>
      </rPr>
      <t>33.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ta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es</t>
    </r>
    <r>
      <rPr>
        <i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teel</t>
    </r>
  </si>
  <si>
    <t>34. Pemasangan 1 buah bak cuci piring teraso</t>
  </si>
  <si>
    <t>35. Pemasangan 1 buah kran Ø ¾” atau ½”</t>
  </si>
  <si>
    <r>
      <rPr>
        <sz val="10"/>
        <color indexed="8"/>
        <rFont val="Arial"/>
        <family val="2"/>
      </rPr>
      <t>36.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f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d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in</t>
    </r>
  </si>
  <si>
    <r>
      <rPr>
        <sz val="10"/>
        <color indexed="8"/>
        <rFont val="Arial"/>
        <family val="2"/>
      </rPr>
      <t xml:space="preserve">8.4.1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 xml:space="preserve">aan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</si>
  <si>
    <t>1.   Pemasangan 1 m pipa PVC Ø 63 mm</t>
  </si>
  <si>
    <t>2.   Pemasangan 1 m pipa PVC Ø 90 mm</t>
  </si>
  <si>
    <t>3.   Pemasangan 1 m pipa PVC Ø 110 mm</t>
  </si>
  <si>
    <t>4.   Pemasangan 1 m pipa PVC Ø 150 mm</t>
  </si>
  <si>
    <t>5.   Pemasangan 1 m pipa PVC Ø 200 mm</t>
  </si>
  <si>
    <t>6.   Pemasangan 1 m pipa PVC Ø 250 mm</t>
  </si>
  <si>
    <t>7.   Pemasangan 1 m pipa PVC Ø 300 mm</t>
  </si>
  <si>
    <t>8.   Pemasangan 1 m pipa PVC Ø 400 mm</t>
  </si>
  <si>
    <t>9.   Pemasangan 1 m pipa PVC Ø 450 mm</t>
  </si>
  <si>
    <t>10. Pemasangan 1 m pipa PVC Ø 500 mm</t>
  </si>
  <si>
    <t>11. Pemasangan 1 m pipa PVC Ø 600 mm</t>
  </si>
  <si>
    <t>12. Pemasangan 1 m pipa PVC Ø 800 mm</t>
  </si>
  <si>
    <t>13. Pemasangan 1 m pipa PVC Ø 900 mm</t>
  </si>
  <si>
    <t>14. Pemasangan 1 m pipa PVC Ø 1000 mm</t>
  </si>
  <si>
    <t>15. Pemasangan 1 m pipa PVC Ø 1100 mm</t>
  </si>
  <si>
    <t>16. Pemasangan 1 m pipa PVC Ø 1200 mm</t>
  </si>
  <si>
    <t>17. Pemasangan 1 m pipa HDPE Ø 63 mm</t>
  </si>
  <si>
    <t>18. Pemasangan 1 m pipa HDPE Ø 100 mm</t>
  </si>
  <si>
    <t>19. Pemasangan 1 m pipa HDPE Ø 125 mm</t>
  </si>
  <si>
    <t>20. Pemasangan 1 m pipa HDPE Ø 150 mm</t>
  </si>
  <si>
    <t>21. Pemasangan 1 m pipa HDPE Ø 200 mm</t>
  </si>
  <si>
    <t>22. Pemasangan 1 m pipa HDPE Ø 250 mm</t>
  </si>
  <si>
    <t>23. Pemasangan 1 m pipa HDPE Ø 300 mm</t>
  </si>
  <si>
    <t>24. Pemasangan 1 m pipa HDPE Ø 400 mm</t>
  </si>
  <si>
    <t>25. Pemasangan 1 m pipa HDPE Ø 450 mm</t>
  </si>
  <si>
    <t>26. Pemasangan 1 m pipa HDPE Ø 500 mm</t>
  </si>
  <si>
    <t>27. Pemasangan 1 m pipa HDPE Ø 600 mm</t>
  </si>
  <si>
    <t>28. Pemasangan 1 m pipa HDPE Ø 800 mm</t>
  </si>
  <si>
    <t>29. Pemasangan 1 m pipa HDPE Ø 900 mm</t>
  </si>
  <si>
    <t>30. Pemasangan 1 m pipa HDPE Ø 1000 mm</t>
  </si>
  <si>
    <t>31. Pemasangan 1 m pipa HDPE Ø 1100 mm</t>
  </si>
  <si>
    <t>32. Pemasangan 1 m pipa HDPE Ø 1200 mm</t>
  </si>
  <si>
    <t>33. Pemasangan 1 m pipa GIP Ø 63 mm</t>
  </si>
  <si>
    <t>34. Pemasangan 1 m pipa GIP Ø 100 mm</t>
  </si>
  <si>
    <t>35. Pemasangan 1 m pipa GIP Ø 125 mm</t>
  </si>
  <si>
    <t>36. Pemasangan 1 m pipa GIP Ø 150 mm</t>
  </si>
  <si>
    <t>37. Pemasangan 1 m pipa GIP Ø 200 mm</t>
  </si>
  <si>
    <t>38. Pemasangan 1 m pipa GIP Ø 250 mm</t>
  </si>
  <si>
    <t>39. Pemasangan 1 m pipa GIP Ø 300 mm</t>
  </si>
  <si>
    <t>40. Pemasangan 1 m pipa GIP Ø 400 mm</t>
  </si>
  <si>
    <t>41. Pemasangan 1 m pipa GIP Ø 450 mm</t>
  </si>
  <si>
    <t>42. Pemasangan 1 m pipa GIP Ø 500 mm</t>
  </si>
  <si>
    <t>43. Pemasangan 1 m pipa GIP Ø 600 mm</t>
  </si>
  <si>
    <t>44. Pemasangan 1 m pipa GIP Ø 800 mm</t>
  </si>
  <si>
    <t>45. Pemasangan 1 m pipa GIP Ø 900 mm</t>
  </si>
  <si>
    <t>46. Pemasangan 1 m pipa GIP Ø 1000 mm</t>
  </si>
  <si>
    <t>47. Pemasangan 1 m pipa GIP Ø 1100 mm</t>
  </si>
  <si>
    <t>48. Pemasangan 1 m pipa GIP Ø 1200 mm</t>
  </si>
  <si>
    <t>49. Pemasangan 1 m pipa DCI Ø 100 mm</t>
  </si>
  <si>
    <t>50. Pemasangan 1 m pipa DCI Ø 125 mm</t>
  </si>
  <si>
    <t>51. Pemasangan 1 m pipa DCI Ø 150 mm</t>
  </si>
  <si>
    <t>52. Pemasangan 1 m pipa DCI Ø 200 mm</t>
  </si>
  <si>
    <t>53. Pemasangan 1 m pipa DCI Ø 250 mm</t>
  </si>
  <si>
    <t>54. Pemasangan 1 m pipa DCI Ø 300 mm</t>
  </si>
  <si>
    <t>55. Pemasangan 1 m pipa DCI Ø 400 mm</t>
  </si>
  <si>
    <t>56. Pemasangan 1 m pipa DCI Ø 450 mm</t>
  </si>
  <si>
    <t>57. Pemasangan 1 m pipa DCI Ø 500 mm</t>
  </si>
  <si>
    <t>58. Pemasangan 1 m pipa DCI Ø 600 mm</t>
  </si>
  <si>
    <t>59. Pemasangan 1 m pipa DCI Ø 800 mm</t>
  </si>
  <si>
    <t>60. Pemasangan 1 m pipa DCI Ø 900 mm</t>
  </si>
  <si>
    <t>61. Pemasangan 1 m pipa DCI Ø1000 mm</t>
  </si>
  <si>
    <t>62. Pemasangan 1 m pipa DCI Ø1100 mm</t>
  </si>
  <si>
    <t>63. Pemasangan 1 m pipa DCI Ø1200 mm</t>
  </si>
  <si>
    <t>64. Pemasangan 1 m pipa baja Ø 63 mm</t>
  </si>
  <si>
    <t>65. Pemasangan 1 m pipa baja Ø 100 mm</t>
  </si>
  <si>
    <t>66. Pemasangan 1 m pipa baja Ø 125 mm</t>
  </si>
  <si>
    <t>67. Pemasangan 1 m pipa baja Ø 150 mm</t>
  </si>
  <si>
    <t>68. Pemasangan 1 m pipa baja Ø 200 mm</t>
  </si>
  <si>
    <t>69. Pemasangan 1 m pipa baja Ø 250 mm</t>
  </si>
  <si>
    <t>70. Pemasangan 1 m pipa baja Ø 300 mm</t>
  </si>
  <si>
    <t>71. Pemasangan 1 m pipa baja Ø 400 mm</t>
  </si>
  <si>
    <t>72. Pemasangan 1 m pipa baja Ø 450 mm</t>
  </si>
  <si>
    <t>73. Pemasangan 1 m pipa baja Ø 500 mm</t>
  </si>
  <si>
    <t>74. Pemasangan 1 m pipa baja Ø 600 mm</t>
  </si>
  <si>
    <t>75. Pemasangan 1 m pipa baja Ø 800 mm</t>
  </si>
  <si>
    <t>76. Pemasangan 1 m pipa baja Ø 900 mm</t>
  </si>
  <si>
    <t>77. Pemasangan 1 m pipa baja Ø 1000 mm</t>
  </si>
  <si>
    <t>78. Pemasangan 1 m pipa baja Ø 1100 mm</t>
  </si>
  <si>
    <t>79. Pemasangan 1 m pipa baja Ø 1200 mm</t>
  </si>
  <si>
    <r>
      <rPr>
        <sz val="10"/>
        <color indexed="8"/>
        <rFont val="Arial"/>
        <family val="2"/>
      </rPr>
      <t xml:space="preserve">8.4.2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otong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</si>
  <si>
    <t>1    Pemotongan 1 buah pipa PVC Ø 63 mm</t>
  </si>
  <si>
    <t>2    Pemotongan 1 buah pipa PVC Ø 90 mm</t>
  </si>
  <si>
    <t>3    Pemotongan 1 buah pipa PVC Ø 110 mm</t>
  </si>
  <si>
    <t>4    Pemotongan 1 buah pipa PVC Ø 150 mm</t>
  </si>
  <si>
    <t>5    Pemotongan 1 buah pipa PVC Ø 200 mm</t>
  </si>
  <si>
    <t>6    Pemotongan 1 buah pipa PVC Ø 250 mm</t>
  </si>
  <si>
    <t>7    Pemotongan 1 buah pipa PVC Ø 300 mm</t>
  </si>
  <si>
    <t>8    Pemotongan 1 buah pipa PVC Ø 400 mm</t>
  </si>
  <si>
    <t>9    Pemotongan 1 buah pipa PVC Ø 450 mm</t>
  </si>
  <si>
    <t>10  Pemotongan 1 buah pipa PVC Ø 500 mm</t>
  </si>
  <si>
    <t>11  Pemotongan 1 buah pipa PVC Ø 600 mm</t>
  </si>
  <si>
    <t>12  Pemotongan 1 buah pipa PVC Ø 800 mm</t>
  </si>
  <si>
    <t>13  Pemotongan 1 buah pipa PVC Ø 900 mm</t>
  </si>
  <si>
    <t>14  Pemotongan 1 buah pipa PVC Ø 1000 mm</t>
  </si>
  <si>
    <t>15  Pemotongan 1 buah pipa PVC Ø 1100 mm</t>
  </si>
  <si>
    <t>16  Pemotongan 1 buah pipa PVC Ø 1200 mm</t>
  </si>
  <si>
    <t>17  Pemotongan 1 buah pipa HDPE Ø 63 mm</t>
  </si>
  <si>
    <t>18  Pemotongan 1 buah pipa HDPE Ø 100 mm</t>
  </si>
  <si>
    <t>19  Pemotongan 1 buah pipa HDPE Ø 125 mm</t>
  </si>
  <si>
    <t>20  Pemotongan 1 buah pipa HDPE Ø 150 mm</t>
  </si>
  <si>
    <t>21  Pemotongan 1 buah pipa HDPE Ø 200 mm</t>
  </si>
  <si>
    <t>22  Pemotongan 1 buah pipa HDPE Ø 250 mm</t>
  </si>
  <si>
    <t>23  Pemotongan 1 buah pipa HDPE Ø 300 mm</t>
  </si>
  <si>
    <t>24  Pemotongan 1 buah pipa HDPE Ø 400 mm</t>
  </si>
  <si>
    <t>25  Pemotongan 1 buah pipa HDPE Ø 450 mm</t>
  </si>
  <si>
    <t>26  Pemotongan 1 buah pipa HDPE Ø 500 mm</t>
  </si>
  <si>
    <t>27  Pemotongan 1 buah pipa HDPE Ø 600 mm</t>
  </si>
  <si>
    <t>28  Pemotongan 1 buah pipa HDPE Ø 800 mm</t>
  </si>
  <si>
    <t>29  Pemotongan 1 buah pipa HDPE Ø 900 mm</t>
  </si>
  <si>
    <t>30  Pemotongan 1 buah pipa HDPE Ø 1000 mm</t>
  </si>
  <si>
    <t>31  Pemotongan 1 buah pipa HDPE Ø 1100 mm</t>
  </si>
  <si>
    <t>32  Pemotongan 1 buah pipa HDPE Ø 1200 mm</t>
  </si>
  <si>
    <t>33  Pemotongan 1 buah pipa GIP Ø 63 mm</t>
  </si>
  <si>
    <t>34  Pemotongan 1 buah pipa GIP Ø 100 mm</t>
  </si>
  <si>
    <t>35  Pemotongan 1 buah pipa GIP Ø 125 mm</t>
  </si>
  <si>
    <t>36  Pemotongan 1 buah pipa GIP Ø 150 mm</t>
  </si>
  <si>
    <t>37  Pemotongan 1 buah pipa GIP Ø 200 mm</t>
  </si>
  <si>
    <t>38  Pemotongan 1 buah pipa GIP Ø 250 mm</t>
  </si>
  <si>
    <t>39  Pemotongan 1 buah pipa GIP Ø 300 mm</t>
  </si>
  <si>
    <t>40  Pemotongan 1 buah pipa GIP Ø 400 mm</t>
  </si>
  <si>
    <t>41  Pemotongan 1 buah pipa GIP Ø 450 mm</t>
  </si>
  <si>
    <t>42  Pemotongan 1 buah pipa GIP Ø 500 mm</t>
  </si>
  <si>
    <t>43  Pemotongan 1 buah pipa GIP Ø 600 mm</t>
  </si>
  <si>
    <t>44  Pemotongan 1 buah pipa GIP Ø 800 mm</t>
  </si>
  <si>
    <t>45  Pemotongan 1 buah pipa GIP Ø 900 mm</t>
  </si>
  <si>
    <t>46  Pemotongan 1 buah pipa GIP Ø 1000 mm</t>
  </si>
  <si>
    <t>47  Pemotongan 1 buah pipa GIP Ø 1100 mm</t>
  </si>
  <si>
    <t>48  Pemotongan 1 buah pipa GIP Ø 1200 mm</t>
  </si>
  <si>
    <t>49  Pemotongan 1 buah pipa DCI Ø 100 mm</t>
  </si>
  <si>
    <t>50  Pemotongan 1 buah pipa DCI Ø 125 mm</t>
  </si>
  <si>
    <t>51  Pemotongan 1 buah pipa DCI Ø 150 mm</t>
  </si>
  <si>
    <t>52  Pemotongan 1 buah pipa DCI Ø 200 mm</t>
  </si>
  <si>
    <t>53  Pemotongan 1 buah pipa DCI Ø 250 mm</t>
  </si>
  <si>
    <t>54  Pemotongan 1 buah pipa DCI Ø 300 mm</t>
  </si>
  <si>
    <t>55  Pemotongan 1 buah pipa DCI Ø 400 mm</t>
  </si>
  <si>
    <t>56  Pemotongan 1 buah pipa DCI Ø 450 mm</t>
  </si>
  <si>
    <t>57  Pemotongan 1 buah pipa DCI Ø 500 mm</t>
  </si>
  <si>
    <t>58  Pemotongan 1 buah pipa DCI Ø 600 mm</t>
  </si>
  <si>
    <t>59  Pemotongan 1 buah pipa DCI Ø 800 mm</t>
  </si>
  <si>
    <t>60  Pemotongan 1 buah pipa DCI Ø 900 mm</t>
  </si>
  <si>
    <t>61  Pemotongan 1 buah pipa DCI Ø 1000 mm</t>
  </si>
  <si>
    <t>62  Pemotongan 1 buah pipa DCI Ø 1100 mm</t>
  </si>
  <si>
    <t>63  Pemotongan 1 buah pipa DCI Ø 1200 mm</t>
  </si>
  <si>
    <t>64  Pemotongan 1 buah pipa baja Ø 63 mm</t>
  </si>
  <si>
    <t>65  Pemotongan 1 buah pipa baja Ø 100 mm</t>
  </si>
  <si>
    <t>66  Pemotongan 1 buah pipa baja Ø 125 mm</t>
  </si>
  <si>
    <t>67  Pemotongan 1 buah pipa baja Ø 150 mm</t>
  </si>
  <si>
    <t>68  Pemotongan 1 buah pipa baja Ø 200 mm</t>
  </si>
  <si>
    <t>69  Pemotongan 1 buah pipa baja Ø 250 mm</t>
  </si>
  <si>
    <t>70  Pemotongan 1 buah pipa baja Ø 300 mm</t>
  </si>
  <si>
    <t>71  Pemotongan 1 buah pipa baja Ø 400 mm</t>
  </si>
  <si>
    <t>72  Pemotongan 1 buah pipa baja Ø 450 mm</t>
  </si>
  <si>
    <t>73  Pemotongan 1 buah pipa baja Ø 500 mm</t>
  </si>
  <si>
    <t>74  Pemotongan 1 buah pipa baja Ø 600 mm</t>
  </si>
  <si>
    <t>75  Pemotongan 1 buah pipa baja Ø 800 mm</t>
  </si>
  <si>
    <t>76  Pemotongan 1 buah pipa baja Ø 900 mm</t>
  </si>
  <si>
    <t>77  Pemotongan 1 buah pipa baja Ø 1000 mm</t>
  </si>
  <si>
    <t>78  Pemotongan 1 buah pipa baja Ø 1100 mm</t>
  </si>
  <si>
    <t>79  Pemotongan 1 buah pipa baja Ø 1200 mm</t>
  </si>
  <si>
    <r>
      <rPr>
        <sz val="10"/>
        <color indexed="8"/>
        <rFont val="Arial"/>
        <family val="2"/>
      </rPr>
      <t xml:space="preserve">8.4.3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s
</t>
    </r>
    <r>
      <rPr>
        <sz val="10"/>
        <color indexed="8"/>
        <rFont val="Arial"/>
        <family val="2"/>
      </rPr>
      <t>Pi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</si>
  <si>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150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</si>
  <si>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 xml:space="preserve"> 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</si>
  <si>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 xml:space="preserve"> 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250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</si>
  <si>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 xml:space="preserve"> 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</si>
  <si>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</si>
  <si>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 xml:space="preserve"> 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450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</si>
  <si>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 xml:space="preserve"> 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</si>
  <si>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 xml:space="preserve"> 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600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</si>
  <si>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 xml:space="preserve"> 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700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</si>
  <si>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800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</si>
  <si>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900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</si>
  <si>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12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</si>
  <si>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13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11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</si>
  <si>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14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12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</si>
  <si>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150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</si>
  <si>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16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</si>
  <si>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17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250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</si>
  <si>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18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</si>
  <si>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19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</si>
  <si>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450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</si>
  <si>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</si>
  <si>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22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600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</si>
  <si>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23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700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</si>
  <si>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24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800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</si>
  <si>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900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</si>
  <si>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26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</si>
  <si>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27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1100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</si>
  <si>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28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1200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</si>
  <si>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 xml:space="preserve">8.4.4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</si>
  <si>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ada
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80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</si>
  <si>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ada
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</si>
  <si>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ada
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150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</si>
  <si>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ada
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</si>
  <si>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ada
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250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</si>
  <si>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ada
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</si>
  <si>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ada
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</si>
  <si>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ada
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450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</si>
  <si>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ada
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</si>
  <si>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ada
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600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</si>
  <si>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ada
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700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</si>
  <si>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12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ada
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800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</si>
  <si>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 xml:space="preserve">8.4.5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gete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</si>
  <si>
    <t>1   Pengetesan 1 m pipa Ø 50 mm</t>
  </si>
  <si>
    <t>2   Pengetesan 1 m pipa Ø 75 mm</t>
  </si>
  <si>
    <t>3   Pengetesan 1 m pipa Ø 100 mm</t>
  </si>
  <si>
    <t>4   Pengetesan 1 m pipa Ø 150 mm</t>
  </si>
  <si>
    <t>5   Pengetesan 1 m pipa Ø 200 mm</t>
  </si>
  <si>
    <t>6   Pengetesan 1 m ppipa Ø 250 mm</t>
  </si>
  <si>
    <t>7   Pengetesan 1 m pipa Ø 300 mm</t>
  </si>
  <si>
    <t>8   Pengetesan 1 m pipa Ø 400 mm</t>
  </si>
  <si>
    <t>9   Pengetesan 1 m pipa Ø 500 mm</t>
  </si>
  <si>
    <t>10 Pengetesan 1 m pipa Ø 600 mm</t>
  </si>
  <si>
    <r>
      <rPr>
        <b/>
        <sz val="9"/>
        <color indexed="8"/>
        <rFont val="Arial"/>
        <family val="2"/>
      </rPr>
      <t>H</t>
    </r>
    <r>
      <rPr>
        <b/>
        <sz val="9"/>
        <color indexed="8"/>
        <rFont val="Arial"/>
        <family val="2"/>
      </rPr>
      <t>a</t>
    </r>
    <r>
      <rPr>
        <b/>
        <sz val="9"/>
        <color indexed="8"/>
        <rFont val="Arial"/>
        <family val="2"/>
      </rPr>
      <t>rga</t>
    </r>
    <r>
      <rPr>
        <b/>
        <sz val="9"/>
        <color indexed="8"/>
        <rFont val="Arial"/>
        <family val="2"/>
      </rPr>
      <t xml:space="preserve"> </t>
    </r>
    <r>
      <rPr>
        <b/>
        <sz val="9"/>
        <color indexed="8"/>
        <rFont val="Arial"/>
        <family val="2"/>
      </rPr>
      <t>S</t>
    </r>
    <r>
      <rPr>
        <b/>
        <sz val="9"/>
        <color indexed="8"/>
        <rFont val="Arial"/>
        <family val="2"/>
      </rPr>
      <t>a</t>
    </r>
    <r>
      <rPr>
        <b/>
        <sz val="9"/>
        <color indexed="8"/>
        <rFont val="Arial"/>
        <family val="2"/>
      </rPr>
      <t>tu</t>
    </r>
    <r>
      <rPr>
        <b/>
        <sz val="9"/>
        <color indexed="8"/>
        <rFont val="Arial"/>
        <family val="2"/>
      </rPr>
      <t xml:space="preserve">an
</t>
    </r>
    <r>
      <rPr>
        <b/>
        <sz val="9"/>
        <color indexed="8"/>
        <rFont val="Arial"/>
        <family val="2"/>
      </rPr>
      <t>(Rp)</t>
    </r>
  </si>
  <si>
    <r>
      <rPr>
        <b/>
        <sz val="9"/>
        <color indexed="8"/>
        <rFont val="Arial"/>
        <family val="2"/>
      </rPr>
      <t>J</t>
    </r>
    <r>
      <rPr>
        <b/>
        <sz val="9"/>
        <color indexed="8"/>
        <rFont val="Arial"/>
        <family val="2"/>
      </rPr>
      <t>u</t>
    </r>
    <r>
      <rPr>
        <b/>
        <sz val="9"/>
        <color indexed="8"/>
        <rFont val="Arial"/>
        <family val="2"/>
      </rPr>
      <t>m</t>
    </r>
    <r>
      <rPr>
        <b/>
        <sz val="9"/>
        <color indexed="8"/>
        <rFont val="Arial"/>
        <family val="2"/>
      </rPr>
      <t>l</t>
    </r>
    <r>
      <rPr>
        <b/>
        <sz val="9"/>
        <color indexed="8"/>
        <rFont val="Arial"/>
        <family val="2"/>
      </rPr>
      <t xml:space="preserve">ah
</t>
    </r>
    <r>
      <rPr>
        <b/>
        <sz val="9"/>
        <color indexed="8"/>
        <rFont val="Arial"/>
        <family val="2"/>
      </rPr>
      <t>H</t>
    </r>
    <r>
      <rPr>
        <b/>
        <sz val="9"/>
        <color indexed="8"/>
        <rFont val="Arial"/>
        <family val="2"/>
      </rPr>
      <t>a</t>
    </r>
    <r>
      <rPr>
        <b/>
        <sz val="9"/>
        <color indexed="8"/>
        <rFont val="Arial"/>
        <family val="2"/>
      </rPr>
      <t xml:space="preserve">rga
</t>
    </r>
    <r>
      <rPr>
        <b/>
        <sz val="9"/>
        <color indexed="8"/>
        <rFont val="Arial"/>
        <family val="2"/>
      </rPr>
      <t>(Rp)</t>
    </r>
  </si>
  <si>
    <t>A</t>
  </si>
  <si>
    <t>TENAGA</t>
  </si>
  <si>
    <t>Pekerja</t>
  </si>
  <si>
    <t>L.01</t>
  </si>
  <si>
    <t>OH</t>
  </si>
  <si>
    <t>0,400</t>
  </si>
  <si>
    <t>Tukang Kayu</t>
  </si>
  <si>
    <t>L.02</t>
  </si>
  <si>
    <t>0,200</t>
  </si>
  <si>
    <t>Kepala Tukang</t>
  </si>
  <si>
    <t>L.03</t>
  </si>
  <si>
    <t>0,020</t>
  </si>
  <si>
    <t>Mandor</t>
  </si>
  <si>
    <t>L.04</t>
  </si>
  <si>
    <t>JUMLAH TENAGA KERJA</t>
  </si>
  <si>
    <t>B</t>
  </si>
  <si>
    <t>BAHAN</t>
  </si>
  <si>
    <t>Batang</t>
  </si>
  <si>
    <t>Semen portland</t>
  </si>
  <si>
    <t>Kg</t>
  </si>
  <si>
    <t>Pasir beton</t>
  </si>
  <si>
    <r>
      <rPr>
        <sz val="9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</si>
  <si>
    <t>0,005</t>
  </si>
  <si>
    <t>Koral beton</t>
  </si>
  <si>
    <t>0,009</t>
  </si>
  <si>
    <t>Kayu 5/7</t>
  </si>
  <si>
    <t>0,072</t>
  </si>
  <si>
    <t>Paku biasa 2” – 5”</t>
  </si>
  <si>
    <t>0,060</t>
  </si>
  <si>
    <t>Residu</t>
  </si>
  <si>
    <t>Liter</t>
  </si>
  <si>
    <t>JUMLAH HARGA BAHAN</t>
  </si>
  <si>
    <t>C</t>
  </si>
  <si>
    <t>PERALATAN</t>
  </si>
  <si>
    <t>JUMLAH HARGA ALAT</t>
  </si>
  <si>
    <t>D</t>
  </si>
  <si>
    <t>Jumlah (A+B+C)</t>
  </si>
  <si>
    <t>E</t>
  </si>
  <si>
    <t>Overhead &amp; Profit (Contoh 15 %)</t>
  </si>
  <si>
    <t>15% x D</t>
  </si>
  <si>
    <t>F</t>
  </si>
  <si>
    <t>Harga Satuan Pekerjaan (D+E)</t>
  </si>
  <si>
    <t>1,250</t>
  </si>
  <si>
    <t>Seng gelombang</t>
  </si>
  <si>
    <t>Lbr</t>
  </si>
  <si>
    <t>Meni besi</t>
  </si>
  <si>
    <t>0,45</t>
  </si>
  <si>
    <t>0,300</t>
  </si>
  <si>
    <t>1,00</t>
  </si>
  <si>
    <t>2,000</t>
  </si>
  <si>
    <t>Kawat duri</t>
  </si>
  <si>
    <t>M’</t>
  </si>
  <si>
    <t>0,10</t>
  </si>
  <si>
    <t>0,01</t>
  </si>
  <si>
    <t>Kayu balok 5/7</t>
  </si>
  <si>
    <t>0,12</t>
  </si>
  <si>
    <t>Paku 2”-3”</t>
  </si>
  <si>
    <t>0,02</t>
  </si>
  <si>
    <t>Kayu papan 3/20</t>
  </si>
  <si>
    <t>0,007</t>
  </si>
  <si>
    <t>Tukang batu</t>
  </si>
  <si>
    <t>Kayu</t>
  </si>
  <si>
    <t>0,180</t>
  </si>
  <si>
    <t>Paku biasa</t>
  </si>
  <si>
    <t>0,080</t>
  </si>
  <si>
    <t>Besi strip</t>
  </si>
  <si>
    <t>1,100</t>
  </si>
  <si>
    <t>Semen Portland</t>
  </si>
  <si>
    <t>Pasir pasang</t>
  </si>
  <si>
    <t>0,150</t>
  </si>
  <si>
    <t>0,100</t>
  </si>
  <si>
    <t>Bata merah</t>
  </si>
  <si>
    <t>Bh</t>
  </si>
  <si>
    <t>30,000</t>
  </si>
  <si>
    <t>Seng plat</t>
  </si>
  <si>
    <t>0,250</t>
  </si>
  <si>
    <t>Jendela naco</t>
  </si>
  <si>
    <t>Kaca polos</t>
  </si>
  <si>
    <t>Kunci tanam</t>
  </si>
  <si>
    <t>1,50</t>
  </si>
  <si>
    <t>Kepala tukang</t>
  </si>
  <si>
    <t>0,15</t>
  </si>
  <si>
    <t>0,05</t>
  </si>
  <si>
    <t>3,00</t>
  </si>
  <si>
    <t>0,700</t>
  </si>
  <si>
    <t>1,500</t>
  </si>
  <si>
    <t>2,00</t>
  </si>
  <si>
    <t>0,20</t>
  </si>
  <si>
    <t>1,70</t>
  </si>
  <si>
    <t>0,210</t>
  </si>
  <si>
    <t>0,03</t>
  </si>
  <si>
    <r>
      <rPr>
        <b/>
        <sz val="10"/>
        <color indexed="8"/>
        <rFont val="Arial"/>
        <family val="2"/>
      </rPr>
      <t>No</t>
    </r>
  </si>
  <si>
    <r>
      <rPr>
        <b/>
        <sz val="10"/>
        <color indexed="8"/>
        <rFont val="Arial"/>
        <family val="2"/>
      </rPr>
      <t>U</t>
    </r>
    <r>
      <rPr>
        <b/>
        <sz val="10"/>
        <color indexed="8"/>
        <rFont val="Arial"/>
        <family val="2"/>
      </rPr>
      <t>r</t>
    </r>
    <r>
      <rPr>
        <b/>
        <sz val="10"/>
        <color indexed="8"/>
        <rFont val="Arial"/>
        <family val="2"/>
      </rPr>
      <t>aian</t>
    </r>
  </si>
  <si>
    <r>
      <rPr>
        <b/>
        <sz val="10"/>
        <color indexed="8"/>
        <rFont val="Arial"/>
        <family val="2"/>
      </rPr>
      <t>K</t>
    </r>
    <r>
      <rPr>
        <b/>
        <sz val="10"/>
        <color indexed="8"/>
        <rFont val="Arial"/>
        <family val="2"/>
      </rPr>
      <t>o</t>
    </r>
    <r>
      <rPr>
        <b/>
        <sz val="10"/>
        <color indexed="8"/>
        <rFont val="Arial"/>
        <family val="2"/>
      </rPr>
      <t>d</t>
    </r>
    <r>
      <rPr>
        <b/>
        <sz val="10"/>
        <color indexed="8"/>
        <rFont val="Arial"/>
        <family val="2"/>
      </rPr>
      <t>e</t>
    </r>
  </si>
  <si>
    <r>
      <rPr>
        <b/>
        <sz val="10"/>
        <color indexed="8"/>
        <rFont val="Arial"/>
        <family val="2"/>
      </rPr>
      <t>S</t>
    </r>
    <r>
      <rPr>
        <b/>
        <sz val="10"/>
        <color indexed="8"/>
        <rFont val="Arial"/>
        <family val="2"/>
      </rPr>
      <t>a</t>
    </r>
    <r>
      <rPr>
        <b/>
        <sz val="10"/>
        <color indexed="8"/>
        <rFont val="Arial"/>
        <family val="2"/>
      </rPr>
      <t>t</t>
    </r>
    <r>
      <rPr>
        <b/>
        <sz val="10"/>
        <color indexed="8"/>
        <rFont val="Arial"/>
        <family val="2"/>
      </rPr>
      <t>u</t>
    </r>
    <r>
      <rPr>
        <b/>
        <sz val="10"/>
        <color indexed="8"/>
        <rFont val="Arial"/>
        <family val="2"/>
      </rPr>
      <t>an</t>
    </r>
  </si>
  <si>
    <r>
      <rPr>
        <b/>
        <sz val="10"/>
        <color indexed="8"/>
        <rFont val="Arial"/>
        <family val="2"/>
      </rPr>
      <t>K</t>
    </r>
    <r>
      <rPr>
        <b/>
        <sz val="10"/>
        <color indexed="8"/>
        <rFont val="Arial"/>
        <family val="2"/>
      </rPr>
      <t>o</t>
    </r>
    <r>
      <rPr>
        <b/>
        <sz val="10"/>
        <color indexed="8"/>
        <rFont val="Arial"/>
        <family val="2"/>
      </rPr>
      <t>e</t>
    </r>
    <r>
      <rPr>
        <b/>
        <sz val="10"/>
        <color indexed="8"/>
        <rFont val="Arial"/>
        <family val="2"/>
      </rPr>
      <t>f</t>
    </r>
    <r>
      <rPr>
        <b/>
        <sz val="10"/>
        <color indexed="8"/>
        <rFont val="Arial"/>
        <family val="2"/>
      </rPr>
      <t>isien</t>
    </r>
  </si>
  <si>
    <r>
      <rPr>
        <b/>
        <sz val="10"/>
        <color indexed="8"/>
        <rFont val="Arial"/>
        <family val="2"/>
      </rPr>
      <t>Ha</t>
    </r>
    <r>
      <rPr>
        <b/>
        <sz val="10"/>
        <color indexed="8"/>
        <rFont val="Arial"/>
        <family val="2"/>
      </rPr>
      <t>r</t>
    </r>
    <r>
      <rPr>
        <b/>
        <sz val="10"/>
        <color indexed="8"/>
        <rFont val="Arial"/>
        <family val="2"/>
      </rPr>
      <t>g</t>
    </r>
    <r>
      <rPr>
        <b/>
        <sz val="10"/>
        <color indexed="8"/>
        <rFont val="Arial"/>
        <family val="2"/>
      </rPr>
      <t xml:space="preserve">a
</t>
    </r>
    <r>
      <rPr>
        <b/>
        <sz val="10"/>
        <color indexed="8"/>
        <rFont val="Arial"/>
        <family val="2"/>
      </rPr>
      <t>S</t>
    </r>
    <r>
      <rPr>
        <b/>
        <sz val="10"/>
        <color indexed="8"/>
        <rFont val="Arial"/>
        <family val="2"/>
      </rPr>
      <t>a</t>
    </r>
    <r>
      <rPr>
        <b/>
        <sz val="10"/>
        <color indexed="8"/>
        <rFont val="Arial"/>
        <family val="2"/>
      </rPr>
      <t>t</t>
    </r>
    <r>
      <rPr>
        <b/>
        <sz val="10"/>
        <color indexed="8"/>
        <rFont val="Arial"/>
        <family val="2"/>
      </rPr>
      <t>u</t>
    </r>
    <r>
      <rPr>
        <b/>
        <sz val="10"/>
        <color indexed="8"/>
        <rFont val="Arial"/>
        <family val="2"/>
      </rPr>
      <t xml:space="preserve">an
</t>
    </r>
    <r>
      <rPr>
        <b/>
        <sz val="10"/>
        <color indexed="8"/>
        <rFont val="Arial"/>
        <family val="2"/>
      </rPr>
      <t>(</t>
    </r>
    <r>
      <rPr>
        <b/>
        <sz val="10"/>
        <color indexed="8"/>
        <rFont val="Arial"/>
        <family val="2"/>
      </rPr>
      <t>R</t>
    </r>
    <r>
      <rPr>
        <b/>
        <sz val="10"/>
        <color indexed="8"/>
        <rFont val="Arial"/>
        <family val="2"/>
      </rPr>
      <t>p</t>
    </r>
    <r>
      <rPr>
        <b/>
        <sz val="10"/>
        <color indexed="8"/>
        <rFont val="Arial"/>
        <family val="2"/>
      </rPr>
      <t>)</t>
    </r>
  </si>
  <si>
    <r>
      <rPr>
        <b/>
        <sz val="10"/>
        <color indexed="8"/>
        <rFont val="Arial"/>
        <family val="2"/>
      </rPr>
      <t>J</t>
    </r>
    <r>
      <rPr>
        <b/>
        <sz val="10"/>
        <color indexed="8"/>
        <rFont val="Arial"/>
        <family val="2"/>
      </rPr>
      <t>u</t>
    </r>
    <r>
      <rPr>
        <b/>
        <sz val="10"/>
        <color indexed="8"/>
        <rFont val="Arial"/>
        <family val="2"/>
      </rPr>
      <t xml:space="preserve">mlah
</t>
    </r>
    <r>
      <rPr>
        <b/>
        <sz val="10"/>
        <color indexed="8"/>
        <rFont val="Arial"/>
        <family val="2"/>
      </rPr>
      <t>Ha</t>
    </r>
    <r>
      <rPr>
        <b/>
        <sz val="10"/>
        <color indexed="8"/>
        <rFont val="Arial"/>
        <family val="2"/>
      </rPr>
      <t>r</t>
    </r>
    <r>
      <rPr>
        <b/>
        <sz val="10"/>
        <color indexed="8"/>
        <rFont val="Arial"/>
        <family val="2"/>
      </rPr>
      <t>g</t>
    </r>
    <r>
      <rPr>
        <b/>
        <sz val="10"/>
        <color indexed="8"/>
        <rFont val="Arial"/>
        <family val="2"/>
      </rPr>
      <t xml:space="preserve">a
</t>
    </r>
    <r>
      <rPr>
        <b/>
        <sz val="10"/>
        <color indexed="8"/>
        <rFont val="Arial"/>
        <family val="2"/>
      </rPr>
      <t>(</t>
    </r>
    <r>
      <rPr>
        <b/>
        <sz val="10"/>
        <color indexed="8"/>
        <rFont val="Arial"/>
        <family val="2"/>
      </rPr>
      <t>R</t>
    </r>
    <r>
      <rPr>
        <b/>
        <sz val="10"/>
        <color indexed="8"/>
        <rFont val="Arial"/>
        <family val="2"/>
      </rPr>
      <t>p</t>
    </r>
    <r>
      <rPr>
        <b/>
        <sz val="10"/>
        <color indexed="8"/>
        <rFont val="Arial"/>
        <family val="2"/>
      </rPr>
      <t>)</t>
    </r>
  </si>
  <si>
    <t>Tali ijuk</t>
  </si>
  <si>
    <t>0,30</t>
  </si>
  <si>
    <t>Kayu papan kelas III</t>
  </si>
  <si>
    <t>0,036</t>
  </si>
  <si>
    <t>kg</t>
  </si>
  <si>
    <t>0,08</t>
  </si>
  <si>
    <t>1,000</t>
  </si>
  <si>
    <t>Batu belah</t>
  </si>
  <si>
    <t>Batu pecah</t>
  </si>
  <si>
    <t>0,090</t>
  </si>
  <si>
    <t>0,010</t>
  </si>
  <si>
    <t>0,333</t>
  </si>
  <si>
    <t>0,042</t>
  </si>
  <si>
    <t>Tukang</t>
  </si>
  <si>
    <t>0,004</t>
  </si>
  <si>
    <t>0,002</t>
  </si>
  <si>
    <t>Kawat jaring</t>
  </si>
  <si>
    <t>0,375</t>
  </si>
  <si>
    <t>0,125</t>
  </si>
  <si>
    <t>0,012</t>
  </si>
  <si>
    <t>0,019</t>
  </si>
  <si>
    <t>Semen PC</t>
  </si>
  <si>
    <t>0,074</t>
  </si>
  <si>
    <t>Koral</t>
  </si>
  <si>
    <t>0,750</t>
  </si>
  <si>
    <t>0,025</t>
  </si>
  <si>
    <t>0,045</t>
  </si>
  <si>
    <t>Overhead &amp; Profit</t>
  </si>
  <si>
    <t>1,050</t>
  </si>
  <si>
    <t>0,067</t>
  </si>
  <si>
    <t>0,032</t>
  </si>
  <si>
    <t>1,200</t>
  </si>
  <si>
    <t>0,050</t>
  </si>
  <si>
    <t>0,500</t>
  </si>
  <si>
    <t>Pasir urug</t>
  </si>
  <si>
    <t>0,800</t>
  </si>
  <si>
    <t>0,040</t>
  </si>
  <si>
    <t>Kapur Padam</t>
  </si>
  <si>
    <t>0,135</t>
  </si>
  <si>
    <t>Pasir Pasang</t>
  </si>
  <si>
    <t>Tanah Liat</t>
  </si>
  <si>
    <t>0,948</t>
  </si>
  <si>
    <t>0,015</t>
  </si>
  <si>
    <t>Ijuk</t>
  </si>
  <si>
    <t>6,000</t>
  </si>
  <si>
    <t>Sirtu</t>
  </si>
  <si>
    <r>
      <rPr>
        <b/>
        <sz val="9"/>
        <color indexed="8"/>
        <rFont val="Calibri"/>
        <family val="2"/>
      </rPr>
      <t>m</t>
    </r>
    <r>
      <rPr>
        <b/>
        <sz val="6"/>
        <color indexed="8"/>
        <rFont val="Calibri"/>
        <family val="2"/>
      </rPr>
      <t>3</t>
    </r>
  </si>
  <si>
    <t>Tukang Batu</t>
  </si>
  <si>
    <t>0,075</t>
  </si>
  <si>
    <t>Semen Portlan</t>
  </si>
  <si>
    <t>0,520</t>
  </si>
  <si>
    <t>0,544</t>
  </si>
  <si>
    <t>0,170</t>
  </si>
  <si>
    <t>0,340</t>
  </si>
  <si>
    <t>0,147</t>
  </si>
  <si>
    <t>0,131</t>
  </si>
  <si>
    <t>0,390</t>
  </si>
  <si>
    <t>0,039</t>
  </si>
  <si>
    <t>0,432</t>
  </si>
  <si>
    <t>0,850</t>
  </si>
  <si>
    <t>0,085</t>
  </si>
  <si>
    <t>0,480</t>
  </si>
  <si>
    <t>Pasir Beton</t>
  </si>
  <si>
    <t>0,312</t>
  </si>
  <si>
    <t>Kerikil</t>
  </si>
  <si>
    <t>Besi beton</t>
  </si>
  <si>
    <t>Kawat beton</t>
  </si>
  <si>
    <t>1,800</t>
  </si>
  <si>
    <t>2,400</t>
  </si>
  <si>
    <t>0,450</t>
  </si>
  <si>
    <t>0,028</t>
  </si>
  <si>
    <t>0,083</t>
  </si>
  <si>
    <t>Kerikil (Maks 30mm)</t>
  </si>
  <si>
    <t>Air</t>
  </si>
  <si>
    <t>Kerikil(Maks 30mm)</t>
  </si>
  <si>
    <t>2,100</t>
  </si>
  <si>
    <t>0,350</t>
  </si>
  <si>
    <t>0,035</t>
  </si>
  <si>
    <t>0,105</t>
  </si>
  <si>
    <t>Kerikil (2cm/3cm)</t>
  </si>
  <si>
    <t>Strorox – 100</t>
  </si>
  <si>
    <t>Tukang Batu/Pipa</t>
  </si>
  <si>
    <t>0,030</t>
  </si>
  <si>
    <t>0,003</t>
  </si>
  <si>
    <t>m</t>
  </si>
  <si>
    <t>0,070</t>
  </si>
  <si>
    <t>Tukang Besi</t>
  </si>
  <si>
    <t>0,001</t>
  </si>
  <si>
    <t>0,260</t>
  </si>
  <si>
    <t>0,026</t>
  </si>
  <si>
    <t>Kayu kelas III</t>
  </si>
  <si>
    <t>Paku 5 – 10 cm</t>
  </si>
  <si>
    <t>Minyak bekisting</t>
  </si>
  <si>
    <t>Paku 5 cm – 10 cm</t>
  </si>
  <si>
    <t>0,033</t>
  </si>
  <si>
    <t>Paku 5 cm – 12 cm</t>
  </si>
  <si>
    <t>0,018</t>
  </si>
  <si>
    <t>Buah</t>
  </si>
  <si>
    <t>4,000</t>
  </si>
  <si>
    <t>0,008</t>
  </si>
  <si>
    <t>Kayu kelas III (papan)</t>
  </si>
  <si>
    <t>0,600</t>
  </si>
  <si>
    <t>Tukang kayu</t>
  </si>
  <si>
    <t>Tukang besi</t>
  </si>
  <si>
    <t>0,262</t>
  </si>
  <si>
    <t>0,265</t>
  </si>
  <si>
    <t>Besi beton polos</t>
  </si>
  <si>
    <t>Overhead &amp; Profit (Contoh 15%)</t>
  </si>
  <si>
    <t>0,283</t>
  </si>
  <si>
    <t>0,270</t>
  </si>
  <si>
    <t>3,000</t>
  </si>
  <si>
    <t>4,500</t>
  </si>
  <si>
    <t>M3</t>
  </si>
  <si>
    <t>3,500</t>
  </si>
  <si>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</si>
  <si>
    <t>0,320</t>
  </si>
  <si>
    <t>3,200</t>
  </si>
  <si>
    <t>1,600</t>
  </si>
  <si>
    <t>0,140</t>
  </si>
  <si>
    <t>Lembar</t>
  </si>
  <si>
    <t>0,120</t>
  </si>
  <si>
    <t>0,240</t>
  </si>
  <si>
    <t>0,006</t>
  </si>
  <si>
    <t>0,297</t>
  </si>
  <si>
    <t>3,600</t>
  </si>
  <si>
    <t>0,132</t>
  </si>
  <si>
    <t>0,022</t>
  </si>
  <si>
    <t>L</t>
  </si>
  <si>
    <t>0,165</t>
  </si>
  <si>
    <t>0,198</t>
  </si>
  <si>
    <t>0,248</t>
  </si>
  <si>
    <t>0,041</t>
  </si>
  <si>
    <t>0,013</t>
  </si>
  <si>
    <t>Lantai kerja tebal 10cm</t>
  </si>
  <si>
    <t>Besi hollow 50.50.3</t>
  </si>
  <si>
    <t>Kayu kaso 5/7</t>
  </si>
  <si>
    <t>Phenol film 12mm</t>
  </si>
  <si>
    <t>0,038</t>
  </si>
  <si>
    <t>0,043</t>
  </si>
  <si>
    <t>0,693</t>
  </si>
  <si>
    <t>0,048</t>
  </si>
  <si>
    <t>Paku 5-7cm</t>
  </si>
  <si>
    <t>0,046</t>
  </si>
  <si>
    <t>0,053</t>
  </si>
  <si>
    <t>0,089</t>
  </si>
  <si>
    <t>0,071</t>
  </si>
  <si>
    <t>0,024</t>
  </si>
  <si>
    <t>0,064</t>
  </si>
  <si>
    <t>Tukang vibrator</t>
  </si>
  <si>
    <t>0,128</t>
  </si>
  <si>
    <t>0,034</t>
  </si>
  <si>
    <t>0,073</t>
  </si>
  <si>
    <t>0,069</t>
  </si>
  <si>
    <t>0,242</t>
  </si>
  <si>
    <t>0,037</t>
  </si>
  <si>
    <t>0,061</t>
  </si>
  <si>
    <t>0,122</t>
  </si>
  <si>
    <t>Solar</t>
  </si>
  <si>
    <t>Sewa crane</t>
  </si>
  <si>
    <t>UH</t>
  </si>
  <si>
    <t>Sewa pipe support</t>
  </si>
  <si>
    <t>1,10</t>
  </si>
  <si>
    <t>Operator crane</t>
  </si>
  <si>
    <t>Sewa chaffolding</t>
  </si>
  <si>
    <t>0,166</t>
  </si>
  <si>
    <t>Pembantu operator crane</t>
  </si>
  <si>
    <t>2,20</t>
  </si>
  <si>
    <t>Semen grout</t>
  </si>
  <si>
    <t>Screening</t>
  </si>
  <si>
    <t>0,367</t>
  </si>
  <si>
    <t>Kepal tukang</t>
  </si>
  <si>
    <t>Papan cor</t>
  </si>
  <si>
    <t>0,220</t>
  </si>
  <si>
    <t>0,011</t>
  </si>
  <si>
    <r>
      <rPr>
        <sz val="10"/>
        <color indexed="8"/>
        <rFont val="Arial"/>
        <family val="2"/>
      </rPr>
      <t>L.03</t>
    </r>
  </si>
  <si>
    <r>
      <rPr>
        <sz val="10"/>
        <color indexed="8"/>
        <rFont val="Arial"/>
        <family val="2"/>
      </rPr>
      <t>OH</t>
    </r>
  </si>
  <si>
    <t>Besi Profil</t>
  </si>
  <si>
    <t>Besi Baja IWF</t>
  </si>
  <si>
    <t>Minyak pelumas</t>
  </si>
  <si>
    <t>Jam</t>
  </si>
  <si>
    <t>Tukang Las Biasa</t>
  </si>
  <si>
    <t>0,052</t>
  </si>
  <si>
    <t>Besi siku L 30.30.3</t>
  </si>
  <si>
    <t>15,000</t>
  </si>
  <si>
    <t>Besi plat baja</t>
  </si>
  <si>
    <t>Kawat las</t>
  </si>
  <si>
    <t>Kawat las listrik</t>
  </si>
  <si>
    <t>Sewa alat</t>
  </si>
  <si>
    <t>0,065</t>
  </si>
  <si>
    <t>Pengelasan</t>
  </si>
  <si>
    <t>cm</t>
  </si>
  <si>
    <t>Pintu gulung besi</t>
  </si>
  <si>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</si>
  <si>
    <t>0,440</t>
  </si>
  <si>
    <t>0,044</t>
  </si>
  <si>
    <t>Pintu lipat</t>
  </si>
  <si>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hu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 xml:space="preserve">us
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um</t>
    </r>
  </si>
  <si>
    <r>
      <rPr>
        <sz val="10"/>
        <color indexed="8"/>
        <rFont val="Arial"/>
        <family val="2"/>
      </rPr>
      <t>Ro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 xml:space="preserve">or
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um</t>
    </r>
  </si>
  <si>
    <t>0,0043</t>
  </si>
  <si>
    <t>0,0021</t>
  </si>
  <si>
    <t>Profil alluminium</t>
  </si>
  <si>
    <t>Skrup fixer</t>
  </si>
  <si>
    <t>buah</t>
  </si>
  <si>
    <t>Sealant</t>
  </si>
  <si>
    <t>Tube</t>
  </si>
  <si>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hu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 xml:space="preserve">us
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um</t>
    </r>
  </si>
  <si>
    <t>0,0085</t>
  </si>
  <si>
    <t>0,0042</t>
  </si>
  <si>
    <t>4,400</t>
  </si>
  <si>
    <t>Alluminium strip</t>
  </si>
  <si>
    <t>14,600</t>
  </si>
  <si>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ang
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/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</si>
  <si>
    <t>Pintu alluminium</t>
  </si>
  <si>
    <t>Profil kaca</t>
  </si>
  <si>
    <r>
      <rPr>
        <sz val="10"/>
        <color indexed="8"/>
        <rFont val="Arial"/>
        <family val="2"/>
      </rPr>
      <t>1.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>n</t>
    </r>
    <r>
      <rPr>
        <i/>
        <sz val="10"/>
        <color indexed="8"/>
        <rFont val="Arial"/>
        <family val="2"/>
      </rPr>
      <t>et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ons</t>
    </r>
    <r>
      <rPr>
        <i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b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nds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n
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c</t>
    </r>
    <r>
      <rPr>
        <i/>
        <sz val="10"/>
        <color indexed="8"/>
        <rFont val="Arial"/>
        <family val="2"/>
      </rPr>
      <t>al</t>
    </r>
    <r>
      <rPr>
        <i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b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nds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i)</t>
    </r>
  </si>
  <si>
    <r>
      <rPr>
        <sz val="10"/>
        <color indexed="8"/>
        <rFont val="Arial"/>
        <family val="2"/>
      </rPr>
      <t>m</t>
    </r>
    <r>
      <rPr>
        <b/>
        <sz val="6"/>
        <color indexed="8"/>
        <rFont val="Arial"/>
        <family val="2"/>
      </rPr>
      <t>2</t>
    </r>
  </si>
  <si>
    <t>1,670</t>
  </si>
  <si>
    <t>Tukang Las</t>
  </si>
  <si>
    <t>0,167</t>
  </si>
  <si>
    <t>6,177</t>
  </si>
  <si>
    <t>27,080</t>
  </si>
  <si>
    <t>Kawat nyamuk</t>
  </si>
  <si>
    <t>11,11</t>
  </si>
  <si>
    <t>Baja strip (0,2 x 2) cm</t>
  </si>
  <si>
    <t>1,716</t>
  </si>
  <si>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end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o
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ang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+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)</t>
    </r>
  </si>
  <si>
    <r>
      <rPr>
        <sz val="6"/>
        <color indexed="8"/>
        <rFont val="Arial"/>
        <family val="2"/>
      </rPr>
      <t xml:space="preserve">2
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</si>
  <si>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1,1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</si>
  <si>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 xml:space="preserve">up
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–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2,5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</si>
  <si>
    <t>10,000</t>
  </si>
  <si>
    <t>7,000</t>
  </si>
  <si>
    <t>Paku 1 cm - 2,5 cm</t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</si>
  <si>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II
</t>
    </r>
    <r>
      <rPr>
        <sz val="10"/>
        <color indexed="8"/>
        <rFont val="Arial"/>
        <family val="2"/>
      </rPr>
      <t>atau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III</t>
    </r>
  </si>
  <si>
    <t>Paku 1 cm – 2,5 cm</t>
  </si>
  <si>
    <t>No</t>
  </si>
  <si>
    <t>Uraian</t>
  </si>
  <si>
    <t>Kode</t>
  </si>
  <si>
    <t>Satuan</t>
  </si>
  <si>
    <t>Koefisien</t>
  </si>
  <si>
    <r>
      <rPr>
        <sz val="10"/>
        <color indexed="8"/>
        <rFont val="Arial"/>
        <family val="2"/>
      </rPr>
      <t>Rang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 xml:space="preserve">etal
</t>
    </r>
    <r>
      <rPr>
        <sz val="10"/>
        <color indexed="8"/>
        <rFont val="Arial"/>
        <family val="2"/>
      </rPr>
      <t>ho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40</t>
    </r>
    <r>
      <rPr>
        <sz val="10"/>
        <color indexed="8"/>
        <rFont val="Arial"/>
        <family val="2"/>
      </rPr>
      <t>.</t>
    </r>
    <r>
      <rPr>
        <sz val="10"/>
        <color indexed="8"/>
        <rFont val="Arial"/>
        <family val="2"/>
      </rPr>
      <t>40.2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</si>
  <si>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t>M1</t>
  </si>
  <si>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ss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s
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uatan,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)</t>
    </r>
  </si>
  <si>
    <t>Ls</t>
  </si>
  <si>
    <t>100%xrangka</t>
  </si>
  <si>
    <t>140,000</t>
  </si>
  <si>
    <t>43,5</t>
  </si>
  <si>
    <t>32,950</t>
  </si>
  <si>
    <t>0,091</t>
  </si>
  <si>
    <t>26,550</t>
  </si>
  <si>
    <t>0,093</t>
  </si>
  <si>
    <t>22,200</t>
  </si>
  <si>
    <t>0,102</t>
  </si>
  <si>
    <t>18,500</t>
  </si>
  <si>
    <t>10,080</t>
  </si>
  <si>
    <t>0,0275</t>
  </si>
  <si>
    <t>0,0925</t>
  </si>
  <si>
    <t>70,000</t>
  </si>
  <si>
    <t>18,950</t>
  </si>
  <si>
    <t>14,370</t>
  </si>
  <si>
    <t>11,500</t>
  </si>
  <si>
    <t>9,680</t>
  </si>
  <si>
    <t>8,320</t>
  </si>
  <si>
    <t>0,049</t>
  </si>
  <si>
    <t>6,500</t>
  </si>
  <si>
    <t>Semen Merah</t>
  </si>
  <si>
    <t>0,014</t>
  </si>
  <si>
    <t>HB-20</t>
  </si>
  <si>
    <t>12,500</t>
  </si>
  <si>
    <t>30,320</t>
  </si>
  <si>
    <t>0,7280</t>
  </si>
  <si>
    <t>Besi angker diameter 8</t>
  </si>
  <si>
    <t>0,280</t>
  </si>
  <si>
    <t>24,260</t>
  </si>
  <si>
    <t>0,772</t>
  </si>
  <si>
    <t>Besi angker dia 8</t>
  </si>
  <si>
    <t>0,016</t>
  </si>
  <si>
    <t>HB-15</t>
  </si>
  <si>
    <t>22,740</t>
  </si>
  <si>
    <t>0,550</t>
  </si>
  <si>
    <t>18,200</t>
  </si>
  <si>
    <t>0,582</t>
  </si>
  <si>
    <t>HB-10</t>
  </si>
  <si>
    <t>15,160</t>
  </si>
  <si>
    <t>0,364</t>
  </si>
  <si>
    <t>12,130</t>
  </si>
  <si>
    <t>0,388</t>
  </si>
  <si>
    <t>Bata rooster</t>
  </si>
  <si>
    <t>11,000</t>
  </si>
  <si>
    <t>Bata berongga</t>
  </si>
  <si>
    <t>14,000</t>
  </si>
  <si>
    <t>.Uraian</t>
  </si>
  <si>
    <t>1.   PC</t>
  </si>
  <si>
    <t>15,504</t>
  </si>
  <si>
    <t>2.   PP</t>
  </si>
  <si>
    <t>10,224</t>
  </si>
  <si>
    <t>7,776</t>
  </si>
  <si>
    <t>0,023</t>
  </si>
  <si>
    <t>6,240</t>
  </si>
  <si>
    <t>5,184</t>
  </si>
  <si>
    <t>4,416</t>
  </si>
  <si>
    <t>0,027</t>
  </si>
  <si>
    <t>3,936</t>
  </si>
  <si>
    <t>3,456</t>
  </si>
  <si>
    <t>0,029</t>
  </si>
  <si>
    <t>0,360</t>
  </si>
  <si>
    <t>5,760</t>
  </si>
  <si>
    <t>2.   KP</t>
  </si>
  <si>
    <t>3.   PP</t>
  </si>
  <si>
    <t>1.   SM</t>
  </si>
  <si>
    <t>13,632</t>
  </si>
  <si>
    <t>10,368</t>
  </si>
  <si>
    <t>0,031</t>
  </si>
  <si>
    <t>6,912</t>
  </si>
  <si>
    <t>5,888</t>
  </si>
  <si>
    <t>PC</t>
  </si>
  <si>
    <t>PP</t>
  </si>
  <si>
    <t>0,225</t>
  </si>
  <si>
    <t>Batu granit</t>
  </si>
  <si>
    <t>Batu traso</t>
  </si>
  <si>
    <t>4,320</t>
  </si>
  <si>
    <t>3,108</t>
  </si>
  <si>
    <t>6,340</t>
  </si>
  <si>
    <t>3,250</t>
  </si>
  <si>
    <t>Ubin abu-abu</t>
  </si>
  <si>
    <t>6,63</t>
  </si>
  <si>
    <t>9,80</t>
  </si>
  <si>
    <t>11,87</t>
  </si>
  <si>
    <t>10,00</t>
  </si>
  <si>
    <t>26,50</t>
  </si>
  <si>
    <t>10,40</t>
  </si>
  <si>
    <t>Ubin warna</t>
  </si>
  <si>
    <t>Semen warna</t>
  </si>
  <si>
    <t>1,30</t>
  </si>
  <si>
    <t>0,13</t>
  </si>
  <si>
    <t>1,62</t>
  </si>
  <si>
    <t>Ubin teraso</t>
  </si>
  <si>
    <t>0,130</t>
  </si>
  <si>
    <t>Ubin granit</t>
  </si>
  <si>
    <t>Ubin teralux</t>
  </si>
  <si>
    <t>0,24</t>
  </si>
  <si>
    <t>Ubin teralux marmer</t>
  </si>
  <si>
    <t>3,10</t>
  </si>
  <si>
    <t>9,60</t>
  </si>
  <si>
    <t>0,25</t>
  </si>
  <si>
    <t>0,26</t>
  </si>
  <si>
    <t>0,09</t>
  </si>
  <si>
    <t>Plint ubin PC</t>
  </si>
  <si>
    <t>5,30</t>
  </si>
  <si>
    <t>1,65</t>
  </si>
  <si>
    <t>3,53</t>
  </si>
  <si>
    <t>1,24</t>
  </si>
  <si>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</si>
  <si>
    <t>2,65</t>
  </si>
  <si>
    <t>Plint ubin warna</t>
  </si>
  <si>
    <t>1,14</t>
  </si>
  <si>
    <t>Plint ubin teraso</t>
  </si>
  <si>
    <t>Plint ubin granit</t>
  </si>
  <si>
    <t>Plint teralux kerang</t>
  </si>
  <si>
    <t>2,63</t>
  </si>
  <si>
    <t>Plint teralux marmer</t>
  </si>
  <si>
    <t>0,36</t>
  </si>
  <si>
    <t>0,18</t>
  </si>
  <si>
    <t>Teraso cor</t>
  </si>
  <si>
    <t>0,70</t>
  </si>
  <si>
    <t>0,35</t>
  </si>
  <si>
    <t>Ubin keramik</t>
  </si>
  <si>
    <t>53,00</t>
  </si>
  <si>
    <t>8,19</t>
  </si>
  <si>
    <t>2,75</t>
  </si>
  <si>
    <t>106,00</t>
  </si>
  <si>
    <t>3,20</t>
  </si>
  <si>
    <t>1,05</t>
  </si>
  <si>
    <t>0,525</t>
  </si>
  <si>
    <t>33,00</t>
  </si>
  <si>
    <t>4,37</t>
  </si>
  <si>
    <t>14,15</t>
  </si>
  <si>
    <t>Plint keramik</t>
  </si>
  <si>
    <t>10,60</t>
  </si>
  <si>
    <t>0,57</t>
  </si>
  <si>
    <t>0,0015</t>
  </si>
  <si>
    <t>0,75</t>
  </si>
  <si>
    <t>Internal cove</t>
  </si>
  <si>
    <t>Marmer</t>
  </si>
  <si>
    <t>1,06</t>
  </si>
  <si>
    <t>0,65</t>
  </si>
  <si>
    <t>0,17</t>
  </si>
  <si>
    <t>0,017</t>
  </si>
  <si>
    <t>Karpet</t>
  </si>
  <si>
    <r>
      <rPr>
        <sz val="10"/>
        <color indexed="8"/>
        <rFont val="Calibri"/>
        <family val="2"/>
      </rPr>
      <t>m</t>
    </r>
    <r>
      <rPr>
        <sz val="6"/>
        <color indexed="8"/>
        <rFont val="Calibri"/>
        <family val="2"/>
      </rPr>
      <t>2</t>
    </r>
  </si>
  <si>
    <t>Lem</t>
  </si>
  <si>
    <t>Underlayer</t>
  </si>
  <si>
    <t>Parquet</t>
  </si>
  <si>
    <t>0,60</t>
  </si>
  <si>
    <t>0,50</t>
  </si>
  <si>
    <t>Porslen</t>
  </si>
  <si>
    <t>86,00</t>
  </si>
  <si>
    <t>9,30</t>
  </si>
  <si>
    <t>0,90</t>
  </si>
  <si>
    <t>26,00</t>
  </si>
  <si>
    <t>1,94</t>
  </si>
  <si>
    <t>Keramik artistik</t>
  </si>
  <si>
    <t>2,90</t>
  </si>
  <si>
    <t>12,44</t>
  </si>
  <si>
    <t>Paku 12cm</t>
  </si>
  <si>
    <t>3,03</t>
  </si>
  <si>
    <t>Bata pelapis</t>
  </si>
  <si>
    <t>63,00</t>
  </si>
  <si>
    <t>Batu paras</t>
  </si>
  <si>
    <t>11,75</t>
  </si>
  <si>
    <t>Batu temple hitam</t>
  </si>
  <si>
    <t>Vynil</t>
  </si>
  <si>
    <t>0,175</t>
  </si>
  <si>
    <t>Wallpaper</t>
  </si>
  <si>
    <t>Floor harderner</t>
  </si>
  <si>
    <t>5,00</t>
  </si>
  <si>
    <t>1,76</t>
  </si>
  <si>
    <t>Papan kayu kelas 1</t>
  </si>
  <si>
    <t>Paku/skrup 5cm</t>
  </si>
  <si>
    <t>Asbes semen</t>
  </si>
  <si>
    <t>Paku tripleks</t>
  </si>
  <si>
    <t>Akustik</t>
  </si>
  <si>
    <t>5,800</t>
  </si>
  <si>
    <t>Tripleks</t>
  </si>
  <si>
    <t>Kayu papan</t>
  </si>
  <si>
    <t>Gypsum board</t>
  </si>
  <si>
    <t>Paku skrup</t>
  </si>
  <si>
    <t>0,110</t>
  </si>
  <si>
    <t>Profil Allum"T"</t>
  </si>
  <si>
    <t>Kawat dia 4 mm</t>
  </si>
  <si>
    <t>Ramset</t>
  </si>
  <si>
    <t>Akustik60 x 120</t>
  </si>
  <si>
    <t>List kayu profil</t>
  </si>
  <si>
    <t>Paku</t>
  </si>
  <si>
    <t>L.11</t>
  </si>
  <si>
    <t>0,0075</t>
  </si>
  <si>
    <t>L.15</t>
  </si>
  <si>
    <t>Genteng palentong</t>
  </si>
  <si>
    <t>25,00</t>
  </si>
  <si>
    <t>Genteng kodok</t>
  </si>
  <si>
    <t>12,00</t>
  </si>
  <si>
    <t>0,40</t>
  </si>
  <si>
    <t>Genteng bubung</t>
  </si>
  <si>
    <t>8,00</t>
  </si>
  <si>
    <t>4,00</t>
  </si>
  <si>
    <t>0,14</t>
  </si>
  <si>
    <t>Rooflight 90x180</t>
  </si>
  <si>
    <t>Paku biasa ½”-1”</t>
  </si>
  <si>
    <t>Asbes gel 92x250</t>
  </si>
  <si>
    <t>Paku pancing 6x23</t>
  </si>
  <si>
    <t>0,42</t>
  </si>
  <si>
    <t>0,44</t>
  </si>
  <si>
    <t>0,51</t>
  </si>
  <si>
    <t>0,80</t>
  </si>
  <si>
    <t>0,37</t>
  </si>
  <si>
    <t>0,38</t>
  </si>
  <si>
    <t>0,46</t>
  </si>
  <si>
    <t>0,49</t>
  </si>
  <si>
    <t>0,084</t>
  </si>
  <si>
    <t>Bubung stel gel.</t>
  </si>
  <si>
    <t>2,4</t>
  </si>
  <si>
    <t>Paku skrup 3,5”</t>
  </si>
  <si>
    <t>6,00</t>
  </si>
  <si>
    <t>2,1</t>
  </si>
  <si>
    <t>2,05</t>
  </si>
  <si>
    <t>Nok paten 92cm</t>
  </si>
  <si>
    <t>1,20</t>
  </si>
  <si>
    <t>Genteng beton</t>
  </si>
  <si>
    <t>11,00</t>
  </si>
  <si>
    <t>Paku biasa 2”-5”</t>
  </si>
  <si>
    <t>Genteng aspal</t>
  </si>
  <si>
    <t>6,90</t>
  </si>
  <si>
    <r>
      <rPr>
        <i/>
        <sz val="10"/>
        <color indexed="8"/>
        <rFont val="Arial"/>
        <family val="2"/>
      </rPr>
      <t>Pl</t>
    </r>
    <r>
      <rPr>
        <i/>
        <sz val="10"/>
        <color indexed="8"/>
        <rFont val="Arial"/>
        <family val="2"/>
      </rPr>
      <t>y</t>
    </r>
    <r>
      <rPr>
        <i/>
        <sz val="10"/>
        <color indexed="8"/>
        <rFont val="Arial"/>
        <family val="2"/>
      </rPr>
      <t>w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od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</si>
  <si>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t>Plastic aerator</t>
  </si>
  <si>
    <t>Genteng metal</t>
  </si>
  <si>
    <t>1,02</t>
  </si>
  <si>
    <t>Sirap kayu</t>
  </si>
  <si>
    <t>30,00</t>
  </si>
  <si>
    <t>Nok genteng beton</t>
  </si>
  <si>
    <t>3,50</t>
  </si>
  <si>
    <t>10,80</t>
  </si>
  <si>
    <t>Nok genteng aspal</t>
  </si>
  <si>
    <t>Kayu balok borneo</t>
  </si>
  <si>
    <t>0,0035</t>
  </si>
  <si>
    <t>Nok genteng metal</t>
  </si>
  <si>
    <t>Seng plat 3 x 6”</t>
  </si>
  <si>
    <t>0,06</t>
  </si>
  <si>
    <t>Seng gel 3”x6”</t>
  </si>
  <si>
    <t>0,07</t>
  </si>
  <si>
    <t>Seng plat 3”x6”bjls28</t>
  </si>
  <si>
    <t>0,04</t>
  </si>
  <si>
    <t>Almn gel tbl0,55</t>
  </si>
  <si>
    <t>Paku hak panj 15cm</t>
  </si>
  <si>
    <t>0,1</t>
  </si>
  <si>
    <t>Nok standar 40x18</t>
  </si>
  <si>
    <t>Alumunium foil</t>
  </si>
  <si>
    <t>M2</t>
  </si>
  <si>
    <t>21,000</t>
  </si>
  <si>
    <t>Balok kayu</t>
  </si>
  <si>
    <t>Paku 10 cm</t>
  </si>
  <si>
    <t>Lem kayu</t>
  </si>
  <si>
    <t>18,000</t>
  </si>
  <si>
    <t>Papan kayu</t>
  </si>
  <si>
    <r>
      <rPr>
        <sz val="10"/>
        <color indexed="8"/>
        <rFont val="Calibri"/>
        <family val="2"/>
      </rPr>
      <t>m</t>
    </r>
    <r>
      <rPr>
        <sz val="6"/>
        <color indexed="8"/>
        <rFont val="Calibri"/>
        <family val="2"/>
      </rPr>
      <t>3</t>
    </r>
  </si>
  <si>
    <t>Paku 5 – 7 cm</t>
  </si>
  <si>
    <r>
      <rPr>
        <i/>
        <sz val="10"/>
        <color indexed="8"/>
        <rFont val="Arial"/>
        <family val="2"/>
      </rPr>
      <t>Pl</t>
    </r>
    <r>
      <rPr>
        <i/>
        <sz val="10"/>
        <color indexed="8"/>
        <rFont val="Arial"/>
        <family val="2"/>
      </rPr>
      <t>y</t>
    </r>
    <r>
      <rPr>
        <i/>
        <sz val="10"/>
        <color indexed="8"/>
        <rFont val="Arial"/>
        <family val="2"/>
      </rPr>
      <t>w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od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mm
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90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220)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</si>
  <si>
    <t>0,0256</t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</si>
  <si>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–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2,5
</t>
    </r>
    <r>
      <rPr>
        <sz val="10"/>
        <color indexed="8"/>
        <rFont val="Arial"/>
        <family val="2"/>
      </rPr>
      <t>cm</t>
    </r>
  </si>
  <si>
    <r>
      <rPr>
        <i/>
        <sz val="10"/>
        <color indexed="8"/>
        <rFont val="Arial"/>
        <family val="2"/>
      </rPr>
      <t>Pl</t>
    </r>
    <r>
      <rPr>
        <i/>
        <sz val="10"/>
        <color indexed="8"/>
        <rFont val="Arial"/>
        <family val="2"/>
      </rPr>
      <t>y</t>
    </r>
    <r>
      <rPr>
        <i/>
        <sz val="10"/>
        <color indexed="8"/>
        <rFont val="Arial"/>
        <family val="2"/>
      </rPr>
      <t>w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od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 xml:space="preserve">m
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90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220)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</si>
  <si>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Le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bar</t>
    </r>
  </si>
  <si>
    <r>
      <rPr>
        <sz val="10"/>
        <color indexed="8"/>
        <rFont val="Arial"/>
        <family val="2"/>
      </rPr>
      <t>1,0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</si>
  <si>
    <t>0,670</t>
  </si>
  <si>
    <t>0,335</t>
  </si>
  <si>
    <t>Paku 1 – 2,5 cm</t>
  </si>
  <si>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 xml:space="preserve">m
</t>
    </r>
    <r>
      <rPr>
        <sz val="10"/>
        <color indexed="8"/>
        <rFont val="Arial"/>
        <family val="2"/>
      </rPr>
      <t>90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</si>
  <si>
    <t>1. Pekerja</t>
  </si>
  <si>
    <t>2. Tukang kayu</t>
  </si>
  <si>
    <t>2,550</t>
  </si>
  <si>
    <t>3. Kepala tukang</t>
  </si>
  <si>
    <t>0,255</t>
  </si>
  <si>
    <t>4. Mandor</t>
  </si>
  <si>
    <t>Formika</t>
  </si>
  <si>
    <t>12,000</t>
  </si>
  <si>
    <t>Besi strip tebal 5mm</t>
  </si>
  <si>
    <t>Paku 12 cm</t>
  </si>
  <si>
    <t>5,600</t>
  </si>
  <si>
    <t>6,700</t>
  </si>
  <si>
    <t>20,100</t>
  </si>
  <si>
    <t>2,010</t>
  </si>
  <si>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5
</t>
    </r>
    <r>
      <rPr>
        <sz val="10"/>
        <color indexed="8"/>
        <rFont val="Arial"/>
        <family val="2"/>
      </rPr>
      <t>mm</t>
    </r>
  </si>
  <si>
    <t>1. Kaso-kaso 5 x 7cm</t>
  </si>
  <si>
    <t>2. Reng 2 x 3 cm</t>
  </si>
  <si>
    <t>3. Paku 5 dan 10 cm</t>
  </si>
  <si>
    <t>Kaso-kaso 5 x 7cm</t>
  </si>
  <si>
    <t>Reng (3 x 4) cm</t>
  </si>
  <si>
    <t>0,057</t>
  </si>
  <si>
    <t>Paku 5 dan 10 cm</t>
  </si>
  <si>
    <t>Kayu kelas II</t>
  </si>
  <si>
    <t>Paku 5 - 10 cm</t>
  </si>
  <si>
    <t>0,0154</t>
  </si>
  <si>
    <t>Paku 7 cm – 10 cm</t>
  </si>
  <si>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-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 xml:space="preserve">o
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</si>
  <si>
    <r>
      <rPr>
        <b/>
        <sz val="6"/>
        <color indexed="8"/>
        <rFont val="Calibri"/>
        <family val="2"/>
      </rPr>
      <t xml:space="preserve">3
</t>
    </r>
    <r>
      <rPr>
        <b/>
        <sz val="9"/>
        <color indexed="8"/>
        <rFont val="Calibri"/>
        <family val="2"/>
      </rPr>
      <t>m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</si>
  <si>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63</t>
    </r>
  </si>
  <si>
    <t>Paku 7 – 10 cm</t>
  </si>
  <si>
    <t>0,0108</t>
  </si>
  <si>
    <t>Paku 5 dan 7 cm</t>
  </si>
  <si>
    <t>Balok kayu, 6 x 12</t>
  </si>
  <si>
    <t>Paku 5 dan 10</t>
  </si>
  <si>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 xml:space="preserve">,
</t>
    </r>
    <r>
      <rPr>
        <sz val="10"/>
        <color indexed="8"/>
        <rFont val="Arial"/>
        <family val="2"/>
      </rPr>
      <t>120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240</t>
    </r>
  </si>
  <si>
    <r>
      <rPr>
        <sz val="10"/>
        <color indexed="8"/>
        <rFont val="Arial"/>
        <family val="2"/>
      </rPr>
      <t>0,8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>0</t>
    </r>
  </si>
  <si>
    <t>0,560</t>
  </si>
  <si>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 xml:space="preserve">u,
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12</t>
    </r>
  </si>
  <si>
    <r>
      <rPr>
        <sz val="6"/>
        <color indexed="8"/>
        <rFont val="Calibri"/>
        <family val="2"/>
      </rPr>
      <t xml:space="preserve">3
</t>
    </r>
    <r>
      <rPr>
        <sz val="10"/>
        <color indexed="8"/>
        <rFont val="Calibri"/>
        <family val="2"/>
      </rPr>
      <t>m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</si>
  <si>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8</t>
    </r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</si>
  <si>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u
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</si>
  <si>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kg</t>
    </r>
  </si>
  <si>
    <r>
      <rPr>
        <i/>
        <sz val="10"/>
        <color indexed="8"/>
        <rFont val="Arial"/>
        <family val="2"/>
      </rPr>
      <t>Pl</t>
    </r>
    <r>
      <rPr>
        <i/>
        <sz val="10"/>
        <color indexed="8"/>
        <rFont val="Arial"/>
        <family val="2"/>
      </rPr>
      <t>y</t>
    </r>
    <r>
      <rPr>
        <i/>
        <sz val="10"/>
        <color indexed="8"/>
        <rFont val="Arial"/>
        <family val="2"/>
      </rPr>
      <t>w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od</t>
    </r>
    <r>
      <rPr>
        <i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 xml:space="preserve">,
</t>
    </r>
    <r>
      <rPr>
        <sz val="10"/>
        <color indexed="8"/>
        <rFont val="Arial"/>
        <family val="2"/>
      </rPr>
      <t>120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240</t>
    </r>
  </si>
  <si>
    <t>Paku skrup 10 cm</t>
  </si>
  <si>
    <r>
      <rPr>
        <i/>
        <sz val="10"/>
        <color indexed="8"/>
        <rFont val="Arial"/>
        <family val="2"/>
      </rPr>
      <t>Pl</t>
    </r>
    <r>
      <rPr>
        <i/>
        <sz val="10"/>
        <color indexed="8"/>
        <rFont val="Arial"/>
        <family val="2"/>
      </rPr>
      <t>y</t>
    </r>
    <r>
      <rPr>
        <i/>
        <sz val="10"/>
        <color indexed="8"/>
        <rFont val="Arial"/>
        <family val="2"/>
      </rPr>
      <t>w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od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</si>
  <si>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t>Paku 1 dan 2,5</t>
  </si>
  <si>
    <t>Bilik bambu</t>
  </si>
  <si>
    <t>Kaso-kaso 5 x 7</t>
  </si>
  <si>
    <t>List kayu 2/4</t>
  </si>
  <si>
    <t>TENAGA KERJA</t>
  </si>
  <si>
    <t>Kunci tanam antik</t>
  </si>
  <si>
    <t>Kunci tanam biasa</t>
  </si>
  <si>
    <t>Kunci tanam KM</t>
  </si>
  <si>
    <t>Kunci silinder</t>
  </si>
  <si>
    <t>0,0008</t>
  </si>
  <si>
    <t>Engsel pintu</t>
  </si>
  <si>
    <t>0,0005</t>
  </si>
  <si>
    <t>Engsel kupu-kupu</t>
  </si>
  <si>
    <t>Engsel angin</t>
  </si>
  <si>
    <t>Spring knip</t>
  </si>
  <si>
    <t>Kait angin</t>
  </si>
  <si>
    <t>0,5</t>
  </si>
  <si>
    <t>Door closer</t>
  </si>
  <si>
    <t>set</t>
  </si>
  <si>
    <t>0,2</t>
  </si>
  <si>
    <t>Kunci slot</t>
  </si>
  <si>
    <t>Door holder</t>
  </si>
  <si>
    <t>Door stop</t>
  </si>
  <si>
    <t>0,6</t>
  </si>
  <si>
    <t>Rel pintu sorong</t>
  </si>
  <si>
    <t>Set</t>
  </si>
  <si>
    <t>0,0013</t>
  </si>
  <si>
    <t>Kunci lemari</t>
  </si>
  <si>
    <t>Kaca tebal 3mm</t>
  </si>
  <si>
    <t>SEalant</t>
  </si>
  <si>
    <t>Kaca tebal 5 mm</t>
  </si>
  <si>
    <t>0,0009</t>
  </si>
  <si>
    <t>Kaca tebal 8 mm</t>
  </si>
  <si>
    <t>Kaca buram 12 mm</t>
  </si>
  <si>
    <t>Kaca cermin 5 mm</t>
  </si>
  <si>
    <t>Kaca cermin 8 mm</t>
  </si>
  <si>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ed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mm</t>
    </r>
  </si>
  <si>
    <t>Kaca patri 5mm</t>
  </si>
  <si>
    <t>Soda api</t>
  </si>
  <si>
    <t>Sabun</t>
  </si>
  <si>
    <t>Tukang cat</t>
  </si>
  <si>
    <t>Cat menie</t>
  </si>
  <si>
    <t>Plamuur</t>
  </si>
  <si>
    <t>Cat dasar</t>
  </si>
  <si>
    <t>Cat penutup</t>
  </si>
  <si>
    <t>Kuas</t>
  </si>
  <si>
    <t>Pengencer</t>
  </si>
  <si>
    <t>Ampelas</t>
  </si>
  <si>
    <t>0,063</t>
  </si>
  <si>
    <t>Teak oil</t>
  </si>
  <si>
    <t>Politur</t>
  </si>
  <si>
    <t>Politur jadi</t>
  </si>
  <si>
    <t>0,372</t>
  </si>
  <si>
    <t>Residu atau ter</t>
  </si>
  <si>
    <t>0,16</t>
  </si>
  <si>
    <t>Vernis</t>
  </si>
  <si>
    <t>Dempul</t>
  </si>
  <si>
    <t>0,0063</t>
  </si>
  <si>
    <t>Kalkarium</t>
  </si>
  <si>
    <t>0,0001</t>
  </si>
  <si>
    <t>0,0025</t>
  </si>
  <si>
    <t>Kapur sirih</t>
  </si>
  <si>
    <t>Alang-alang</t>
  </si>
  <si>
    <t>Ikat</t>
  </si>
  <si>
    <t>Wall paper</t>
  </si>
  <si>
    <r>
      <rPr>
        <sz val="11"/>
        <color indexed="8"/>
        <rFont val="Arial"/>
        <family val="2"/>
      </rPr>
      <t>m</t>
    </r>
    <r>
      <rPr>
        <sz val="7"/>
        <color indexed="8"/>
        <rFont val="Arial"/>
        <family val="2"/>
      </rPr>
      <t>2</t>
    </r>
  </si>
  <si>
    <t>Menie besi</t>
  </si>
  <si>
    <t>Kwas</t>
  </si>
  <si>
    <t>0,0225</t>
  </si>
  <si>
    <t>Perancah kayu</t>
  </si>
  <si>
    <t>Menie A</t>
  </si>
  <si>
    <t>Menie B</t>
  </si>
  <si>
    <t>Cat</t>
  </si>
  <si>
    <t>0,11</t>
  </si>
  <si>
    <t>Cat antara</t>
  </si>
  <si>
    <t>3,30</t>
  </si>
  <si>
    <t>Closet duduk</t>
  </si>
  <si>
    <t>Unit</t>
  </si>
  <si>
    <t>Perlengkapan</t>
  </si>
  <si>
    <t>6% x closet</t>
  </si>
  <si>
    <t>Closet jongkok</t>
  </si>
  <si>
    <t>7,00</t>
  </si>
  <si>
    <t>Urinoir</t>
  </si>
  <si>
    <t>%</t>
  </si>
  <si>
    <t>1,45</t>
  </si>
  <si>
    <t>Wastafel</t>
  </si>
  <si>
    <t>Bathcuip</t>
  </si>
  <si>
    <t>20,00</t>
  </si>
  <si>
    <t>4,50</t>
  </si>
  <si>
    <t>Bak fibreglass</t>
  </si>
  <si>
    <t>12%xbak</t>
  </si>
  <si>
    <t>150,00</t>
  </si>
  <si>
    <t>Semen portlan</t>
  </si>
  <si>
    <t>120,00</t>
  </si>
  <si>
    <t>Porselen 11x11</t>
  </si>
  <si>
    <t>bh</t>
  </si>
  <si>
    <t>360,00</t>
  </si>
  <si>
    <t>0,3</t>
  </si>
  <si>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f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b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>g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s</t>
    </r>
  </si>
  <si>
    <t>Beton 1:2:3</t>
  </si>
  <si>
    <t>Baja tulangan</t>
  </si>
  <si>
    <t>180,00</t>
  </si>
  <si>
    <t>Kayu bekisting</t>
  </si>
  <si>
    <t>Ubin porselen</t>
  </si>
  <si>
    <t>500,00</t>
  </si>
  <si>
    <t>Bak cuci piring</t>
  </si>
  <si>
    <t>Waterdrain</t>
  </si>
  <si>
    <t>Floor drain</t>
  </si>
  <si>
    <t>2,16</t>
  </si>
  <si>
    <t>0,72</t>
  </si>
  <si>
    <t>40,00</t>
  </si>
  <si>
    <t>44,00</t>
  </si>
  <si>
    <t>1,60</t>
  </si>
  <si>
    <t>3,2</t>
  </si>
  <si>
    <t>1,15</t>
  </si>
  <si>
    <t>70,00</t>
  </si>
  <si>
    <t>77,00</t>
  </si>
  <si>
    <t>2,60</t>
  </si>
  <si>
    <t>123,00</t>
  </si>
  <si>
    <t>114,00</t>
  </si>
  <si>
    <t>0,184</t>
  </si>
  <si>
    <t>4,85</t>
  </si>
  <si>
    <t>0,054</t>
  </si>
  <si>
    <t>Pipa galvanis ½”</t>
  </si>
  <si>
    <t>M</t>
  </si>
  <si>
    <t>35%xpipa</t>
  </si>
  <si>
    <t>0,4</t>
  </si>
  <si>
    <t>Kran air</t>
  </si>
  <si>
    <t>Sealtape</t>
  </si>
  <si>
    <t>Pipa galvanis 3/4”</t>
  </si>
  <si>
    <t>35,00</t>
  </si>
  <si>
    <t>Pipa galvanis 1”</t>
  </si>
  <si>
    <t>0,108</t>
  </si>
  <si>
    <t>Pipa galvanis 11/2”</t>
  </si>
  <si>
    <t>Pipa galvanis 3”</t>
  </si>
  <si>
    <t>Pipa galvanis 4”</t>
  </si>
  <si>
    <t>Pipa PVC 1/2”</t>
  </si>
  <si>
    <t>Pipa PVC 1”</t>
  </si>
  <si>
    <t>Pipa PVC 11/2”</t>
  </si>
  <si>
    <t>Pipa PVC 2”</t>
  </si>
  <si>
    <t>0,081</t>
  </si>
  <si>
    <t>0,0135</t>
  </si>
  <si>
    <t>Pipa PVC 21/2”</t>
  </si>
  <si>
    <t>Pipa PVC 3”</t>
  </si>
  <si>
    <t>Pipa tanah</t>
  </si>
  <si>
    <t>Pipa tanah dia 15</t>
  </si>
  <si>
    <t>0,68</t>
  </si>
  <si>
    <t>3,92</t>
  </si>
  <si>
    <t>0,056</t>
  </si>
  <si>
    <t>0,19</t>
  </si>
  <si>
    <t>0,55</t>
  </si>
  <si>
    <t>10,30</t>
  </si>
  <si>
    <t>Tukang pipa</t>
  </si>
  <si>
    <t>Pipa PVC Ø 63 mm</t>
  </si>
  <si>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pot/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&amp;
</t>
    </r>
    <r>
      <rPr>
        <i/>
        <sz val="10"/>
        <color indexed="8"/>
        <rFont val="Arial"/>
        <family val="2"/>
      </rPr>
      <t>han</t>
    </r>
    <r>
      <rPr>
        <i/>
        <sz val="10"/>
        <color indexed="8"/>
        <rFont val="Arial"/>
        <family val="2"/>
      </rPr>
      <t>d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c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ne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</si>
  <si>
    <r>
      <rPr>
        <sz val="10"/>
        <color indexed="8"/>
        <rFont val="Arial"/>
        <family val="2"/>
      </rPr>
      <t>ha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</si>
  <si>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6</t>
    </r>
  </si>
  <si>
    <t>0,094</t>
  </si>
  <si>
    <t>0,047</t>
  </si>
  <si>
    <t>Pipa PVC Ø 90 mm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</si>
  <si>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8</t>
    </r>
  </si>
  <si>
    <t>Pipa PVC Ø 110 mm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</si>
  <si>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</t>
    </r>
  </si>
  <si>
    <t>0,118</t>
  </si>
  <si>
    <t>0,059</t>
  </si>
  <si>
    <t>Pipa PVC Ø 150 mm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</si>
  <si>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2</t>
    </r>
  </si>
  <si>
    <t>0,189</t>
  </si>
  <si>
    <t>0,095</t>
  </si>
  <si>
    <t>Pipa PVC Ø 200 mm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</si>
  <si>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24</t>
    </r>
  </si>
  <si>
    <t>0,256</t>
  </si>
  <si>
    <t>Pipa PVC Ø 250 mm</t>
  </si>
  <si>
    <r>
      <rPr>
        <sz val="10"/>
        <color indexed="8"/>
        <rFont val="Arial"/>
        <family val="2"/>
      </rPr>
      <t>0.0</t>
    </r>
    <r>
      <rPr>
        <sz val="10"/>
        <color indexed="8"/>
        <rFont val="Arial"/>
        <family val="2"/>
      </rPr>
      <t>34</t>
    </r>
  </si>
  <si>
    <t>0,294</t>
  </si>
  <si>
    <t>Pipa PVC Ø 300 mm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</si>
  <si>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40</t>
    </r>
  </si>
  <si>
    <t>0,272</t>
  </si>
  <si>
    <t>Pipa PVC Ø 400 mm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</si>
  <si>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80</t>
    </r>
  </si>
  <si>
    <t>0,669</t>
  </si>
  <si>
    <t>Pipa PVC Ø 450 mm</t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</si>
  <si>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</si>
  <si>
    <t>0,809</t>
  </si>
  <si>
    <t>0,405</t>
  </si>
  <si>
    <t>Pipa PVC Ø 500 mm</t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</si>
  <si>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2</t>
    </r>
  </si>
  <si>
    <t>0,957</t>
  </si>
  <si>
    <t>0,479</t>
  </si>
  <si>
    <t>0,096</t>
  </si>
  <si>
    <t>Pipa PVC Ø 600 mm</t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</si>
  <si>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>5</t>
    </r>
  </si>
  <si>
    <t>1,618</t>
  </si>
  <si>
    <t>0,162</t>
  </si>
  <si>
    <t>Pipa PVC Ø 800 mm</t>
  </si>
  <si>
    <r>
      <rPr>
        <sz val="10"/>
        <color indexed="8"/>
        <rFont val="Arial"/>
        <family val="2"/>
      </rPr>
      <t>0,2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</t>
    </r>
  </si>
  <si>
    <t>1,691</t>
  </si>
  <si>
    <t>0,846</t>
  </si>
  <si>
    <t>0,169</t>
  </si>
  <si>
    <t>Pipa PVC Ø 900 mm</t>
  </si>
  <si>
    <r>
      <rPr>
        <sz val="10"/>
        <color indexed="8"/>
        <rFont val="Arial"/>
        <family val="2"/>
      </rPr>
      <t>0,2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>2</t>
    </r>
  </si>
  <si>
    <t>1,895</t>
  </si>
  <si>
    <t>0,190</t>
  </si>
  <si>
    <t>Pipa PVC Ø 1000 mm</t>
  </si>
  <si>
    <r>
      <rPr>
        <sz val="10"/>
        <color indexed="8"/>
        <rFont val="Arial"/>
        <family val="2"/>
      </rPr>
      <t>0,2</t>
    </r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>4</t>
    </r>
  </si>
  <si>
    <t>2,099</t>
  </si>
  <si>
    <t>Pipa PVC Ø 1100 mm</t>
  </si>
  <si>
    <r>
      <rPr>
        <sz val="10"/>
        <color indexed="8"/>
        <rFont val="Arial"/>
        <family val="2"/>
      </rPr>
      <t>0,3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7</t>
    </r>
  </si>
  <si>
    <t>2,303</t>
  </si>
  <si>
    <t>1,152</t>
  </si>
  <si>
    <t>0,230</t>
  </si>
  <si>
    <t>Pipa PVC Ø 1200 mm</t>
  </si>
  <si>
    <r>
      <rPr>
        <sz val="10"/>
        <color indexed="8"/>
        <rFont val="Arial"/>
        <family val="2"/>
      </rPr>
      <t>0,3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9</t>
    </r>
  </si>
  <si>
    <t>Pipa HDPE Ø 63 mm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</si>
  <si>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9</t>
    </r>
  </si>
  <si>
    <t>Pipa HDPE Ø 100 mm</t>
  </si>
  <si>
    <t>Pipa HDPE Ø 125 mm</t>
  </si>
  <si>
    <t>0,062</t>
  </si>
  <si>
    <t>Pipa HDPE Ø 150 mm</t>
  </si>
  <si>
    <t>0,051</t>
  </si>
  <si>
    <t>Pipa HDPE Ø 200 mm</t>
  </si>
  <si>
    <t>0,133</t>
  </si>
  <si>
    <t>Pipa HDPE Ø 250 mm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</si>
  <si>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42</t>
    </r>
  </si>
  <si>
    <t>Pipa HDPE Ø 300 mm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</si>
  <si>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65</t>
    </r>
  </si>
  <si>
    <t>0,290</t>
  </si>
  <si>
    <t>0,145</t>
  </si>
  <si>
    <t>Pipa HDPE Ø 400 mm</t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</si>
  <si>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2</t>
    </r>
  </si>
  <si>
    <t>0,359</t>
  </si>
  <si>
    <t>Pipa HDPE Ø 450 mm</t>
  </si>
  <si>
    <r>
      <rPr>
        <sz val="10"/>
        <color indexed="8"/>
        <rFont val="Arial"/>
        <family val="2"/>
      </rPr>
      <t>0,2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</si>
  <si>
    <t>0,433</t>
  </si>
  <si>
    <t>0,216</t>
  </si>
  <si>
    <t>Pipa HDPE Ø 500 mm</t>
  </si>
  <si>
    <r>
      <rPr>
        <sz val="10"/>
        <color indexed="8"/>
        <rFont val="Arial"/>
        <family val="2"/>
      </rPr>
      <t>0,2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1</t>
    </r>
  </si>
  <si>
    <t>0,512</t>
  </si>
  <si>
    <r>
      <rPr>
        <sz val="10"/>
        <color indexed="8"/>
        <rFont val="Arial"/>
        <family val="2"/>
      </rPr>
      <t>0,3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7</t>
    </r>
  </si>
  <si>
    <t>0,893</t>
  </si>
  <si>
    <t>0,446</t>
  </si>
  <si>
    <t>Pipa HDPE Ø 800 mm</t>
  </si>
  <si>
    <r>
      <rPr>
        <sz val="10"/>
        <color indexed="8"/>
        <rFont val="Arial"/>
        <family val="2"/>
      </rPr>
      <t>0,5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3</t>
    </r>
  </si>
  <si>
    <t>1,353</t>
  </si>
  <si>
    <t>0,677</t>
  </si>
  <si>
    <t>Pipa HDPE Ø 900 mm</t>
  </si>
  <si>
    <r>
      <rPr>
        <sz val="10"/>
        <color indexed="8"/>
        <rFont val="Arial"/>
        <family val="2"/>
      </rPr>
      <t>0,8</t>
    </r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>3</t>
    </r>
  </si>
  <si>
    <t>1,659</t>
  </si>
  <si>
    <t>0,830</t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</si>
  <si>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H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00
</t>
    </r>
    <r>
      <rPr>
        <sz val="10"/>
        <color indexed="8"/>
        <rFont val="Arial"/>
        <family val="2"/>
      </rPr>
      <t>mm</t>
    </r>
  </si>
  <si>
    <r>
      <rPr>
        <sz val="10"/>
        <color indexed="8"/>
        <rFont val="Arial"/>
        <family val="2"/>
      </rPr>
      <t>1,0</t>
    </r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>3</t>
    </r>
  </si>
  <si>
    <t>1,818</t>
  </si>
  <si>
    <t>0,909</t>
  </si>
  <si>
    <t>0,182</t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</si>
  <si>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H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00
</t>
    </r>
    <r>
      <rPr>
        <sz val="10"/>
        <color indexed="8"/>
        <rFont val="Arial"/>
        <family val="2"/>
      </rPr>
      <t>mm</t>
    </r>
  </si>
  <si>
    <r>
      <rPr>
        <sz val="10"/>
        <color indexed="8"/>
        <rFont val="Arial"/>
        <family val="2"/>
      </rPr>
      <t>1,2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5</t>
    </r>
  </si>
  <si>
    <t>2,370</t>
  </si>
  <si>
    <t>1,185</t>
  </si>
  <si>
    <t>0,237</t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</si>
  <si>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H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 xml:space="preserve">00
</t>
    </r>
    <r>
      <rPr>
        <sz val="10"/>
        <color indexed="8"/>
        <rFont val="Arial"/>
        <family val="2"/>
      </rPr>
      <t>mm</t>
    </r>
  </si>
  <si>
    <r>
      <rPr>
        <sz val="10"/>
        <color indexed="8"/>
        <rFont val="Arial"/>
        <family val="2"/>
      </rPr>
      <t>1,5</t>
    </r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>4</t>
    </r>
  </si>
  <si>
    <t>0,345</t>
  </si>
  <si>
    <t>0,172</t>
  </si>
  <si>
    <t>Pipa GIP Ø 63 mm</t>
  </si>
  <si>
    <r>
      <rPr>
        <sz val="10"/>
        <color indexed="8"/>
        <rFont val="Arial"/>
        <family val="2"/>
      </rPr>
      <t>-</t>
    </r>
  </si>
  <si>
    <t>Pipa GIP Ø 100 mm</t>
  </si>
  <si>
    <t>0,448</t>
  </si>
  <si>
    <t>0,224</t>
  </si>
  <si>
    <t>Pipa GIP Ø 125 mm</t>
  </si>
  <si>
    <t>0,506</t>
  </si>
  <si>
    <t>0,253</t>
  </si>
  <si>
    <t>Pipa GIP Ø 150 mm</t>
  </si>
  <si>
    <t>0,796</t>
  </si>
  <si>
    <t>0,398</t>
  </si>
  <si>
    <t>Pipa GIP Ø 200 mm</t>
  </si>
  <si>
    <t>0,949</t>
  </si>
  <si>
    <t>0,475</t>
  </si>
  <si>
    <t>Pipa GIP Ø 250 mm</t>
  </si>
  <si>
    <t>0,958</t>
  </si>
  <si>
    <t>Pipa GIP Ø 300 mm</t>
  </si>
  <si>
    <t>1,212</t>
  </si>
  <si>
    <t>0,606</t>
  </si>
  <si>
    <t>0,121</t>
  </si>
  <si>
    <t>Pipa GIP Ø 400 mm</t>
  </si>
  <si>
    <t>0,676</t>
  </si>
  <si>
    <t>Pipa GIP Ø 450 mm</t>
  </si>
  <si>
    <t>1,469</t>
  </si>
  <si>
    <t>0,735</t>
  </si>
  <si>
    <t>Pipa GIP Ø 500 mm</t>
  </si>
  <si>
    <t>1,327</t>
  </si>
  <si>
    <t>0,664</t>
  </si>
  <si>
    <t>Pipa GIP Ø 600 mm</t>
  </si>
  <si>
    <t>2,327</t>
  </si>
  <si>
    <t>1,163</t>
  </si>
  <si>
    <t>0,233</t>
  </si>
  <si>
    <t>Pipa GIP Ø 800 mm</t>
  </si>
  <si>
    <t>2,623</t>
  </si>
  <si>
    <t>1,312</t>
  </si>
  <si>
    <t>Pipa GIP Ø 900 mm</t>
  </si>
  <si>
    <t>2,911</t>
  </si>
  <si>
    <t>1,456</t>
  </si>
  <si>
    <t>0,291</t>
  </si>
  <si>
    <t>Pipa GIP Ø 1000 mm</t>
  </si>
  <si>
    <t>Pipa GIP Ø 1100 mm</t>
  </si>
  <si>
    <t>3,488</t>
  </si>
  <si>
    <t>1,744</t>
  </si>
  <si>
    <t>0,349</t>
  </si>
  <si>
    <t>Pipa GIP Ø 1200 mm</t>
  </si>
  <si>
    <t>0,489</t>
  </si>
  <si>
    <t>0,098</t>
  </si>
  <si>
    <t>Pipa DCI Ø 100 mm</t>
  </si>
  <si>
    <r>
      <rPr>
        <sz val="10"/>
        <color indexed="8"/>
        <rFont val="Arial"/>
        <family val="2"/>
      </rPr>
      <t>0,3</t>
    </r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>0</t>
    </r>
  </si>
  <si>
    <t>0,547</t>
  </si>
  <si>
    <t>0,109</t>
  </si>
  <si>
    <t>0,055</t>
  </si>
  <si>
    <t>Pipa DCI Ø 125 mm</t>
  </si>
  <si>
    <t>0,613</t>
  </si>
  <si>
    <t>0,123</t>
  </si>
  <si>
    <t>Pipa DCI Ø 150 mm</t>
  </si>
  <si>
    <t>0,855</t>
  </si>
  <si>
    <t>0,171</t>
  </si>
  <si>
    <t>Pipa DCI Ø 200 mm</t>
  </si>
  <si>
    <t>0,951</t>
  </si>
  <si>
    <t>Pipa DCI Ø 250 mm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</si>
  <si>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</t>
    </r>
  </si>
  <si>
    <t>0,973</t>
  </si>
  <si>
    <t>0,195</t>
  </si>
  <si>
    <t>0,097</t>
  </si>
  <si>
    <t>Pipa DCI Ø 300 mm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</si>
  <si>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71</t>
    </r>
  </si>
  <si>
    <t>1,545</t>
  </si>
  <si>
    <t>0,309</t>
  </si>
  <si>
    <t>Operator alat berat</t>
  </si>
  <si>
    <t>L.08</t>
  </si>
  <si>
    <t>0,154</t>
  </si>
  <si>
    <t>Pipa DCI Ø 400 mm</t>
  </si>
  <si>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ator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 xml:space="preserve">e
</t>
    </r>
    <r>
      <rPr>
        <sz val="10"/>
        <color indexed="8"/>
        <rFont val="Arial"/>
        <family val="2"/>
      </rPr>
      <t>225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,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-</t>
    </r>
    <r>
      <rPr>
        <sz val="10"/>
        <color indexed="8"/>
        <rFont val="Arial"/>
        <family val="2"/>
      </rPr>
      <t>1,0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3</t>
    </r>
  </si>
  <si>
    <t>hari</t>
  </si>
  <si>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pot/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&amp;
</t>
    </r>
    <r>
      <rPr>
        <i/>
        <sz val="10"/>
        <color indexed="8"/>
        <rFont val="Arial"/>
        <family val="2"/>
      </rPr>
      <t>han</t>
    </r>
    <r>
      <rPr>
        <i/>
        <sz val="10"/>
        <color indexed="8"/>
        <rFont val="Arial"/>
        <family val="2"/>
      </rPr>
      <t>d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c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ne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</si>
  <si>
    <t>1,813</t>
  </si>
  <si>
    <t>0,363</t>
  </si>
  <si>
    <t>0,143</t>
  </si>
  <si>
    <t>0,181</t>
  </si>
  <si>
    <t>Pipa DCI Ø 450 mm</t>
  </si>
  <si>
    <t>2,047</t>
  </si>
  <si>
    <t>0,409</t>
  </si>
  <si>
    <t>0,193</t>
  </si>
  <si>
    <t>0,205</t>
  </si>
  <si>
    <t>Pipa DCI Ø 500 mm</t>
  </si>
  <si>
    <t>2,011</t>
  </si>
  <si>
    <t>0,402</t>
  </si>
  <si>
    <t>0,293</t>
  </si>
  <si>
    <t>0,201</t>
  </si>
  <si>
    <t>Pipa DCI Ø 600 mm</t>
  </si>
  <si>
    <t>0,058</t>
  </si>
  <si>
    <t>0,077</t>
  </si>
  <si>
    <t>3,859</t>
  </si>
  <si>
    <t>0,493</t>
  </si>
  <si>
    <t>0,386</t>
  </si>
  <si>
    <t>Pipa DCI Ø 800 mm</t>
  </si>
  <si>
    <t>4,995</t>
  </si>
  <si>
    <t>0,999</t>
  </si>
  <si>
    <t>0,593</t>
  </si>
  <si>
    <t>0,499</t>
  </si>
  <si>
    <t>Pipa DCI Ø 900 mm</t>
  </si>
  <si>
    <t>5,931</t>
  </si>
  <si>
    <t>1,186</t>
  </si>
  <si>
    <t>0,793</t>
  </si>
  <si>
    <t>Pipa DCI Ø 1000 mm</t>
  </si>
  <si>
    <t>0,112</t>
  </si>
  <si>
    <t>0,298</t>
  </si>
  <si>
    <t>6,949</t>
  </si>
  <si>
    <t>1,390</t>
  </si>
  <si>
    <t>0,695</t>
  </si>
  <si>
    <t>Pipa DCI Ø 1100 mm</t>
  </si>
  <si>
    <t>0,152</t>
  </si>
  <si>
    <t>0,304</t>
  </si>
  <si>
    <t>8,056</t>
  </si>
  <si>
    <t>1,611</t>
  </si>
  <si>
    <t>0,806</t>
  </si>
  <si>
    <t>Pipa DCI Ø 1200 mm</t>
  </si>
  <si>
    <t>Pipa Baja Ø 63 mm</t>
  </si>
  <si>
    <t>0,579</t>
  </si>
  <si>
    <t>0,116</t>
  </si>
  <si>
    <t>Pipa Baja Ø 100 mm</t>
  </si>
  <si>
    <t>0,648</t>
  </si>
  <si>
    <t>Pipa Baja Ø 125 mm</t>
  </si>
  <si>
    <t>0,708</t>
  </si>
  <si>
    <t>0,142</t>
  </si>
  <si>
    <t>Pipa Baja Ø 150 mm</t>
  </si>
  <si>
    <t>1,113</t>
  </si>
  <si>
    <t>0,223</t>
  </si>
  <si>
    <t>0,111</t>
  </si>
  <si>
    <t>Pipa Baja Ø 200 mm</t>
  </si>
  <si>
    <t>1,325</t>
  </si>
  <si>
    <t>Pipa Baja Ø 250 mm</t>
  </si>
  <si>
    <t>1,415</t>
  </si>
  <si>
    <t>0,141</t>
  </si>
  <si>
    <t>Pipa Baja Ø 300 mm</t>
  </si>
  <si>
    <t>2,366</t>
  </si>
  <si>
    <t>0,473</t>
  </si>
  <si>
    <t>Pipa Baja Ø 400 mm</t>
  </si>
  <si>
    <t>2,231</t>
  </si>
  <si>
    <t>Pipa Baja Ø 450 mm</t>
  </si>
  <si>
    <t>2,432</t>
  </si>
  <si>
    <t>0,486</t>
  </si>
  <si>
    <t>0,243</t>
  </si>
  <si>
    <t>Pipa Baja Ø 500 mm</t>
  </si>
  <si>
    <t>2,208</t>
  </si>
  <si>
    <t>0,442</t>
  </si>
  <si>
    <t>0,221</t>
  </si>
  <si>
    <t>Pipa Baja Ø 600 mm</t>
  </si>
  <si>
    <t>3,897</t>
  </si>
  <si>
    <t>0,779</t>
  </si>
  <si>
    <t>Pipa Baja Ø 800 mm</t>
  </si>
  <si>
    <t>4,403</t>
  </si>
  <si>
    <t>Pipa Baja Ø 900 mm</t>
  </si>
  <si>
    <t>0,115</t>
  </si>
  <si>
    <t>4,895</t>
  </si>
  <si>
    <t>0,979</t>
  </si>
  <si>
    <t>Pipa Baja Ø 1000 mm</t>
  </si>
  <si>
    <t>5,387</t>
  </si>
  <si>
    <t>1,077</t>
  </si>
  <si>
    <t>0,539</t>
  </si>
  <si>
    <t>Pipa Baja Ø 1100 mm</t>
  </si>
  <si>
    <t>5,897</t>
  </si>
  <si>
    <t>1,176</t>
  </si>
  <si>
    <t>0,588</t>
  </si>
  <si>
    <t>Pipa Baja Ø 1200 mm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</si>
  <si>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70</t>
    </r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</si>
  <si>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oto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pa
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/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anual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ga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)
</t>
    </r>
    <r>
      <rPr>
        <sz val="10"/>
        <color indexed="8"/>
        <rFont val="Arial"/>
        <family val="2"/>
      </rPr>
      <t>/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aw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</si>
  <si>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3</t>
    </r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</si>
  <si>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oto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 xml:space="preserve">a
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/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anual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ga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)
</t>
    </r>
    <r>
      <rPr>
        <sz val="10"/>
        <color indexed="8"/>
        <rFont val="Arial"/>
        <family val="2"/>
      </rPr>
      <t>/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aw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</si>
  <si>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7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</si>
  <si>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0</t>
    </r>
  </si>
  <si>
    <t>0,155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</si>
  <si>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7</t>
    </r>
  </si>
  <si>
    <t>0,331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</si>
  <si>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>6</t>
    </r>
  </si>
  <si>
    <t>0,420</t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</si>
  <si>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oto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 xml:space="preserve">a
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/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/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c</t>
    </r>
    <r>
      <rPr>
        <i/>
        <sz val="10"/>
        <color indexed="8"/>
        <rFont val="Arial"/>
        <family val="2"/>
      </rPr>
      <t>ili</t>
    </r>
    <r>
      <rPr>
        <i/>
        <sz val="10"/>
        <color indexed="8"/>
        <rFont val="Arial"/>
        <family val="2"/>
      </rPr>
      <t>nder</t>
    </r>
    <r>
      <rPr>
        <i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aw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</si>
  <si>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4</t>
    </r>
  </si>
  <si>
    <t>0,518</t>
  </si>
  <si>
    <t>0,259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</si>
  <si>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>9</t>
    </r>
  </si>
  <si>
    <t>0,623</t>
  </si>
  <si>
    <t>0,311</t>
  </si>
  <si>
    <t>1,089</t>
  </si>
  <si>
    <t>0,545</t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</si>
  <si>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>0</t>
    </r>
  </si>
  <si>
    <t>1,141</t>
  </si>
  <si>
    <t>0,571</t>
  </si>
  <si>
    <t>0,114</t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</si>
  <si>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>8</t>
    </r>
  </si>
  <si>
    <t>1,285</t>
  </si>
  <si>
    <t>0,643</t>
  </si>
  <si>
    <t>0,129</t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</si>
  <si>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>1</t>
    </r>
  </si>
  <si>
    <t>1,429</t>
  </si>
  <si>
    <t>0,715</t>
  </si>
  <si>
    <r>
      <rPr>
        <sz val="10"/>
        <color indexed="8"/>
        <rFont val="Arial"/>
        <family val="2"/>
      </rPr>
      <t>0,2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3</t>
    </r>
  </si>
  <si>
    <t>1,573</t>
  </si>
  <si>
    <t>0,787</t>
  </si>
  <si>
    <t>0,157</t>
  </si>
  <si>
    <r>
      <rPr>
        <sz val="10"/>
        <color indexed="8"/>
        <rFont val="Arial"/>
        <family val="2"/>
      </rPr>
      <t>0,2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6</t>
    </r>
  </si>
  <si>
    <t>0,0002</t>
  </si>
  <si>
    <t>Operator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</si>
  <si>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4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</si>
  <si>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5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</si>
  <si>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9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</si>
  <si>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3</t>
    </r>
  </si>
  <si>
    <t>0,271</t>
  </si>
  <si>
    <t>0,177</t>
  </si>
  <si>
    <t>0,088</t>
  </si>
  <si>
    <t>0,371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</si>
  <si>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5</t>
    </r>
  </si>
  <si>
    <t>0,113</t>
  </si>
  <si>
    <t>0,421</t>
  </si>
  <si>
    <t>0,277</t>
  </si>
  <si>
    <t>0,139</t>
  </si>
  <si>
    <t>0,471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</si>
  <si>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>5</t>
    </r>
  </si>
  <si>
    <t>Pipa HDPE Ø 600 mm</t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</si>
  <si>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01</t>
    </r>
  </si>
  <si>
    <t>0,601</t>
  </si>
  <si>
    <t>0,301</t>
  </si>
  <si>
    <t>0,771</t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</si>
  <si>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9</t>
    </r>
  </si>
  <si>
    <t>0,913</t>
  </si>
  <si>
    <t>0,456</t>
  </si>
  <si>
    <t>0,871</t>
  </si>
  <si>
    <r>
      <rPr>
        <sz val="10"/>
        <color indexed="8"/>
        <rFont val="Arial"/>
        <family val="2"/>
      </rPr>
      <t>0,2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0</t>
    </r>
  </si>
  <si>
    <t>1,125</t>
  </si>
  <si>
    <t>0,562</t>
  </si>
  <si>
    <t>0,971</t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</si>
  <si>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H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mm</t>
    </r>
  </si>
  <si>
    <r>
      <rPr>
        <sz val="10"/>
        <color indexed="8"/>
        <rFont val="Arial"/>
        <family val="2"/>
      </rPr>
      <t>0,3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2</t>
    </r>
  </si>
  <si>
    <t>1,238</t>
  </si>
  <si>
    <t>0,619</t>
  </si>
  <si>
    <t>0,124</t>
  </si>
  <si>
    <t>1,071</t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</si>
  <si>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oto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/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/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c</t>
    </r>
    <r>
      <rPr>
        <i/>
        <sz val="10"/>
        <color indexed="8"/>
        <rFont val="Arial"/>
        <family val="2"/>
      </rPr>
      <t>ili</t>
    </r>
    <r>
      <rPr>
        <i/>
        <sz val="10"/>
        <color indexed="8"/>
        <rFont val="Arial"/>
        <family val="2"/>
      </rPr>
      <t>nder</t>
    </r>
    <r>
      <rPr>
        <i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aw</t>
    </r>
  </si>
  <si>
    <r>
      <rPr>
        <sz val="10"/>
        <color indexed="8"/>
        <rFont val="Arial"/>
        <family val="2"/>
      </rPr>
      <t>0,3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>5</t>
    </r>
  </si>
  <si>
    <t>1,619</t>
  </si>
  <si>
    <t>1,171</t>
  </si>
  <si>
    <r>
      <rPr>
        <sz val="10"/>
        <color indexed="8"/>
        <rFont val="Arial"/>
        <family val="2"/>
      </rPr>
      <t>0,4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7</t>
    </r>
  </si>
  <si>
    <t>0,092</t>
  </si>
  <si>
    <t>0,066</t>
  </si>
  <si>
    <t>0,504</t>
  </si>
  <si>
    <t>0,252</t>
  </si>
  <si>
    <t>0,738</t>
  </si>
  <si>
    <t>0,369</t>
  </si>
  <si>
    <t>0,848</t>
  </si>
  <si>
    <t>0,424</t>
  </si>
  <si>
    <t>0,941</t>
  </si>
  <si>
    <t>0,864</t>
  </si>
  <si>
    <t>0,086</t>
  </si>
  <si>
    <t>1,567</t>
  </si>
  <si>
    <t>0,783</t>
  </si>
  <si>
    <t>1,770</t>
  </si>
  <si>
    <t>0,885</t>
  </si>
  <si>
    <t>1,974</t>
  </si>
  <si>
    <t>0,987</t>
  </si>
  <si>
    <t>0,197</t>
  </si>
  <si>
    <t>2,178</t>
  </si>
  <si>
    <t>0,218</t>
  </si>
  <si>
    <t>2,382</t>
  </si>
  <si>
    <t>1,191</t>
  </si>
  <si>
    <t>0,238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</si>
  <si>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03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</si>
  <si>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10</t>
    </r>
  </si>
  <si>
    <t>0,159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</si>
  <si>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8</t>
    </r>
  </si>
  <si>
    <t>0,366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</si>
  <si>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54</t>
    </r>
  </si>
  <si>
    <t>0,476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</si>
  <si>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73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</si>
  <si>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9</t>
    </r>
  </si>
  <si>
    <t>0,188</t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</si>
  <si>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8</t>
    </r>
  </si>
  <si>
    <t>1,137</t>
  </si>
  <si>
    <t>0,227</t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</si>
  <si>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6</t>
    </r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</si>
  <si>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>2</t>
    </r>
  </si>
  <si>
    <t>1,309</t>
  </si>
  <si>
    <t>2,598</t>
  </si>
  <si>
    <r>
      <rPr>
        <sz val="10"/>
        <color indexed="8"/>
        <rFont val="Arial"/>
        <family val="2"/>
      </rPr>
      <t>0,3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</t>
    </r>
  </si>
  <si>
    <t>3,370</t>
  </si>
  <si>
    <t>0,674</t>
  </si>
  <si>
    <t>0,337</t>
  </si>
  <si>
    <r>
      <rPr>
        <sz val="10"/>
        <color indexed="8"/>
        <rFont val="Arial"/>
        <family val="2"/>
      </rPr>
      <t>0,3</t>
    </r>
    <r>
      <rPr>
        <sz val="10"/>
        <color indexed="8"/>
        <rFont val="Arial"/>
        <family val="2"/>
      </rPr>
      <t>81</t>
    </r>
  </si>
  <si>
    <t>4,021</t>
  </si>
  <si>
    <t>0,804</t>
  </si>
  <si>
    <r>
      <rPr>
        <sz val="10"/>
        <color indexed="8"/>
        <rFont val="Arial"/>
        <family val="2"/>
      </rPr>
      <t>0,4</t>
    </r>
    <r>
      <rPr>
        <sz val="10"/>
        <color indexed="8"/>
        <rFont val="Arial"/>
        <family val="2"/>
      </rPr>
      <t>41</t>
    </r>
  </si>
  <si>
    <t>4,731</t>
  </si>
  <si>
    <t>0,946</t>
  </si>
  <si>
    <r>
      <rPr>
        <sz val="10"/>
        <color indexed="8"/>
        <rFont val="Arial"/>
        <family val="2"/>
      </rPr>
      <t>0,5</t>
    </r>
    <r>
      <rPr>
        <sz val="10"/>
        <color indexed="8"/>
        <rFont val="Arial"/>
        <family val="2"/>
      </rPr>
      <t>06</t>
    </r>
  </si>
  <si>
    <t>5,502</t>
  </si>
  <si>
    <r>
      <rPr>
        <sz val="10"/>
        <color indexed="8"/>
        <rFont val="Arial"/>
        <family val="2"/>
      </rPr>
      <t>0,5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6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</si>
  <si>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</si>
  <si>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>2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</si>
  <si>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>5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</si>
  <si>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>0</t>
    </r>
  </si>
  <si>
    <t>0,663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</si>
  <si>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>8</t>
    </r>
  </si>
  <si>
    <t>0,745</t>
  </si>
  <si>
    <t>0,149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</si>
  <si>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2</t>
    </r>
  </si>
  <si>
    <t>1,440</t>
  </si>
  <si>
    <t>0,288</t>
  </si>
  <si>
    <t>0,144</t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</si>
  <si>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5</t>
    </r>
  </si>
  <si>
    <t>1,399</t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</si>
  <si>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7</t>
    </r>
  </si>
  <si>
    <t>1,558</t>
  </si>
  <si>
    <t>0,156</t>
  </si>
  <si>
    <t>1,437</t>
  </si>
  <si>
    <t>0,287</t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</si>
  <si>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3</t>
    </r>
  </si>
  <si>
    <t>2,624</t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</si>
  <si>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>6</t>
    </r>
  </si>
  <si>
    <t>2,971</t>
  </si>
  <si>
    <t>0,594</t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</si>
  <si>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>3</t>
    </r>
  </si>
  <si>
    <t>3,319</t>
  </si>
  <si>
    <t>0,332</t>
  </si>
  <si>
    <r>
      <rPr>
        <sz val="10"/>
        <color indexed="8"/>
        <rFont val="Arial"/>
        <family val="2"/>
      </rPr>
      <t>0,2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1</t>
    </r>
  </si>
  <si>
    <t>3,667</t>
  </si>
  <si>
    <t>0,733</t>
  </si>
  <si>
    <r>
      <rPr>
        <sz val="10"/>
        <color indexed="8"/>
        <rFont val="Arial"/>
        <family val="2"/>
      </rPr>
      <t>0,2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8</t>
    </r>
  </si>
  <si>
    <t>4,015</t>
  </si>
  <si>
    <t>0,803</t>
  </si>
  <si>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mm</t>
    </r>
  </si>
  <si>
    <t>1,714</t>
  </si>
  <si>
    <t>0,857</t>
  </si>
  <si>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</si>
  <si>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0,3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</si>
  <si>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mm</t>
    </r>
  </si>
  <si>
    <r>
      <rPr>
        <sz val="10"/>
        <color indexed="8"/>
        <rFont val="Arial"/>
        <family val="2"/>
      </rPr>
      <t>0,4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</si>
  <si>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mm</t>
    </r>
  </si>
  <si>
    <r>
      <rPr>
        <sz val="10"/>
        <color indexed="8"/>
        <rFont val="Arial"/>
        <family val="2"/>
      </rPr>
      <t>0,5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</si>
  <si>
    <t>3,429</t>
  </si>
  <si>
    <t>1,715</t>
  </si>
  <si>
    <t>0,343</t>
  </si>
  <si>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mm</t>
    </r>
  </si>
  <si>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mm</t>
    </r>
  </si>
  <si>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mm</t>
    </r>
  </si>
  <si>
    <t>1,421</t>
  </si>
  <si>
    <t>0,711</t>
  </si>
  <si>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</si>
  <si>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0,6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</si>
  <si>
    <r>
      <rPr>
        <i/>
        <sz val="10"/>
        <color indexed="8"/>
        <rFont val="Arial"/>
        <family val="2"/>
      </rPr>
      <t>Mo</t>
    </r>
    <r>
      <rPr>
        <i/>
        <sz val="10"/>
        <color indexed="8"/>
        <rFont val="Arial"/>
        <family val="2"/>
      </rPr>
      <t>b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c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ane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=</t>
    </r>
    <r>
      <rPr>
        <sz val="10"/>
        <color indexed="8"/>
        <rFont val="Arial"/>
        <family val="2"/>
      </rPr>
      <t>&lt;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on</t>
    </r>
  </si>
  <si>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mm</t>
    </r>
  </si>
  <si>
    <t>1,786</t>
  </si>
  <si>
    <t>0,179</t>
  </si>
  <si>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mm</t>
    </r>
  </si>
  <si>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</si>
  <si>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0,7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</t>
    </r>
  </si>
  <si>
    <t>2,571</t>
  </si>
  <si>
    <t>1,286</t>
  </si>
  <si>
    <t>0,257</t>
  </si>
  <si>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</si>
  <si>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</si>
  <si>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</si>
  <si>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t>0,106</t>
  </si>
  <si>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</si>
  <si>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</si>
  <si>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9</t>
    </r>
  </si>
  <si>
    <t>0,326</t>
  </si>
  <si>
    <t>0,163</t>
  </si>
  <si>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</si>
  <si>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9</t>
    </r>
  </si>
  <si>
    <t>0,436</t>
  </si>
  <si>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</si>
  <si>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t>0,656</t>
  </si>
  <si>
    <t>0,328</t>
  </si>
  <si>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mm</t>
    </r>
  </si>
  <si>
    <t>0,766</t>
  </si>
  <si>
    <t>0,383</t>
  </si>
  <si>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mm</t>
    </r>
  </si>
  <si>
    <t>0,876</t>
  </si>
  <si>
    <t>0,438</t>
  </si>
  <si>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mm</t>
    </r>
  </si>
  <si>
    <t>1,096</t>
  </si>
  <si>
    <t>0,548</t>
  </si>
  <si>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mm</t>
    </r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</si>
  <si>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>3</t>
    </r>
  </si>
  <si>
    <t>1,316</t>
  </si>
  <si>
    <t>0,658</t>
  </si>
  <si>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</si>
  <si>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0,2</t>
    </r>
    <r>
      <rPr>
        <sz val="10"/>
        <color indexed="8"/>
        <rFont val="Arial"/>
        <family val="2"/>
      </rPr>
      <t>25</t>
    </r>
  </si>
  <si>
    <t>1,536</t>
  </si>
  <si>
    <t>0,768</t>
  </si>
  <si>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mm</t>
    </r>
  </si>
  <si>
    <r>
      <rPr>
        <sz val="10"/>
        <color indexed="8"/>
        <rFont val="Arial"/>
        <family val="2"/>
      </rPr>
      <t>0,2</t>
    </r>
    <r>
      <rPr>
        <sz val="10"/>
        <color indexed="8"/>
        <rFont val="Arial"/>
        <family val="2"/>
      </rPr>
      <t>57</t>
    </r>
  </si>
  <si>
    <t>1,756</t>
  </si>
  <si>
    <t>0,878</t>
  </si>
  <si>
    <t>0,176</t>
  </si>
  <si>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mm</t>
    </r>
  </si>
  <si>
    <r>
      <rPr>
        <sz val="10"/>
        <color indexed="8"/>
        <rFont val="Arial"/>
        <family val="2"/>
      </rPr>
      <t>0,3</t>
    </r>
    <r>
      <rPr>
        <sz val="10"/>
        <color indexed="8"/>
        <rFont val="Arial"/>
        <family val="2"/>
      </rPr>
      <t>21</t>
    </r>
  </si>
  <si>
    <t>0,161</t>
  </si>
  <si>
    <t>1,976</t>
  </si>
  <si>
    <t>0,988</t>
  </si>
  <si>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</si>
  <si>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0,3</t>
    </r>
    <r>
      <rPr>
        <sz val="10"/>
        <color indexed="8"/>
        <rFont val="Arial"/>
        <family val="2"/>
      </rPr>
      <t>66</t>
    </r>
  </si>
  <si>
    <t>0,183</t>
  </si>
  <si>
    <t>2,196</t>
  </si>
  <si>
    <t>1,098</t>
  </si>
  <si>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</si>
  <si>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0,3</t>
    </r>
    <r>
      <rPr>
        <sz val="10"/>
        <color indexed="8"/>
        <rFont val="Arial"/>
        <family val="2"/>
      </rPr>
      <t>86</t>
    </r>
  </si>
  <si>
    <t>2,416</t>
  </si>
  <si>
    <t>1,208</t>
  </si>
  <si>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</si>
  <si>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0,4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</t>
    </r>
  </si>
  <si>
    <t>1,466</t>
  </si>
  <si>
    <t>Pipa Ø 80 mm</t>
  </si>
  <si>
    <r>
      <rPr>
        <sz val="10"/>
        <color indexed="8"/>
        <rFont val="Arial"/>
        <family val="2"/>
      </rPr>
      <t>0,6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6</t>
    </r>
  </si>
  <si>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en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00
</t>
    </r>
    <r>
      <rPr>
        <sz val="10"/>
        <color indexed="8"/>
        <rFont val="Arial"/>
        <family val="2"/>
      </rPr>
      <t>watt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</si>
  <si>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5</t>
    </r>
  </si>
  <si>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 xml:space="preserve">pa
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u</t>
    </r>
    <r>
      <rPr>
        <i/>
        <sz val="10"/>
        <color indexed="8"/>
        <rFont val="Arial"/>
        <family val="2"/>
      </rPr>
      <t>b</t>
    </r>
    <r>
      <rPr>
        <i/>
        <sz val="10"/>
        <color indexed="8"/>
        <rFont val="Arial"/>
        <family val="2"/>
      </rPr>
      <t>me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b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10"/>
        <color indexed="8"/>
        <rFont val="Arial"/>
        <family val="2"/>
      </rPr>
      <t>/h</t>
    </r>
  </si>
  <si>
    <r>
      <rPr>
        <sz val="10"/>
        <color indexed="8"/>
        <rFont val="Arial"/>
        <family val="2"/>
      </rPr>
      <t>0,9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>8</t>
    </r>
  </si>
  <si>
    <r>
      <rPr>
        <sz val="10"/>
        <color indexed="8"/>
        <rFont val="Arial"/>
        <family val="2"/>
      </rPr>
      <t>0,8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>5</t>
    </r>
  </si>
  <si>
    <t>1,646</t>
  </si>
  <si>
    <t>0,823</t>
  </si>
  <si>
    <t>Pipa Ø 100 mm</t>
  </si>
  <si>
    <r>
      <rPr>
        <sz val="10"/>
        <color indexed="8"/>
        <rFont val="Arial"/>
        <family val="2"/>
      </rPr>
      <t>0,6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</si>
  <si>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9</t>
    </r>
  </si>
  <si>
    <r>
      <rPr>
        <sz val="10"/>
        <color indexed="8"/>
        <rFont val="Arial"/>
        <family val="2"/>
      </rPr>
      <t>1,0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8</t>
    </r>
  </si>
  <si>
    <r>
      <rPr>
        <sz val="10"/>
        <color indexed="8"/>
        <rFont val="Arial"/>
        <family val="2"/>
      </rPr>
      <t>0,9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1</t>
    </r>
  </si>
  <si>
    <t>2,096</t>
  </si>
  <si>
    <t>1,048</t>
  </si>
  <si>
    <t>Pipa Ø 150 mm</t>
  </si>
  <si>
    <r>
      <rPr>
        <sz val="10"/>
        <color indexed="8"/>
        <rFont val="Arial"/>
        <family val="2"/>
      </rPr>
      <t>0,7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</si>
  <si>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0,3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>9</t>
    </r>
  </si>
  <si>
    <r>
      <rPr>
        <sz val="10"/>
        <color indexed="8"/>
        <rFont val="Arial"/>
        <family val="2"/>
      </rPr>
      <t>1,3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3</t>
    </r>
  </si>
  <si>
    <r>
      <rPr>
        <sz val="10"/>
        <color indexed="8"/>
        <rFont val="Arial"/>
        <family val="2"/>
      </rPr>
      <t>1,0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6</t>
    </r>
  </si>
  <si>
    <t>2,546</t>
  </si>
  <si>
    <t>1,273</t>
  </si>
  <si>
    <t>Pipa Ø 200 mm</t>
  </si>
  <si>
    <r>
      <rPr>
        <sz val="10"/>
        <color indexed="8"/>
        <rFont val="Arial"/>
        <family val="2"/>
      </rPr>
      <t>0,8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</si>
  <si>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0,5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9</t>
    </r>
  </si>
  <si>
    <r>
      <rPr>
        <sz val="10"/>
        <color indexed="8"/>
        <rFont val="Arial"/>
        <family val="2"/>
      </rPr>
      <t>1,6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8</t>
    </r>
  </si>
  <si>
    <r>
      <rPr>
        <sz val="10"/>
        <color indexed="8"/>
        <rFont val="Arial"/>
        <family val="2"/>
      </rPr>
      <t>1,1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>1</t>
    </r>
  </si>
  <si>
    <t>2,996</t>
  </si>
  <si>
    <t>1,498</t>
  </si>
  <si>
    <t>Pipa Ø 250 mm</t>
  </si>
  <si>
    <r>
      <rPr>
        <sz val="10"/>
        <color indexed="8"/>
        <rFont val="Arial"/>
        <family val="2"/>
      </rPr>
      <t>0,9</t>
    </r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</si>
  <si>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en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watt</t>
    </r>
  </si>
  <si>
    <r>
      <rPr>
        <sz val="10"/>
        <color indexed="8"/>
        <rFont val="Arial"/>
        <family val="2"/>
      </rPr>
      <t>0,7</t>
    </r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>9</t>
    </r>
  </si>
  <si>
    <r>
      <rPr>
        <sz val="10"/>
        <color indexed="8"/>
        <rFont val="Arial"/>
        <family val="2"/>
      </rPr>
      <t>1,9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3</t>
    </r>
  </si>
  <si>
    <r>
      <rPr>
        <sz val="10"/>
        <color indexed="8"/>
        <rFont val="Arial"/>
        <family val="2"/>
      </rPr>
      <t>1,2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6</t>
    </r>
  </si>
  <si>
    <t>3,446</t>
  </si>
  <si>
    <t>1,723</t>
  </si>
  <si>
    <t>Pipa Ø 300 mm</t>
  </si>
  <si>
    <r>
      <rPr>
        <sz val="10"/>
        <color indexed="8"/>
        <rFont val="Arial"/>
        <family val="2"/>
      </rPr>
      <t>1,0</t>
    </r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</si>
  <si>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0,9</t>
    </r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>9</t>
    </r>
  </si>
  <si>
    <r>
      <rPr>
        <sz val="10"/>
        <color indexed="8"/>
        <rFont val="Arial"/>
        <family val="2"/>
      </rPr>
      <t>2,1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8</t>
    </r>
  </si>
  <si>
    <r>
      <rPr>
        <sz val="10"/>
        <color indexed="8"/>
        <rFont val="Arial"/>
        <family val="2"/>
      </rPr>
      <t>1,3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1</t>
    </r>
  </si>
  <si>
    <t>4,346</t>
  </si>
  <si>
    <t>2,173</t>
  </si>
  <si>
    <t>0,435</t>
  </si>
  <si>
    <t>Pipa Ø 400 mm</t>
  </si>
  <si>
    <r>
      <rPr>
        <sz val="10"/>
        <color indexed="8"/>
        <rFont val="Arial"/>
        <family val="2"/>
      </rPr>
      <t>1,3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</si>
  <si>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1,4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9</t>
    </r>
  </si>
  <si>
    <r>
      <rPr>
        <sz val="10"/>
        <color indexed="8"/>
        <rFont val="Arial"/>
        <family val="2"/>
      </rPr>
      <t>2,7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8</t>
    </r>
  </si>
  <si>
    <r>
      <rPr>
        <sz val="10"/>
        <color indexed="8"/>
        <rFont val="Arial"/>
        <family val="2"/>
      </rPr>
      <t>1,6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1</t>
    </r>
  </si>
  <si>
    <t>4,796</t>
  </si>
  <si>
    <t>2,398</t>
  </si>
  <si>
    <t>Pipa Ø 450 mm</t>
  </si>
  <si>
    <r>
      <rPr>
        <sz val="10"/>
        <color indexed="8"/>
        <rFont val="Arial"/>
        <family val="2"/>
      </rPr>
      <t>1,4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</si>
  <si>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1,6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9</t>
    </r>
  </si>
  <si>
    <r>
      <rPr>
        <sz val="10"/>
        <color indexed="8"/>
        <rFont val="Arial"/>
        <family val="2"/>
      </rPr>
      <t>3,0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3</t>
    </r>
  </si>
  <si>
    <r>
      <rPr>
        <sz val="10"/>
        <color indexed="8"/>
        <rFont val="Arial"/>
        <family val="2"/>
      </rPr>
      <t>1,7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6</t>
    </r>
  </si>
  <si>
    <t>5,246</t>
  </si>
  <si>
    <t>Pipa Ø 500 mm</t>
  </si>
  <si>
    <r>
      <rPr>
        <sz val="10"/>
        <color indexed="8"/>
        <rFont val="Arial"/>
        <family val="2"/>
      </rPr>
      <t>1,5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</si>
  <si>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1,8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9</t>
    </r>
  </si>
  <si>
    <r>
      <rPr>
        <sz val="10"/>
        <color indexed="8"/>
        <rFont val="Arial"/>
        <family val="2"/>
      </rPr>
      <t>3,2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8</t>
    </r>
  </si>
  <si>
    <r>
      <rPr>
        <sz val="10"/>
        <color indexed="8"/>
        <rFont val="Arial"/>
        <family val="2"/>
      </rPr>
      <t>1,8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1</t>
    </r>
  </si>
  <si>
    <t>6,146</t>
  </si>
  <si>
    <t>3,073</t>
  </si>
  <si>
    <t>0,615</t>
  </si>
  <si>
    <t>Pipa Ø 600 mm</t>
  </si>
  <si>
    <r>
      <rPr>
        <sz val="10"/>
        <color indexed="8"/>
        <rFont val="Arial"/>
        <family val="2"/>
      </rPr>
      <t>1,7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</si>
  <si>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2,2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9</t>
    </r>
  </si>
  <si>
    <r>
      <rPr>
        <sz val="10"/>
        <color indexed="8"/>
        <rFont val="Arial"/>
        <family val="2"/>
      </rPr>
      <t>3,8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8</t>
    </r>
  </si>
  <si>
    <r>
      <rPr>
        <sz val="10"/>
        <color indexed="8"/>
        <rFont val="Arial"/>
        <family val="2"/>
      </rPr>
      <t>2,0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>1</t>
    </r>
  </si>
  <si>
    <t>7,046</t>
  </si>
  <si>
    <t>3,523</t>
  </si>
  <si>
    <t>0,705</t>
  </si>
  <si>
    <t>Pipa Ø 700 mm</t>
  </si>
  <si>
    <r>
      <rPr>
        <sz val="10"/>
        <color indexed="8"/>
        <rFont val="Arial"/>
        <family val="2"/>
      </rPr>
      <t>1,9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</si>
  <si>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2,6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9</t>
    </r>
  </si>
  <si>
    <r>
      <rPr>
        <sz val="10"/>
        <color indexed="8"/>
        <rFont val="Arial"/>
        <family val="2"/>
      </rPr>
      <t>4,3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8</t>
    </r>
  </si>
  <si>
    <r>
      <rPr>
        <sz val="10"/>
        <color indexed="8"/>
        <rFont val="Arial"/>
        <family val="2"/>
      </rPr>
      <t>2,2</t>
    </r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>1</t>
    </r>
  </si>
  <si>
    <t>7,946</t>
  </si>
  <si>
    <t>3,973</t>
  </si>
  <si>
    <t>0,795</t>
  </si>
  <si>
    <t>Pipa Ø 800 mm</t>
  </si>
  <si>
    <r>
      <rPr>
        <sz val="10"/>
        <color indexed="8"/>
        <rFont val="Arial"/>
        <family val="2"/>
      </rPr>
      <t>2,1</t>
    </r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</si>
  <si>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3,0</t>
    </r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>9</t>
    </r>
  </si>
  <si>
    <r>
      <rPr>
        <sz val="10"/>
        <color indexed="8"/>
        <rFont val="Arial"/>
        <family val="2"/>
      </rPr>
      <t>4,9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8</t>
    </r>
  </si>
  <si>
    <r>
      <rPr>
        <sz val="10"/>
        <color indexed="8"/>
        <rFont val="Arial"/>
        <family val="2"/>
      </rPr>
      <t>2,5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1</t>
    </r>
  </si>
  <si>
    <t>Air test (air bersih)</t>
  </si>
  <si>
    <t>Bahan bakar</t>
  </si>
  <si>
    <t>liter</t>
  </si>
  <si>
    <t>Oli</t>
  </si>
  <si>
    <t>0,126</t>
  </si>
  <si>
    <t>0,158</t>
  </si>
  <si>
    <t>I</t>
  </si>
  <si>
    <t>Pekerjaan Persiapan ………………………………………………</t>
  </si>
  <si>
    <t>Rp…………….</t>
  </si>
  <si>
    <t>II</t>
  </si>
  <si>
    <t>Pekerjaan Tanah …………………………………………………….</t>
  </si>
  <si>
    <t>III</t>
  </si>
  <si>
    <t>Pekerjaan Pondasi Batu Belah ……………………………………</t>
  </si>
  <si>
    <t>IV.</t>
  </si>
  <si>
    <t>Pekerjaan Beton Kolom/balok praktis …………………………..</t>
  </si>
  <si>
    <t>V.</t>
  </si>
  <si>
    <t>Pekerjaan Pasangan dinding bata ……………………………….</t>
  </si>
  <si>
    <t>VI.</t>
  </si>
  <si>
    <t>Pekerjaan Kusen/Pintu/Jendela ………………………………….</t>
  </si>
  <si>
    <t>VII.</t>
  </si>
  <si>
    <t>Pekerjaan Langit-langit …………………………………………….</t>
  </si>
  <si>
    <t>Rp……………</t>
  </si>
  <si>
    <t>VIII.</t>
  </si>
  <si>
    <t>Pekerjaan Pengecatan/Plituran …………………………………..</t>
  </si>
  <si>
    <t>IX.</t>
  </si>
  <si>
    <t>Pekerjaan Elektrikal ………………………………………………..</t>
  </si>
  <si>
    <t>Rp……………..</t>
  </si>
  <si>
    <t>X.</t>
  </si>
  <si>
    <t>Pekerjaan Plumbing ……………………………………………….</t>
  </si>
  <si>
    <t>XI.</t>
  </si>
  <si>
    <t>Pekerjaan Mobilisasi dan Demobilisasi ……………………….</t>
  </si>
  <si>
    <t>XII</t>
  </si>
  <si>
    <t>Pekerjaan …………………….</t>
  </si>
  <si>
    <t>Rp</t>
  </si>
  <si>
    <t>XIII</t>
  </si>
  <si>
    <t>Pekerjaan ……………………..</t>
  </si>
  <si>
    <t>Miscellaneous Work</t>
  </si>
  <si>
    <t>CATATAN</t>
  </si>
  <si>
    <r>
      <t>A.4.2.1.10. Pemasangan 1 m</t>
    </r>
    <r>
      <rPr>
        <b/>
        <sz val="6.5"/>
        <color indexed="8"/>
        <rFont val="Arial"/>
        <family val="2"/>
      </rPr>
      <t xml:space="preserve">2  </t>
    </r>
    <r>
      <rPr>
        <b/>
        <i/>
        <sz val="10"/>
        <color indexed="8"/>
        <rFont val="Arial"/>
        <family val="2"/>
      </rPr>
      <t xml:space="preserve">rolling door </t>
    </r>
    <r>
      <rPr>
        <b/>
        <sz val="10"/>
        <color indexed="8"/>
        <rFont val="Arial"/>
        <family val="2"/>
      </rPr>
      <t>alluminium</t>
    </r>
  </si>
  <si>
    <t>A.4.2.1.11. Pemasangan 1 m kusen pintu alluminium</t>
  </si>
  <si>
    <r>
      <t>A.4.2.1.12.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pintu alluminium strip lebar 8 cm</t>
    </r>
  </si>
  <si>
    <r>
      <t>A.4.2.1.13.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pintu kaca rangka alluminium</t>
    </r>
  </si>
  <si>
    <r>
      <t>A.4.2.1.14.Pemasangan 1 m</t>
    </r>
    <r>
      <rPr>
        <b/>
        <sz val="6.5"/>
        <color indexed="8"/>
        <rFont val="Arial"/>
        <family val="2"/>
      </rPr>
      <t xml:space="preserve">2  </t>
    </r>
    <r>
      <rPr>
        <b/>
        <i/>
        <sz val="10"/>
        <color indexed="8"/>
        <rFont val="Arial"/>
        <family val="2"/>
      </rPr>
      <t xml:space="preserve">venetions blinds </t>
    </r>
    <r>
      <rPr>
        <b/>
        <sz val="10"/>
        <color indexed="8"/>
        <rFont val="Arial"/>
        <family val="2"/>
      </rPr>
      <t xml:space="preserve">dan </t>
    </r>
    <r>
      <rPr>
        <b/>
        <i/>
        <sz val="10"/>
        <color indexed="8"/>
        <rFont val="Arial"/>
        <family val="2"/>
      </rPr>
      <t>Vertical blinds</t>
    </r>
  </si>
  <si>
    <r>
      <t>A.4.2.1.15.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terali besi strip (2 x 3) mm</t>
    </r>
  </si>
  <si>
    <r>
      <t>A.4.2.1.16.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kawat nyamuk</t>
    </r>
  </si>
  <si>
    <r>
      <t>A.4.2.1.17.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jendela nako &amp; tralis</t>
    </r>
  </si>
  <si>
    <t>A.4.2.1.18. Pemasangan 1 m’ talang datar/ jurai seng bjls 28 lebar 90 cm</t>
  </si>
  <si>
    <t>A.4.2.1.19   Pemasangan 1 m talang ½ lingkaran D-15 cm, seng plat bjls 30 lebar 45 cm</t>
  </si>
  <si>
    <r>
      <t>A.4.2.1.20.Pemasangan 1 m</t>
    </r>
    <r>
      <rPr>
        <b/>
        <sz val="6.5"/>
        <color indexed="8"/>
        <rFont val="Arial"/>
        <family val="2"/>
      </rPr>
      <t xml:space="preserve">2    </t>
    </r>
    <r>
      <rPr>
        <b/>
        <sz val="10"/>
        <color indexed="8"/>
        <rFont val="Arial"/>
        <family val="2"/>
      </rPr>
      <t>rangka besi hollow 1x40.40.2mm, modul 60 x 120 cm, dinding partisi</t>
    </r>
  </si>
  <si>
    <r>
      <t>A.4.2.1.21.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rangka besi hollow 1x40.40.2mm, modul 60 x 60 cm, plafon</t>
    </r>
  </si>
  <si>
    <t>A.4.4.1 HARGA SATUAN PEKERJAAN PASANGAN DINDING</t>
  </si>
  <si>
    <r>
      <t>A. 4.4.1.1. 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bata merah (5x11x22) cm tebal 1 batu campuran 1SP :2PP</t>
    </r>
  </si>
  <si>
    <r>
      <t>A. 4.4.1.2. 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bata merah (5x11x22) cm tebal 1 batu campuran 1SP :3PP</t>
    </r>
  </si>
  <si>
    <r>
      <t>A. 4.4.1.3. Pemasangan 1m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dinding bata merah (5x11x22) cm tebal 1 batu campuran  1SP :4PP</t>
    </r>
  </si>
  <si>
    <r>
      <t>A. 4.4.1.4. Pemasangan 1m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dinding bata merah (5x11x22) cm tebal 1 batu campuran  1SP :5PP</t>
    </r>
  </si>
  <si>
    <r>
      <t>A. 4.4.1.5     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Bata Merah (5x11x22) cm tebal 1 batu campuran  1SP :6PP</t>
    </r>
  </si>
  <si>
    <r>
      <t>A. 4.4.1.6  Pemasangan 1m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dinding bata merah (5x11x22) cm tebal 1 batu campuran  1SP :3KP : 10PP</t>
    </r>
  </si>
  <si>
    <r>
      <t>A. 4.4.1.7  Pemasangan 1m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dinding bata merah (5x11x22) cm tebal ½ batu campuran  1SP :2PP</t>
    </r>
  </si>
  <si>
    <r>
      <t>A. 4.4.1.8     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bata merah (5x11x22) cm tebal ½ batu campuran  1SP :3PP</t>
    </r>
  </si>
  <si>
    <r>
      <t>A.4.4.1.9  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bata merah (5x11x22) cm tebal ½ batu campuran 1SP :4PP</t>
    </r>
  </si>
  <si>
    <r>
      <t>A. 4.4.1.10   Pemasangan 1m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dinding bata merah (5x11x22)cm tebal ½ batu campuran   1SP:5PP</t>
    </r>
  </si>
  <si>
    <r>
      <t>A. 4.4.1.11 Pemasangan 1m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dinding bata merah (5x11x22)cm tebal ½ batu campuran  1SP :6PP</t>
    </r>
  </si>
  <si>
    <r>
      <t>A. 4.4.1.12        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bata merah (5x11x22)cm tebal ½ batu campuran  1SP:8PP</t>
    </r>
  </si>
  <si>
    <r>
      <t>A. 4.4.1.13   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bata merah (5x11x22)cm tebal ½ batu campuran  1SP :3KP :10PP</t>
    </r>
  </si>
  <si>
    <r>
      <t>A. 4.4.1.14   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bata merah (5x11x22)cm tebal ½ batu campuran  1SM :1KP :1PP</t>
    </r>
  </si>
  <si>
    <r>
      <t>A. 4.4.1.15    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bata merah (5x11x22) cm tebal ½ batu campuran  1SM :1KP :2PP</t>
    </r>
  </si>
  <si>
    <r>
      <t>A. 4.4.1.16 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 xml:space="preserve">dinding </t>
    </r>
    <r>
      <rPr>
        <b/>
        <i/>
        <sz val="10"/>
        <color indexed="8"/>
        <rFont val="Arial"/>
        <family val="2"/>
      </rPr>
      <t xml:space="preserve">conblock </t>
    </r>
    <r>
      <rPr>
        <b/>
        <sz val="10"/>
        <color indexed="8"/>
        <rFont val="Arial"/>
        <family val="2"/>
      </rPr>
      <t>HB20 campuran 1SP : 3PP</t>
    </r>
  </si>
  <si>
    <r>
      <t>A. 4.4.1.17 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 xml:space="preserve">dinding </t>
    </r>
    <r>
      <rPr>
        <b/>
        <i/>
        <sz val="10"/>
        <color indexed="8"/>
        <rFont val="Arial"/>
        <family val="2"/>
      </rPr>
      <t xml:space="preserve">conblock </t>
    </r>
    <r>
      <rPr>
        <b/>
        <sz val="10"/>
        <color indexed="8"/>
        <rFont val="Arial"/>
        <family val="2"/>
      </rPr>
      <t>HB20 campuran 1SP :4PP</t>
    </r>
  </si>
  <si>
    <r>
      <t>A. 4.4.1.8 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 xml:space="preserve">dinding </t>
    </r>
    <r>
      <rPr>
        <b/>
        <i/>
        <sz val="10"/>
        <color indexed="8"/>
        <rFont val="Arial"/>
        <family val="2"/>
      </rPr>
      <t xml:space="preserve">conblock </t>
    </r>
    <r>
      <rPr>
        <b/>
        <sz val="10"/>
        <color indexed="8"/>
        <rFont val="Arial"/>
        <family val="2"/>
      </rPr>
      <t>HB15 campuran 1SP :3PP</t>
    </r>
  </si>
  <si>
    <r>
      <t>A. 4.4.1.19         Pemasangan 1 cm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 xml:space="preserve">dinding </t>
    </r>
    <r>
      <rPr>
        <b/>
        <i/>
        <sz val="10"/>
        <color indexed="8"/>
        <rFont val="Arial"/>
        <family val="2"/>
      </rPr>
      <t xml:space="preserve">conblock </t>
    </r>
    <r>
      <rPr>
        <b/>
        <sz val="10"/>
        <color indexed="8"/>
        <rFont val="Arial"/>
        <family val="2"/>
      </rPr>
      <t>HB15 campuran 1SP :4PP</t>
    </r>
  </si>
  <si>
    <r>
      <t>A. 4.4.1.20 Pemasangan 1 cm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 xml:space="preserve">dinding </t>
    </r>
    <r>
      <rPr>
        <b/>
        <i/>
        <sz val="10"/>
        <color indexed="8"/>
        <rFont val="Arial"/>
        <family val="2"/>
      </rPr>
      <t xml:space="preserve">conblock </t>
    </r>
    <r>
      <rPr>
        <b/>
        <sz val="10"/>
        <color indexed="8"/>
        <rFont val="Arial"/>
        <family val="2"/>
      </rPr>
      <t>HB10 campuran 1SP :3PP</t>
    </r>
  </si>
  <si>
    <r>
      <t>A. 4.4.1.21         Pemasangan 1 cm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 xml:space="preserve">dinding </t>
    </r>
    <r>
      <rPr>
        <b/>
        <i/>
        <sz val="10"/>
        <color indexed="8"/>
        <rFont val="Arial"/>
        <family val="2"/>
      </rPr>
      <t xml:space="preserve">conblock </t>
    </r>
    <r>
      <rPr>
        <b/>
        <sz val="10"/>
        <color indexed="8"/>
        <rFont val="Arial"/>
        <family val="2"/>
      </rPr>
      <t>HB10 campuran 1SP :4PP</t>
    </r>
  </si>
  <si>
    <r>
      <t>A. 4.4.1.22 Pemasangan 1 cm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terawang (</t>
    </r>
    <r>
      <rPr>
        <b/>
        <i/>
        <sz val="10"/>
        <color indexed="8"/>
        <rFont val="Arial"/>
        <family val="2"/>
      </rPr>
      <t>rooster</t>
    </r>
    <r>
      <rPr>
        <b/>
        <sz val="10"/>
        <color indexed="8"/>
        <rFont val="Arial"/>
        <family val="2"/>
      </rPr>
      <t>) 12x11x24 campuran 1SP :3PP</t>
    </r>
  </si>
  <si>
    <r>
      <t>A. 4.4.1.23         Pemasangan 1 cm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terawang (</t>
    </r>
    <r>
      <rPr>
        <b/>
        <i/>
        <sz val="10"/>
        <color indexed="8"/>
        <rFont val="Arial"/>
        <family val="2"/>
      </rPr>
      <t>rooster</t>
    </r>
    <r>
      <rPr>
        <b/>
        <sz val="10"/>
        <color indexed="8"/>
        <rFont val="Arial"/>
        <family val="2"/>
      </rPr>
      <t>) 12x11x24 campuran 1SP :4PP</t>
    </r>
  </si>
  <si>
    <r>
      <t>A. 4.4.1.24         Pemasangan 1 cm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dinding bata berongga ekspose 12x11x24  campuran  1SP:3PP</t>
    </r>
  </si>
  <si>
    <t>A.4.4.2 HARGA SATUAN PEKERJAAN PLESTERAN</t>
  </si>
  <si>
    <r>
      <t>A.4.4.2.1.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1SP : 1PP tebal 15 mm</t>
    </r>
  </si>
  <si>
    <r>
      <t>A.4.4.2.2.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1SP : 2PP tebal 15 mm</t>
    </r>
  </si>
  <si>
    <r>
      <t>A.4.4.2.3.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1SP : 3PP tebal 15mm</t>
    </r>
  </si>
  <si>
    <r>
      <t>A.4.4.2.4.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1SP : 4PP tebal 15 mm</t>
    </r>
  </si>
  <si>
    <r>
      <t>A.4.4.2.5.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1SP : 5PP tebal 15 mm</t>
    </r>
  </si>
  <si>
    <r>
      <t>A.4.4.2.6.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1SP : 6PP tebal 15 mm</t>
    </r>
  </si>
  <si>
    <r>
      <t>A.4.4.2.7.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1SP : 7PP tebal 15 mm</t>
    </r>
  </si>
  <si>
    <r>
      <t>A.4.4.2.8.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1SP : 8PP tebal 15 mm</t>
    </r>
  </si>
  <si>
    <r>
      <t>A.4.4.2.9.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1SP : 1/2KP : 3PP tebal 15 mm</t>
    </r>
  </si>
  <si>
    <r>
      <t>A.4.4.2.10.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1SP : 2KP : 8PP tebal 15 mm</t>
    </r>
  </si>
  <si>
    <r>
      <t>A.4.4.2.11.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1SM : 1KP : 1PP tebal 15 mm</t>
    </r>
  </si>
  <si>
    <r>
      <t>A.4.4.2.12.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1SM : 1KP : 2PP tebal 15 mm</t>
    </r>
  </si>
  <si>
    <r>
      <t>A.4.4.2.14.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1SP : 3PP tebal 20 mm</t>
    </r>
  </si>
  <si>
    <r>
      <t>A.4.4.2.15.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1SP : 4PP tebal 20 mm</t>
    </r>
  </si>
  <si>
    <r>
      <t>A.4.4.2.16.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1SP : 5PP tebal 20 mm</t>
    </r>
  </si>
  <si>
    <r>
      <t>A.4.4.2.17.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1SP : 6PP tebal 20 mm</t>
    </r>
  </si>
  <si>
    <r>
      <t>A.4.4.2.18.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1SM : 1KP : 2PP tebal 20 mm</t>
    </r>
  </si>
  <si>
    <r>
      <t>A.4.4.2.19.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berapen 1SP : 5PP tebal 15 mm</t>
    </r>
  </si>
  <si>
    <t>A.4.4.2.20. Pemasangan 1 m’ plesteran skoning 1SP : 3PP lebar 10 cm</t>
  </si>
  <si>
    <r>
      <t>A.4.4.2.21.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granit 1SP : 2 granit tebal 1cm</t>
    </r>
  </si>
  <si>
    <r>
      <t>A.4.4.2.22.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traso 1SP : 2 traso tebal 1cm</t>
    </r>
  </si>
  <si>
    <r>
      <t>A.4.4.2.23.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ciprat 1SP : 2PP</t>
    </r>
  </si>
  <si>
    <r>
      <t>A.4.4.2.24 Pemasangan 1 m</t>
    </r>
    <r>
      <rPr>
        <b/>
        <sz val="6.5"/>
        <color indexed="8"/>
        <rFont val="Arial"/>
        <family val="2"/>
      </rPr>
      <t xml:space="preserve">2 </t>
    </r>
    <r>
      <rPr>
        <b/>
        <i/>
        <sz val="10"/>
        <color indexed="8"/>
        <rFont val="Arial"/>
        <family val="2"/>
      </rPr>
      <t xml:space="preserve">finishing </t>
    </r>
    <r>
      <rPr>
        <b/>
        <sz val="10"/>
        <color indexed="8"/>
        <rFont val="Arial"/>
        <family val="2"/>
      </rPr>
      <t>siar pasangan bata merah</t>
    </r>
  </si>
  <si>
    <r>
      <t>A.4.4.2.25. Pemasangan 1 m</t>
    </r>
    <r>
      <rPr>
        <b/>
        <sz val="6.5"/>
        <color indexed="8"/>
        <rFont val="Arial"/>
        <family val="2"/>
      </rPr>
      <t xml:space="preserve">2 </t>
    </r>
    <r>
      <rPr>
        <b/>
        <i/>
        <sz val="10"/>
        <color indexed="8"/>
        <rFont val="Arial"/>
        <family val="2"/>
      </rPr>
      <t xml:space="preserve">finishing </t>
    </r>
    <r>
      <rPr>
        <b/>
        <sz val="10"/>
        <color indexed="8"/>
        <rFont val="Arial"/>
        <family val="2"/>
      </rPr>
      <t xml:space="preserve">siar pasangan </t>
    </r>
    <r>
      <rPr>
        <b/>
        <i/>
        <sz val="10"/>
        <color indexed="8"/>
        <rFont val="Arial"/>
        <family val="2"/>
      </rPr>
      <t xml:space="preserve">conblock </t>
    </r>
    <r>
      <rPr>
        <b/>
        <sz val="10"/>
        <color indexed="8"/>
        <rFont val="Arial"/>
        <family val="2"/>
      </rPr>
      <t>ekspose</t>
    </r>
  </si>
  <si>
    <r>
      <t>A.4.4.2.26. Pemasangan 1 m</t>
    </r>
    <r>
      <rPr>
        <b/>
        <sz val="6.5"/>
        <color indexed="8"/>
        <rFont val="Arial"/>
        <family val="2"/>
      </rPr>
      <t xml:space="preserve">2 </t>
    </r>
    <r>
      <rPr>
        <b/>
        <i/>
        <sz val="10"/>
        <color indexed="8"/>
        <rFont val="Arial"/>
        <family val="2"/>
      </rPr>
      <t xml:space="preserve">finishing </t>
    </r>
    <r>
      <rPr>
        <b/>
        <sz val="10"/>
        <color indexed="8"/>
        <rFont val="Arial"/>
        <family val="2"/>
      </rPr>
      <t>siar pasangan batu kali, campuran 1SP : 2PP.</t>
    </r>
  </si>
  <si>
    <r>
      <t>A.4.4.2.27.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acian</t>
    </r>
  </si>
  <si>
    <t>A.4.4.3 HARGA SATUAN PEKERJAAN PENUTUP LANTAI DAN PENUTUP DINDING</t>
  </si>
  <si>
    <r>
      <t>A.4.4.3.1.Pemasangan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ubin PC abu-abu ukuran 40cm x40cm</t>
    </r>
  </si>
  <si>
    <r>
      <t>A.4.4.3.2.Pemasangan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ubin PC abu-abu ukuran 30cm x30 cm</t>
    </r>
  </si>
  <si>
    <r>
      <t>A.4.4.3.3. 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ubin PC abu-abu ukuran 20cm x20 cm</t>
    </r>
  </si>
  <si>
    <r>
      <t>A.4.4.3.4.Pemasangan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ubin warna ukuran 40cm x40 cm</t>
    </r>
  </si>
  <si>
    <r>
      <t>A.4.4.3.5.Pemasangan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ubin warna ukuran 30cm x30cm</t>
    </r>
  </si>
  <si>
    <r>
      <t>A.4.4.3.6.Pemasangan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ubin warna ukuran 20cm x20cm</t>
    </r>
  </si>
  <si>
    <r>
      <t>A.4.4.3.7.Pemasangan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ubin teraso ukuran 40cm x40cm</t>
    </r>
  </si>
  <si>
    <r>
      <t>A.4.4.3.8. 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ubin teraso ukuran 30cm x30cm</t>
    </r>
  </si>
  <si>
    <r>
      <t>A.4.4.3.9.Pemasangan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ubin granit ukuran 40cm x40cm</t>
    </r>
  </si>
  <si>
    <r>
      <t>A.4.4.3.10.Pemasangan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ubin granit ukuran 30cm x30cm</t>
    </r>
  </si>
  <si>
    <r>
      <t>A.4.4.3.11.Pemasangan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ubin teralux marmer ukuran 40cm x40cm</t>
    </r>
  </si>
  <si>
    <r>
      <t>A.4.4.3.12.Pemasangan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ubin teralux ukuran 30cm x30cm</t>
    </r>
  </si>
  <si>
    <r>
      <t>A.4.4.3.13.Pemasangan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ubin teralux marmer ukuran 60cm x60cm</t>
    </r>
  </si>
  <si>
    <r>
      <t>A.4.4.3.14.Pemasangan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ubin teralux marmer ukuran 40cm x40cm</t>
    </r>
  </si>
  <si>
    <r>
      <t>A.4.4.3.15.Pemasangan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ubin teralux marmer ukuran 30cm x30cm</t>
    </r>
  </si>
  <si>
    <t>A.4.4.3.16.Pemasangan 1 m’ plint ubin Pc abu-abu ukuran 15cm x 20cm</t>
  </si>
  <si>
    <t>A.4.4.3.17.Pemasangan 1 m’ plint ubin Pc abu-abu ukuran 10cm x 30cm</t>
  </si>
  <si>
    <t>A.4.4.3.18.Pemasangan 1 m’ plint ubin Pc abu-abu ukuran 10cm x 40cm</t>
  </si>
  <si>
    <t>A.4.4.3.19.Pemasangan 1 m’ plint ubin warna ukuran 10cm x 20cm</t>
  </si>
  <si>
    <t>A.4.4.3.20.Pemasangan 1 m’ plint ubin warna ukuran 10cm x 30cm</t>
  </si>
  <si>
    <t>A.4.4.3.21.Pemasangan 1 m’ plint ubin warna ukuran 10cm x 40cm</t>
  </si>
  <si>
    <t>A.4.4.3.22.Pemasangan 1 m’ plint ubin teraso ukuran 10cm x 30cm</t>
  </si>
  <si>
    <t>A.4.4.3.23.Pemasangan 1 m’ plint ubin teraso ukuran 10cm x 40cm</t>
  </si>
  <si>
    <t>A.4.4.3.24.Pemasangan 1 m’ plint ubin granit ukuran 10cm x 40cm</t>
  </si>
  <si>
    <t>A.4.4.3.25.Pemasangan 1 m’ plint ubin granit ukuran 10cm x 30cm</t>
  </si>
  <si>
    <t>A.4.4.3.26.Pemasangan 1 m’ plint ubin teralux kerang ukuran 10cm x 40cm</t>
  </si>
  <si>
    <t>A.4.4.3.27.Pemasangan 1 m’ plint ubin teralux kerang ukuran 10cm x 30cm</t>
  </si>
  <si>
    <t>A.4.4.3.28.Pemasangan 1 m’ plint ubin teralux marmer ukuran 10cm x 60cm</t>
  </si>
  <si>
    <t>A.4.4.3.29.Pemasangan 1 m’ plint ubin teralux marmer ukuran 10cm x 40cm</t>
  </si>
  <si>
    <t>A.4.4.3.30.Pemasangan 1 m’ plint ubin teralux marmer ukuran 10cm x 30cm</t>
  </si>
  <si>
    <r>
      <t>A.4.4.3.31.Pemasangan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teraso cor di tempat, tebal 3cm</t>
    </r>
  </si>
  <si>
    <r>
      <t>A.4.4.3.32.Pemasangan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keramik artistik 10cm x 20cm</t>
    </r>
  </si>
  <si>
    <r>
      <t>A.4.4.3.33.Pemasangan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keramik artistik 10cm x 10cm atau 5cm x 20cm</t>
    </r>
  </si>
  <si>
    <r>
      <t>A.4.4.3.34.Pemasangan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keramik ukuran 33cm x 33cm</t>
    </r>
  </si>
  <si>
    <r>
      <t>A.4.4.3.35.Pemasangan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keramik ukuran 30cm x 30cm</t>
    </r>
  </si>
  <si>
    <r>
      <t>A.4.4.3.36.Pemasangan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keramik ukuran 20cm x 20cm</t>
    </r>
  </si>
  <si>
    <r>
      <t>A.4.4.3.37.Pemasangan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keramik ukuran 10cm x 33cm untuk variasi/border</t>
    </r>
  </si>
  <si>
    <r>
      <t>A.4.4.3.38.Pemasangan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keramik mozaik ukuran 30cm x 30cm</t>
    </r>
  </si>
  <si>
    <t>A.4.4.3.39.Pemasangan 1 m’ plint keramik ukuran 10cm x 20cm</t>
  </si>
  <si>
    <t>A.4.4.3.40.Pemasangan 1 m’ plint keramik ukuran 10cm x 10cm</t>
  </si>
  <si>
    <t>A.4.4.3.41.Pemasangan 1 m’ plint keramik ukuran 5cm x 20cm</t>
  </si>
  <si>
    <r>
      <t xml:space="preserve">A.4.4.3.42.Pemasangan 1 m’ </t>
    </r>
    <r>
      <rPr>
        <b/>
        <i/>
        <sz val="10"/>
        <color indexed="8"/>
        <rFont val="Arial"/>
        <family val="2"/>
      </rPr>
      <t xml:space="preserve">plint internal cove </t>
    </r>
    <r>
      <rPr>
        <b/>
        <sz val="10"/>
        <color indexed="8"/>
        <rFont val="Arial"/>
        <family val="2"/>
      </rPr>
      <t>artistik 5cm x 5cm x 20cm</t>
    </r>
  </si>
  <si>
    <r>
      <t>A.4.4.3.43.Pemasangan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marmer ukuran 100cm x 100cm</t>
    </r>
  </si>
  <si>
    <r>
      <t>A.4.4.3.44.Pemasangan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karpet</t>
    </r>
  </si>
  <si>
    <r>
      <t>A.4.4.3.45.Pemasangan 1 m</t>
    </r>
    <r>
      <rPr>
        <b/>
        <sz val="6.5"/>
        <color indexed="8"/>
        <rFont val="Arial"/>
        <family val="2"/>
      </rPr>
      <t xml:space="preserve">2 </t>
    </r>
    <r>
      <rPr>
        <b/>
        <i/>
        <sz val="10"/>
        <color indexed="8"/>
        <rFont val="Arial"/>
        <family val="2"/>
      </rPr>
      <t xml:space="preserve">underlayer </t>
    </r>
    <r>
      <rPr>
        <b/>
        <sz val="10"/>
        <color indexed="8"/>
        <rFont val="Arial"/>
        <family val="2"/>
      </rPr>
      <t>(pelapis bawah karpet)</t>
    </r>
  </si>
  <si>
    <r>
      <t>A.4.4.3.46.Pemasangan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parquet kayu</t>
    </r>
  </si>
  <si>
    <r>
      <t>A.4.4.3.47.Pemasangan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 xml:space="preserve">lantai kayu </t>
    </r>
    <r>
      <rPr>
        <b/>
        <i/>
        <sz val="10"/>
        <color indexed="8"/>
        <rFont val="Arial"/>
        <family val="2"/>
      </rPr>
      <t>gymfloor</t>
    </r>
  </si>
  <si>
    <r>
      <t>A.4.4.3.48.Pemasangan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porslen 11cm x 11cm</t>
    </r>
  </si>
  <si>
    <r>
      <t xml:space="preserve">A.4.4.3.49.Pemasangan </t>
    </r>
    <r>
      <rPr>
        <b/>
        <sz val="10"/>
        <color indexed="8"/>
        <rFont val="Arial"/>
        <family val="2"/>
      </rPr>
      <t>1 m</t>
    </r>
    <r>
      <rPr>
        <b/>
        <sz val="6.5"/>
        <color indexed="8"/>
        <rFont val="Arial"/>
        <family val="2"/>
      </rPr>
      <t xml:space="preserve">2 </t>
    </r>
    <r>
      <rPr>
        <b/>
        <sz val="9"/>
        <color indexed="8"/>
        <rFont val="Arial"/>
        <family val="2"/>
      </rPr>
      <t>dinding porslen 10cm x 20cm</t>
    </r>
  </si>
  <si>
    <r>
      <t>A.4.4.3.50.Pemasangan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porslen 20cm x 20cm</t>
    </r>
  </si>
  <si>
    <r>
      <t>A.4.4.3.51.Pemasangan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keramik artistik 10cm x 20cm</t>
    </r>
  </si>
  <si>
    <r>
      <t>A.4.4.3.52.Pemasangan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keramik artistik 5cm x 20cm</t>
    </r>
  </si>
  <si>
    <r>
      <t>A.4.4.3.53.Pemasangan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keramik  10cm x 20cm</t>
    </r>
  </si>
  <si>
    <r>
      <t>A.4.4.3.54.Pemasangan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keramik 20cm x 20cm</t>
    </r>
  </si>
  <si>
    <r>
      <t>A.4.4.3.55.Pemasangan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marmer 100cm x 100cm</t>
    </r>
  </si>
  <si>
    <r>
      <t>A.4.4.3.56.Pemasangan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bata pelapis 3cm x 7cm x 24cm</t>
    </r>
  </si>
  <si>
    <r>
      <t>A.4.4.3.57.Pemasangan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batu paras</t>
    </r>
  </si>
  <si>
    <r>
      <t>A.4.4.3.58.Pemasangan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batu tempel hitam</t>
    </r>
  </si>
  <si>
    <r>
      <t>A.4.4.3.59.Pemasangan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vynil ukuran 30cm x 30cm</t>
    </r>
  </si>
  <si>
    <r>
      <t>A.4.4.3.60.Pemasangan 1 m</t>
    </r>
    <r>
      <rPr>
        <b/>
        <sz val="6.5"/>
        <color indexed="8"/>
        <rFont val="Arial"/>
        <family val="2"/>
      </rPr>
      <t xml:space="preserve">2 </t>
    </r>
    <r>
      <rPr>
        <b/>
        <i/>
        <sz val="10"/>
        <color indexed="8"/>
        <rFont val="Arial"/>
        <family val="2"/>
      </rPr>
      <t xml:space="preserve">wallpaper </t>
    </r>
    <r>
      <rPr>
        <b/>
        <sz val="10"/>
        <color indexed="8"/>
        <rFont val="Arial"/>
        <family val="2"/>
      </rPr>
      <t>lebar 50 cm</t>
    </r>
  </si>
  <si>
    <r>
      <t>A.4.4.3.61.Pemasangan 1m</t>
    </r>
    <r>
      <rPr>
        <b/>
        <sz val="6.5"/>
        <color indexed="8"/>
        <rFont val="Arial"/>
        <family val="2"/>
      </rPr>
      <t xml:space="preserve">2 </t>
    </r>
    <r>
      <rPr>
        <b/>
        <i/>
        <sz val="10"/>
        <color indexed="8"/>
        <rFont val="Arial"/>
        <family val="2"/>
      </rPr>
      <t>floor harderner</t>
    </r>
  </si>
  <si>
    <t>A.4.4.3.62.Pemasangan 1 m’ plint vynil 15cm x 30cm</t>
  </si>
  <si>
    <t>A.4.4.3.63. Pemasangan 1 m’ plint kayu tebal 2 cm lebar 10 cm</t>
  </si>
  <si>
    <t>A.4.5.1  SATUAN PEKERJAAN LANGIT-LANGIT (PLAFOND)</t>
  </si>
  <si>
    <r>
      <t>A.4.5.1.1.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langit-langit asbes semen, tebal 4 mm, 5 mm, dan 6 mm</t>
    </r>
  </si>
  <si>
    <r>
      <t>A.4.5.1.2.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langit-langit akustik ukuran (30 x 30) cm</t>
    </r>
  </si>
  <si>
    <r>
      <t>A.4.5.1.3.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langit-langit akustik ukuran (30 x 60) cm</t>
    </r>
  </si>
  <si>
    <r>
      <t>A.4.5.1.4.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langit-langit akustik ukuran (60 x 120) cm</t>
    </r>
  </si>
  <si>
    <r>
      <t>A.4.5.1.5.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langit-langit tripleks ukuran (120 x 240) cm, tebal 3 mm, 4 mm &amp; 6 mm</t>
    </r>
  </si>
  <si>
    <r>
      <t>A.4.5.1.6.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langit-langit lambrisering kayu, tebal 9 mm</t>
    </r>
  </si>
  <si>
    <r>
      <t>A.4.5.1.7.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langit-langit gypsum board ukuran (120x240x9) mm, tebal 9 mm</t>
    </r>
  </si>
  <si>
    <r>
      <t>A.4.5.1.8.  Pemasangan  1  m</t>
    </r>
    <r>
      <rPr>
        <b/>
        <sz val="6.5"/>
        <color indexed="8"/>
        <rFont val="Arial"/>
        <family val="2"/>
      </rPr>
      <t xml:space="preserve">2   </t>
    </r>
    <r>
      <rPr>
        <b/>
        <sz val="10"/>
        <color indexed="8"/>
        <rFont val="Arial"/>
        <family val="2"/>
      </rPr>
      <t>langit-langit  akustik  ukuran  (60  x  120)  cm  berikut  rangka alluminium</t>
    </r>
  </si>
  <si>
    <t>A.4.5.1.9. Pemasangan 1 m’ list langit-langit kayu profil</t>
  </si>
  <si>
    <r>
      <t>A.4.5.1.10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Rangka langit-langit besi hollow 40.40</t>
    </r>
  </si>
  <si>
    <t xml:space="preserve">A.4.5.2. HARGA SATUAN PEKERJAAN PENUTUP ATAP </t>
  </si>
  <si>
    <t>A.4.5.2.1. Pemasangan 1 m2 atap genteng palentong kecil</t>
  </si>
  <si>
    <r>
      <t>A.4.5.2.2.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atap genteng kodok glazuur</t>
    </r>
  </si>
  <si>
    <r>
      <t>A.4.5.2.3.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atap genteng palentong besar/super</t>
    </r>
  </si>
  <si>
    <t>A.4.5.2.4. Pemasangan 1 m’ bubung genteng palentong</t>
  </si>
  <si>
    <t>A.4.5.2.5. Pemasangan 1 m’ bubung genteng kodok glazuur</t>
  </si>
  <si>
    <t>A.4.5.2.6. Pemasangan 1 m’ bubung genteng palentong besar</t>
  </si>
  <si>
    <r>
      <t>A.4.5.2.7. Pemasangan 1 m</t>
    </r>
    <r>
      <rPr>
        <b/>
        <sz val="6.5"/>
        <color indexed="8"/>
        <rFont val="Arial"/>
        <family val="2"/>
      </rPr>
      <t xml:space="preserve">2  </t>
    </r>
    <r>
      <rPr>
        <b/>
        <i/>
        <sz val="10"/>
        <color indexed="8"/>
        <rFont val="Arial"/>
        <family val="2"/>
      </rPr>
      <t xml:space="preserve">roof light fibreglass </t>
    </r>
    <r>
      <rPr>
        <b/>
        <sz val="10"/>
        <color indexed="8"/>
        <rFont val="Arial"/>
        <family val="2"/>
      </rPr>
      <t>90x180</t>
    </r>
  </si>
  <si>
    <r>
      <t>A.4.5.2.8.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atap asbes gelombang 0,92mx2,5m x 5mm</t>
    </r>
  </si>
  <si>
    <r>
      <t>A.4.5.2.9.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atap asbes gelombang 0,92mx2,25m x 5mm</t>
    </r>
  </si>
  <si>
    <r>
      <t>A.4.5.2.10.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atap asbes gelombang 0,92mx2,00m x 5mm</t>
    </r>
  </si>
  <si>
    <r>
      <t>A.4.5.2.11.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atap asbes gelombang 0,92mx1.80m x 5mm</t>
    </r>
  </si>
  <si>
    <r>
      <t>A.4.5.2.12.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atap asbes gelombang 1.05mx3.00m x 4mm</t>
    </r>
  </si>
  <si>
    <r>
      <t>A.4.5.2.13.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atap asbes gelombang 1.05mx2.70m x 4mm</t>
    </r>
  </si>
  <si>
    <r>
      <t>A.4.5.2.14.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atap asbes gelombang 1.05mx2.40m x 4mm</t>
    </r>
  </si>
  <si>
    <r>
      <t>A.4.5.2.15.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atap asbes gelombang 1.05mx2.10m x 4mm</t>
    </r>
  </si>
  <si>
    <r>
      <t>A.4.5.2.16.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atap asbes gelombang 1.05mx1.50m x 4mm</t>
    </r>
  </si>
  <si>
    <r>
      <t>A.4.5.2.17.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atap asbes gelombang 1.08mx3.00m x 6mm</t>
    </r>
  </si>
  <si>
    <r>
      <t>A.4.5.2.18.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atap asbes gelombang 1.08mx2.70m x 6mm</t>
    </r>
  </si>
  <si>
    <r>
      <t>A.4.5.2.19.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atap asbes gelombang 1.08mx2.40m x 6mm</t>
    </r>
  </si>
  <si>
    <r>
      <t>A.4.5.2.20.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atap asbes gelombang 1.08mx2.10m x 6mm</t>
    </r>
  </si>
  <si>
    <r>
      <t>A.4.5.2.21.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atap asbes gelombang 1.08mx1.80m x 6mm</t>
    </r>
  </si>
  <si>
    <t>A.4.5.2.22. Pemasangan 1 m’ bubung stel gelombang 0,92m</t>
  </si>
  <si>
    <t>A.4.5.2.23. Pemasangan 1 m’ bubung stel gelombang 1,05m</t>
  </si>
  <si>
    <t>A.4.5.2.24. Pemasangan 1 m’ bubung stel gelombang 1,08m</t>
  </si>
  <si>
    <t>A.4.5.2.25. Pemasangan 1 m’ nok paten 0,92m</t>
  </si>
  <si>
    <t>A.4.5.2.26. Pemasangan 1 m’ nok paten 1,05m</t>
  </si>
  <si>
    <t>A.4.5.2.27. Pemasangan 1 m’ nok paten 1,08m</t>
  </si>
  <si>
    <t>A.4.5.2.28. Pemasangan 1 m’ nok stel rata 0,92m</t>
  </si>
  <si>
    <t>A.4.5.2.29. Pemasangan 1 m’ nok stel rata 1,05m</t>
  </si>
  <si>
    <r>
      <t>A.4.5.2.30.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genteng beton</t>
    </r>
  </si>
  <si>
    <r>
      <t>A.4.5.2.31.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genteng aspal</t>
    </r>
  </si>
  <si>
    <r>
      <t>A.4.5.2.32.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genteng metal</t>
    </r>
  </si>
  <si>
    <r>
      <t>A.4.5.2.33.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atap sirap kayu</t>
    </r>
  </si>
  <si>
    <t>A.4.5.2.34. Pemasangan 1 m’ nok genteng beton</t>
  </si>
  <si>
    <t>A.4.5.2.35. Pemasangan 1 m’ nok genteng aspal</t>
  </si>
  <si>
    <t>A.4.5.2.36. Pemasangan 1 m’ nok genteng metal</t>
  </si>
  <si>
    <t>A.4.5.2.37. Pemasangan 1 m’ nok sirap</t>
  </si>
  <si>
    <r>
      <t>A.4.5.2.38.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atap seng gelombang</t>
    </r>
  </si>
  <si>
    <t>A.4.5.2.39. Pemasangan 1 m’nok atap seng</t>
  </si>
  <si>
    <r>
      <t>A.4.5.2.40.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atap alumunium</t>
    </r>
  </si>
  <si>
    <t>A.4.5.2.41. Pemasangan 1 m’ nok alumunium</t>
  </si>
  <si>
    <r>
      <t>A.4.5.2.42. Pemasangan 1 m</t>
    </r>
    <r>
      <rPr>
        <b/>
        <sz val="6.5"/>
        <color indexed="8"/>
        <rFont val="Arial"/>
        <family val="2"/>
      </rPr>
      <t xml:space="preserve">2    </t>
    </r>
    <r>
      <rPr>
        <b/>
        <i/>
        <sz val="10"/>
        <color indexed="8"/>
        <rFont val="Arial"/>
        <family val="2"/>
      </rPr>
      <t>alumunium foil/sisalation</t>
    </r>
  </si>
  <si>
    <t>A.4.6.1 HARGA SATUAN PEKERJAAN KAYU</t>
  </si>
  <si>
    <r>
      <t>A.4.6.1.1. Pembuatan dan pemasangan 1 m</t>
    </r>
    <r>
      <rPr>
        <b/>
        <sz val="6.5"/>
        <color indexed="8"/>
        <rFont val="Arial"/>
        <family val="2"/>
      </rPr>
      <t xml:space="preserve">3 </t>
    </r>
    <r>
      <rPr>
        <b/>
        <sz val="10"/>
        <color indexed="8"/>
        <rFont val="Arial"/>
        <family val="2"/>
      </rPr>
      <t>kusen pintu dan kusen jendela, kayu kelas I</t>
    </r>
  </si>
  <si>
    <r>
      <t>A.4.6.1.2.Pembuatan dan pemasangan 1 m</t>
    </r>
    <r>
      <rPr>
        <b/>
        <sz val="6.5"/>
        <color indexed="8"/>
        <rFont val="Arial"/>
        <family val="2"/>
      </rPr>
      <t xml:space="preserve">3 </t>
    </r>
    <r>
      <rPr>
        <b/>
        <sz val="10"/>
        <color indexed="8"/>
        <rFont val="Arial"/>
        <family val="2"/>
      </rPr>
      <t>kusen pintu dan kusen jendela, kayu kelas II atau III</t>
    </r>
  </si>
  <si>
    <r>
      <t>A.4.6.1.3. Pembuatan dan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pintu klamp standar, kayu kelas II</t>
    </r>
  </si>
  <si>
    <r>
      <t>A.4.6.1.4. Pembuatan dan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pintu klamp sederhana, kayu kelas III</t>
    </r>
  </si>
  <si>
    <r>
      <t>A.4.6.1.5. Pembuatan dan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daun pintu panel, kayu kelas I atau II</t>
    </r>
  </si>
  <si>
    <r>
      <t>A.4.6.1.6. Pembuatan dan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pintu dan jendela kaca, kayu kelas I atau II</t>
    </r>
  </si>
  <si>
    <r>
      <t>A.4.6.1.7. Pembuatan dan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pintu dan jendela jalusi kayu kelas I atau II</t>
    </r>
  </si>
  <si>
    <r>
      <t>A.4.6.1.8. Pembuatan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 xml:space="preserve">daun pintu </t>
    </r>
    <r>
      <rPr>
        <b/>
        <i/>
        <sz val="10"/>
        <color indexed="8"/>
        <rFont val="Arial"/>
        <family val="2"/>
      </rPr>
      <t xml:space="preserve">plywood </t>
    </r>
    <r>
      <rPr>
        <b/>
        <sz val="10"/>
        <color indexed="8"/>
        <rFont val="Arial"/>
        <family val="2"/>
      </rPr>
      <t>rangkap, rangka kayu kelas II tertutup(lebar sampai 90 cm)</t>
    </r>
  </si>
  <si>
    <r>
      <t>A.4.6.1.9. Pembuatan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 xml:space="preserve">pintu </t>
    </r>
    <r>
      <rPr>
        <b/>
        <i/>
        <sz val="10"/>
        <color indexed="8"/>
        <rFont val="Arial"/>
        <family val="2"/>
      </rPr>
      <t xml:space="preserve">plywood </t>
    </r>
    <r>
      <rPr>
        <b/>
        <sz val="10"/>
        <color indexed="8"/>
        <rFont val="Arial"/>
        <family val="2"/>
      </rPr>
      <t>rangkap, rangka expose kayu kelas I atau II</t>
    </r>
  </si>
  <si>
    <r>
      <t>A.4.6.1.10.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jalusi kusen, kayu kelas I atau II</t>
    </r>
  </si>
  <si>
    <r>
      <t>A.4.6.1.11.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teakwood rangkap, rangka expose kayu kelas I</t>
    </r>
  </si>
  <si>
    <r>
      <t>A.4.6.1.12.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teakwood rangkap lapis formika, rangka expose kayu kelas II</t>
    </r>
  </si>
  <si>
    <r>
      <t>A.4.6.1.13. Pemasangan 1 m</t>
    </r>
    <r>
      <rPr>
        <b/>
        <sz val="6.5"/>
        <color indexed="8"/>
        <rFont val="Arial"/>
        <family val="2"/>
      </rPr>
      <t xml:space="preserve">3 </t>
    </r>
    <r>
      <rPr>
        <b/>
        <sz val="10"/>
        <color indexed="8"/>
        <rFont val="Arial"/>
        <family val="2"/>
      </rPr>
      <t>konstruksi kuda-kuda konvensional, kayu kelas I, II dan III bentang 6 meter</t>
    </r>
  </si>
  <si>
    <r>
      <t xml:space="preserve">A.4.6.1.14. Pemasangan 1 </t>
    </r>
    <r>
      <rPr>
        <sz val="10"/>
        <color indexed="8"/>
        <rFont val="Arial"/>
        <family val="2"/>
      </rPr>
      <t>m</t>
    </r>
    <r>
      <rPr>
        <sz val="6.5"/>
        <color indexed="8"/>
        <rFont val="Arial"/>
        <family val="2"/>
      </rPr>
      <t xml:space="preserve">3 </t>
    </r>
    <r>
      <rPr>
        <b/>
        <sz val="10"/>
        <color indexed="8"/>
        <rFont val="Arial"/>
        <family val="2"/>
      </rPr>
      <t>konstruksi kuda-kuda expose, kayu kelas I</t>
    </r>
  </si>
  <si>
    <r>
      <t>A.4.6.1.15. Pemasangan 1 m</t>
    </r>
    <r>
      <rPr>
        <b/>
        <sz val="6.5"/>
        <color indexed="8"/>
        <rFont val="Arial"/>
        <family val="2"/>
      </rPr>
      <t xml:space="preserve">3 </t>
    </r>
    <r>
      <rPr>
        <b/>
        <sz val="10"/>
        <color indexed="8"/>
        <rFont val="Arial"/>
        <family val="2"/>
      </rPr>
      <t>konstruksi gordeng, kayu kelas II</t>
    </r>
  </si>
  <si>
    <r>
      <t>A.4.6.1.16.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rangka atap genteng keramik, kayu kelas II</t>
    </r>
  </si>
  <si>
    <r>
      <t>A.4.6.1.17.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rangka atap genteng beton, kayu kelas II</t>
    </r>
  </si>
  <si>
    <r>
      <t>A.4.6.1.18.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rangka atap sirap, kayu kelas II</t>
    </r>
  </si>
  <si>
    <r>
      <t>A.4.6.1.19.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rangka langit-langit  (50 x 100) cm, kayu kelas II atau III</t>
    </r>
  </si>
  <si>
    <r>
      <t>A.4.6.1.20.Pemasangan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rangka langit-langit  (60 x 60) cm, kayu kelas II atau III</t>
    </r>
  </si>
  <si>
    <t>A.4.6.1.21. Pemasangan 1 m’ lisplank ukuran (3 x 20) cm, kayu kelas I atau kelas II</t>
  </si>
  <si>
    <t>A.4.6.1.22. Pemasangan 1 m’  lisplank ukuran (3 x 30) cm, kayu kelas I atau kelas II</t>
  </si>
  <si>
    <r>
      <t>A.4.6.1.23.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rangka dinding pemisah (60 x 120) cm kayu kelas II atau III</t>
    </r>
  </si>
  <si>
    <r>
      <t>A.4.6.1.24.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pemisah teakwood rangkap, rangka kayu kelas II</t>
    </r>
  </si>
  <si>
    <r>
      <t>A.4.6.1.25.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 xml:space="preserve">dinding pemisah </t>
    </r>
    <r>
      <rPr>
        <b/>
        <i/>
        <sz val="10"/>
        <color indexed="8"/>
        <rFont val="Arial"/>
        <family val="2"/>
      </rPr>
      <t xml:space="preserve">plywood </t>
    </r>
    <r>
      <rPr>
        <b/>
        <sz val="10"/>
        <color indexed="8"/>
        <rFont val="Arial"/>
        <family val="2"/>
      </rPr>
      <t>rangkap, rangka kayu kelas II</t>
    </r>
  </si>
  <si>
    <r>
      <t>A.4.6.1.26.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lambrisering dari papan kayu kelas I</t>
    </r>
  </si>
  <si>
    <r>
      <t>A.4.6.1.27.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 xml:space="preserve">dinding lambrisering dari </t>
    </r>
    <r>
      <rPr>
        <b/>
        <i/>
        <sz val="10"/>
        <color indexed="8"/>
        <rFont val="Arial"/>
        <family val="2"/>
      </rPr>
      <t xml:space="preserve">plywood </t>
    </r>
    <r>
      <rPr>
        <b/>
        <sz val="10"/>
        <color indexed="8"/>
        <rFont val="Arial"/>
        <family val="2"/>
      </rPr>
      <t>ukuran (120 x 240) cm</t>
    </r>
  </si>
  <si>
    <r>
      <t>A.4.6.1.28.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bilik, rangka kayu kelas III atau IV</t>
    </r>
  </si>
  <si>
    <t>A.4.6.2 HARGA SATUAN PEKERJAAN KUNCI DAN KACA</t>
  </si>
  <si>
    <t>A.4.6.2.1. Pemasangan 1 buah kunci tanam antik</t>
  </si>
  <si>
    <t>A.4.6.2.2. Pemasangan 1 buah kunci tanam biasa</t>
  </si>
  <si>
    <t>A.4.6.2.3. Pemasangan 1 buah kunci kamar mandi</t>
  </si>
  <si>
    <t>A.4.6.2.4. Pemasangan 1 buah kunci silinder</t>
  </si>
  <si>
    <t>A.4.6.2.5. Pemasangan 1 buah engsel pintu</t>
  </si>
  <si>
    <t>A.4.6.2.6. Pemasangan 1 buah engsel jendela kupu-kupu</t>
  </si>
  <si>
    <t>A.4.6.2.7. Pemasangan 1 buah engsel angin</t>
  </si>
  <si>
    <r>
      <t xml:space="preserve">A.4.6.2.8. Pemasangan 1 buah </t>
    </r>
    <r>
      <rPr>
        <b/>
        <i/>
        <sz val="10"/>
        <color indexed="8"/>
        <rFont val="Arial"/>
        <family val="2"/>
      </rPr>
      <t>spring knip</t>
    </r>
  </si>
  <si>
    <t>A.4.6.2.9. Pemasangan 1 buah kait angin</t>
  </si>
  <si>
    <r>
      <t xml:space="preserve">A.4.6.2.10. Pemasangan 1 buah </t>
    </r>
    <r>
      <rPr>
        <b/>
        <i/>
        <sz val="10"/>
        <color indexed="8"/>
        <rFont val="Arial"/>
        <family val="2"/>
      </rPr>
      <t>door closer</t>
    </r>
  </si>
  <si>
    <t>A.4.6.2.11. Pemasangan 1 buah kunci slot</t>
  </si>
  <si>
    <r>
      <t xml:space="preserve">A.4.6.2.12. Pemasangan 1 buah </t>
    </r>
    <r>
      <rPr>
        <b/>
        <i/>
        <sz val="10"/>
        <color indexed="8"/>
        <rFont val="Arial"/>
        <family val="2"/>
      </rPr>
      <t>Door holder</t>
    </r>
  </si>
  <si>
    <r>
      <t xml:space="preserve">A.4.6.2.13. Pemasangan 1 buah </t>
    </r>
    <r>
      <rPr>
        <b/>
        <i/>
        <sz val="10"/>
        <color indexed="8"/>
        <rFont val="Arial"/>
        <family val="2"/>
      </rPr>
      <t>door stop</t>
    </r>
  </si>
  <si>
    <t>A.4.6.2.14. Pemasangan 1 buah Rrel pintu sorong</t>
  </si>
  <si>
    <t>A.4.6.2.15. Pemasangan 1 buah kunci lemari</t>
  </si>
  <si>
    <r>
      <t>A.4.6.2.16.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kaca tebal 3 mm</t>
    </r>
  </si>
  <si>
    <r>
      <t>A.4.6.2.17.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kaca tebal 5 mm</t>
    </r>
  </si>
  <si>
    <r>
      <t>A.4.6.2.18.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kaca tebal 8 mm</t>
    </r>
  </si>
  <si>
    <r>
      <t>A.4.6.2.19.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kaca buram tebal 12 mm</t>
    </r>
  </si>
  <si>
    <r>
      <t>A.4.6.2.20.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kaca cermin tebal 5 mm</t>
    </r>
  </si>
  <si>
    <r>
      <t>A.4.6.2.21.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kaca cermin tebal 8 mm</t>
    </r>
  </si>
  <si>
    <r>
      <t>A.4.6.2.22.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 xml:space="preserve">kaca </t>
    </r>
    <r>
      <rPr>
        <b/>
        <i/>
        <sz val="10"/>
        <color indexed="8"/>
        <rFont val="Arial"/>
        <family val="2"/>
      </rPr>
      <t xml:space="preserve">wireglassed </t>
    </r>
    <r>
      <rPr>
        <b/>
        <sz val="10"/>
        <color indexed="8"/>
        <rFont val="Arial"/>
        <family val="2"/>
      </rPr>
      <t>tebal 5 mm</t>
    </r>
  </si>
  <si>
    <r>
      <t>A.4.6.2.23.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kaca patri tebal 5 mm</t>
    </r>
  </si>
  <si>
    <t>A.4.7.1 HARGA SATUAN PEKERJAAN PENGECATAN</t>
  </si>
  <si>
    <r>
      <t>A.4.7.1.1.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Pengikisan/pengerokan permukaan cat lama</t>
    </r>
  </si>
  <si>
    <r>
      <t>A.4.7.1.2.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Pencucian bidang permukaan tembok yang pernah dicat</t>
    </r>
  </si>
  <si>
    <r>
      <t>A.4.7.1.3.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Pengerokan karat pada permukaan baja cara manual</t>
    </r>
  </si>
  <si>
    <r>
      <t>A.4.7.1.4.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Pengecatan bidang kayu baru (1 lapis plamuur, 1 lapis cat dasar, 2 lapis cat penutup)</t>
    </r>
  </si>
  <si>
    <r>
      <t>A.4.7.1.5. Pengecatan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bidang kayu baru (1 lapis plamuur, 1 lapis cat dasar, 3 lapis cat penutup)</t>
    </r>
  </si>
  <si>
    <r>
      <t>A.4.7.1.6. Pelaburan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bidang kayu dengan teak oil</t>
    </r>
  </si>
  <si>
    <r>
      <t>A.4.7.1.7. Pelaburan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bidang kayu dengan politur</t>
    </r>
  </si>
  <si>
    <r>
      <t>A.4.7.1.8. Pelaburan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bidang kayu dengan cat residu dan ter</t>
    </r>
  </si>
  <si>
    <r>
      <t>A.4.7.1.9. Pelaburan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bidang kayu dengan vernis</t>
    </r>
  </si>
  <si>
    <r>
      <t>A.4.7.1.10. Pengecatan 1  m</t>
    </r>
    <r>
      <rPr>
        <b/>
        <sz val="6.5"/>
        <color indexed="8"/>
        <rFont val="Arial"/>
        <family val="2"/>
      </rPr>
      <t xml:space="preserve">2   </t>
    </r>
    <r>
      <rPr>
        <b/>
        <sz val="10"/>
        <color indexed="8"/>
        <rFont val="Arial"/>
        <family val="2"/>
      </rPr>
      <t>tembok baru (  1lapis plamuur, 1  lapis cat  dasar, 2  lapis cat penutup)</t>
    </r>
  </si>
  <si>
    <r>
      <t>A.4.7.1.11.  Pengecatan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tembok lama ( 1 lapis cat dasar, 2 lapis cat penutup)</t>
    </r>
  </si>
  <si>
    <r>
      <t>A.4.7.1.12. Pelaburan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tembok dengan kalkarium</t>
    </r>
  </si>
  <si>
    <r>
      <t>A.4.7.1.13. Pelaburan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tembok dengan kapur sirih</t>
    </r>
  </si>
  <si>
    <r>
      <t>A.4.7.1.14. Pelaburan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tembok lama dengan kapur sirih (pemeliharaan)</t>
    </r>
  </si>
  <si>
    <r>
      <t>A.4.7.1.15. Pemasangan 1 m</t>
    </r>
    <r>
      <rPr>
        <b/>
        <sz val="6.5"/>
        <color indexed="8"/>
        <rFont val="Arial"/>
        <family val="2"/>
      </rPr>
      <t xml:space="preserve">2 </t>
    </r>
    <r>
      <rPr>
        <b/>
        <i/>
        <sz val="10"/>
        <color indexed="8"/>
        <rFont val="Arial"/>
        <family val="2"/>
      </rPr>
      <t>wallpaper</t>
    </r>
  </si>
  <si>
    <r>
      <t>A.4.7.1.16.  Pengecatan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permukaan baja dengan menie besi</t>
    </r>
  </si>
  <si>
    <r>
      <t>A.4.7.1.17.  Pengecatan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permukaan baja dengan menie besi dengan perancah</t>
    </r>
  </si>
  <si>
    <r>
      <t>A.4.7.1.18.  Pengecatan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permukaan baja galvanis secara manual 4 lapis</t>
    </r>
  </si>
  <si>
    <r>
      <t>A.4.7.1.19.     Pengecatan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permukaan baja galvanis secara manual sistem 1 lapis cat mutakhir</t>
    </r>
  </si>
  <si>
    <r>
      <t>A.4.7.1.20.  Pengecatan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permukaan baja galvanis secara manual sistem 3 lapis</t>
    </r>
  </si>
  <si>
    <r>
      <t>A.4.7.1.21.     Pengecatan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permukaan baja galvanis secara semprot sistem 3 lapis cat mutakhir</t>
    </r>
  </si>
  <si>
    <t>A.5.1.1 HARGA SATUAN PEKERJAAN SANITASI DALAM GEDUNG</t>
  </si>
  <si>
    <r>
      <t>A.5.1.1.1. Pemasangan 1 buah closet duduk/</t>
    </r>
    <r>
      <rPr>
        <b/>
        <i/>
        <sz val="10"/>
        <color indexed="8"/>
        <rFont val="Arial"/>
        <family val="2"/>
      </rPr>
      <t>monoblock</t>
    </r>
  </si>
  <si>
    <t>A.5.1.1 2. Pemasangan 1 buah closet jongkok porslen</t>
  </si>
  <si>
    <t>A.5.1.1 3. Pemasangan 1 buah closet jongkok teraso</t>
  </si>
  <si>
    <t>A.5.1.1 4. Pemasangan 1 buah urinoir</t>
  </si>
  <si>
    <t>A.5.1.1 5. Pemasangan 1 buah wastafel</t>
  </si>
  <si>
    <r>
      <t xml:space="preserve">A.5.1.1 6. Pemasangan 1 buah </t>
    </r>
    <r>
      <rPr>
        <b/>
        <i/>
        <sz val="10"/>
        <color indexed="8"/>
        <rFont val="Arial"/>
        <family val="2"/>
      </rPr>
      <t xml:space="preserve">bathcuip </t>
    </r>
    <r>
      <rPr>
        <b/>
        <sz val="10"/>
        <color indexed="8"/>
        <rFont val="Arial"/>
        <family val="2"/>
      </rPr>
      <t>porselen</t>
    </r>
  </si>
  <si>
    <r>
      <t xml:space="preserve">A.5.1.1 7. Pemasangan 1 buah bak </t>
    </r>
    <r>
      <rPr>
        <b/>
        <i/>
        <sz val="10"/>
        <color indexed="8"/>
        <rFont val="Arial"/>
        <family val="2"/>
      </rPr>
      <t xml:space="preserve">fibreglass </t>
    </r>
    <r>
      <rPr>
        <b/>
        <sz val="10"/>
        <color indexed="8"/>
        <rFont val="Arial"/>
        <family val="2"/>
      </rPr>
      <t>vol 1 m</t>
    </r>
    <r>
      <rPr>
        <b/>
        <sz val="6.5"/>
        <color indexed="8"/>
        <rFont val="Arial"/>
        <family val="2"/>
      </rPr>
      <t>3</t>
    </r>
  </si>
  <si>
    <r>
      <t>A.5.1.1 8. Pemasangan 1 buah bak mandi batu bata vol 0,30 m</t>
    </r>
    <r>
      <rPr>
        <b/>
        <sz val="6.5"/>
        <color indexed="8"/>
        <rFont val="Arial"/>
        <family val="2"/>
      </rPr>
      <t>3</t>
    </r>
  </si>
  <si>
    <r>
      <t>A.5.1.1 9. Pemasangan 1 buah bak mandi teraso vol 0,30 m</t>
    </r>
    <r>
      <rPr>
        <b/>
        <sz val="6.5"/>
        <color indexed="8"/>
        <rFont val="Arial"/>
        <family val="2"/>
      </rPr>
      <t>3</t>
    </r>
  </si>
  <si>
    <r>
      <t xml:space="preserve">A.5.1.1 10. Pemasangan 1 buah bak air </t>
    </r>
    <r>
      <rPr>
        <b/>
        <i/>
        <sz val="10"/>
        <color indexed="8"/>
        <rFont val="Arial"/>
        <family val="2"/>
      </rPr>
      <t xml:space="preserve">fibreglass </t>
    </r>
    <r>
      <rPr>
        <b/>
        <sz val="10"/>
        <color indexed="8"/>
        <rFont val="Arial"/>
        <family val="2"/>
      </rPr>
      <t>vol 1 m</t>
    </r>
    <r>
      <rPr>
        <b/>
        <sz val="6.5"/>
        <color indexed="8"/>
        <rFont val="Arial"/>
        <family val="2"/>
      </rPr>
      <t>3</t>
    </r>
  </si>
  <si>
    <r>
      <t>A.5.1.1 11. Pemasangan 1 buah bak beton volume 1 m</t>
    </r>
    <r>
      <rPr>
        <b/>
        <sz val="6.5"/>
        <color indexed="8"/>
        <rFont val="Arial"/>
        <family val="2"/>
      </rPr>
      <t>3</t>
    </r>
  </si>
  <si>
    <r>
      <t xml:space="preserve">A.5.1.1 12. Pemasangan 1 buah bak cuci piring </t>
    </r>
    <r>
      <rPr>
        <b/>
        <i/>
        <sz val="10"/>
        <color indexed="8"/>
        <rFont val="Arial"/>
        <family val="2"/>
      </rPr>
      <t>stainlessteel</t>
    </r>
  </si>
  <si>
    <t>A.5.1.1 13. Pemasangan 1 buah bak cuci piring teraso</t>
  </si>
  <si>
    <r>
      <t xml:space="preserve">A.5.1.1 14. Pemasangan 1 buah </t>
    </r>
    <r>
      <rPr>
        <b/>
        <i/>
        <sz val="10"/>
        <color indexed="8"/>
        <rFont val="Arial"/>
        <family val="2"/>
      </rPr>
      <t>floor drain</t>
    </r>
  </si>
  <si>
    <t>A.5.1.1 15. Pemasangan 1 buah bak kontrol pasangan bata 30x30 tinggi 35 cm</t>
  </si>
  <si>
    <t>A.5.1.1 16. Pemasangan 1 buah bak kontrol pasangan bata 45cm x45cm tinggi 50 cm</t>
  </si>
  <si>
    <t>A.5.1.1 17. Pemasangan 1 buah bak kontrol pasangan bata 60cm x60cm tinggi 65 cm</t>
  </si>
  <si>
    <t>A.5.1.1 18. Pemasangan 1 m’ pipa galvanis diameter ½”</t>
  </si>
  <si>
    <t>A.5.1.1 19. Pemasangan 1 buah kran diameter ½” atau 3/4”</t>
  </si>
  <si>
    <t>A.5.1.1 20. Pemasangan 1 m’ pipa galvanis diameter 3/4”</t>
  </si>
  <si>
    <t>A.5.1.1 21. Pemasangan 1 m’ pipa galvanis diameter 1”</t>
  </si>
  <si>
    <t>A.5.1.1 22. Pemasangan 1 m’ pipa galvanis diameter 1 ½”</t>
  </si>
  <si>
    <t>A.5.1.1 23. Pemasangan 1 m’ pipa galvanis diameter 3”</t>
  </si>
  <si>
    <t>A.5.1.1 24. Pemasangan 1 m’ pipa galvanis diameter 4”</t>
  </si>
  <si>
    <t>A.5.1.1 25. Pemasangan 1 m’ pipa PVC tipe AW diameter 1/2”</t>
  </si>
  <si>
    <t>A.5.1.1 26. Pemasangan 1 m’ pipa PVC tipe AW diameter 3/4”</t>
  </si>
  <si>
    <t>A.5.1.1 27. Pemasangan 1 m’ pipa PVC tipe AW diameter 1”</t>
  </si>
  <si>
    <t>A.5.1.1 28. Pemasangan 1 m’ pipa PVC tipe AW diameter 11/2”</t>
  </si>
  <si>
    <t>A.5.1.1 29. Pemasangan 1 m’ pipa PVC tipe AW diameter 2”</t>
  </si>
  <si>
    <t>A.5.1.1 30. Pemasangan 1 m’ pipa PVC tipe AW diameter 21/2”</t>
  </si>
  <si>
    <t>A.5.1.1 31. Pemasangan 1 m’ pipa PVC tipe AW diameter 3”</t>
  </si>
  <si>
    <t>A.5.1.1 32. Pemasangan 1 m’ pipa PVC tipe AW diameter 4”</t>
  </si>
  <si>
    <t>A.5.1.1 33. Pemasangan 1 m’ pipa air limbah jenis pipa tanah  Ǿ 20 cm</t>
  </si>
  <si>
    <t>A.5.1.1 34. Pemasangan 1 m’ pipa air limbah jenis pipa tanah diameter 15 cm</t>
  </si>
  <si>
    <t>A.5.1.1 35. Pemasangan 1 m’ pipa beton diameter 15 – 20 cm</t>
  </si>
  <si>
    <t>A.5.1.1.36. Pemasangan 1 m’ pipa beton diameter 30 – 100 cm</t>
  </si>
  <si>
    <t>A.8.4.1 HARGA SATUAN PEKERJAAN PEMASANGAN PIPA</t>
  </si>
  <si>
    <t>A.8.4.1.1 Pemasangan 1 m pipa PVC Ø 63 mm</t>
  </si>
  <si>
    <t>Catatan:</t>
  </si>
  <si>
    <t>Koefisien peralatan yang digunakan pada A.8.4.1 ini adalah seperti yang tercantum pada tabel. Apabila ada tambahan peralatan yang digunakan, harus disesuaikan dengan spesifikasi dan gambar kerja.</t>
  </si>
  <si>
    <t>A.8.4.1.2 Pemasangan 1 m pipa PVC Ø 90 mm</t>
  </si>
  <si>
    <t>A.8.4.1.3 Pemasangan 1 m pipa PVC Ø 110 mm</t>
  </si>
  <si>
    <t>A.8.4.1.4 Pemasangan 1 m pipa PVC Ø 150 mm</t>
  </si>
  <si>
    <t>A.8.4.1.5 Pemasngan 1 m pipa PVC Ø 200 mm</t>
  </si>
  <si>
    <t>A.8.4.1.6 Pemasangan 1 m pipa PVC Ø 250 mm</t>
  </si>
  <si>
    <t>A.8.4.1.7 Pemasangan 1 m pipa PVC Ø 300 mm</t>
  </si>
  <si>
    <t>A.8.4.1.8 Pemasangan 1 m pipa PVC Ø 400 mm</t>
  </si>
  <si>
    <t>A.8.4.1.9 Pemasangan 1 m pipa PVC Ø 450 mm</t>
  </si>
  <si>
    <t>A.8.4.1.10 Pemasangan 1 m pipa PVC Ø 500 mm</t>
  </si>
  <si>
    <t>A.8.4.1.11 Pemasangan 1 m pipa PVC Ø 600 mm</t>
  </si>
  <si>
    <t>A.8.4.1.12 Pemasangan 1 m pipa PVC Ø 800 mm</t>
  </si>
  <si>
    <t>A.8.4.1.13 Pemasangan 1 m pipa PVC Ø 900 mm</t>
  </si>
  <si>
    <t>A.8.4.1.14 Pemasangan 1 m pipa PVC Ø 1000 mm</t>
  </si>
  <si>
    <t>A.8.4.1.15 Pemasangan 1 m pipa PVC Ø 1100 mm</t>
  </si>
  <si>
    <t>A.8.4.1.16 Pemasangan 1 m pipa PVC Ø 1200 mm</t>
  </si>
  <si>
    <t>A.8.4.1.17 Pemasangan 1 m pipa HDPE Ø 63 mm</t>
  </si>
  <si>
    <t>A.8.4.1.18 Pemasangan 1 m pipa HDPE Ø 100 mm</t>
  </si>
  <si>
    <t>A.8.4.1.19 Pemasangan 1 m pipa HDPE Ø 125 mm</t>
  </si>
  <si>
    <t>A.8.4.1.20 Pemasangan 1 m pipa HDPE Ø 150 mm</t>
  </si>
  <si>
    <t>A.8.4.1.21 Pemasangan 1 m pipa HDPE Ø 200 mm</t>
  </si>
  <si>
    <t>A.8.4.1.22 Pemasangan 1 m pipa HDPE Ø 250 mm</t>
  </si>
  <si>
    <t>A.8.4.1.23 Pemasangan 1 m pipa HDPE Ø 300 mm</t>
  </si>
  <si>
    <t>A.8.4.1.24 Pemasangan 1 m pipa HDPE Ø 400 mm</t>
  </si>
  <si>
    <t>A.8.4.1.25 Pemasangan 1 m pipa HDPE Ø 450 mm</t>
  </si>
  <si>
    <t>A.8.4.1.26 Pemasangan 1 m pipa HDPE Ø 500 mm</t>
  </si>
  <si>
    <t>A.8.4.1.27 Pemasangan 1 m pipa HDPE Ø 600 mm</t>
  </si>
  <si>
    <t>A.8.4.1.28 Pemasangan 1 m pipa HDPE Ø 800 mm</t>
  </si>
  <si>
    <t>A.8.4.1.29 Pemasangan 1 m pipa HDPE Ø 900 mm</t>
  </si>
  <si>
    <t>A.8.4.1.30 Pemasangan 1 m pipa HDPE Ø 1000 mm</t>
  </si>
  <si>
    <t>A.8.4.1.31 Pemasangan 1 m pipa HDPE Ø 1100 mm</t>
  </si>
  <si>
    <t>A.8.4.1.32 Pemasangan 1 m pipa HDPE Ø 1200 mm</t>
  </si>
  <si>
    <t>A.8.4.1.33 Pemasangan 1 m pipa GIP Ø 63 mm</t>
  </si>
  <si>
    <t>A.8.4.1.34 Pemasangan 1 m pipa GIP Ø 100 mm</t>
  </si>
  <si>
    <t>A.8.4.1.35 Pemasangan 1 m pipa GIP Ø 125 mm</t>
  </si>
  <si>
    <t>A.8.4.1.36 Pemasangan 1 m pipa GIP Ø 150 mm</t>
  </si>
  <si>
    <t>A.8.4.1.37 Pemasangan 1 m pipa GIP Ø 200 mm</t>
  </si>
  <si>
    <t>A.8.4.1.38 Pemasangan 1 m pipa GIP Ø 250 mm</t>
  </si>
  <si>
    <t>A.8.4.1.39 Pemasangan 1 m pipa GIP Ø 300 mm</t>
  </si>
  <si>
    <t>A.8.4.1.40 Pemasangan 1 m pipa GIP Ø 400 mm</t>
  </si>
  <si>
    <t>A.8.4.1.41 Pemasangan 1 m pipa GIP Ø 450 mm</t>
  </si>
  <si>
    <t>A.8.4.1.42 Pemasangan 1 m pipa GIP Ø 500 mm</t>
  </si>
  <si>
    <t>A.8.4.1.43 Pemasangan 1 m pipa GIP Ø 600 mm</t>
  </si>
  <si>
    <t>A.8.4.1.44 Pemasangan 1 m pipa GIP Ø 800 mm</t>
  </si>
  <si>
    <t>A.8.4.1.45 Pemasangan 1 m pipa GIP Ø 900 mm</t>
  </si>
  <si>
    <t>A.8.4.1.46 Pemasangan 1 m pipa GIP Ø 1000 mm</t>
  </si>
  <si>
    <t>A.8.4.1.47 Pemasangan 1 m pipa GIP Ø 1100 mm</t>
  </si>
  <si>
    <t>A.8.4.1.48 Pemasangan 1 m pipa GIP Ø 1200 mm</t>
  </si>
  <si>
    <t>A.8.4.1.49 Pemasangan 1 m pipa DCI Ø 100 mm</t>
  </si>
  <si>
    <t>A.8.4.1.50 Pemasangan 1 m pipa DCI Ø 125 mm</t>
  </si>
  <si>
    <t>A.8.4.1.51 Pemasangan 1 m pipa DCI Ø 150 mm</t>
  </si>
  <si>
    <t>A.8.4.1.52 Pemasangan 1 m pipa DCI Ø 200 mm</t>
  </si>
  <si>
    <t>A.8.4.1.53 Pemasangan 1 m pipa DCI Ø 250 mm</t>
  </si>
  <si>
    <t>A.8.4.1.54 Pemasangan 1 m pipa DCI Ø 300 mm</t>
  </si>
  <si>
    <t>A.8.4.1.55 Pemasangan 1 m pipa DCI Ø 400 mm</t>
  </si>
  <si>
    <t>A.8.4.1.56 Pemasangan 1 m pipa DCI Ø 450 mm</t>
  </si>
  <si>
    <t>A.8.4.1.57 Pemasangan 1 m pipa DCI Ø 500 mm</t>
  </si>
  <si>
    <t>A.8.4.1.58 Pemasangan pipa 1 m DCI Ø 600 mm</t>
  </si>
  <si>
    <t>A.8.4.1.59 Pemasangan 1 m pipa DCI Ø800 mm</t>
  </si>
  <si>
    <t>A.8.4.1.60 Pemasangan 1 m pipa DCI Ø900 mm</t>
  </si>
  <si>
    <t>A.8.4.1.61 Pemasangan 1 m pipa DCI Ø1000 mm</t>
  </si>
  <si>
    <t>A.8.4.1.62 Pemasangan 1 m pipa DCI Ø1100 mm</t>
  </si>
  <si>
    <t>A.8.4.1.63 Pemasangan 1 m pipa DCI Ø1200 mm</t>
  </si>
  <si>
    <t>A.8.4.1.64 Pemasangan 1 m pipa baja Ø 63 mm</t>
  </si>
  <si>
    <t>A.8.4.1.65 Pemasangan 1 m pipa baja Ø 100 mm</t>
  </si>
  <si>
    <t>A.8.4.1.66 Pemasangan 1 m pipa baja Ø 125 mm</t>
  </si>
  <si>
    <t>A.8.4.1.67 Pemasangan 1 m pipa baja Ø 150 mm</t>
  </si>
  <si>
    <t>A.8.4.1.68 Pemasangan 1 m pipa baja Ø 200 mm</t>
  </si>
  <si>
    <t>A.8.4.1.69 Pemasangan pipa baja Ø 250 mm</t>
  </si>
  <si>
    <t>A.8.4.1.70 Pemasangan 1 m pipa baja Ø 300 mm</t>
  </si>
  <si>
    <t>A.8.4.1.71 Pemasangan 1 m pipa baja Ø 400 mm</t>
  </si>
  <si>
    <t>A.8.4.1.72 Pemasangan 1 m pipa baja Ø 450 mm</t>
  </si>
  <si>
    <t>A.8.4.1.73 Pemasangan 1 m pipa baja Ø 500 mm</t>
  </si>
  <si>
    <t>A.8.4.1.74 Pemasangan 1 m pipa baja Ø 600 mm</t>
  </si>
  <si>
    <t>A.8.4.1.75 Pemasangan 1 m pipa baja Ø 800 mm</t>
  </si>
  <si>
    <t>A.8.4.1.76 Pemasangan 1 m pipa baja Ø 900 mm</t>
  </si>
  <si>
    <t>A.8.4.1.77 Pemasangan 1 m pipa baja Ø 1000 mm</t>
  </si>
  <si>
    <t>A.8.4.1.78 Pemasangan 1 m pipa baja Ø 1100 mm</t>
  </si>
  <si>
    <t>A.8.4.1.79 Pemasangan 1 m pipa baja Ø 1200 mm</t>
  </si>
  <si>
    <t>A.8.4.2 HARGA SATUAN PEKERJAAN PEMOTONGAN PIPA</t>
  </si>
  <si>
    <t>A.8.4.2.1 Pemotongan 1 buah pipa PVC Ø 63 mm</t>
  </si>
  <si>
    <t>A.8.4.2.2 Pemotongan 1 m pipa PVC Ø 90 mm</t>
  </si>
  <si>
    <t>A.8.4.2.3 Pemotongan 1 buah pipa PVC Ø 110 mm</t>
  </si>
  <si>
    <t>A.8.4.2.4 Pemotongan 1 buah pipa PVC Ø 150 mm</t>
  </si>
  <si>
    <t>A.8.4.2.5 Pemotongan 1 buah pipa PVC Ø 200 mm</t>
  </si>
  <si>
    <t>A.8.4.2.6 Pemotongan 1 buah pipa PVC Ø 250 mm</t>
  </si>
  <si>
    <t>A.8.4.2.7 Pemotongan 1 buah pipa PVC Ø 300 mm</t>
  </si>
  <si>
    <t>A.8.4.2.8 Pemotongan 1 buah pipa PVC Ø 400 mm</t>
  </si>
  <si>
    <t>A.8.4.2.9 Pemotongan 1 buah pipa PVC Ø 450 mm</t>
  </si>
  <si>
    <t>A.8.4.2.10 Pemotongan 1 buah pipa PVC Ø 500 mm</t>
  </si>
  <si>
    <t>A.8.4.2.11 Pemotongan 1 buah pipa PVC Ø 600 mm</t>
  </si>
  <si>
    <t>A.8.4.2.12 Pemotongan 1 buah pipa PVC Ø 800 mm</t>
  </si>
  <si>
    <t>A.8.4.2.13 Pemotongan 1 buah pipa PVC Ø 900 mm</t>
  </si>
  <si>
    <t>A.8.4.2.14 Pemotongan 1 buah pipa PVC Ø 1000 mm</t>
  </si>
  <si>
    <t>A.8.4.2.15 Pemotongan 1 buah pipa PVC Ø 1100 mm</t>
  </si>
  <si>
    <t>A.8.4.2.16 Pemotongan 1 buah pipa PVC Ø 1200 mm</t>
  </si>
  <si>
    <t>A.8.4.2.17 Pemotongan 1 buah pipa HDPE Ø 63 mm</t>
  </si>
  <si>
    <t>A.8.4.2.18 Pemotongan 1 buah pipa HDPE Ø 100 mm</t>
  </si>
  <si>
    <t>A.8.4.2.19 Pemotongan 1 buah pipa HDPE Ø 125 mm</t>
  </si>
  <si>
    <t>A.8.4.2.20 Pemotongan 1 buah pipa HDPE Ø 150 mm</t>
  </si>
  <si>
    <t>A.8.4.2.21 Pemotongan 1 buah pipa HDPE Ø 200 mm</t>
  </si>
  <si>
    <t>A.8.4.2.22 Pemotongan 1 buah pipaHDPE Ø 250 mm</t>
  </si>
  <si>
    <t>A.8.4.2.23 Pemotongan 1 buah pipa HDPE Ø 300 mm</t>
  </si>
  <si>
    <t>A.8.4.2.24 Pemotongan 1 buah pipa HDPE Ø 400 mm</t>
  </si>
  <si>
    <t>A.8.4.2.25 Pemotongan 1 buah pipa HDPE Ø 450 mm</t>
  </si>
  <si>
    <t>A.8.4.2.26 Pemotongan 1 buah pipa HDPE Ø 500 mm</t>
  </si>
  <si>
    <t>A.8.4.2.27 Pemotongan 1 buah pipa HDPE Ø 600 mm</t>
  </si>
  <si>
    <t>A.8.4.2.28 Pemotongan 1 buah pipa HDPE Ø 800 mm</t>
  </si>
  <si>
    <t>A.8.4.2.29 Pemotongan 1 buah pipa HDPE Ø 900 mm</t>
  </si>
  <si>
    <t>A.8.4.2.30 Pemotongan 1 buah pipa HDPE Ø 1000 mm</t>
  </si>
  <si>
    <t>A.8.4.2.31 Pemotongan 1 buah pipa HDPE Ø 1100 mm</t>
  </si>
  <si>
    <t>A.8.4.2.32 Pemotongan 1 buah pipa HDPE Ø 1200 mm</t>
  </si>
  <si>
    <t>A.8.4.2.33 Pemotongan 1 buah pipa GIP Ø 63 mm</t>
  </si>
  <si>
    <t>A.8.4.2.34 Pemotongan 1 buah pipa GIP Ø 100 mm</t>
  </si>
  <si>
    <t>A.8.4.2.35 Pemotongan 1 buah pipa GIP Ø 125 mm</t>
  </si>
  <si>
    <t>A.8.4.2.36 Pemotongan 1 buah pipa GIP Ø 150 mm</t>
  </si>
  <si>
    <t>A.8.4.2.37 Pemotongan 1 buah pipa GIP Ø 200 mm</t>
  </si>
  <si>
    <t>A.8.4.2.38 Pemotongan 1 buah pipa GIP Ø 250 mm</t>
  </si>
  <si>
    <t>A.8.4.2.39 Pemotongan 1 buah pipa GIP Ø 300 mm</t>
  </si>
  <si>
    <t>A.8.4.2.40 Pemotongan 1 buah pipa GIP Ø 400 mm</t>
  </si>
  <si>
    <t>A.8.4.2.41 Pemotongan 1 buah pipa GIP Ø 450 mm</t>
  </si>
  <si>
    <t>A.8.4.2.42 Pemotongan 1 buah pipa GIP Ø 500 mm</t>
  </si>
  <si>
    <t>A.8.4.2.43 Pemotongan1 buah pipa GIP Ø 600 mm</t>
  </si>
  <si>
    <t>A.8.4.2.44 Pemotongan 1 buah pipa GIP Ø 800 mm</t>
  </si>
  <si>
    <t>A.8.4.2.45 Pemotongan 1 buah pipa GIP Ø 900 mm</t>
  </si>
  <si>
    <t>A.8.4.2.46 Pemotongan 1 buah pipa GIP Ø 1000 mm</t>
  </si>
  <si>
    <t>A.8.4.2.47 Pemotongan 1 buah pipa GIP Ø 1100 mm</t>
  </si>
  <si>
    <t>A.8.4.2.48 Pemotongan 1 buah pipa GIP Ø 1200 mm</t>
  </si>
  <si>
    <t>A.8.4.2.49 Pemotongan 1 buah pipa DCI Ø 100 mm</t>
  </si>
  <si>
    <t>A.8.4.2.50 Pemotongan 1 buah pipa DCI Ø 125 mm</t>
  </si>
  <si>
    <t>A.8.4.2.51 Pemotongan 1 buah pipa DCI Ø 150 mm</t>
  </si>
  <si>
    <t>A.8.4.2.52 Pemotongan 1 buah pipa DCI Ø 200 mm</t>
  </si>
  <si>
    <t>A.8.4.2.53 Pemotongan 1 buah pipa DCI Ø 250 mm</t>
  </si>
  <si>
    <t>A.8.4.2.54 Pemotongan 1 buah pipa DCI Ø 300 mm</t>
  </si>
  <si>
    <t>A.8.4.2.55 Pemotongan 1 buah pipa DCI Ø 400 mm</t>
  </si>
  <si>
    <t>A.8.4.2.56 Pemotongan 1 buah pipa DCI Ø 450 mm</t>
  </si>
  <si>
    <t>A.8.4.2.57 Pemotongan 1 buah pipa DCI Ø 500 mm</t>
  </si>
  <si>
    <t>A.8.4.2.58 Pemotongan 1 buah pipa DCI Ø 600 mm</t>
  </si>
  <si>
    <t>A.8.4.2.59 Pemotongan 1 buah pipa DCI Ø 800 mm</t>
  </si>
  <si>
    <t>A.8.4.2.60 Pemotongan 1 buah pipa DCI Ø 900 mm</t>
  </si>
  <si>
    <t>A.8.4.2.61 Pemotongan 1 buah pipa DCI Ø 1000 mm</t>
  </si>
  <si>
    <t>A.8.4.2.62 Pemotongan 1 buah pipa DCI Ø 1100 mm</t>
  </si>
  <si>
    <t>A.8.4.2.63 Pemotongan 1 buah pipa DCI Ø 1200 mm</t>
  </si>
  <si>
    <t>A.8.4.2.64 Pemotongan 1 buah pipa baja Ø 63 mm</t>
  </si>
  <si>
    <t>A.8.4.2.65 Pemotongan 1 buah pipa baja Ø 100 mm</t>
  </si>
  <si>
    <t>A.8.4.2.66 Pemotongan 1 buah pipa baja Ø 125 mm</t>
  </si>
  <si>
    <t>A.8.4.2.67 Pemotongan 1 buah pipa baja Ø 150 mm</t>
  </si>
  <si>
    <t>A.8.4.2.68 Pemotongan 1 buah pipa baja Ø 200 mm</t>
  </si>
  <si>
    <t>A.8.4.2.69 Pemotongan 1 buah pipa baja Ø 250 mm</t>
  </si>
  <si>
    <t>A.8.4.2.70 Pemotongan 1 buah pipa baja Ø 300 mm</t>
  </si>
  <si>
    <t>A.8.4.2.71 Pemotongan 1 buah pipa baja Ø 400 mm</t>
  </si>
  <si>
    <t>A.8.4.2.72 Pemotongan 1 buah pipa baja Ø 450 mm</t>
  </si>
  <si>
    <t>A.8.4.2.73 Pemotongan 1 buah pipa baja Ø 500 mm</t>
  </si>
  <si>
    <t>A.8.4.2.74 Pemotongan 1 buah pipa baja Ø 600 mm</t>
  </si>
  <si>
    <t>A.8.4.2.75 Pemotongan 1 buah pipa baja Ø 800 mm</t>
  </si>
  <si>
    <t>A.8.4.2.76 Pemotongan 1 buah pipa baja Ø 900 mm</t>
  </si>
  <si>
    <t>A.8.4.2.77 Pemotongan 1 buah pipa baja Ø 1000 mm</t>
  </si>
  <si>
    <t>A.8.4.2.78 Pemotongan 1 buah pipa baja Ø 1100 mm</t>
  </si>
  <si>
    <t>A.8.4.2.79  Pemotongan 1 buah pipa baja Ø 1200 mm</t>
  </si>
  <si>
    <t>A.8.4.3 HARGA SATUAN PEKERJAAN PEMASANGAN AKSESORIS PIPA</t>
  </si>
  <si>
    <r>
      <t xml:space="preserve">A.8.4.3.1 Pemasangan 1 buah </t>
    </r>
    <r>
      <rPr>
        <b/>
        <i/>
        <sz val="10"/>
        <color indexed="8"/>
        <rFont val="Arial"/>
        <family val="2"/>
      </rPr>
      <t xml:space="preserve">Valve </t>
    </r>
    <r>
      <rPr>
        <b/>
        <sz val="10"/>
        <color indexed="8"/>
        <rFont val="Arial"/>
        <family val="2"/>
      </rPr>
      <t>Ø 150 mm</t>
    </r>
  </si>
  <si>
    <r>
      <t xml:space="preserve">A.8.4.3.2 Pemasangan 1 buah </t>
    </r>
    <r>
      <rPr>
        <b/>
        <i/>
        <sz val="10"/>
        <color indexed="8"/>
        <rFont val="Arial"/>
        <family val="2"/>
      </rPr>
      <t xml:space="preserve">Valve </t>
    </r>
    <r>
      <rPr>
        <b/>
        <sz val="10"/>
        <color indexed="8"/>
        <rFont val="Arial"/>
        <family val="2"/>
      </rPr>
      <t>Ø 200 mm</t>
    </r>
  </si>
  <si>
    <r>
      <t xml:space="preserve">A.8.4.3.3 Pemasangan 1 buah </t>
    </r>
    <r>
      <rPr>
        <b/>
        <i/>
        <sz val="10"/>
        <color indexed="8"/>
        <rFont val="Arial"/>
        <family val="2"/>
      </rPr>
      <t xml:space="preserve">Valve </t>
    </r>
    <r>
      <rPr>
        <b/>
        <sz val="10"/>
        <color indexed="8"/>
        <rFont val="Arial"/>
        <family val="2"/>
      </rPr>
      <t>Ø 250 mm</t>
    </r>
  </si>
  <si>
    <r>
      <t xml:space="preserve">A.8.4.3.4 Pemasangan 1 buah </t>
    </r>
    <r>
      <rPr>
        <b/>
        <i/>
        <sz val="10"/>
        <color indexed="8"/>
        <rFont val="Arial"/>
        <family val="2"/>
      </rPr>
      <t xml:space="preserve">Valve </t>
    </r>
    <r>
      <rPr>
        <b/>
        <sz val="10"/>
        <color indexed="8"/>
        <rFont val="Arial"/>
        <family val="2"/>
      </rPr>
      <t>Ø 300 mm</t>
    </r>
  </si>
  <si>
    <r>
      <t xml:space="preserve">A.8.4.3.5 Pemasangan 1 buah </t>
    </r>
    <r>
      <rPr>
        <b/>
        <i/>
        <sz val="10"/>
        <color indexed="8"/>
        <rFont val="Arial"/>
        <family val="2"/>
      </rPr>
      <t xml:space="preserve">Valve </t>
    </r>
    <r>
      <rPr>
        <b/>
        <sz val="10"/>
        <color indexed="8"/>
        <rFont val="Arial"/>
        <family val="2"/>
      </rPr>
      <t>Ø 400 mm</t>
    </r>
  </si>
  <si>
    <r>
      <t xml:space="preserve">A.8.4.3.6 Pemasangan 1 buah </t>
    </r>
    <r>
      <rPr>
        <b/>
        <i/>
        <sz val="10"/>
        <color indexed="8"/>
        <rFont val="Arial"/>
        <family val="2"/>
      </rPr>
      <t xml:space="preserve">Valve </t>
    </r>
    <r>
      <rPr>
        <b/>
        <sz val="10"/>
        <color indexed="8"/>
        <rFont val="Arial"/>
        <family val="2"/>
      </rPr>
      <t>Ø 450 mm</t>
    </r>
  </si>
  <si>
    <r>
      <t xml:space="preserve">A.8.4.3.7 Pemasangan 1 buah </t>
    </r>
    <r>
      <rPr>
        <b/>
        <i/>
        <sz val="10"/>
        <color indexed="8"/>
        <rFont val="Arial"/>
        <family val="2"/>
      </rPr>
      <t xml:space="preserve">Valve </t>
    </r>
    <r>
      <rPr>
        <b/>
        <sz val="10"/>
        <color indexed="8"/>
        <rFont val="Arial"/>
        <family val="2"/>
      </rPr>
      <t>Ø 500 mm</t>
    </r>
  </si>
  <si>
    <r>
      <t xml:space="preserve">A.8.4.3.8 Pemasangan 1 buah </t>
    </r>
    <r>
      <rPr>
        <b/>
        <i/>
        <sz val="10"/>
        <color indexed="8"/>
        <rFont val="Arial"/>
        <family val="2"/>
      </rPr>
      <t xml:space="preserve">Valve </t>
    </r>
    <r>
      <rPr>
        <b/>
        <sz val="10"/>
        <color indexed="8"/>
        <rFont val="Arial"/>
        <family val="2"/>
      </rPr>
      <t>Ø 600 mm</t>
    </r>
  </si>
  <si>
    <r>
      <t xml:space="preserve">A.8.4.3.9 Pemasangan 1 buah </t>
    </r>
    <r>
      <rPr>
        <b/>
        <i/>
        <sz val="10"/>
        <color indexed="8"/>
        <rFont val="Arial"/>
        <family val="2"/>
      </rPr>
      <t xml:space="preserve">Valve </t>
    </r>
    <r>
      <rPr>
        <b/>
        <sz val="10"/>
        <color indexed="8"/>
        <rFont val="Arial"/>
        <family val="2"/>
      </rPr>
      <t>Ø 700 mm</t>
    </r>
  </si>
  <si>
    <r>
      <t xml:space="preserve">A.8.4.3.10 Pemasangan 1 buah </t>
    </r>
    <r>
      <rPr>
        <b/>
        <i/>
        <sz val="10"/>
        <color indexed="8"/>
        <rFont val="Arial"/>
        <family val="2"/>
      </rPr>
      <t xml:space="preserve">Valve </t>
    </r>
    <r>
      <rPr>
        <b/>
        <sz val="10"/>
        <color indexed="8"/>
        <rFont val="Arial"/>
        <family val="2"/>
      </rPr>
      <t>Ø 800 mm</t>
    </r>
  </si>
  <si>
    <r>
      <t xml:space="preserve">A.8.4.3.11 Pemasangan 1 buah </t>
    </r>
    <r>
      <rPr>
        <b/>
        <i/>
        <sz val="10"/>
        <color indexed="8"/>
        <rFont val="Arial"/>
        <family val="2"/>
      </rPr>
      <t xml:space="preserve">Valve </t>
    </r>
    <r>
      <rPr>
        <b/>
        <sz val="10"/>
        <color indexed="8"/>
        <rFont val="Arial"/>
        <family val="2"/>
      </rPr>
      <t>Ø 900 mm</t>
    </r>
  </si>
  <si>
    <r>
      <t xml:space="preserve">A.8.4.3.12 Pemasangan 1 buah </t>
    </r>
    <r>
      <rPr>
        <b/>
        <i/>
        <sz val="10"/>
        <color indexed="8"/>
        <rFont val="Arial"/>
        <family val="2"/>
      </rPr>
      <t xml:space="preserve">Valve </t>
    </r>
    <r>
      <rPr>
        <b/>
        <sz val="10"/>
        <color indexed="8"/>
        <rFont val="Arial"/>
        <family val="2"/>
      </rPr>
      <t>Ø 1000 mm</t>
    </r>
  </si>
  <si>
    <r>
      <t xml:space="preserve">A.8.4.3.13 Pemasangan 1 buah </t>
    </r>
    <r>
      <rPr>
        <b/>
        <i/>
        <sz val="10"/>
        <color indexed="8"/>
        <rFont val="Arial"/>
        <family val="2"/>
      </rPr>
      <t xml:space="preserve">Valve </t>
    </r>
    <r>
      <rPr>
        <b/>
        <sz val="10"/>
        <color indexed="8"/>
        <rFont val="Arial"/>
        <family val="2"/>
      </rPr>
      <t>Ø 1100 mm</t>
    </r>
  </si>
  <si>
    <r>
      <t xml:space="preserve">A.8.4.3.14 Pemasangan 1 buah </t>
    </r>
    <r>
      <rPr>
        <b/>
        <i/>
        <sz val="10"/>
        <color indexed="8"/>
        <rFont val="Arial"/>
        <family val="2"/>
      </rPr>
      <t xml:space="preserve">Valve </t>
    </r>
    <r>
      <rPr>
        <b/>
        <sz val="10"/>
        <color indexed="8"/>
        <rFont val="Arial"/>
        <family val="2"/>
      </rPr>
      <t>Ø 1200 mm</t>
    </r>
  </si>
  <si>
    <r>
      <t xml:space="preserve">A.8.4.3.15 Pemasangan 1 buah </t>
    </r>
    <r>
      <rPr>
        <b/>
        <i/>
        <sz val="10"/>
        <color indexed="8"/>
        <rFont val="Arial"/>
        <family val="2"/>
      </rPr>
      <t xml:space="preserve">Tee </t>
    </r>
    <r>
      <rPr>
        <b/>
        <sz val="10"/>
        <color indexed="8"/>
        <rFont val="Arial"/>
        <family val="2"/>
      </rPr>
      <t>Ø 150 mm</t>
    </r>
  </si>
  <si>
    <r>
      <t xml:space="preserve">A.8.4.3.16 Pemasangan 1 buah </t>
    </r>
    <r>
      <rPr>
        <b/>
        <i/>
        <sz val="10"/>
        <color indexed="8"/>
        <rFont val="Arial"/>
        <family val="2"/>
      </rPr>
      <t xml:space="preserve">Tee </t>
    </r>
    <r>
      <rPr>
        <b/>
        <sz val="10"/>
        <color indexed="8"/>
        <rFont val="Arial"/>
        <family val="2"/>
      </rPr>
      <t>Ø 200 mm</t>
    </r>
  </si>
  <si>
    <r>
      <t xml:space="preserve">A.8.4.3.17 Pemasangan 1 buah </t>
    </r>
    <r>
      <rPr>
        <b/>
        <i/>
        <sz val="10"/>
        <color indexed="8"/>
        <rFont val="Arial"/>
        <family val="2"/>
      </rPr>
      <t xml:space="preserve">Tee </t>
    </r>
    <r>
      <rPr>
        <b/>
        <sz val="10"/>
        <color indexed="8"/>
        <rFont val="Arial"/>
        <family val="2"/>
      </rPr>
      <t>Ø 250 mm</t>
    </r>
  </si>
  <si>
    <r>
      <t xml:space="preserve">A.8.4.3.18 Pemasangan 1 buah </t>
    </r>
    <r>
      <rPr>
        <b/>
        <i/>
        <sz val="10"/>
        <color indexed="8"/>
        <rFont val="Arial"/>
        <family val="2"/>
      </rPr>
      <t xml:space="preserve">Tee </t>
    </r>
    <r>
      <rPr>
        <b/>
        <sz val="10"/>
        <color indexed="8"/>
        <rFont val="Arial"/>
        <family val="2"/>
      </rPr>
      <t>Ø 300 mm</t>
    </r>
  </si>
  <si>
    <r>
      <t xml:space="preserve">A.8.4.3.19 Pemasangan 1 buah </t>
    </r>
    <r>
      <rPr>
        <b/>
        <i/>
        <sz val="10"/>
        <color indexed="8"/>
        <rFont val="Arial"/>
        <family val="2"/>
      </rPr>
      <t xml:space="preserve">Tee </t>
    </r>
    <r>
      <rPr>
        <b/>
        <sz val="10"/>
        <color indexed="8"/>
        <rFont val="Arial"/>
        <family val="2"/>
      </rPr>
      <t>Ø 400 mm</t>
    </r>
  </si>
  <si>
    <r>
      <t xml:space="preserve">A.8.4.3.20 Pemasangan 1 buah </t>
    </r>
    <r>
      <rPr>
        <b/>
        <i/>
        <sz val="10"/>
        <color indexed="8"/>
        <rFont val="Arial"/>
        <family val="2"/>
      </rPr>
      <t xml:space="preserve">Tee </t>
    </r>
    <r>
      <rPr>
        <b/>
        <sz val="10"/>
        <color indexed="8"/>
        <rFont val="Arial"/>
        <family val="2"/>
      </rPr>
      <t>Ø 450 mm</t>
    </r>
  </si>
  <si>
    <r>
      <t xml:space="preserve">A.8.4.3.21 Pemasangan 1 buah </t>
    </r>
    <r>
      <rPr>
        <b/>
        <i/>
        <sz val="10"/>
        <color indexed="8"/>
        <rFont val="Arial"/>
        <family val="2"/>
      </rPr>
      <t xml:space="preserve">Tee </t>
    </r>
    <r>
      <rPr>
        <b/>
        <sz val="10"/>
        <color indexed="8"/>
        <rFont val="Arial"/>
        <family val="2"/>
      </rPr>
      <t>Ø 500 mm</t>
    </r>
  </si>
  <si>
    <r>
      <t xml:space="preserve">A.8.4.3.22 Pemasangan 1 buah </t>
    </r>
    <r>
      <rPr>
        <b/>
        <i/>
        <sz val="10"/>
        <color indexed="8"/>
        <rFont val="Arial"/>
        <family val="2"/>
      </rPr>
      <t xml:space="preserve">Tee </t>
    </r>
    <r>
      <rPr>
        <b/>
        <sz val="10"/>
        <color indexed="8"/>
        <rFont val="Arial"/>
        <family val="2"/>
      </rPr>
      <t>Ø 600 mm</t>
    </r>
  </si>
  <si>
    <r>
      <t xml:space="preserve">A.8.4.3.23 Pemasangan 1 buah </t>
    </r>
    <r>
      <rPr>
        <b/>
        <i/>
        <sz val="10"/>
        <color indexed="8"/>
        <rFont val="Arial"/>
        <family val="2"/>
      </rPr>
      <t xml:space="preserve">Tee </t>
    </r>
    <r>
      <rPr>
        <b/>
        <sz val="10"/>
        <color indexed="8"/>
        <rFont val="Arial"/>
        <family val="2"/>
      </rPr>
      <t>Ø 700 mm</t>
    </r>
  </si>
  <si>
    <r>
      <t xml:space="preserve">A.8.4.3.24 Pemasangan 1 buah </t>
    </r>
    <r>
      <rPr>
        <b/>
        <i/>
        <sz val="10"/>
        <color indexed="8"/>
        <rFont val="Arial"/>
        <family val="2"/>
      </rPr>
      <t xml:space="preserve">Tee </t>
    </r>
    <r>
      <rPr>
        <b/>
        <sz val="10"/>
        <color indexed="8"/>
        <rFont val="Arial"/>
        <family val="2"/>
      </rPr>
      <t>Ø 800 mm</t>
    </r>
  </si>
  <si>
    <r>
      <t xml:space="preserve">A.8.4.3.25 Pemasangan 1 buah </t>
    </r>
    <r>
      <rPr>
        <b/>
        <i/>
        <sz val="10"/>
        <color indexed="8"/>
        <rFont val="Arial"/>
        <family val="2"/>
      </rPr>
      <t xml:space="preserve">Tee </t>
    </r>
    <r>
      <rPr>
        <b/>
        <sz val="10"/>
        <color indexed="8"/>
        <rFont val="Arial"/>
        <family val="2"/>
      </rPr>
      <t>Ø 900 mm</t>
    </r>
  </si>
  <si>
    <r>
      <t xml:space="preserve">A.8.4.3.26 Pemasangan 1 buah </t>
    </r>
    <r>
      <rPr>
        <b/>
        <i/>
        <sz val="10"/>
        <color indexed="8"/>
        <rFont val="Arial"/>
        <family val="2"/>
      </rPr>
      <t xml:space="preserve">Tee </t>
    </r>
    <r>
      <rPr>
        <b/>
        <sz val="10"/>
        <color indexed="8"/>
        <rFont val="Arial"/>
        <family val="2"/>
      </rPr>
      <t>Ø 1000 mm</t>
    </r>
  </si>
  <si>
    <r>
      <t xml:space="preserve">A.8.4.3.27 Pemasangan 1 buah </t>
    </r>
    <r>
      <rPr>
        <b/>
        <i/>
        <sz val="10"/>
        <color indexed="8"/>
        <rFont val="Arial"/>
        <family val="2"/>
      </rPr>
      <t xml:space="preserve">Tee </t>
    </r>
    <r>
      <rPr>
        <b/>
        <sz val="10"/>
        <color indexed="8"/>
        <rFont val="Arial"/>
        <family val="2"/>
      </rPr>
      <t>Ø 1100 mm</t>
    </r>
  </si>
  <si>
    <r>
      <t xml:space="preserve">A.8.4.3.28 Pemasangan 1 buah </t>
    </r>
    <r>
      <rPr>
        <b/>
        <i/>
        <sz val="10"/>
        <color indexed="8"/>
        <rFont val="Arial"/>
        <family val="2"/>
      </rPr>
      <t xml:space="preserve">Tee </t>
    </r>
    <r>
      <rPr>
        <b/>
        <sz val="10"/>
        <color indexed="8"/>
        <rFont val="Arial"/>
        <family val="2"/>
      </rPr>
      <t>Ø 1200 mm</t>
    </r>
  </si>
  <si>
    <t>A.8.4.4 HARGA SATUAN PEKERJAAN PENYAMBUNGAN PIPA BARU KE PIPA LAMA</t>
  </si>
  <si>
    <t>A.8.4.4.1 Penyambungan 1 buah pipa baru ke pipa yang ada Ø 80 mm</t>
  </si>
  <si>
    <t>A.8.4.4.2 Penyambungan 1 buah pipa baru ke pipa yang ada Ø 100 mm</t>
  </si>
  <si>
    <t>A.8.4.4.3 Penyambungan 1 buah pipa baru ke pipa yang ada Ø 150 mm</t>
  </si>
  <si>
    <t>A.8.4.4.4 Penyambungan 1 buah pipa baru ke pipa yang ada Ø 200 mm</t>
  </si>
  <si>
    <t>A.8.4.4.5 Penyambungan 1 buah pipa baru ke pipa yang ada Ø 250 mm</t>
  </si>
  <si>
    <t>A.8.4.4.6 Penyambungan 1 buah pipa baru ke pipa yang ada Ø 300 mm</t>
  </si>
  <si>
    <t>A.8.4.4.7 Penyambungan 1 buah pipa baru ke pipa yang ada Ø 400 mm</t>
  </si>
  <si>
    <t>A.8.4.4.8 Penyambungan 1 buah pipa baru ke pipa yang ada Ø 450 mm</t>
  </si>
  <si>
    <t>A.8.4.4.9 Penyambungan 1 buah pipa baru ke pipa yang ada Ø 500 mm</t>
  </si>
  <si>
    <t>A.8.4.4.10 Penyambungan 1 buah pipa baru ke pipa yang ada Ø 600 mm</t>
  </si>
  <si>
    <t>A.8.4.4.11 Penyambungan 1 buah pipa baru ke pipa yang ada Ø 700 mm</t>
  </si>
  <si>
    <t>A.8.4.4.12 Penyambungan 1 buah 1 buah pipa baru ke pipa yang ada Ø 800 mm</t>
  </si>
  <si>
    <t>A.8.4.5 HARGA SATUAN PEKERJAAN PENGETESAN PIPA</t>
  </si>
  <si>
    <t>A.8.4.5.1 Pengetesan 1 m pipa Ø 50 mm</t>
  </si>
  <si>
    <t>A.8.4.5.2 Pengetesan 1 m pipa Ø 75 mm</t>
  </si>
  <si>
    <t>A.8.4.5.3 Pengetesan 1 m pipa Ø 100 mm</t>
  </si>
  <si>
    <t>A.8.4.5.4 Pengetesan 1 m pipa Ø 150 mm</t>
  </si>
  <si>
    <t>.8.4.5.5 Pengetesan 1 m pipa Ø 200 mm</t>
  </si>
  <si>
    <t>A.8.4.5.6 Pengetesan 1 m pipa Ø 250 mm</t>
  </si>
  <si>
    <t>A.8.4.5.7 Pengetesan 1 m pipa Ø 300 mm</t>
  </si>
  <si>
    <t>A.8.4.5.8 Pengetesan 1 m pipa Ø 400 mm</t>
  </si>
  <si>
    <t>A.8.4.5.9 Pengetesan 1 m pipa Ø 500 mm</t>
  </si>
  <si>
    <t>Harga
Satuan
(Rp)</t>
  </si>
  <si>
    <t>Jumlah
Harga
(Rp)</t>
  </si>
  <si>
    <t>Harga Satuan
(Rp)</t>
  </si>
  <si>
    <t>Dolken kayu
φ 8-10/400 cm</t>
  </si>
  <si>
    <t>Dolken kayu φ
8-10/400 cm</t>
  </si>
  <si>
    <t>Bambu  diameter  6-
8/600 cm</t>
  </si>
  <si>
    <t>Kaso-kaso
5 x 7 cm</t>
  </si>
  <si>
    <t>Paku
5 dan 10</t>
  </si>
  <si>
    <t>Sewa Genset 1500 watt</t>
  </si>
  <si>
    <t>m3</t>
  </si>
  <si>
    <t>m2</t>
  </si>
  <si>
    <t>Bobot isi pasir = 1.400 kg/m3. Bobot isi kerikil = 1.350 kg/m3. Buckling factor pasir = 20 %</t>
  </si>
  <si>
    <t>Dolken kayu . φ 8–10 cm. panj4 m</t>
  </si>
  <si>
    <t>Dolken kayu. φ 8–10 cm.panj4 m</t>
  </si>
  <si>
    <t>Dolken kayu . φ 8–10 panj 4m</t>
  </si>
  <si>
    <t>Baja strip (0.2 x 2) cm</t>
  </si>
  <si>
    <t>Paku 1 cm - 2.5 cm</t>
  </si>
  <si>
    <t>Paku 1 cm – 2.5 cm</t>
  </si>
  <si>
    <t>Paku skrup 3.5”</t>
  </si>
  <si>
    <t>Almn gel tbl0.55</t>
  </si>
  <si>
    <t>Paku 1 – 2.5 cm</t>
  </si>
  <si>
    <t>Balok kayu. 6 x 12</t>
  </si>
  <si>
    <t>Balok kayu.
6 x 12</t>
  </si>
  <si>
    <t>Pembuatan 1 m2 pagar sementara dari kayu tinggi 2 meter</t>
  </si>
  <si>
    <t>Pembuatan 1 m2  pagar sementara dari seng gelombang tinggi 2 meter</t>
  </si>
  <si>
    <t>Pembuatan 1 m2  pagar sementara dari kawat duri tinggi 1.8 meter</t>
  </si>
  <si>
    <t>Pengukuran dan pemasangan 1 m’ Bouwplank</t>
  </si>
  <si>
    <t>Pembuatan 1 m2 kantor sementara lantai plesteran</t>
  </si>
  <si>
    <t>A.8.4.6</t>
  </si>
  <si>
    <t>btg</t>
  </si>
  <si>
    <t>Pembuatan 1 m2 gudang semen dan peralatan</t>
  </si>
  <si>
    <t>Pembuatan 1 m2 bedeng pekerja</t>
  </si>
  <si>
    <t>Pembersihan 1 m2 lapangan dan perataan</t>
  </si>
  <si>
    <t>Pembuatan 1 m2 steger/perancah dari bambu</t>
  </si>
  <si>
    <t>Pembuatan 1 buah kotak adukan ukuran 40cm x50cm x25cm</t>
  </si>
  <si>
    <t>Pembuatan 1 m2 jalan sementara</t>
  </si>
  <si>
    <t>Pembongkaran 1 m3 beton bertulang</t>
  </si>
  <si>
    <t>Pembongkaran 1 m3 dinding tembok bata</t>
  </si>
  <si>
    <t>Penggalian 1 m3 tanah biasa sedalam 2 m</t>
  </si>
  <si>
    <t>Pengurugan kembali 1 m3 galian tanah</t>
  </si>
  <si>
    <t>Pemadatan tanah 1 m3 tanah ( per 20 cm)</t>
  </si>
  <si>
    <t>Pengurugan 1 m3 dengan pasir urug</t>
  </si>
  <si>
    <t>Pemasangan 1 m2 lapisan ijuk tebal 10 cm untuk bidang resapan</t>
  </si>
  <si>
    <t>Pengurugan  1 m3 sirtu padat</t>
  </si>
  <si>
    <t xml:space="preserve">A.3.2.1 </t>
  </si>
  <si>
    <t>HARGA SATUAN PEKERJAAN PONDASI</t>
  </si>
  <si>
    <t xml:space="preserve"> Pemasangan 1 m3 pondasi batu belah campuran 1SP : 3PP</t>
  </si>
  <si>
    <t>Pemasangan 1 m3 pondasi batu belah campuran 1SP : 4PP</t>
  </si>
  <si>
    <t>Pemasangan 1 m3 pondasi batu belah campuran 1SP : 5PP</t>
  </si>
  <si>
    <t>Pemasangan 1 m3 pondasi batu belah campuran 1SP : 6PP</t>
  </si>
  <si>
    <t>Pemasangan 1 m3 pondasi batu belah campuran 1SP : 8PP</t>
  </si>
  <si>
    <t>Pemasangan 1 m3 batu kosong (anstamping)</t>
  </si>
  <si>
    <t>HARGA SATUAN PEKERJAAN BETON</t>
  </si>
  <si>
    <t>Membuat 1 m3 beton mutu f’= 7.4 MPa (K 100). slump (12 ± 2) cm. w/c = 0.87</t>
  </si>
  <si>
    <t>Membuat 1 m3 beton mutu f’= 9.8 MPa (K 125). slump (12 ± 2) cm. w/c = 0.78</t>
  </si>
  <si>
    <t xml:space="preserve">A.4.1.1.3 </t>
  </si>
  <si>
    <t>Membuat 1 m3 beton mutu f’= 12.2 MPa (K 150). slump (12 ± 2) cm. w/c = 0.72</t>
  </si>
  <si>
    <t>Membuat 1 m3 beton mutu f’  = 14.5 MPa (K 175). slump (12 ±2) cm. w/c = 0.66</t>
  </si>
  <si>
    <t>Membuat 1 m3 beton mutu f’= 16.9 MPa (K 200). slump (12 ± 2) cm. w/c = 0.61</t>
  </si>
  <si>
    <t>Membuat 1 m3 beton mutu f’  = 19.3 MPa (K 225). slump (12 ± 2) cm. w/c = 0.58</t>
  </si>
  <si>
    <t xml:space="preserve"> Membuat 1 m3 beton mutu f’= 21.7 MPa (K 250). slump (12 ± 2) cm. w/c = 0.56</t>
  </si>
  <si>
    <t>Membuat 1 m3 beton mutu f’ = 24.0 MPa (K 275). slump (12 ± 2) cm. w/c = 0.53</t>
  </si>
  <si>
    <t>Membuat 1 m3 beton mutu f’c = 26.4 MPa (K 300). slump (12 ± 2) cm. w/c = 0.52</t>
  </si>
  <si>
    <t xml:space="preserve"> Membuat 1 m3 beton mutu f’c = 28.8 MPa (K 325). slump (12 ± 2) cm. w/c = 0.49</t>
  </si>
  <si>
    <t>Membuat 1 m3 beton mutu f’c = 31.2 MPa (K 350). slump (12 ± 2) cm. w/c = 0.48</t>
  </si>
  <si>
    <t>Membuat 1 m3 beton kedap air dengan strorox – 100</t>
  </si>
  <si>
    <t>Pemasangan 1 m’ PVC Waterstop lebar 150 mm</t>
  </si>
  <si>
    <t>Pemasangan 1 m’ PVC Waterstop lebar 200 mm</t>
  </si>
  <si>
    <t>A.8.4.5.10</t>
  </si>
  <si>
    <t xml:space="preserve">A.8.4.4.3 </t>
  </si>
  <si>
    <t>A.8.4.4.2</t>
  </si>
  <si>
    <t xml:space="preserve">A.8.4.4 </t>
  </si>
  <si>
    <t>A.8.4.3.18</t>
  </si>
  <si>
    <t>A.8.4.3</t>
  </si>
  <si>
    <t>A.8.4.1.2</t>
  </si>
  <si>
    <t>HARGA SATUAN PEKERJAAN PEMASANGAN PIPA</t>
  </si>
  <si>
    <t>Pemasangan 1 m’ pipa air limbah jenis pipa tanah  Ǿ 20 cm</t>
  </si>
  <si>
    <t>Pemasangan 1 m’ pipa PVC tipe AW diameter 4”</t>
  </si>
  <si>
    <t>Pemasangan 1 m’ pipa PVC tipe AW diameter 3”</t>
  </si>
  <si>
    <t>Pemasangan 1 m’ pipa PVC tipe AW diameter 21/2”</t>
  </si>
  <si>
    <t>Pemasangan 1 m’ pipa PVC tipe AW diameter 2”</t>
  </si>
  <si>
    <t>Pemasangan 1 m’ pipa PVC tipe AW diameter 11/2”</t>
  </si>
  <si>
    <t>Pemasangan 1 m’ pipa PVC tipe AW diameter 1”</t>
  </si>
  <si>
    <t>Pemasangan 1 m’ pipa PVC tipe AW diameter 3/4”</t>
  </si>
  <si>
    <t>Pemasangan 1 m’ pipa galvanis diameter 4”</t>
  </si>
  <si>
    <t>Pemasangan 1 m’ pipa galvanis diameter 3”</t>
  </si>
  <si>
    <t>Pemasangan 1 m’ pipa galvanis diameter 1 ½”</t>
  </si>
  <si>
    <t>Pemasangan 1 m’ pipa galvanis diameter 1”</t>
  </si>
  <si>
    <t>Pemasangan 1 m’ pipa galvanis diameter 3/4”</t>
  </si>
  <si>
    <t>Pemasangan 1 m’ pipa galvanis diameter ½”</t>
  </si>
  <si>
    <t>Pemasangan 1 buah floor drain</t>
  </si>
  <si>
    <t>Pemasangan 1 buah bak cuci piring teraso</t>
  </si>
  <si>
    <t>Pemasangan 1 buah bak cuci piring stainlessteel</t>
  </si>
  <si>
    <t>Pemasangan 1 buah bak beton volume 1 m3</t>
  </si>
  <si>
    <t>Pemasangan 1 buah bak air fibreglass vol 1 m3</t>
  </si>
  <si>
    <t>Pemasangan 1 buah bak mandi batu bata vol 0.30 m3</t>
  </si>
  <si>
    <t>Pemasangan 1 buah bathcuip porselen</t>
  </si>
  <si>
    <t>Pemasangan 1 buah wastafel</t>
  </si>
  <si>
    <t>Pemasangan 1 buah closet jongkok porslen</t>
  </si>
  <si>
    <t>Pemasangan 1 buah closet duduk/monoblock</t>
  </si>
  <si>
    <t>HARGA SATUAN PEKERJAAN SANITASI DALAM GEDUNG</t>
  </si>
  <si>
    <t>Pengecatan 1 m2  permukaan baja galvanis secara semprot sistem 3 lapis cat mutakhir</t>
  </si>
  <si>
    <t>Pengecatan 1 m2 permukaan baja galvanis secara manual 4 lapis</t>
  </si>
  <si>
    <t>Pengecatan 1 m2 permukaan baja dengan menie besi dengan perancah</t>
  </si>
  <si>
    <t>Pengecatan 1 m2 permukaan baja dengan menie besi</t>
  </si>
  <si>
    <t>Pelaburan 1 m2 tembok lama dengan kapur sirih (pemeliharaan)</t>
  </si>
  <si>
    <t>Pelaburan 1 m2 bidang kayu dengan vernis</t>
  </si>
  <si>
    <t>Pelaburan 1 m2 bidang kayu dengan cat residu dan ter</t>
  </si>
  <si>
    <t>Pelaburan 1 m2 bidang kayu dengan politur</t>
  </si>
  <si>
    <t>Pelaburan 1 m2 bidang kayu dengan teak oil</t>
  </si>
  <si>
    <t>1 m2 Pengerokan karat pada permukaan baja cara manual</t>
  </si>
  <si>
    <t>1 m2 Pencucian bidang permukaan tembok yang pernah dicat</t>
  </si>
  <si>
    <t>1 m2 Pengikisan/pengerokan permukaan cat lama</t>
  </si>
  <si>
    <t>HARGA SATUAN PEKERJAAN PENGECATAN</t>
  </si>
  <si>
    <t>Pemasangan 1 m2 kaca tebal 8 mm</t>
  </si>
  <si>
    <t>Pemasangan 1 m2 kaca tebal 5 mm</t>
  </si>
  <si>
    <t>Pemasangan 1 buah door stop</t>
  </si>
  <si>
    <t>Pemasangan 1 buah Door holder</t>
  </si>
  <si>
    <t>Pemasangan 1 buah engsel jendela kupu-kupu</t>
  </si>
  <si>
    <t>Pemasangan 1 buah engsel pintu</t>
  </si>
  <si>
    <t>Pemasangan 1 buah kunci silinder</t>
  </si>
  <si>
    <t>Pemasangan 1 buah kunci kamar mandi</t>
  </si>
  <si>
    <t>Pemasangan 1 buah kunci tanam biasa</t>
  </si>
  <si>
    <t>Pemasangan 1 buah kunci tanam antik</t>
  </si>
  <si>
    <t>HARGA SATUAN PEKERJAAN KUNCI DAN KACA</t>
  </si>
  <si>
    <t>Pemasangan 1 m2 dinding lambrisering dari plywood ukuran (120 x 240) cm</t>
  </si>
  <si>
    <t>Pembuatan 1 m2 daun pintu plywood rangkap. rangka kayu kelas II tertutup(lebar sampai 90 cm)</t>
  </si>
  <si>
    <t>Pembuatan dan pemasangan 1 m2 pintu klamp sederhana. kayu kelas III</t>
  </si>
  <si>
    <t>HARGA SATUAN PEKERJAAN KAYU</t>
  </si>
  <si>
    <t>Pemasangan 1 m’ nok alumunium</t>
  </si>
  <si>
    <t>Pemasangan 1 m2 atap alumunium</t>
  </si>
  <si>
    <t xml:space="preserve"> Pemasangan 1 m’nok atap seng</t>
  </si>
  <si>
    <t>Pemasangan 1 m2 atap seng gelombang</t>
  </si>
  <si>
    <t xml:space="preserve"> Pemasangan 1 m’ nok sirap</t>
  </si>
  <si>
    <t>Pemasangan 1 m’ nok genteng metal</t>
  </si>
  <si>
    <t>Pemasangan 1 m’ nok genteng aspal</t>
  </si>
  <si>
    <t>Pemasangan 1 m’ nok genteng beton</t>
  </si>
  <si>
    <t>Pemasangan 1 m2 atap sirap kayu</t>
  </si>
  <si>
    <t>Pemasangan 1 m2 genteng metal</t>
  </si>
  <si>
    <t>Pemasangan 1 m2 genteng beton</t>
  </si>
  <si>
    <t>Pemasangan 1 m’ nok stel rata 1.05m</t>
  </si>
  <si>
    <t>Pemasangan 1 m’ bubung stel gelombang 1.05m</t>
  </si>
  <si>
    <t>Pemasangan 1 m2  atap asbes gelombang 0.92mx2.00m x 5mm</t>
  </si>
  <si>
    <t>Pemasangan 1 m2  roof light fibreglass 90x180</t>
  </si>
  <si>
    <t xml:space="preserve">HARGA SATUAN PEKERJAAN PENUTUP ATAP </t>
  </si>
  <si>
    <t>Pemasangan 1 m’ list langit-langit kayu profil</t>
  </si>
  <si>
    <t>Pemasangan 1 m2 langit-langit akustik ukuran (30 x 30) cm</t>
  </si>
  <si>
    <t>SATUAN PEKERJAAN LANGIT-LANGIT (PLAFOND)</t>
  </si>
  <si>
    <t>Pemasangan 1 m’ plint kayu tebal 2 cm lebar 10 cm</t>
  </si>
  <si>
    <t>Pemasangan 1 m’ plint vynil 15cm x 30cm</t>
  </si>
  <si>
    <t>Pemasangan 1m2 floor harderner</t>
  </si>
  <si>
    <t>Pemasangan 1 m2 dinding batu paras</t>
  </si>
  <si>
    <t>Pemasangan 1 m2 dinding bata pelapis 3cm x 7cm x 24cm</t>
  </si>
  <si>
    <t>Pemasangan 1 m2 dinding marmer 100cm x 100cm</t>
  </si>
  <si>
    <t>Pemasangan 1 m2 dinding keramik 20cm x 20cm</t>
  </si>
  <si>
    <t>Pemasangan 1 m2 lantai kayu gymfloor</t>
  </si>
  <si>
    <t>Pemasangan 1 m2 lantai parquet kayu</t>
  </si>
  <si>
    <t>Pemasangan 1 m2 underlayer (pelapis bawah karpet)</t>
  </si>
  <si>
    <t>Pemasangan 1 m2 lantai karpet</t>
  </si>
  <si>
    <t>Pemasangan 1 m2 lantai marmer ukuran 100cm x 100cm</t>
  </si>
  <si>
    <t>Pemasangan 1 m’ plint keramik ukuran 5cm x 20cm</t>
  </si>
  <si>
    <t>Pemasangan 1 m’ plint keramik ukuran 10cm x 10cm</t>
  </si>
  <si>
    <t>Pemasangan 1 m’ plint keramik ukuran 10cm x 20cm</t>
  </si>
  <si>
    <t>Pemasangan 1m2 lantai keramik mozaik ukuran 30cm x 30cm</t>
  </si>
  <si>
    <t>Pemasangan 1m2 lantai keramik ukuran 20cm x 20cm</t>
  </si>
  <si>
    <t>Pemasangan 1m2 lantai keramik ukuran 30cm x 30cm</t>
  </si>
  <si>
    <t>Pemasangan 1m2 lantai keramik ukuran 33cm x 33cm</t>
  </si>
  <si>
    <t>Pemasangan 1m2 lantai keramik artistik 10cm x 10cm atau 5cm x 20cm</t>
  </si>
  <si>
    <t>Pemasangan 1m2 lantai keramik artistik 10cm x 20cm</t>
  </si>
  <si>
    <t>Pemasangan 1m2 lantai ubin granit ukuran 30cm x30cm</t>
  </si>
  <si>
    <t>Pemasangan 1m2 lantai ubin teraso ukuran 40cm x40cm</t>
  </si>
  <si>
    <t>Pemasangan 1m2 lantai ubin warna ukuran 20cm x20cm</t>
  </si>
  <si>
    <t>Pemasangan 1m2 lantai ubin warna ukuran 30cm x30cm</t>
  </si>
  <si>
    <t>Pemasangan 1m2 lantai ubin warna ukuran 40cm x40 cm</t>
  </si>
  <si>
    <t>Pemasangan 1m2 lantai ubin PC abu-abu ukuran 20cm x20 cm</t>
  </si>
  <si>
    <t>Pemasangan 1m2 lantai ubin PC abu-abu ukuran 30cm x30 cm</t>
  </si>
  <si>
    <t>HARGA SATUAN PEKERJAAN PENUTUP LANTAI DAN PENUTUP DINDING</t>
  </si>
  <si>
    <t>Pemasangan 1 m2 acian</t>
  </si>
  <si>
    <t>Pemasangan 1 m2 finishing siar pasangan conblock ekspose</t>
  </si>
  <si>
    <t>Pemasangan 1 m2 finishing siar pasangan bata merah</t>
  </si>
  <si>
    <t>Pemasangan 1 m2 plesteran ciprat 1SP : 2PP</t>
  </si>
  <si>
    <t>Pemasangan 1 m’ plesteran skoning 1SP : 3PP lebar 10 cm</t>
  </si>
  <si>
    <t>Pemasangan 1 m2 berapen 1SP : 5PP tebal 15 mm</t>
  </si>
  <si>
    <t>Pemasangan 1 m2 plesteran 1SP : 6PP tebal 20 mm</t>
  </si>
  <si>
    <t>Pemasangan 1 m2 plesteran 1SP : 5PP tebal 20 mm</t>
  </si>
  <si>
    <t>Pemasangan 1 m2 plesteran 1SP : 4PP tebal 20 mm</t>
  </si>
  <si>
    <t>Pemasangan 1 m2 plesteran 1SP : 3PP tebal 20 mm</t>
  </si>
  <si>
    <t>Pemasangan 1 m2 plesteran 1SP : 7PP tebal 15 mm</t>
  </si>
  <si>
    <t>Pemasangan 1 m2 plesteran 1SP : 6PP tebal 15 mm</t>
  </si>
  <si>
    <t>Pemasangan 1 m2 plesteran 1SP : 5PP tebal 15 mm</t>
  </si>
  <si>
    <t>Pemasangan 1 m2 plesteran 1SP : 4PP tebal 15 mm</t>
  </si>
  <si>
    <t>Pemasangan 1 m2 plesteran 1SP : 3PP tebal 15mm</t>
  </si>
  <si>
    <t>Pemasangan 1 m2 plesteran 1SP : 2PP tebal 15 mm</t>
  </si>
  <si>
    <t>Pemasangan 1 m2 plesteran 1SP : 1PP tebal 15 mm</t>
  </si>
  <si>
    <t>HARGA SATUAN PEKERJAAN PLESTERAN</t>
  </si>
  <si>
    <t>A.4.1.1.16</t>
  </si>
  <si>
    <t>Pemasangan 10 kg jaring kawat baja (wiremesh)</t>
  </si>
  <si>
    <t>Pemasangan 1 m2  bekisting untuk pondasi</t>
  </si>
  <si>
    <t>Pemasangan 1 m2  bekisting untuk sloof</t>
  </si>
  <si>
    <t xml:space="preserve"> Pemasangan 1 m2  bekisting untuk kolom</t>
  </si>
  <si>
    <t>Pemasangan 1 m2  bekisting untuk balok</t>
  </si>
  <si>
    <t>Pemasangan 1 m2  bekisting untuk lantai</t>
  </si>
  <si>
    <t>Pemasangan 1 m2  jembatan untuk pengecoran beton</t>
  </si>
  <si>
    <t>A.4.1.2</t>
  </si>
  <si>
    <t xml:space="preserve"> HARGA SATUAN PEKERJAAN BETON PRACETAK</t>
  </si>
  <si>
    <t xml:space="preserve"> Pembuatan 1 m2  lahan produksi tebal 8cm beton f’c 14.5 Mpa (K 175) slump (12 ± 2)cm</t>
  </si>
  <si>
    <t xml:space="preserve"> Pembuatan 1 m2  lahan produksi tebal 10 cm beton f’c 14.5 Mpa (K 175) slump (12 ±2) cm</t>
  </si>
  <si>
    <t>Pembuatan 1 m2  lahan produksi tebal 12 cm beton f’c 14.5 Mpa (K 175) slump (12 ±2) cm</t>
  </si>
  <si>
    <t xml:space="preserve"> Pembuatan 1 m2  lahan produksi tebal 15 cm beton f’c 14.5 Mpa (K 175) slump (12 ±2) cm</t>
  </si>
  <si>
    <t>Pembuatan 1 m2 bekisting untuk plat beton pracetak ( 5 kali pakai)</t>
  </si>
  <si>
    <t>Pembuatan 1 m2 bekisting untuk balok beton pracetak ( 10-12 kali pakai)</t>
  </si>
  <si>
    <t>Pembuatan 1 m2 bekisting untuk kolom beton pracetak (10-12 kali pakai)</t>
  </si>
  <si>
    <t xml:space="preserve"> Pemasangan dan membuka bekisting 1 buah komponen plat beton pracetak</t>
  </si>
  <si>
    <t xml:space="preserve"> Pemasangan dan membuka bekisting 1 buah komponen balok beton pracetak</t>
  </si>
  <si>
    <t>Pemasangan dan membuka bekisting 1 buah komponen Kolom beton pracetak</t>
  </si>
  <si>
    <t xml:space="preserve"> Penuangan/menebar beton untuk 1 buah komponen plat pracetak</t>
  </si>
  <si>
    <t>Penuangan/menebar beton untuk 1 buah komponen balok pracetak</t>
  </si>
  <si>
    <t>Penuangan/menebar beton untuk 1 buah komponen kolom pracetak</t>
  </si>
  <si>
    <t xml:space="preserve"> Mendirikan 1 buah komponen plat pracetak</t>
  </si>
  <si>
    <t>Mendirikan 1 buah komponen balok pracetak</t>
  </si>
  <si>
    <t>Mendirikan 1 buah komponen kolom pracetak</t>
  </si>
  <si>
    <t>Melangsir 1 buah komponen plat pracetak ( ± 20 m)</t>
  </si>
  <si>
    <t>Melangsir 1 buah komponen balok pracetak ( ± 20 m)</t>
  </si>
  <si>
    <t>Melangsir 1 buah komponen kolom pracetak ( ± 20 m)</t>
  </si>
  <si>
    <t>Bahan 1 m3 grouting campuran</t>
  </si>
  <si>
    <t xml:space="preserve"> Bahan 1 m3 grouting tidak campuran</t>
  </si>
  <si>
    <t xml:space="preserve"> Upah melakukan 1 titik grouting pada join pracetak</t>
  </si>
  <si>
    <t xml:space="preserve">  Pemasangan 1 titik Bekisting join pracetak</t>
  </si>
  <si>
    <t xml:space="preserve"> Upah 1 titik Join dengan Sling</t>
  </si>
  <si>
    <t xml:space="preserve">HARGA SATUAN PEKERJAAN BESI DAN ALUMUNIUM </t>
  </si>
  <si>
    <t>Pemasangan 1 kg besi profil</t>
  </si>
  <si>
    <t>Pengerjaan 10 cm pengelasan dengan las listrik</t>
  </si>
  <si>
    <t>Pembuatan 1 m2  rangka jendela besi scuare tube (25 x 5) cm</t>
  </si>
  <si>
    <t>Pemasangan 1 m2  pintu rolling door besi</t>
  </si>
  <si>
    <t>Pemasangan 1 m2  rolling door alluminium</t>
  </si>
  <si>
    <t>Pemasangan 1 m2  pintu kaca rangka alluminium</t>
  </si>
  <si>
    <t>Pemasangan 1 m2  terali besi strip (2 x 3) mm</t>
  </si>
  <si>
    <t>Pemasangan 1 m2  kawat nyamuk</t>
  </si>
  <si>
    <t>Pemasangan 1 m2  jendela nako &amp; tralis</t>
  </si>
  <si>
    <t>Pemasangan 1 m’ talang datar/ jurai seng bjls 28 lebar 90 cm</t>
  </si>
  <si>
    <t>Pemasangan 1 m talang ½ lingkaran D-15 cm. seng plat bjls 30 lebar 45 cm</t>
  </si>
  <si>
    <t>HARGA SATUAN PEKERJAAN PASANGAN DINDING</t>
  </si>
  <si>
    <t>Pemasangan 1m2 dinding bata merah (5x11x22) cm tebal 1 batu campuran 1SP :2PP</t>
  </si>
  <si>
    <t>Pemasangan 1m2 dinding bata merah (5x11x22) cm tebal 1 batu campuran 1SP :3PP</t>
  </si>
  <si>
    <t>Pemasangan 1m2  dinding bata merah (5x11x22) cm tebal 1 batu campuran  1SP :4PP</t>
  </si>
  <si>
    <t>Pemasangan 1m2  dinding bata merah (5x11x22) cm tebal 1 batu campuran  1SP :5PP</t>
  </si>
  <si>
    <t>Pemasangan 1m2 Dinding Bata Merah (5x11x22) cm tebal 1 batu campuran  1SP :6PP</t>
  </si>
  <si>
    <t>Pemasangan 1m2  dinding bata merah (5x11x22) cm tebal ½ batu campuran  1SP :2PP</t>
  </si>
  <si>
    <t>Pemasangan 1m2 dinding bata merah (5x11x22) cm tebal ½ batu campuran  1SP :3PP</t>
  </si>
  <si>
    <t>Membuat 1 m’ kolom praktis beton bertulang (11 x 11) cm</t>
  </si>
  <si>
    <t>Pemasangan 1m2  dinding bata merah (5x11x22)cm tebal ½ batu campuran   1SP:5PP</t>
  </si>
  <si>
    <t>Pemasangan 1m2  dinding bata merah (5x11x22)cm tebal ½ batu campuran  1SP :6PP</t>
  </si>
  <si>
    <t>Pemasangan 1m2 dinding conblock HB20 campuran 1SP : 3PP</t>
  </si>
  <si>
    <t>Pemasangan 1m2 dinding conblock HB20 campuran 1SP :4PP</t>
  </si>
  <si>
    <t>Pemasangan 1m2 dinding conblock HB15 campuran 1SP :3PP</t>
  </si>
  <si>
    <t>Propinsi</t>
  </si>
  <si>
    <t>NO</t>
  </si>
  <si>
    <t>JENIS TENAGA KERJA</t>
  </si>
  <si>
    <t>KODE</t>
  </si>
  <si>
    <t>SATUAN</t>
  </si>
  <si>
    <t>HARGA SATUAN (Rp/Hari)</t>
  </si>
  <si>
    <t>HARGA SATUAN (Rp/jam)</t>
  </si>
  <si>
    <t>Pekerja terlatih</t>
  </si>
  <si>
    <t>L01</t>
  </si>
  <si>
    <t>Orang/Hari/jam</t>
  </si>
  <si>
    <t>L02</t>
  </si>
  <si>
    <t>L03</t>
  </si>
  <si>
    <t>L10</t>
  </si>
  <si>
    <t>URAIAN / JENIS BAHAN BANGUNAN</t>
  </si>
  <si>
    <t>HARGA SATUAN (Rp)</t>
  </si>
  <si>
    <t>KET.</t>
  </si>
  <si>
    <t>UPAH PEMBONGKARAN BANGUNAN</t>
  </si>
  <si>
    <t>Upah bongkar lantai lama</t>
  </si>
  <si>
    <t xml:space="preserve">Upah bongkar rangka atap kayu </t>
  </si>
  <si>
    <t>Upah bongkar plafond + rangka</t>
  </si>
  <si>
    <t>BAHAN BANGUNAN GEDUNG</t>
  </si>
  <si>
    <t>Bahan-bahan Galian, Semen</t>
  </si>
  <si>
    <t>Aspal 60/70</t>
  </si>
  <si>
    <t>Aspal Cair</t>
  </si>
  <si>
    <t>ltr</t>
  </si>
  <si>
    <t>Batu Gunung</t>
  </si>
  <si>
    <t>Batu Kali</t>
  </si>
  <si>
    <t>Batu Koral</t>
  </si>
  <si>
    <t>Batu Pecah 15/20 cm</t>
  </si>
  <si>
    <t>Batu Pecah  5 - 10 cm</t>
  </si>
  <si>
    <t>Batu Pecah  3 - 5cm</t>
  </si>
  <si>
    <t>Batu Pecah  2 - 3cm</t>
  </si>
  <si>
    <t>Batu kelapa</t>
  </si>
  <si>
    <t>Batu alam (paras)</t>
  </si>
  <si>
    <t>Batu bata cetak mesin</t>
  </si>
  <si>
    <t>Bata beton Ringan uk. 10x20x60</t>
  </si>
  <si>
    <t>83bh/m3</t>
  </si>
  <si>
    <t>Kerikil Beton guli (2-3cm)</t>
  </si>
  <si>
    <t>Pasir pasang / Beton</t>
  </si>
  <si>
    <t>Pasir Urug</t>
  </si>
  <si>
    <t>Semen Putih  40 Kg</t>
  </si>
  <si>
    <t>zak</t>
  </si>
  <si>
    <t>Semen Portland ( Andalas ) 40 Kg</t>
  </si>
  <si>
    <t>Semen Portland ( Andalas )</t>
  </si>
  <si>
    <t>Semen Mortar</t>
  </si>
  <si>
    <t>Sirtu ( Pasir Batu )</t>
  </si>
  <si>
    <t>Tanah Timbun/ merah</t>
  </si>
  <si>
    <t>Tanah Humus</t>
  </si>
  <si>
    <t>Tiang Pancang Ø30 cm</t>
  </si>
  <si>
    <t>m1</t>
  </si>
  <si>
    <t xml:space="preserve">Kayu Dolken/ Bulat O3"-4 " </t>
  </si>
  <si>
    <t>Kayu profil 2"</t>
  </si>
  <si>
    <t>m'</t>
  </si>
  <si>
    <t>Kayu plint 1"x4"</t>
  </si>
  <si>
    <t xml:space="preserve">Lem kayu </t>
  </si>
  <si>
    <t>Lem kuning</t>
  </si>
  <si>
    <t>Listplank motif bunga/ melayu 14x40</t>
  </si>
  <si>
    <t>Tepas Kelapa Sawit</t>
  </si>
  <si>
    <t xml:space="preserve">Lembar </t>
  </si>
  <si>
    <t xml:space="preserve">Tepas Bambu </t>
  </si>
  <si>
    <t>Tripleks 4 mm</t>
  </si>
  <si>
    <t>Tripleks 6 mm</t>
  </si>
  <si>
    <t>Tripleks 9 mm</t>
  </si>
  <si>
    <t>Triplek sungkai 3mm</t>
  </si>
  <si>
    <t>Bahan-bahan Besi, Alumunium</t>
  </si>
  <si>
    <t>Besi Beton Polos</t>
  </si>
  <si>
    <t>Besi Beton Ulir</t>
  </si>
  <si>
    <t>Besi plat Strip</t>
  </si>
  <si>
    <t>Kawat Licin / Bronjong</t>
  </si>
  <si>
    <t>Kawat Beton</t>
  </si>
  <si>
    <t>Dos</t>
  </si>
  <si>
    <t>Jerjak besi biasa</t>
  </si>
  <si>
    <t>Jerjak besi bermotif</t>
  </si>
  <si>
    <t xml:space="preserve">Pintu gulung aluminium/ rolling door </t>
  </si>
  <si>
    <t xml:space="preserve">Pintu besi lipat harmonika </t>
  </si>
  <si>
    <t>Pintu KM/ WC PVC lengkap terpasang</t>
  </si>
  <si>
    <t>Pintu Alumunium putih</t>
  </si>
  <si>
    <t>Pintu Kaca #5mm bingkai Aluminium + engsel tanam lengkap terpasang</t>
  </si>
  <si>
    <t>unit</t>
  </si>
  <si>
    <t>Plat baja profil</t>
  </si>
  <si>
    <t xml:space="preserve">Paku biasa </t>
  </si>
  <si>
    <t>Paku seng</t>
  </si>
  <si>
    <t>Pagar Besi Strip terpasang</t>
  </si>
  <si>
    <t>Pagar Besi Hollow terpasang</t>
  </si>
  <si>
    <t>Venetions Blinds alumunium</t>
  </si>
  <si>
    <t>Venetions Blinds kayu</t>
  </si>
  <si>
    <t>Vertical Blinds</t>
  </si>
  <si>
    <t>Alumunium Composit Panel (ACP)</t>
  </si>
  <si>
    <t>Dinabolt dia. 10 mm</t>
  </si>
  <si>
    <t>Seallent</t>
  </si>
  <si>
    <t>Pagar BRC 120 polos</t>
  </si>
  <si>
    <t>Rangka Atap kanopi besi hollow terpasang</t>
  </si>
  <si>
    <t>Kusen pintu UPVC uk. 80x210cm atau 90x210cm lengkap terpasang</t>
  </si>
  <si>
    <t>Kusen Jendela UPVC terpasang</t>
  </si>
  <si>
    <t>Daun Pintu UPVC uk. 80x210cm atau 90x210cm lengkap terpasang</t>
  </si>
  <si>
    <t>Daun jendela kaca Rangka UPVC lengkap terpasang</t>
  </si>
  <si>
    <t>Floor deck 0,75 mm</t>
  </si>
  <si>
    <t>Kusen Aluminium</t>
  </si>
  <si>
    <t xml:space="preserve">Besi pipa </t>
  </si>
  <si>
    <t>M¹</t>
  </si>
  <si>
    <t>Bahan-bahan Penutup Lantai</t>
  </si>
  <si>
    <t xml:space="preserve">Conblock #6cm </t>
  </si>
  <si>
    <t xml:space="preserve">Conblock #8cm </t>
  </si>
  <si>
    <t>Floor Hardener</t>
  </si>
  <si>
    <t xml:space="preserve">Keramik  20 x 20 cm </t>
  </si>
  <si>
    <t xml:space="preserve">Keramik  20 x 25 cm </t>
  </si>
  <si>
    <t xml:space="preserve">Keramik  30 x 30 cm </t>
  </si>
  <si>
    <t>Keramik 40 x 40 cm</t>
  </si>
  <si>
    <t xml:space="preserve">Keramik  60 x 60 cm </t>
  </si>
  <si>
    <t>Keramik 40 x 40 cm setara Granito</t>
  </si>
  <si>
    <t>Keramik 40 x 40 cm setara Essenza</t>
  </si>
  <si>
    <t xml:space="preserve">Keramik Warna Polos 20 x 20 cm </t>
  </si>
  <si>
    <t>Keramik Siku (bon-bon)</t>
  </si>
  <si>
    <t>Karpet wool</t>
  </si>
  <si>
    <t>Karpet wool + nylon</t>
  </si>
  <si>
    <t>Kanstin 10 x 15 x 45 cm</t>
  </si>
  <si>
    <t>Kanstin 15 x 30 x 60 cm</t>
  </si>
  <si>
    <t>Parquet Kayu Solid</t>
  </si>
  <si>
    <t>Lantai kayu sintetis  (Gym floor)</t>
  </si>
  <si>
    <t>Plint keramik 10 x 30 cm</t>
  </si>
  <si>
    <t>Plint keramik 10 x 40 cm</t>
  </si>
  <si>
    <t>Plint keramik 10 x 60 cm</t>
  </si>
  <si>
    <t>Wallpaper biasa</t>
  </si>
  <si>
    <t>Wallpaper lux bermotif</t>
  </si>
  <si>
    <t>Bahan-bahan Kaca</t>
  </si>
  <si>
    <t>Kaca 5 mm</t>
  </si>
  <si>
    <t>Kaca 3 mm</t>
  </si>
  <si>
    <t>Kaca 8 mm</t>
  </si>
  <si>
    <t>Kaca Buram/ reyben 5 mm</t>
  </si>
  <si>
    <t>Kaca jendela nako + rangka</t>
  </si>
  <si>
    <t>Kaca Blok</t>
  </si>
  <si>
    <t>Bahan-bahan Atap</t>
  </si>
  <si>
    <t>Atap Asbes Gelombang 7 kaki</t>
  </si>
  <si>
    <t>lbr</t>
  </si>
  <si>
    <t xml:space="preserve">Atap Zincalum Gelombang # 0,30 </t>
  </si>
  <si>
    <t xml:space="preserve">Kaki </t>
  </si>
  <si>
    <t>Atap Super Dex</t>
  </si>
  <si>
    <t>Atap Plastik Gelombang Fiber</t>
  </si>
  <si>
    <t>Atap Genteng Metal  #0,30</t>
  </si>
  <si>
    <t>Genteng Keramik</t>
  </si>
  <si>
    <t>Keping</t>
  </si>
  <si>
    <t>Genteng Beton Warna</t>
  </si>
  <si>
    <t xml:space="preserve">Rangka Atap Baja Ringan Atap Zincalum </t>
  </si>
  <si>
    <t>Rangka Atap Baja Ringan Atap Seng</t>
  </si>
  <si>
    <t>Rangka Atap Baja Ringan Atap Genteng Metal</t>
  </si>
  <si>
    <t>Rangka Atap Baja Ringan Genteng Keramik/Beton</t>
  </si>
  <si>
    <t xml:space="preserve">Seng Gelombang 7 kaki BJLS 20  </t>
  </si>
  <si>
    <t>Seng Gelombang 7 kaki BJLS 30</t>
  </si>
  <si>
    <t xml:space="preserve">Seng Plat BJLS 30 </t>
  </si>
  <si>
    <t>kaki</t>
  </si>
  <si>
    <t>Atap Bitumen bergelombang uk. 200x95</t>
  </si>
  <si>
    <t>Siku Bitumen</t>
  </si>
  <si>
    <t>Sekrup + tutup plastik</t>
  </si>
  <si>
    <t>Paku + tutup plastik</t>
  </si>
  <si>
    <t>WATERPROOFING ACIAN</t>
  </si>
  <si>
    <t>Bahan-bahan Plafond</t>
  </si>
  <si>
    <t>Asbes</t>
  </si>
  <si>
    <t>Gypsum board 9mm</t>
  </si>
  <si>
    <t>Gypsum board 6mm</t>
  </si>
  <si>
    <t>Gypsum board 12mm</t>
  </si>
  <si>
    <t>Profil gipsum 6"</t>
  </si>
  <si>
    <t>Profil gipsum 4"</t>
  </si>
  <si>
    <t>Profil gipsum 3"</t>
  </si>
  <si>
    <t>Profil gipsum 2"</t>
  </si>
  <si>
    <t>Bahan Sistem Plafond Akustik Rangka Tampak</t>
  </si>
  <si>
    <t xml:space="preserve">Rangka utama (Main Tee) </t>
  </si>
  <si>
    <t xml:space="preserve">Rangka silang (Cross Tee) </t>
  </si>
  <si>
    <t xml:space="preserve">Rangka ke Dinding (Wall Angle) </t>
  </si>
  <si>
    <t xml:space="preserve">Penggantung (Adjustable Hanger Clip) </t>
  </si>
  <si>
    <t xml:space="preserve">Pengikat (Suspension Rod) 3mmx2400mm  </t>
  </si>
  <si>
    <t xml:space="preserve">Braket sudut (Angle Bracket) </t>
  </si>
  <si>
    <t>Paku Ramset</t>
  </si>
  <si>
    <t>Paku Beton</t>
  </si>
  <si>
    <t>Panel Plafond Akustik setara Jaya Tekstur Byhua 9mmx1200x600</t>
  </si>
  <si>
    <t xml:space="preserve">Calsiboard  </t>
  </si>
  <si>
    <t>Bahan-bahan Cat</t>
  </si>
  <si>
    <t>Cat Kilat serara Bee Brand</t>
  </si>
  <si>
    <t>Cat Tembok setara Paragon</t>
  </si>
  <si>
    <t>Cat Vernis</t>
  </si>
  <si>
    <t>Cat Manie Kayu</t>
  </si>
  <si>
    <t>Filler</t>
  </si>
  <si>
    <t>Flinkote</t>
  </si>
  <si>
    <t>Soda Api</t>
  </si>
  <si>
    <t>Residu/ kolter</t>
  </si>
  <si>
    <t>Bahan-bahan Sanitair</t>
  </si>
  <si>
    <t>Bak Air Fiberglass</t>
  </si>
  <si>
    <t>Bak Cuci piring 2 Lobang komplet</t>
  </si>
  <si>
    <t>Filter Plastik</t>
  </si>
  <si>
    <t>Floor Drain</t>
  </si>
  <si>
    <t>Instalasi air bersih</t>
  </si>
  <si>
    <t>titik</t>
  </si>
  <si>
    <t>Kloset Duduk (dengan bak air)</t>
  </si>
  <si>
    <t>Kloset Jongkok porselein standar</t>
  </si>
  <si>
    <t>Kloset Jongkok setara TOTO dengan Flusher</t>
  </si>
  <si>
    <t>Kran Air Lokal</t>
  </si>
  <si>
    <t>Kran Air Bebek Lokal</t>
  </si>
  <si>
    <t>Kran Air setara San Ei</t>
  </si>
  <si>
    <t>Kran Air Bebek setara San Ei</t>
  </si>
  <si>
    <t>Kran shower</t>
  </si>
  <si>
    <t>Kran bidet/ cebok</t>
  </si>
  <si>
    <t>Stop kran 3/4 atau 1/2</t>
  </si>
  <si>
    <t>Septiktank Kapasitas 3 M3</t>
  </si>
  <si>
    <t>Biotank septictank kapasitas 3000 ltr lengkap terpasang</t>
  </si>
  <si>
    <t>Tempat sabun keramik 10x20cm</t>
  </si>
  <si>
    <t>Wastafel Biasa lengkap</t>
  </si>
  <si>
    <t>Bahan-bahan Listrik</t>
  </si>
  <si>
    <t>Instalasi titik nyala</t>
  </si>
  <si>
    <t>Instalasi stop kontak</t>
  </si>
  <si>
    <t>Lampu SL 24 watt komplet</t>
  </si>
  <si>
    <t>Lampu SL 18 watt komplet</t>
  </si>
  <si>
    <t>Lampu SL 10 watt komplet</t>
  </si>
  <si>
    <t>Lampu TL 1x20 watt komplet kotak</t>
  </si>
  <si>
    <t>Lampu pijar 5 watt +fitting</t>
  </si>
  <si>
    <t>Lampu pijar 10 watt +fitting</t>
  </si>
  <si>
    <t>Lampu pijar 20 watt +fitting</t>
  </si>
  <si>
    <t>Lampu pijar 40 watt +fitting</t>
  </si>
  <si>
    <t>Lampu pijar 100 watt +fitting</t>
  </si>
  <si>
    <t>Saklar tunggal</t>
  </si>
  <si>
    <t>Saklar tripel</t>
  </si>
  <si>
    <t>Stop kontak tanam</t>
  </si>
  <si>
    <t xml:space="preserve">Downlight </t>
  </si>
  <si>
    <t>MCB 2A</t>
  </si>
  <si>
    <t>MCB 4A</t>
  </si>
  <si>
    <t>MCB 6A</t>
  </si>
  <si>
    <t>MCB 8A</t>
  </si>
  <si>
    <t>Box Zekering 1 grup</t>
  </si>
  <si>
    <t>Box Zekering 2 grup</t>
  </si>
  <si>
    <t>Box Zekering 3 grup</t>
  </si>
  <si>
    <t>Box Zekering 4 grup</t>
  </si>
  <si>
    <t>Kabel listrik NYA 1,5mm</t>
  </si>
  <si>
    <t>Kabel listrik NYA 2,5mm</t>
  </si>
  <si>
    <t>Kabel listrik NYA 4mm</t>
  </si>
  <si>
    <t>Kabel listrik NYM 2x1,5mm</t>
  </si>
  <si>
    <t>Kabel listrik NYM 2x2,5mm</t>
  </si>
  <si>
    <t>Kabel listrik NYM 2x4mm</t>
  </si>
  <si>
    <t>Kabel NYY 4 x 10 mm²</t>
  </si>
  <si>
    <t>Conduit</t>
  </si>
  <si>
    <t>Btg</t>
  </si>
  <si>
    <t>Bahan-bahan Pengunci Penggantung</t>
  </si>
  <si>
    <t>Door Closer</t>
  </si>
  <si>
    <t>Door Holder</t>
  </si>
  <si>
    <t>Engsel Pintu Nyilon 4"</t>
  </si>
  <si>
    <t>Engsel Jendela Nyilon 3"</t>
  </si>
  <si>
    <t>Grendel Besar 4"</t>
  </si>
  <si>
    <t>Grendel Besar 3"</t>
  </si>
  <si>
    <t>Hak Angin Biasa</t>
  </si>
  <si>
    <t>Handle (pegangan) jendela biasa</t>
  </si>
  <si>
    <t>Kunci tanam 4"</t>
  </si>
  <si>
    <t>Kunci Lock KCL Biasa 6" (antik)</t>
  </si>
  <si>
    <t>Kunci Lock Besar Uk. 4"</t>
  </si>
  <si>
    <t>Kunci Silinder</t>
  </si>
  <si>
    <t>Kunci Lemari</t>
  </si>
  <si>
    <t>Bahan Pendukung</t>
  </si>
  <si>
    <t>Amplas</t>
  </si>
  <si>
    <t>Kipas angin Stainlesstell lengkap</t>
  </si>
  <si>
    <t>Hot Mix (HRS)</t>
  </si>
  <si>
    <t>ton</t>
  </si>
  <si>
    <t>Oxygen las</t>
  </si>
  <si>
    <t>Waterproof membran bakar</t>
  </si>
  <si>
    <t>Prime cote</t>
  </si>
  <si>
    <t>Bahan-bahan Minyak</t>
  </si>
  <si>
    <t>Bensin premium bersubsidi</t>
  </si>
  <si>
    <t>Minyak Pelumas/ Silender</t>
  </si>
  <si>
    <t>Minyak Gemuk</t>
  </si>
  <si>
    <t xml:space="preserve">Minyak tanah / lampu </t>
  </si>
  <si>
    <t>Kerosene</t>
  </si>
  <si>
    <t>Minyak bekesting</t>
  </si>
  <si>
    <t>Minyak Gerdang</t>
  </si>
  <si>
    <t xml:space="preserve">Minyak Cat </t>
  </si>
  <si>
    <t>Pertamax</t>
  </si>
  <si>
    <t>Bahan-bahan Riol</t>
  </si>
  <si>
    <t>Riol uk. 1/2 Ø 150 mm panjang 1m</t>
  </si>
  <si>
    <t>Riol uk. 1/2 Ø 200 mm panjang 1m</t>
  </si>
  <si>
    <t>Riol uk. 1/2 Ø 300 mm panjang 1m</t>
  </si>
  <si>
    <t>Riol uk. Ø 150 mm panjang 1m</t>
  </si>
  <si>
    <t>Riol uk. Ø 200 mm panjang 1m</t>
  </si>
  <si>
    <t>Riol uk. Ø 300 mm panjang 1m</t>
  </si>
  <si>
    <t>Riol uk. Ø 400 mm panjang 1m</t>
  </si>
  <si>
    <t>Riol uk. Ø 500 mm panjang 1m</t>
  </si>
  <si>
    <t>Riol uk. Ø 600 mm panjang 1m</t>
  </si>
  <si>
    <t>Riol uk. Ø 800 mm panjang 1m</t>
  </si>
  <si>
    <t>Riol uk. Ø 1000 mm panjang 1m</t>
  </si>
  <si>
    <t>Bahan-bahan Perpipaan</t>
  </si>
  <si>
    <t>Pipa Porous</t>
  </si>
  <si>
    <t>Pipa PVC 6 m  1/2"</t>
  </si>
  <si>
    <t>Pipa PVC AW</t>
  </si>
  <si>
    <t>Pipa PVC 6 m  3/4"</t>
  </si>
  <si>
    <t>Pipa PVC 6 m  1"</t>
  </si>
  <si>
    <t>Pipa PVC 6 m  1 1/2"</t>
  </si>
  <si>
    <t>Pipa PVC 6 m  2"</t>
  </si>
  <si>
    <t>Pipa PVC 6 m  2,5"</t>
  </si>
  <si>
    <t>Pipa PVC 6 m  3"</t>
  </si>
  <si>
    <t>Pipa PVC 6 m  4"</t>
  </si>
  <si>
    <t>Pipa PVC 6 m  6"</t>
  </si>
  <si>
    <t>Pipa Galvanis 6 m 1/2"</t>
  </si>
  <si>
    <t>Pipa Galvanis 6 m 3/4"</t>
  </si>
  <si>
    <t>Pipa Galvanis 6 m  1"</t>
  </si>
  <si>
    <t>Pipa Galvanis 6 m  1 1/2"</t>
  </si>
  <si>
    <t>Pipa Galvanis 6 m  2"</t>
  </si>
  <si>
    <t>Pipa Galvanis 6 m  2 1/2"</t>
  </si>
  <si>
    <t>Excavator</t>
  </si>
  <si>
    <t>Vibrator Roller</t>
  </si>
  <si>
    <t>Dump Truck</t>
  </si>
  <si>
    <t>PVC Pipes</t>
  </si>
  <si>
    <t>SNI S-12,5</t>
  </si>
  <si>
    <t>250 mm</t>
  </si>
  <si>
    <t>160 mm</t>
  </si>
  <si>
    <t>110 mm</t>
  </si>
  <si>
    <t>90 mm</t>
  </si>
  <si>
    <t>63 mm</t>
  </si>
  <si>
    <t xml:space="preserve">SNI S-16  </t>
  </si>
  <si>
    <t>8"</t>
  </si>
  <si>
    <t>200 mm</t>
  </si>
  <si>
    <t>6"</t>
  </si>
  <si>
    <t>4"</t>
  </si>
  <si>
    <t>110mm</t>
  </si>
  <si>
    <t xml:space="preserve">Oblique Saddle </t>
  </si>
  <si>
    <t>Solvent Cement</t>
  </si>
  <si>
    <t>3"</t>
  </si>
  <si>
    <t>All Socket Tee</t>
  </si>
  <si>
    <t>160x160x160 mm</t>
  </si>
  <si>
    <t>160x110x160 mm</t>
  </si>
  <si>
    <t>160x90x160 mm</t>
  </si>
  <si>
    <t>90mm</t>
  </si>
  <si>
    <t>63mm</t>
  </si>
  <si>
    <t>160mm</t>
  </si>
  <si>
    <t>Flange Socket</t>
  </si>
  <si>
    <t>10"</t>
  </si>
  <si>
    <t>Reducing Socket</t>
  </si>
  <si>
    <t>160x110</t>
  </si>
  <si>
    <t>110x90</t>
  </si>
  <si>
    <t>Rubber Packing</t>
  </si>
  <si>
    <t>3mm</t>
  </si>
  <si>
    <t>Bolt &amp; Nut</t>
  </si>
  <si>
    <t>5/8x3"</t>
  </si>
  <si>
    <t>Pig Busa</t>
  </si>
  <si>
    <t>Valve  Cover CI</t>
  </si>
  <si>
    <t>2"</t>
  </si>
  <si>
    <t xml:space="preserve">Elbow </t>
  </si>
  <si>
    <t>Cup PVC</t>
  </si>
  <si>
    <t>Double air valve</t>
  </si>
  <si>
    <t>HDPE Spigot Tee dia. 3" x 3"</t>
  </si>
  <si>
    <t>HDPE Spigot Tee dia. 3" x 2"</t>
  </si>
  <si>
    <t>HDPE Spigot Tee dia. 2" x 2"</t>
  </si>
  <si>
    <t>HDPE Spigot Reducer dia. 3" x 2"</t>
  </si>
  <si>
    <t>HDPE End Cap dia. 2"</t>
  </si>
  <si>
    <t>HDPE End Cap dia. 3"</t>
  </si>
  <si>
    <t>HDPE straight coupler dia. 2"</t>
  </si>
  <si>
    <t>HDPE straight coupler dia. 3"</t>
  </si>
  <si>
    <t>Pipa HDPE dia 1/2"</t>
  </si>
  <si>
    <t>HDPE Double Male thread elbow 20 x 1/2 "</t>
  </si>
  <si>
    <t>Sreewed Gate Valve 1/2"</t>
  </si>
  <si>
    <t>Lobang Potong Hotmix</t>
  </si>
  <si>
    <t>Lobang Potong Trotoar</t>
  </si>
  <si>
    <t>Gal/Timb. Cross Hotmix</t>
  </si>
  <si>
    <t>Gal/Timb. Hotmix</t>
  </si>
  <si>
    <t>M'</t>
  </si>
  <si>
    <t>BIAYA PERBAIKAN</t>
  </si>
  <si>
    <t>Tpt</t>
  </si>
  <si>
    <t>Gal/Pot berm Tanah</t>
  </si>
  <si>
    <t xml:space="preserve">Gal/Timb. Trotoar </t>
  </si>
  <si>
    <t>Gal/Timb. Trotoar</t>
  </si>
  <si>
    <t>Gal/Timb. Sirtu/ berm</t>
  </si>
  <si>
    <t>BIAYA IZIN GALIAN / TIMBUNAN</t>
  </si>
  <si>
    <t xml:space="preserve"> Plate steel t=6 mm, 4' x 8'</t>
  </si>
  <si>
    <t xml:space="preserve"> Plate steel t=8 mm, 4' x 8'</t>
  </si>
  <si>
    <t xml:space="preserve"> Disc end lengkung t=8mm</t>
  </si>
  <si>
    <t xml:space="preserve"> Flange steel Ø 600mm</t>
  </si>
  <si>
    <t xml:space="preserve"> Blind flange steel Ø 600mm</t>
  </si>
  <si>
    <t xml:space="preserve"> Flange steel Ø 300mm</t>
  </si>
  <si>
    <t xml:space="preserve"> Bend steel Ø 3" x 90o</t>
  </si>
  <si>
    <t xml:space="preserve"> Pipa steel Ø 600mm</t>
  </si>
  <si>
    <t xml:space="preserve"> Pipa steel Ø 3"mm t=4,05mm</t>
  </si>
  <si>
    <t xml:space="preserve"> Profil WF.125.125.5.7-12</t>
  </si>
  <si>
    <t xml:space="preserve"> Double air valve Ø 3"</t>
  </si>
  <si>
    <t xml:space="preserve"> Manometer</t>
  </si>
  <si>
    <t xml:space="preserve"> Nozel filter</t>
  </si>
  <si>
    <t xml:space="preserve"> Pasir kwarsa 0.1 - 0.2 cm</t>
  </si>
  <si>
    <t xml:space="preserve"> Pasir kwarsa 0.2 - 0.4 cm</t>
  </si>
  <si>
    <t xml:space="preserve"> Batu gravel 0.5 -1.0 cm</t>
  </si>
  <si>
    <t xml:space="preserve"> Batu gravel 3.0 -5.0 cm</t>
  </si>
  <si>
    <t xml:space="preserve"> Ruber packing t=3mm</t>
  </si>
  <si>
    <t xml:space="preserve"> Bolt &amp; Nut 5/8 x 3"</t>
  </si>
  <si>
    <t xml:space="preserve"> Bolt &amp; Nut 1" x 14"</t>
  </si>
  <si>
    <t xml:space="preserve"> Angker bolt &amp; Nut 3/4 x 16" steel</t>
  </si>
  <si>
    <t xml:space="preserve"> Tiang Wencis</t>
  </si>
  <si>
    <t>KOMPONEN SUMUR BOR</t>
  </si>
  <si>
    <t xml:space="preserve"> Pipa galvanis Ø 6" PVC.</t>
  </si>
  <si>
    <t xml:space="preserve"> Pipa galvanis Ø 8" PVC.</t>
  </si>
  <si>
    <t xml:space="preserve"> Well screen Ø 6" (@ 10 ft) SS.</t>
  </si>
  <si>
    <t xml:space="preserve"> Reducer Ø 8" x 6".</t>
  </si>
  <si>
    <t xml:space="preserve"> Check Valve Ø 3"</t>
  </si>
  <si>
    <t xml:space="preserve"> Pressure Gauge </t>
  </si>
  <si>
    <t xml:space="preserve"> Flange steel Ø 8"</t>
  </si>
  <si>
    <t xml:space="preserve"> Flange steel Ø 3"</t>
  </si>
  <si>
    <t xml:space="preserve"> Plat Uk. 6 mm x 19 mm x 6 mtr.</t>
  </si>
  <si>
    <t xml:space="preserve"> Water Meter Ø 3"</t>
  </si>
  <si>
    <t xml:space="preserve"> Pipa galvanis Ø 3" PVC.</t>
  </si>
  <si>
    <t xml:space="preserve"> Socket galvanis Ø 3".</t>
  </si>
  <si>
    <t xml:space="preserve"> Bochten galvanis Ø 3" </t>
  </si>
  <si>
    <t xml:space="preserve"> Batu kacang/gravel pack </t>
  </si>
  <si>
    <t xml:space="preserve"> Bentonite</t>
  </si>
  <si>
    <t xml:space="preserve"> Pekerjaan penyetelan mesin bor, pembuatan bak spull</t>
  </si>
  <si>
    <t xml:space="preserve"> Pengeboran dan pemasangan temporary casing  Ø 12".</t>
  </si>
  <si>
    <t>Titik</t>
  </si>
  <si>
    <t xml:space="preserve"> Pemasangan konstruksi sumur</t>
  </si>
  <si>
    <t xml:space="preserve"> Pembersihan lokasi, penutupan spull bak saluran air</t>
  </si>
  <si>
    <t xml:space="preserve"> Laboratorium air</t>
  </si>
  <si>
    <t xml:space="preserve">Tukang </t>
  </si>
  <si>
    <t>Panel beton
pracetak</t>
  </si>
  <si>
    <t>Kolom beton pracetak</t>
  </si>
  <si>
    <t>Kayu Papan / Broti (Damar)</t>
  </si>
  <si>
    <t>Kayu Papan / Broti (Meranti)</t>
  </si>
  <si>
    <t>Kayu Papan / Broti (SK)</t>
  </si>
  <si>
    <t>batang</t>
  </si>
  <si>
    <t>Pemasangan 1 m2 panel beton pracetak 5x45x240 cm</t>
  </si>
  <si>
    <t>Panel beton pracetak uk. 5x45x240</t>
  </si>
  <si>
    <t>Tiang beton pracetak uk. 320x18x17</t>
  </si>
  <si>
    <t>waterstop pvc lebar 150 mm</t>
  </si>
  <si>
    <t>waterstop pvc lebar 200 mm</t>
  </si>
  <si>
    <t>waterstop pvc lebar 320 mm</t>
  </si>
  <si>
    <t xml:space="preserve"> Membuat 1 m’ PVC Waterstop lebar 320 mm</t>
  </si>
  <si>
    <t>Waterstop lebar 320 mm</t>
  </si>
  <si>
    <t>Waterstop lebar 150mm</t>
  </si>
  <si>
    <t>Waterstop lebar 200mm</t>
  </si>
  <si>
    <t>Dolken kayu φ 8-10cm –panj 4 m</t>
  </si>
  <si>
    <t>Dolken kayu g φ 8–10)cm panj4 m</t>
  </si>
  <si>
    <t>Dolken kayu galam 8–10 cm panj4 m</t>
  </si>
  <si>
    <t>multipleks Phenol film 12mm</t>
  </si>
  <si>
    <t>Dinabolt dia 12mm (10-15cm)</t>
  </si>
  <si>
    <t>Semen Grout</t>
  </si>
  <si>
    <t xml:space="preserve">Pemasangan 1 m2  pintu lipat (folding door) </t>
  </si>
  <si>
    <t>Sunscreen alluminium</t>
  </si>
  <si>
    <t>Sunscreen aluminium</t>
  </si>
  <si>
    <t>Rolling door alluminium</t>
  </si>
  <si>
    <t>Sekrup fixer</t>
  </si>
  <si>
    <t>Tukang Allumunium/Kaca</t>
  </si>
  <si>
    <t>Tukang Khusus Allumunium</t>
  </si>
  <si>
    <t>Besi lis kaca (1 x 1) cm</t>
  </si>
  <si>
    <t>Tukang Khusus Alumunium</t>
  </si>
  <si>
    <t>Kaca 6 mm</t>
  </si>
  <si>
    <t>kaca 6 mm</t>
  </si>
  <si>
    <t xml:space="preserve">Venetions blinds </t>
  </si>
  <si>
    <t>Kawat nyamuk aluminium</t>
  </si>
  <si>
    <t>Paku skrup 1 cm – 2.5 cm</t>
  </si>
  <si>
    <t>Jendela nako (rangka + kaca 5 mm)</t>
  </si>
  <si>
    <t>Rangka metal hollow 40.40.2 mm</t>
  </si>
  <si>
    <t>Besi hollow 40.40.2.3</t>
  </si>
  <si>
    <t>Assesoris (perkuatan. las dll)</t>
  </si>
  <si>
    <t>Baja ringan canal C75</t>
  </si>
  <si>
    <t>Batako HB 20</t>
  </si>
  <si>
    <t>Batako HB 15</t>
  </si>
  <si>
    <t>Batako HB 10</t>
  </si>
  <si>
    <t>Pemasangan 1 m2 dinding conblock HB15 campuran 1SP :4PP</t>
  </si>
  <si>
    <t>Pemasangan 1 m2 dinding conblock HB10 campuran 1SP :3PP</t>
  </si>
  <si>
    <t>Pemasangan 1 m2 dinding conblock HB10 campuran 1SP :4PP</t>
  </si>
  <si>
    <t>Bata rooster/ terawang</t>
  </si>
  <si>
    <t>Ubin PC 30x30</t>
  </si>
  <si>
    <t>Ubin PC 20x20</t>
  </si>
  <si>
    <t>Ubin PC 40x40</t>
  </si>
  <si>
    <t>Ubin warna 30x30</t>
  </si>
  <si>
    <t>Ubin warna 20x20</t>
  </si>
  <si>
    <t xml:space="preserve">Keramik  10 x 20 cm </t>
  </si>
  <si>
    <t xml:space="preserve">Keramik  10 x 10 cm </t>
  </si>
  <si>
    <t xml:space="preserve">Keramik  33 x 33 cm </t>
  </si>
  <si>
    <t>Plint keramik 10 x 20 cm</t>
  </si>
  <si>
    <t>Plint keramik 10 x 10 cm</t>
  </si>
  <si>
    <t>Pemasangan 1m2 lantai keramik ukuran 60cm x 60cm</t>
  </si>
  <si>
    <t>Pemasangan 1 m’ plint keramik ukuran 10cm x 30cm</t>
  </si>
  <si>
    <t>Pemasangan 1 m’ plint keramik ukuran 10cm x 40cm</t>
  </si>
  <si>
    <t>Pemasangan 1 m’ plint keramik ukuran 10cm x 60cm</t>
  </si>
  <si>
    <t>Panel Plafond Akustik setara Jaya Tekstur Byhua 9mmx300x600</t>
  </si>
  <si>
    <t>Panel Plafond Akustik setara Jaya Tekstur Byhua 9mmx300x300</t>
  </si>
  <si>
    <t>Asbes gel 92x200</t>
  </si>
  <si>
    <t>Pemasangan 1 m2 genteng keramik</t>
  </si>
  <si>
    <t>Teakwood 4 mm 90 x 220 cm</t>
  </si>
  <si>
    <t>Plywood  4 mm.120 x 240</t>
  </si>
  <si>
    <t>Kunci KM</t>
  </si>
  <si>
    <t xml:space="preserve">Pemasangan 1 buah spring knip/ grendel </t>
  </si>
  <si>
    <t>Spring knip/ grendel</t>
  </si>
  <si>
    <t>Pemasangan 1 buah kunci slot/ grendel</t>
  </si>
  <si>
    <t>Kunci slot/ grendel</t>
  </si>
  <si>
    <t>Kaca Buram/ reyben 12 mm</t>
  </si>
  <si>
    <t>Thinner</t>
  </si>
  <si>
    <t>30%x urinoir</t>
  </si>
  <si>
    <t>k100</t>
  </si>
  <si>
    <t>A.2.2.1</t>
  </si>
  <si>
    <t>HARGA SATUAN PEKERJAAN PERSIAPAN</t>
  </si>
  <si>
    <t>HARGA SATUAN PEKERJAAN TANAH</t>
  </si>
  <si>
    <t>Indeks kenaikan lantai mendirikan/ ereksi komponen untuk pelat pracetak</t>
  </si>
  <si>
    <t>Lantai</t>
  </si>
  <si>
    <t>Indeks kenaikan lantai ereksi pelat</t>
  </si>
  <si>
    <t>Kusen Pintu Aluminium (80x 210) coklat terpasang</t>
  </si>
  <si>
    <t>Kusen Pintu Aluminium (80x 210) putih terpasang</t>
  </si>
  <si>
    <t>Kusen Jendela Aluminium (120x60) coklat terpasang</t>
  </si>
  <si>
    <t>Kusen Jendela Aluminium (120x60) putih terpasang</t>
  </si>
  <si>
    <t>Jendela Aluminium + kaca (120x60) coklat terpasang</t>
  </si>
  <si>
    <t>Jendela Aluminium + kaca (120x60) putih terpasang</t>
  </si>
  <si>
    <t>Pintu besi terpasang</t>
  </si>
  <si>
    <t>Baja ringan canal ringan C75</t>
  </si>
  <si>
    <t>Talang Kantong seng bjls terpasang</t>
  </si>
  <si>
    <t>Atap polikarbonat terpasang</t>
  </si>
  <si>
    <t>Pipa Galvanis 6 m  3"</t>
  </si>
  <si>
    <t>Pipa Galvanis 6 m  4"</t>
  </si>
  <si>
    <t>Pipa Galvanis 6 m  6"</t>
  </si>
  <si>
    <t>Pipa Galvanis 6 m  8"</t>
  </si>
  <si>
    <t xml:space="preserve">Pemasangan 1 m2  pagar kawat jaring galvanis </t>
  </si>
  <si>
    <t>storrox-100</t>
  </si>
  <si>
    <t>G</t>
  </si>
  <si>
    <t>Harga Satuan Pekerjaan per Kg</t>
  </si>
  <si>
    <t>Harga Satuan Pekerjaan Per Kg</t>
  </si>
  <si>
    <t>Balok kayu kelas III</t>
  </si>
  <si>
    <t>Tukang Besi Konstruksi</t>
  </si>
  <si>
    <t>Profil Pintu alluminium</t>
  </si>
  <si>
    <t>Papan kayu kelas  III</t>
  </si>
  <si>
    <t>Pemasangan 1 m2 plesteran 1SP: 1PP tebal 20 mm</t>
  </si>
  <si>
    <t>Pemasangan 1m2 lantai keramik ukuran 40cm x 40cm</t>
  </si>
  <si>
    <t>Pemasangan 1m2 lantai keramik ukuran 40cm x 40cm setara granito</t>
  </si>
  <si>
    <t>Pemasangan 1m2 lantai keramik ukuran 40cm x 40cm setara essenza</t>
  </si>
  <si>
    <t>Pemasangan 1 m2 dinding keramik 20cm x 40cm</t>
  </si>
  <si>
    <t xml:space="preserve">Keramik  20 x 40 cm </t>
  </si>
  <si>
    <t>Supl. ACP</t>
  </si>
  <si>
    <t>Memasang 1 m2 Aluminium Composit Panel (ACP)</t>
  </si>
  <si>
    <t>Besi Siku 40.40.4</t>
  </si>
  <si>
    <t>Upah Kerja Borongan</t>
  </si>
  <si>
    <t>Alat Bantu</t>
  </si>
  <si>
    <t>LS</t>
  </si>
  <si>
    <t>Supl. WMB</t>
  </si>
  <si>
    <t>Memasang 1 m2 Waterproofing Membrane Bakar</t>
  </si>
  <si>
    <t>Waterproofing Membrane Bakar</t>
  </si>
  <si>
    <t>Prime Cote</t>
  </si>
  <si>
    <t>Oh</t>
  </si>
  <si>
    <t>Calsium board</t>
  </si>
  <si>
    <t>Paku sekrup 1"</t>
  </si>
  <si>
    <t>Paku sekrup 3"</t>
  </si>
  <si>
    <t>Pemasangan 1 m2 atap aspal/ bitumen bergelombang uk. 200x95cm</t>
  </si>
  <si>
    <t>Atap aspal bitumen uk. 200x95cm</t>
  </si>
  <si>
    <t>Pembuatan dan pemasangan 1 m3 kusen pintu dan kusen jendela. kayu kelas I (Damar)</t>
  </si>
  <si>
    <t>Balok kayu Damar</t>
  </si>
  <si>
    <t>Pembuatan dan pemasangan 1 m2 pintu klamp standar. kayu kelas II Meranti</t>
  </si>
  <si>
    <t>Pembuatan dan pemasangan 1 m2 daun pintu panel. kayu kelas  II Meranti</t>
  </si>
  <si>
    <t>Pembuatan dan pemasangan 1 m2 pintu dan jendela kaca. kayu kelas  II Meranti</t>
  </si>
  <si>
    <t xml:space="preserve"> Pembuatan dan pemasangan 1 m2 pintu dan jendela jalusi kayu kelas II Meranti</t>
  </si>
  <si>
    <t>Pembuatan 1 m2 pintu plywood rangkap. rangka expose kayu kelas  II Meranti</t>
  </si>
  <si>
    <t>Pemasangan 1 m2 jalusi kusen. kayu kelas  II Meranti</t>
  </si>
  <si>
    <t>Pemasangan 1 m3 konstruksi kuda-kuda konvensional. kayu kelas I (damar) bentang 6 meter</t>
  </si>
  <si>
    <t>Pemasangan 1 m3 konstruksi kuda-kuda expose. kayu kelas I (damar)</t>
  </si>
  <si>
    <t>Pemasangan 1 m3 konstruksi gordeng. kayu kelas II (meranti)</t>
  </si>
  <si>
    <t>Pemasangan 1 m2 rangka atap genteng beton. kayu kelas II meranti</t>
  </si>
  <si>
    <t>Pemasangan 1 m2 rangka dinding pemisah (60 x 120) cm kayu kelas III SK</t>
  </si>
  <si>
    <t xml:space="preserve"> Pemasangan 1 m2 dinding lambrisering dari papan kayu kelas I Damar</t>
  </si>
  <si>
    <t>Pemasangan 1 buah engsel angin/ hak angin</t>
  </si>
  <si>
    <t>Engsel angin/ hak angin</t>
  </si>
  <si>
    <t>Pemasangan 1 buah kait angin/ hak angin</t>
  </si>
  <si>
    <t>Kait angin/ hak angin</t>
  </si>
  <si>
    <t>Stop Kran  ½” atau 3/4”</t>
  </si>
  <si>
    <t>Pemasangan 1 m’  Instalasi pipa air bersih GIP 3/4"</t>
  </si>
  <si>
    <t>pipa air bersih GIP 3/4"</t>
  </si>
  <si>
    <t>Pemasangan 1 m’  Instalasi pipa air bersih GIP 1"</t>
  </si>
  <si>
    <t>pipa air bersih GIP 1"</t>
  </si>
  <si>
    <t>Memasang 1 m' Riol uk. Ø 150 mm</t>
  </si>
  <si>
    <t>Semen PC @ 40 Kg</t>
  </si>
  <si>
    <t>Memasang 1 m' Riol uk. Ø 200 mm</t>
  </si>
  <si>
    <t>Memasang 1 m' Riol uk. Ø 300 mm</t>
  </si>
  <si>
    <t>Memasang 1 m' Riol uk. Ø 400 mm</t>
  </si>
  <si>
    <t>Memasang 1 m' Riol uk. Ø 500 mm</t>
  </si>
  <si>
    <t>Memasang 1 m' Riol uk. Ø 600 mm</t>
  </si>
  <si>
    <t>Memasang 1 m' Riol uk. Ø 800 mm</t>
  </si>
  <si>
    <t>Memasang 1 m' Riol uk. Ø 1000 mm</t>
  </si>
  <si>
    <t>Memasang 1 m' Riol uk. 1/2 Ø 150 mm</t>
  </si>
  <si>
    <t>Riol uk. 1/2  Ø 150 mm panjang 1m</t>
  </si>
  <si>
    <t>Memasang 1 m' Riol uk. 1/2 Ø 200 mm</t>
  </si>
  <si>
    <t>Riol uk. 1/2  Ø 200 mm panjang 1m</t>
  </si>
  <si>
    <t>Memasang 1 m' Riol uk. 1/2 Ø 300 mm</t>
  </si>
  <si>
    <t>Riol uk. 1/2  Ø 300 mm panjang 1m</t>
  </si>
  <si>
    <t>cat dasar</t>
  </si>
  <si>
    <t>plamur</t>
  </si>
  <si>
    <t>Politur Jadi</t>
  </si>
  <si>
    <t>Cat penutup setara vinilex</t>
  </si>
  <si>
    <t>Cat penutup setara Paragon</t>
  </si>
  <si>
    <t>12% dari wastafel</t>
  </si>
  <si>
    <t>12% dari bak</t>
  </si>
  <si>
    <t>Pemasangan 1 buah bak fibreglass vol 0,3 m3</t>
  </si>
  <si>
    <t>keramik 20x20cm</t>
  </si>
  <si>
    <t>Beton K175</t>
  </si>
  <si>
    <t>10% dari bahan</t>
  </si>
  <si>
    <t>Water drain</t>
  </si>
  <si>
    <t>Pipa PVC 3/4”</t>
  </si>
  <si>
    <t>Ubin Traso 40x40 cm</t>
  </si>
  <si>
    <t>Ubin Granit 30x30 cm</t>
  </si>
  <si>
    <t>Plint keramik 5 x 20 cm</t>
  </si>
  <si>
    <t>Sirap Kayu</t>
  </si>
  <si>
    <t>Teak Oil</t>
  </si>
  <si>
    <t>Kapur Sirih</t>
  </si>
  <si>
    <t>ikt</t>
  </si>
  <si>
    <t>20% X Bahan</t>
  </si>
  <si>
    <t>Besi scuare tube</t>
  </si>
  <si>
    <t>Besi lis kaca</t>
  </si>
  <si>
    <t>Pengelasan (an. A.4.2.1.5)</t>
  </si>
  <si>
    <t>URAIAN PEKERJAAN</t>
  </si>
  <si>
    <t>NO. KODE</t>
  </si>
  <si>
    <t>JUMLAH</t>
  </si>
  <si>
    <t>Bata ringan tebal 7,5 cm</t>
  </si>
  <si>
    <t>Mortar siap pakai</t>
  </si>
  <si>
    <t>Pemasangan 1 m2 dinding bata ringan tebal 7,5 cm</t>
  </si>
  <si>
    <t xml:space="preserve">Pemasangan 1 m2 dinding bata ringan tebal 10 cm </t>
  </si>
  <si>
    <t>Bata ringan tebal 10 cm</t>
  </si>
  <si>
    <t xml:space="preserve">Paving block 6 cm </t>
  </si>
  <si>
    <t xml:space="preserve">Paving block 8 cm </t>
  </si>
  <si>
    <t>Pemasangan 1 buah closet jongkok porslen Setara TOTO dengan flusher tanam</t>
  </si>
  <si>
    <t>Bata beton Ringan uk. 7,5x20x60</t>
  </si>
  <si>
    <t>111bh/m3</t>
  </si>
  <si>
    <t>List gypsum profil 4"</t>
  </si>
  <si>
    <t>Tepung Gypsum/dempul</t>
  </si>
  <si>
    <t>Pemasangan 1 m2 kaca cermin tebal 6 mm</t>
  </si>
  <si>
    <t xml:space="preserve">Pembesian 1 kg dengan besi polos </t>
  </si>
  <si>
    <t>Besi beton (polos)</t>
  </si>
  <si>
    <t>Alat bantu</t>
  </si>
  <si>
    <t>Pembesian 1 kg dengan besi ulir</t>
  </si>
  <si>
    <t>Besi beton (ulir)</t>
  </si>
  <si>
    <t>Jaring kawat baja dilas</t>
  </si>
  <si>
    <t>ls</t>
  </si>
  <si>
    <t>Sekrup</t>
  </si>
  <si>
    <t>Upah Pasang</t>
  </si>
  <si>
    <t>Pasang 1 Titik Instalasi Penerangan dan Stop Kontak dengan Kabel NYA 3x2,5 mm²</t>
  </si>
  <si>
    <t>Stop Kontak Tanam</t>
  </si>
  <si>
    <t>Saklar Tunggal</t>
  </si>
  <si>
    <t>Saklar Ganda</t>
  </si>
  <si>
    <t>Saklar Triple</t>
  </si>
  <si>
    <t>TAKSIR - 1</t>
  </si>
  <si>
    <t>TAKSIR - 2</t>
  </si>
  <si>
    <t>TAKSIR - 3</t>
  </si>
  <si>
    <t xml:space="preserve"> Perakitan tangki dan penyusunan media filter</t>
  </si>
  <si>
    <t>TAKSIR - 4</t>
  </si>
  <si>
    <t>TAKSIR - 5</t>
  </si>
  <si>
    <t>TAKSIR - 6</t>
  </si>
  <si>
    <t>TAKSIR - 7</t>
  </si>
  <si>
    <t>TAKSIR - 8</t>
  </si>
  <si>
    <t>TAKSIR - 11</t>
  </si>
  <si>
    <t>TAKSIR - 12</t>
  </si>
  <si>
    <t>TAKSIR - 13</t>
  </si>
  <si>
    <t>Batu Pecah  2-3cm</t>
  </si>
  <si>
    <t>Pasang 1 Titik Instalasi Penerangan dan Stop Kontak dengan Kabel NYA 2x2,5 mm²</t>
  </si>
  <si>
    <t>Pasang 1 Titik Instalasi Penerangan dan Stop Kontak dengan Kabel NYA 2x1,5 mm²</t>
  </si>
  <si>
    <t>Pipa PVC 4”</t>
  </si>
  <si>
    <t>Pemasangan 1 m2 Atap Zincalume</t>
  </si>
  <si>
    <t>Atap Zincalume</t>
  </si>
  <si>
    <t>Pemasangan 1 m’ nok atap zincalume</t>
  </si>
  <si>
    <t>Nok atap zincalume</t>
  </si>
  <si>
    <t>Pengurugan 1 m3 dengan tanah urug</t>
  </si>
  <si>
    <t>Tanah urug</t>
  </si>
  <si>
    <t xml:space="preserve">Pemasangan 1 m2 dinding pemisah teakwood rangkap. rangka kayu kelas III </t>
  </si>
  <si>
    <t>Pemasangan 1 m2 Dinding Pemisah  gypsum board ukuran (120x240x9) mm. tebal 9 mm</t>
  </si>
  <si>
    <t>Pemasangan 1 m2 Dinding Pemisah  calsiboard board ukuran (120x240x9) mm. tebal 4 mm</t>
  </si>
  <si>
    <t>Pemasangan 1 m2 Dinding Pemisah  Triplex  ukuran (120x240x9) mm. tebal 4 mm</t>
  </si>
  <si>
    <t>Triplex 4</t>
  </si>
  <si>
    <t>Pemasangan 1 m’ Lisplank GRC</t>
  </si>
  <si>
    <t>Lisplank GRC</t>
  </si>
  <si>
    <t xml:space="preserve">Listplank GRC </t>
  </si>
  <si>
    <t>A.4.1.1.17  B</t>
  </si>
  <si>
    <t>Calsiboard 4 mm</t>
  </si>
  <si>
    <t>ANALISA DIHITUNG</t>
  </si>
  <si>
    <t>Pemasangan 1 m2 HPL</t>
  </si>
  <si>
    <t>HPL</t>
  </si>
  <si>
    <t>Pemasangan 1 m2 Polycarbonat</t>
  </si>
  <si>
    <t>Paku Sekrup</t>
  </si>
  <si>
    <t>Polycarbonat</t>
  </si>
  <si>
    <t>Pemasangan 1 m2 Dinding Pemisah  Triplex  partisi  tebal 9 mm</t>
  </si>
  <si>
    <t>TAKSIR -10</t>
  </si>
  <si>
    <t>TAKSIR -9</t>
  </si>
  <si>
    <t>Memasang 1 m2 rangka atap seng BJLS #0,35, kayu kelas II</t>
  </si>
  <si>
    <t>Pemasangan 1m2 lantai keramik ukuran 20cm x 25cm</t>
  </si>
  <si>
    <t>Pemasangan 1 m2 Rangka Dinding Pemisah Canal C</t>
  </si>
  <si>
    <t>Baja Ringan Canal C</t>
  </si>
  <si>
    <t>Triplex 9</t>
  </si>
  <si>
    <t>paku seng</t>
  </si>
  <si>
    <t>A.8.4.1.1</t>
  </si>
  <si>
    <t>Pemasangan 1 m pipa PVC Ø 63 mm (Air Minum)</t>
  </si>
  <si>
    <t>Solvent cement</t>
  </si>
  <si>
    <t>Pemasangan 1 m pipa PVC Ø 90 mm (Air Minum)</t>
  </si>
  <si>
    <t>Pemasangan 1 m pipa PVC Ø 110 mm (Air minum)</t>
  </si>
  <si>
    <t>Pemasangan 1 m pipa PVC Ø 160 mm (Air minum)</t>
  </si>
  <si>
    <t>Pipa PVC Ø 160 mm</t>
  </si>
  <si>
    <t>Pemasangan 1 m pipa PVC Ø 250 mm (Air minum)</t>
  </si>
  <si>
    <t>Pemasangan 1 m pipa PVC Ø 300 mm (Air minum)</t>
  </si>
  <si>
    <t>A.8.4.1.3 L</t>
  </si>
  <si>
    <t>Pemasangan 1 m pipa PVC Ø 4" (Air limbah)</t>
  </si>
  <si>
    <t>A.8.4.1.4 L</t>
  </si>
  <si>
    <t>Pemasangan 1 m pipa PVC Ø 6" (Air limbah)</t>
  </si>
  <si>
    <t>A.8.4.1.5 L</t>
  </si>
  <si>
    <t>Pemasngan 1 m pipa PVC Ø 8" (Air limbah)</t>
  </si>
  <si>
    <t>A.8.4.1.6 L</t>
  </si>
  <si>
    <t>Pemasangan 1 m pipa PVC Ø 10" (Air limbah)</t>
  </si>
  <si>
    <t>A.8.4.1.7 L</t>
  </si>
  <si>
    <t>Pemasangan 1 m pipa PVC Ø 12" (Air limbah)</t>
  </si>
  <si>
    <t>Pemasangan 1 m pipa HDPE Ø 2"</t>
  </si>
  <si>
    <t>Pipa HDPE Ø 2"</t>
  </si>
  <si>
    <t>Pemasangan 1 m pipa HDPE Ø 3"</t>
  </si>
  <si>
    <t>Pipa HDPE Ø 3"</t>
  </si>
  <si>
    <t>Pemasangan 1 m pipa HDPE Ø 4"</t>
  </si>
  <si>
    <t>Pipa HDPE Ø 4"</t>
  </si>
  <si>
    <t>Pemasangan 1 m pipa HDPE Ø 6"</t>
  </si>
  <si>
    <t>Pipa HDPE Ø 6"</t>
  </si>
  <si>
    <t xml:space="preserve"> HARGA SATUAN PEKERJAAN PEMASANGAN AKSESORIS PIPA AIR MINUM</t>
  </si>
  <si>
    <t>A.8.4.3.1-1</t>
  </si>
  <si>
    <t>Flange Gate Valve Ø 3"</t>
  </si>
  <si>
    <t>Flange Socket Ø 3"</t>
  </si>
  <si>
    <t>A.8.4.3.1-2</t>
  </si>
  <si>
    <t>Flange Gate Valve Ø 4"</t>
  </si>
  <si>
    <t>Flange Socket Ø 4"</t>
  </si>
  <si>
    <t>Flange Gate Valve Ø 6"</t>
  </si>
  <si>
    <t>Flange Socket Ø 6"</t>
  </si>
  <si>
    <t>Flange Gate Valve Ø 8"</t>
  </si>
  <si>
    <t>Flange Socket Ø 8"</t>
  </si>
  <si>
    <t>Flange Gate Valve Ø 10"</t>
  </si>
  <si>
    <t>Flange Socket Ø 10"</t>
  </si>
  <si>
    <t>Flange Gate Valve Ø 12"</t>
  </si>
  <si>
    <t>Flange Socket Ø 12"</t>
  </si>
  <si>
    <t>A.8.4.3.5</t>
  </si>
  <si>
    <t>Collar Ø 90 mm</t>
  </si>
  <si>
    <t>A.8.4.3.6</t>
  </si>
  <si>
    <t>Collar Ø 110 mm</t>
  </si>
  <si>
    <t>A.8.4.3.7</t>
  </si>
  <si>
    <t>Collar Ø 160 mm</t>
  </si>
  <si>
    <t>A.8.4.3.8</t>
  </si>
  <si>
    <t>A.8.4.3.9</t>
  </si>
  <si>
    <t>A.8.4.3.10</t>
  </si>
  <si>
    <t>A.8.4.3.11</t>
  </si>
  <si>
    <t>Pemasangan 1 buah Valve cover A (beton preecast)</t>
  </si>
  <si>
    <t>Valve cover A</t>
  </si>
  <si>
    <t>Pemasangan 1 buah Valve cover CI</t>
  </si>
  <si>
    <t>A.8.4.3.12</t>
  </si>
  <si>
    <t>Single Air Valve Ø 2"</t>
  </si>
  <si>
    <t>A.8.4.3.13</t>
  </si>
  <si>
    <t>Single Air Valve Ø 3"</t>
  </si>
  <si>
    <t>A.8.4.3.14</t>
  </si>
  <si>
    <t>Single Air Valve Ø 4"</t>
  </si>
  <si>
    <t>A.8.4.3.15</t>
  </si>
  <si>
    <t>Single Air Valve Ø 6"</t>
  </si>
  <si>
    <t>A.8.4.3.16</t>
  </si>
  <si>
    <t>Double Air Valve Ø 2"</t>
  </si>
  <si>
    <t>A.8.4.3.17</t>
  </si>
  <si>
    <t>Double Air Valve Ø 3"</t>
  </si>
  <si>
    <t>Double Air Valve Ø 4"</t>
  </si>
  <si>
    <t>A.8.4.3.19</t>
  </si>
  <si>
    <t>Double Air Valve Ø 6"</t>
  </si>
  <si>
    <t>A.8.4.3.23</t>
  </si>
  <si>
    <t>Pipa HDPE Ø 3/4"</t>
  </si>
  <si>
    <t>Pipa GIP (sarungan)</t>
  </si>
  <si>
    <t>Pipa GIP (crosing jalan)</t>
  </si>
  <si>
    <t>HDPE Female Elbow Compressed 25mm x 3/4"</t>
  </si>
  <si>
    <t>Clamp Saddle 63mm x 1"</t>
  </si>
  <si>
    <t>HDPE Female adaptor  Coupling 25 x 3/4"</t>
  </si>
  <si>
    <t>Ferrule tapping 25mm x 1 "</t>
  </si>
  <si>
    <t>HDPE Male thread elbow 25 x 3/4 "</t>
  </si>
  <si>
    <t>Angle Lockable Valve Brass 25mmx3/4"</t>
  </si>
  <si>
    <t>Barel Nipple GIP 3/4"</t>
  </si>
  <si>
    <t>Meter Coupling Brass 3/4"x1/2"</t>
  </si>
  <si>
    <t>Reducing Bush GIP 3/4"x1/2"</t>
  </si>
  <si>
    <t>Socket GIP 3/4"</t>
  </si>
  <si>
    <t>Box Meteran setara bugatti</t>
  </si>
  <si>
    <t>Meteran Air Ø 1/2" setara itron</t>
  </si>
  <si>
    <t>Seal tape</t>
  </si>
  <si>
    <t>Plat  NPA</t>
  </si>
  <si>
    <t>Segel Coupling</t>
  </si>
  <si>
    <t>A.8.4.3.24</t>
  </si>
  <si>
    <t>A.8.4.3.25</t>
  </si>
  <si>
    <t>A.8.4.3.26</t>
  </si>
  <si>
    <t>KELOMPOK RETRIBUSI</t>
  </si>
  <si>
    <t>Biaya Penyambungan (BP)</t>
  </si>
  <si>
    <t>VA</t>
  </si>
  <si>
    <t>Uang Jaminan Pelanggan (UJL)</t>
  </si>
  <si>
    <t>Sertifikat Laik Operasi (SLO)</t>
  </si>
  <si>
    <t>Surat Jaminan Instalasi (SJI)</t>
  </si>
  <si>
    <t>KELOMPOK APP + ACC</t>
  </si>
  <si>
    <t>Box App III MCCB 3x20 @ Plat 2mm 60x50x15cm</t>
  </si>
  <si>
    <t>Meter KWH Pasca Bayar E.220/380, 5A;1;4W</t>
  </si>
  <si>
    <t>KELOMPOK TRASFORMATOR/KABEL</t>
  </si>
  <si>
    <t>Pemasangan Kabel PWR NFA 2XT; 4 x 25mm</t>
  </si>
  <si>
    <t>Dead and Assyemble 25-70 mm</t>
  </si>
  <si>
    <t>Peacing Conector 25 - 70mm</t>
  </si>
  <si>
    <t>Tiang beton @ 9m</t>
  </si>
  <si>
    <t>Band pole Bunga 3"</t>
  </si>
  <si>
    <t>Panel Stardelta Komplet</t>
  </si>
  <si>
    <t>Kabel NYY 4x10mm U/IB</t>
  </si>
  <si>
    <t>Pemasangan instalasi stop kontak</t>
  </si>
  <si>
    <t>A.8.4.3-1</t>
  </si>
  <si>
    <t xml:space="preserve"> HARGA SATUAN PEKERJAAN PEMASANGAN AKSESORIS PIPA AIR LIMBAH</t>
  </si>
  <si>
    <t>A.8.4.3-1.1</t>
  </si>
  <si>
    <t>Pemasangan 1 buah Oblique wye</t>
  </si>
  <si>
    <t>Oblique Wye</t>
  </si>
  <si>
    <t>A.8.4.3-1.2</t>
  </si>
  <si>
    <t xml:space="preserve">Pemasangan 1 buah Oblique Saddle </t>
  </si>
  <si>
    <t>A.8.4.3-1.3</t>
  </si>
  <si>
    <t>GALIAN TANAH</t>
  </si>
  <si>
    <t>PAS.BATU BATA</t>
  </si>
  <si>
    <t xml:space="preserve">COR BETON </t>
  </si>
  <si>
    <t>COR BETON BERTULANG</t>
  </si>
  <si>
    <t>PAS.BESI SIKU L.50.50.4</t>
  </si>
  <si>
    <t>Jumlah (A+B+C+D+E)</t>
  </si>
  <si>
    <t>0% x D</t>
  </si>
  <si>
    <t>H</t>
  </si>
  <si>
    <t>Harga Satuan Pekerjaan (F+G)</t>
  </si>
  <si>
    <t>Pemasangan 1 buah Box Kontrol dia. 30cm precast concerte</t>
  </si>
  <si>
    <t>A.8.4.3-1.4</t>
  </si>
  <si>
    <t>Pemasangan 1 buah Inspectin Box (IB) uk.40x40cm</t>
  </si>
  <si>
    <t>PAS.BESI SIKU L.60.60.5 + L.25.25.3</t>
  </si>
  <si>
    <t>A.8.4.3-1.5</t>
  </si>
  <si>
    <t>Pemasangan 1 buah Dead end (DE) uk.40x40cm</t>
  </si>
  <si>
    <t>A.8.4.3-1.6</t>
  </si>
  <si>
    <t>Pemasangan 1 buah Box Smell trap (BS) uk.40x40cm</t>
  </si>
  <si>
    <t>Pas. Smell trap</t>
  </si>
  <si>
    <t>dihitung</t>
  </si>
  <si>
    <t>Pipa PVC dia. 4" SNI S-16</t>
  </si>
  <si>
    <t>Jumlah (A+B+C+D+E+F)</t>
  </si>
  <si>
    <t>Harga Satuan Pekerjaan (G+H)</t>
  </si>
  <si>
    <t>A.8.4.3-1.7</t>
  </si>
  <si>
    <t>Pemasangan 1 buah Inspection Chamber (IC) uk.60x70cm</t>
  </si>
  <si>
    <t>A.8.4.3-1.8</t>
  </si>
  <si>
    <t>Pemasangan 1 M' Shoring (penahan tanah) berbahan kayu kedalaman 1 - 2m</t>
  </si>
  <si>
    <t>L.05</t>
  </si>
  <si>
    <t>Broti kayu damar laut</t>
  </si>
  <si>
    <t>Papan kayu meranti</t>
  </si>
  <si>
    <t>JUMLAH BAHAN UNTUK 6 KALI PAKAI</t>
  </si>
  <si>
    <t>JUMLAH BAHAN UNTUK 1 KALI PAKAI</t>
  </si>
  <si>
    <t>A.8.4.3-1.9</t>
  </si>
  <si>
    <t>Pemasangan 1 M' Shoring (penahan tanah) berbahan kayu kedalaman 2 - 3m</t>
  </si>
  <si>
    <t>A.8.4.3-1.10</t>
  </si>
  <si>
    <t>Pemasangan 1 M' Shoring (penahan tanah) berbahan kayu kedalaman 3 - 4m</t>
  </si>
  <si>
    <t>HARGA SATUAN PEKERJAAN PENYAMBUNGAN PIPA BARU KE PIPA EXISTING</t>
  </si>
  <si>
    <t>Penyambungan 1 titik pipa baru ke pipa existing Ø 90 mm</t>
  </si>
  <si>
    <t>Pipa Ø 90 mm</t>
  </si>
  <si>
    <t>Penyambungan 1 titik pipa baru ke pipa existing Ø 110 mm</t>
  </si>
  <si>
    <t>Pipa Ø 110 mm</t>
  </si>
  <si>
    <t>Penyambungan 1 titik pipa baru ke pipa existing Ø 160 mm</t>
  </si>
  <si>
    <t>Pipa Ø 160 mm</t>
  </si>
  <si>
    <t>Penyambungan 1 titik pipa baru ke pipa existing Ø 200 mm</t>
  </si>
  <si>
    <t>Penyambungan 1 titik pipa baru ke pipa existing Ø 250 mm</t>
  </si>
  <si>
    <t>Penyambungan 1 titik pipa baru ke pipa existing Ø 300 mm</t>
  </si>
  <si>
    <t>A.8.4.5</t>
  </si>
  <si>
    <t>HARGA SATUAN PEKERJAAN GALIAN DAN PERBAIKAN BEKAS GALIAN</t>
  </si>
  <si>
    <t>Pekerjaan 1 meter galian dan perbaikan jalan kondisi Tanah keras pipa Ø  90mm - 160mm</t>
  </si>
  <si>
    <t>Stamper</t>
  </si>
  <si>
    <t>A.8.4.5.2</t>
  </si>
  <si>
    <t>Pekerjaan 1 meter galian dan perbaikan jalan kondisi Cor beton pipa Ø  90mm - 160mm</t>
  </si>
  <si>
    <t>A.8.4.5.3</t>
  </si>
  <si>
    <t>Pekerjaan 1 meter galian dan perbaikan jalan kondisi Hotmix pipa Ø  90mm - 160mm</t>
  </si>
  <si>
    <t>Coating (Aspal Cair)</t>
  </si>
  <si>
    <t>A.8.4.5.4</t>
  </si>
  <si>
    <t>Pekerjaan 1 meter galian dan perbaikan jalan kondisi Tanah pipa Ø  200mm - 400mm</t>
  </si>
  <si>
    <t>A.8.4.5.5</t>
  </si>
  <si>
    <t>Pekerjaan 1 meter galian dan perbaikan jalan kondisi Cor beton pipa Ø  200mm - 400mm</t>
  </si>
  <si>
    <t>A.8.4.5.6</t>
  </si>
  <si>
    <t>Pekerjaan 1 meter galian dan perbaikan jalan kondisi Hotmix pipa Ø  200mm - 400mm</t>
  </si>
  <si>
    <t>A.8.4.5.7</t>
  </si>
  <si>
    <t>Pekerjaan 1 meter Crossing jalan kondisi Cor beton pipa Ø  90mm - 160mm</t>
  </si>
  <si>
    <t>A.8.4.5.8</t>
  </si>
  <si>
    <t>Pekerjaan 1 meter Crossing jalan kondisi Hotmix pipa Ø  90mm - 160mm</t>
  </si>
  <si>
    <t>A.8.4.5.9</t>
  </si>
  <si>
    <t>Pekerjaan 1 meter Crossing jalan kondisi Cor beton pipa Ø 200mm - 400mm</t>
  </si>
  <si>
    <t>Pekerjaan 1 meter Crossing jalan kondisi Hotmix pipa Ø 200mm - 400mm</t>
  </si>
  <si>
    <t xml:space="preserve">HARGA SATUAN PEKERJAAN PEMBUATAN SUMUR BOR DAN ASESORIS </t>
  </si>
  <si>
    <t>A.8.4.6.1</t>
  </si>
  <si>
    <t>Pembuatan 1 titik Sumur Bor Kedalaman &gt; 200 meter</t>
  </si>
  <si>
    <t>UPAH</t>
  </si>
  <si>
    <t xml:space="preserve"> Penyempurnaan, pemeliharaan dan pembersihan lubang sumur,  Pemompaan uji (pumping test) termasuk step draw test, time draw down test, recovery test.</t>
  </si>
  <si>
    <t>JUMLAH UPAH</t>
  </si>
  <si>
    <t xml:space="preserve"> Reducer Ø 6" x 4".</t>
  </si>
  <si>
    <t xml:space="preserve"> Gate valve Ø 3"</t>
  </si>
  <si>
    <t xml:space="preserve"> Submersible Pump kap. ± 10ℓ/det, (4 HP 3 Phase)</t>
  </si>
  <si>
    <t xml:space="preserve"> Panel, Kabel NYY dan NYYHY, Kabel Tie, Kabel arus transmisi,  Box - terminal kabel, dan electroda level control</t>
  </si>
  <si>
    <t>JUMLAH BAHAN</t>
  </si>
  <si>
    <t>Jumlah (A+B)</t>
  </si>
  <si>
    <t>Harga Satuan Pekerjaan (C+D)</t>
  </si>
  <si>
    <t>A.8.4.6.2</t>
  </si>
  <si>
    <t>Pembuatan 1 titik Sumur Bor Kedalaman 150 - 200 meter</t>
  </si>
  <si>
    <t>A.8.4.6.3</t>
  </si>
  <si>
    <t>Pembuatan 1 unit Tangki Filter uk. Ø 180cm x 350cm</t>
  </si>
  <si>
    <t xml:space="preserve"> Gate valve Ø 4"</t>
  </si>
  <si>
    <t xml:space="preserve"> Flange steel Ø 4"</t>
  </si>
  <si>
    <t xml:space="preserve"> Tee steel Ø 3" x 90o</t>
  </si>
  <si>
    <t>A.8.4.6.4</t>
  </si>
  <si>
    <t>Pembuatan 1 unit Tangki Filter uk. Ø 100cm x 200cm</t>
  </si>
  <si>
    <t xml:space="preserve"> Single air valve Ø 2"</t>
  </si>
  <si>
    <t>A.8.4.6.5</t>
  </si>
  <si>
    <t>Pembuatan 1 unit Tangki Aerator uk. Ø 60cm x 300cm</t>
  </si>
  <si>
    <t>A.8.4.6.6</t>
  </si>
  <si>
    <t>Pembuatan 1 unit Tangki Aerator uk. Ø 60cm x 240cm</t>
  </si>
  <si>
    <t>Bahan Pemasangan Pipa Distribusi Bersih dan Air Limbah</t>
  </si>
  <si>
    <t>300 mm</t>
  </si>
  <si>
    <t>12"</t>
  </si>
  <si>
    <t xml:space="preserve">Box kontrol precast dia. 30cm h=60cm </t>
  </si>
  <si>
    <t>Bend All Socket 315 x 90 SNI S-12,5</t>
  </si>
  <si>
    <t>Bend All Socket 250 x 90 SNI S-12,5</t>
  </si>
  <si>
    <t>Bend All Socket 200 x 90 SNI S-12,5</t>
  </si>
  <si>
    <t>Bend All Socket 160 x 90 SNI S-12,5</t>
  </si>
  <si>
    <t>Bend All Socket 110 x 90  SNI S-12,5</t>
  </si>
  <si>
    <t>Bend All Socket 90 x 90 SNI S-12,5</t>
  </si>
  <si>
    <t>Ellbow 4" x 45 (Rucika)</t>
  </si>
  <si>
    <t>Ellbow 4" x 90 (Rucika)</t>
  </si>
  <si>
    <t>110x110x110 mm</t>
  </si>
  <si>
    <t>110x90x110 mm</t>
  </si>
  <si>
    <t>90x90x90 mm</t>
  </si>
  <si>
    <t>12'</t>
  </si>
  <si>
    <t>Gate Valve</t>
  </si>
  <si>
    <t>Collar Ø 90mm</t>
  </si>
  <si>
    <t>Collar Ø 110mm</t>
  </si>
  <si>
    <t>Collar Ø 160mm</t>
  </si>
  <si>
    <t>Collar Ø 200 x 205mm</t>
  </si>
  <si>
    <t>Collar Ø 250 x 265mm</t>
  </si>
  <si>
    <t>Collar Ø 300 x 325mm</t>
  </si>
  <si>
    <t>3/4x6"</t>
  </si>
  <si>
    <t>5/8x16"</t>
  </si>
  <si>
    <t>Valve Cover A</t>
  </si>
  <si>
    <t>Single air valve</t>
  </si>
  <si>
    <t>1"</t>
  </si>
  <si>
    <t>3/4"</t>
  </si>
  <si>
    <t>HDPE PIPES PE 100 SDR 17 (PN 10)</t>
  </si>
  <si>
    <t xml:space="preserve">Pipa HDPE </t>
  </si>
  <si>
    <t>Pipa HDPE dia 3/4"</t>
  </si>
  <si>
    <t>HDPE Spigot Tee dia. 4" x 4"</t>
  </si>
  <si>
    <t>HDPE Spigot Tee dia. 4" x 3"</t>
  </si>
  <si>
    <t>HDPE Spigot Reducer dia. 4" x 3"</t>
  </si>
  <si>
    <t>HDPE End Cap dia. 4"</t>
  </si>
  <si>
    <t>HDPE straight coupler dia. 4"</t>
  </si>
  <si>
    <t>HDPE Clamp Sadle dia. 160mm x 1"</t>
  </si>
  <si>
    <t>HDPE Clamp Sadle dia. 110mm x 1"</t>
  </si>
  <si>
    <t>HDPE Clamp Sadle dia. 90mm x 1"</t>
  </si>
  <si>
    <t>HDPE Clamp Sadle dia. 63mm x 1"</t>
  </si>
  <si>
    <t>HDPE Clamp Sadle dia. 110mm x 1/2</t>
  </si>
  <si>
    <t>HDPE Clamp Sadle dia. 90mm x 1/2</t>
  </si>
  <si>
    <t>HDPE Clamp Sadle dia. 63mm x 1/2</t>
  </si>
  <si>
    <t>HDPE Female thread adaptor 20 x 1/2 "</t>
  </si>
  <si>
    <t>Bahan PemnuatanTangki filter dan Aerator</t>
  </si>
  <si>
    <t xml:space="preserve"> Air compresor 3 HP Gasoline (KW1300351)</t>
  </si>
  <si>
    <t xml:space="preserve"> Submersible Pump kap. ± 5 ℓ/det, (3 HP 3 Phase)</t>
  </si>
  <si>
    <t>Pipa PVC SNI-S16 Ø 4"</t>
  </si>
  <si>
    <t>Pipa PVC SNI-S16 Ø 6"</t>
  </si>
  <si>
    <t>Pipa PVC SNI-S16 Ø 8"</t>
  </si>
  <si>
    <t>Pipa PVC SNI-S16 Ø 10'</t>
  </si>
  <si>
    <t>Pipa PVC SNI-S16 Ø 12"</t>
  </si>
  <si>
    <t>Bahan-bahan untuk sambungan baru PLN daya besar</t>
  </si>
  <si>
    <t>Transformator Listrik</t>
  </si>
  <si>
    <t>A.4.6.1.29</t>
  </si>
  <si>
    <t>Reng Baja Ringan Canal C40</t>
  </si>
  <si>
    <t>Baut Baja Ringan</t>
  </si>
  <si>
    <t>underlayer karpet</t>
  </si>
  <si>
    <t>Keramik</t>
  </si>
  <si>
    <t>Pemasangan 1 m2 dinding keramik 20cm x 25cm</t>
  </si>
  <si>
    <t>Balok Kayu 5x7cm Kayu Kelas II</t>
  </si>
  <si>
    <t>Papan Kayu Kelas II</t>
  </si>
  <si>
    <t>Paku Biasa</t>
  </si>
  <si>
    <t>Pemasangan 1m2 lantai keramik ukuran 25cm x 25cm</t>
  </si>
  <si>
    <t xml:space="preserve">Keramik  25 x 25 cm </t>
  </si>
  <si>
    <t>Keramik 25 x 40 cm</t>
  </si>
  <si>
    <t>Pemasangan 1 m2 dinding keramik 25cm x 40cm</t>
  </si>
  <si>
    <t>Profil Kusen Pintu Aluminium 4" warna</t>
  </si>
  <si>
    <t>Profil Kusen Pintu Aluminium 3" warna</t>
  </si>
  <si>
    <t>Profil Kusen Pintu Aluminium 4" silver</t>
  </si>
  <si>
    <t>Profil Kusen Pintu Aluminium 3" silver</t>
  </si>
  <si>
    <t>A.2.3.1.11. A</t>
  </si>
  <si>
    <t>Pemasangan 1 m kusen pintu alluminium 4 inch warna</t>
  </si>
  <si>
    <t>Pemasangan 1 m kusen pintu alluminium 4 inch Silver</t>
  </si>
  <si>
    <t>Pemasangan 1 m kusen pintu alluminium 3 inch warna</t>
  </si>
  <si>
    <t>Pemasangan 1 m kusen pintu alluminium 3 inch Silver</t>
  </si>
  <si>
    <t>Frame Profil Aluminium 3"</t>
  </si>
  <si>
    <t>Pemasangan 1 m3 konstruksi kuda-kuda konvensional. kayu kelas II (meranti) bentang 6 meter</t>
  </si>
  <si>
    <t>Pemasangan 1 m3 konstruksi kuda-kuda konvensional. kayu kelas III bentang 6 meter</t>
  </si>
  <si>
    <t>Aluminium strip 1mm</t>
  </si>
  <si>
    <t>Pemasangan 1 m2  pintu alluminium strip</t>
  </si>
  <si>
    <t>Pemasangan 1 m2 paving block tebal 6 cm</t>
  </si>
  <si>
    <t>Pemasangan 1 m2 paving block tebal 8 cm</t>
  </si>
  <si>
    <t>A. 2.2.1.2</t>
  </si>
  <si>
    <t>A. 2.2.1.1</t>
  </si>
  <si>
    <t>A. 2.2.1.3</t>
  </si>
  <si>
    <t>A. 2.2.1.4</t>
  </si>
  <si>
    <t>A. 2.2.1.5</t>
  </si>
  <si>
    <t>Dolken  kayu  diameter 8-10/400 cm</t>
  </si>
  <si>
    <t>A. 2.2.1.6</t>
  </si>
  <si>
    <t>A. 2.2.1.7</t>
  </si>
  <si>
    <t>A. 2.2.1.8</t>
  </si>
  <si>
    <t>15% x C</t>
  </si>
  <si>
    <t>A. 2.2.1.9</t>
  </si>
  <si>
    <t>A. 2.2.1.10</t>
  </si>
  <si>
    <t>A. 2.2.1.11</t>
  </si>
  <si>
    <t>Kayu balok 5/7 kelas III</t>
  </si>
  <si>
    <t>A. 2.2.1.12</t>
  </si>
  <si>
    <t>A. 2.2.1.13</t>
  </si>
  <si>
    <t>A. 2.2.1.14</t>
  </si>
  <si>
    <t>A. 2.2.1.15</t>
  </si>
  <si>
    <t>A.2.3.1</t>
  </si>
  <si>
    <t>A.2.3.1.1</t>
  </si>
  <si>
    <t>A.2.3.1.2</t>
  </si>
  <si>
    <t>A.2.3.1.3</t>
  </si>
  <si>
    <t>A.2.3.1.4</t>
  </si>
  <si>
    <t>A.2.3.1.5</t>
  </si>
  <si>
    <t>A.2.3.1.6</t>
  </si>
  <si>
    <t>A.2.3.1.7</t>
  </si>
  <si>
    <t>A.2.3.1.8</t>
  </si>
  <si>
    <t>A.2.3.1.9</t>
  </si>
  <si>
    <t>A.2.3.1.10</t>
  </si>
  <si>
    <t>A.2.3.1.11</t>
  </si>
  <si>
    <t>A.2.3.1.12</t>
  </si>
  <si>
    <t>A.2.3.1.13</t>
  </si>
  <si>
    <t>A.2.3.1.14</t>
  </si>
  <si>
    <t>A.3.2.1.1</t>
  </si>
  <si>
    <t>A.3.2.1.2</t>
  </si>
  <si>
    <t>A.3.2.1.3</t>
  </si>
  <si>
    <t>A.3.2.1.4</t>
  </si>
  <si>
    <t>A.3.2.1.5</t>
  </si>
  <si>
    <t>A.3.2.1.9</t>
  </si>
  <si>
    <t>A.3.2.1.10</t>
  </si>
  <si>
    <t>A.3.2.1.11</t>
  </si>
  <si>
    <t>Pemasangan 1 m3 pondasi sumuran diameter 100 cm</t>
  </si>
  <si>
    <t>A.4.1.1</t>
  </si>
  <si>
    <t>A.4.1.1.1</t>
  </si>
  <si>
    <t>A.4.1.1.2</t>
  </si>
  <si>
    <t>Harga Satuan (Rp)</t>
  </si>
  <si>
    <t>A.4.1.1.6</t>
  </si>
  <si>
    <t>A.4.1.1.5</t>
  </si>
  <si>
    <t>A.4.1.1.4</t>
  </si>
  <si>
    <t>A.4.1.1.7</t>
  </si>
  <si>
    <t>A.4.1.1.8</t>
  </si>
  <si>
    <t>A.4.1.1.9</t>
  </si>
  <si>
    <t>A.4.1.1.10</t>
  </si>
  <si>
    <t>A.4.1.1.11</t>
  </si>
  <si>
    <t>A.4.1.1.12</t>
  </si>
  <si>
    <t>A.4.1.1.13</t>
  </si>
  <si>
    <t>A.4.1.1.14</t>
  </si>
  <si>
    <t>A.4.1.1.15</t>
  </si>
  <si>
    <t>A.4.1.1.17</t>
  </si>
  <si>
    <t>A.4.1.1.22</t>
  </si>
  <si>
    <t>A.4.1.1.21</t>
  </si>
  <si>
    <t>A.4.1.1.20</t>
  </si>
  <si>
    <t>A.4.1.1.19</t>
  </si>
  <si>
    <t>A.4.1.1.23</t>
  </si>
  <si>
    <t>A.4.1.1.25</t>
  </si>
  <si>
    <t>A.4.1.1.26</t>
  </si>
  <si>
    <t>A.4.1.1.27</t>
  </si>
  <si>
    <t>A.4.1.1.35</t>
  </si>
  <si>
    <t>A.4.1.1.36</t>
  </si>
  <si>
    <t>A.4.1.2.1</t>
  </si>
  <si>
    <t>A.4.1.2.2</t>
  </si>
  <si>
    <t>A.4.1.2.3</t>
  </si>
  <si>
    <t>A.4.1.2.4</t>
  </si>
  <si>
    <t>A.4.1.2.5</t>
  </si>
  <si>
    <t>A.4.1.2.6</t>
  </si>
  <si>
    <t>A.4.1.2.7</t>
  </si>
  <si>
    <t>A.4.1.2.8</t>
  </si>
  <si>
    <t>A.4.1.2.9</t>
  </si>
  <si>
    <t>A.4.1.2.10</t>
  </si>
  <si>
    <t>A.4.1.2.11</t>
  </si>
  <si>
    <t>A.4.1.2.12</t>
  </si>
  <si>
    <t>A.4.1.2.13</t>
  </si>
  <si>
    <t>A.4.1.2.14</t>
  </si>
  <si>
    <t>Harga Satuan Pekerjaan (D + E)</t>
  </si>
  <si>
    <t>A.4.1.2.15</t>
  </si>
  <si>
    <t>A.4.1.2.16</t>
  </si>
  <si>
    <t>A.4.1.2.17</t>
  </si>
  <si>
    <t>A.4.1.2.18</t>
  </si>
  <si>
    <t>A.4.1.2.19</t>
  </si>
  <si>
    <t>A.4.1.2.20</t>
  </si>
  <si>
    <t>A.4.1.2.21</t>
  </si>
  <si>
    <t>A.4.1.2.22</t>
  </si>
  <si>
    <t>A.4.1.2.23</t>
  </si>
  <si>
    <t>A.4.1.2.24</t>
  </si>
  <si>
    <t>A.4.2.1</t>
  </si>
  <si>
    <t>Tukang Las Konstruksi</t>
  </si>
  <si>
    <t>A.4.2.1.2</t>
  </si>
  <si>
    <t>Tukang LasKonstruksi</t>
  </si>
  <si>
    <t>A.4.2.1.3</t>
  </si>
  <si>
    <t>A.4.2.1.4</t>
  </si>
  <si>
    <t>A.4.2.1.5</t>
  </si>
  <si>
    <t>A.4.2.1.6</t>
  </si>
  <si>
    <t>A.4.2.1.7</t>
  </si>
  <si>
    <t>A.4.2.1.8</t>
  </si>
  <si>
    <t>A.4.2.1.9</t>
  </si>
  <si>
    <t>A.4.2.1.10</t>
  </si>
  <si>
    <t>A.4.2.1.11</t>
  </si>
  <si>
    <t>A.4.2.1.11 A</t>
  </si>
  <si>
    <t>A.4.2.1.11 B</t>
  </si>
  <si>
    <t>A.4.2.1.11 C</t>
  </si>
  <si>
    <t>A.4.2.1.12</t>
  </si>
  <si>
    <t>A.4.2.1.13</t>
  </si>
  <si>
    <t>A.4.2.1.14</t>
  </si>
  <si>
    <t>A.4.2.1.14 B</t>
  </si>
  <si>
    <t>A.4.2.1.15</t>
  </si>
  <si>
    <t>A.4.2.1.16</t>
  </si>
  <si>
    <t>A.4.2.1.17</t>
  </si>
  <si>
    <t>A.4.2.1.18</t>
  </si>
  <si>
    <t>A.4.2.1.19</t>
  </si>
  <si>
    <t>A.4.2.1.20</t>
  </si>
  <si>
    <t>A.4.2.1.21</t>
  </si>
  <si>
    <t>A.4.2.1.22 B</t>
  </si>
  <si>
    <t>A.4.4.1</t>
  </si>
  <si>
    <t>A. 4.4.1.1</t>
  </si>
  <si>
    <t>A. 4.4.1.2</t>
  </si>
  <si>
    <t>A. 4.4.1.3</t>
  </si>
  <si>
    <t>A. 4.4.1.4</t>
  </si>
  <si>
    <t>A. 4.4.1.5</t>
  </si>
  <si>
    <t>A. 4.4.1.7</t>
  </si>
  <si>
    <t>A. 4.4.1.8</t>
  </si>
  <si>
    <t>A.4.4.1.9</t>
  </si>
  <si>
    <t>A. 4.4.1.10</t>
  </si>
  <si>
    <t>A. 4.4.1.11</t>
  </si>
  <si>
    <t>A. 4.4.1.16</t>
  </si>
  <si>
    <t>A. 4.4.1.17</t>
  </si>
  <si>
    <t>A. 4.4.1.18</t>
  </si>
  <si>
    <t>A. 4.4.1.19</t>
  </si>
  <si>
    <t>A. 4.4.1.20</t>
  </si>
  <si>
    <t>A. 4.4.1.21</t>
  </si>
  <si>
    <t>A. 4.4.1.22</t>
  </si>
  <si>
    <t>A. 4.4.1.23</t>
  </si>
  <si>
    <t>A. 4.4.1.24</t>
  </si>
  <si>
    <t>A.4.4.2</t>
  </si>
  <si>
    <t>A.4.4.2.1</t>
  </si>
  <si>
    <t>A.4.4.2.2</t>
  </si>
  <si>
    <t>A.4.4.2.3</t>
  </si>
  <si>
    <t>A.4.4.2.4</t>
  </si>
  <si>
    <t>A.4.4.2.5</t>
  </si>
  <si>
    <t>A.4.4.2.6</t>
  </si>
  <si>
    <t>A.4.4.2.7</t>
  </si>
  <si>
    <t>A.4.4.2.8</t>
  </si>
  <si>
    <t>A.4.4.2.13</t>
  </si>
  <si>
    <t>A.4.4.2.14</t>
  </si>
  <si>
    <t>A.4.4.2.15</t>
  </si>
  <si>
    <t>A.4.4.2.16</t>
  </si>
  <si>
    <t>A.4.4.2.17</t>
  </si>
  <si>
    <t>A.4.4.2.19</t>
  </si>
  <si>
    <t>A.4.4.2.20</t>
  </si>
  <si>
    <t>A.4.4.2.23</t>
  </si>
  <si>
    <t>A.4.4.2.24</t>
  </si>
  <si>
    <t>A.4.4.2.25</t>
  </si>
  <si>
    <t>A.4.4.2.26</t>
  </si>
  <si>
    <t>A.4.4.2.27</t>
  </si>
  <si>
    <t>A.4.4.3</t>
  </si>
  <si>
    <t>A.4.4.3.1</t>
  </si>
  <si>
    <t>A.4.4.3.2</t>
  </si>
  <si>
    <t>A.4.4.3.3</t>
  </si>
  <si>
    <t>A.4.4.3.4</t>
  </si>
  <si>
    <t>A.4.4.3.5</t>
  </si>
  <si>
    <t>A.4.4.3.6</t>
  </si>
  <si>
    <t>A.4.4.3.7</t>
  </si>
  <si>
    <t>A.4.4.3.10</t>
  </si>
  <si>
    <t>A.4.4.3.32</t>
  </si>
  <si>
    <t>A.4.4.3.33</t>
  </si>
  <si>
    <t>A.4.4.3.34</t>
  </si>
  <si>
    <t>A.4.4.3.35</t>
  </si>
  <si>
    <t>A.4.4.3.36</t>
  </si>
  <si>
    <t>A.4.4.3.36 A</t>
  </si>
  <si>
    <t>A.4.4.3.36 B</t>
  </si>
  <si>
    <t>A.4.4.3.36 C</t>
  </si>
  <si>
    <t>A.4.4.3.36 D</t>
  </si>
  <si>
    <t>A.4.4.3.36 E</t>
  </si>
  <si>
    <t>A.4.4.3.36 F</t>
  </si>
  <si>
    <t>A.4.4.3.38</t>
  </si>
  <si>
    <t>A.4.4.3.39</t>
  </si>
  <si>
    <t>A.4.4.3.41</t>
  </si>
  <si>
    <t>A.4.4.3.43</t>
  </si>
  <si>
    <t>A.4.4.3.44</t>
  </si>
  <si>
    <t>A.4.4.3.45</t>
  </si>
  <si>
    <t>A.4.4.3.46</t>
  </si>
  <si>
    <t>A.4.4.3.47</t>
  </si>
  <si>
    <t>A.4.4.3.54</t>
  </si>
  <si>
    <t>A.4.4.3.54 C</t>
  </si>
  <si>
    <t>A.4.4.3.54 D</t>
  </si>
  <si>
    <t>A.4.4.3.54 E</t>
  </si>
  <si>
    <t>A.4.4.3.55</t>
  </si>
  <si>
    <t>A.4.4.3.56</t>
  </si>
  <si>
    <t>A.4.4.3.57</t>
  </si>
  <si>
    <t>A.4.4.3.58</t>
  </si>
  <si>
    <t>A.4.4.3.59</t>
  </si>
  <si>
    <t>A.4.4.3.60</t>
  </si>
  <si>
    <t>A.4.4.3.61</t>
  </si>
  <si>
    <t>A.4.4.3.62</t>
  </si>
  <si>
    <t>A.4.4.3.63</t>
  </si>
  <si>
    <t>A.4.4.3.64</t>
  </si>
  <si>
    <t>A.4.4.3.65</t>
  </si>
  <si>
    <t>A.4.5.1</t>
  </si>
  <si>
    <t>A.4.5.1.1</t>
  </si>
  <si>
    <t>A.4.5.1.2</t>
  </si>
  <si>
    <t>A.4.5.1.3</t>
  </si>
  <si>
    <t>A.4.5.1.4</t>
  </si>
  <si>
    <t>A.4.5.1.5</t>
  </si>
  <si>
    <t>A.4.5.1.6</t>
  </si>
  <si>
    <t>A.4.5.1.7</t>
  </si>
  <si>
    <t>A.4.5.1.7 B</t>
  </si>
  <si>
    <t>A.4.5.1.7 C</t>
  </si>
  <si>
    <t>A.4.5.1.8</t>
  </si>
  <si>
    <t>A.4.5.1.9</t>
  </si>
  <si>
    <t>A.4.5.2</t>
  </si>
  <si>
    <t>A.4.5.2.7</t>
  </si>
  <si>
    <t>A.4.5.2.10</t>
  </si>
  <si>
    <t>A.4.5.2.23</t>
  </si>
  <si>
    <t>A.4.5.2.29</t>
  </si>
  <si>
    <t>A.4.5.2.30</t>
  </si>
  <si>
    <t>A.4.5.2.30 B</t>
  </si>
  <si>
    <t>A.4.5.2.31</t>
  </si>
  <si>
    <t>A.4.5.2.31 B</t>
  </si>
  <si>
    <t>A.4.5.2.32</t>
  </si>
  <si>
    <t>A.4.5.2.32 A</t>
  </si>
  <si>
    <t>A.4.5.2.33</t>
  </si>
  <si>
    <t>A.4.5.2.34</t>
  </si>
  <si>
    <t>A.4.5.2.35</t>
  </si>
  <si>
    <t>A.4.5.2.36</t>
  </si>
  <si>
    <t>A.4.5.2.36 A</t>
  </si>
  <si>
    <t>A.4.5.2.37</t>
  </si>
  <si>
    <t>A.4.5.2.38</t>
  </si>
  <si>
    <t>A.4.5.2.39</t>
  </si>
  <si>
    <t>A.4.5.2.40</t>
  </si>
  <si>
    <t>A.4.5.2.41</t>
  </si>
  <si>
    <t>A.4.5.2.42</t>
  </si>
  <si>
    <t>A.4.6.1</t>
  </si>
  <si>
    <t>A.4.6.1.1</t>
  </si>
  <si>
    <t>A.4.6.1.2</t>
  </si>
  <si>
    <t>A.4.6.1.3</t>
  </si>
  <si>
    <t>A.4.6.1.4</t>
  </si>
  <si>
    <t>A.4.6.1.5</t>
  </si>
  <si>
    <t>A.4.6.1.6</t>
  </si>
  <si>
    <t>A.4.6.1.7</t>
  </si>
  <si>
    <t>A.4.6.1.8</t>
  </si>
  <si>
    <t>A.4.6.1.9</t>
  </si>
  <si>
    <t>A.4.6.1.10</t>
  </si>
  <si>
    <t>A.4.6.1.11</t>
  </si>
  <si>
    <t>A.4.6.1.12</t>
  </si>
  <si>
    <t>A.4.6.1.13</t>
  </si>
  <si>
    <t>A.4.6.1.13 A</t>
  </si>
  <si>
    <t>A.4.6.1.13 B</t>
  </si>
  <si>
    <t>A.4.6.1.14</t>
  </si>
  <si>
    <t>A.4.6.1.15</t>
  </si>
  <si>
    <t>A.4.6.1.16</t>
  </si>
  <si>
    <t>Reng 2 x 3 cm</t>
  </si>
  <si>
    <t>A.4.6.1.17</t>
  </si>
  <si>
    <t>A.4.6.1.17 A</t>
  </si>
  <si>
    <t>A.4.6.1.18</t>
  </si>
  <si>
    <t>A.4.6.1.19</t>
  </si>
  <si>
    <t>A.4.6.1.20</t>
  </si>
  <si>
    <t>A.4.6.1.21</t>
  </si>
  <si>
    <t>A.4.6.1.22</t>
  </si>
  <si>
    <t>A.4.6.1.22 A</t>
  </si>
  <si>
    <t>A.4.6.1.22 B</t>
  </si>
  <si>
    <t>A.4.6.1.22 C</t>
  </si>
  <si>
    <t>A.4.6.1.23</t>
  </si>
  <si>
    <t>A.4.6.1.23 A</t>
  </si>
  <si>
    <t>A.4.6.1.23 B</t>
  </si>
  <si>
    <t>A.4.6.1.23 C</t>
  </si>
  <si>
    <t>A.4.6.1.23 D</t>
  </si>
  <si>
    <t>A.4.6.1.23 E</t>
  </si>
  <si>
    <t>A.4.6.1.23 F</t>
  </si>
  <si>
    <t>A.4.6.1.23 G</t>
  </si>
  <si>
    <t>A.4.6.1.24</t>
  </si>
  <si>
    <t>A.4.6.1.25</t>
  </si>
  <si>
    <t>A.4.6.1.26</t>
  </si>
  <si>
    <t>A.4.6.1.27</t>
  </si>
  <si>
    <t>A.4.6.1.28</t>
  </si>
  <si>
    <t>A.4.6.2.1</t>
  </si>
  <si>
    <t>A.4.6.2</t>
  </si>
  <si>
    <t>A.4.6.2.2</t>
  </si>
  <si>
    <t>A.4.6.2.3</t>
  </si>
  <si>
    <t>A.4.6.2.4</t>
  </si>
  <si>
    <t>A.4.6.2.5</t>
  </si>
  <si>
    <t>A.4.6.2.6</t>
  </si>
  <si>
    <t>A.4.6.2.7</t>
  </si>
  <si>
    <t>A.4.6.2.8</t>
  </si>
  <si>
    <t>A.4.6.2.9</t>
  </si>
  <si>
    <t>A.4.6.2.10</t>
  </si>
  <si>
    <t>A.4.6.2.11</t>
  </si>
  <si>
    <t>A.4.6.2.12</t>
  </si>
  <si>
    <t>A.4.6.2.13</t>
  </si>
  <si>
    <t>A.4.6.2.14</t>
  </si>
  <si>
    <t>A.4.6.2.15</t>
  </si>
  <si>
    <t>A.4.6.2.16</t>
  </si>
  <si>
    <t>A.4.6.2.17</t>
  </si>
  <si>
    <t>A.4.6.2.18</t>
  </si>
  <si>
    <t>A.4.6.2.19</t>
  </si>
  <si>
    <t>A.4.6.2.20</t>
  </si>
  <si>
    <t>A.4.6.2.21</t>
  </si>
  <si>
    <t>A.4.7.1</t>
  </si>
  <si>
    <t>A.4.7.1.1</t>
  </si>
  <si>
    <t>A.4.7.1.2</t>
  </si>
  <si>
    <t>A.4.7.1.3</t>
  </si>
  <si>
    <t>A.4.7.1.4</t>
  </si>
  <si>
    <t>A.4.7.1.5</t>
  </si>
  <si>
    <t>A.4.7.1.6</t>
  </si>
  <si>
    <t>A.4.7.1.7</t>
  </si>
  <si>
    <t>A.4.7.1.8</t>
  </si>
  <si>
    <t>A.4.7.1.9</t>
  </si>
  <si>
    <t>A.4.7.1.9 A</t>
  </si>
  <si>
    <t>A.4.7.1.10</t>
  </si>
  <si>
    <t>A.4.7.1.10 B</t>
  </si>
  <si>
    <t>A.4.7.1.11</t>
  </si>
  <si>
    <t>A.4.7.1.11 A</t>
  </si>
  <si>
    <t>A.4.7.1.11 B</t>
  </si>
  <si>
    <t>A.4.7.1.11 C</t>
  </si>
  <si>
    <t>A.4.7.1.11 D</t>
  </si>
  <si>
    <t>1 m2 Pengecatan Tembok/ Plafond lama setara Vinilex (2 lps cat penutup)</t>
  </si>
  <si>
    <t>1 m2 Pengecatan Tembok/ Plafond Baru setara Paragon (1 lps plamur, 1 lps cat dasar, 2 lps cat penutup)</t>
  </si>
  <si>
    <t>1 m2 Pengecatan Tembok/ Plafond lama setara Paragon (1 lps cat dasar, 2 lps cat penutup)</t>
  </si>
  <si>
    <t>1 m2 Pengecatan Tembok/ Plafond lama setara Paragon (2 lps cat penutup)</t>
  </si>
  <si>
    <t>A.4.7.1.14</t>
  </si>
  <si>
    <t>A.4.7.1.16</t>
  </si>
  <si>
    <t>A.4.7.1.16 A</t>
  </si>
  <si>
    <t>A.4.7.1.16 B</t>
  </si>
  <si>
    <t>A.4.7.1.17</t>
  </si>
  <si>
    <t>A.4.7.1.18</t>
  </si>
  <si>
    <t>A.4.7.1.19</t>
  </si>
  <si>
    <t>A.4.7.1.20</t>
  </si>
  <si>
    <t>A.4.7.1.21</t>
  </si>
  <si>
    <t>A.5.1.1</t>
  </si>
  <si>
    <t>A.5.1.1.1</t>
  </si>
  <si>
    <t>A.5.1.1.1 A</t>
  </si>
  <si>
    <t>A.5.1.1.2 B</t>
  </si>
  <si>
    <t>A.5.1.1.2 A</t>
  </si>
  <si>
    <t>A.5.1.1.2</t>
  </si>
  <si>
    <t>A.5.1.1.4</t>
  </si>
  <si>
    <t>A.5.1.1.5</t>
  </si>
  <si>
    <t>A.5.1.1.5 A</t>
  </si>
  <si>
    <t>A.5.1.1.6</t>
  </si>
  <si>
    <t>A.5.1.1.7</t>
  </si>
  <si>
    <t>A.5.1.1.8</t>
  </si>
  <si>
    <t>A.5.1.1.10</t>
  </si>
  <si>
    <t>A.5.1.1.11</t>
  </si>
  <si>
    <t>A.5.1.1.12</t>
  </si>
  <si>
    <t>A.5.1.1.13</t>
  </si>
  <si>
    <t>A.5.1.1.14</t>
  </si>
  <si>
    <t>A.5.1.1.18</t>
  </si>
  <si>
    <t>A.5.1.1.19</t>
  </si>
  <si>
    <t>A.5.1.1.20</t>
  </si>
  <si>
    <t>A.5.1.1.21</t>
  </si>
  <si>
    <t>A.5.1.1.22</t>
  </si>
  <si>
    <t>A.5.1.1.23</t>
  </si>
  <si>
    <t>A.5.1.1.24</t>
  </si>
  <si>
    <t>A.5.1.1.25</t>
  </si>
  <si>
    <t>A.5.1.1.26</t>
  </si>
  <si>
    <t>A.5.1.1.27</t>
  </si>
  <si>
    <t>A.5.1.1.28</t>
  </si>
  <si>
    <t>A.5.1.1.29</t>
  </si>
  <si>
    <t>A.5.1.1.30</t>
  </si>
  <si>
    <t>A.5.1.1.31</t>
  </si>
  <si>
    <t>A.5.1.1.32</t>
  </si>
  <si>
    <t>A.5.1.1.32 A</t>
  </si>
  <si>
    <t>A.5.1.1.32 B</t>
  </si>
  <si>
    <t>A.5.1.1.32 C</t>
  </si>
  <si>
    <t>A.5.1.1.32 D</t>
  </si>
  <si>
    <t>A.5.1.1.32 E</t>
  </si>
  <si>
    <t>A.5.1.1.32 F</t>
  </si>
  <si>
    <t>A.5.1.1.32 G</t>
  </si>
  <si>
    <t>A.5.1.1.32 H</t>
  </si>
  <si>
    <t>A.5.1.1.32 I</t>
  </si>
  <si>
    <t>A.5.1.1.32 J</t>
  </si>
  <si>
    <t>A.5.1.1.32 K</t>
  </si>
  <si>
    <t>A.5.1.1.32 L</t>
  </si>
  <si>
    <t>A.5.1.1.32 M</t>
  </si>
  <si>
    <t>A.5.1.1.33</t>
  </si>
  <si>
    <t>A.5.1.1.34</t>
  </si>
  <si>
    <t>A.8.4.1</t>
  </si>
  <si>
    <t>A.8.4.1.3</t>
  </si>
  <si>
    <t>A.8.4.1.4</t>
  </si>
  <si>
    <t>A.8.4.1.5</t>
  </si>
  <si>
    <t>A.8.4.1.6</t>
  </si>
  <si>
    <t>A.8.4.1.7</t>
  </si>
  <si>
    <t>A.8.4.1.17</t>
  </si>
  <si>
    <t>A.8.4.1.18</t>
  </si>
  <si>
    <t>A.8.4.1.19</t>
  </si>
  <si>
    <t>A.8.4.1.20</t>
  </si>
  <si>
    <t>A.8.4.3.2</t>
  </si>
  <si>
    <t>A.8.4.3.1</t>
  </si>
  <si>
    <t>Pemasangan 1 buah Valve Ø 8" + 2 buah Flange socket Ø8"</t>
  </si>
  <si>
    <t>Pemasangan 1 buah Valve Ø 6" + 2 buah Flange socket Ø6"</t>
  </si>
  <si>
    <t>Pemasangan 1 buah Valve Ø 4" + 2 buah Flange socket Ø4"</t>
  </si>
  <si>
    <t>Pemasangan 1 buah Valve Ø 3" + 2 buah Flange socket Ø3"</t>
  </si>
  <si>
    <t>A.8.4.3.3</t>
  </si>
  <si>
    <t>Pemasangan 1 buah Valve Ø 10" + 2 buah Flange socket Ø10"</t>
  </si>
  <si>
    <t>A.8.4.3.4</t>
  </si>
  <si>
    <t>Pemasangan 1 buah Valve Ø 12" + 2 buah Flange socket Ø12"</t>
  </si>
  <si>
    <t>Pemasangan 1 buah Collar Ø90 mm</t>
  </si>
  <si>
    <t>Pemasangan 1 buah Collar Ø110 mm</t>
  </si>
  <si>
    <t>Pemasangan 1 buah Collar Ø160 mm</t>
  </si>
  <si>
    <t>Pemasangan 1 buah Collar Ø200 mm</t>
  </si>
  <si>
    <t>Pemasangan 1 buah Collar Ø250 mm</t>
  </si>
  <si>
    <t>Pemasangan 1 buah Collar Ø300 mm</t>
  </si>
  <si>
    <t>A.8.4.3.11 A</t>
  </si>
  <si>
    <t>Pemasangan 1 buah Single Air Valve Ø2"</t>
  </si>
  <si>
    <t>Pemasangan 1 buah Single Air Valve Ø3"</t>
  </si>
  <si>
    <t>Pemasangan 1 buah Single Air Valve Ø4"</t>
  </si>
  <si>
    <t>Pemasangan 1 buah Single Air Valve Ø6"</t>
  </si>
  <si>
    <t>Pemasangan 1 buah Double Air Valve Ø2"</t>
  </si>
  <si>
    <t>Pemasangan 1 buah Double Air Valve Ø3"</t>
  </si>
  <si>
    <t>Pemasangan 1 buah Double Air Valve Ø4"</t>
  </si>
  <si>
    <t>Pemasangan 1 buah Double Air Valve Ø6"</t>
  </si>
  <si>
    <t>Pemasangan 1 titik Sambungan Pipa Air minum (standart pdam) existing pipa Ø2"</t>
  </si>
  <si>
    <t>Pemasangan 1 titik Sambungan Pipa Air minum (standart pdam) existing pipa Ø3"</t>
  </si>
  <si>
    <t>Pemasangan 1 titik Sambungan Pipa Air minum (standart pdam) existing pipa Ø4"</t>
  </si>
  <si>
    <t>Pemasangan 1 titik Sambungan Pipa Air minum (standart pdam) existing pipa Ø6"</t>
  </si>
  <si>
    <t>A.8.4.3-1.3 A</t>
  </si>
  <si>
    <t>A.8.4.4.1</t>
  </si>
  <si>
    <t>Peralatan potong pipa T2/mekanik / cilindersaw</t>
  </si>
  <si>
    <t>Sewa Pompa Submersible 3m3/h</t>
  </si>
  <si>
    <t>Sewa Tripot/Tackel &amp; handle crane 2 T</t>
  </si>
  <si>
    <t>A.8.4.4.4</t>
  </si>
  <si>
    <t>A.8.4.4.5</t>
  </si>
  <si>
    <t>A.8.4.4.6</t>
  </si>
  <si>
    <t>A.8.4.5.1</t>
  </si>
  <si>
    <t>SUPL</t>
  </si>
  <si>
    <t>HARGA SATUAN PEKERJAAN SUPLEMEN</t>
  </si>
  <si>
    <t>PLL Supl. 6.1</t>
  </si>
  <si>
    <t>Harga /M² (Harga Satuan Pekerjaan / 56)</t>
  </si>
  <si>
    <t>PK Supl. 1</t>
  </si>
  <si>
    <t>Tukang Listrik</t>
  </si>
  <si>
    <t>PK Supl. 2</t>
  </si>
  <si>
    <t>PK Supl. 1 A</t>
  </si>
  <si>
    <t>PK Supl. 1 B</t>
  </si>
  <si>
    <t>Pasang 1 Lampu TL 1x36 Watt</t>
  </si>
  <si>
    <t>Lampu TL 1x36 Watt</t>
  </si>
  <si>
    <t>Lampu TL 1x36 watt komplet kotak</t>
  </si>
  <si>
    <t>Lampu TL 2x36 watt komplet kotak</t>
  </si>
  <si>
    <t>PK Supl. 3</t>
  </si>
  <si>
    <t>Pasang 1 Lampu TL 2x36 Watt</t>
  </si>
  <si>
    <t>Lampu TL 2x36 Watt</t>
  </si>
  <si>
    <t>PK Supl. 4</t>
  </si>
  <si>
    <t>Pasang 1 Lampu Downlight</t>
  </si>
  <si>
    <t>Lampu Downlight</t>
  </si>
  <si>
    <t>PK Supl. 5</t>
  </si>
  <si>
    <t>PK Supl. 6</t>
  </si>
  <si>
    <t>Pasang 1 bh Stop Kontak</t>
  </si>
  <si>
    <t>PK Supl. 7</t>
  </si>
  <si>
    <t>Pasang 1 bh Saklar Tunggal</t>
  </si>
  <si>
    <t>PK Supl. 8</t>
  </si>
  <si>
    <t>Pasang 1 bh Saklar Ganda</t>
  </si>
  <si>
    <t>PK Supl. 9</t>
  </si>
  <si>
    <t>Pasang 1 bh Saklar Triple</t>
  </si>
  <si>
    <t>PK Supl. 10</t>
  </si>
  <si>
    <t>Pasang 1M' Kabel Feeder NYY 4x10 mm²</t>
  </si>
  <si>
    <t>Kabel Feeder NYY 4x10 mm²,</t>
  </si>
  <si>
    <t>PK Supl. 11 PLN.1</t>
  </si>
  <si>
    <t>Penyambungan Listrik Pasca Bayar Daya 1300 VA</t>
  </si>
  <si>
    <t>Jumlah (A)</t>
  </si>
  <si>
    <t>15% x B</t>
  </si>
  <si>
    <t>Harga Satuan Pekerjaan (B+C)</t>
  </si>
  <si>
    <t>JUMLAH KELOMPOK RETRIBUSI</t>
  </si>
  <si>
    <t>PK Supl. 11 PLN.2</t>
  </si>
  <si>
    <t>Penyambungan Listrik Pasca Bayar Daya 2200 VA</t>
  </si>
  <si>
    <t>PK Supl. 11 PLN.3</t>
  </si>
  <si>
    <t>Penyambungan Listrik Pasca Bayar Daya 3500 VA</t>
  </si>
  <si>
    <t>PK Supl. 12 PLN.1</t>
  </si>
  <si>
    <t>Penyambungan Listrik Pasca Bayar Daya 13200 VA</t>
  </si>
  <si>
    <t>Biaya Instalasi dan Pengangkutan</t>
  </si>
  <si>
    <t>JUMLAH TENAGA</t>
  </si>
  <si>
    <t>Jumlah (A+B+C+D)</t>
  </si>
  <si>
    <t>15% x E</t>
  </si>
  <si>
    <t>Harga Satuan Pekerjaan (E+F)</t>
  </si>
  <si>
    <t>PK Supl. 12 PLN.2</t>
  </si>
  <si>
    <t>Penyambungan Listrik Pasca Bayar Daya 16500 VA</t>
  </si>
  <si>
    <t>Pemasangan 1 m Cerocok Kayu Bulat Ø4"</t>
  </si>
  <si>
    <t>Kayu Bulat Ø4"</t>
  </si>
  <si>
    <t>Pemasangan 1 m² alumunium foil/sisalation</t>
  </si>
  <si>
    <t>A.4.2.1.22 A</t>
  </si>
  <si>
    <t>Pemasangan 1 m2 atap pelana rangka atap baja canal ringan profil C75 Bahan Atap Seng/Spande/Zincalume</t>
  </si>
  <si>
    <t>Reng Baja Ringan C40</t>
  </si>
  <si>
    <t>Pemasangan 1 m2 rangka plafond besi hollow 1x40.40.2mm modul (60x60) cm</t>
  </si>
  <si>
    <t>Pemasangan 1 m2 atap pelana rangka atap baja canal ringan profil C75 Bahan Atap Genteng</t>
  </si>
  <si>
    <t>A.4.2.1.22 C</t>
  </si>
  <si>
    <t>Pemasangan 1 m2 atap jurai rangka atap baja canal ringan profil C75 Bahan Atap Genteng</t>
  </si>
  <si>
    <t>Pemasangan 1 m2 atap jurai rangka atap baja canal ringan profil C75 Bahan Atap Seng/Spande/Zincalume</t>
  </si>
  <si>
    <t>A.4.2.1.22 D</t>
  </si>
  <si>
    <t>HARGA SATUAN PEKERJAAN INSTALASI ELEKTRIKAL</t>
  </si>
  <si>
    <t>Pemasangan 1 m2 rangka besi hollow 1x40.40.2mm modul 60x120 cm dinding partisi</t>
  </si>
  <si>
    <t>A.4.4.3.54 A</t>
  </si>
  <si>
    <t>A.4.4.3.54 B</t>
  </si>
  <si>
    <t>Pemasangan 1 m2 dinding keramik 30cm x 60cm</t>
  </si>
  <si>
    <t>Pemasangan 1 m2 dinding keramik 60cm x 60cm</t>
  </si>
  <si>
    <t>Pemasangan 1 m2 wallpaper Biasa lebar 50 cm</t>
  </si>
  <si>
    <t>A.4.4.3.60 A</t>
  </si>
  <si>
    <t>Pemasangan 1 m2 wallpaper Lux Motif lebar 50 cm</t>
  </si>
  <si>
    <t>A.4.6.2.6 A</t>
  </si>
  <si>
    <t>Engsel Jendela Casement Alumunium</t>
  </si>
  <si>
    <t>Pemasangan 1 m2 kaca buram tebal 12 mm</t>
  </si>
  <si>
    <t>Pemasangan 1 m2 kaca cermin tebal 5 mm</t>
  </si>
  <si>
    <t>Pemasangan 1 buah Rel pintu sorong</t>
  </si>
  <si>
    <t>Pemasangan 1 buah kunci lemari</t>
  </si>
  <si>
    <t>Pemasangan 1 buah door closer</t>
  </si>
  <si>
    <t>A.4.4.2.27 A</t>
  </si>
  <si>
    <t>Cat Waterprofing</t>
  </si>
  <si>
    <t>Serat Fiber</t>
  </si>
  <si>
    <t>Pemasangan 1 m2 Waterpforing lantai</t>
  </si>
  <si>
    <t>Pemasangan 1 m2 plesteran 1SP : 8PP tebal 15 mm</t>
  </si>
  <si>
    <t>Pemasangan 1 m2 Vertical blinds</t>
  </si>
  <si>
    <t xml:space="preserve">Pemasangan 1 m2 Venetions blinds </t>
  </si>
  <si>
    <t xml:space="preserve">Keramik  30 x 60 cm </t>
  </si>
  <si>
    <t>A.4.5.1.7 A</t>
  </si>
  <si>
    <t>Pemasangan 1 m2 langit-langit calsium board ukuran (120 x 240) cm tebal 4 mm</t>
  </si>
  <si>
    <t>Pemasangan 1 m2 langit-langit gypsum board ukuran (120 x 240) cm tebal 9 mm</t>
  </si>
  <si>
    <t>Plafond PVC</t>
  </si>
  <si>
    <t>Pemasangan 1 m2 langit-langit drop PVC warna</t>
  </si>
  <si>
    <t>Pemasangan 1 m2 langit-langit PVC warna</t>
  </si>
  <si>
    <t>Tukang Alumunium</t>
  </si>
  <si>
    <t>A.4.5.1.9 A</t>
  </si>
  <si>
    <t>List gypsum profil 6"</t>
  </si>
  <si>
    <t>A.4.5.1.9 B</t>
  </si>
  <si>
    <t>A.4.5.1.9 C</t>
  </si>
  <si>
    <t>List gypsum profil 3"</t>
  </si>
  <si>
    <t>A.4.5.1.9 D</t>
  </si>
  <si>
    <t>List gypsum profil 2"</t>
  </si>
  <si>
    <t>A.4.5.1.9 E</t>
  </si>
  <si>
    <t>List Profil PVC</t>
  </si>
  <si>
    <t>Profil PVC</t>
  </si>
  <si>
    <t>Plafond PVC warna</t>
  </si>
  <si>
    <t>Polish/Pengkilat</t>
  </si>
  <si>
    <t>polish/pengkilat</t>
  </si>
  <si>
    <t>Membuat 1 m’ ring balok beton bertulang (10 x 15) cm</t>
  </si>
  <si>
    <t>Pemasangan 1 m2 bekisting untuk tangga</t>
  </si>
  <si>
    <t>Pemasangan 1 m' pipa air limbah jenis pipa tanah Ø15 cm</t>
  </si>
  <si>
    <t>Plywood 4mm</t>
  </si>
  <si>
    <t>A. 2.2.1.16</t>
  </si>
  <si>
    <t>Pemasangan 1 m3 lapisan pudel campuran 1KP:3PP:7TL</t>
  </si>
  <si>
    <t>Pengerjaan stripping 1 m2 tanah tebing setinggi 1 meter</t>
  </si>
  <si>
    <t>Penggalian 1 m3 tanah biasa sedalam 1 m</t>
  </si>
  <si>
    <t>Penggalian 1 m3 tanah biasa sedalam 3 m</t>
  </si>
  <si>
    <t>Penggalian 1 m3 tanah keras sedalam 1 m</t>
  </si>
  <si>
    <t>Penggalian 1 m3 tanah cadas sedalam 1 m</t>
  </si>
  <si>
    <t>Penggalian 1 m3 tanah lumpur sedalam 1 m</t>
  </si>
  <si>
    <t>Pembuangan 1 m3 tanah sejauh 30 meter</t>
  </si>
  <si>
    <t>Pemasangan 1 m3 pondasi siklop 60% beton campuran 1SP : 2PP</t>
  </si>
  <si>
    <t>Plywood tebal 9 mm</t>
  </si>
  <si>
    <t>A.4.1.1.24 B</t>
  </si>
  <si>
    <t>A.4.1.1.24 A</t>
  </si>
  <si>
    <t>Pemasangan 1 m2  bekisting untuk lantai Steel Deck Superdyma 550Mpa</t>
  </si>
  <si>
    <t>Steel Deck t. 0,75 mm</t>
  </si>
  <si>
    <t>Styrofoam</t>
  </si>
  <si>
    <t>Pemasangan 1 m2 bekisting untuk dinding</t>
  </si>
  <si>
    <t xml:space="preserve">Kawat Las </t>
  </si>
  <si>
    <t>Memasang 1 m2  Rangka plafond gypsum board/calsiboard modul 60x60 cm</t>
  </si>
  <si>
    <t>A.4.4.3.39 A</t>
  </si>
  <si>
    <t>A.4.4.3.39 B</t>
  </si>
  <si>
    <t>A.4.4.3.39 C</t>
  </si>
  <si>
    <t>A.4.4.3.39 D</t>
  </si>
  <si>
    <t>JUMLAH HARGA PERALATAN</t>
  </si>
  <si>
    <t>Supl. GRC</t>
  </si>
  <si>
    <t>Memasang 1 m2 Panel Ornamen GRC Rangka Hollow 40x40x2 mm</t>
  </si>
  <si>
    <t>Besi Hollow 40x40x2 mm</t>
  </si>
  <si>
    <t>Ornamen GRC</t>
  </si>
  <si>
    <t>Pemasangan 1 m2 langit-langit asbes semen tebal 4mm</t>
  </si>
  <si>
    <t>Pemasangan 1 m2 langit-langit akustik ukuran (30 x 60) cm</t>
  </si>
  <si>
    <t xml:space="preserve">Pemasangan 1 m2 langit-langit tripleks ukuran (120 x 240) cm tebal  4 mm </t>
  </si>
  <si>
    <t>Pemasangan 1 m2 langit-langit akustik ukuran (60x120) cm berikut rangka alluminium</t>
  </si>
  <si>
    <t>Memasang 1 m list plafond gypsum profil 6"</t>
  </si>
  <si>
    <t>Memasang 1 m list plafond gypsum profil 4"</t>
  </si>
  <si>
    <t>Memasang 1 m list plafond gypsum profil 3"</t>
  </si>
  <si>
    <t>Memasang 1 m list plafond gypsum profil 2"</t>
  </si>
  <si>
    <t>Memasang 1 m list profil PVC</t>
  </si>
  <si>
    <t>Pembuatan dan pemasangan 1 m3 kusen pintu dan kusen jendela kayu kelas II Meranti</t>
  </si>
  <si>
    <t>Pemasangan 1 m2 rangka atap genteng keramik kayu kelas II meranti</t>
  </si>
  <si>
    <t>HPL setara TACO</t>
  </si>
  <si>
    <t>Baja Ringan Canal C75</t>
  </si>
  <si>
    <t>Pemasangan 1 m2 Dinding Pemisah  gypsum board ukuran (120x240x9) mm tebal 9 mm</t>
  </si>
  <si>
    <t>Pemasangan 1 m2 Dinding Pemisah Triplex ukuran (120x240x4) mm</t>
  </si>
  <si>
    <t>Teakwood  4 mm120 x 240</t>
  </si>
  <si>
    <t xml:space="preserve">Pemasangan 1 m2 dinding pemisah plywood rangkap rangka kayu kelas III </t>
  </si>
  <si>
    <t>Plywood 4 mm</t>
  </si>
  <si>
    <t>Pemasangan 1 m2 dinding bilik rangka kayu kelas III SK</t>
  </si>
  <si>
    <t>Engsel Jendela Casement Alumunium 10"</t>
  </si>
  <si>
    <t>Handle (pegangan) Casement</t>
  </si>
  <si>
    <t>Pemasangan 1 buah engsel jendela Casement Alumunium 10"</t>
  </si>
  <si>
    <t>A.4.6.2.6 B</t>
  </si>
  <si>
    <t>Pemasangan 1 buah Pegangan Casement</t>
  </si>
  <si>
    <t>Kaca cermin 6 mm</t>
  </si>
  <si>
    <t>1 m2 Pengecatan bidang kayu baru (1 lapis plamuur 1 lapis cat dasar 2 lapis cat penutup)</t>
  </si>
  <si>
    <t>Pengecatan 1 m2  bidang kayu baru (1 lapis plamuur 1 lapis cat dasar 3 lapis cat penutup)</t>
  </si>
  <si>
    <t>Pengecatan 1 m2 permukaan baja galvanis secara manual sistem 3 lapis</t>
  </si>
  <si>
    <t>Pengecatan 1 m2  permukaan baja galvanis secara manual sistem 1 lapis cat mutakhir</t>
  </si>
  <si>
    <t>A.5.1.1.18 A</t>
  </si>
  <si>
    <t>Jet Washer Closet setara TOTO</t>
  </si>
  <si>
    <t>Jet Washer Closet</t>
  </si>
  <si>
    <t>A.5.1.1.18 B</t>
  </si>
  <si>
    <t>A.5.1.1.18 C</t>
  </si>
  <si>
    <t>Kawat Las 5kg</t>
  </si>
  <si>
    <t>Harga Pekerjaan Pengelasan 1 cm</t>
  </si>
  <si>
    <t>A.4.2.1.1</t>
  </si>
  <si>
    <t>Pemasangan 1 m2 teakwood rangkap rangka expose kayu kelas I Damar</t>
  </si>
  <si>
    <t>Pemasangan 1 m2 rangka atap sirap kayu kelas II meranti</t>
  </si>
  <si>
    <t>Pemasangan 1 m2 rangka langit-langit  (50 x 100) cm kayu kelas III SK</t>
  </si>
  <si>
    <t>Pemasangan 1 m2 rangka langit-langit  (60 x 60) cm kayu kelas III SK</t>
  </si>
  <si>
    <t xml:space="preserve"> Pemasangan 1 m’ lisplank ukuran (3 x 20) cm kayu kelas II Meranti</t>
  </si>
  <si>
    <t>Pemasangan 1 m’  lisplank ukuran (3 x 30) cm kayu kelas II Meranti</t>
  </si>
  <si>
    <t>Pemasangan 1 m2 Dinding Pemisah Triplex partisi  ukuran (120x240x9) mm</t>
  </si>
  <si>
    <t>Pemasangan 1 m2 Dinding Pemisah Papan Susun Sirih Rangka Kayu Kelas II</t>
  </si>
  <si>
    <t>Pemasangan 1 m2 Dinding Pemisah Papan Susun Sirih Rangka Kayu Kelas III</t>
  </si>
  <si>
    <t>Pengecatan 1 m2 tembok baru (1 lapis plamuur 1 lapis cat dasar 2 lapis cat penutup) setara Vinilex</t>
  </si>
  <si>
    <t>Pengecatan 1 m2 tembok baru (1 lapis plamuur 1 lapis cat dasar 2 lapis cat penutup) setara Paragon</t>
  </si>
  <si>
    <t>Pemasangan 1 buah kran diameter ½” atau 3/4”</t>
  </si>
  <si>
    <t>Pemasangan 1 buah Stop Kran  ½” atau 3/4”</t>
  </si>
  <si>
    <t>Pemasangan 1 buah Jet Washer Closet setara TOTO</t>
  </si>
  <si>
    <t>Pemasangan 1 m pipa PVC Ø 200 mm (Air minum)</t>
  </si>
  <si>
    <t>Pemasangan 1 m’ pipa PVC tipe AW diameter 1/2”</t>
  </si>
  <si>
    <t>Pemasangan 1 buah Box Kontrol uk.45x45x50 cm</t>
  </si>
  <si>
    <t>Pemasangan 1 buah Box Kontrol uk.30x30x40 cm</t>
  </si>
  <si>
    <t>A.8.4.3-1.3 B</t>
  </si>
  <si>
    <t>Pemasangan 1 buah Box Kontrol uk.60x60x65 cm</t>
  </si>
  <si>
    <t>A.8.4.3-1.3 C</t>
  </si>
  <si>
    <t>Alat Bantu/Trowel</t>
  </si>
  <si>
    <t>Trowel</t>
  </si>
  <si>
    <t>Kabel listrik NYM 3x2,5mm</t>
  </si>
  <si>
    <t>Kabel listrik NYM 3x1,5mm</t>
  </si>
  <si>
    <t>Pasang 1 Titik Instalasi Penerangan dan Stop Kontak dengan Kabel NYM 3x2,5 mm²</t>
  </si>
  <si>
    <t>Kabel NYM 3x2,5 mm²</t>
  </si>
  <si>
    <t>Pasang 1 Titik Instalasi Penerangan dan Stop Kontak dengan Kabel NYM 2x1,5 mm²</t>
  </si>
  <si>
    <t>Pasang 1 Titik Instalasi Penerangan dan Stop Kontak dengan Kabel NYM 2x2,5 mm²</t>
  </si>
  <si>
    <t>Kabel NYM 2x2,5 mm²</t>
  </si>
  <si>
    <t>Kabel NYM 2x1,5 mm²</t>
  </si>
  <si>
    <t>PK Supl. 1 C</t>
  </si>
  <si>
    <t>Kabel NYA 2,5 mm²</t>
  </si>
  <si>
    <t>PK Supl. 1 D</t>
  </si>
  <si>
    <t>Pasang 1 Titik Instalasi Penerangan dan Stop Kontak dengan Kabel NYA 3x1,5 mm²</t>
  </si>
  <si>
    <t>Kabel NYA 1,5 mm²</t>
  </si>
  <si>
    <t>PK Supl. 1 E</t>
  </si>
  <si>
    <t>Pasang 1 Titik Instalasi Penerangan dan Stop Kontak dengan Kabel NYM 3x1,5 mm²</t>
  </si>
  <si>
    <t>Kabel NYM 3x1,5 mm²</t>
  </si>
  <si>
    <t>PK Supl. 1 F</t>
  </si>
  <si>
    <t>PK Supl. 1 G</t>
  </si>
  <si>
    <t>Minyak Solar Non subsidi</t>
  </si>
  <si>
    <t>Pemasangan 1 m2 finishing siar pasangan batu kali. campuran 1SP : 2PP</t>
  </si>
  <si>
    <t>A.4.1.1.20 A</t>
  </si>
  <si>
    <t>Pemasangan 1 m2  bekisting untuk pondasi (2x pakai)</t>
  </si>
  <si>
    <t>A.4.1.1.21 A</t>
  </si>
  <si>
    <t>Pemasangan 1 m2  bekisting untuk sloof (2x pakai)</t>
  </si>
  <si>
    <t>A.4.1.1.22 A</t>
  </si>
  <si>
    <t xml:space="preserve"> Pemasangan 1 m2  bekisting untuk kolom (2x pakai)</t>
  </si>
  <si>
    <t>BAHAN 2X PAKAI (1/2 JLH. HARGA BAHAN)</t>
  </si>
  <si>
    <t>Pemasangan 1 m2  sunscreen jalusi alluminium</t>
  </si>
  <si>
    <t>Pemasangan 1 m2 teakwood rangkap lapis formika rangka expose kayu kelas II Meranti</t>
  </si>
  <si>
    <t>Membuat 1 m3 lantai kerja beton mutu f’c = 7.4 MPa (K 100). slump (3-6) cm w/c = 0.87</t>
  </si>
  <si>
    <t>Pemasangan 1 kg rangka kuda-kuda baja IWF</t>
  </si>
  <si>
    <t>Pengerjaan 100 kg pekerjaan perakitan</t>
  </si>
  <si>
    <t>Pembuatan 1 m2 pintu besi plat baja tebal 2 mm rangkap rangka baja siku</t>
  </si>
  <si>
    <t>Pemasangan 1m2 dinding bata merah (5x11x22) cm tebal ½ batu campuran 1SP :4PP</t>
  </si>
  <si>
    <t>A.4.1.1.23 A</t>
  </si>
  <si>
    <t>Pemasangan 1 m2  bekisting untuk balok (2x pakai)</t>
  </si>
  <si>
    <t>A.4.1.1.24</t>
  </si>
  <si>
    <t>Pemasangan 1 m2  bekisting untuk lantai (2x pakai)</t>
  </si>
  <si>
    <t>Pembuatan 1 m2 rumah jaga (konstruksi kayu )</t>
  </si>
  <si>
    <t>:</t>
  </si>
  <si>
    <t>V</t>
  </si>
  <si>
    <t xml:space="preserve">BACK UP DATA </t>
  </si>
  <si>
    <t>Sumatera Utara</t>
  </si>
  <si>
    <t>Kab / Kota</t>
  </si>
  <si>
    <t>Medan</t>
  </si>
  <si>
    <t>Instansi</t>
  </si>
  <si>
    <t>Nama Kegiatan</t>
  </si>
  <si>
    <t>Nama Pekerjaan</t>
  </si>
  <si>
    <t>Lokasi</t>
  </si>
  <si>
    <t>Tahun Anggaran</t>
  </si>
  <si>
    <t>Konsultan Perencana</t>
  </si>
  <si>
    <t>No.</t>
  </si>
  <si>
    <t>Uraian Pekerjaan</t>
  </si>
  <si>
    <t xml:space="preserve">Panjang </t>
  </si>
  <si>
    <t xml:space="preserve">Lebar </t>
  </si>
  <si>
    <t>Tinggi</t>
  </si>
  <si>
    <t>Jumlah Unit</t>
  </si>
  <si>
    <t>Total Volume</t>
  </si>
  <si>
    <t>PEKERJAAN BETON BERTULANG</t>
  </si>
  <si>
    <t>BACK UP BETON</t>
  </si>
  <si>
    <t>BEKISTING</t>
  </si>
  <si>
    <t>DIMENSI BETON</t>
  </si>
  <si>
    <t>BESI</t>
  </si>
  <si>
    <t>Berat</t>
  </si>
  <si>
    <t>Total Berat</t>
  </si>
  <si>
    <t>SISI BEKISTING</t>
  </si>
  <si>
    <t>PANJANG</t>
  </si>
  <si>
    <t>Total Bekisting (KoefxPakai)</t>
  </si>
  <si>
    <t>URAIAN</t>
  </si>
  <si>
    <t>LEBAR</t>
  </si>
  <si>
    <t>TEBAL</t>
  </si>
  <si>
    <t>LUAS</t>
  </si>
  <si>
    <t>Panjang</t>
  </si>
  <si>
    <t>Jumlah</t>
  </si>
  <si>
    <t>vol beton</t>
  </si>
  <si>
    <t>POKOK</t>
  </si>
  <si>
    <t>BEUGEL</t>
  </si>
  <si>
    <t>Besi</t>
  </si>
  <si>
    <t>pjg</t>
  </si>
  <si>
    <t>( m )</t>
  </si>
  <si>
    <t>(M2)</t>
  </si>
  <si>
    <t>(m)</t>
  </si>
  <si>
    <t>Ø</t>
  </si>
  <si>
    <t>Kg/M'</t>
  </si>
  <si>
    <t>Jml</t>
  </si>
  <si>
    <t>b</t>
  </si>
  <si>
    <t>h</t>
  </si>
  <si>
    <t>kuku</t>
  </si>
  <si>
    <t>jarak</t>
  </si>
  <si>
    <t>Jml bgl</t>
  </si>
  <si>
    <t>Pokok</t>
  </si>
  <si>
    <t>Beugel</t>
  </si>
  <si>
    <t>KOLOM</t>
  </si>
  <si>
    <t>SLOOF</t>
  </si>
  <si>
    <t>SLOOF 15x15 Cm</t>
  </si>
  <si>
    <t>BALOK</t>
  </si>
  <si>
    <t>PLAT LANTAI</t>
  </si>
  <si>
    <t xml:space="preserve">PONDASI </t>
  </si>
  <si>
    <t>Lampu selang</t>
  </si>
  <si>
    <t>Trech Drain TAS 001</t>
  </si>
  <si>
    <t>pcs</t>
  </si>
  <si>
    <t>Trech Drain TAS 002</t>
  </si>
  <si>
    <t>Trech Drain TAS 003</t>
  </si>
  <si>
    <t xml:space="preserve">PONDASI TAPAK  </t>
  </si>
  <si>
    <t>Kolom 25X25 cm</t>
  </si>
  <si>
    <t>Dihitung</t>
  </si>
  <si>
    <t>Memasang 1 m2 Batu Sikat/kacang</t>
  </si>
  <si>
    <t xml:space="preserve">Batu sikat </t>
  </si>
  <si>
    <t>M³</t>
  </si>
  <si>
    <t xml:space="preserve"> Balok 10x15 cm</t>
  </si>
  <si>
    <t>Dinding Drainase</t>
  </si>
  <si>
    <t>Jembatan</t>
  </si>
  <si>
    <t>Balok 20x30Cm</t>
  </si>
  <si>
    <t>A.4.2.1.21.a</t>
  </si>
  <si>
    <t>Pemasangan 1 m2 rangka  Aluminium</t>
  </si>
  <si>
    <t>Rangka Aluminium 50:100</t>
  </si>
  <si>
    <t>Kaca Thempert 10 mm</t>
  </si>
  <si>
    <t xml:space="preserve">Assesoris </t>
  </si>
  <si>
    <t>A.4.6.2.19.a</t>
  </si>
  <si>
    <t>Pemasangan 1 m2 kaca Thempert tebal 10 mm</t>
  </si>
  <si>
    <t>Kaca thempert 10 mm</t>
  </si>
  <si>
    <t>kaca Thempert 12 mm</t>
  </si>
  <si>
    <t>PEKERJAAN TAMAN</t>
  </si>
  <si>
    <t>A.2.3.1.11. B</t>
  </si>
  <si>
    <t>Pengurugan 1 m3 dengan tanah humus</t>
  </si>
  <si>
    <t>Tanah urug humus</t>
  </si>
  <si>
    <t>urugan tanah humus                            A</t>
  </si>
  <si>
    <t xml:space="preserve">                                                                     B</t>
  </si>
  <si>
    <t xml:space="preserve">                                                                     C</t>
  </si>
  <si>
    <t xml:space="preserve">                                                                     D</t>
  </si>
  <si>
    <t>galian vektor</t>
  </si>
  <si>
    <t>pipa besi 3"</t>
  </si>
  <si>
    <t>cat</t>
  </si>
  <si>
    <t>Pas.bata</t>
  </si>
  <si>
    <t>Tanaman serut</t>
  </si>
  <si>
    <t>Tanaman Cemara Udang</t>
  </si>
  <si>
    <t>Tanaman Asam Keranji</t>
  </si>
  <si>
    <t>Tanaman Airis</t>
  </si>
  <si>
    <t>Tanaman Melati mini biasa</t>
  </si>
  <si>
    <t>Tanaman Pucuk merah</t>
  </si>
  <si>
    <t>Tanaman Lili Paris</t>
  </si>
  <si>
    <t>Tanaman  Tri colour</t>
  </si>
  <si>
    <t>Tanaman Asoka</t>
  </si>
  <si>
    <t>Tanaman Pandan Bali</t>
  </si>
  <si>
    <t>Rumput Swiss</t>
  </si>
  <si>
    <t>Tanaman bawang bawangan</t>
  </si>
  <si>
    <t>Tanaman kucai mini</t>
  </si>
  <si>
    <t>Tanaman lidah mertua</t>
  </si>
  <si>
    <t>HARGA SATUAN TAMAN</t>
  </si>
  <si>
    <t>Harga Satuan  (Rp)</t>
  </si>
  <si>
    <t>Jumlah Harga (Rp)</t>
  </si>
  <si>
    <t xml:space="preserve">TENAGA </t>
  </si>
  <si>
    <t>Furadan</t>
  </si>
  <si>
    <t>Galian lubang</t>
  </si>
  <si>
    <t xml:space="preserve">Overhead &amp; Profit </t>
  </si>
  <si>
    <t>Anl.TAMAN</t>
  </si>
  <si>
    <t>ANALISA PEKERJAAN TAMAN</t>
  </si>
  <si>
    <t>Anl. Taman 01</t>
  </si>
  <si>
    <t>Tanaman Akalifa</t>
  </si>
  <si>
    <t>Tanaman Melati mini Varigata</t>
  </si>
  <si>
    <t>Taman                                                     A</t>
  </si>
  <si>
    <t>pucuk merah</t>
  </si>
  <si>
    <t>bunga asoka</t>
  </si>
  <si>
    <t>rumput swiss</t>
  </si>
  <si>
    <t>Pohon Pucuk merah</t>
  </si>
  <si>
    <t>Penanaman 1 btg Pucuk Merah</t>
  </si>
  <si>
    <t>Anl. Taman 02</t>
  </si>
  <si>
    <t>Penanaman 1 btg Bunga asoka</t>
  </si>
  <si>
    <t>Bunga Asoka</t>
  </si>
  <si>
    <t>Anl. Taman 03</t>
  </si>
  <si>
    <t>Pucuk Merah</t>
  </si>
  <si>
    <t>melati mini kuning</t>
  </si>
  <si>
    <t>Anl. Taman 04</t>
  </si>
  <si>
    <t>Penanaman 1 btg Bunga melati mini kuning</t>
  </si>
  <si>
    <t>Bunga melati mini</t>
  </si>
  <si>
    <t>melati mini biasa</t>
  </si>
  <si>
    <t>Anl. Taman 05</t>
  </si>
  <si>
    <t>Penanaman 1 btg Serut merah</t>
  </si>
  <si>
    <t>Anl. Taman 06</t>
  </si>
  <si>
    <t xml:space="preserve">Penanaman 1 btg Bunga melati mini </t>
  </si>
  <si>
    <t>Bunga Serut</t>
  </si>
  <si>
    <t>Anl. Taman 07</t>
  </si>
  <si>
    <t>melati mini siver</t>
  </si>
  <si>
    <t>Tanaman Melati mini siver</t>
  </si>
  <si>
    <t>Anl. Taman 08</t>
  </si>
  <si>
    <t>Penanaman 1 btg Crocol merah</t>
  </si>
  <si>
    <t>crocol merah</t>
  </si>
  <si>
    <t>catur rindu</t>
  </si>
  <si>
    <t>Rumput swis</t>
  </si>
  <si>
    <t>serut merah</t>
  </si>
  <si>
    <t>Penanaman 1 btg catur rindu</t>
  </si>
  <si>
    <t>Tanaman Catur rindu</t>
  </si>
  <si>
    <t>Tanaman krokot merah</t>
  </si>
  <si>
    <t>Palem ekor tupai</t>
  </si>
  <si>
    <t>kelengkeng</t>
  </si>
  <si>
    <t>mangga</t>
  </si>
  <si>
    <t>Vektor Taekwondo</t>
  </si>
  <si>
    <t>Vektor Tinju</t>
  </si>
  <si>
    <t>A.4.2.1.20.a</t>
  </si>
  <si>
    <t>A.4.2.1.21.b</t>
  </si>
  <si>
    <t>A.4.6.1.23 H</t>
  </si>
  <si>
    <t>Acrylic</t>
  </si>
  <si>
    <t>Acrylic #5</t>
  </si>
  <si>
    <t>Paku Ripet</t>
  </si>
  <si>
    <t>Lampu sorot taman LED</t>
  </si>
  <si>
    <t>Vektor FootBal</t>
  </si>
  <si>
    <t>Vektor Judo</t>
  </si>
  <si>
    <t>Vektor karate</t>
  </si>
  <si>
    <t>Vektor pencak silat</t>
  </si>
  <si>
    <t>Vektor gulat</t>
  </si>
  <si>
    <t>Vektor Atletik</t>
  </si>
  <si>
    <t>Vektor Angkat Besi</t>
  </si>
  <si>
    <t>Vektor panahan</t>
  </si>
  <si>
    <t>Vektor Sepak Bola</t>
  </si>
  <si>
    <t>Taman                                                      D</t>
  </si>
  <si>
    <t>Taman                                                      C</t>
  </si>
  <si>
    <t>Serut merah</t>
  </si>
  <si>
    <t>Melati kuning</t>
  </si>
  <si>
    <t>Melati mini</t>
  </si>
  <si>
    <t>krokot merah</t>
  </si>
  <si>
    <t>Anl. Taman 09</t>
  </si>
  <si>
    <t>Penanaman 1 btg Cemara udang</t>
  </si>
  <si>
    <t>Cemara udang</t>
  </si>
  <si>
    <t>Melati mini silver</t>
  </si>
  <si>
    <t>Taman                                                     B</t>
  </si>
  <si>
    <t>Penanaman 1 btg Pandan kuning</t>
  </si>
  <si>
    <t>Pandan kuning</t>
  </si>
  <si>
    <t>Anl. Taman 10</t>
  </si>
  <si>
    <t>kerokot merah</t>
  </si>
  <si>
    <t>kucai mini</t>
  </si>
  <si>
    <t>Anl. Taman 11</t>
  </si>
  <si>
    <t>Penanaman 1 btg kucai mini</t>
  </si>
  <si>
    <t>Pemasangan 1 m2 Acrylic tbl. 5 mm</t>
  </si>
  <si>
    <t>Lampu LED Strip komplit (Upah + Bahan)</t>
  </si>
  <si>
    <t>Lampu Gantung Komplit</t>
  </si>
  <si>
    <t>Lampu Hias dinding</t>
  </si>
  <si>
    <t>Kabel Tray</t>
  </si>
  <si>
    <t>Benner MMT</t>
  </si>
  <si>
    <t>Pemasangan 1 m2 kaca tebal 6 mm</t>
  </si>
  <si>
    <t>Kaca tebal 5mm</t>
  </si>
  <si>
    <t>Kaca tebal 6 mm</t>
  </si>
  <si>
    <t>Stiker Film</t>
  </si>
  <si>
    <t>A.4.6.2.19.b</t>
  </si>
  <si>
    <t>Pemasangan 1 m2 kaca Thempert tebal 12 mm</t>
  </si>
  <si>
    <t>Kaca thempert 12 mm</t>
  </si>
  <si>
    <t>DAFTAR UPAH/ BAHAN</t>
  </si>
  <si>
    <t>A.4.4.3.66</t>
  </si>
  <si>
    <t>Pemasangan 1 m2 lantai batu alam andesit</t>
  </si>
  <si>
    <t>Batu andesit</t>
  </si>
  <si>
    <t>A.4.4.3.66a</t>
  </si>
  <si>
    <t>Pemasangan 1m2 Ubin Pemandu uk. 30x30cm</t>
  </si>
  <si>
    <t>Batu Alam (andesit)</t>
  </si>
  <si>
    <t>Ubin pemandu uk. 30x30cm</t>
  </si>
  <si>
    <t>Ubin pemandu</t>
  </si>
  <si>
    <t>Tanaman Melati mini siver,kuning &amp; hijau</t>
  </si>
  <si>
    <t>Tanaman Bougenvile</t>
  </si>
  <si>
    <t xml:space="preserve"> Bunga Sikas</t>
  </si>
  <si>
    <t xml:space="preserve"> Bunga Agave</t>
  </si>
  <si>
    <t xml:space="preserve"> Bunga Siklok</t>
  </si>
  <si>
    <t xml:space="preserve"> Pohon Kelapa Pandan Wangi</t>
  </si>
  <si>
    <t xml:space="preserve"> Bunga Asoka Daun Jeruk</t>
  </si>
  <si>
    <t xml:space="preserve"> Pangkas Kuning</t>
  </si>
  <si>
    <t xml:space="preserve"> Cendrawasih</t>
  </si>
  <si>
    <t xml:space="preserve"> Melati Biasa</t>
  </si>
  <si>
    <t xml:space="preserve"> Bunga Jagung</t>
  </si>
  <si>
    <t xml:space="preserve"> Bunga Patah Tulang</t>
  </si>
  <si>
    <t xml:space="preserve"> Bunga Pancor ungu</t>
  </si>
  <si>
    <t xml:space="preserve"> Bunga Silinjuang</t>
  </si>
  <si>
    <t xml:space="preserve"> Bunga Tabur Emas</t>
  </si>
  <si>
    <t>Lampu solar cell (Single ornament) komplit tiang ocatagonal</t>
  </si>
  <si>
    <t>Lampu solar cell (Double ornament) komplit tiang octagonal</t>
  </si>
  <si>
    <t>m³</t>
  </si>
  <si>
    <t>REKAPITULASI ANALISA</t>
  </si>
  <si>
    <t>Kawat Kicin/Bronjong</t>
  </si>
  <si>
    <t>Pemasangan 1 m3 Bronjong</t>
  </si>
  <si>
    <t>Batu belah 15/20cm</t>
  </si>
  <si>
    <t>KOTA MEDAN</t>
  </si>
  <si>
    <t>DAFTAR UPAH KERJA PER ORANG PER HARI</t>
  </si>
  <si>
    <t>DAFTAR SATUAN MATERIAL/BAHAN</t>
  </si>
  <si>
    <t>A.3.2.1.12</t>
  </si>
  <si>
    <t>Kawat jaring galvanis (harmonika)</t>
  </si>
  <si>
    <t>Upah bongkar atap genteng/ sirap/ asbest/ seng gelombang</t>
  </si>
  <si>
    <t>Tripod Tinggi 5m</t>
  </si>
  <si>
    <t>Hummer 2-5 Ton</t>
  </si>
  <si>
    <t>Hari</t>
  </si>
  <si>
    <t>Pemasangan 1 m Cerocok Kayu Bambu Ø4"</t>
  </si>
  <si>
    <t>Kayu Bambu Ø4"</t>
  </si>
  <si>
    <t>Bambu 4"</t>
  </si>
  <si>
    <t>A.4.6.1.29.a</t>
  </si>
  <si>
    <t>Dihitung 2</t>
  </si>
  <si>
    <t>Kanstein 15.30.60cm</t>
  </si>
  <si>
    <t>Semen</t>
  </si>
  <si>
    <t>Memasang 1m' Kanstein Uk. 15.30.60cm</t>
  </si>
  <si>
    <t>Dihitung 3</t>
  </si>
  <si>
    <t>Rumput Sintetis</t>
  </si>
  <si>
    <t>Paku Hak</t>
  </si>
  <si>
    <t>Memasang 1m2 Rumput Sintetis</t>
  </si>
  <si>
    <t>(Rp)</t>
  </si>
  <si>
    <t>A. 4.4.1.22.A</t>
  </si>
  <si>
    <t>Bata berongga (expose)</t>
  </si>
  <si>
    <t>Pemasangan 1 m2 dinding Bata berongga ( Expose ) campuran 1SP :2PP</t>
  </si>
  <si>
    <t>Pemasangan 1 m2 langit-langit lambrisering kayu kelas III</t>
  </si>
  <si>
    <t>ANL HIT</t>
  </si>
  <si>
    <t>HARGA SATUAN PEKERJAAN HITUNG</t>
  </si>
  <si>
    <t>ANL. HIT. 1</t>
  </si>
  <si>
    <t>Mobilisasi Dan Demobilisasi</t>
  </si>
  <si>
    <t>Mobilisasi Awal</t>
  </si>
  <si>
    <t>Pengangkutan Alat Kerja Ke proyek</t>
  </si>
  <si>
    <t>Trip</t>
  </si>
  <si>
    <t>0H</t>
  </si>
  <si>
    <t xml:space="preserve">JUMLAH </t>
  </si>
  <si>
    <t>Demobilisasi Akhir</t>
  </si>
  <si>
    <t>Pengangkutan alat kerja keluar proyek</t>
  </si>
  <si>
    <t>ANL. HIT. 2</t>
  </si>
  <si>
    <t>Kesehatan dan Keselamatan Kerja (K3)</t>
  </si>
  <si>
    <t>ALAT PELINDUNG KERJA DAN PELINDUNG DIRI</t>
  </si>
  <si>
    <t>FASILITAS, SARANA DAN PRASARANA KESEHATAN</t>
  </si>
  <si>
    <t>Perakatan P3K</t>
  </si>
  <si>
    <t>Jasa Pengangkutan Truk Colt Diesel + Supir + Tenaga Bongkar Muat 2 Orang</t>
  </si>
  <si>
    <t>Kotak P3K lengkap dengan Obat Standar K3</t>
  </si>
  <si>
    <t>Sample</t>
  </si>
  <si>
    <r>
      <t>HDPE Spigot Bend dia. 4" x 90</t>
    </r>
    <r>
      <rPr>
        <sz val="11"/>
        <color indexed="8"/>
        <rFont val="Swis721 LtCn BT"/>
        <family val="2"/>
      </rPr>
      <t>°</t>
    </r>
  </si>
  <si>
    <r>
      <t>HDPE Spigot Bend dia. 3" x 90</t>
    </r>
    <r>
      <rPr>
        <sz val="11"/>
        <color indexed="8"/>
        <rFont val="Swis721 LtCn BT"/>
        <family val="2"/>
      </rPr>
      <t>°</t>
    </r>
  </si>
  <si>
    <r>
      <t>HDPE Spigot Bend dia. 2" x 90</t>
    </r>
    <r>
      <rPr>
        <sz val="11"/>
        <color indexed="8"/>
        <rFont val="Swis721 LtCn BT"/>
        <family val="2"/>
      </rPr>
      <t>°</t>
    </r>
  </si>
  <si>
    <t>ANL. HIT.3</t>
  </si>
  <si>
    <t>Pembongkaran Atap</t>
  </si>
  <si>
    <t xml:space="preserve">Pengangkatan Material </t>
  </si>
  <si>
    <t xml:space="preserve">Penurunan Sisa Material </t>
  </si>
  <si>
    <t>Pembersihan Area Konstruksi</t>
  </si>
  <si>
    <t>Harga Satuan</t>
  </si>
  <si>
    <t>Jumlah Harga</t>
  </si>
  <si>
    <t>A.</t>
  </si>
  <si>
    <t xml:space="preserve">Pekerja </t>
  </si>
  <si>
    <t>B.</t>
  </si>
  <si>
    <t>C.</t>
  </si>
  <si>
    <t>D.</t>
  </si>
  <si>
    <t>HARGA SATUAN PEKERJAAN</t>
  </si>
  <si>
    <t>ANL HIT. 4</t>
  </si>
  <si>
    <t>ANL HIT. 5</t>
  </si>
  <si>
    <t>Biaya Sewa Prancah dan Alat Bantu Kerja</t>
  </si>
  <si>
    <t>Scafolding</t>
  </si>
  <si>
    <t>Alat Bantu Kerja</t>
  </si>
  <si>
    <t>SEWA ALAT-ALAT KONSTRUKSI BANGUNAN</t>
  </si>
  <si>
    <t>Sewa alat pemadatan Stamper</t>
  </si>
  <si>
    <t>Sewa alat las listrik</t>
  </si>
  <si>
    <t>Sewa Hammer 1-2 Ton manual</t>
  </si>
  <si>
    <t>Sewa alat Crane Truck 10 ton</t>
  </si>
  <si>
    <t xml:space="preserve">Concrete Mixer </t>
  </si>
  <si>
    <t xml:space="preserve">Concrete Vibrator </t>
  </si>
  <si>
    <t>Casing</t>
  </si>
  <si>
    <t>Bore Pile Vibro</t>
  </si>
  <si>
    <t>Concrete Pump</t>
  </si>
  <si>
    <t>Alat  bantu ( set @ 3 alat )</t>
  </si>
  <si>
    <t>Wheel Loader</t>
  </si>
  <si>
    <t>Motor Grader</t>
  </si>
  <si>
    <t>Water Tanker</t>
  </si>
  <si>
    <t>Asphalt Sprayer</t>
  </si>
  <si>
    <t>Compressor</t>
  </si>
  <si>
    <t>AMP</t>
  </si>
  <si>
    <t>Genset</t>
  </si>
  <si>
    <t>Asp. Finisher</t>
  </si>
  <si>
    <t>Tandem Roller</t>
  </si>
  <si>
    <t>P. Tyre Roller</t>
  </si>
  <si>
    <t>Scafolding (/set)</t>
  </si>
  <si>
    <t>Set/Hari</t>
  </si>
  <si>
    <t>ANL. HIT.6</t>
  </si>
  <si>
    <t>Pembongkaran + Pemasangan Ulang Instalasi ME pada Plafond</t>
  </si>
  <si>
    <t>Pipa Nippon Steel ASTM 820</t>
  </si>
  <si>
    <t>Gul</t>
  </si>
  <si>
    <t>Refnet Joint</t>
  </si>
  <si>
    <t>Refrigerant Chemours R410A</t>
  </si>
  <si>
    <t>Tbg</t>
  </si>
  <si>
    <t>Kabel Komunikasi Belden cat 5</t>
  </si>
  <si>
    <t>Pipe Reducer</t>
  </si>
  <si>
    <t>Pipa Drain + Isolasi</t>
  </si>
  <si>
    <t>F.</t>
  </si>
  <si>
    <t>HARGA SATUAN PEKERJAAN (D+E)</t>
  </si>
  <si>
    <t>A.4.5.2.34 A</t>
  </si>
  <si>
    <t>Pemasangan 1 m’ nok genteng Keramik</t>
  </si>
  <si>
    <t xml:space="preserve">Genteng Keramik </t>
  </si>
  <si>
    <t>Rabung/Nok  Genteng beton</t>
  </si>
  <si>
    <t>Rabung/Nok  Genteng Metal #0,30</t>
  </si>
  <si>
    <t>Rabung/Nok  Zincalume #0,30 gelombang</t>
  </si>
  <si>
    <t>Rabung/Nok  Zincalume #0,30 rata</t>
  </si>
  <si>
    <t xml:space="preserve">Rabung/Nok  Seng Lebar 30 cm </t>
  </si>
  <si>
    <t>Rabung/Nok  atap Bitumen</t>
  </si>
  <si>
    <t>Rabung/Nok /Nok Genteng Keramik</t>
  </si>
  <si>
    <t>Rabung/Nok  Asbes Panjang 0,5 m'</t>
  </si>
  <si>
    <t>Rabung/Nok / Nok Bitumen</t>
  </si>
  <si>
    <t>Cable Tray ukuran 50 x 50 x 2400 mm Galvanis Warna</t>
  </si>
  <si>
    <t>Cable Tray ukuran 100 x 50 x 2400 mm Galvanis Warna</t>
  </si>
  <si>
    <t>Cable Tray ukuran 150 x 50 x 2400 mm Galvanis Warna</t>
  </si>
  <si>
    <t>Cable Tray ukuran 200 x 100 x 2400 mm Galvanis Warna</t>
  </si>
  <si>
    <t>Listplank Ornamen ( Bahan + Catting + Upah Pasang)</t>
  </si>
  <si>
    <t>Helm Safety K3 (SNI)</t>
  </si>
  <si>
    <t>Masker/Pelindung Safety K3 (SNI)</t>
  </si>
  <si>
    <t>Sarung Tangan Safety K3 (SNI)</t>
  </si>
  <si>
    <t>Sepatu Safety K3 (SNI)</t>
  </si>
  <si>
    <t>Rompy Safety K3 (SNI)</t>
  </si>
  <si>
    <t>Biaya Rapid Test Covid 19 (SNI)</t>
  </si>
  <si>
    <t>Topi Pelindung (SNI)</t>
  </si>
  <si>
    <t>Pelindung Pernapasan dan Mulut (Masker SNI)</t>
  </si>
  <si>
    <t>Sarung Tangan (SNI)</t>
  </si>
  <si>
    <t>Rompi Keselamatan (SNI)</t>
  </si>
  <si>
    <t>Seal Tape</t>
  </si>
  <si>
    <t>Door Stoper</t>
  </si>
  <si>
    <t>Rel Pintu Dorong</t>
  </si>
  <si>
    <t>A.4.7.1.21A</t>
  </si>
  <si>
    <t>Pengecatan (coating) 1m2 ( 2 lapis cat penutup )</t>
  </si>
  <si>
    <t>Cat Coating</t>
  </si>
  <si>
    <t>Cat Coating Beton/Batu Alam</t>
  </si>
  <si>
    <t xml:space="preserve">Rangka Furing Plafon Terpasang ( Upah + Bahan) </t>
  </si>
  <si>
    <t>Rumput Sintetis (buatan) layer +4cm</t>
  </si>
  <si>
    <t>VOL</t>
  </si>
  <si>
    <t>ANALISA</t>
  </si>
  <si>
    <t xml:space="preserve"> ESTIMATE ENGINEERING (E.E)</t>
  </si>
  <si>
    <t xml:space="preserve">PEKERJAAN </t>
  </si>
  <si>
    <t>LOKASI</t>
  </si>
  <si>
    <t>SUMBER DANA</t>
  </si>
  <si>
    <t>TAHUN</t>
  </si>
  <si>
    <t>SAT</t>
  </si>
  <si>
    <t>HARGA SAT</t>
  </si>
  <si>
    <t>PEKERJAAN PENDAHULUAN</t>
  </si>
  <si>
    <t>Rencana Keselamatan dan Kesehatan Kerja Kontrak (RK3K)</t>
  </si>
  <si>
    <t>Pekerjaan Pengukuran dan Pembersihan</t>
  </si>
  <si>
    <t>JUMLAH. A</t>
  </si>
  <si>
    <t>Pekerjaan Pasangan Bata Merah 1 :4</t>
  </si>
  <si>
    <t>a</t>
  </si>
  <si>
    <t>c</t>
  </si>
  <si>
    <t>d</t>
  </si>
  <si>
    <t>e</t>
  </si>
  <si>
    <t>f</t>
  </si>
  <si>
    <t>-</t>
  </si>
  <si>
    <t>Pekerjaan Cat</t>
  </si>
  <si>
    <t>JUMLAH. F</t>
  </si>
  <si>
    <t>PEKERJAAN AKHIR</t>
  </si>
  <si>
    <t>Pekerjaan Pembersihan akhir</t>
  </si>
  <si>
    <t>BACK UP DATA</t>
  </si>
  <si>
    <t>PORTAL</t>
  </si>
  <si>
    <t>Dimensi As Unit</t>
  </si>
  <si>
    <t>P</t>
  </si>
  <si>
    <t>T</t>
  </si>
  <si>
    <t>Rata-Rata</t>
  </si>
  <si>
    <t>N</t>
  </si>
  <si>
    <t>Taksir</t>
  </si>
  <si>
    <t>∅-6</t>
  </si>
  <si>
    <t>∅-8</t>
  </si>
  <si>
    <t>∅-10</t>
  </si>
  <si>
    <t>∅-12</t>
  </si>
  <si>
    <t>D-13</t>
  </si>
  <si>
    <t>D-16</t>
  </si>
  <si>
    <t>Rumput Gajah Mini</t>
  </si>
  <si>
    <t>Penanaman 1 m2 Rumput Gajah Mini</t>
  </si>
  <si>
    <t>JUMLAH TOTAL</t>
  </si>
  <si>
    <t>PPn 11 %</t>
  </si>
  <si>
    <t>Jumlah Total + PPn 11 %</t>
  </si>
  <si>
    <t>DIBULATKAN</t>
  </si>
  <si>
    <t>Batu Alam Candi Rata Mesin</t>
  </si>
  <si>
    <t>Pemasangan 1 m2 dinding batu Alam Candi</t>
  </si>
  <si>
    <t>Pekerjaan Sloof Uk. 15x20cm</t>
  </si>
  <si>
    <t>Pekerjaan Fitting</t>
  </si>
  <si>
    <t>Pekerjaan Ring Balok Uk 15x15cm</t>
  </si>
  <si>
    <t>PEKERJAAN</t>
  </si>
  <si>
    <t>KONSULTAN PERENCANA</t>
  </si>
  <si>
    <t>CV. PELITA BUANA</t>
  </si>
  <si>
    <t>Pekerjaan Pintu UPVC</t>
  </si>
  <si>
    <t>DINAS PEMUDA DAN OLAHRAGA PROVINSI SUMATERA UTARA</t>
  </si>
  <si>
    <t>APBD Sumatera Utara</t>
  </si>
  <si>
    <t>Tenaga ahli K3</t>
  </si>
  <si>
    <t>Belting</t>
  </si>
  <si>
    <t>Eye Block</t>
  </si>
  <si>
    <r>
      <t>m</t>
    </r>
    <r>
      <rPr>
        <sz val="11"/>
        <color theme="1"/>
        <rFont val="Arial"/>
        <family val="2"/>
      </rPr>
      <t>²</t>
    </r>
  </si>
  <si>
    <r>
      <t>Pemasangan 1 m</t>
    </r>
    <r>
      <rPr>
        <sz val="11"/>
        <rFont val="Arial"/>
        <family val="2"/>
      </rPr>
      <t>²</t>
    </r>
    <r>
      <rPr>
        <sz val="12.1"/>
        <rFont val="Swis721 LtCn BT"/>
        <family val="2"/>
      </rPr>
      <t xml:space="preserve"> lantai vinyl Taraflex 7,5 mm</t>
    </r>
  </si>
  <si>
    <t>A.4.4.3.59A</t>
  </si>
  <si>
    <t>Gawang Futsal</t>
  </si>
  <si>
    <t>Pembongkaran 1 m2 atap seng</t>
  </si>
  <si>
    <t>A. 2.2.1.14.B</t>
  </si>
  <si>
    <t>ANL HIT.6</t>
  </si>
  <si>
    <t>Pekerjaan Pembersihan Akhir</t>
  </si>
  <si>
    <t>Pembersihan Area</t>
  </si>
  <si>
    <t>Pembantu Driver/supir</t>
  </si>
  <si>
    <t>Driver/supir</t>
  </si>
  <si>
    <t>Dump truck kapasitas 3 s/d 4 ton</t>
  </si>
  <si>
    <t>jam</t>
  </si>
  <si>
    <t>HARGA  PEKERJAAN + PROVIT 11%</t>
  </si>
  <si>
    <t>Total Harga</t>
  </si>
  <si>
    <t>lama waktu pekerjaan</t>
  </si>
  <si>
    <t>minggu</t>
  </si>
  <si>
    <t>Rambu Petunjuk</t>
  </si>
  <si>
    <t>Rambu Larangan</t>
  </si>
  <si>
    <t>Rambu Peringatan</t>
  </si>
  <si>
    <t>Rambu Kewajiban</t>
  </si>
  <si>
    <t>Rambu Informasi</t>
  </si>
  <si>
    <t>Jalur Evakuasi</t>
  </si>
  <si>
    <t>Rambu rambu</t>
  </si>
  <si>
    <t>Analisa Pemasangan Papan Nama Proyek</t>
  </si>
  <si>
    <t>Papan Tebal 3cm</t>
  </si>
  <si>
    <t>Kayu kaso 2x2</t>
  </si>
  <si>
    <t>Pembuatan MMT</t>
  </si>
  <si>
    <t>Analisa hit .A</t>
  </si>
  <si>
    <t>A. 2.2.1.14.A</t>
  </si>
  <si>
    <t>1 m³ Membuat sloof beton bertulang (200 kg besi + bekisting)</t>
  </si>
  <si>
    <t>Kayu gergajian kelas IV, papan</t>
  </si>
  <si>
    <t>Paku berbagai ukuran (2" - 5")</t>
  </si>
  <si>
    <t>Semen PC @ 50 kg</t>
  </si>
  <si>
    <t>Pasir ayak untuk beton</t>
  </si>
  <si>
    <t>Batu pecah 2 - 3 (cm)</t>
  </si>
  <si>
    <t>Pekerja tak terlatih</t>
  </si>
  <si>
    <t>Tukang besi / tukang las</t>
  </si>
  <si>
    <t>Kayu Gergajian papan kelas IV</t>
  </si>
  <si>
    <t>Provit Perusahaan 15%</t>
  </si>
  <si>
    <t>Jumlah Total</t>
  </si>
  <si>
    <t>4.4.1.17.1</t>
  </si>
  <si>
    <t>1 m³ Membuat kolom beton bertulang (150 kg besi + bekisting)</t>
  </si>
  <si>
    <t>Plywood uk. 1,22 x 2,44 (m), tebal 9 mm</t>
  </si>
  <si>
    <t>Kayu dolken ø 8 - 10 (cm) panjang 4 m / kiau</t>
  </si>
  <si>
    <t>4.4.1.17.2</t>
  </si>
  <si>
    <t>Membuat 1 m’ kolom beton bertulang (15 x 15) cm</t>
  </si>
  <si>
    <t>A.4.1.1.36.A</t>
  </si>
  <si>
    <t>Membuat 1 m’ ring balok beton bertulang (20 x 15) cm</t>
  </si>
  <si>
    <t>A.4.1.1.36.B</t>
  </si>
  <si>
    <t>Tulangan Baja Polos sirip BJTP 280</t>
  </si>
  <si>
    <t>Pekerja Biasa</t>
  </si>
  <si>
    <t>Baja Tulangan Polos sirip BJTP 280</t>
  </si>
  <si>
    <t>Kawat Ikat</t>
  </si>
  <si>
    <t>Over head</t>
  </si>
  <si>
    <t>Tulangan Baja Polos  BJTP 280</t>
  </si>
  <si>
    <t>c .</t>
  </si>
  <si>
    <t>d .</t>
  </si>
  <si>
    <t>Alumunium Composite (Alcubond)</t>
  </si>
  <si>
    <t>Anl. Hit. BJTP</t>
  </si>
  <si>
    <t>Pohon dadap merah</t>
  </si>
  <si>
    <t>Penanaman 1 btg pohon dadap merah</t>
  </si>
  <si>
    <t>Anl. Taman 12</t>
  </si>
  <si>
    <t>Bunga Brokoli Hijau</t>
  </si>
  <si>
    <t>Penanaman 1 btg Bunga brokolli hijau</t>
  </si>
  <si>
    <t>Bunga Brokolli hijau</t>
  </si>
  <si>
    <t>0</t>
  </si>
  <si>
    <t>Bunga Pisang Karabay</t>
  </si>
  <si>
    <t>Anl. Taman 13</t>
  </si>
  <si>
    <t>Biotech kapasitas 1000 liter</t>
  </si>
  <si>
    <t>Galian Lubang</t>
  </si>
  <si>
    <t>Lampu sorot  LED 70 watt</t>
  </si>
  <si>
    <t>Lampu sorot LED 50 watt</t>
  </si>
  <si>
    <t>PK Supl. 1 F1</t>
  </si>
  <si>
    <t>Pasang 1 Titik Instalasi Penerangan dan Stop Kontak dengan Kabel NYA 2x4 mm²</t>
  </si>
  <si>
    <t>Kabel NYA 4 mm²</t>
  </si>
  <si>
    <t>PEKERJAAN STRUKTUR</t>
  </si>
  <si>
    <t>PEKERJAAN ARSITEKTUR</t>
  </si>
  <si>
    <t>Pekerjaan Galian Tanah Pondasi</t>
  </si>
  <si>
    <t>Pekerjaan Tanah</t>
  </si>
  <si>
    <t>Pekerjaan Urugan Tanah Kembali</t>
  </si>
  <si>
    <t>Pekerjaan Pondasi</t>
  </si>
  <si>
    <t>Pekerjaan Pasir Urug T. 5cm</t>
  </si>
  <si>
    <t>Pekerjaan  Lantai Kerja T. 5 cm Fc. 7,4 Mpa</t>
  </si>
  <si>
    <t>Pekerjaan Pasangan Batu Kali 1:4</t>
  </si>
  <si>
    <t xml:space="preserve">Pekerjaan Pembesian </t>
  </si>
  <si>
    <t>Pekerjaan Rehab Ruangan Sisi Utara Bangunan</t>
  </si>
  <si>
    <t xml:space="preserve">PEKERJAAN LANTAI - 1 </t>
  </si>
  <si>
    <t>Pekerjaan Bongkar existing</t>
  </si>
  <si>
    <t>Pekerjaan Rehab Ruangan Sisi Selatan Bangunan</t>
  </si>
  <si>
    <t>Pekerjaan Bongkar Tangga Exisitng</t>
  </si>
  <si>
    <t>g</t>
  </si>
  <si>
    <t>Pekerjaan Tangga</t>
  </si>
  <si>
    <t>Pekerjaan Beton Tangga F'=24,0 Mpa</t>
  </si>
  <si>
    <t>Pekerjaan Bikisting</t>
  </si>
  <si>
    <t>Pekerjaan Bongkaran</t>
  </si>
  <si>
    <t>Pekerjaan Bongkar Lantai Keramik</t>
  </si>
  <si>
    <t>Pekerjaan Bongkar Dinding Keramik</t>
  </si>
  <si>
    <t>Pekerjaan Pasangan Dinding</t>
  </si>
  <si>
    <t>Pekerjaan Plesteran 1:4</t>
  </si>
  <si>
    <t>Pekerjaan Pasangan bata merah 1 : 4</t>
  </si>
  <si>
    <t>Pekerjaan Lantai</t>
  </si>
  <si>
    <t>Pekerjaan Pasangan Keramik Lantai Uk. 40x40cm</t>
  </si>
  <si>
    <t>Pekerjaan Frame Furing T. 0,35mm</t>
  </si>
  <si>
    <t>Pekerjaan Plafond PVC Motif Serat Kayu</t>
  </si>
  <si>
    <t>Pekerjaan Pintu Tempered T. 12mm</t>
  </si>
  <si>
    <t>Pekerjaan Engsel Tanam Dekson</t>
  </si>
  <si>
    <t>pekerjaan Fitting</t>
  </si>
  <si>
    <t>Pekerjaan Hendel C.30</t>
  </si>
  <si>
    <t>Pekerjaan Cat Pintu Besi Exisitng</t>
  </si>
  <si>
    <t xml:space="preserve">Pekerjaan Cat </t>
  </si>
  <si>
    <t>Pekerjaan Pasangan</t>
  </si>
  <si>
    <t>Pekerjaan Pasangan Keramik Lantai Toilet Uk. 40x40cm</t>
  </si>
  <si>
    <t>Pekerjaan Pintu Kaca Tempered 12 mm</t>
  </si>
  <si>
    <t xml:space="preserve">Pekerjaan dinding kaca Tempered 12mm </t>
  </si>
  <si>
    <t>PEKERJAAN MEKANIKAL DAN ELEKTRIKAL</t>
  </si>
  <si>
    <t>Pekerjaan Mekanikal</t>
  </si>
  <si>
    <t>Pekerjaan Pipa pvc dia 3/4 in</t>
  </si>
  <si>
    <t>Pekerjaan Pipa pvc dia 1 in</t>
  </si>
  <si>
    <t>Pekerjaan Pipa pvc aw dia 3 in</t>
  </si>
  <si>
    <t>pekerjaan pipa pvc aw dia 4 in</t>
  </si>
  <si>
    <t>Pekerjaaan Water Toren Kapasitas 2000 liter</t>
  </si>
  <si>
    <t>Pekerjaan Frame Penggantung lampu Besi Hollow 50x50x2mm</t>
  </si>
  <si>
    <t>Pekerjaan Atap</t>
  </si>
  <si>
    <t>Pekerjaan Perbaikan Kunstruksi Besi atap</t>
  </si>
  <si>
    <t>Pekerjaan Mesin Pompa Air Jet Pump 1/2 hp</t>
  </si>
  <si>
    <t>Pekerjaan Elektrikal</t>
  </si>
  <si>
    <t>Pekerjaan Lampu LED 18 Watt Philips</t>
  </si>
  <si>
    <t>Pekerjaan Lampu LED 12 Watt Philips</t>
  </si>
  <si>
    <t>Pkerjaan Stop Kontak Panasonic</t>
  </si>
  <si>
    <t>Pekerjaan Saklar Ganda Panasonic</t>
  </si>
  <si>
    <t>Pekerjaan Saklar Tunggal Panasonic</t>
  </si>
  <si>
    <t>Pekerjaan MCB 10A Snaider</t>
  </si>
  <si>
    <t>Pekerjaan MCB 16A Snaider</t>
  </si>
  <si>
    <t>Pekerjaan Breaker 100 A</t>
  </si>
  <si>
    <t>Pekerjaan Kabel NYA 2x2,5mm</t>
  </si>
  <si>
    <t>Pekerjaan Box Panel Uk 50x80cm</t>
  </si>
  <si>
    <t>Pekerjaan Kolom Praktis Uk 15x15cm</t>
  </si>
  <si>
    <t>Pekerjaan Pasangan Lantai Keramik Uk.60x60cm</t>
  </si>
  <si>
    <t>Pekerjaan Lantai Taraflex Evulation 7,5mm (Lapangan Futsal)</t>
  </si>
  <si>
    <t>Pekerjaan Pasangan Keramik Vinyl Uk 15x90cm (masing-masing ruang barat&amp;selatan)</t>
  </si>
  <si>
    <t>Pekerjaan Bongkar Lantai Lapangan (Existing )</t>
  </si>
  <si>
    <t>Pekerjaan Cat Relling Pembatas tribun</t>
  </si>
  <si>
    <t>Pekerjaan Pasangan Keramik Dinding Uk20x40cm</t>
  </si>
  <si>
    <t>Pekerjaan Exhaust fan 32 in</t>
  </si>
  <si>
    <t>Pekerjaan Closed duduk TOTO</t>
  </si>
  <si>
    <t>Pekerjaan Closed Jongkok TOTO</t>
  </si>
  <si>
    <t>Pekerjaan Wastafell TOTO</t>
  </si>
  <si>
    <t>Pekerjaan Urinoir TOTO</t>
  </si>
  <si>
    <t>Pekerjaan Floor drain</t>
  </si>
  <si>
    <t xml:space="preserve">Pekerjaan Shower </t>
  </si>
  <si>
    <t>Pekerjaan Kran air 3/4 in</t>
  </si>
  <si>
    <t xml:space="preserve">Pekerjaan Dinding </t>
  </si>
  <si>
    <t xml:space="preserve">PEKERJAAN EXTERIOR GEDUNG </t>
  </si>
  <si>
    <t>Pekerjaan Relief pagar atas dak beton</t>
  </si>
  <si>
    <t>Pekerjaan Pasangan Batu Candi Hitam</t>
  </si>
  <si>
    <t>Pekerjaan Kelengkapan Pendukung Lapangan Futsal</t>
  </si>
  <si>
    <t>LANTAI -1 INTERIOR GEDUNG OLAHRAGA FUTSAL</t>
  </si>
  <si>
    <t>PEKERJAAN LANTAI - 2 ( TRIBUN ) GEDUNG OLAHRAGA</t>
  </si>
  <si>
    <t>timur</t>
  </si>
  <si>
    <t>Pekerjaan Pintu dan kaca (tribun VIP)</t>
  </si>
  <si>
    <t>Pekerjaan Pintu ,Jendela dan Kaca</t>
  </si>
  <si>
    <t>Pekerjaan Biotec Kap 1000 L</t>
  </si>
  <si>
    <t>Pekerjaan Pasangan 1/2 bata merah 1 : 4</t>
  </si>
  <si>
    <t>Pekerjaan Plesteran 1:4 tebal 15mm</t>
  </si>
  <si>
    <t>Pekerjaan Pasangan Keramik Dinding Toilet Uk. 20x40cm ( Polished)</t>
  </si>
  <si>
    <t>Pekerjaan Pipa pvc dia 1 1/2 in</t>
  </si>
  <si>
    <t>Pekerjaan pipa pvc aw dia 4 in</t>
  </si>
  <si>
    <t>JUMLAH C. 1</t>
  </si>
  <si>
    <t>utara</t>
  </si>
  <si>
    <t>utara ruangan</t>
  </si>
  <si>
    <t>selatan ruangan</t>
  </si>
  <si>
    <t>Pemasangan 1 m2 lantai vynil ukuran 15 cm x 90cm</t>
  </si>
  <si>
    <t>dinding akses tangga</t>
  </si>
  <si>
    <t>Pagar pembatas koridor</t>
  </si>
  <si>
    <t>ruang loket</t>
  </si>
  <si>
    <t>Pemasangan 1m2 lantai keramik polos ukuran 40cm x40cm</t>
  </si>
  <si>
    <t>keramik polos  warna putih 40x40</t>
  </si>
  <si>
    <t xml:space="preserve">selatan </t>
  </si>
  <si>
    <t>barat</t>
  </si>
  <si>
    <t>ruang selatan</t>
  </si>
  <si>
    <t>ruang utara</t>
  </si>
  <si>
    <t>JUMLAH C. 2</t>
  </si>
  <si>
    <t>JUMLAH C.3</t>
  </si>
  <si>
    <t>JUMLAH TOTAL. C (1+2+3)</t>
  </si>
  <si>
    <t>pekerjaan Fitting FT 40</t>
  </si>
  <si>
    <t>Pekerjaan Fitting FT 40</t>
  </si>
  <si>
    <t>Bahan+Upah</t>
  </si>
  <si>
    <t>Pekerjaan Pintu Plat Besi (Akses Keluar dari Tribun)</t>
  </si>
  <si>
    <t>Pekerjaan Urugan Tanah di datangkan</t>
  </si>
  <si>
    <t>Tulang atas bawah</t>
  </si>
  <si>
    <t>tulangan melintang</t>
  </si>
  <si>
    <t>Pekerjaan Pasangan Batu Kali 1:5</t>
  </si>
  <si>
    <t>lembar</t>
  </si>
  <si>
    <t>Vynil lantai Uk.15x90cm x T.3mm</t>
  </si>
  <si>
    <t>Anl. Hit .7</t>
  </si>
  <si>
    <t>Anl. Hit .8</t>
  </si>
  <si>
    <t>Taraflex Evolution 7,5mm</t>
  </si>
  <si>
    <t>Cat Waterprofing Jotun</t>
  </si>
  <si>
    <t>keramik polos</t>
  </si>
  <si>
    <t>Pekerjaan Kabel NYY 4x6mm</t>
  </si>
  <si>
    <t>Profit  15 %</t>
  </si>
  <si>
    <t>Pengadaan Material</t>
  </si>
  <si>
    <t>Anl. Hit .9</t>
  </si>
  <si>
    <t>Vinyl Taraflex Evolution T 7,5 mm</t>
  </si>
  <si>
    <t>Breaker 100 A</t>
  </si>
  <si>
    <t>Bahan-bahan Perkayuan dan Lantai</t>
  </si>
  <si>
    <t>JASA KONSULTASI PERENCANAAN REHAB GEDUNG OLAHRAGA ( GOR ) FUTSAL  DINAS PEMUDA DAN OLAHRAGA</t>
  </si>
  <si>
    <t>Jalan Williem Iskandar No. 9 Medan</t>
  </si>
  <si>
    <t xml:space="preserve">Pekerjaan Relling Pembatas </t>
  </si>
  <si>
    <t>Pekerjaan besi Hollow Uk.50x50x2mm T .80 cm (diatas Tangga akses masuk tribun )</t>
  </si>
  <si>
    <t>Pekerjaan Relling Pembatas</t>
  </si>
  <si>
    <t>PEKERJAAN LANDSCAPE</t>
  </si>
  <si>
    <t>Medan,    Desember 2022</t>
  </si>
  <si>
    <t>JUMLAH. E</t>
  </si>
  <si>
    <t>Pekerjaan Pasangan Keramik Lantai Toilet Uk. 40x40cm ( Unpolished )</t>
  </si>
  <si>
    <t>Pekerjaan Kolom Praktis Uk 11x11cm</t>
  </si>
  <si>
    <t>Pekerjaan Ring Balok Uk 10x15cm</t>
  </si>
  <si>
    <t>Pekerjaan Bongkar Lantai Keramik ( Gedung )</t>
  </si>
  <si>
    <t>Pekerjaan Bongkar Dinding Keramik ( Toilet  )</t>
  </si>
  <si>
    <t>Pekerjaan Pasangan 1/2 Bata Merah 1 :4 ( Penambahan Anak Tangga Akses Tribun )</t>
  </si>
  <si>
    <t>Pekerjaan Rehab Drainase</t>
  </si>
  <si>
    <t>Pekerjaan Beton Cor  f' = 14,5 Mpa</t>
  </si>
  <si>
    <t>PEKERJAAN LANDCAPE</t>
  </si>
  <si>
    <t>Dinding</t>
  </si>
  <si>
    <t>Plafond</t>
  </si>
  <si>
    <t>Pekerjaan Pipa pvc aw dia 6 in</t>
  </si>
  <si>
    <t>Pekerjaan Perbaikan Kunstruksi Besi atap ( simetriskan lengkungan konstruksi atap )</t>
  </si>
  <si>
    <t>Pekerjaan Rehab Drainase ( utara gor )</t>
  </si>
  <si>
    <t>(+)</t>
  </si>
  <si>
    <t>diluar  lapangan futsal</t>
  </si>
  <si>
    <t>Upah+Bahan</t>
  </si>
  <si>
    <t>Pekerjaan Pasangan Batu Candi Hitam (Pagar atas dak)</t>
  </si>
  <si>
    <t>kg/6m</t>
  </si>
  <si>
    <t>Pekerjaan Pasangan Keramik Lantai Toilet VIP Uk. 40x40cm (Unpolished)</t>
  </si>
  <si>
    <t>Pekerjaan Pasangan Keramik Dinding  Uk20x40cm (Polished)</t>
  </si>
  <si>
    <t>Pekerjaan Pasangan 1/2 Bata Merah 1:4</t>
  </si>
  <si>
    <t>Pekerjaan Bongkar Atap dan reng CNP Exisitng</t>
  </si>
  <si>
    <t xml:space="preserve">Frame Profil Hollow 40x40cm </t>
  </si>
  <si>
    <t>Alumunium Composit Panel /ACP PVDF 0,5mm Alloy 5005FR (Warna Standart/Doff)</t>
  </si>
  <si>
    <t>Pek. Frame Hollow 40x40cm dan ACP Seven PVDF Alloy 5005 FR T.0,5m  (Fasade Utara)</t>
  </si>
  <si>
    <t>sisi miring luar</t>
  </si>
  <si>
    <t>sisi miring dalam</t>
  </si>
  <si>
    <t>sisi plat luar</t>
  </si>
  <si>
    <t>plat belakang</t>
  </si>
  <si>
    <t>topi</t>
  </si>
  <si>
    <t>Pekerjaan pagar GRC Stone Fowder T. 4cm @Uk.2,25mx1m</t>
  </si>
  <si>
    <t>depan</t>
  </si>
  <si>
    <t>belakang</t>
  </si>
  <si>
    <t>samping</t>
  </si>
  <si>
    <t>pengurangan</t>
  </si>
  <si>
    <t>1 m2 Pengecatan Tembok Luar DULUX Wheatershields</t>
  </si>
  <si>
    <t>cat Dulux Professional  E 1000 wheatershields</t>
  </si>
  <si>
    <t>Cat Tembok Dulux Professional E 1000 Wheatershields</t>
  </si>
  <si>
    <t xml:space="preserve">Kuas Roll </t>
  </si>
  <si>
    <t>Kuas Roll</t>
  </si>
  <si>
    <t>Pekerjaan Cat dinding 2 Lapis Dulux Professional A.1000</t>
  </si>
  <si>
    <t>Pekerjaan Cat Pintu Besi Exisitng (4 Unit) Dulux Professional M.1000</t>
  </si>
  <si>
    <t>Pekerjaan Cat dinding interior Dulux Professional A.1000 warna putih</t>
  </si>
  <si>
    <t>Pekerjaan cat dinding Dulux Professional E.1000  wheatershaields Warna Putih</t>
  </si>
  <si>
    <t>Cat Finising Dulux Professional A.1000</t>
  </si>
  <si>
    <t>Cat Tembok Dulux Professional A.1000</t>
  </si>
  <si>
    <t>Plamur dulux wall putty</t>
  </si>
  <si>
    <t xml:space="preserve">Cat Dasar Dulux Professional </t>
  </si>
  <si>
    <t>Cat dasar dulux professional</t>
  </si>
  <si>
    <t>Pekerjaan Cat Dulux Professional M.1000 Relling Besi Pembatas tribun</t>
  </si>
  <si>
    <t>1 m2 Mengecatan Bidang Besi Dulux Professional Solvent Based Paint</t>
  </si>
  <si>
    <t>Cat Dulux Professional M.1000</t>
  </si>
  <si>
    <t>Cat Dasar Besi Dulux M.1000</t>
  </si>
  <si>
    <t>Kuas cat</t>
  </si>
  <si>
    <t>1 m2 Mengecatan Dinding Baru Dulux Professional Celling</t>
  </si>
  <si>
    <t>Cat Dulux Professional Ceiling</t>
  </si>
  <si>
    <t>kuas roll</t>
  </si>
  <si>
    <t>Frame Besi Hollow 2"</t>
  </si>
  <si>
    <t xml:space="preserve">Pemasangan 1 buah closet duduk ROCA </t>
  </si>
  <si>
    <t>Closet duduk Roca Adele</t>
  </si>
  <si>
    <t>Kloset Duduk (dengan bak air) ROCA Adela</t>
  </si>
  <si>
    <t>Pemasangan 1 buah closet jongkok ROCA</t>
  </si>
  <si>
    <t>Closet jongkok ROCA Wasser  CTI 121</t>
  </si>
  <si>
    <t>Kloset Jongkok ROCA Wasser CTI 121</t>
  </si>
  <si>
    <t>Pekerjaan Closed Jongkok ROCA Wasser CTI 121</t>
  </si>
  <si>
    <t>Pekerjaan Urinoir ROCA Bana</t>
  </si>
  <si>
    <t>Pemasangan 1 buah urinoir ROCA</t>
  </si>
  <si>
    <t>Urinoir ROCA Bana</t>
  </si>
  <si>
    <t>Urinoir lengkap Roca Bana</t>
  </si>
  <si>
    <t>Pemasangan 1 buah wastafel ROCA</t>
  </si>
  <si>
    <t>Wastafel Roca Debba 450</t>
  </si>
  <si>
    <t>Pekerjaan Wastafell ROCA Debba 450</t>
  </si>
  <si>
    <t>Wastafel ROCA Debba 450</t>
  </si>
  <si>
    <t>Pekerjaan Closed Duduk ROCA Adele</t>
  </si>
  <si>
    <t>Pemasangan 1 buah  Shower Spray + Kran ROCA</t>
  </si>
  <si>
    <t>Shower + Kran ROCA Victoria Wall</t>
  </si>
  <si>
    <t>Pekerjaan Shower ROCA Victoria Wall</t>
  </si>
  <si>
    <t>Pekerjaan Mesin Pompa Air Jet Pump 0,75 hp Grounfos JPD 4-47 PT-V</t>
  </si>
  <si>
    <t>Tangki air  2000 liter Pinguin Stainless</t>
  </si>
  <si>
    <t>HARGA PEKERJAAN</t>
  </si>
  <si>
    <t>Pekerjaaan Tangki air Pinguin Stainlees Kapasitas 2000 liter</t>
  </si>
  <si>
    <t>Flashing U</t>
  </si>
  <si>
    <t>Pekerjaan Cat dinding dulux</t>
  </si>
  <si>
    <t>selatan</t>
  </si>
  <si>
    <t>Utara</t>
  </si>
  <si>
    <t>karawang</t>
  </si>
  <si>
    <t>balok atas</t>
  </si>
  <si>
    <t>Isolasi atap/ aluminium foil Isoplek Premium A8</t>
  </si>
  <si>
    <t>Paku sekrup Speede screw 65mm</t>
  </si>
  <si>
    <t>Atap Bitumen Onduline clasic  Uk.200x95cm T.0,3mm</t>
  </si>
  <si>
    <t>Atap Bitumen Onduline Clasic</t>
  </si>
  <si>
    <t>Lantai Vinyl Taraflex Evolution 7,5mm</t>
  </si>
  <si>
    <t>Tangki air bersih</t>
  </si>
  <si>
    <t>Pek. Lampu Philips BY698P G5 LED300/NW PSU WB GM (Penerangan Lapangan Futsal)</t>
  </si>
  <si>
    <t>Lampu Philips BY698P G5 LED300/NW PSU WB GM</t>
  </si>
  <si>
    <t>Pasang 1 Lampu Dialux</t>
  </si>
  <si>
    <t xml:space="preserve">Lampu Philips BY698P G5 LED300/NW PSU WB GM </t>
  </si>
  <si>
    <t>Pek. Atap Onduline Clasic T. 0,3cm</t>
  </si>
  <si>
    <t>Pekerjaan Pipa pvc aw Wavin dia 6 in (Pipa air Limbah)</t>
  </si>
  <si>
    <t>Pekerjaan Pemasangan Nama - Nama Ruangan ( Contoh Toilet Pria , Ruang Medis dll ) Terbuat dari Akrilic Uk. 10cmx40cm</t>
  </si>
  <si>
    <t>Pekerjaan Kelengkapan Pendukung Lapangan Futsal dan Papan Nama Ruangan</t>
  </si>
  <si>
    <t>Pekerjaan Bongkar dinding Existing</t>
  </si>
  <si>
    <t>Pekerjaan Rehab Ruang Sisi Selatan</t>
  </si>
  <si>
    <t xml:space="preserve">Pekerjaan Rehab Ruang Sisi Utara </t>
  </si>
  <si>
    <t>JUMLAH. B</t>
  </si>
  <si>
    <t xml:space="preserve">Ruang utara </t>
  </si>
  <si>
    <t>Ruang Selatan</t>
  </si>
  <si>
    <t>Pekerjaan Pasangan Lantai Vinyl Uk 15x90cm ( Ruang Utara &amp; selatan)</t>
  </si>
  <si>
    <t>toilet  UTARA</t>
  </si>
  <si>
    <t>toilet SELATAN</t>
  </si>
  <si>
    <t>toilet MUSOLLAH</t>
  </si>
  <si>
    <t>LANTAI MUSOLLAH</t>
  </si>
  <si>
    <t>ruang Lobby</t>
  </si>
  <si>
    <t>Krawang</t>
  </si>
  <si>
    <t>Pekerjaan Lantai uk.40x40cm polished warna putih polos ( Lapangan Futsal )</t>
  </si>
  <si>
    <t>Pekerjaan Frame Penggantung lampu Besi Hollow 50x50x1.8mm</t>
  </si>
  <si>
    <t>Profil Alum T</t>
  </si>
  <si>
    <t>Kawat ø4mm</t>
  </si>
  <si>
    <t>Pembongkaran 1 m² lantai keramik</t>
  </si>
  <si>
    <r>
      <t xml:space="preserve">Plywood </t>
    </r>
    <r>
      <rPr>
        <sz val="10"/>
        <rFont val="Arial Narrow"/>
        <family val="2"/>
      </rPr>
      <t>tebal 9 mm</t>
    </r>
  </si>
  <si>
    <r>
      <t xml:space="preserve">Tukang </t>
    </r>
    <r>
      <rPr>
        <i/>
        <sz val="10"/>
        <rFont val="Arial Narrow"/>
        <family val="2"/>
      </rPr>
      <t>erection</t>
    </r>
  </si>
  <si>
    <r>
      <t xml:space="preserve">Besi </t>
    </r>
    <r>
      <rPr>
        <i/>
        <sz val="10"/>
        <rFont val="Arial Narrow"/>
        <family val="2"/>
      </rPr>
      <t>scuare tube</t>
    </r>
  </si>
  <si>
    <r>
      <rPr>
        <i/>
        <sz val="10"/>
        <rFont val="Arial Narrow"/>
        <family val="2"/>
      </rPr>
      <t xml:space="preserve">vertical blinds </t>
    </r>
    <r>
      <rPr>
        <sz val="10"/>
        <rFont val="Arial Narrow"/>
        <family val="2"/>
      </rPr>
      <t>(tirai)</t>
    </r>
  </si>
  <si>
    <r>
      <t>m</t>
    </r>
    <r>
      <rPr>
        <b/>
        <sz val="10"/>
        <rFont val="Arial Narrow"/>
        <family val="2"/>
      </rPr>
      <t>2</t>
    </r>
  </si>
  <si>
    <r>
      <t xml:space="preserve">Plywood </t>
    </r>
    <r>
      <rPr>
        <sz val="10"/>
        <rFont val="Arial Narrow"/>
        <family val="2"/>
      </rPr>
      <t>tebal 4 mm Uk. (90 x 220) cm</t>
    </r>
  </si>
  <si>
    <r>
      <t xml:space="preserve">Plywood </t>
    </r>
    <r>
      <rPr>
        <sz val="10"/>
        <rFont val="Arial Narrow"/>
        <family val="2"/>
      </rPr>
      <t>4 mm (90 x 220) cm</t>
    </r>
  </si>
  <si>
    <r>
      <t xml:space="preserve">Bak air </t>
    </r>
    <r>
      <rPr>
        <i/>
        <sz val="10"/>
        <rFont val="Arial Narrow"/>
        <family val="2"/>
      </rPr>
      <t>fibreglass</t>
    </r>
  </si>
  <si>
    <t>Pemasangan 1 m2 langit-langit akustik ukuran (60 x 120) cm Berikut Rangka Almunium</t>
  </si>
  <si>
    <t>Pemasangan 1 m2 Atap Bitumen Onduline Clasic Uk. 95x200cm</t>
  </si>
  <si>
    <t>Pengecatan 1 m2 tembok lama Dulux interior (1 lapis cat dasar 2 lapis cat penutup)</t>
  </si>
  <si>
    <t xml:space="preserve">Pekerjaan Cat Dulux Pro Diamond Ceiling dan dinding Akustik (Ruang VIP) </t>
  </si>
  <si>
    <t>Pekerjaan cat Dulux Professional E.1000 Pagar GRC Stone dan Pembatas warna Putih</t>
  </si>
  <si>
    <t>REKAPITULASI PEKERJAAN</t>
  </si>
  <si>
    <t>Lisplank GRC SHERA</t>
  </si>
  <si>
    <t>Besi Hollow 40x40cm</t>
  </si>
  <si>
    <t>Pekerjaan Lisplank Shera 20x300cmx8mm berikut Frame Hollow 40x40x1,7mm</t>
  </si>
  <si>
    <t>Pekerjaan Reng CNP 150x50x20x2,3mm (Penambahan reng CNP dari Existing)</t>
  </si>
  <si>
    <t>Pemasangan 1 m2 Lisplank GRC SHERA Berikut Frame</t>
  </si>
  <si>
    <t>Pekerjaan Dinding Partisi Frame Kanal C.70 (Dinding Team Home &amp; away)</t>
  </si>
  <si>
    <t>Pekerjaan Dinding Partisi Frame Penutup Gypsum T. 9mm (Dinding Team Home &amp; away)</t>
  </si>
  <si>
    <t>Pekerjaan Jendela UPVC Uk.75x130cm ( Musholla )</t>
  </si>
  <si>
    <t>Besi Hollow 40x40x1.7mm</t>
  </si>
  <si>
    <t>Pemasangan 1 m2 dinding terawang (rooster) 20x20x15 campuran 1SP :4PP</t>
  </si>
  <si>
    <t>Batu terawang uk. 20x20</t>
  </si>
  <si>
    <t>Pekerjaan Pasangan Roster Beton 2 sisi ( Exterior Fasade Musholla )</t>
  </si>
  <si>
    <t xml:space="preserve">" TERBILANG : ENAM MILYAR SEMBILAN RATUS SEMBILAN PULUH SEMBILAN JUTA SEMBILAN RATUS SEMBILAN PULUH SEMBILAN RIBU RUPIAH " </t>
  </si>
  <si>
    <t>PEKERJAAN MEKANIKAL</t>
  </si>
  <si>
    <t>PEKERJAAN ELEKTRIKAL</t>
  </si>
  <si>
    <t>Pajak PPN &amp; Bea cukai</t>
  </si>
  <si>
    <t>Pekerjaan Pasangan Keramik Lantai Ruang VIP Uk. 60x60cm (Unpolished)</t>
  </si>
  <si>
    <t>Pekerjaan Engsel Tanam/ Floor hinges  Dorma BTS 75</t>
  </si>
  <si>
    <t>Pekerjaan Engsel Tanam  / Floor hingesDorma BTS 75</t>
  </si>
  <si>
    <t>Pekerjaan besi Hollow Uk.50x50x2mm T. 1,8m (Penambahan Pagar Tribun VIP Kanan &amp; kiri)</t>
  </si>
  <si>
    <t>Pekerjaan Frame Konstruksi Penggantung Lampu Penerangan Lapangan Futsal</t>
  </si>
  <si>
    <t>Pekerjaan Beton Cor  f' = 24,0 Mpa</t>
  </si>
  <si>
    <t>Merk</t>
  </si>
  <si>
    <t>Nilai TKDN</t>
  </si>
  <si>
    <t>Ket.</t>
  </si>
  <si>
    <t>JUMLAH KDN</t>
  </si>
  <si>
    <t>Lokal</t>
  </si>
  <si>
    <t>WNI</t>
  </si>
  <si>
    <t>Matrial Lokal</t>
  </si>
  <si>
    <t>Material Lokal</t>
  </si>
  <si>
    <t>TKDN Kemenprin</t>
  </si>
  <si>
    <t>JUMLAH HARGA/TKDN</t>
  </si>
  <si>
    <t>HARGA SAT. (TKDN)</t>
  </si>
  <si>
    <t>TKDN</t>
  </si>
  <si>
    <t>JUMLAH C.1</t>
  </si>
  <si>
    <t>JUMLAH C.2</t>
  </si>
  <si>
    <t>JUMLAH.  D</t>
  </si>
  <si>
    <t>JUMLAH. D</t>
  </si>
  <si>
    <t>TOTAL HARGA</t>
  </si>
  <si>
    <t>TKDN (%)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</si>
</sst>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5">
    <numFmt numFmtId="7" formatCode="&quot;Rp&quot;#,##0.00;\-&quot;Rp&quot;#,##0.00"/>
    <numFmt numFmtId="42" formatCode="_-&quot;Rp&quot;* #,##0_-;\-&quot;Rp&quot;* #,##0_-;_-&quot;Rp&quot;* &quot;-&quot;_-;_-@_-"/>
    <numFmt numFmtId="41" formatCode="_-* #,##0_-;\-* #,##0_-;_-* &quot;-&quot;_-;_-@_-"/>
    <numFmt numFmtId="43" formatCode="_-* #,##0.00_-;\-* #,##0.00_-;_-* &quot;-&quot;??_-;_-@_-"/>
    <numFmt numFmtId="164" formatCode="&quot;Rp&quot;#,##0_);\(&quot;Rp&quot;#,##0\)"/>
    <numFmt numFmtId="165" formatCode="&quot;Rp&quot;#,##0_);[Red]\(&quot;Rp&quot;#,##0\)"/>
    <numFmt numFmtId="166" formatCode="&quot;Rp&quot;#,##0.00_);\(&quot;Rp&quot;#,##0.00\)"/>
    <numFmt numFmtId="167" formatCode="_(&quot;Rp&quot;* #,##0_);_(&quot;Rp&quot;* \(#,##0\);_(&quot;Rp&quot;* &quot;-&quot;_);_(@_)"/>
    <numFmt numFmtId="168" formatCode="_(* #,##0_);_(* \(#,##0\);_(* &quot;-&quot;_);_(@_)"/>
    <numFmt numFmtId="169" formatCode="_(&quot;Rp&quot;* #,##0.00_);_(&quot;Rp&quot;* \(#,##0.00\);_(&quot;Rp&quot;* &quot;-&quot;??_);_(@_)"/>
    <numFmt numFmtId="170" formatCode="_(* #,##0.00_);_(* \(#,##0.00\);_(* &quot;-&quot;??_);_(@_)"/>
    <numFmt numFmtId="171" formatCode="&quot;$&quot;#,##0_);\(&quot;$&quot;#,##0\)"/>
    <numFmt numFmtId="172" formatCode="&quot;$&quot;#,##0_);[Red]\(&quot;$&quot;#,##0\)"/>
    <numFmt numFmtId="173" formatCode="&quot;$&quot;#,##0.00_);\(&quot;$&quot;#,##0.00\)"/>
    <numFmt numFmtId="174" formatCode="&quot;$&quot;#,##0.00_);[Red]\(&quot;$&quot;#,##0.00\)"/>
    <numFmt numFmtId="175" formatCode="_(&quot;$&quot;* #,##0_);_(&quot;$&quot;* \(#,##0\);_(&quot;$&quot;* &quot;-&quot;_);_(@_)"/>
    <numFmt numFmtId="176" formatCode="_(&quot;$&quot;* #,##0.00_);_(&quot;$&quot;* \(#,##0.00\);_(&quot;$&quot;* &quot;-&quot;??_);_(@_)"/>
    <numFmt numFmtId="177" formatCode="&quot;£&quot;#,##0;\-&quot;£&quot;#,##0"/>
    <numFmt numFmtId="178" formatCode="&quot;£&quot;#,##0;[Red]\-&quot;£&quot;#,##0"/>
    <numFmt numFmtId="179" formatCode="&quot;£&quot;#,##0.00;[Red]\-&quot;£&quot;#,##0.00"/>
    <numFmt numFmtId="180" formatCode="_-&quot;£&quot;* #,##0_-;\-&quot;£&quot;* #,##0_-;_-&quot;£&quot;* &quot;-&quot;_-;_-@_-"/>
    <numFmt numFmtId="181" formatCode="0.0000"/>
    <numFmt numFmtId="182" formatCode="0.000"/>
    <numFmt numFmtId="183" formatCode="_(* #,##0.00_);_(* \(#,##0.00\);_(* &quot;-&quot;_);_(@_)"/>
    <numFmt numFmtId="184" formatCode="_(&quot;Rp&quot;* #,##0.00_);_(&quot;Rp&quot;* \(#,##0.00\);_(&quot;Rp&quot;* &quot;-&quot;_);_(@_)"/>
    <numFmt numFmtId="185" formatCode="_(* #,##0.000_);_(* \(#,##0.000\);_(* &quot;-&quot;_);_(@_)"/>
    <numFmt numFmtId="186" formatCode="#."/>
    <numFmt numFmtId="187" formatCode="#,##0.00\ _$;\-#,##0.00\ _$"/>
    <numFmt numFmtId="188" formatCode="#,##0.00\ &quot;Pts&quot;;[Red]\-#,##0.00\ &quot;Pts&quot;"/>
    <numFmt numFmtId="189" formatCode="_-* #,##0\ _P_t_s_-;\-* #,##0\ _P_t_s_-;_-* &quot;-&quot;\ _P_t_s_-;_-@_-"/>
    <numFmt numFmtId="190" formatCode="_-* #,##0\ &quot;Pts&quot;_-;\-* #,##0\ &quot;Pts&quot;_-;_-* &quot;-&quot;\ &quot;Pts&quot;_-;_-@_-"/>
    <numFmt numFmtId="191" formatCode="_-* #,##0.00\ &quot;Pts&quot;_-;\-* #,##0.00\ &quot;Pts&quot;_-;_-* &quot;-&quot;??\ &quot;Pts&quot;_-;_-@_-"/>
    <numFmt numFmtId="192" formatCode="_(* #,##0.00000_);_(* \(#,##0.00000\);_(* &quot;-&quot;??_);_(@_)"/>
    <numFmt numFmtId="193" formatCode="#,##0;\-#,##0;&quot;-&quot;"/>
    <numFmt numFmtId="194" formatCode="0.000000"/>
    <numFmt numFmtId="195" formatCode="_(* #,##0.00_);_(* \(#,##0.00\);_(* \-??_);_(@_)"/>
    <numFmt numFmtId="196" formatCode="#,##0.00\ ;\(#,##0.00\)"/>
    <numFmt numFmtId="197" formatCode="#,##0.00\ ;&quot; (&quot;#,##0.00\);&quot; -&quot;#\ ;@\ "/>
    <numFmt numFmtId="198" formatCode="_(* #,##0.0000_);_(* \(#,##0.0000\);_(* &quot;-&quot;????_);_(@_)"/>
    <numFmt numFmtId="199" formatCode="#,##0.0_);\(#,##0.0\)"/>
    <numFmt numFmtId="200" formatCode=";;;"/>
    <numFmt numFmtId="201" formatCode="#,##0.000"/>
    <numFmt numFmtId="202" formatCode="#,##0.0_);[Red]\(#,##0.0\)"/>
    <numFmt numFmtId="203" formatCode="#,###.00"/>
    <numFmt numFmtId="204" formatCode="_(* #,##0.0_);_(* \(#,##0.0\);_(* &quot;-&quot;_);_(@_)"/>
    <numFmt numFmtId="205" formatCode="_(* #,##0.0_);_(* \(#,##0.0\);_(* &quot;-&quot;??_);_(@_)"/>
    <numFmt numFmtId="206" formatCode="#,##0.0000"/>
    <numFmt numFmtId="207" formatCode="#,##0.00;[Red]#,##0.00"/>
    <numFmt numFmtId="208" formatCode="#,##0.00_);\(#,##0.0\)"/>
    <numFmt numFmtId="209" formatCode="_(* #,##0.0000000000_);_(* \(#,##0.0000000000\);_(* &quot;-&quot;??_);_(@_)"/>
    <numFmt numFmtId="210" formatCode="&quot;$&quot;#,##0\ ;\(&quot;$&quot;#,##0\)"/>
    <numFmt numFmtId="211" formatCode="m/d"/>
    <numFmt numFmtId="212" formatCode="#,##0_);[Red]\(#,##0\);;@"/>
    <numFmt numFmtId="213" formatCode="_([$€-2]* #,##0.00_);_([$€-2]* \(#,##0.00\);_([$€-2]* &quot;-&quot;??_)"/>
    <numFmt numFmtId="214" formatCode="_(* #,##0.00000000000000_);_(* \(#,##0.00000000000000\);_(* &quot;-&quot;??_);_(@_)"/>
    <numFmt numFmtId="215" formatCode="0.000%"/>
    <numFmt numFmtId="216" formatCode="0.00_)"/>
    <numFmt numFmtId="217" formatCode="###0.00"/>
    <numFmt numFmtId="218" formatCode="0_)"/>
    <numFmt numFmtId="219" formatCode="0.0%"/>
    <numFmt numFmtId="220" formatCode="mm/dd/yy"/>
    <numFmt numFmtId="221" formatCode="_-&quot;$&quot;* #,##0_-;\-&quot;$&quot;* #,##0_-;_-&quot;$&quot;* &quot;-&quot;_-;_-@_-"/>
    <numFmt numFmtId="222" formatCode="_([$Rp-421]* #,##0.00_);_([$Rp-421]* \(#,##0.00\);_([$Rp-421]* &quot;-&quot;??_);_(@_)"/>
    <numFmt numFmtId="223" formatCode="&quot;Rp&quot;\ #,##0_);\(&quot;Rp&quot;\ #,##0\)"/>
    <numFmt numFmtId="224" formatCode="_(* #,##0.0000_);_(* \(#,##0.0000\);_(* &quot;-&quot;_);_(@_)"/>
    <numFmt numFmtId="225" formatCode="0.0"/>
    <numFmt numFmtId="226" formatCode="&quot;\&quot;#,##0.00;[Red]&quot;\&quot;&quot;\&quot;&quot;\&quot;&quot;\&quot;&quot;\&quot;&quot;\&quot;\-#,##0.00"/>
    <numFmt numFmtId="227" formatCode="&quot;\&quot;#,##0;[Red]&quot;\&quot;&quot;\&quot;\-#,##0"/>
    <numFmt numFmtId="228" formatCode="\km"/>
    <numFmt numFmtId="229" formatCode="_ * #,##0_ ;_ * \-#,##0_ ;_ * &quot;-&quot;_ ;_ @_ "/>
    <numFmt numFmtId="230" formatCode="0###0"/>
    <numFmt numFmtId="231" formatCode="#,##0\ &quot;FB&quot;;\-#,##0\ &quot;FB&quot;"/>
    <numFmt numFmtId="232" formatCode="#,##0.00\ &quot;Esc.&quot;;[Red]\-#,##0.00\ &quot;Esc.&quot;"/>
    <numFmt numFmtId="233" formatCode="_(* #,##0_);_(* &quot;\&quot;&quot;\&quot;&quot;\&quot;\(#,##0&quot;\&quot;&quot;\&quot;&quot;\&quot;\);_(* &quot;-&quot;_);_(@_)"/>
    <numFmt numFmtId="234" formatCode="_(* #,##0.00_);_(* &quot;\&quot;&quot;\&quot;&quot;\&quot;\(#,##0.00&quot;\&quot;&quot;\&quot;&quot;\&quot;\);_(* &quot;-&quot;??_);_(@_)"/>
    <numFmt numFmtId="235" formatCode="_([$€]* #,##0.00_);_([$€]* \(#,##0.00\);_([$€]* \-??_);_(@_)"/>
    <numFmt numFmtId="236" formatCode="&quot;P&quot;\ #,##0_);\(&quot;P&quot;\ #,##0\)"/>
    <numFmt numFmtId="237" formatCode="#,##0\ &quot;Esc.&quot;;[Red]\-#,##0\ &quot;Esc.&quot;"/>
    <numFmt numFmtId="238" formatCode="General\ ;[Red]\(General\)"/>
    <numFmt numFmtId="239" formatCode="#,##0.00\ &quot;Esc.&quot;;\-#,##0.00\ &quot;Esc.&quot;"/>
    <numFmt numFmtId="240" formatCode="0.0%;[Red]\(0.0%\)"/>
    <numFmt numFmtId="241" formatCode="_ * #,##0.00_ ;_ * \-#,##0.00_ ;_ * &quot;-&quot;??_ ;_ @_ "/>
    <numFmt numFmtId="242" formatCode="_-* #,##0.00\ &quot;Esc.&quot;_-;\-* #,##0.00\ &quot;Esc.&quot;_-;_-* &quot;-&quot;??\ &quot;Esc.&quot;_-;_-@_-"/>
    <numFmt numFmtId="243" formatCode="#,##0.000_);[Red]\(#,##0.000\)"/>
    <numFmt numFmtId="244" formatCode="#,##0.000_);\(#,##0.000\)"/>
    <numFmt numFmtId="245" formatCode="_([$Rp-421]* #,##0_);_([$Rp-421]* \(#,##0\);_([$Rp-421]* &quot;-&quot;??_);_(@_)"/>
    <numFmt numFmtId="246" formatCode="_-* #,##0.00\ _E_s_c_._-;\-* #,##0.00\ _E_s_c_._-;_-* &quot;-&quot;??\ _E_s_c_._-;_-@_-"/>
    <numFmt numFmtId="247" formatCode="_(&quot;$&quot;* #,##0.000_);_(&quot;$&quot;* \(#,##0.000\);_(&quot;$&quot;* &quot;-&quot;??_);_(@_)"/>
    <numFmt numFmtId="248" formatCode="0.0000000%"/>
    <numFmt numFmtId="249" formatCode="_-* #,##0\ _E_s_c_._-;\-* #,##0\ _E_s_c_._-;_-* &quot;-&quot;\ _E_s_c_._-;_-@_-"/>
    <numFmt numFmtId="250" formatCode="0.0000000000"/>
    <numFmt numFmtId="251" formatCode="#,##0.00\ \ "/>
    <numFmt numFmtId="252" formatCode="#,##0.00&quot;  &quot;"/>
    <numFmt numFmtId="253" formatCode="_ * #,##0_ ;_ * \-#,##0_ ;_ * &quot;-&quot;??_ ;_ @_ "/>
    <numFmt numFmtId="254" formatCode="_ * #,##0_ ;_ * \-#,##0_ ;_ * \-??_ ;_ @_ "/>
    <numFmt numFmtId="255" formatCode="#,##0.00\ "/>
    <numFmt numFmtId="256" formatCode="0##0"/>
    <numFmt numFmtId="257" formatCode="0\ \ \ \ "/>
    <numFmt numFmtId="258" formatCode="#,##0.00\ \ \ "/>
    <numFmt numFmtId="259" formatCode="#,##0.00&quot;   &quot;"/>
    <numFmt numFmtId="260" formatCode="_(&quot;$&quot;* #,##0_);_(&quot;$&quot;* &quot;\&quot;&quot;\&quot;&quot;\&quot;\(#,##0&quot;\&quot;&quot;\&quot;&quot;\&quot;\);_(&quot;$&quot;* &quot;-&quot;_);_(@_)"/>
    <numFmt numFmtId="261" formatCode="_(&quot;$&quot;* #,##0.00_);_(&quot;$&quot;* &quot;\&quot;&quot;\&quot;&quot;\&quot;\(#,##0.00&quot;\&quot;&quot;\&quot;&quot;\&quot;\);_(&quot;$&quot;* &quot;-&quot;??_);_(@_)"/>
    <numFmt numFmtId="262" formatCode="_-* #,##0.0\ _F_-;\-* #,##0.0\ _F_-;_-* &quot;-&quot;?\ _F_-;_-@_-"/>
    <numFmt numFmtId="263" formatCode="_(* #,##0_);_(* \(#,##0\);_(* &quot;-&quot;??_);_(@_)"/>
    <numFmt numFmtId="264" formatCode="_-* #,##0\ _F_-;\-* #,##0\ _F_-;_-* &quot;-&quot;??\ _F_-;_-@_-"/>
    <numFmt numFmtId="265" formatCode="_-* #,##0.0\ _F_-;\-* #,##0.0\ _F_-;_-* &quot;-&quot;??\ _F_-;_-@_-"/>
    <numFmt numFmtId="266" formatCode="_-&quot;$&quot;* #,##0.00_-;\-&quot;$&quot;* #,##0.00_-;_-&quot;$&quot;* &quot;-&quot;??_-;_-@_-"/>
    <numFmt numFmtId="267" formatCode="_(* #,##0.000_);_(* \(#,##0.000\);_(* &quot;-&quot;??_);_(@_)"/>
    <numFmt numFmtId="268" formatCode="_-[$Rp-421]* #,##0_-;\-[$Rp-421]* #,##0_-;_-[$Rp-421]* &quot;-&quot;_-;_-@_-"/>
    <numFmt numFmtId="269" formatCode="_-[$Rp-421]* #,##0.00_-;\-[$Rp-421]* #,##0.00_-;_-[$Rp-421]* &quot;-&quot;??_-;_-@_-"/>
    <numFmt numFmtId="270" formatCode="_-* #,##0.00_-;\-* #,##0.00_-;_-* &quot;-&quot;_-;_-@_-"/>
    <numFmt numFmtId="271" formatCode="_-&quot;IDR&quot;* #,##0_-;\-&quot;IDR&quot;* #,##0_-;_-&quot;IDR&quot;* &quot;-&quot;_-;_-@_-"/>
    <numFmt numFmtId="272" formatCode="_ * #,##0.0000_ ;_ * \-#,##0.0000_ ;_ * &quot;-&quot;????_ ;_ @_ "/>
    <numFmt numFmtId="273" formatCode="#,##0.0"/>
    <numFmt numFmtId="274" formatCode="[$Rp-421]#,##0"/>
  </numFmts>
  <fonts count="262">
    <font>
      <sz val="11"/>
      <color rgb="FF000000"/>
      <name val="Calibri"/>
      <family val="2"/>
      <charset val="204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i/>
      <sz val="10"/>
      <color indexed="8"/>
      <name val="Arial"/>
      <family val="2"/>
    </font>
    <font>
      <sz val="6"/>
      <color indexed="8"/>
      <name val="Arial"/>
      <family val="2"/>
    </font>
    <font>
      <sz val="9"/>
      <color indexed="8"/>
      <name val="Arial"/>
      <family val="2"/>
    </font>
    <font>
      <sz val="10"/>
      <color indexed="8"/>
      <name val="Times New Roman"/>
      <family val="1"/>
    </font>
    <font>
      <sz val="6"/>
      <color indexed="8"/>
      <name val="Times New Roman"/>
      <family val="1"/>
    </font>
    <font>
      <b/>
      <sz val="9"/>
      <color indexed="8"/>
      <name val="Arial"/>
      <family val="2"/>
    </font>
    <font>
      <sz val="11"/>
      <color indexed="8"/>
      <name val="Arial"/>
      <family val="2"/>
    </font>
    <font>
      <b/>
      <sz val="9"/>
      <color indexed="8"/>
      <name val="Calibri"/>
      <family val="2"/>
    </font>
    <font>
      <b/>
      <sz val="6"/>
      <color indexed="8"/>
      <name val="Calibri"/>
      <family val="2"/>
    </font>
    <font>
      <b/>
      <sz val="6"/>
      <color indexed="8"/>
      <name val="Arial"/>
      <family val="2"/>
    </font>
    <font>
      <sz val="10"/>
      <color indexed="8"/>
      <name val="Calibri"/>
      <family val="2"/>
    </font>
    <font>
      <sz val="6"/>
      <color indexed="8"/>
      <name val="Calibri"/>
      <family val="2"/>
    </font>
    <font>
      <sz val="7"/>
      <color indexed="8"/>
      <name val="Arial"/>
      <family val="2"/>
    </font>
    <font>
      <b/>
      <sz val="6.5"/>
      <color indexed="8"/>
      <name val="Arial"/>
      <family val="2"/>
    </font>
    <font>
      <b/>
      <i/>
      <sz val="10"/>
      <color indexed="8"/>
      <name val="Arial"/>
      <family val="2"/>
    </font>
    <font>
      <sz val="6.5"/>
      <color indexed="8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1"/>
      <name val="Arial"/>
      <family val="2"/>
    </font>
    <font>
      <sz val="10"/>
      <name val="Helv"/>
      <charset val="204"/>
    </font>
    <font>
      <sz val="10"/>
      <name val="Helv"/>
      <family val="2"/>
    </font>
    <font>
      <sz val="1"/>
      <color indexed="8"/>
      <name val="Courier"/>
      <family val="3"/>
    </font>
    <font>
      <sz val="1"/>
      <color indexed="16"/>
      <name val="Courier"/>
      <family val="3"/>
    </font>
    <font>
      <sz val="12"/>
      <name val="¹ÙÅÁÃ¼"/>
      <charset val="129"/>
    </font>
    <font>
      <sz val="11"/>
      <color indexed="8"/>
      <name val="Calibri"/>
      <family val="2"/>
    </font>
    <font>
      <sz val="10"/>
      <color indexed="8"/>
      <name val="Calibri"/>
      <family val="2"/>
      <charset val="1"/>
    </font>
    <font>
      <sz val="11"/>
      <color indexed="9"/>
      <name val="Calibri"/>
      <family val="2"/>
    </font>
    <font>
      <sz val="10"/>
      <color indexed="9"/>
      <name val="Calibri"/>
      <family val="2"/>
      <charset val="1"/>
    </font>
    <font>
      <b/>
      <u/>
      <sz val="18"/>
      <color indexed="9"/>
      <name val="Tahoma"/>
      <family val="2"/>
    </font>
    <font>
      <sz val="12"/>
      <name val="Times New Roman"/>
      <family val="1"/>
    </font>
    <font>
      <sz val="8"/>
      <name val="Times New Roman"/>
      <family val="1"/>
    </font>
    <font>
      <sz val="11"/>
      <color indexed="20"/>
      <name val="Calibri"/>
      <family val="2"/>
    </font>
    <font>
      <sz val="10"/>
      <color indexed="17"/>
      <name val="Calibri"/>
      <family val="2"/>
      <charset val="1"/>
    </font>
    <font>
      <sz val="12"/>
      <name val="Tms Rmn"/>
    </font>
    <font>
      <sz val="10"/>
      <name val="MS Sans Serif"/>
      <family val="2"/>
    </font>
    <font>
      <sz val="10"/>
      <color indexed="20"/>
      <name val="Calibri"/>
      <family val="2"/>
      <charset val="1"/>
    </font>
    <font>
      <b/>
      <sz val="11"/>
      <color indexed="52"/>
      <name val="Calibri"/>
      <family val="2"/>
    </font>
    <font>
      <b/>
      <sz val="10"/>
      <color indexed="9"/>
      <name val="Calibri"/>
      <family val="2"/>
      <charset val="1"/>
    </font>
    <font>
      <b/>
      <sz val="11"/>
      <color indexed="9"/>
      <name val="Calibri"/>
      <family val="2"/>
    </font>
    <font>
      <sz val="11"/>
      <color indexed="8"/>
      <name val="Calibri"/>
      <family val="2"/>
      <charset val="1"/>
    </font>
    <font>
      <sz val="8"/>
      <color indexed="8"/>
      <name val="Arial"/>
      <family val="2"/>
    </font>
    <font>
      <sz val="10"/>
      <name val="Geneva"/>
    </font>
    <font>
      <sz val="12"/>
      <name val="Arial"/>
      <family val="2"/>
    </font>
    <font>
      <sz val="10"/>
      <name val="MS Serif"/>
      <family val="1"/>
    </font>
    <font>
      <sz val="10"/>
      <name val="Times New Roman"/>
      <family val="1"/>
    </font>
    <font>
      <sz val="12"/>
      <name val="Helv"/>
      <family val="2"/>
    </font>
    <font>
      <sz val="10"/>
      <name val="Century Gothic"/>
      <family val="2"/>
    </font>
    <font>
      <b/>
      <sz val="10"/>
      <color indexed="8"/>
      <name val="Arial"/>
      <family val="2"/>
    </font>
    <font>
      <sz val="10"/>
      <color indexed="16"/>
      <name val="MS Serif"/>
      <family val="1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8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8"/>
      <name val="Courier"/>
      <family val="3"/>
    </font>
    <font>
      <b/>
      <sz val="8"/>
      <name val="MS Sans Serif"/>
      <family val="2"/>
    </font>
    <font>
      <sz val="11"/>
      <color indexed="62"/>
      <name val="Calibri"/>
      <family val="2"/>
    </font>
    <font>
      <b/>
      <sz val="18"/>
      <color indexed="62"/>
      <name val="Cambria"/>
      <family val="2"/>
      <charset val="1"/>
    </font>
    <font>
      <b/>
      <sz val="10"/>
      <color indexed="63"/>
      <name val="Calibri"/>
      <family val="2"/>
      <charset val="1"/>
    </font>
    <font>
      <sz val="12"/>
      <name val="Book Antiqua"/>
      <family val="1"/>
    </font>
    <font>
      <b/>
      <sz val="14"/>
      <name val="Helv"/>
      <family val="2"/>
    </font>
    <font>
      <sz val="11"/>
      <color indexed="52"/>
      <name val="Calibri"/>
      <family val="2"/>
    </font>
    <font>
      <sz val="9"/>
      <name val="Arial"/>
      <family val="2"/>
    </font>
    <font>
      <sz val="10"/>
      <color indexed="62"/>
      <name val="Calibri"/>
      <family val="2"/>
      <charset val="1"/>
    </font>
    <font>
      <sz val="10"/>
      <color indexed="19"/>
      <name val="Calibri"/>
      <family val="2"/>
      <charset val="1"/>
    </font>
    <font>
      <sz val="11"/>
      <color indexed="60"/>
      <name val="Calibri"/>
      <family val="2"/>
    </font>
    <font>
      <sz val="7"/>
      <name val="Small Fonts"/>
      <family val="2"/>
    </font>
    <font>
      <b/>
      <i/>
      <sz val="16"/>
      <name val="Helv"/>
    </font>
    <font>
      <sz val="8"/>
      <name val="Helv"/>
    </font>
    <font>
      <sz val="10"/>
      <name val="Helv"/>
    </font>
    <font>
      <i/>
      <sz val="10"/>
      <color indexed="18"/>
      <name val="Century Gothic"/>
      <family val="2"/>
    </font>
    <font>
      <b/>
      <sz val="11"/>
      <color indexed="63"/>
      <name val="Calibri"/>
      <family val="2"/>
    </font>
    <font>
      <b/>
      <sz val="10"/>
      <color indexed="10"/>
      <name val="Calibri"/>
      <family val="2"/>
      <charset val="1"/>
    </font>
    <font>
      <b/>
      <sz val="10"/>
      <color indexed="8"/>
      <name val="Univers"/>
    </font>
    <font>
      <sz val="8"/>
      <name val="Wingdings"/>
      <charset val="2"/>
    </font>
    <font>
      <sz val="10"/>
      <color indexed="10"/>
      <name val="Calibri"/>
      <family val="2"/>
      <charset val="1"/>
    </font>
    <font>
      <b/>
      <sz val="18"/>
      <color indexed="8"/>
      <name val="Cambria"/>
      <family val="1"/>
    </font>
    <font>
      <sz val="8"/>
      <name val="MS Sans Serif"/>
      <family val="2"/>
    </font>
    <font>
      <b/>
      <sz val="8"/>
      <color indexed="8"/>
      <name val="Helv"/>
    </font>
    <font>
      <b/>
      <sz val="15"/>
      <color indexed="62"/>
      <name val="Calibri"/>
      <family val="2"/>
      <charset val="1"/>
    </font>
    <font>
      <b/>
      <sz val="13"/>
      <color indexed="62"/>
      <name val="Calibri"/>
      <family val="2"/>
      <charset val="1"/>
    </font>
    <font>
      <b/>
      <sz val="11"/>
      <color indexed="62"/>
      <name val="Calibri"/>
      <family val="2"/>
      <charset val="1"/>
    </font>
    <font>
      <i/>
      <sz val="10"/>
      <color indexed="23"/>
      <name val="Calibri"/>
      <family val="2"/>
      <charset val="1"/>
    </font>
    <font>
      <sz val="24"/>
      <color indexed="13"/>
      <name val="Helv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2"/>
      <color indexed="10"/>
      <name val="Arial Narrow"/>
      <family val="2"/>
    </font>
    <font>
      <u/>
      <sz val="10"/>
      <color indexed="14"/>
      <name val="COUR"/>
      <family val="3"/>
    </font>
    <font>
      <b/>
      <sz val="8"/>
      <name val="Arial"/>
      <family val="2"/>
    </font>
    <font>
      <sz val="11"/>
      <color indexed="10"/>
      <name val="Calibri"/>
      <family val="2"/>
    </font>
    <font>
      <sz val="12"/>
      <name val="Helv"/>
    </font>
    <font>
      <sz val="14"/>
      <name val="ＭＳ 明朝"/>
      <family val="1"/>
      <charset val="128"/>
    </font>
    <font>
      <sz val="10"/>
      <name val="Arial"/>
      <family val="2"/>
    </font>
    <font>
      <sz val="12"/>
      <name val="Calisto MT"/>
      <family val="1"/>
    </font>
    <font>
      <sz val="11"/>
      <color rgb="FF000000"/>
      <name val="Calibri"/>
      <family val="2"/>
      <charset val="204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theme="1"/>
      <name val="Arial Narrow"/>
      <family val="2"/>
      <charset val="1"/>
    </font>
    <font>
      <sz val="12"/>
      <color theme="1"/>
      <name val="Arial Narrow"/>
      <family val="2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3"/>
      <charset val="128"/>
      <scheme val="minor"/>
    </font>
    <font>
      <b/>
      <sz val="11"/>
      <color theme="1"/>
      <name val="Constantia"/>
      <family val="1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i/>
      <sz val="10"/>
      <color rgb="FF000000"/>
      <name val="Arial"/>
      <family val="2"/>
    </font>
    <font>
      <b/>
      <sz val="9"/>
      <color rgb="FF000000"/>
      <name val="Arial"/>
      <family val="2"/>
    </font>
    <font>
      <sz val="9"/>
      <color rgb="FF000000"/>
      <name val="Arial"/>
      <family val="2"/>
    </font>
    <font>
      <sz val="11"/>
      <color rgb="FF000000"/>
      <name val="Arial"/>
      <family val="2"/>
    </font>
    <font>
      <b/>
      <sz val="9"/>
      <color rgb="FF000000"/>
      <name val="Calibri"/>
      <family val="2"/>
    </font>
    <font>
      <sz val="6"/>
      <color rgb="FF000000"/>
      <name val="Arial"/>
      <family val="2"/>
    </font>
    <font>
      <sz val="10"/>
      <color rgb="FF000000"/>
      <name val="Calibri"/>
      <family val="2"/>
    </font>
    <font>
      <b/>
      <sz val="6"/>
      <color rgb="FF000000"/>
      <name val="Calibri"/>
      <family val="2"/>
    </font>
    <font>
      <sz val="6"/>
      <color rgb="FF000000"/>
      <name val="Calibri"/>
      <family val="2"/>
    </font>
    <font>
      <b/>
      <sz val="11"/>
      <color rgb="FF000000"/>
      <name val="Arial"/>
      <family val="2"/>
    </font>
    <font>
      <sz val="9.5"/>
      <color rgb="FF000000"/>
      <name val="Arial"/>
      <family val="2"/>
    </font>
    <font>
      <sz val="12"/>
      <color rgb="FF000000"/>
      <name val="Arial"/>
      <family val="2"/>
    </font>
    <font>
      <sz val="13"/>
      <color rgb="FF000000"/>
      <name val="Arial"/>
      <family val="2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i/>
      <sz val="9"/>
      <name val="Calibri"/>
      <family val="2"/>
      <scheme val="minor"/>
    </font>
    <font>
      <b/>
      <sz val="16"/>
      <color rgb="FF000000"/>
      <name val="Calibri"/>
      <family val="2"/>
    </font>
    <font>
      <sz val="10"/>
      <color rgb="FF000000"/>
      <name val="Calibri"/>
      <family val="2"/>
      <charset val="204"/>
    </font>
    <font>
      <i/>
      <sz val="9"/>
      <color rgb="FF000000"/>
      <name val="Arial"/>
      <family val="2"/>
    </font>
    <font>
      <b/>
      <i/>
      <sz val="10"/>
      <color rgb="FF000000"/>
      <name val="Arial"/>
      <family val="2"/>
    </font>
    <font>
      <sz val="10"/>
      <name val="Arial Narrow"/>
      <family val="2"/>
    </font>
    <font>
      <sz val="11"/>
      <color theme="0"/>
      <name val="Calibri"/>
      <family val="2"/>
      <scheme val="minor"/>
    </font>
    <font>
      <sz val="12"/>
      <name val="Arial Narrow"/>
      <family val="2"/>
    </font>
    <font>
      <sz val="14"/>
      <name val="??"/>
      <family val="3"/>
      <charset val="129"/>
    </font>
    <font>
      <sz val="14"/>
      <name val="?? ??"/>
      <family val="1"/>
      <charset val="128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  <charset val="129"/>
    </font>
    <font>
      <sz val="14"/>
      <name val="‚l‚r –¾’©"/>
      <family val="1"/>
      <charset val="128"/>
    </font>
    <font>
      <sz val="14"/>
      <name val="–¾’©"/>
      <charset val="128"/>
    </font>
    <font>
      <sz val="11"/>
      <color indexed="22"/>
      <name val="Calibri"/>
      <family val="2"/>
    </font>
    <font>
      <sz val="11"/>
      <color indexed="9"/>
      <name val="Calibri"/>
      <family val="2"/>
      <charset val="1"/>
    </font>
    <font>
      <sz val="12"/>
      <name val="¹UAAA¼"/>
      <family val="3"/>
      <charset val="129"/>
    </font>
    <font>
      <b/>
      <sz val="12"/>
      <name val="Times New Roman"/>
      <family val="1"/>
    </font>
    <font>
      <b/>
      <sz val="10"/>
      <name val="Times New Roman"/>
      <family val="1"/>
    </font>
    <font>
      <b/>
      <sz val="10"/>
      <name val="MS Sans Serif"/>
      <family val="2"/>
    </font>
    <font>
      <b/>
      <sz val="11"/>
      <color indexed="22"/>
      <name val="Calibri"/>
      <family val="2"/>
    </font>
    <font>
      <sz val="10"/>
      <color indexed="8"/>
      <name val="Arial"/>
      <family val="2"/>
      <charset val="134"/>
    </font>
    <font>
      <sz val="10"/>
      <color theme="1"/>
      <name val="Arial Narrow"/>
      <family val="2"/>
    </font>
    <font>
      <sz val="10"/>
      <name val="Tahoma"/>
      <family val="2"/>
    </font>
    <font>
      <sz val="9"/>
      <name val="Rockwell"/>
      <family val="1"/>
    </font>
    <font>
      <b/>
      <u/>
      <sz val="11"/>
      <name val="Times New Roman"/>
      <family val="1"/>
    </font>
    <font>
      <sz val="11"/>
      <name val="Aldine401 BT"/>
    </font>
    <font>
      <b/>
      <sz val="10"/>
      <name val="Century Gothic"/>
      <family val="2"/>
    </font>
    <font>
      <b/>
      <sz val="11"/>
      <color indexed="62"/>
      <name val="Calibri"/>
      <family val="2"/>
    </font>
    <font>
      <b/>
      <sz val="1"/>
      <color indexed="8"/>
      <name val="Courier New"/>
      <family val="3"/>
    </font>
    <font>
      <u/>
      <sz val="10"/>
      <color indexed="12"/>
      <name val="Arial"/>
      <family val="2"/>
    </font>
    <font>
      <u/>
      <sz val="10"/>
      <color theme="10"/>
      <name val="Arial"/>
      <family val="2"/>
    </font>
    <font>
      <u/>
      <sz val="9"/>
      <color theme="10"/>
      <name val="Arial"/>
      <family val="2"/>
    </font>
    <font>
      <sz val="10"/>
      <name val="Arial Unicode MS"/>
      <family val="2"/>
    </font>
    <font>
      <sz val="8"/>
      <name val="Arial"/>
      <family val="2"/>
      <charset val="134"/>
    </font>
    <font>
      <sz val="8"/>
      <color indexed="39"/>
      <name val="Arial"/>
      <family val="2"/>
    </font>
    <font>
      <b/>
      <sz val="9"/>
      <name val="Arial"/>
      <family val="2"/>
    </font>
    <font>
      <sz val="12"/>
      <name val="Arial MT"/>
    </font>
    <font>
      <sz val="11"/>
      <color indexed="8"/>
      <name val="Calibri"/>
      <family val="2"/>
      <charset val="134"/>
    </font>
    <font>
      <sz val="10"/>
      <name val="Arial"/>
      <family val="2"/>
      <charset val="134"/>
    </font>
    <font>
      <sz val="9"/>
      <name val="Tahoma"/>
      <family val="2"/>
    </font>
    <font>
      <sz val="12"/>
      <name val="Arial"/>
      <family val="2"/>
      <charset val="134"/>
    </font>
    <font>
      <b/>
      <sz val="14"/>
      <color indexed="8"/>
      <name val="Times New Roman"/>
      <family val="1"/>
    </font>
    <font>
      <sz val="8"/>
      <color indexed="10"/>
      <name val="Arial"/>
      <family val="2"/>
    </font>
    <font>
      <b/>
      <u/>
      <sz val="10"/>
      <color indexed="18"/>
      <name val="Century Gothic"/>
      <family val="2"/>
    </font>
    <font>
      <b/>
      <sz val="12"/>
      <color indexed="18"/>
      <name val="Times New Roman"/>
      <family val="1"/>
    </font>
    <font>
      <sz val="10"/>
      <name val="VNI-Times"/>
    </font>
    <font>
      <sz val="10"/>
      <name val="VNI-Univer"/>
    </font>
    <font>
      <b/>
      <i/>
      <sz val="12"/>
      <name val="Times New Roman"/>
      <family val="1"/>
    </font>
    <font>
      <sz val="10"/>
      <name val="VNI-Helve-Condense"/>
    </font>
    <font>
      <b/>
      <sz val="12"/>
      <name val="Comic Sans MS"/>
      <family val="4"/>
    </font>
    <font>
      <sz val="8"/>
      <color indexed="9"/>
      <name val="Arial"/>
      <family val="2"/>
    </font>
    <font>
      <sz val="14"/>
      <name val="뼻뮝"/>
      <family val="3"/>
      <charset val="129"/>
    </font>
    <font>
      <sz val="12"/>
      <name val="바탕체"/>
      <family val="3"/>
    </font>
    <font>
      <sz val="12"/>
      <name val="뼻뮝"/>
      <family val="1"/>
      <charset val="129"/>
    </font>
    <font>
      <sz val="12"/>
      <name val=".VnTime"/>
    </font>
    <font>
      <sz val="10"/>
      <name val="굴림체"/>
      <family val="3"/>
      <charset val="129"/>
    </font>
    <font>
      <sz val="12"/>
      <name val="新細明體"/>
      <charset val="136"/>
    </font>
    <font>
      <sz val="11"/>
      <name val="ＭＳ Ｐゴシック"/>
      <family val="3"/>
      <charset val="128"/>
    </font>
    <font>
      <b/>
      <i/>
      <sz val="20"/>
      <color theme="1"/>
      <name val="Calibri"/>
      <family val="2"/>
      <scheme val="minor"/>
    </font>
    <font>
      <i/>
      <sz val="12"/>
      <color theme="1"/>
      <name val="Rockwell"/>
      <family val="1"/>
    </font>
    <font>
      <i/>
      <sz val="11"/>
      <color theme="1"/>
      <name val="Rockwell"/>
      <family val="1"/>
    </font>
    <font>
      <b/>
      <sz val="11"/>
      <color theme="1"/>
      <name val="Calibri"/>
      <family val="2"/>
      <charset val="1"/>
      <scheme val="minor"/>
    </font>
    <font>
      <b/>
      <sz val="20"/>
      <name val="Calibri"/>
      <family val="2"/>
      <scheme val="minor"/>
    </font>
    <font>
      <b/>
      <sz val="20"/>
      <name val="Algerian"/>
      <family val="5"/>
    </font>
    <font>
      <sz val="20"/>
      <name val="Calibri"/>
      <family val="2"/>
      <scheme val="minor"/>
    </font>
    <font>
      <sz val="11"/>
      <name val="Swis721 LtCn BT"/>
      <family val="2"/>
    </font>
    <font>
      <sz val="11"/>
      <color theme="1"/>
      <name val="Swis721 LtCn BT"/>
      <family val="2"/>
    </font>
    <font>
      <b/>
      <u/>
      <sz val="16"/>
      <name val="Swis721 LtCn BT"/>
      <family val="2"/>
    </font>
    <font>
      <sz val="10"/>
      <name val="Swis721 LtCn BT"/>
      <family val="2"/>
    </font>
    <font>
      <b/>
      <sz val="11"/>
      <name val="Swis721 LtCn BT"/>
      <family val="2"/>
    </font>
    <font>
      <b/>
      <sz val="10"/>
      <name val="Swis721 LtCn BT"/>
      <family val="2"/>
    </font>
    <font>
      <sz val="9"/>
      <color theme="1"/>
      <name val="Swis721 LtCn BT"/>
      <family val="2"/>
    </font>
    <font>
      <sz val="11"/>
      <color rgb="FF000000"/>
      <name val="Swis721 LtCn BT"/>
      <family val="2"/>
    </font>
    <font>
      <sz val="10"/>
      <color rgb="FF000000"/>
      <name val="Swis721 LtCn BT"/>
      <family val="2"/>
    </font>
    <font>
      <b/>
      <sz val="10"/>
      <color rgb="FF000000"/>
      <name val="Swis721 LtCn BT"/>
      <family val="2"/>
    </font>
    <font>
      <b/>
      <i/>
      <sz val="10"/>
      <name val="Swis721 LtCn BT"/>
      <family val="2"/>
    </font>
    <font>
      <sz val="10"/>
      <color theme="1"/>
      <name val="Swis721 LtCn BT"/>
      <family val="2"/>
    </font>
    <font>
      <b/>
      <sz val="10"/>
      <color theme="1"/>
      <name val="Swis721 LtCn BT"/>
      <family val="2"/>
    </font>
    <font>
      <b/>
      <sz val="14"/>
      <color theme="1"/>
      <name val="Swis721 LtCn BT"/>
      <family val="2"/>
    </font>
    <font>
      <b/>
      <sz val="11"/>
      <color theme="1"/>
      <name val="Swis721 LtCn BT"/>
      <family val="2"/>
    </font>
    <font>
      <sz val="11"/>
      <color indexed="8"/>
      <name val="Swis721 LtCn BT"/>
      <family val="2"/>
    </font>
    <font>
      <b/>
      <sz val="11"/>
      <color rgb="FF000000"/>
      <name val="Calibri"/>
      <family val="2"/>
    </font>
    <font>
      <b/>
      <sz val="12"/>
      <color rgb="FF000000"/>
      <name val="Times New Roman"/>
      <family val="1"/>
    </font>
    <font>
      <b/>
      <sz val="11"/>
      <color rgb="FF000000"/>
      <name val="Times New Roman"/>
      <family val="1"/>
    </font>
    <font>
      <sz val="11"/>
      <color rgb="FF000000"/>
      <name val="Times New Roman"/>
      <family val="1"/>
    </font>
    <font>
      <b/>
      <sz val="16"/>
      <color rgb="FF000000"/>
      <name val="Times New Roman"/>
      <family val="1"/>
    </font>
    <font>
      <i/>
      <sz val="12"/>
      <color rgb="FF000000"/>
      <name val="Times New Roman"/>
      <family val="1"/>
    </font>
    <font>
      <sz val="10"/>
      <color rgb="FF000000"/>
      <name val="Times New Roman"/>
      <family val="1"/>
    </font>
    <font>
      <i/>
      <sz val="10"/>
      <color rgb="FF000000"/>
      <name val="Times New Roman"/>
      <family val="1"/>
    </font>
    <font>
      <b/>
      <i/>
      <sz val="12"/>
      <color rgb="FF000000"/>
      <name val="Times New Roman"/>
      <family val="1"/>
    </font>
    <font>
      <sz val="9"/>
      <name val="Arial Narrow"/>
      <family val="2"/>
    </font>
    <font>
      <b/>
      <sz val="9"/>
      <name val="Arial Narrow"/>
      <family val="2"/>
    </font>
    <font>
      <i/>
      <sz val="11"/>
      <color rgb="FF000000"/>
      <name val="Times New Roman"/>
      <family val="1"/>
    </font>
    <font>
      <u/>
      <sz val="11"/>
      <color rgb="FF000000"/>
      <name val="Times New Roman"/>
      <family val="1"/>
    </font>
    <font>
      <sz val="10"/>
      <name val="Swis721 LtCn BT"/>
      <family val="2"/>
    </font>
    <font>
      <sz val="11"/>
      <color theme="1"/>
      <name val="Arial"/>
      <family val="2"/>
    </font>
    <font>
      <sz val="12.1"/>
      <name val="Swis721 LtCn BT"/>
      <family val="2"/>
    </font>
    <font>
      <sz val="10"/>
      <name val="Calibri"/>
      <family val="2"/>
    </font>
    <font>
      <sz val="11"/>
      <color rgb="FF000000"/>
      <name val="Calibri"/>
      <family val="2"/>
    </font>
    <font>
      <b/>
      <sz val="10"/>
      <name val="Swis721 LtCn BT"/>
      <family val="2"/>
    </font>
    <font>
      <sz val="11"/>
      <color rgb="FF000000"/>
      <name val="Arial Narrow"/>
      <family val="2"/>
    </font>
    <font>
      <sz val="11"/>
      <name val="Swis721 LtCn BT"/>
      <family val="2"/>
    </font>
    <font>
      <b/>
      <sz val="11"/>
      <color rgb="FF000000"/>
      <name val="Swis721 LtCn BT"/>
      <family val="2"/>
    </font>
    <font>
      <b/>
      <sz val="16"/>
      <color rgb="FF000000"/>
      <name val="Arial Narrow"/>
      <family val="2"/>
    </font>
    <font>
      <b/>
      <sz val="12"/>
      <color rgb="FF000000"/>
      <name val="Arial Narrow"/>
      <family val="2"/>
    </font>
    <font>
      <b/>
      <sz val="11"/>
      <color rgb="FF000000"/>
      <name val="Arial Narrow"/>
      <family val="2"/>
    </font>
    <font>
      <b/>
      <i/>
      <sz val="11"/>
      <color rgb="FF000000"/>
      <name val="Arial Narrow"/>
      <family val="2"/>
    </font>
    <font>
      <sz val="11"/>
      <color theme="1"/>
      <name val="Arial Narrow"/>
      <family val="2"/>
    </font>
    <font>
      <i/>
      <sz val="11"/>
      <color rgb="FF000000"/>
      <name val="Arial Narrow"/>
      <family val="2"/>
    </font>
    <font>
      <i/>
      <sz val="11"/>
      <color theme="1"/>
      <name val="Arial Narrow"/>
      <family val="2"/>
    </font>
    <font>
      <i/>
      <u/>
      <sz val="11"/>
      <color rgb="FF000000"/>
      <name val="Times New Roman"/>
      <family val="1"/>
    </font>
    <font>
      <b/>
      <sz val="11"/>
      <color rgb="FF000000"/>
      <name val="Calibri"/>
      <family val="2"/>
      <charset val="204"/>
    </font>
    <font>
      <i/>
      <sz val="9"/>
      <name val="Swis721 LtCn BT"/>
      <family val="2"/>
    </font>
    <font>
      <i/>
      <sz val="9"/>
      <color theme="1"/>
      <name val="Swis721 LtCn BT"/>
      <family val="2"/>
    </font>
    <font>
      <sz val="10"/>
      <color rgb="FF000000"/>
      <name val="Arial Narrow"/>
      <family val="2"/>
    </font>
    <font>
      <b/>
      <sz val="14"/>
      <color rgb="FF000000"/>
      <name val="Arial Narrow"/>
      <family val="2"/>
    </font>
    <font>
      <b/>
      <sz val="12"/>
      <name val="Swis721 LtCn BT"/>
      <family val="2"/>
    </font>
    <font>
      <b/>
      <sz val="10"/>
      <name val="Arial Narrow"/>
      <family val="2"/>
    </font>
    <font>
      <b/>
      <i/>
      <sz val="10"/>
      <name val="Arial Narrow"/>
      <family val="2"/>
    </font>
    <font>
      <i/>
      <sz val="10"/>
      <name val="Arial Narrow"/>
      <family val="2"/>
    </font>
    <font>
      <b/>
      <sz val="10"/>
      <color theme="1"/>
      <name val="Arial Narrow"/>
      <family val="2"/>
    </font>
    <font>
      <b/>
      <sz val="10"/>
      <color rgb="FF000000"/>
      <name val="Arial Narrow"/>
      <family val="2"/>
    </font>
    <font>
      <b/>
      <i/>
      <sz val="10"/>
      <color theme="1"/>
      <name val="Arial Narrow"/>
      <family val="2"/>
    </font>
    <font>
      <b/>
      <u/>
      <sz val="18"/>
      <name val="Arial Narrow"/>
      <family val="2"/>
    </font>
    <font>
      <b/>
      <sz val="18"/>
      <color rgb="FF000000"/>
      <name val="Arial Narrow"/>
      <family val="2"/>
    </font>
    <font>
      <b/>
      <sz val="20"/>
      <color rgb="FF000000"/>
      <name val="Arial Narrow"/>
      <family val="2"/>
    </font>
    <font>
      <b/>
      <u/>
      <sz val="24"/>
      <name val="Arial Narrow"/>
      <family val="2"/>
    </font>
    <font>
      <b/>
      <sz val="10"/>
      <color rgb="FFFF0000"/>
      <name val="Swis721 LtCn BT"/>
      <family val="2"/>
    </font>
    <font>
      <b/>
      <sz val="10"/>
      <color rgb="FFFF0000"/>
      <name val="Arial Narrow"/>
      <family val="2"/>
    </font>
    <font>
      <b/>
      <sz val="12"/>
      <color rgb="FF000000"/>
      <name val="Calibri"/>
      <family val="2"/>
    </font>
  </fonts>
  <fills count="7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2"/>
        <bgColor indexed="64"/>
      </patternFill>
    </fill>
    <fill>
      <patternFill patternType="solid">
        <fgColor indexed="12"/>
        <bgColor indexed="3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lightUp">
        <fgColor indexed="9"/>
        <bgColor indexed="27"/>
      </patternFill>
    </fill>
    <fill>
      <patternFill patternType="lightUp">
        <fgColor indexed="9"/>
        <bgColor indexed="26"/>
      </patternFill>
    </fill>
    <fill>
      <patternFill patternType="solid">
        <fgColor indexed="22"/>
        <bgColor indexed="64"/>
      </patternFill>
    </fill>
    <fill>
      <patternFill patternType="gray125">
        <fgColor indexed="8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</patternFill>
    </fill>
    <fill>
      <patternFill patternType="solid">
        <fgColor indexed="13"/>
      </patternFill>
    </fill>
    <fill>
      <patternFill patternType="solid">
        <fgColor indexed="9"/>
        <bgColor indexed="9"/>
      </patternFill>
    </fill>
    <fill>
      <patternFill patternType="darkVertical"/>
    </fill>
    <fill>
      <patternFill patternType="solid">
        <fgColor indexed="12"/>
      </patternFill>
    </fill>
    <fill>
      <patternFill patternType="solid">
        <fgColor rgb="FFF2F2F2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lightGray">
        <fgColor indexed="13"/>
        <bgColor indexed="9"/>
      </patternFill>
    </fill>
    <fill>
      <patternFill patternType="solid">
        <fgColor indexed="9"/>
        <bgColor indexed="64"/>
      </patternFill>
    </fill>
    <fill>
      <patternFill patternType="darkHorizontal">
        <fgColor indexed="22"/>
      </patternFill>
    </fill>
    <fill>
      <patternFill patternType="solid">
        <fgColor indexed="42"/>
        <bgColor indexed="64"/>
      </patternFill>
    </fill>
    <fill>
      <patternFill patternType="mediumGray">
        <fgColor indexed="22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3" tint="0.79998168889431442"/>
        <bgColor indexed="64"/>
      </patternFill>
    </fill>
  </fills>
  <borders count="300">
    <border>
      <left/>
      <right/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 style="thin">
        <color indexed="8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/>
      <right/>
      <top style="double">
        <color indexed="0"/>
      </top>
      <bottom/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double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hair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49"/>
      </bottom>
      <diagonal/>
    </border>
    <border>
      <left style="thin">
        <color indexed="8"/>
      </left>
      <right/>
      <top style="thin">
        <color indexed="8"/>
      </top>
      <bottom style="double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double">
        <color auto="1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double">
        <color indexed="64"/>
      </right>
      <top style="hair">
        <color indexed="64"/>
      </top>
      <bottom/>
      <diagonal/>
    </border>
    <border>
      <left style="double">
        <color auto="1"/>
      </left>
      <right style="thin">
        <color auto="1"/>
      </right>
      <top style="hair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double">
        <color auto="1"/>
      </bottom>
      <diagonal/>
    </border>
    <border>
      <left style="thin">
        <color auto="1"/>
      </left>
      <right/>
      <top style="hair">
        <color auto="1"/>
      </top>
      <bottom style="double">
        <color auto="1"/>
      </bottom>
      <diagonal/>
    </border>
    <border>
      <left/>
      <right style="thin">
        <color auto="1"/>
      </right>
      <top style="hair">
        <color auto="1"/>
      </top>
      <bottom style="double">
        <color auto="1"/>
      </bottom>
      <diagonal/>
    </border>
    <border>
      <left/>
      <right/>
      <top style="hair">
        <color indexed="64"/>
      </top>
      <bottom style="double">
        <color auto="1"/>
      </bottom>
      <diagonal/>
    </border>
    <border>
      <left/>
      <right style="double">
        <color auto="1"/>
      </right>
      <top style="hair">
        <color indexed="64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double">
        <color auto="1"/>
      </right>
      <top style="double">
        <color auto="1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/>
      <diagonal/>
    </border>
    <border>
      <left style="double">
        <color auto="1"/>
      </left>
      <right style="thin">
        <color auto="1"/>
      </right>
      <top/>
      <bottom/>
      <diagonal/>
    </border>
    <border>
      <left style="thin">
        <color auto="1"/>
      </left>
      <right style="double">
        <color auto="1"/>
      </right>
      <top/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double">
        <color auto="1"/>
      </right>
      <top/>
      <bottom style="double">
        <color auto="1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/>
      <top style="double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/>
      <diagonal/>
    </border>
    <border>
      <left style="thin">
        <color auto="1"/>
      </left>
      <right style="double">
        <color auto="1"/>
      </right>
      <top style="hair">
        <color auto="1"/>
      </top>
      <bottom style="double">
        <color auto="1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auto="1"/>
      </left>
      <right/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hair">
        <color indexed="64"/>
      </bottom>
      <diagonal/>
    </border>
    <border>
      <left style="thin">
        <color indexed="64"/>
      </left>
      <right style="double">
        <color indexed="64"/>
      </right>
      <top/>
      <bottom style="hair">
        <color indexed="64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hair">
        <color auto="1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indexed="64"/>
      </right>
      <top style="medium">
        <color auto="1"/>
      </top>
      <bottom/>
      <diagonal/>
    </border>
    <border>
      <left style="thin">
        <color auto="1"/>
      </left>
      <right style="thin">
        <color indexed="64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/>
      <top style="double">
        <color auto="1"/>
      </top>
      <bottom style="hair">
        <color indexed="64"/>
      </bottom>
      <diagonal/>
    </border>
    <border>
      <left/>
      <right/>
      <top style="double">
        <color auto="1"/>
      </top>
      <bottom style="hair">
        <color indexed="64"/>
      </bottom>
      <diagonal/>
    </border>
    <border>
      <left/>
      <right style="thin">
        <color auto="1"/>
      </right>
      <top style="double">
        <color auto="1"/>
      </top>
      <bottom style="hair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hair">
        <color indexed="64"/>
      </bottom>
      <diagonal/>
    </border>
    <border>
      <left/>
      <right style="thin">
        <color indexed="64"/>
      </right>
      <top style="thin">
        <color auto="1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/>
      <top style="double">
        <color auto="1"/>
      </top>
      <bottom/>
      <diagonal/>
    </border>
    <border>
      <left/>
      <right/>
      <top style="double">
        <color auto="1"/>
      </top>
      <bottom style="thin">
        <color auto="1"/>
      </bottom>
      <diagonal/>
    </border>
    <border>
      <left style="double">
        <color indexed="64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 style="double">
        <color indexed="64"/>
      </right>
      <top style="medium">
        <color auto="1"/>
      </top>
      <bottom style="double">
        <color auto="1"/>
      </bottom>
      <diagonal/>
    </border>
    <border>
      <left style="double">
        <color indexed="64"/>
      </left>
      <right/>
      <top/>
      <bottom style="hair">
        <color auto="1"/>
      </bottom>
      <diagonal/>
    </border>
    <border>
      <left/>
      <right style="double">
        <color indexed="64"/>
      </right>
      <top/>
      <bottom style="hair">
        <color auto="1"/>
      </bottom>
      <diagonal/>
    </border>
    <border>
      <left style="double">
        <color indexed="64"/>
      </left>
      <right/>
      <top style="thin">
        <color auto="1"/>
      </top>
      <bottom style="thin">
        <color auto="1"/>
      </bottom>
      <diagonal/>
    </border>
    <border>
      <left/>
      <right style="double">
        <color indexed="64"/>
      </right>
      <top style="thin">
        <color auto="1"/>
      </top>
      <bottom style="thin">
        <color auto="1"/>
      </bottom>
      <diagonal/>
    </border>
    <border>
      <left style="double">
        <color indexed="64"/>
      </left>
      <right/>
      <top style="thin">
        <color auto="1"/>
      </top>
      <bottom style="hair">
        <color indexed="64"/>
      </bottom>
      <diagonal/>
    </border>
    <border>
      <left style="double">
        <color indexed="64"/>
      </left>
      <right/>
      <top style="hair">
        <color auto="1"/>
      </top>
      <bottom style="thin">
        <color auto="1"/>
      </bottom>
      <diagonal/>
    </border>
    <border>
      <left style="double">
        <color indexed="64"/>
      </left>
      <right/>
      <top style="thin">
        <color auto="1"/>
      </top>
      <bottom/>
      <diagonal/>
    </border>
    <border>
      <left/>
      <right style="double">
        <color indexed="64"/>
      </right>
      <top style="thin">
        <color auto="1"/>
      </top>
      <bottom/>
      <diagonal/>
    </border>
    <border>
      <left style="double">
        <color auto="1"/>
      </left>
      <right/>
      <top style="thin">
        <color auto="1"/>
      </top>
      <bottom style="double">
        <color auto="1"/>
      </bottom>
      <diagonal/>
    </border>
    <border>
      <left/>
      <right style="double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auto="1"/>
      </right>
      <top style="double">
        <color auto="1"/>
      </top>
      <bottom style="hair">
        <color auto="1"/>
      </bottom>
      <diagonal/>
    </border>
    <border>
      <left style="medium">
        <color auto="1"/>
      </left>
      <right style="thin">
        <color indexed="64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rgb="FF000000"/>
      </left>
      <right style="thin">
        <color rgb="FF000000"/>
      </right>
      <top style="thin">
        <color auto="1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auto="1"/>
      </top>
      <bottom/>
      <diagonal/>
    </border>
    <border>
      <left style="double">
        <color auto="1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auto="1"/>
      </left>
      <right/>
      <top style="thin">
        <color rgb="FF000000"/>
      </top>
      <bottom style="thin">
        <color rgb="FF000000"/>
      </bottom>
      <diagonal/>
    </border>
    <border>
      <left style="double">
        <color auto="1"/>
      </left>
      <right/>
      <top style="thin">
        <color rgb="FF000000"/>
      </top>
      <bottom/>
      <diagonal/>
    </border>
    <border>
      <left style="double">
        <color auto="1"/>
      </left>
      <right style="thin">
        <color rgb="FF000000"/>
      </right>
      <top style="thin">
        <color rgb="FF000000"/>
      </top>
      <bottom/>
      <diagonal/>
    </border>
    <border>
      <left style="double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auto="1"/>
      </bottom>
      <diagonal/>
    </border>
    <border>
      <left/>
      <right style="thin">
        <color indexed="64"/>
      </right>
      <top style="thin">
        <color rgb="FF000000"/>
      </top>
      <bottom style="thin">
        <color auto="1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 style="thin">
        <color auto="1"/>
      </bottom>
      <diagonal/>
    </border>
    <border>
      <left style="thin">
        <color indexed="64"/>
      </left>
      <right style="thin">
        <color rgb="FF000000"/>
      </right>
      <top/>
      <bottom style="thin">
        <color auto="1"/>
      </bottom>
      <diagonal/>
    </border>
    <border>
      <left style="thin">
        <color rgb="FF000000"/>
      </left>
      <right style="double">
        <color auto="1"/>
      </right>
      <top/>
      <bottom style="thin">
        <color rgb="FF000000"/>
      </bottom>
      <diagonal/>
    </border>
    <border>
      <left style="thin">
        <color rgb="FF000000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rgb="FF000000"/>
      </left>
      <right style="thin">
        <color auto="1"/>
      </right>
      <top style="thin">
        <color rgb="FF000000"/>
      </top>
      <bottom/>
      <diagonal/>
    </border>
    <border>
      <left style="thin">
        <color indexed="64"/>
      </left>
      <right/>
      <top style="thin">
        <color auto="1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auto="1"/>
      </bottom>
      <diagonal/>
    </border>
    <border>
      <left/>
      <right/>
      <top style="thin">
        <color rgb="FF000000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thin">
        <color auto="1"/>
      </left>
      <right/>
      <top style="medium">
        <color auto="1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 style="medium">
        <color indexed="64"/>
      </bottom>
      <diagonal/>
    </border>
    <border>
      <left/>
      <right style="double">
        <color auto="1"/>
      </right>
      <top/>
      <bottom style="medium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indexed="64"/>
      </left>
      <right style="double">
        <color auto="1"/>
      </right>
      <top/>
      <bottom style="thin">
        <color indexed="64"/>
      </bottom>
      <diagonal/>
    </border>
    <border>
      <left style="thin">
        <color indexed="64"/>
      </left>
      <right style="double">
        <color auto="1"/>
      </right>
      <top style="hair">
        <color indexed="64"/>
      </top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double">
        <color auto="1"/>
      </right>
      <top style="thin">
        <color auto="1"/>
      </top>
      <bottom/>
      <diagonal/>
    </border>
    <border>
      <left style="double">
        <color auto="1"/>
      </left>
      <right/>
      <top/>
      <bottom style="thin">
        <color auto="1"/>
      </bottom>
      <diagonal/>
    </border>
    <border>
      <left style="thin">
        <color indexed="64"/>
      </left>
      <right style="double">
        <color auto="1"/>
      </right>
      <top style="thin">
        <color auto="1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hair">
        <color indexed="64"/>
      </bottom>
      <diagonal/>
    </border>
  </borders>
  <cellStyleXfs count="42651">
    <xf numFmtId="0" fontId="0" fillId="0" borderId="0"/>
    <xf numFmtId="0" fontId="26" fillId="0" borderId="0"/>
    <xf numFmtId="0" fontId="27" fillId="0" borderId="0"/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186" fontId="28" fillId="0" borderId="0">
      <protection locked="0"/>
    </xf>
    <xf numFmtId="43" fontId="22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186" fontId="28" fillId="0" borderId="0">
      <protection locked="0"/>
    </xf>
    <xf numFmtId="186" fontId="29" fillId="0" borderId="0">
      <protection locked="0"/>
    </xf>
    <xf numFmtId="43" fontId="22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2" fillId="0" borderId="0"/>
    <xf numFmtId="9" fontId="30" fillId="0" borderId="0" applyFont="0" applyFill="0" applyBorder="0" applyAlignment="0" applyProtection="0"/>
    <xf numFmtId="0" fontId="31" fillId="2" borderId="0" applyNumberFormat="0" applyBorder="0" applyAlignment="0" applyProtection="0"/>
    <xf numFmtId="0" fontId="31" fillId="3" borderId="0" applyNumberFormat="0" applyBorder="0" applyAlignment="0" applyProtection="0"/>
    <xf numFmtId="0" fontId="31" fillId="4" borderId="0" applyNumberFormat="0" applyBorder="0" applyAlignment="0" applyProtection="0"/>
    <xf numFmtId="0" fontId="31" fillId="5" borderId="0" applyNumberFormat="0" applyBorder="0" applyAlignment="0" applyProtection="0"/>
    <xf numFmtId="0" fontId="31" fillId="6" borderId="0" applyNumberFormat="0" applyBorder="0" applyAlignment="0" applyProtection="0"/>
    <xf numFmtId="0" fontId="31" fillId="7" borderId="0" applyNumberFormat="0" applyBorder="0" applyAlignment="0" applyProtection="0"/>
    <xf numFmtId="0" fontId="32" fillId="8" borderId="0" applyNumberFormat="0" applyBorder="0" applyAlignment="0" applyProtection="0"/>
    <xf numFmtId="0" fontId="32" fillId="9" borderId="0" applyNumberFormat="0" applyBorder="0" applyAlignment="0" applyProtection="0"/>
    <xf numFmtId="0" fontId="32" fillId="10" borderId="0" applyNumberFormat="0" applyBorder="0" applyAlignment="0" applyProtection="0"/>
    <xf numFmtId="0" fontId="32" fillId="7" borderId="0" applyNumberFormat="0" applyBorder="0" applyAlignment="0" applyProtection="0"/>
    <xf numFmtId="0" fontId="32" fillId="6" borderId="0" applyNumberFormat="0" applyBorder="0" applyAlignment="0" applyProtection="0"/>
    <xf numFmtId="0" fontId="32" fillId="10" borderId="0" applyNumberFormat="0" applyBorder="0" applyAlignment="0" applyProtection="0"/>
    <xf numFmtId="0" fontId="31" fillId="8" borderId="0" applyNumberFormat="0" applyBorder="0" applyAlignment="0" applyProtection="0"/>
    <xf numFmtId="0" fontId="31" fillId="9" borderId="0" applyNumberFormat="0" applyBorder="0" applyAlignment="0" applyProtection="0"/>
    <xf numFmtId="0" fontId="31" fillId="11" borderId="0" applyNumberFormat="0" applyBorder="0" applyAlignment="0" applyProtection="0"/>
    <xf numFmtId="0" fontId="31" fillId="5" borderId="0" applyNumberFormat="0" applyBorder="0" applyAlignment="0" applyProtection="0"/>
    <xf numFmtId="0" fontId="31" fillId="8" borderId="0" applyNumberFormat="0" applyBorder="0" applyAlignment="0" applyProtection="0"/>
    <xf numFmtId="0" fontId="31" fillId="12" borderId="0" applyNumberFormat="0" applyBorder="0" applyAlignment="0" applyProtection="0"/>
    <xf numFmtId="0" fontId="32" fillId="6" borderId="0" applyNumberFormat="0" applyBorder="0" applyAlignment="0" applyProtection="0"/>
    <xf numFmtId="0" fontId="32" fillId="9" borderId="0" applyNumberFormat="0" applyBorder="0" applyAlignment="0" applyProtection="0"/>
    <xf numFmtId="0" fontId="32" fillId="13" borderId="0" applyNumberFormat="0" applyBorder="0" applyAlignment="0" applyProtection="0"/>
    <xf numFmtId="0" fontId="32" fillId="3" borderId="0" applyNumberFormat="0" applyBorder="0" applyAlignment="0" applyProtection="0"/>
    <xf numFmtId="0" fontId="32" fillId="6" borderId="0" applyNumberFormat="0" applyBorder="0" applyAlignment="0" applyProtection="0"/>
    <xf numFmtId="0" fontId="32" fillId="10" borderId="0" applyNumberFormat="0" applyBorder="0" applyAlignment="0" applyProtection="0"/>
    <xf numFmtId="0" fontId="33" fillId="14" borderId="0" applyNumberFormat="0" applyBorder="0" applyAlignment="0" applyProtection="0"/>
    <xf numFmtId="0" fontId="33" fillId="9" borderId="0" applyNumberFormat="0" applyBorder="0" applyAlignment="0" applyProtection="0"/>
    <xf numFmtId="0" fontId="33" fillId="11" borderId="0" applyNumberFormat="0" applyBorder="0" applyAlignment="0" applyProtection="0"/>
    <xf numFmtId="0" fontId="33" fillId="15" borderId="0" applyNumberFormat="0" applyBorder="0" applyAlignment="0" applyProtection="0"/>
    <xf numFmtId="0" fontId="33" fillId="16" borderId="0" applyNumberFormat="0" applyBorder="0" applyAlignment="0" applyProtection="0"/>
    <xf numFmtId="0" fontId="33" fillId="17" borderId="0" applyNumberFormat="0" applyBorder="0" applyAlignment="0" applyProtection="0"/>
    <xf numFmtId="0" fontId="34" fillId="6" borderId="0" applyNumberFormat="0" applyBorder="0" applyAlignment="0" applyProtection="0"/>
    <xf numFmtId="0" fontId="34" fillId="18" borderId="0" applyNumberFormat="0" applyBorder="0" applyAlignment="0" applyProtection="0"/>
    <xf numFmtId="0" fontId="34" fillId="12" borderId="0" applyNumberFormat="0" applyBorder="0" applyAlignment="0" applyProtection="0"/>
    <xf numFmtId="0" fontId="34" fillId="3" borderId="0" applyNumberFormat="0" applyBorder="0" applyAlignment="0" applyProtection="0"/>
    <xf numFmtId="0" fontId="34" fillId="6" borderId="0" applyNumberFormat="0" applyBorder="0" applyAlignment="0" applyProtection="0"/>
    <xf numFmtId="0" fontId="34" fillId="9" borderId="0" applyNumberFormat="0" applyBorder="0" applyAlignment="0" applyProtection="0"/>
    <xf numFmtId="0" fontId="35" fillId="19" borderId="0" applyNumberFormat="0" applyBorder="0" applyAlignment="0">
      <alignment horizontal="center"/>
    </xf>
    <xf numFmtId="0" fontId="35" fillId="19" borderId="0" applyNumberFormat="0" applyBorder="0" applyAlignment="0">
      <alignment horizontal="center"/>
    </xf>
    <xf numFmtId="0" fontId="35" fillId="19" borderId="0" applyNumberFormat="0" applyBorder="0" applyAlignment="0">
      <alignment horizontal="center"/>
    </xf>
    <xf numFmtId="0" fontId="35" fillId="19" borderId="0" applyNumberFormat="0" applyBorder="0" applyAlignment="0">
      <alignment horizontal="center"/>
    </xf>
    <xf numFmtId="0" fontId="35" fillId="19" borderId="0" applyNumberFormat="0" applyBorder="0" applyAlignment="0">
      <alignment horizontal="center"/>
    </xf>
    <xf numFmtId="0" fontId="35" fillId="19" borderId="0" applyNumberFormat="0" applyBorder="0" applyAlignment="0">
      <alignment horizontal="center"/>
    </xf>
    <xf numFmtId="0" fontId="35" fillId="19" borderId="0" applyNumberFormat="0" applyBorder="0" applyAlignment="0">
      <alignment horizontal="center"/>
    </xf>
    <xf numFmtId="0" fontId="35" fillId="19" borderId="0" applyNumberFormat="0" applyBorder="0" applyAlignment="0">
      <alignment horizontal="center"/>
    </xf>
    <xf numFmtId="187" fontId="35" fillId="20" borderId="0" applyAlignment="0"/>
    <xf numFmtId="187" fontId="35" fillId="20" borderId="0" applyAlignment="0"/>
    <xf numFmtId="187" fontId="35" fillId="20" borderId="0" applyAlignment="0"/>
    <xf numFmtId="0" fontId="22" fillId="0" borderId="0"/>
    <xf numFmtId="168" fontId="22" fillId="0" borderId="0" applyFont="0" applyBorder="0" applyAlignment="0"/>
    <xf numFmtId="170" fontId="22" fillId="0" borderId="0" applyFont="0" applyBorder="0" applyAlignment="0"/>
    <xf numFmtId="0" fontId="33" fillId="21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15" borderId="0" applyNumberFormat="0" applyBorder="0" applyAlignment="0" applyProtection="0"/>
    <xf numFmtId="0" fontId="33" fillId="16" borderId="0" applyNumberFormat="0" applyBorder="0" applyAlignment="0" applyProtection="0"/>
    <xf numFmtId="0" fontId="33" fillId="18" borderId="0" applyNumberFormat="0" applyBorder="0" applyAlignment="0" applyProtection="0"/>
    <xf numFmtId="188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34" fillId="24" borderId="0" applyNumberFormat="0" applyBorder="0" applyAlignment="0" applyProtection="0"/>
    <xf numFmtId="0" fontId="34" fillId="18" borderId="0" applyNumberFormat="0" applyBorder="0" applyAlignment="0" applyProtection="0"/>
    <xf numFmtId="0" fontId="34" fillId="12" borderId="0" applyNumberFormat="0" applyBorder="0" applyAlignment="0" applyProtection="0"/>
    <xf numFmtId="0" fontId="34" fillId="25" borderId="0" applyNumberFormat="0" applyBorder="0" applyAlignment="0" applyProtection="0"/>
    <xf numFmtId="0" fontId="34" fillId="16" borderId="0" applyNumberFormat="0" applyBorder="0" applyAlignment="0" applyProtection="0"/>
    <xf numFmtId="0" fontId="34" fillId="22" borderId="0" applyNumberFormat="0" applyBorder="0" applyAlignment="0" applyProtection="0"/>
    <xf numFmtId="0" fontId="37" fillId="0" borderId="0">
      <alignment horizontal="center" wrapText="1"/>
      <protection locked="0"/>
    </xf>
    <xf numFmtId="0" fontId="22" fillId="0" borderId="0" applyFill="0" applyBorder="0">
      <alignment vertical="center"/>
    </xf>
    <xf numFmtId="0" fontId="22" fillId="0" borderId="0" applyFill="0">
      <alignment vertical="center"/>
    </xf>
    <xf numFmtId="0" fontId="22" fillId="0" borderId="0" applyFill="0" applyBorder="0">
      <alignment vertical="center"/>
    </xf>
    <xf numFmtId="0" fontId="22" fillId="0" borderId="0" applyFill="0" applyBorder="0">
      <alignment vertical="center"/>
    </xf>
    <xf numFmtId="0" fontId="22" fillId="0" borderId="0" applyFill="0" applyBorder="0">
      <alignment vertical="center"/>
    </xf>
    <xf numFmtId="0" fontId="22" fillId="0" borderId="0" applyFill="0" applyBorder="0">
      <alignment vertical="center"/>
    </xf>
    <xf numFmtId="0" fontId="22" fillId="0" borderId="0" applyFill="0" applyBorder="0">
      <alignment vertical="center"/>
    </xf>
    <xf numFmtId="0" fontId="22" fillId="0" borderId="0" applyFill="0" applyBorder="0">
      <alignment vertical="center"/>
    </xf>
    <xf numFmtId="190" fontId="36" fillId="0" borderId="0" applyFont="0" applyFill="0" applyBorder="0" applyAlignment="0" applyProtection="0"/>
    <xf numFmtId="191" fontId="36" fillId="0" borderId="0" applyFont="0" applyFill="0" applyBorder="0" applyAlignment="0" applyProtection="0"/>
    <xf numFmtId="0" fontId="38" fillId="3" borderId="0" applyNumberFormat="0" applyBorder="0" applyAlignment="0" applyProtection="0"/>
    <xf numFmtId="0" fontId="39" fillId="6" borderId="0" applyNumberFormat="0" applyBorder="0" applyAlignment="0" applyProtection="0"/>
    <xf numFmtId="0" fontId="40" fillId="0" borderId="0" applyNumberFormat="0" applyFill="0" applyBorder="0" applyAlignment="0" applyProtection="0"/>
    <xf numFmtId="0" fontId="41" fillId="0" borderId="1" applyNumberFormat="0" applyFill="0" applyAlignment="0" applyProtection="0">
      <alignment horizontal="center"/>
    </xf>
    <xf numFmtId="0" fontId="42" fillId="5" borderId="0" applyNumberFormat="0" applyBorder="0" applyAlignment="0" applyProtection="0"/>
    <xf numFmtId="0" fontId="30" fillId="0" borderId="0"/>
    <xf numFmtId="192" fontId="22" fillId="0" borderId="0" applyFill="0" applyBorder="0" applyAlignment="0"/>
    <xf numFmtId="193" fontId="24" fillId="0" borderId="0" applyFill="0" applyBorder="0" applyAlignment="0"/>
    <xf numFmtId="0" fontId="43" fillId="26" borderId="2" applyNumberFormat="0" applyAlignment="0" applyProtection="0"/>
    <xf numFmtId="0" fontId="22" fillId="10" borderId="3" applyNumberFormat="0" applyFont="0" applyAlignment="0" applyProtection="0"/>
    <xf numFmtId="0" fontId="22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44" fillId="27" borderId="4" applyNumberFormat="0" applyAlignment="0" applyProtection="0"/>
    <xf numFmtId="0" fontId="45" fillId="27" borderId="4" applyNumberFormat="0" applyAlignment="0" applyProtection="0"/>
    <xf numFmtId="170" fontId="105" fillId="0" borderId="0" applyFont="0" applyFill="0" applyBorder="0" applyAlignment="0" applyProtection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168" fontId="105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107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106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94" fontId="21" fillId="0" borderId="0" applyFont="0" applyFill="0" applyBorder="0" applyAlignment="0" applyProtection="0"/>
    <xf numFmtId="194" fontId="21" fillId="0" borderId="0" applyFont="0" applyFill="0" applyBorder="0" applyAlignment="0" applyProtection="0"/>
    <xf numFmtId="194" fontId="21" fillId="0" borderId="0" applyFont="0" applyFill="0" applyBorder="0" applyAlignment="0" applyProtection="0"/>
    <xf numFmtId="194" fontId="22" fillId="0" borderId="0" applyFont="0" applyFill="0" applyBorder="0" applyAlignment="0" applyProtection="0"/>
    <xf numFmtId="195" fontId="22" fillId="0" borderId="0" applyFill="0" applyBorder="0" applyAlignment="0" applyProtection="0"/>
    <xf numFmtId="0" fontId="22" fillId="0" borderId="0" applyFill="0" applyBorder="0" applyAlignment="0" applyProtection="0"/>
    <xf numFmtId="168" fontId="31" fillId="0" borderId="0" applyFont="0" applyFill="0" applyBorder="0" applyAlignment="0" applyProtection="0"/>
    <xf numFmtId="194" fontId="21" fillId="0" borderId="0" applyFont="0" applyFill="0" applyBorder="0" applyAlignment="0" applyProtection="0"/>
    <xf numFmtId="194" fontId="21" fillId="0" borderId="0" applyFont="0" applyFill="0" applyBorder="0" applyAlignment="0" applyProtection="0"/>
    <xf numFmtId="194" fontId="21" fillId="0" borderId="0" applyFont="0" applyFill="0" applyBorder="0" applyAlignment="0" applyProtection="0"/>
    <xf numFmtId="196" fontId="22" fillId="0" borderId="0" applyFill="0" applyBorder="0" applyAlignment="0" applyProtection="0"/>
    <xf numFmtId="197" fontId="22" fillId="0" borderId="0" applyFill="0" applyBorder="0" applyAlignment="0" applyProtection="0"/>
    <xf numFmtId="168" fontId="31" fillId="0" borderId="0" applyFont="0" applyFill="0" applyBorder="0" applyAlignment="0" applyProtection="0"/>
    <xf numFmtId="197" fontId="22" fillId="0" borderId="0" applyFill="0" applyBorder="0" applyAlignment="0" applyProtection="0"/>
    <xf numFmtId="197" fontId="22" fillId="0" borderId="0" applyFill="0" applyBorder="0" applyAlignment="0" applyProtection="0"/>
    <xf numFmtId="168" fontId="31" fillId="0" borderId="0" applyFont="0" applyFill="0" applyBorder="0" applyAlignment="0" applyProtection="0"/>
    <xf numFmtId="197" fontId="22" fillId="0" borderId="0" applyFill="0" applyBorder="0" applyAlignment="0" applyProtection="0"/>
    <xf numFmtId="194" fontId="22" fillId="0" borderId="0" applyFont="0" applyFill="0" applyBorder="0" applyAlignment="0" applyProtection="0"/>
    <xf numFmtId="168" fontId="103" fillId="0" borderId="0" applyFont="0" applyFill="0" applyBorder="0" applyAlignment="0" applyProtection="0"/>
    <xf numFmtId="168" fontId="108" fillId="0" borderId="0" applyFont="0" applyFill="0" applyBorder="0" applyAlignment="0" applyProtection="0"/>
    <xf numFmtId="168" fontId="108" fillId="0" borderId="0" applyFont="0" applyFill="0" applyBorder="0" applyAlignment="0" applyProtection="0"/>
    <xf numFmtId="168" fontId="109" fillId="0" borderId="0" applyFont="0" applyFill="0" applyBorder="0" applyAlignment="0" applyProtection="0"/>
    <xf numFmtId="168" fontId="109" fillId="0" borderId="0" applyFont="0" applyFill="0" applyBorder="0" applyAlignment="0" applyProtection="0"/>
    <xf numFmtId="168" fontId="105" fillId="0" borderId="0" applyFont="0" applyFill="0" applyBorder="0" applyAlignment="0" applyProtection="0"/>
    <xf numFmtId="168" fontId="110" fillId="0" borderId="0" applyFont="0" applyFill="0" applyBorder="0" applyAlignment="0" applyProtection="0"/>
    <xf numFmtId="168" fontId="108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1" fillId="0" borderId="0" applyFont="0" applyFill="0" applyBorder="0" applyAlignment="0" applyProtection="0"/>
    <xf numFmtId="198" fontId="22" fillId="0" borderId="0" applyFont="0" applyFill="0" applyBorder="0" applyAlignment="0" applyProtection="0"/>
    <xf numFmtId="198" fontId="22" fillId="0" borderId="0" applyFont="0" applyFill="0" applyBorder="0" applyAlignment="0" applyProtection="0"/>
    <xf numFmtId="198" fontId="21" fillId="0" borderId="0" applyFont="0" applyFill="0" applyBorder="0" applyAlignment="0" applyProtection="0"/>
    <xf numFmtId="198" fontId="21" fillId="0" borderId="0" applyFont="0" applyFill="0" applyBorder="0" applyAlignment="0" applyProtection="0"/>
    <xf numFmtId="198" fontId="21" fillId="0" borderId="0" applyFont="0" applyFill="0" applyBorder="0" applyAlignment="0" applyProtection="0"/>
    <xf numFmtId="198" fontId="21" fillId="0" borderId="0" applyFont="0" applyFill="0" applyBorder="0" applyAlignment="0" applyProtection="0"/>
    <xf numFmtId="198" fontId="21" fillId="0" borderId="0" applyFont="0" applyFill="0" applyBorder="0" applyAlignment="0" applyProtection="0"/>
    <xf numFmtId="198" fontId="21" fillId="0" borderId="0" applyFont="0" applyFill="0" applyBorder="0" applyAlignment="0" applyProtection="0"/>
    <xf numFmtId="198" fontId="22" fillId="0" borderId="0" applyFont="0" applyFill="0" applyBorder="0" applyAlignment="0" applyProtection="0"/>
    <xf numFmtId="198" fontId="22" fillId="0" borderId="0" applyFont="0" applyFill="0" applyBorder="0" applyAlignment="0" applyProtection="0"/>
    <xf numFmtId="198" fontId="21" fillId="0" borderId="0" applyFont="0" applyFill="0" applyBorder="0" applyAlignment="0" applyProtection="0"/>
    <xf numFmtId="198" fontId="21" fillId="0" borderId="0" applyFont="0" applyFill="0" applyBorder="0" applyAlignment="0" applyProtection="0"/>
    <xf numFmtId="198" fontId="21" fillId="0" borderId="0" applyFont="0" applyFill="0" applyBorder="0" applyAlignment="0" applyProtection="0"/>
    <xf numFmtId="165" fontId="22" fillId="0" borderId="0" applyFill="0" applyBorder="0" applyAlignment="0" applyProtection="0"/>
    <xf numFmtId="165" fontId="22" fillId="0" borderId="0" applyFill="0" applyBorder="0" applyAlignment="0" applyProtection="0"/>
    <xf numFmtId="165" fontId="22" fillId="0" borderId="0" applyFill="0" applyBorder="0" applyAlignment="0" applyProtection="0"/>
    <xf numFmtId="165" fontId="22" fillId="0" borderId="0" applyFill="0" applyBorder="0" applyAlignment="0" applyProtection="0"/>
    <xf numFmtId="41" fontId="21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22" fillId="0" borderId="0" applyFont="0" applyFill="0" applyBorder="0" applyAlignment="0" applyProtection="0"/>
    <xf numFmtId="198" fontId="22" fillId="0" borderId="0" applyFont="0" applyFill="0" applyBorder="0" applyAlignment="0" applyProtection="0"/>
    <xf numFmtId="198" fontId="21" fillId="0" borderId="0" applyFont="0" applyFill="0" applyBorder="0" applyAlignment="0" applyProtection="0"/>
    <xf numFmtId="198" fontId="21" fillId="0" borderId="0" applyFont="0" applyFill="0" applyBorder="0" applyAlignment="0" applyProtection="0"/>
    <xf numFmtId="198" fontId="21" fillId="0" borderId="0" applyFont="0" applyFill="0" applyBorder="0" applyAlignment="0" applyProtection="0"/>
    <xf numFmtId="198" fontId="22" fillId="0" borderId="0" applyFont="0" applyFill="0" applyBorder="0" applyAlignment="0" applyProtection="0"/>
    <xf numFmtId="198" fontId="21" fillId="0" borderId="0" applyFont="0" applyFill="0" applyBorder="0" applyAlignment="0" applyProtection="0"/>
    <xf numFmtId="198" fontId="21" fillId="0" borderId="0" applyFont="0" applyFill="0" applyBorder="0" applyAlignment="0" applyProtection="0"/>
    <xf numFmtId="198" fontId="21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94" fontId="22" fillId="0" borderId="0" applyFont="0" applyFill="0" applyBorder="0" applyAlignment="0" applyProtection="0"/>
    <xf numFmtId="7" fontId="22" fillId="0" borderId="0" applyFont="0" applyFill="0" applyBorder="0" applyAlignment="0" applyProtection="0"/>
    <xf numFmtId="7" fontId="21" fillId="0" borderId="0" applyFont="0" applyFill="0" applyBorder="0" applyAlignment="0" applyProtection="0"/>
    <xf numFmtId="7" fontId="21" fillId="0" borderId="0" applyFont="0" applyFill="0" applyBorder="0" applyAlignment="0" applyProtection="0"/>
    <xf numFmtId="7" fontId="21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47" fillId="0" borderId="5" applyBorder="0" applyAlignment="0"/>
    <xf numFmtId="168" fontId="22" fillId="0" borderId="0"/>
    <xf numFmtId="38" fontId="48" fillId="0" borderId="0" applyFont="0" applyFill="0" applyBorder="0" applyAlignment="0" applyProtection="0"/>
    <xf numFmtId="170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170" fontId="21" fillId="0" borderId="0" applyFont="0" applyFill="0" applyBorder="0" applyAlignment="0" applyProtection="0"/>
    <xf numFmtId="199" fontId="25" fillId="0" borderId="0" applyNumberFormat="0" applyFont="0" applyFill="0" applyBorder="0" applyAlignment="0" applyProtection="0"/>
    <xf numFmtId="170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200" fontId="25" fillId="0" borderId="0" applyNumberFormat="0" applyFont="0" applyFill="0" applyBorder="0" applyAlignment="0" applyProtection="0"/>
    <xf numFmtId="200" fontId="25" fillId="0" borderId="0" applyNumberFormat="0" applyFont="0" applyFill="0" applyBorder="0" applyAlignment="0" applyProtection="0"/>
    <xf numFmtId="170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7" fontId="25" fillId="0" borderId="0" applyNumberFormat="0" applyFont="0" applyFill="0" applyBorder="0" applyAlignment="0" applyProtection="0"/>
    <xf numFmtId="170" fontId="22" fillId="0" borderId="0" applyFont="0" applyFill="0" applyBorder="0" applyAlignment="0" applyProtection="0"/>
    <xf numFmtId="201" fontId="25" fillId="0" borderId="0" applyNumberFormat="0" applyFont="0" applyFill="0" applyBorder="0" applyAlignment="0" applyProtection="0"/>
    <xf numFmtId="170" fontId="31" fillId="0" borderId="0" applyFont="0" applyFill="0" applyBorder="0" applyAlignment="0" applyProtection="0"/>
    <xf numFmtId="7" fontId="25" fillId="0" borderId="0" applyNumberFormat="0" applyFont="0" applyFill="0" applyBorder="0" applyAlignment="0" applyProtection="0"/>
    <xf numFmtId="201" fontId="25" fillId="0" borderId="0" applyNumberFormat="0" applyFont="0" applyFill="0" applyBorder="0" applyAlignment="0" applyProtection="0"/>
    <xf numFmtId="201" fontId="25" fillId="0" borderId="0" applyNumberFormat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3" fontId="25" fillId="0" borderId="0" applyNumberFormat="0" applyFont="0" applyFill="0" applyBorder="0" applyAlignment="0" applyProtection="0"/>
    <xf numFmtId="170" fontId="22" fillId="0" borderId="0" applyFont="0" applyFill="0" applyBorder="0" applyAlignment="0" applyProtection="0"/>
    <xf numFmtId="170" fontId="106" fillId="0" borderId="0" applyFont="0" applyFill="0" applyBorder="0" applyAlignment="0" applyProtection="0"/>
    <xf numFmtId="170" fontId="21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22" fillId="0" borderId="0" applyFont="0" applyFill="0" applyBorder="0" applyAlignment="0" applyProtection="0"/>
    <xf numFmtId="170" fontId="21" fillId="0" borderId="0" applyFont="0" applyFill="0" applyBorder="0" applyAlignment="0" applyProtection="0"/>
    <xf numFmtId="170" fontId="21" fillId="0" borderId="0" applyFont="0" applyFill="0" applyBorder="0" applyAlignment="0" applyProtection="0"/>
    <xf numFmtId="170" fontId="21" fillId="0" borderId="0" applyFont="0" applyFill="0" applyBorder="0" applyAlignment="0" applyProtection="0"/>
    <xf numFmtId="170" fontId="21" fillId="0" borderId="0" applyFont="0" applyFill="0" applyBorder="0" applyAlignment="0" applyProtection="0"/>
    <xf numFmtId="202" fontId="22" fillId="0" borderId="0" applyFill="0" applyBorder="0" applyAlignment="0" applyProtection="0"/>
    <xf numFmtId="170" fontId="22" fillId="0" borderId="0" applyFont="0" applyFill="0" applyBorder="0" applyAlignment="0" applyProtection="0"/>
    <xf numFmtId="202" fontId="22" fillId="0" borderId="0" applyFill="0" applyBorder="0" applyAlignment="0" applyProtection="0"/>
    <xf numFmtId="170" fontId="22" fillId="0" borderId="0" applyFont="0" applyFill="0" applyBorder="0" applyAlignment="0" applyProtection="0"/>
    <xf numFmtId="202" fontId="22" fillId="0" borderId="0" applyFill="0" applyBorder="0" applyAlignment="0" applyProtection="0"/>
    <xf numFmtId="170" fontId="22" fillId="0" borderId="0" applyFont="0" applyFill="0" applyBorder="0" applyAlignment="0" applyProtection="0"/>
    <xf numFmtId="202" fontId="22" fillId="0" borderId="0" applyFill="0" applyBorder="0" applyAlignment="0" applyProtection="0"/>
    <xf numFmtId="202" fontId="22" fillId="0" borderId="0" applyFill="0" applyBorder="0" applyAlignment="0" applyProtection="0"/>
    <xf numFmtId="202" fontId="22" fillId="0" borderId="0" applyFill="0" applyBorder="0" applyAlignment="0" applyProtection="0"/>
    <xf numFmtId="0" fontId="22" fillId="0" borderId="0" applyFill="0" applyBorder="0" applyAlignment="0" applyProtection="0"/>
    <xf numFmtId="170" fontId="31" fillId="0" borderId="0" applyFont="0" applyFill="0" applyBorder="0" applyAlignment="0" applyProtection="0"/>
    <xf numFmtId="170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170" fontId="21" fillId="0" borderId="0" applyFont="0" applyFill="0" applyBorder="0" applyAlignment="0" applyProtection="0"/>
    <xf numFmtId="170" fontId="21" fillId="0" borderId="0" applyFont="0" applyFill="0" applyBorder="0" applyAlignment="0" applyProtection="0"/>
    <xf numFmtId="170" fontId="21" fillId="0" borderId="0" applyFont="0" applyFill="0" applyBorder="0" applyAlignment="0" applyProtection="0"/>
    <xf numFmtId="0" fontId="22" fillId="0" borderId="0" applyFill="0" applyBorder="0" applyAlignment="0" applyProtection="0"/>
    <xf numFmtId="170" fontId="31" fillId="0" borderId="0" applyFont="0" applyFill="0" applyBorder="0" applyAlignment="0" applyProtection="0"/>
    <xf numFmtId="170" fontId="21" fillId="0" borderId="0" applyFont="0" applyFill="0" applyBorder="0" applyAlignment="0" applyProtection="0"/>
    <xf numFmtId="170" fontId="21" fillId="0" borderId="0" applyFont="0" applyFill="0" applyBorder="0" applyAlignment="0" applyProtection="0"/>
    <xf numFmtId="170" fontId="21" fillId="0" borderId="0" applyFont="0" applyFill="0" applyBorder="0" applyAlignment="0" applyProtection="0"/>
    <xf numFmtId="170" fontId="22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21" fillId="0" borderId="0" applyFont="0" applyFill="0" applyBorder="0" applyAlignment="0" applyProtection="0"/>
    <xf numFmtId="170" fontId="21" fillId="0" borderId="0" applyFont="0" applyFill="0" applyBorder="0" applyAlignment="0" applyProtection="0"/>
    <xf numFmtId="170" fontId="21" fillId="0" borderId="0" applyFont="0" applyFill="0" applyBorder="0" applyAlignment="0" applyProtection="0"/>
    <xf numFmtId="170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22" fillId="0" borderId="0" applyFont="0" applyFill="0" applyBorder="0" applyAlignment="0" applyProtection="0"/>
    <xf numFmtId="39" fontId="48" fillId="0" borderId="0" applyFont="0" applyFill="0" applyBorder="0" applyAlignment="0" applyProtection="0"/>
    <xf numFmtId="170" fontId="109" fillId="0" borderId="0" applyFont="0" applyFill="0" applyBorder="0" applyAlignment="0" applyProtection="0"/>
    <xf numFmtId="170" fontId="103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08" fillId="0" borderId="0" applyFont="0" applyFill="0" applyBorder="0" applyAlignment="0" applyProtection="0"/>
    <xf numFmtId="170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2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9" fillId="0" borderId="0" applyFont="0" applyFill="0" applyBorder="0" applyAlignment="0" applyProtection="0"/>
    <xf numFmtId="170" fontId="21" fillId="0" borderId="0" applyFont="0" applyFill="0" applyBorder="0" applyAlignment="0" applyProtection="0"/>
    <xf numFmtId="170" fontId="21" fillId="0" borderId="0" applyFont="0" applyFill="0" applyBorder="0" applyAlignment="0" applyProtection="0"/>
    <xf numFmtId="170" fontId="21" fillId="0" borderId="0" applyFont="0" applyFill="0" applyBorder="0" applyAlignment="0" applyProtection="0"/>
    <xf numFmtId="204" fontId="22" fillId="0" borderId="0" applyFont="0" applyFill="0" applyBorder="0" applyAlignment="0" applyProtection="0"/>
    <xf numFmtId="204" fontId="21" fillId="0" borderId="0" applyFont="0" applyFill="0" applyBorder="0" applyAlignment="0" applyProtection="0"/>
    <xf numFmtId="204" fontId="21" fillId="0" borderId="0" applyFont="0" applyFill="0" applyBorder="0" applyAlignment="0" applyProtection="0"/>
    <xf numFmtId="204" fontId="21" fillId="0" borderId="0" applyFont="0" applyFill="0" applyBorder="0" applyAlignment="0" applyProtection="0"/>
    <xf numFmtId="204" fontId="22" fillId="0" borderId="0" applyFont="0" applyFill="0" applyBorder="0" applyAlignment="0" applyProtection="0"/>
    <xf numFmtId="204" fontId="21" fillId="0" borderId="0" applyFont="0" applyFill="0" applyBorder="0" applyAlignment="0" applyProtection="0"/>
    <xf numFmtId="204" fontId="21" fillId="0" borderId="0" applyFont="0" applyFill="0" applyBorder="0" applyAlignment="0" applyProtection="0"/>
    <xf numFmtId="204" fontId="21" fillId="0" borderId="0" applyFont="0" applyFill="0" applyBorder="0" applyAlignment="0" applyProtection="0"/>
    <xf numFmtId="204" fontId="22" fillId="0" borderId="0" applyFont="0" applyFill="0" applyBorder="0" applyAlignment="0" applyProtection="0"/>
    <xf numFmtId="204" fontId="21" fillId="0" borderId="0" applyFont="0" applyFill="0" applyBorder="0" applyAlignment="0" applyProtection="0"/>
    <xf numFmtId="204" fontId="21" fillId="0" borderId="0" applyFont="0" applyFill="0" applyBorder="0" applyAlignment="0" applyProtection="0"/>
    <xf numFmtId="204" fontId="21" fillId="0" borderId="0" applyFont="0" applyFill="0" applyBorder="0" applyAlignment="0" applyProtection="0"/>
    <xf numFmtId="204" fontId="22" fillId="0" borderId="0" applyFont="0" applyFill="0" applyBorder="0" applyAlignment="0" applyProtection="0"/>
    <xf numFmtId="204" fontId="21" fillId="0" borderId="0" applyFont="0" applyFill="0" applyBorder="0" applyAlignment="0" applyProtection="0"/>
    <xf numFmtId="204" fontId="21" fillId="0" borderId="0" applyFont="0" applyFill="0" applyBorder="0" applyAlignment="0" applyProtection="0"/>
    <xf numFmtId="204" fontId="21" fillId="0" borderId="0" applyFont="0" applyFill="0" applyBorder="0" applyAlignment="0" applyProtection="0"/>
    <xf numFmtId="204" fontId="22" fillId="0" borderId="0" applyFont="0" applyFill="0" applyBorder="0" applyAlignment="0" applyProtection="0"/>
    <xf numFmtId="204" fontId="21" fillId="0" borderId="0" applyFont="0" applyFill="0" applyBorder="0" applyAlignment="0" applyProtection="0"/>
    <xf numFmtId="204" fontId="21" fillId="0" borderId="0" applyFont="0" applyFill="0" applyBorder="0" applyAlignment="0" applyProtection="0"/>
    <xf numFmtId="204" fontId="21" fillId="0" borderId="0" applyFont="0" applyFill="0" applyBorder="0" applyAlignment="0" applyProtection="0"/>
    <xf numFmtId="204" fontId="22" fillId="0" borderId="0" applyFont="0" applyFill="0" applyBorder="0" applyAlignment="0" applyProtection="0"/>
    <xf numFmtId="204" fontId="21" fillId="0" borderId="0" applyFont="0" applyFill="0" applyBorder="0" applyAlignment="0" applyProtection="0"/>
    <xf numFmtId="204" fontId="21" fillId="0" borderId="0" applyFont="0" applyFill="0" applyBorder="0" applyAlignment="0" applyProtection="0"/>
    <xf numFmtId="204" fontId="21" fillId="0" borderId="0" applyFont="0" applyFill="0" applyBorder="0" applyAlignment="0" applyProtection="0"/>
    <xf numFmtId="204" fontId="22" fillId="0" borderId="0" applyFont="0" applyFill="0" applyBorder="0" applyAlignment="0" applyProtection="0"/>
    <xf numFmtId="204" fontId="21" fillId="0" borderId="0" applyFont="0" applyFill="0" applyBorder="0" applyAlignment="0" applyProtection="0"/>
    <xf numFmtId="204" fontId="21" fillId="0" borderId="0" applyFont="0" applyFill="0" applyBorder="0" applyAlignment="0" applyProtection="0"/>
    <xf numFmtId="204" fontId="21" fillId="0" borderId="0" applyFont="0" applyFill="0" applyBorder="0" applyAlignment="0" applyProtection="0"/>
    <xf numFmtId="204" fontId="22" fillId="0" borderId="0" applyFont="0" applyFill="0" applyBorder="0" applyAlignment="0" applyProtection="0"/>
    <xf numFmtId="204" fontId="21" fillId="0" borderId="0" applyFont="0" applyFill="0" applyBorder="0" applyAlignment="0" applyProtection="0"/>
    <xf numFmtId="204" fontId="21" fillId="0" borderId="0" applyFont="0" applyFill="0" applyBorder="0" applyAlignment="0" applyProtection="0"/>
    <xf numFmtId="204" fontId="21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201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201" fontId="21" fillId="0" borderId="0" applyFont="0" applyFill="0" applyBorder="0" applyAlignment="0" applyProtection="0"/>
    <xf numFmtId="201" fontId="21" fillId="0" borderId="0" applyFont="0" applyFill="0" applyBorder="0" applyAlignment="0" applyProtection="0"/>
    <xf numFmtId="201" fontId="21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1" fillId="0" borderId="0" applyFont="0" applyFill="0" applyBorder="0" applyAlignment="0" applyProtection="0"/>
    <xf numFmtId="201" fontId="22" fillId="0" borderId="0" applyFont="0" applyFill="0" applyBorder="0" applyAlignment="0" applyProtection="0"/>
    <xf numFmtId="201" fontId="22" fillId="0" borderId="0" applyFont="0" applyFill="0" applyBorder="0" applyAlignment="0" applyProtection="0"/>
    <xf numFmtId="197" fontId="22" fillId="0" borderId="0" applyFill="0" applyBorder="0" applyAlignment="0" applyProtection="0"/>
    <xf numFmtId="201" fontId="21" fillId="0" borderId="0" applyFont="0" applyFill="0" applyBorder="0" applyAlignment="0" applyProtection="0"/>
    <xf numFmtId="201" fontId="21" fillId="0" borderId="0" applyFont="0" applyFill="0" applyBorder="0" applyAlignment="0" applyProtection="0"/>
    <xf numFmtId="201" fontId="21" fillId="0" borderId="0" applyFont="0" applyFill="0" applyBorder="0" applyAlignment="0" applyProtection="0"/>
    <xf numFmtId="203" fontId="22" fillId="0" borderId="0" applyFill="0" applyBorder="0" applyAlignment="0" applyProtection="0"/>
    <xf numFmtId="201" fontId="21" fillId="0" borderId="0" applyFont="0" applyFill="0" applyBorder="0" applyAlignment="0" applyProtection="0"/>
    <xf numFmtId="201" fontId="21" fillId="0" borderId="0" applyFont="0" applyFill="0" applyBorder="0" applyAlignment="0" applyProtection="0"/>
    <xf numFmtId="201" fontId="21" fillId="0" borderId="0" applyFont="0" applyFill="0" applyBorder="0" applyAlignment="0" applyProtection="0"/>
    <xf numFmtId="201" fontId="22" fillId="0" borderId="0" applyFont="0" applyFill="0" applyBorder="0" applyAlignment="0" applyProtection="0"/>
    <xf numFmtId="201" fontId="22" fillId="0" borderId="0" applyFont="0" applyFill="0" applyBorder="0" applyAlignment="0" applyProtection="0"/>
    <xf numFmtId="201" fontId="21" fillId="0" borderId="0" applyFont="0" applyFill="0" applyBorder="0" applyAlignment="0" applyProtection="0"/>
    <xf numFmtId="201" fontId="21" fillId="0" borderId="0" applyFont="0" applyFill="0" applyBorder="0" applyAlignment="0" applyProtection="0"/>
    <xf numFmtId="201" fontId="21" fillId="0" borderId="0" applyFont="0" applyFill="0" applyBorder="0" applyAlignment="0" applyProtection="0"/>
    <xf numFmtId="170" fontId="22" fillId="0" borderId="0" applyFont="0" applyFill="0" applyBorder="0" applyAlignment="0" applyProtection="0"/>
    <xf numFmtId="201" fontId="22" fillId="0" borderId="0" applyFill="0" applyBorder="0" applyAlignment="0" applyProtection="0"/>
    <xf numFmtId="201" fontId="22" fillId="0" borderId="0" applyFill="0" applyBorder="0" applyAlignment="0" applyProtection="0"/>
    <xf numFmtId="201" fontId="22" fillId="0" borderId="0" applyFill="0" applyBorder="0" applyAlignment="0" applyProtection="0"/>
    <xf numFmtId="177" fontId="21" fillId="0" borderId="0" applyFont="0" applyFill="0" applyBorder="0" applyAlignment="0" applyProtection="0"/>
    <xf numFmtId="177" fontId="21" fillId="0" borderId="0" applyFont="0" applyFill="0" applyBorder="0" applyAlignment="0" applyProtection="0"/>
    <xf numFmtId="177" fontId="22" fillId="0" borderId="0" applyFont="0" applyFill="0" applyBorder="0" applyAlignment="0" applyProtection="0"/>
    <xf numFmtId="201" fontId="22" fillId="0" borderId="0" applyFont="0" applyFill="0" applyBorder="0" applyAlignment="0" applyProtection="0"/>
    <xf numFmtId="166" fontId="22" fillId="0" borderId="0" applyFill="0" applyBorder="0" applyAlignment="0" applyProtection="0"/>
    <xf numFmtId="201" fontId="21" fillId="0" borderId="0" applyFont="0" applyFill="0" applyBorder="0" applyAlignment="0" applyProtection="0"/>
    <xf numFmtId="201" fontId="21" fillId="0" borderId="0" applyFont="0" applyFill="0" applyBorder="0" applyAlignment="0" applyProtection="0"/>
    <xf numFmtId="201" fontId="21" fillId="0" borderId="0" applyFont="0" applyFill="0" applyBorder="0" applyAlignment="0" applyProtection="0"/>
    <xf numFmtId="201" fontId="22" fillId="0" borderId="0" applyFont="0" applyFill="0" applyBorder="0" applyAlignment="0" applyProtection="0"/>
    <xf numFmtId="201" fontId="21" fillId="0" borderId="0" applyFont="0" applyFill="0" applyBorder="0" applyAlignment="0" applyProtection="0"/>
    <xf numFmtId="201" fontId="21" fillId="0" borderId="0" applyFont="0" applyFill="0" applyBorder="0" applyAlignment="0" applyProtection="0"/>
    <xf numFmtId="201" fontId="21" fillId="0" borderId="0" applyFont="0" applyFill="0" applyBorder="0" applyAlignment="0" applyProtection="0"/>
    <xf numFmtId="203" fontId="22" fillId="0" borderId="0" applyFill="0" applyBorder="0" applyAlignment="0" applyProtection="0"/>
    <xf numFmtId="170" fontId="22" fillId="0" borderId="0" applyFont="0" applyFill="0" applyBorder="0" applyAlignment="0" applyProtection="0"/>
    <xf numFmtId="205" fontId="22" fillId="0" borderId="0" applyFont="0" applyFill="0" applyBorder="0" applyAlignment="0" applyProtection="0"/>
    <xf numFmtId="205" fontId="22" fillId="0" borderId="0" applyFont="0" applyFill="0" applyBorder="0" applyAlignment="0" applyProtection="0"/>
    <xf numFmtId="205" fontId="22" fillId="0" borderId="0" applyFont="0" applyFill="0" applyBorder="0" applyAlignment="0" applyProtection="0"/>
    <xf numFmtId="204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49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2" fillId="0" borderId="0" applyFont="0" applyFill="0" applyBorder="0" applyAlignment="0" applyProtection="0"/>
    <xf numFmtId="170" fontId="49" fillId="0" borderId="0" applyFont="0" applyFill="0" applyBorder="0" applyAlignment="0" applyProtection="0"/>
    <xf numFmtId="170" fontId="49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170" fontId="21" fillId="0" borderId="0" applyFont="0" applyFill="0" applyBorder="0" applyAlignment="0" applyProtection="0"/>
    <xf numFmtId="170" fontId="21" fillId="0" borderId="0" applyFont="0" applyFill="0" applyBorder="0" applyAlignment="0" applyProtection="0"/>
    <xf numFmtId="170" fontId="21" fillId="0" borderId="0" applyFont="0" applyFill="0" applyBorder="0" applyAlignment="0" applyProtection="0"/>
    <xf numFmtId="170" fontId="22" fillId="0" borderId="0" applyFont="0" applyFill="0" applyBorder="0" applyAlignment="0" applyProtection="0"/>
    <xf numFmtId="170" fontId="21" fillId="0" borderId="0" applyFont="0" applyFill="0" applyBorder="0" applyAlignment="0" applyProtection="0"/>
    <xf numFmtId="170" fontId="21" fillId="0" borderId="0" applyFont="0" applyFill="0" applyBorder="0" applyAlignment="0" applyProtection="0"/>
    <xf numFmtId="170" fontId="21" fillId="0" borderId="0" applyFont="0" applyFill="0" applyBorder="0" applyAlignment="0" applyProtection="0"/>
    <xf numFmtId="203" fontId="22" fillId="0" borderId="0" applyFill="0" applyBorder="0" applyAlignment="0" applyProtection="0"/>
    <xf numFmtId="170" fontId="21" fillId="0" borderId="0" applyFont="0" applyFill="0" applyBorder="0" applyAlignment="0" applyProtection="0"/>
    <xf numFmtId="170" fontId="21" fillId="0" borderId="0" applyFont="0" applyFill="0" applyBorder="0" applyAlignment="0" applyProtection="0"/>
    <xf numFmtId="170" fontId="21" fillId="0" borderId="0" applyFont="0" applyFill="0" applyBorder="0" applyAlignment="0" applyProtection="0"/>
    <xf numFmtId="170" fontId="22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206" fontId="22" fillId="0" borderId="0" applyFont="0" applyFill="0" applyBorder="0" applyAlignment="0" applyProtection="0"/>
    <xf numFmtId="0" fontId="22" fillId="0" borderId="0" applyFill="0" applyBorder="0" applyAlignment="0" applyProtection="0"/>
    <xf numFmtId="170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170" fontId="22" fillId="0" borderId="0"/>
    <xf numFmtId="206" fontId="21" fillId="0" borderId="0" applyFont="0" applyFill="0" applyBorder="0" applyAlignment="0" applyProtection="0"/>
    <xf numFmtId="206" fontId="21" fillId="0" borderId="0" applyFont="0" applyFill="0" applyBorder="0" applyAlignment="0" applyProtection="0"/>
    <xf numFmtId="206" fontId="21" fillId="0" borderId="0" applyFont="0" applyFill="0" applyBorder="0" applyAlignment="0" applyProtection="0"/>
    <xf numFmtId="170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170" fontId="21" fillId="0" borderId="0" applyFont="0" applyFill="0" applyBorder="0" applyAlignment="0" applyProtection="0"/>
    <xf numFmtId="170" fontId="21" fillId="0" borderId="0" applyFont="0" applyFill="0" applyBorder="0" applyAlignment="0" applyProtection="0"/>
    <xf numFmtId="170" fontId="21" fillId="0" borderId="0" applyFont="0" applyFill="0" applyBorder="0" applyAlignment="0" applyProtection="0"/>
    <xf numFmtId="196" fontId="22" fillId="0" borderId="0" applyFill="0" applyBorder="0" applyAlignment="0" applyProtection="0"/>
    <xf numFmtId="170" fontId="31" fillId="0" borderId="0" applyFont="0" applyFill="0" applyBorder="0" applyAlignment="0" applyProtection="0"/>
    <xf numFmtId="170" fontId="49" fillId="0" borderId="0" applyFont="0" applyFill="0" applyBorder="0" applyAlignment="0" applyProtection="0"/>
    <xf numFmtId="170" fontId="21" fillId="0" borderId="0" applyFont="0" applyFill="0" applyBorder="0" applyAlignment="0" applyProtection="0"/>
    <xf numFmtId="170" fontId="21" fillId="0" borderId="0" applyFont="0" applyFill="0" applyBorder="0" applyAlignment="0" applyProtection="0"/>
    <xf numFmtId="170" fontId="21" fillId="0" borderId="0" applyFont="0" applyFill="0" applyBorder="0" applyAlignment="0" applyProtection="0"/>
    <xf numFmtId="170" fontId="22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21" fillId="0" borderId="0" applyFont="0" applyFill="0" applyBorder="0" applyAlignment="0" applyProtection="0"/>
    <xf numFmtId="170" fontId="22" fillId="0" borderId="0" applyFont="0" applyFill="0" applyBorder="0" applyAlignment="0" applyProtection="0"/>
    <xf numFmtId="170" fontId="21" fillId="0" borderId="0" applyFont="0" applyFill="0" applyBorder="0" applyAlignment="0" applyProtection="0"/>
    <xf numFmtId="170" fontId="21" fillId="0" borderId="0" applyFont="0" applyFill="0" applyBorder="0" applyAlignment="0" applyProtection="0"/>
    <xf numFmtId="170" fontId="21" fillId="0" borderId="0" applyFont="0" applyFill="0" applyBorder="0" applyAlignment="0" applyProtection="0"/>
    <xf numFmtId="170" fontId="22" fillId="0" borderId="0" applyFont="0" applyFill="0" applyBorder="0" applyAlignment="0" applyProtection="0"/>
    <xf numFmtId="207" fontId="22" fillId="0" borderId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208" fontId="22" fillId="0" borderId="0">
      <protection locked="0"/>
    </xf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2" fillId="0" borderId="0" applyFont="0" applyFill="0" applyBorder="0" applyAlignment="0" applyProtection="0"/>
    <xf numFmtId="208" fontId="22" fillId="0" borderId="0">
      <protection locked="0"/>
    </xf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4" fillId="0" borderId="0" applyFont="0" applyFill="0" applyBorder="0" applyAlignment="0" applyProtection="0"/>
    <xf numFmtId="208" fontId="22" fillId="0" borderId="0">
      <protection locked="0"/>
    </xf>
    <xf numFmtId="3" fontId="22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0" fontId="50" fillId="0" borderId="0" applyNumberFormat="0" applyAlignment="0">
      <alignment horizontal="left"/>
    </xf>
    <xf numFmtId="180" fontId="51" fillId="0" borderId="0" applyFont="0" applyFill="0" applyBorder="0" applyAlignment="0" applyProtection="0"/>
    <xf numFmtId="189" fontId="21" fillId="0" borderId="0" applyFont="0" applyFill="0" applyBorder="0" applyAlignment="0" applyProtection="0"/>
    <xf numFmtId="189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42" fontId="22" fillId="0" borderId="0" applyFont="0" applyFill="0" applyBorder="0" applyAlignment="0" applyProtection="0"/>
    <xf numFmtId="175" fontId="106" fillId="0" borderId="0" applyFont="0" applyFill="0" applyBorder="0" applyAlignment="0" applyProtection="0"/>
    <xf numFmtId="41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75" fontId="25" fillId="0" borderId="0" applyFont="0" applyFill="0" applyBorder="0" applyAlignment="0" applyProtection="0"/>
    <xf numFmtId="167" fontId="103" fillId="0" borderId="0" applyFont="0" applyFill="0" applyBorder="0" applyAlignment="0" applyProtection="0"/>
    <xf numFmtId="42" fontId="108" fillId="0" borderId="0" applyFont="0" applyFill="0" applyBorder="0" applyAlignment="0" applyProtection="0"/>
    <xf numFmtId="42" fontId="108" fillId="0" borderId="0" applyFont="0" applyFill="0" applyBorder="0" applyAlignment="0" applyProtection="0"/>
    <xf numFmtId="176" fontId="22" fillId="0" borderId="0" applyFont="0" applyFill="0" applyBorder="0" applyAlignment="0" applyProtection="0"/>
    <xf numFmtId="176" fontId="21" fillId="0" borderId="0" applyFont="0" applyFill="0" applyBorder="0" applyAlignment="0" applyProtection="0"/>
    <xf numFmtId="176" fontId="21" fillId="0" borderId="0" applyFont="0" applyFill="0" applyBorder="0" applyAlignment="0" applyProtection="0"/>
    <xf numFmtId="176" fontId="21" fillId="0" borderId="0" applyFont="0" applyFill="0" applyBorder="0" applyAlignment="0" applyProtection="0"/>
    <xf numFmtId="169" fontId="22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209" fontId="22" fillId="0" borderId="0">
      <protection locked="0"/>
    </xf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2" fillId="0" borderId="0" applyFont="0" applyFill="0" applyBorder="0" applyAlignment="0" applyProtection="0"/>
    <xf numFmtId="209" fontId="22" fillId="0" borderId="0">
      <protection locked="0"/>
    </xf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210" fontId="24" fillId="0" borderId="0" applyFont="0" applyFill="0" applyBorder="0" applyAlignment="0" applyProtection="0"/>
    <xf numFmtId="209" fontId="22" fillId="0" borderId="0">
      <protection locked="0"/>
    </xf>
    <xf numFmtId="164" fontId="22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0" fontId="52" fillId="0" borderId="0"/>
    <xf numFmtId="0" fontId="52" fillId="0" borderId="6"/>
    <xf numFmtId="0" fontId="22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4" fillId="0" borderId="0" applyFont="0" applyFill="0" applyBorder="0" applyAlignment="0" applyProtection="0"/>
    <xf numFmtId="211" fontId="22" fillId="0" borderId="0"/>
    <xf numFmtId="211" fontId="22" fillId="0" borderId="0"/>
    <xf numFmtId="211" fontId="22" fillId="0" borderId="0"/>
    <xf numFmtId="211" fontId="22" fillId="0" borderId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2" fillId="0" borderId="0" applyFont="0" applyFill="0" applyBorder="0" applyAlignment="0" applyProtection="0"/>
    <xf numFmtId="211" fontId="22" fillId="0" borderId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2" fillId="0" borderId="0" applyFont="0" applyFill="0" applyBorder="0" applyAlignment="0" applyProtection="0"/>
    <xf numFmtId="211" fontId="22" fillId="0" borderId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4" fillId="0" borderId="0" applyFont="0" applyFill="0" applyBorder="0" applyAlignment="0" applyProtection="0"/>
    <xf numFmtId="211" fontId="22" fillId="0" borderId="0"/>
    <xf numFmtId="211" fontId="22" fillId="0" borderId="0"/>
    <xf numFmtId="211" fontId="22" fillId="0" borderId="0"/>
    <xf numFmtId="211" fontId="22" fillId="0" borderId="0"/>
    <xf numFmtId="211" fontId="22" fillId="0" borderId="0"/>
    <xf numFmtId="0" fontId="24" fillId="0" borderId="0" applyFont="0" applyFill="0" applyBorder="0" applyAlignment="0" applyProtection="0"/>
    <xf numFmtId="211" fontId="22" fillId="0" borderId="0"/>
    <xf numFmtId="0" fontId="22" fillId="0" borderId="0" applyNumberFormat="0">
      <alignment horizontal="centerContinuous"/>
    </xf>
    <xf numFmtId="0" fontId="22" fillId="0" borderId="0" applyNumberFormat="0">
      <alignment horizontal="centerContinuous"/>
    </xf>
    <xf numFmtId="0" fontId="22" fillId="0" borderId="0" applyNumberFormat="0">
      <alignment horizontal="centerContinuous"/>
    </xf>
    <xf numFmtId="0" fontId="22" fillId="0" borderId="0" applyNumberFormat="0">
      <alignment horizontal="centerContinuous"/>
    </xf>
    <xf numFmtId="0" fontId="22" fillId="0" borderId="0" applyNumberFormat="0">
      <alignment horizontal="centerContinuous"/>
    </xf>
    <xf numFmtId="0" fontId="22" fillId="0" borderId="0" applyNumberFormat="0">
      <alignment horizontal="centerContinuous"/>
    </xf>
    <xf numFmtId="0" fontId="22" fillId="0" borderId="0" applyNumberFormat="0">
      <alignment horizontal="centerContinuous"/>
    </xf>
    <xf numFmtId="212" fontId="53" fillId="0" borderId="0" applyFont="0" applyFill="0" applyBorder="0">
      <alignment horizontal="left" vertical="top" wrapText="1"/>
      <protection locked="0"/>
    </xf>
    <xf numFmtId="212" fontId="53" fillId="0" borderId="0" applyFont="0" applyFill="0" applyBorder="0">
      <alignment horizontal="left" vertical="top" wrapText="1"/>
      <protection locked="0"/>
    </xf>
    <xf numFmtId="212" fontId="53" fillId="0" borderId="0" applyFont="0" applyFill="0" applyBorder="0">
      <alignment horizontal="left" vertical="top" wrapText="1"/>
      <protection locked="0"/>
    </xf>
    <xf numFmtId="212" fontId="53" fillId="0" borderId="0" applyFont="0" applyFill="0" applyBorder="0">
      <alignment horizontal="left" vertical="top" wrapText="1"/>
      <protection locked="0"/>
    </xf>
    <xf numFmtId="212" fontId="53" fillId="0" borderId="0" applyFont="0" applyFill="0" applyBorder="0">
      <alignment horizontal="left" vertical="top" wrapText="1"/>
      <protection locked="0"/>
    </xf>
    <xf numFmtId="212" fontId="53" fillId="0" borderId="0" applyFont="0" applyFill="0" applyBorder="0">
      <alignment horizontal="left" vertical="top" wrapText="1"/>
      <protection locked="0"/>
    </xf>
    <xf numFmtId="212" fontId="53" fillId="0" borderId="0" applyFont="0" applyFill="0" applyBorder="0">
      <alignment horizontal="left" vertical="top" wrapText="1"/>
      <protection locked="0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54" fillId="28" borderId="0" applyNumberFormat="0" applyBorder="0" applyAlignment="0" applyProtection="0"/>
    <xf numFmtId="0" fontId="54" fillId="29" borderId="0" applyNumberFormat="0" applyBorder="0" applyAlignment="0" applyProtection="0"/>
    <xf numFmtId="0" fontId="54" fillId="29" borderId="0" applyNumberFormat="0" applyBorder="0" applyAlignment="0" applyProtection="0"/>
    <xf numFmtId="0" fontId="55" fillId="0" borderId="0" applyNumberFormat="0" applyAlignment="0">
      <alignment horizontal="left"/>
    </xf>
    <xf numFmtId="213" fontId="22" fillId="0" borderId="0" applyFont="0" applyFill="0" applyBorder="0" applyAlignment="0" applyProtection="0"/>
    <xf numFmtId="213" fontId="22" fillId="0" borderId="0" applyFont="0" applyFill="0" applyBorder="0" applyAlignment="0" applyProtection="0"/>
    <xf numFmtId="213" fontId="22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2" fontId="22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2" fillId="0" borderId="0" applyFont="0" applyFill="0" applyBorder="0" applyAlignment="0" applyProtection="0"/>
    <xf numFmtId="214" fontId="22" fillId="0" borderId="0">
      <protection locked="0"/>
    </xf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2" fillId="0" borderId="0" applyFont="0" applyFill="0" applyBorder="0" applyAlignment="0" applyProtection="0"/>
    <xf numFmtId="214" fontId="22" fillId="0" borderId="0">
      <protection locked="0"/>
    </xf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4" fillId="0" borderId="0" applyFont="0" applyFill="0" applyBorder="0" applyAlignment="0" applyProtection="0"/>
    <xf numFmtId="214" fontId="22" fillId="0" borderId="0">
      <protection locked="0"/>
    </xf>
    <xf numFmtId="214" fontId="22" fillId="0" borderId="0">
      <protection locked="0"/>
    </xf>
    <xf numFmtId="214" fontId="22" fillId="0" borderId="0">
      <protection locked="0"/>
    </xf>
    <xf numFmtId="214" fontId="22" fillId="0" borderId="0">
      <protection locked="0"/>
    </xf>
    <xf numFmtId="2" fontId="22" fillId="0" borderId="0" applyFont="0" applyFill="0" applyBorder="0" applyAlignment="0" applyProtection="0"/>
    <xf numFmtId="2" fontId="21" fillId="0" borderId="0" applyFont="0" applyFill="0" applyBorder="0" applyAlignment="0" applyProtection="0"/>
    <xf numFmtId="214" fontId="22" fillId="0" borderId="0">
      <protection locked="0"/>
    </xf>
    <xf numFmtId="0" fontId="57" fillId="4" borderId="0" applyNumberFormat="0" applyBorder="0" applyAlignment="0" applyProtection="0"/>
    <xf numFmtId="38" fontId="58" fillId="30" borderId="0" applyNumberFormat="0" applyBorder="0" applyAlignment="0" applyProtection="0"/>
    <xf numFmtId="215" fontId="22" fillId="0" borderId="7" applyFont="0" applyFill="0" applyBorder="0" applyAlignment="0"/>
    <xf numFmtId="215" fontId="22" fillId="0" borderId="7" applyFont="0" applyFill="0" applyBorder="0" applyAlignment="0"/>
    <xf numFmtId="215" fontId="22" fillId="0" borderId="7" applyFont="0" applyFill="0" applyBorder="0" applyAlignment="0"/>
    <xf numFmtId="215" fontId="22" fillId="0" borderId="7" applyFont="0" applyFill="0" applyBorder="0" applyAlignment="0"/>
    <xf numFmtId="215" fontId="22" fillId="0" borderId="7" applyFont="0" applyFill="0" applyBorder="0" applyAlignment="0"/>
    <xf numFmtId="215" fontId="22" fillId="0" borderId="7" applyFont="0" applyFill="0" applyBorder="0" applyAlignment="0"/>
    <xf numFmtId="215" fontId="22" fillId="0" borderId="7" applyFont="0" applyFill="0" applyBorder="0" applyAlignment="0"/>
    <xf numFmtId="0" fontId="59" fillId="31" borderId="8"/>
    <xf numFmtId="0" fontId="60" fillId="0" borderId="9" applyNumberFormat="0" applyAlignment="0" applyProtection="0">
      <alignment horizontal="left" vertical="center"/>
    </xf>
    <xf numFmtId="0" fontId="60" fillId="0" borderId="10">
      <alignment horizontal="left" vertical="center"/>
    </xf>
    <xf numFmtId="0" fontId="60" fillId="0" borderId="10">
      <alignment horizontal="left" vertical="center"/>
    </xf>
    <xf numFmtId="0" fontId="60" fillId="0" borderId="10">
      <alignment horizontal="left" vertical="center"/>
    </xf>
    <xf numFmtId="0" fontId="23" fillId="32" borderId="11">
      <alignment vertical="center" wrapText="1"/>
    </xf>
    <xf numFmtId="0" fontId="61" fillId="0" borderId="0" applyNumberFormat="0" applyFont="0" applyFill="0" applyAlignment="0" applyProtection="0"/>
    <xf numFmtId="0" fontId="61" fillId="0" borderId="0" applyNumberFormat="0" applyFont="0" applyFill="0" applyAlignment="0" applyProtection="0"/>
    <xf numFmtId="0" fontId="62" fillId="0" borderId="12" applyNumberFormat="0" applyFill="0" applyAlignment="0" applyProtection="0"/>
    <xf numFmtId="0" fontId="61" fillId="0" borderId="0" applyNumberFormat="0" applyFont="0" applyFill="0" applyAlignment="0" applyProtection="0"/>
    <xf numFmtId="0" fontId="61" fillId="0" borderId="0" applyNumberFormat="0" applyFont="0" applyFill="0" applyAlignment="0" applyProtection="0"/>
    <xf numFmtId="0" fontId="61" fillId="0" borderId="0" applyNumberFormat="0" applyFont="0" applyFill="0" applyAlignment="0" applyProtection="0"/>
    <xf numFmtId="0" fontId="61" fillId="0" borderId="0" applyNumberFormat="0" applyFont="0" applyFill="0" applyAlignment="0" applyProtection="0"/>
    <xf numFmtId="0" fontId="61" fillId="0" borderId="0" applyNumberFormat="0" applyFont="0" applyFill="0" applyAlignment="0" applyProtection="0"/>
    <xf numFmtId="0" fontId="61" fillId="0" borderId="0" applyNumberFormat="0" applyFont="0" applyFill="0" applyAlignment="0" applyProtection="0"/>
    <xf numFmtId="0" fontId="24" fillId="0" borderId="0" applyNumberFormat="0" applyFill="0" applyBorder="0" applyAlignment="0" applyProtection="0"/>
    <xf numFmtId="0" fontId="60" fillId="0" borderId="0" applyNumberFormat="0" applyFont="0" applyFill="0" applyAlignment="0" applyProtection="0"/>
    <xf numFmtId="0" fontId="60" fillId="0" borderId="0" applyNumberFormat="0" applyFont="0" applyFill="0" applyAlignment="0" applyProtection="0"/>
    <xf numFmtId="0" fontId="63" fillId="0" borderId="13" applyNumberFormat="0" applyFill="0" applyAlignment="0" applyProtection="0"/>
    <xf numFmtId="0" fontId="60" fillId="0" borderId="0" applyNumberFormat="0" applyFont="0" applyFill="0" applyAlignment="0" applyProtection="0"/>
    <xf numFmtId="0" fontId="60" fillId="0" borderId="0" applyNumberFormat="0" applyFont="0" applyFill="0" applyAlignment="0" applyProtection="0"/>
    <xf numFmtId="0" fontId="60" fillId="0" borderId="0" applyNumberFormat="0" applyFont="0" applyFill="0" applyAlignment="0" applyProtection="0"/>
    <xf numFmtId="0" fontId="60" fillId="0" borderId="0" applyNumberFormat="0" applyFont="0" applyFill="0" applyAlignment="0" applyProtection="0"/>
    <xf numFmtId="0" fontId="60" fillId="0" borderId="0" applyNumberFormat="0" applyFont="0" applyFill="0" applyAlignment="0" applyProtection="0"/>
    <xf numFmtId="0" fontId="60" fillId="0" borderId="0" applyNumberFormat="0" applyFont="0" applyFill="0" applyAlignment="0" applyProtection="0"/>
    <xf numFmtId="0" fontId="24" fillId="0" borderId="0" applyNumberFormat="0" applyFill="0" applyBorder="0" applyAlignment="0" applyProtection="0"/>
    <xf numFmtId="0" fontId="64" fillId="0" borderId="14" applyNumberFormat="0" applyFill="0" applyAlignment="0" applyProtection="0"/>
    <xf numFmtId="0" fontId="64" fillId="0" borderId="0" applyNumberFormat="0" applyFill="0" applyBorder="0" applyAlignment="0" applyProtection="0"/>
    <xf numFmtId="0" fontId="65" fillId="0" borderId="0">
      <protection locked="0"/>
    </xf>
    <xf numFmtId="186" fontId="65" fillId="0" borderId="0">
      <protection locked="0"/>
    </xf>
    <xf numFmtId="0" fontId="65" fillId="0" borderId="0">
      <protection locked="0"/>
    </xf>
    <xf numFmtId="186" fontId="65" fillId="0" borderId="0">
      <protection locked="0"/>
    </xf>
    <xf numFmtId="0" fontId="66" fillId="0" borderId="15">
      <alignment horizontal="center"/>
    </xf>
    <xf numFmtId="0" fontId="66" fillId="0" borderId="0">
      <alignment horizontal="center"/>
    </xf>
    <xf numFmtId="10" fontId="58" fillId="33" borderId="16" applyNumberFormat="0" applyBorder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8" fillId="0" borderId="0" applyNumberFormat="0" applyFill="0" applyBorder="0" applyAlignment="0" applyProtection="0"/>
    <xf numFmtId="0" fontId="69" fillId="34" borderId="17" applyNumberFormat="0" applyAlignment="0" applyProtection="0"/>
    <xf numFmtId="0" fontId="69" fillId="34" borderId="17" applyNumberFormat="0" applyAlignment="0" applyProtection="0"/>
    <xf numFmtId="0" fontId="69" fillId="34" borderId="17" applyNumberFormat="0" applyAlignment="0" applyProtection="0"/>
    <xf numFmtId="168" fontId="22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70" fontId="22" fillId="0" borderId="0" applyFont="0" applyFill="0" applyBorder="0" applyAlignment="0" applyProtection="0"/>
    <xf numFmtId="170" fontId="21" fillId="0" borderId="0" applyFont="0" applyFill="0" applyBorder="0" applyAlignment="0" applyProtection="0"/>
    <xf numFmtId="170" fontId="21" fillId="0" borderId="0" applyFont="0" applyFill="0" applyBorder="0" applyAlignment="0" applyProtection="0"/>
    <xf numFmtId="170" fontId="21" fillId="0" borderId="0" applyFont="0" applyFill="0" applyBorder="0" applyAlignment="0" applyProtection="0"/>
    <xf numFmtId="0" fontId="70" fillId="0" borderId="5" applyNumberFormat="0" applyFont="0" applyFill="0" applyBorder="0" applyAlignment="0" applyProtection="0">
      <protection locked="0" hidden="1"/>
    </xf>
    <xf numFmtId="0" fontId="71" fillId="35" borderId="6"/>
    <xf numFmtId="0" fontId="72" fillId="0" borderId="18" applyNumberFormat="0" applyFill="0" applyAlignment="0" applyProtection="0"/>
    <xf numFmtId="0" fontId="73" fillId="0" borderId="19">
      <alignment horizontal="center"/>
    </xf>
    <xf numFmtId="0" fontId="73" fillId="0" borderId="7">
      <alignment horizontal="center"/>
    </xf>
    <xf numFmtId="0" fontId="73" fillId="0" borderId="7">
      <alignment horizontal="center"/>
    </xf>
    <xf numFmtId="0" fontId="73" fillId="0" borderId="7">
      <alignment horizontal="center"/>
    </xf>
    <xf numFmtId="0" fontId="73" fillId="0" borderId="7">
      <alignment horizontal="center"/>
    </xf>
    <xf numFmtId="0" fontId="73" fillId="0" borderId="7">
      <alignment horizontal="center"/>
    </xf>
    <xf numFmtId="0" fontId="73" fillId="0" borderId="7">
      <alignment horizontal="center"/>
    </xf>
    <xf numFmtId="0" fontId="73" fillId="0" borderId="7">
      <alignment horizontal="center"/>
    </xf>
    <xf numFmtId="0" fontId="73" fillId="0" borderId="7">
      <alignment horizontal="center"/>
    </xf>
    <xf numFmtId="0" fontId="73" fillId="0" borderId="19">
      <alignment horizontal="center"/>
    </xf>
    <xf numFmtId="0" fontId="73" fillId="0" borderId="19">
      <alignment horizontal="center"/>
    </xf>
    <xf numFmtId="0" fontId="73" fillId="0" borderId="19">
      <alignment horizontal="center"/>
    </xf>
    <xf numFmtId="0" fontId="73" fillId="0" borderId="19">
      <alignment horizontal="center"/>
    </xf>
    <xf numFmtId="0" fontId="73" fillId="0" borderId="19">
      <alignment horizontal="center"/>
    </xf>
    <xf numFmtId="0" fontId="73" fillId="0" borderId="19">
      <alignment horizontal="center"/>
    </xf>
    <xf numFmtId="0" fontId="73" fillId="0" borderId="19">
      <alignment horizontal="center"/>
    </xf>
    <xf numFmtId="0" fontId="73" fillId="0" borderId="19">
      <alignment horizontal="center"/>
    </xf>
    <xf numFmtId="0" fontId="74" fillId="13" borderId="2" applyNumberFormat="0" applyAlignment="0" applyProtection="0"/>
    <xf numFmtId="0" fontId="74" fillId="13" borderId="2" applyNumberFormat="0" applyAlignment="0" applyProtection="0"/>
    <xf numFmtId="0" fontId="74" fillId="13" borderId="2" applyNumberFormat="0" applyAlignment="0" applyProtection="0"/>
    <xf numFmtId="42" fontId="22" fillId="0" borderId="0" applyFont="0" applyFill="0" applyBorder="0" applyAlignment="0" applyProtection="0"/>
    <xf numFmtId="42" fontId="21" fillId="0" borderId="0" applyFont="0" applyFill="0" applyBorder="0" applyAlignment="0" applyProtection="0"/>
    <xf numFmtId="42" fontId="21" fillId="0" borderId="0" applyFont="0" applyFill="0" applyBorder="0" applyAlignment="0" applyProtection="0"/>
    <xf numFmtId="42" fontId="21" fillId="0" borderId="0" applyFont="0" applyFill="0" applyBorder="0" applyAlignment="0" applyProtection="0"/>
    <xf numFmtId="38" fontId="41" fillId="0" borderId="0" applyFont="0" applyFill="0" applyBorder="0" applyAlignment="0" applyProtection="0"/>
    <xf numFmtId="40" fontId="41" fillId="0" borderId="0" applyFont="0" applyFill="0" applyBorder="0" applyAlignment="0" applyProtection="0"/>
    <xf numFmtId="172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0" fontId="75" fillId="13" borderId="0" applyNumberFormat="0" applyBorder="0" applyAlignment="0" applyProtection="0"/>
    <xf numFmtId="0" fontId="76" fillId="13" borderId="0" applyNumberFormat="0" applyBorder="0" applyAlignment="0" applyProtection="0"/>
    <xf numFmtId="37" fontId="77" fillId="0" borderId="0"/>
    <xf numFmtId="177" fontId="22" fillId="0" borderId="0"/>
    <xf numFmtId="216" fontId="78" fillId="0" borderId="0"/>
    <xf numFmtId="217" fontId="40" fillId="0" borderId="0"/>
    <xf numFmtId="177" fontId="21" fillId="0" borderId="0"/>
    <xf numFmtId="177" fontId="21" fillId="0" borderId="0"/>
    <xf numFmtId="177" fontId="21" fillId="0" borderId="0"/>
    <xf numFmtId="0" fontId="79" fillId="0" borderId="0"/>
    <xf numFmtId="0" fontId="80" fillId="0" borderId="0"/>
    <xf numFmtId="0" fontId="79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106" fillId="0" borderId="0"/>
    <xf numFmtId="0" fontId="106" fillId="0" borderId="0"/>
    <xf numFmtId="0" fontId="22" fillId="0" borderId="0"/>
    <xf numFmtId="0" fontId="22" fillId="0" borderId="0"/>
    <xf numFmtId="0" fontId="21" fillId="0" borderId="0"/>
    <xf numFmtId="0" fontId="25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2" fillId="0" borderId="0"/>
    <xf numFmtId="0" fontId="22" fillId="0" borderId="0"/>
    <xf numFmtId="0" fontId="25" fillId="0" borderId="0" applyFont="0" applyFill="0" applyBorder="0" applyAlignment="0" applyProtection="0"/>
    <xf numFmtId="0" fontId="107" fillId="0" borderId="0"/>
    <xf numFmtId="0" fontId="49" fillId="0" borderId="0"/>
    <xf numFmtId="0" fontId="49" fillId="0" borderId="0"/>
    <xf numFmtId="0" fontId="25" fillId="0" borderId="0" applyFont="0" applyFill="0" applyBorder="0" applyAlignment="0" applyProtection="0"/>
    <xf numFmtId="0" fontId="49" fillId="0" borderId="0"/>
    <xf numFmtId="0" fontId="49" fillId="0" borderId="0"/>
    <xf numFmtId="0" fontId="49" fillId="0" borderId="0"/>
    <xf numFmtId="0" fontId="25" fillId="0" borderId="0" applyFont="0" applyFill="0" applyBorder="0" applyAlignment="0" applyProtection="0"/>
    <xf numFmtId="0" fontId="49" fillId="0" borderId="0"/>
    <xf numFmtId="0" fontId="49" fillId="0" borderId="0"/>
    <xf numFmtId="0" fontId="49" fillId="0" borderId="0"/>
    <xf numFmtId="0" fontId="25" fillId="0" borderId="0" applyFont="0" applyFill="0" applyBorder="0" applyAlignment="0" applyProtection="0"/>
    <xf numFmtId="0" fontId="49" fillId="0" borderId="0"/>
    <xf numFmtId="0" fontId="49" fillId="0" borderId="0"/>
    <xf numFmtId="0" fontId="49" fillId="0" borderId="0"/>
    <xf numFmtId="0" fontId="21" fillId="0" borderId="0"/>
    <xf numFmtId="0" fontId="22" fillId="0" borderId="0"/>
    <xf numFmtId="218" fontId="49" fillId="0" borderId="0"/>
    <xf numFmtId="0" fontId="109" fillId="0" borderId="0"/>
    <xf numFmtId="0" fontId="109" fillId="0" borderId="0"/>
    <xf numFmtId="0" fontId="111" fillId="0" borderId="0"/>
    <xf numFmtId="0" fontId="111" fillId="0" borderId="0"/>
    <xf numFmtId="0" fontId="111" fillId="0" borderId="0"/>
    <xf numFmtId="223" fontId="104" fillId="0" borderId="0"/>
    <xf numFmtId="0" fontId="22" fillId="0" borderId="0"/>
    <xf numFmtId="0" fontId="5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2" fillId="0" borderId="0"/>
    <xf numFmtId="0" fontId="49" fillId="0" borderId="0"/>
    <xf numFmtId="0" fontId="11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2" fillId="0" borderId="0"/>
    <xf numFmtId="0" fontId="49" fillId="0" borderId="0"/>
    <xf numFmtId="0" fontId="21" fillId="0" borderId="0"/>
    <xf numFmtId="0" fontId="21" fillId="0" borderId="0"/>
    <xf numFmtId="0" fontId="21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2" fillId="0" borderId="0"/>
    <xf numFmtId="0" fontId="110" fillId="0" borderId="0"/>
    <xf numFmtId="0" fontId="106" fillId="0" borderId="0"/>
    <xf numFmtId="0" fontId="22" fillId="0" borderId="0"/>
    <xf numFmtId="218" fontId="22" fillId="0" borderId="0"/>
    <xf numFmtId="218" fontId="22" fillId="0" borderId="0"/>
    <xf numFmtId="0" fontId="103" fillId="0" borderId="0"/>
    <xf numFmtId="0" fontId="21" fillId="0" borderId="0"/>
    <xf numFmtId="218" fontId="49" fillId="0" borderId="0"/>
    <xf numFmtId="218" fontId="49" fillId="0" borderId="0"/>
    <xf numFmtId="218" fontId="49" fillId="0" borderId="0"/>
    <xf numFmtId="218" fontId="49" fillId="0" borderId="0"/>
    <xf numFmtId="218" fontId="49" fillId="0" borderId="0"/>
    <xf numFmtId="218" fontId="49" fillId="0" borderId="0"/>
    <xf numFmtId="0" fontId="106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49" fillId="0" borderId="0"/>
    <xf numFmtId="222" fontId="104" fillId="0" borderId="0"/>
    <xf numFmtId="0" fontId="21" fillId="0" borderId="0"/>
    <xf numFmtId="0" fontId="21" fillId="0" borderId="0"/>
    <xf numFmtId="0" fontId="21" fillId="0" borderId="0"/>
    <xf numFmtId="0" fontId="22" fillId="0" borderId="0"/>
    <xf numFmtId="0" fontId="22" fillId="0" borderId="0"/>
    <xf numFmtId="0" fontId="49" fillId="0" borderId="0"/>
    <xf numFmtId="0" fontId="21" fillId="0" borderId="0"/>
    <xf numFmtId="0" fontId="21" fillId="0" borderId="0"/>
    <xf numFmtId="0" fontId="21" fillId="0" borderId="0"/>
    <xf numFmtId="0" fontId="22" fillId="0" borderId="0"/>
    <xf numFmtId="0" fontId="49" fillId="0" borderId="0"/>
    <xf numFmtId="0" fontId="21" fillId="0" borderId="0"/>
    <xf numFmtId="0" fontId="21" fillId="0" borderId="0"/>
    <xf numFmtId="0" fontId="2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22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22" fillId="0" borderId="0"/>
    <xf numFmtId="0" fontId="22" fillId="0" borderId="0"/>
    <xf numFmtId="0" fontId="49" fillId="0" borderId="0"/>
    <xf numFmtId="0" fontId="21" fillId="0" borderId="0"/>
    <xf numFmtId="0" fontId="21" fillId="0" borderId="0"/>
    <xf numFmtId="0" fontId="21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49" fillId="0" borderId="0"/>
    <xf numFmtId="0" fontId="21" fillId="0" borderId="0"/>
    <xf numFmtId="0" fontId="21" fillId="0" borderId="0"/>
    <xf numFmtId="0" fontId="21" fillId="0" borderId="0"/>
    <xf numFmtId="0" fontId="22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22" fillId="0" borderId="0"/>
    <xf numFmtId="0" fontId="22" fillId="0" borderId="0"/>
    <xf numFmtId="0" fontId="22" fillId="0" borderId="0" applyProtection="0"/>
    <xf numFmtId="0" fontId="21" fillId="0" borderId="0"/>
    <xf numFmtId="0" fontId="21" fillId="0" borderId="0"/>
    <xf numFmtId="0" fontId="21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49" fillId="0" borderId="0"/>
    <xf numFmtId="0" fontId="21" fillId="0" borderId="0"/>
    <xf numFmtId="0" fontId="21" fillId="0" borderId="0"/>
    <xf numFmtId="0" fontId="21" fillId="0" borderId="0"/>
    <xf numFmtId="0" fontId="22" fillId="0" borderId="0"/>
    <xf numFmtId="0" fontId="49" fillId="0" borderId="0"/>
    <xf numFmtId="0" fontId="49" fillId="0" borderId="0"/>
    <xf numFmtId="0" fontId="106" fillId="0" borderId="0"/>
    <xf numFmtId="218" fontId="49" fillId="0" borderId="0"/>
    <xf numFmtId="0" fontId="106" fillId="0" borderId="0"/>
    <xf numFmtId="0" fontId="49" fillId="0" borderId="0"/>
    <xf numFmtId="0" fontId="105" fillId="0" borderId="0"/>
    <xf numFmtId="0" fontId="108" fillId="0" borderId="0"/>
    <xf numFmtId="0" fontId="108" fillId="0" borderId="0"/>
    <xf numFmtId="0" fontId="21" fillId="0" borderId="0"/>
    <xf numFmtId="0" fontId="21" fillId="0" borderId="0"/>
    <xf numFmtId="0" fontId="21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106" fillId="0" borderId="0"/>
    <xf numFmtId="0" fontId="21" fillId="0" borderId="0"/>
    <xf numFmtId="0" fontId="21" fillId="0" borderId="0"/>
    <xf numFmtId="0" fontId="21" fillId="0" borderId="0"/>
    <xf numFmtId="0" fontId="22" fillId="0" borderId="0"/>
    <xf numFmtId="0" fontId="108" fillId="0" borderId="0"/>
    <xf numFmtId="0" fontId="22" fillId="0" borderId="0">
      <alignment vertical="top"/>
    </xf>
    <xf numFmtId="0" fontId="22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218" fontId="49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2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49" fillId="0" borderId="0"/>
    <xf numFmtId="218" fontId="49" fillId="0" borderId="0"/>
    <xf numFmtId="0" fontId="21" fillId="0" borderId="0"/>
    <xf numFmtId="0" fontId="21" fillId="0" borderId="0"/>
    <xf numFmtId="0" fontId="21" fillId="0" borderId="0"/>
    <xf numFmtId="0" fontId="22" fillId="0" borderId="0"/>
    <xf numFmtId="0" fontId="22" fillId="0" borderId="0">
      <alignment vertical="top"/>
    </xf>
    <xf numFmtId="0" fontId="22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218" fontId="49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200" fontId="81" fillId="0" borderId="0" applyFont="0">
      <alignment horizontal="right"/>
      <protection locked="0"/>
    </xf>
    <xf numFmtId="0" fontId="31" fillId="10" borderId="3" applyNumberFormat="0" applyFont="0" applyAlignment="0" applyProtection="0"/>
    <xf numFmtId="200" fontId="81" fillId="0" borderId="0" applyFont="0">
      <alignment horizontal="right"/>
      <protection locked="0"/>
    </xf>
    <xf numFmtId="200" fontId="81" fillId="0" borderId="0" applyFont="0">
      <alignment horizontal="right"/>
      <protection locked="0"/>
    </xf>
    <xf numFmtId="200" fontId="81" fillId="0" borderId="0" applyFont="0">
      <alignment horizontal="right"/>
      <protection locked="0"/>
    </xf>
    <xf numFmtId="200" fontId="81" fillId="0" borderId="0" applyFont="0">
      <alignment horizontal="right"/>
      <protection locked="0"/>
    </xf>
    <xf numFmtId="0" fontId="49" fillId="10" borderId="3" applyNumberFormat="0" applyFont="0" applyAlignment="0" applyProtection="0"/>
    <xf numFmtId="0" fontId="49" fillId="10" borderId="3" applyNumberFormat="0" applyFont="0" applyAlignment="0" applyProtection="0"/>
    <xf numFmtId="0" fontId="49" fillId="10" borderId="3" applyNumberFormat="0" applyFont="0" applyAlignment="0" applyProtection="0"/>
    <xf numFmtId="3" fontId="23" fillId="0" borderId="20" applyFont="0" applyBorder="0" applyAlignment="0">
      <alignment horizontal="center"/>
    </xf>
    <xf numFmtId="0" fontId="82" fillId="26" borderId="17" applyNumberFormat="0" applyAlignment="0" applyProtection="0"/>
    <xf numFmtId="14" fontId="37" fillId="0" borderId="0">
      <alignment horizontal="center" wrapText="1"/>
      <protection locked="0"/>
    </xf>
    <xf numFmtId="10" fontId="2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1" fillId="0" borderId="0" applyFont="0" applyFill="0" applyBorder="0" applyProtection="0"/>
    <xf numFmtId="9" fontId="21" fillId="0" borderId="0" applyFont="0" applyFill="0" applyBorder="0" applyProtection="0"/>
    <xf numFmtId="9" fontId="21" fillId="0" borderId="0" applyFont="0" applyFill="0" applyBorder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1" fillId="0" borderId="21" applyNumberFormat="0" applyBorder="0"/>
    <xf numFmtId="0" fontId="83" fillId="34" borderId="2" applyNumberFormat="0" applyAlignment="0" applyProtection="0"/>
    <xf numFmtId="0" fontId="83" fillId="34" borderId="2" applyNumberFormat="0" applyAlignment="0" applyProtection="0"/>
    <xf numFmtId="0" fontId="83" fillId="34" borderId="2" applyNumberFormat="0" applyAlignment="0" applyProtection="0"/>
    <xf numFmtId="39" fontId="84" fillId="36" borderId="6"/>
    <xf numFmtId="0" fontId="85" fillId="37" borderId="0" applyNumberFormat="0" applyFont="0" applyBorder="0" applyAlignment="0">
      <alignment horizontal="center"/>
    </xf>
    <xf numFmtId="0" fontId="52" fillId="0" borderId="0"/>
    <xf numFmtId="219" fontId="22" fillId="0" borderId="0" applyNumberFormat="0" applyFill="0" applyBorder="0" applyAlignment="0" applyProtection="0">
      <alignment horizontal="left"/>
    </xf>
    <xf numFmtId="220" fontId="79" fillId="0" borderId="0" applyNumberFormat="0" applyFill="0" applyBorder="0" applyAlignment="0" applyProtection="0">
      <alignment horizontal="left"/>
    </xf>
    <xf numFmtId="10" fontId="22" fillId="0" borderId="0">
      <alignment vertical="center" textRotation="90"/>
    </xf>
    <xf numFmtId="10" fontId="22" fillId="0" borderId="0">
      <alignment vertical="center" textRotation="90"/>
    </xf>
    <xf numFmtId="10" fontId="22" fillId="0" borderId="0">
      <alignment vertical="center" textRotation="90"/>
    </xf>
    <xf numFmtId="0" fontId="86" fillId="0" borderId="22" applyNumberFormat="0" applyFill="0" applyAlignment="0" applyProtection="0"/>
    <xf numFmtId="0" fontId="85" fillId="1" borderId="10" applyNumberFormat="0" applyFont="0" applyAlignment="0">
      <alignment horizontal="center"/>
    </xf>
    <xf numFmtId="0" fontId="85" fillId="1" borderId="10" applyNumberFormat="0" applyFont="0" applyAlignment="0">
      <alignment horizontal="center"/>
    </xf>
    <xf numFmtId="0" fontId="87" fillId="0" borderId="0" applyNumberFormat="0" applyFill="0" applyBorder="0" applyAlignment="0" applyProtection="0"/>
    <xf numFmtId="0" fontId="88" fillId="0" borderId="0" applyNumberFormat="0" applyFill="0" applyBorder="0" applyAlignment="0">
      <alignment horizontal="center"/>
    </xf>
    <xf numFmtId="0" fontId="27" fillId="0" borderId="0"/>
    <xf numFmtId="40" fontId="89" fillId="0" borderId="0" applyBorder="0">
      <alignment horizontal="right"/>
    </xf>
    <xf numFmtId="212" fontId="53" fillId="0" borderId="0" applyFont="0">
      <protection locked="0"/>
    </xf>
    <xf numFmtId="212" fontId="53" fillId="0" borderId="0" applyFont="0">
      <protection locked="0"/>
    </xf>
    <xf numFmtId="212" fontId="53" fillId="0" borderId="0" applyFont="0">
      <protection locked="0"/>
    </xf>
    <xf numFmtId="212" fontId="53" fillId="0" borderId="0" applyFont="0">
      <protection locked="0"/>
    </xf>
    <xf numFmtId="212" fontId="53" fillId="0" borderId="0" applyFont="0">
      <protection locked="0"/>
    </xf>
    <xf numFmtId="212" fontId="53" fillId="0" borderId="0" applyFont="0">
      <protection locked="0"/>
    </xf>
    <xf numFmtId="3" fontId="22" fillId="0" borderId="16" applyNumberFormat="0" applyFont="0" applyFill="0" applyAlignment="0" applyProtection="0">
      <alignment vertical="center"/>
    </xf>
    <xf numFmtId="0" fontId="52" fillId="0" borderId="6"/>
    <xf numFmtId="0" fontId="90" fillId="0" borderId="23" applyNumberFormat="0" applyFill="0" applyAlignment="0" applyProtection="0"/>
    <xf numFmtId="0" fontId="91" fillId="0" borderId="24" applyNumberFormat="0" applyFill="0" applyAlignment="0" applyProtection="0"/>
    <xf numFmtId="0" fontId="92" fillId="0" borderId="25" applyNumberFormat="0" applyFill="0" applyAlignment="0" applyProtection="0"/>
    <xf numFmtId="0" fontId="92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22" fillId="0" borderId="0"/>
    <xf numFmtId="0" fontId="94" fillId="38" borderId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24" fillId="0" borderId="27" applyNumberFormat="0" applyFont="0" applyFill="0" applyAlignment="0" applyProtection="0"/>
    <xf numFmtId="0" fontId="22" fillId="0" borderId="28" applyNumberFormat="0" applyFont="0" applyBorder="0" applyAlignment="0" applyProtection="0"/>
    <xf numFmtId="0" fontId="22" fillId="0" borderId="28" applyNumberFormat="0" applyFont="0" applyBorder="0" applyAlignment="0" applyProtection="0"/>
    <xf numFmtId="0" fontId="21" fillId="0" borderId="28" applyNumberFormat="0" applyFont="0" applyBorder="0" applyAlignment="0" applyProtection="0"/>
    <xf numFmtId="0" fontId="21" fillId="0" borderId="28" applyNumberFormat="0" applyFont="0" applyBorder="0" applyAlignment="0" applyProtection="0"/>
    <xf numFmtId="0" fontId="21" fillId="0" borderId="28" applyNumberFormat="0" applyFont="0" applyBorder="0" applyAlignment="0" applyProtection="0"/>
    <xf numFmtId="0" fontId="96" fillId="0" borderId="26" applyNumberFormat="0" applyFill="0" applyAlignment="0" applyProtection="0"/>
    <xf numFmtId="0" fontId="21" fillId="0" borderId="28" applyNumberFormat="0" applyFont="0" applyBorder="0" applyAlignment="0" applyProtection="0"/>
    <xf numFmtId="0" fontId="21" fillId="0" borderId="28" applyNumberFormat="0" applyFont="0" applyBorder="0" applyAlignment="0" applyProtection="0"/>
    <xf numFmtId="0" fontId="21" fillId="0" borderId="28" applyNumberFormat="0" applyFont="0" applyBorder="0" applyAlignment="0" applyProtection="0"/>
    <xf numFmtId="0" fontId="22" fillId="0" borderId="28" applyNumberFormat="0" applyFont="0" applyBorder="0" applyAlignment="0" applyProtection="0"/>
    <xf numFmtId="0" fontId="21" fillId="0" borderId="28" applyNumberFormat="0" applyFont="0" applyBorder="0" applyAlignment="0" applyProtection="0"/>
    <xf numFmtId="0" fontId="21" fillId="0" borderId="28" applyNumberFormat="0" applyFont="0" applyBorder="0" applyAlignment="0" applyProtection="0"/>
    <xf numFmtId="0" fontId="21" fillId="0" borderId="28" applyNumberFormat="0" applyFont="0" applyBorder="0" applyAlignment="0" applyProtection="0"/>
    <xf numFmtId="0" fontId="22" fillId="0" borderId="28" applyNumberFormat="0" applyFont="0" applyBorder="0" applyAlignment="0" applyProtection="0"/>
    <xf numFmtId="0" fontId="21" fillId="0" borderId="28" applyNumberFormat="0" applyFont="0" applyBorder="0" applyAlignment="0" applyProtection="0"/>
    <xf numFmtId="0" fontId="21" fillId="0" borderId="28" applyNumberFormat="0" applyFont="0" applyBorder="0" applyAlignment="0" applyProtection="0"/>
    <xf numFmtId="0" fontId="21" fillId="0" borderId="28" applyNumberFormat="0" applyFont="0" applyBorder="0" applyAlignment="0" applyProtection="0"/>
    <xf numFmtId="0" fontId="22" fillId="0" borderId="28" applyNumberFormat="0" applyFont="0" applyBorder="0" applyAlignment="0" applyProtection="0"/>
    <xf numFmtId="0" fontId="21" fillId="0" borderId="28" applyNumberFormat="0" applyFont="0" applyBorder="0" applyAlignment="0" applyProtection="0"/>
    <xf numFmtId="0" fontId="21" fillId="0" borderId="28" applyNumberFormat="0" applyFont="0" applyBorder="0" applyAlignment="0" applyProtection="0"/>
    <xf numFmtId="0" fontId="21" fillId="0" borderId="28" applyNumberFormat="0" applyFont="0" applyBorder="0" applyAlignment="0" applyProtection="0"/>
    <xf numFmtId="0" fontId="22" fillId="0" borderId="28" applyNumberFormat="0" applyFont="0" applyBorder="0" applyAlignment="0" applyProtection="0"/>
    <xf numFmtId="0" fontId="21" fillId="0" borderId="28" applyNumberFormat="0" applyFont="0" applyBorder="0" applyAlignment="0" applyProtection="0"/>
    <xf numFmtId="0" fontId="21" fillId="0" borderId="28" applyNumberFormat="0" applyFont="0" applyBorder="0" applyAlignment="0" applyProtection="0"/>
    <xf numFmtId="0" fontId="21" fillId="0" borderId="28" applyNumberFormat="0" applyFont="0" applyBorder="0" applyAlignment="0" applyProtection="0"/>
    <xf numFmtId="0" fontId="22" fillId="0" borderId="28" applyNumberFormat="0" applyFont="0" applyBorder="0" applyAlignment="0" applyProtection="0"/>
    <xf numFmtId="0" fontId="21" fillId="0" borderId="28" applyNumberFormat="0" applyFont="0" applyBorder="0" applyAlignment="0" applyProtection="0"/>
    <xf numFmtId="0" fontId="21" fillId="0" borderId="28" applyNumberFormat="0" applyFont="0" applyBorder="0" applyAlignment="0" applyProtection="0"/>
    <xf numFmtId="0" fontId="21" fillId="0" borderId="28" applyNumberFormat="0" applyFont="0" applyBorder="0" applyAlignment="0" applyProtection="0"/>
    <xf numFmtId="0" fontId="22" fillId="0" borderId="28" applyNumberFormat="0" applyFont="0" applyBorder="0" applyAlignment="0" applyProtection="0"/>
    <xf numFmtId="0" fontId="21" fillId="0" borderId="28" applyNumberFormat="0" applyFont="0" applyBorder="0" applyAlignment="0" applyProtection="0"/>
    <xf numFmtId="0" fontId="21" fillId="0" borderId="28" applyNumberFormat="0" applyFont="0" applyBorder="0" applyAlignment="0" applyProtection="0"/>
    <xf numFmtId="0" fontId="21" fillId="0" borderId="28" applyNumberFormat="0" applyFont="0" applyBorder="0" applyAlignment="0" applyProtection="0"/>
    <xf numFmtId="0" fontId="22" fillId="0" borderId="28" applyNumberFormat="0" applyFont="0" applyBorder="0" applyAlignment="0" applyProtection="0"/>
    <xf numFmtId="0" fontId="21" fillId="0" borderId="28" applyNumberFormat="0" applyFont="0" applyBorder="0" applyAlignment="0" applyProtection="0"/>
    <xf numFmtId="0" fontId="21" fillId="0" borderId="28" applyNumberFormat="0" applyFont="0" applyBorder="0" applyAlignment="0" applyProtection="0"/>
    <xf numFmtId="0" fontId="21" fillId="0" borderId="28" applyNumberFormat="0" applyFont="0" applyBorder="0" applyAlignment="0" applyProtection="0"/>
    <xf numFmtId="0" fontId="71" fillId="0" borderId="29"/>
    <xf numFmtId="0" fontId="71" fillId="0" borderId="6"/>
    <xf numFmtId="9" fontId="97" fillId="34" borderId="0"/>
    <xf numFmtId="212" fontId="53" fillId="0" borderId="0" applyFont="0">
      <alignment horizontal="center"/>
      <protection locked="0"/>
    </xf>
    <xf numFmtId="212" fontId="53" fillId="0" borderId="0" applyFont="0">
      <alignment horizontal="center"/>
      <protection locked="0"/>
    </xf>
    <xf numFmtId="212" fontId="53" fillId="0" borderId="0" applyFont="0">
      <alignment horizontal="center"/>
      <protection locked="0"/>
    </xf>
    <xf numFmtId="212" fontId="53" fillId="0" borderId="0" applyFont="0">
      <alignment horizontal="center"/>
      <protection locked="0"/>
    </xf>
    <xf numFmtId="212" fontId="53" fillId="0" borderId="0" applyFont="0">
      <alignment horizontal="center"/>
      <protection locked="0"/>
    </xf>
    <xf numFmtId="212" fontId="53" fillId="0" borderId="0" applyFont="0">
      <alignment horizontal="center"/>
      <protection locked="0"/>
    </xf>
    <xf numFmtId="0" fontId="98" fillId="0" borderId="0"/>
    <xf numFmtId="0" fontId="99" fillId="0" borderId="10"/>
    <xf numFmtId="0" fontId="100" fillId="0" borderId="0" applyNumberFormat="0" applyFill="0" applyBorder="0" applyAlignment="0" applyProtection="0"/>
    <xf numFmtId="0" fontId="101" fillId="0" borderId="30"/>
    <xf numFmtId="168" fontId="22" fillId="0" borderId="0" applyFont="0" applyFill="0" applyBorder="0" applyAlignment="0" applyProtection="0"/>
    <xf numFmtId="0" fontId="102" fillId="0" borderId="0"/>
    <xf numFmtId="0" fontId="110" fillId="0" borderId="0"/>
    <xf numFmtId="168" fontId="21" fillId="0" borderId="0" applyFont="0" applyFill="0" applyBorder="0" applyAlignment="0" applyProtection="0"/>
    <xf numFmtId="236" fontId="110" fillId="0" borderId="0"/>
    <xf numFmtId="170" fontId="110" fillId="0" borderId="0" applyFont="0" applyFill="0" applyBorder="0" applyAlignment="0" applyProtection="0"/>
    <xf numFmtId="0" fontId="21" fillId="0" borderId="0"/>
    <xf numFmtId="226" fontId="21" fillId="0" borderId="0" applyFont="0" applyFill="0" applyBorder="0" applyAlignment="0" applyProtection="0"/>
    <xf numFmtId="0" fontId="138" fillId="0" borderId="0" applyFont="0" applyFill="0" applyBorder="0" applyAlignment="0" applyProtection="0"/>
    <xf numFmtId="227" fontId="21" fillId="0" borderId="0" applyFont="0" applyFill="0" applyBorder="0" applyAlignment="0" applyProtection="0"/>
    <xf numFmtId="0" fontId="139" fillId="0" borderId="0"/>
    <xf numFmtId="40" fontId="138" fillId="0" borderId="0" applyFont="0" applyFill="0" applyBorder="0" applyAlignment="0" applyProtection="0"/>
    <xf numFmtId="38" fontId="138" fillId="0" borderId="0" applyFont="0" applyFill="0" applyBorder="0" applyAlignment="0" applyProtection="0"/>
    <xf numFmtId="41" fontId="140" fillId="0" borderId="0" applyFont="0" applyFill="0" applyBorder="0" applyAlignment="0" applyProtection="0"/>
    <xf numFmtId="9" fontId="141" fillId="0" borderId="0" applyFont="0" applyFill="0" applyBorder="0" applyAlignment="0" applyProtection="0"/>
    <xf numFmtId="0" fontId="142" fillId="0" borderId="0"/>
    <xf numFmtId="186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143" fillId="0" borderId="0"/>
    <xf numFmtId="186" fontId="28" fillId="0" borderId="0">
      <protection locked="0"/>
    </xf>
    <xf numFmtId="0" fontId="28" fillId="0" borderId="0">
      <protection locked="0"/>
    </xf>
    <xf numFmtId="186" fontId="28" fillId="0" borderId="0">
      <protection locked="0"/>
    </xf>
    <xf numFmtId="0" fontId="143" fillId="0" borderId="0"/>
    <xf numFmtId="0" fontId="28" fillId="0" borderId="0">
      <protection locked="0"/>
    </xf>
    <xf numFmtId="0" fontId="143" fillId="0" borderId="0"/>
    <xf numFmtId="186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143" fillId="0" borderId="0"/>
    <xf numFmtId="0" fontId="143" fillId="0" borderId="0"/>
    <xf numFmtId="186" fontId="28" fillId="0" borderId="0">
      <protection locked="0"/>
    </xf>
    <xf numFmtId="0" fontId="26" fillId="0" borderId="0"/>
    <xf numFmtId="0" fontId="26" fillId="0" borderId="0"/>
    <xf numFmtId="0" fontId="27" fillId="0" borderId="0"/>
    <xf numFmtId="0" fontId="27" fillId="0" borderId="0"/>
    <xf numFmtId="0" fontId="143" fillId="0" borderId="0"/>
    <xf numFmtId="186" fontId="28" fillId="0" borderId="0">
      <protection locked="0"/>
    </xf>
    <xf numFmtId="0" fontId="28" fillId="0" borderId="0">
      <protection locked="0"/>
    </xf>
    <xf numFmtId="0" fontId="27" fillId="0" borderId="0"/>
    <xf numFmtId="0" fontId="26" fillId="0" borderId="0"/>
    <xf numFmtId="0" fontId="27" fillId="0" borderId="0"/>
    <xf numFmtId="0" fontId="27" fillId="0" borderId="0"/>
    <xf numFmtId="186" fontId="28" fillId="0" borderId="0">
      <protection locked="0"/>
    </xf>
    <xf numFmtId="186" fontId="28" fillId="0" borderId="0">
      <protection locked="0"/>
    </xf>
    <xf numFmtId="0" fontId="143" fillId="0" borderId="0"/>
    <xf numFmtId="0" fontId="28" fillId="0" borderId="0">
      <protection locked="0"/>
    </xf>
    <xf numFmtId="0" fontId="28" fillId="0" borderId="0">
      <protection locked="0"/>
    </xf>
    <xf numFmtId="186" fontId="28" fillId="0" borderId="0">
      <protection locked="0"/>
    </xf>
    <xf numFmtId="0" fontId="26" fillId="0" borderId="0"/>
    <xf numFmtId="0" fontId="26" fillId="0" borderId="0"/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143" fillId="0" borderId="0"/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186" fontId="28" fillId="0" borderId="0">
      <protection locked="0"/>
    </xf>
    <xf numFmtId="186" fontId="28" fillId="0" borderId="0">
      <protection locked="0"/>
    </xf>
    <xf numFmtId="186" fontId="28" fillId="0" borderId="0">
      <protection locked="0"/>
    </xf>
    <xf numFmtId="186" fontId="28" fillId="0" borderId="0">
      <protection locked="0"/>
    </xf>
    <xf numFmtId="186" fontId="28" fillId="0" borderId="0">
      <protection locked="0"/>
    </xf>
    <xf numFmtId="186" fontId="28" fillId="0" borderId="0">
      <protection locked="0"/>
    </xf>
    <xf numFmtId="186" fontId="28" fillId="0" borderId="0">
      <protection locked="0"/>
    </xf>
    <xf numFmtId="186" fontId="28" fillId="0" borderId="0">
      <protection locked="0"/>
    </xf>
    <xf numFmtId="186" fontId="28" fillId="0" borderId="0">
      <protection locked="0"/>
    </xf>
    <xf numFmtId="186" fontId="28" fillId="0" borderId="0">
      <protection locked="0"/>
    </xf>
    <xf numFmtId="186" fontId="28" fillId="0" borderId="0">
      <protection locked="0"/>
    </xf>
    <xf numFmtId="186" fontId="28" fillId="0" borderId="0">
      <protection locked="0"/>
    </xf>
    <xf numFmtId="186" fontId="28" fillId="0" borderId="0">
      <protection locked="0"/>
    </xf>
    <xf numFmtId="186" fontId="28" fillId="0" borderId="0">
      <protection locked="0"/>
    </xf>
    <xf numFmtId="186" fontId="28" fillId="0" borderId="0">
      <protection locked="0"/>
    </xf>
    <xf numFmtId="186" fontId="28" fillId="0" borderId="0">
      <protection locked="0"/>
    </xf>
    <xf numFmtId="186" fontId="28" fillId="0" borderId="0">
      <protection locked="0"/>
    </xf>
    <xf numFmtId="43" fontId="21" fillId="0" borderId="0">
      <protection locked="0"/>
    </xf>
    <xf numFmtId="43" fontId="21" fillId="0" borderId="0">
      <protection locked="0"/>
    </xf>
    <xf numFmtId="43" fontId="21" fillId="0" borderId="0">
      <protection locked="0"/>
    </xf>
    <xf numFmtId="43" fontId="21" fillId="0" borderId="0">
      <protection locked="0"/>
    </xf>
    <xf numFmtId="43" fontId="21" fillId="0" borderId="0">
      <protection locked="0"/>
    </xf>
    <xf numFmtId="43" fontId="21" fillId="0" borderId="0">
      <protection locked="0"/>
    </xf>
    <xf numFmtId="43" fontId="21" fillId="0" borderId="0">
      <protection locked="0"/>
    </xf>
    <xf numFmtId="43" fontId="21" fillId="0" borderId="0">
      <protection locked="0"/>
    </xf>
    <xf numFmtId="43" fontId="21" fillId="0" borderId="0">
      <protection locked="0"/>
    </xf>
    <xf numFmtId="43" fontId="21" fillId="0" borderId="0">
      <protection locked="0"/>
    </xf>
    <xf numFmtId="43" fontId="21" fillId="0" borderId="0">
      <protection locked="0"/>
    </xf>
    <xf numFmtId="43" fontId="21" fillId="0" borderId="0">
      <protection locked="0"/>
    </xf>
    <xf numFmtId="43" fontId="21" fillId="0" borderId="0">
      <protection locked="0"/>
    </xf>
    <xf numFmtId="43" fontId="21" fillId="0" borderId="0">
      <protection locked="0"/>
    </xf>
    <xf numFmtId="43" fontId="21" fillId="0" borderId="0">
      <protection locked="0"/>
    </xf>
    <xf numFmtId="43" fontId="21" fillId="0" borderId="0">
      <protection locked="0"/>
    </xf>
    <xf numFmtId="43" fontId="21" fillId="0" borderId="0">
      <protection locked="0"/>
    </xf>
    <xf numFmtId="43" fontId="21" fillId="0" borderId="0">
      <protection locked="0"/>
    </xf>
    <xf numFmtId="43" fontId="21" fillId="0" borderId="0">
      <protection locked="0"/>
    </xf>
    <xf numFmtId="43" fontId="21" fillId="0" borderId="0">
      <protection locked="0"/>
    </xf>
    <xf numFmtId="43" fontId="21" fillId="0" borderId="0">
      <protection locked="0"/>
    </xf>
    <xf numFmtId="43" fontId="21" fillId="0" borderId="0">
      <protection locked="0"/>
    </xf>
    <xf numFmtId="43" fontId="21" fillId="0" borderId="0">
      <protection locked="0"/>
    </xf>
    <xf numFmtId="43" fontId="21" fillId="0" borderId="0">
      <protection locked="0"/>
    </xf>
    <xf numFmtId="43" fontId="21" fillId="0" borderId="0">
      <protection locked="0"/>
    </xf>
    <xf numFmtId="43" fontId="21" fillId="0" borderId="0">
      <protection locked="0"/>
    </xf>
    <xf numFmtId="43" fontId="21" fillId="0" borderId="0">
      <protection locked="0"/>
    </xf>
    <xf numFmtId="43" fontId="21" fillId="0" borderId="0">
      <protection locked="0"/>
    </xf>
    <xf numFmtId="43" fontId="21" fillId="0" borderId="0">
      <protection locked="0"/>
    </xf>
    <xf numFmtId="43" fontId="21" fillId="0" borderId="0">
      <protection locked="0"/>
    </xf>
    <xf numFmtId="43" fontId="21" fillId="0" borderId="0">
      <protection locked="0"/>
    </xf>
    <xf numFmtId="43" fontId="21" fillId="0" borderId="0">
      <protection locked="0"/>
    </xf>
    <xf numFmtId="43" fontId="21" fillId="0" borderId="0">
      <protection locked="0"/>
    </xf>
    <xf numFmtId="43" fontId="21" fillId="0" borderId="0">
      <protection locked="0"/>
    </xf>
    <xf numFmtId="43" fontId="21" fillId="0" borderId="0">
      <protection locked="0"/>
    </xf>
    <xf numFmtId="43" fontId="21" fillId="0" borderId="0">
      <protection locked="0"/>
    </xf>
    <xf numFmtId="186" fontId="28" fillId="0" borderId="0">
      <protection locked="0"/>
    </xf>
    <xf numFmtId="186" fontId="28" fillId="0" borderId="0">
      <protection locked="0"/>
    </xf>
    <xf numFmtId="186" fontId="28" fillId="0" borderId="0">
      <protection locked="0"/>
    </xf>
    <xf numFmtId="186" fontId="28" fillId="0" borderId="0">
      <protection locked="0"/>
    </xf>
    <xf numFmtId="186" fontId="28" fillId="0" borderId="0">
      <protection locked="0"/>
    </xf>
    <xf numFmtId="186" fontId="28" fillId="0" borderId="0">
      <protection locked="0"/>
    </xf>
    <xf numFmtId="186" fontId="28" fillId="0" borderId="0">
      <protection locked="0"/>
    </xf>
    <xf numFmtId="186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186" fontId="28" fillId="0" borderId="0">
      <protection locked="0"/>
    </xf>
    <xf numFmtId="186" fontId="28" fillId="0" borderId="0">
      <protection locked="0"/>
    </xf>
    <xf numFmtId="186" fontId="29" fillId="0" borderId="0">
      <protection locked="0"/>
    </xf>
    <xf numFmtId="186" fontId="29" fillId="0" borderId="0">
      <protection locked="0"/>
    </xf>
    <xf numFmtId="186" fontId="29" fillId="0" borderId="0">
      <protection locked="0"/>
    </xf>
    <xf numFmtId="186" fontId="29" fillId="0" borderId="0">
      <protection locked="0"/>
    </xf>
    <xf numFmtId="186" fontId="29" fillId="0" borderId="0">
      <protection locked="0"/>
    </xf>
    <xf numFmtId="186" fontId="29" fillId="0" borderId="0">
      <protection locked="0"/>
    </xf>
    <xf numFmtId="186" fontId="29" fillId="0" borderId="0">
      <protection locked="0"/>
    </xf>
    <xf numFmtId="186" fontId="29" fillId="0" borderId="0">
      <protection locked="0"/>
    </xf>
    <xf numFmtId="186" fontId="29" fillId="0" borderId="0">
      <protection locked="0"/>
    </xf>
    <xf numFmtId="186" fontId="29" fillId="0" borderId="0">
      <protection locked="0"/>
    </xf>
    <xf numFmtId="186" fontId="29" fillId="0" borderId="0">
      <protection locked="0"/>
    </xf>
    <xf numFmtId="186" fontId="29" fillId="0" borderId="0">
      <protection locked="0"/>
    </xf>
    <xf numFmtId="186" fontId="29" fillId="0" borderId="0">
      <protection locked="0"/>
    </xf>
    <xf numFmtId="186" fontId="29" fillId="0" borderId="0">
      <protection locked="0"/>
    </xf>
    <xf numFmtId="186" fontId="29" fillId="0" borderId="0">
      <protection locked="0"/>
    </xf>
    <xf numFmtId="186" fontId="29" fillId="0" borderId="0">
      <protection locked="0"/>
    </xf>
    <xf numFmtId="186" fontId="29" fillId="0" borderId="0">
      <protection locked="0"/>
    </xf>
    <xf numFmtId="43" fontId="21" fillId="0" borderId="0">
      <protection locked="0"/>
    </xf>
    <xf numFmtId="43" fontId="21" fillId="0" borderId="0">
      <protection locked="0"/>
    </xf>
    <xf numFmtId="43" fontId="21" fillId="0" borderId="0">
      <protection locked="0"/>
    </xf>
    <xf numFmtId="43" fontId="21" fillId="0" borderId="0">
      <protection locked="0"/>
    </xf>
    <xf numFmtId="43" fontId="21" fillId="0" borderId="0">
      <protection locked="0"/>
    </xf>
    <xf numFmtId="43" fontId="21" fillId="0" borderId="0">
      <protection locked="0"/>
    </xf>
    <xf numFmtId="43" fontId="21" fillId="0" borderId="0">
      <protection locked="0"/>
    </xf>
    <xf numFmtId="43" fontId="21" fillId="0" borderId="0">
      <protection locked="0"/>
    </xf>
    <xf numFmtId="43" fontId="21" fillId="0" borderId="0">
      <protection locked="0"/>
    </xf>
    <xf numFmtId="43" fontId="21" fillId="0" borderId="0">
      <protection locked="0"/>
    </xf>
    <xf numFmtId="43" fontId="21" fillId="0" borderId="0">
      <protection locked="0"/>
    </xf>
    <xf numFmtId="43" fontId="21" fillId="0" borderId="0">
      <protection locked="0"/>
    </xf>
    <xf numFmtId="43" fontId="21" fillId="0" borderId="0">
      <protection locked="0"/>
    </xf>
    <xf numFmtId="43" fontId="21" fillId="0" borderId="0">
      <protection locked="0"/>
    </xf>
    <xf numFmtId="43" fontId="21" fillId="0" borderId="0">
      <protection locked="0"/>
    </xf>
    <xf numFmtId="43" fontId="21" fillId="0" borderId="0">
      <protection locked="0"/>
    </xf>
    <xf numFmtId="43" fontId="21" fillId="0" borderId="0">
      <protection locked="0"/>
    </xf>
    <xf numFmtId="43" fontId="21" fillId="0" borderId="0">
      <protection locked="0"/>
    </xf>
    <xf numFmtId="43" fontId="21" fillId="0" borderId="0">
      <protection locked="0"/>
    </xf>
    <xf numFmtId="43" fontId="21" fillId="0" borderId="0">
      <protection locked="0"/>
    </xf>
    <xf numFmtId="43" fontId="21" fillId="0" borderId="0">
      <protection locked="0"/>
    </xf>
    <xf numFmtId="43" fontId="21" fillId="0" borderId="0">
      <protection locked="0"/>
    </xf>
    <xf numFmtId="43" fontId="21" fillId="0" borderId="0">
      <protection locked="0"/>
    </xf>
    <xf numFmtId="43" fontId="21" fillId="0" borderId="0">
      <protection locked="0"/>
    </xf>
    <xf numFmtId="43" fontId="21" fillId="0" borderId="0">
      <protection locked="0"/>
    </xf>
    <xf numFmtId="43" fontId="21" fillId="0" borderId="0">
      <protection locked="0"/>
    </xf>
    <xf numFmtId="43" fontId="21" fillId="0" borderId="0">
      <protection locked="0"/>
    </xf>
    <xf numFmtId="43" fontId="21" fillId="0" borderId="0">
      <protection locked="0"/>
    </xf>
    <xf numFmtId="43" fontId="21" fillId="0" borderId="0">
      <protection locked="0"/>
    </xf>
    <xf numFmtId="43" fontId="21" fillId="0" borderId="0">
      <protection locked="0"/>
    </xf>
    <xf numFmtId="43" fontId="21" fillId="0" borderId="0">
      <protection locked="0"/>
    </xf>
    <xf numFmtId="43" fontId="21" fillId="0" borderId="0">
      <protection locked="0"/>
    </xf>
    <xf numFmtId="43" fontId="21" fillId="0" borderId="0">
      <protection locked="0"/>
    </xf>
    <xf numFmtId="43" fontId="21" fillId="0" borderId="0">
      <protection locked="0"/>
    </xf>
    <xf numFmtId="43" fontId="21" fillId="0" borderId="0">
      <protection locked="0"/>
    </xf>
    <xf numFmtId="43" fontId="21" fillId="0" borderId="0">
      <protection locked="0"/>
    </xf>
    <xf numFmtId="186" fontId="29" fillId="0" borderId="0">
      <protection locked="0"/>
    </xf>
    <xf numFmtId="186" fontId="29" fillId="0" borderId="0">
      <protection locked="0"/>
    </xf>
    <xf numFmtId="186" fontId="29" fillId="0" borderId="0">
      <protection locked="0"/>
    </xf>
    <xf numFmtId="186" fontId="29" fillId="0" borderId="0">
      <protection locked="0"/>
    </xf>
    <xf numFmtId="186" fontId="29" fillId="0" borderId="0">
      <protection locked="0"/>
    </xf>
    <xf numFmtId="186" fontId="29" fillId="0" borderId="0">
      <protection locked="0"/>
    </xf>
    <xf numFmtId="186" fontId="29" fillId="0" borderId="0">
      <protection locked="0"/>
    </xf>
    <xf numFmtId="186" fontId="29" fillId="0" borderId="0">
      <protection locked="0"/>
    </xf>
    <xf numFmtId="186" fontId="29" fillId="0" borderId="0">
      <protection locked="0"/>
    </xf>
    <xf numFmtId="186" fontId="29" fillId="0" borderId="0">
      <protection locked="0"/>
    </xf>
    <xf numFmtId="186" fontId="29" fillId="0" borderId="0">
      <protection locked="0"/>
    </xf>
    <xf numFmtId="186" fontId="29" fillId="0" borderId="0">
      <protection locked="0"/>
    </xf>
    <xf numFmtId="186" fontId="29" fillId="0" borderId="0">
      <protection locked="0"/>
    </xf>
    <xf numFmtId="186" fontId="29" fillId="0" borderId="0">
      <protection locked="0"/>
    </xf>
    <xf numFmtId="186" fontId="28" fillId="0" borderId="0">
      <protection locked="0"/>
    </xf>
    <xf numFmtId="186" fontId="28" fillId="0" borderId="0">
      <protection locked="0"/>
    </xf>
    <xf numFmtId="186" fontId="28" fillId="0" borderId="0">
      <protection locked="0"/>
    </xf>
    <xf numFmtId="186" fontId="28" fillId="0" borderId="0">
      <protection locked="0"/>
    </xf>
    <xf numFmtId="1" fontId="144" fillId="0" borderId="0"/>
    <xf numFmtId="0" fontId="21" fillId="0" borderId="0"/>
    <xf numFmtId="1" fontId="144" fillId="0" borderId="0"/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228" fontId="21" fillId="0" borderId="36" applyFont="0" applyFill="0" applyBorder="0" applyAlignment="0" applyProtection="0">
      <alignment vertical="center"/>
    </xf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26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145" fillId="16" borderId="0" applyNumberFormat="0" applyBorder="0" applyAlignment="0" applyProtection="0"/>
    <xf numFmtId="0" fontId="145" fillId="16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145" fillId="9" borderId="0" applyNumberFormat="0" applyBorder="0" applyAlignment="0" applyProtection="0"/>
    <xf numFmtId="0" fontId="145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145" fillId="13" borderId="0" applyNumberFormat="0" applyBorder="0" applyAlignment="0" applyProtection="0"/>
    <xf numFmtId="0" fontId="145" fillId="13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145" fillId="26" borderId="0" applyNumberFormat="0" applyBorder="0" applyAlignment="0" applyProtection="0"/>
    <xf numFmtId="0" fontId="145" fillId="26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145" fillId="16" borderId="0" applyNumberFormat="0" applyBorder="0" applyAlignment="0" applyProtection="0"/>
    <xf numFmtId="0" fontId="145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145" fillId="7" borderId="0" applyNumberFormat="0" applyBorder="0" applyAlignment="0" applyProtection="0"/>
    <xf numFmtId="0" fontId="145" fillId="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5" fillId="19" borderId="0" applyNumberFormat="0" applyBorder="0" applyAlignment="0">
      <alignment horizontal="center"/>
    </xf>
    <xf numFmtId="187" fontId="35" fillId="20" borderId="0" applyAlignment="0"/>
    <xf numFmtId="0" fontId="35" fillId="19" borderId="0" applyNumberFormat="0" applyBorder="0" applyAlignment="0">
      <alignment horizontal="center"/>
    </xf>
    <xf numFmtId="0" fontId="35" fillId="19" borderId="0" applyNumberFormat="0" applyBorder="0" applyAlignment="0">
      <alignment horizontal="center"/>
    </xf>
    <xf numFmtId="187" fontId="35" fillId="20" borderId="0" applyAlignment="0"/>
    <xf numFmtId="0" fontId="35" fillId="19" borderId="0" applyNumberFormat="0" applyBorder="0" applyAlignment="0">
      <alignment horizontal="center"/>
    </xf>
    <xf numFmtId="0" fontId="35" fillId="19" borderId="0" applyNumberFormat="0" applyBorder="0" applyAlignment="0">
      <alignment horizontal="center"/>
    </xf>
    <xf numFmtId="187" fontId="35" fillId="20" borderId="0" applyAlignment="0"/>
    <xf numFmtId="0" fontId="35" fillId="19" borderId="0" applyNumberFormat="0" applyBorder="0" applyAlignment="0">
      <alignment horizontal="center"/>
    </xf>
    <xf numFmtId="0" fontId="35" fillId="19" borderId="0" applyNumberFormat="0" applyBorder="0" applyAlignment="0">
      <alignment horizontal="center"/>
    </xf>
    <xf numFmtId="0" fontId="35" fillId="19" borderId="0" applyNumberFormat="0" applyBorder="0" applyAlignment="0">
      <alignment horizontal="center"/>
    </xf>
    <xf numFmtId="0" fontId="35" fillId="19" borderId="0" applyNumberFormat="0" applyBorder="0" applyAlignment="0">
      <alignment horizontal="center"/>
    </xf>
    <xf numFmtId="0" fontId="35" fillId="19" borderId="0" applyNumberFormat="0" applyBorder="0" applyAlignment="0">
      <alignment horizontal="center"/>
    </xf>
    <xf numFmtId="0" fontId="35" fillId="19" borderId="0" applyNumberFormat="0" applyBorder="0" applyAlignment="0">
      <alignment horizontal="center"/>
    </xf>
    <xf numFmtId="0" fontId="35" fillId="19" borderId="0" applyNumberFormat="0" applyBorder="0" applyAlignment="0">
      <alignment horizontal="center"/>
    </xf>
    <xf numFmtId="0" fontId="35" fillId="19" borderId="0" applyNumberFormat="0" applyBorder="0" applyAlignment="0">
      <alignment horizontal="center"/>
    </xf>
    <xf numFmtId="0" fontId="35" fillId="19" borderId="0" applyNumberFormat="0" applyBorder="0" applyAlignment="0">
      <alignment horizontal="center"/>
    </xf>
    <xf numFmtId="0" fontId="35" fillId="19" borderId="0" applyNumberFormat="0" applyBorder="0" applyAlignment="0">
      <alignment horizontal="center"/>
    </xf>
    <xf numFmtId="0" fontId="35" fillId="19" borderId="0" applyNumberFormat="0" applyBorder="0" applyAlignment="0">
      <alignment horizontal="center"/>
    </xf>
    <xf numFmtId="0" fontId="35" fillId="19" borderId="0" applyNumberFormat="0" applyBorder="0" applyAlignment="0">
      <alignment horizontal="center"/>
    </xf>
    <xf numFmtId="0" fontId="35" fillId="19" borderId="0" applyNumberFormat="0" applyBorder="0" applyAlignment="0">
      <alignment horizontal="center"/>
    </xf>
    <xf numFmtId="0" fontId="35" fillId="19" borderId="0" applyNumberFormat="0" applyBorder="0" applyAlignment="0">
      <alignment horizontal="center"/>
    </xf>
    <xf numFmtId="0" fontId="35" fillId="20" borderId="0" applyNumberFormat="0" applyBorder="0" applyAlignment="0"/>
    <xf numFmtId="187" fontId="35" fillId="20" borderId="0" applyAlignment="0"/>
    <xf numFmtId="0" fontId="35" fillId="19" borderId="0" applyNumberFormat="0" applyBorder="0" applyAlignment="0">
      <alignment horizontal="center"/>
    </xf>
    <xf numFmtId="0" fontId="35" fillId="19" borderId="0" applyNumberFormat="0" applyBorder="0" applyAlignment="0">
      <alignment horizontal="center"/>
    </xf>
    <xf numFmtId="187" fontId="35" fillId="20" borderId="0" applyAlignment="0"/>
    <xf numFmtId="0" fontId="46" fillId="43" borderId="0" applyNumberFormat="0" applyBorder="0" applyAlignment="0" applyProtection="0"/>
    <xf numFmtId="0" fontId="46" fillId="43" borderId="0" applyNumberFormat="0" applyBorder="0" applyAlignment="0" applyProtection="0"/>
    <xf numFmtId="0" fontId="146" fillId="44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145" fillId="16" borderId="0" applyNumberFormat="0" applyBorder="0" applyAlignment="0" applyProtection="0"/>
    <xf numFmtId="0" fontId="145" fillId="16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46" fillId="45" borderId="0" applyNumberFormat="0" applyBorder="0" applyAlignment="0" applyProtection="0"/>
    <xf numFmtId="0" fontId="46" fillId="46" borderId="0" applyNumberFormat="0" applyBorder="0" applyAlignment="0" applyProtection="0"/>
    <xf numFmtId="0" fontId="146" fillId="47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145" fillId="22" borderId="0" applyNumberFormat="0" applyBorder="0" applyAlignment="0" applyProtection="0"/>
    <xf numFmtId="0" fontId="145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46" fillId="45" borderId="0" applyNumberFormat="0" applyBorder="0" applyAlignment="0" applyProtection="0"/>
    <xf numFmtId="0" fontId="46" fillId="48" borderId="0" applyNumberFormat="0" applyBorder="0" applyAlignment="0" applyProtection="0"/>
    <xf numFmtId="0" fontId="146" fillId="46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145" fillId="23" borderId="0" applyNumberFormat="0" applyBorder="0" applyAlignment="0" applyProtection="0"/>
    <xf numFmtId="0" fontId="145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46" fillId="43" borderId="0" applyNumberFormat="0" applyBorder="0" applyAlignment="0" applyProtection="0"/>
    <xf numFmtId="0" fontId="46" fillId="46" borderId="0" applyNumberFormat="0" applyBorder="0" applyAlignment="0" applyProtection="0"/>
    <xf numFmtId="0" fontId="146" fillId="46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145" fillId="25" borderId="0" applyNumberFormat="0" applyBorder="0" applyAlignment="0" applyProtection="0"/>
    <xf numFmtId="0" fontId="145" fillId="2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46" fillId="49" borderId="0" applyNumberFormat="0" applyBorder="0" applyAlignment="0" applyProtection="0"/>
    <xf numFmtId="0" fontId="46" fillId="43" borderId="0" applyNumberFormat="0" applyBorder="0" applyAlignment="0" applyProtection="0"/>
    <xf numFmtId="0" fontId="146" fillId="44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136" fillId="42" borderId="0" applyNumberFormat="0" applyBorder="0" applyAlignment="0" applyProtection="0"/>
    <xf numFmtId="0" fontId="33" fillId="16" borderId="0" applyNumberFormat="0" applyBorder="0" applyAlignment="0" applyProtection="0"/>
    <xf numFmtId="0" fontId="145" fillId="16" borderId="0" applyNumberFormat="0" applyBorder="0" applyAlignment="0" applyProtection="0"/>
    <xf numFmtId="0" fontId="145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46" fillId="45" borderId="0" applyNumberFormat="0" applyBorder="0" applyAlignment="0" applyProtection="0"/>
    <xf numFmtId="0" fontId="46" fillId="50" borderId="0" applyNumberFormat="0" applyBorder="0" applyAlignment="0" applyProtection="0"/>
    <xf numFmtId="0" fontId="146" fillId="50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145" fillId="18" borderId="0" applyNumberFormat="0" applyBorder="0" applyAlignment="0" applyProtection="0"/>
    <xf numFmtId="0" fontId="145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222" fontId="21" fillId="0" borderId="0"/>
    <xf numFmtId="0" fontId="147" fillId="0" borderId="0" applyFont="0" applyFill="0" applyBorder="0" applyAlignment="0" applyProtection="0"/>
    <xf numFmtId="0" fontId="147" fillId="0" borderId="0" applyFont="0" applyFill="0" applyBorder="0" applyAlignment="0" applyProtection="0"/>
    <xf numFmtId="0" fontId="21" fillId="0" borderId="0"/>
    <xf numFmtId="0" fontId="147" fillId="0" borderId="0" applyFont="0" applyFill="0" applyBorder="0" applyAlignment="0" applyProtection="0"/>
    <xf numFmtId="0" fontId="147" fillId="0" borderId="0" applyFont="0" applyFill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Border="0">
      <alignment horizontal="center"/>
    </xf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171" fontId="150" fillId="0" borderId="94" applyAlignment="0" applyProtection="0"/>
    <xf numFmtId="39" fontId="137" fillId="0" borderId="30"/>
    <xf numFmtId="0" fontId="147" fillId="0" borderId="0"/>
    <xf numFmtId="0" fontId="147" fillId="0" borderId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34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34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3" fillId="26" borderId="95" applyNumberFormat="0" applyAlignment="0" applyProtection="0"/>
    <xf numFmtId="0" fontId="45" fillId="27" borderId="4" applyNumberFormat="0" applyAlignment="0" applyProtection="0"/>
    <xf numFmtId="0" fontId="45" fillId="27" borderId="4" applyNumberFormat="0" applyAlignment="0" applyProtection="0"/>
    <xf numFmtId="0" fontId="45" fillId="27" borderId="4" applyNumberFormat="0" applyAlignment="0" applyProtection="0"/>
    <xf numFmtId="0" fontId="45" fillId="27" borderId="4" applyNumberFormat="0" applyAlignment="0" applyProtection="0"/>
    <xf numFmtId="0" fontId="151" fillId="27" borderId="4" applyNumberFormat="0" applyAlignment="0" applyProtection="0"/>
    <xf numFmtId="0" fontId="151" fillId="27" borderId="4" applyNumberFormat="0" applyAlignment="0" applyProtection="0"/>
    <xf numFmtId="0" fontId="45" fillId="27" borderId="4" applyNumberFormat="0" applyAlignment="0" applyProtection="0"/>
    <xf numFmtId="0" fontId="45" fillId="27" borderId="4" applyNumberFormat="0" applyAlignment="0" applyProtection="0"/>
    <xf numFmtId="0" fontId="45" fillId="27" borderId="4" applyNumberFormat="0" applyAlignment="0" applyProtection="0"/>
    <xf numFmtId="0" fontId="45" fillId="27" borderId="4" applyNumberFormat="0" applyAlignment="0" applyProtection="0"/>
    <xf numFmtId="0" fontId="45" fillId="27" borderId="4" applyNumberFormat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110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110" fillId="0" borderId="0" applyFont="0" applyFill="0" applyBorder="0" applyAlignment="0" applyProtection="0"/>
    <xf numFmtId="168" fontId="36" fillId="0" borderId="0" applyFont="0" applyFill="0" applyBorder="0" applyAlignment="0" applyProtection="0">
      <alignment vertical="center"/>
    </xf>
    <xf numFmtId="168" fontId="36" fillId="0" borderId="0" applyFont="0" applyFill="0" applyBorder="0" applyAlignment="0" applyProtection="0">
      <alignment vertical="center"/>
    </xf>
    <xf numFmtId="168" fontId="36" fillId="0" borderId="0" applyFont="0" applyFill="0" applyBorder="0" applyAlignment="0" applyProtection="0">
      <alignment vertical="center"/>
    </xf>
    <xf numFmtId="168" fontId="36" fillId="0" borderId="0" applyFont="0" applyFill="0" applyBorder="0" applyAlignment="0" applyProtection="0">
      <alignment vertical="center"/>
    </xf>
    <xf numFmtId="168" fontId="36" fillId="0" borderId="0" applyFont="0" applyFill="0" applyBorder="0" applyAlignment="0" applyProtection="0">
      <alignment vertical="center"/>
    </xf>
    <xf numFmtId="168" fontId="36" fillId="0" borderId="0" applyFont="0" applyFill="0" applyBorder="0" applyAlignment="0" applyProtection="0">
      <alignment vertical="center"/>
    </xf>
    <xf numFmtId="168" fontId="36" fillId="0" borderId="0" applyFont="0" applyFill="0" applyBorder="0" applyAlignment="0" applyProtection="0">
      <alignment vertical="center"/>
    </xf>
    <xf numFmtId="168" fontId="36" fillId="0" borderId="0" applyFont="0" applyFill="0" applyBorder="0" applyAlignment="0" applyProtection="0">
      <alignment vertical="center"/>
    </xf>
    <xf numFmtId="168" fontId="36" fillId="0" borderId="0" applyFont="0" applyFill="0" applyBorder="0" applyAlignment="0" applyProtection="0">
      <alignment vertical="center"/>
    </xf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36" fillId="0" borderId="0" applyFont="0" applyFill="0" applyBorder="0" applyAlignment="0" applyProtection="0">
      <alignment vertical="center"/>
    </xf>
    <xf numFmtId="168" fontId="21" fillId="0" borderId="0" applyFont="0" applyFill="0" applyBorder="0" applyAlignment="0" applyProtection="0"/>
    <xf numFmtId="168" fontId="152" fillId="0" borderId="0" applyFont="0" applyFill="0" applyBorder="0" applyAlignment="0" applyProtection="0"/>
    <xf numFmtId="229" fontId="31" fillId="0" borderId="0" applyFont="0" applyFill="0" applyBorder="0" applyAlignment="0" applyProtection="0">
      <alignment vertical="center"/>
    </xf>
    <xf numFmtId="168" fontId="110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110" fillId="0" borderId="0" applyFont="0" applyFill="0" applyBorder="0" applyAlignment="0" applyProtection="0"/>
    <xf numFmtId="168" fontId="110" fillId="0" borderId="0" applyFont="0" applyFill="0" applyBorder="0" applyAlignment="0" applyProtection="0"/>
    <xf numFmtId="168" fontId="110" fillId="0" borderId="0" applyFont="0" applyFill="0" applyBorder="0" applyAlignment="0" applyProtection="0"/>
    <xf numFmtId="168" fontId="110" fillId="0" borderId="0" applyFont="0" applyFill="0" applyBorder="0" applyAlignment="0" applyProtection="0"/>
    <xf numFmtId="168" fontId="110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110" fillId="0" borderId="0" applyFont="0" applyFill="0" applyBorder="0" applyAlignment="0" applyProtection="0"/>
    <xf numFmtId="168" fontId="110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110" fillId="0" borderId="0" applyFont="0" applyFill="0" applyBorder="0" applyAlignment="0" applyProtection="0"/>
    <xf numFmtId="168" fontId="110" fillId="0" borderId="0" applyFont="0" applyFill="0" applyBorder="0" applyAlignment="0" applyProtection="0"/>
    <xf numFmtId="168" fontId="110" fillId="0" borderId="0" applyFont="0" applyFill="0" applyBorder="0" applyAlignment="0" applyProtection="0"/>
    <xf numFmtId="168" fontId="110" fillId="0" borderId="0" applyFont="0" applyFill="0" applyBorder="0" applyAlignment="0" applyProtection="0"/>
    <xf numFmtId="168" fontId="110" fillId="0" borderId="0" applyFont="0" applyFill="0" applyBorder="0" applyAlignment="0" applyProtection="0"/>
    <xf numFmtId="168" fontId="47" fillId="0" borderId="5" applyBorder="0" applyAlignment="0"/>
    <xf numFmtId="168" fontId="47" fillId="0" borderId="5" applyBorder="0" applyAlignment="0"/>
    <xf numFmtId="168" fontId="47" fillId="0" borderId="5" applyBorder="0" applyAlignment="0"/>
    <xf numFmtId="168" fontId="47" fillId="0" borderId="5" applyBorder="0" applyAlignment="0"/>
    <xf numFmtId="168" fontId="47" fillId="0" borderId="5" applyBorder="0" applyAlignment="0"/>
    <xf numFmtId="170" fontId="2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21" fillId="0" borderId="0"/>
    <xf numFmtId="170" fontId="46" fillId="0" borderId="0" applyFont="0" applyFill="0" applyBorder="0" applyAlignment="0" applyProtection="0"/>
    <xf numFmtId="170" fontId="46" fillId="0" borderId="0" applyFont="0" applyFill="0" applyBorder="0" applyAlignment="0" applyProtection="0"/>
    <xf numFmtId="170" fontId="46" fillId="0" borderId="0" applyFont="0" applyFill="0" applyBorder="0" applyAlignment="0" applyProtection="0"/>
    <xf numFmtId="170" fontId="46" fillId="0" borderId="0" applyFont="0" applyFill="0" applyBorder="0" applyAlignment="0" applyProtection="0"/>
    <xf numFmtId="170" fontId="46" fillId="0" borderId="0" applyFont="0" applyFill="0" applyBorder="0" applyAlignment="0" applyProtection="0"/>
    <xf numFmtId="170" fontId="46" fillId="0" borderId="0" applyFont="0" applyFill="0" applyBorder="0" applyAlignment="0" applyProtection="0"/>
    <xf numFmtId="170" fontId="46" fillId="0" borderId="0" applyFont="0" applyFill="0" applyBorder="0" applyAlignment="0" applyProtection="0"/>
    <xf numFmtId="170" fontId="46" fillId="0" borderId="0" applyFont="0" applyFill="0" applyBorder="0" applyAlignment="0" applyProtection="0"/>
    <xf numFmtId="170" fontId="46" fillId="0" borderId="0" applyFont="0" applyFill="0" applyBorder="0" applyAlignment="0" applyProtection="0"/>
    <xf numFmtId="170" fontId="46" fillId="0" borderId="0" applyFont="0" applyFill="0" applyBorder="0" applyAlignment="0" applyProtection="0"/>
    <xf numFmtId="170" fontId="46" fillId="0" borderId="0" applyFont="0" applyFill="0" applyBorder="0" applyAlignment="0" applyProtection="0"/>
    <xf numFmtId="170" fontId="46" fillId="0" borderId="0" applyFont="0" applyFill="0" applyBorder="0" applyAlignment="0" applyProtection="0"/>
    <xf numFmtId="170" fontId="46" fillId="0" borderId="0" applyFont="0" applyFill="0" applyBorder="0" applyAlignment="0" applyProtection="0"/>
    <xf numFmtId="170" fontId="46" fillId="0" borderId="0" applyFont="0" applyFill="0" applyBorder="0" applyAlignment="0" applyProtection="0"/>
    <xf numFmtId="170" fontId="46" fillId="0" borderId="0" applyFont="0" applyFill="0" applyBorder="0" applyAlignment="0" applyProtection="0"/>
    <xf numFmtId="170" fontId="46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58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21" fillId="0" borderId="0" applyFont="0" applyFill="0" applyBorder="0" applyAlignment="0" applyProtection="0"/>
    <xf numFmtId="170" fontId="21" fillId="0" borderId="0" applyFont="0" applyFill="0" applyBorder="0" applyAlignment="0" applyProtection="0"/>
    <xf numFmtId="170" fontId="2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2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21" fillId="0" borderId="0" applyFont="0" applyFill="0" applyBorder="0" applyAlignment="0" applyProtection="0"/>
    <xf numFmtId="170" fontId="21" fillId="0" borderId="0" applyFont="0" applyFill="0" applyBorder="0" applyAlignment="0" applyProtection="0"/>
    <xf numFmtId="170" fontId="21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1" fillId="0" borderId="0" applyFont="0" applyFill="0" applyBorder="0" applyAlignment="0" applyProtection="0">
      <alignment vertical="center"/>
    </xf>
    <xf numFmtId="170" fontId="153" fillId="0" borderId="0" applyFont="0" applyFill="0" applyBorder="0" applyAlignment="0" applyProtection="0"/>
    <xf numFmtId="170" fontId="153" fillId="0" borderId="0" applyFont="0" applyFill="0" applyBorder="0" applyAlignment="0" applyProtection="0"/>
    <xf numFmtId="170" fontId="153" fillId="0" borderId="0" applyFont="0" applyFill="0" applyBorder="0" applyAlignment="0" applyProtection="0"/>
    <xf numFmtId="170" fontId="153" fillId="0" borderId="0" applyFont="0" applyFill="0" applyBorder="0" applyAlignment="0" applyProtection="0"/>
    <xf numFmtId="170" fontId="21" fillId="0" borderId="0" applyFont="0" applyFill="0" applyBorder="0" applyAlignment="0" applyProtection="0"/>
    <xf numFmtId="170" fontId="21" fillId="0" borderId="0" applyFont="0" applyFill="0" applyBorder="0" applyAlignment="0" applyProtection="0"/>
    <xf numFmtId="170" fontId="2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21" fillId="0" borderId="0" applyFont="0" applyFill="0" applyBorder="0" applyAlignment="0" applyProtection="0"/>
    <xf numFmtId="170" fontId="51" fillId="0" borderId="0" applyFont="0" applyFill="0" applyBorder="0" applyAlignment="0" applyProtection="0"/>
    <xf numFmtId="192" fontId="21" fillId="0" borderId="0" applyFont="0" applyFill="0" applyBorder="0" applyAlignment="0" applyProtection="0"/>
    <xf numFmtId="170" fontId="21" fillId="0" borderId="0" applyFont="0" applyFill="0" applyBorder="0" applyAlignment="0" applyProtection="0"/>
    <xf numFmtId="170" fontId="21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36" fillId="0" borderId="0" applyFont="0" applyFill="0" applyBorder="0" applyAlignment="0" applyProtection="0">
      <alignment vertical="center"/>
    </xf>
    <xf numFmtId="170" fontId="36" fillId="0" borderId="0" applyFont="0" applyFill="0" applyBorder="0" applyAlignment="0" applyProtection="0">
      <alignment vertical="center"/>
    </xf>
    <xf numFmtId="170" fontId="36" fillId="0" borderId="0" applyFont="0" applyFill="0" applyBorder="0" applyAlignment="0" applyProtection="0">
      <alignment vertical="center"/>
    </xf>
    <xf numFmtId="170" fontId="36" fillId="0" borderId="0" applyFont="0" applyFill="0" applyBorder="0" applyAlignment="0" applyProtection="0">
      <alignment vertical="center"/>
    </xf>
    <xf numFmtId="170" fontId="21" fillId="0" borderId="0" applyFont="0" applyFill="0" applyBorder="0" applyAlignment="0" applyProtection="0"/>
    <xf numFmtId="170" fontId="21" fillId="0" borderId="0" applyFont="0" applyFill="0" applyBorder="0" applyAlignment="0" applyProtection="0"/>
    <xf numFmtId="170" fontId="21" fillId="0" borderId="0" applyFont="0" applyFill="0" applyBorder="0" applyAlignment="0" applyProtection="0"/>
    <xf numFmtId="170" fontId="21" fillId="0" borderId="0" applyFont="0" applyFill="0" applyBorder="0" applyAlignment="0" applyProtection="0"/>
    <xf numFmtId="170" fontId="21" fillId="0" borderId="0" applyFont="0" applyFill="0" applyBorder="0" applyAlignment="0" applyProtection="0"/>
    <xf numFmtId="170" fontId="21" fillId="0" borderId="0" applyFont="0" applyFill="0" applyBorder="0" applyAlignment="0" applyProtection="0"/>
    <xf numFmtId="170" fontId="21" fillId="0" borderId="0" applyFont="0" applyFill="0" applyBorder="0" applyAlignment="0" applyProtection="0"/>
    <xf numFmtId="170" fontId="21" fillId="0" borderId="0" applyFont="0" applyFill="0" applyBorder="0" applyAlignment="0" applyProtection="0"/>
    <xf numFmtId="170" fontId="21" fillId="0" borderId="0" applyFont="0" applyFill="0" applyBorder="0" applyAlignment="0" applyProtection="0"/>
    <xf numFmtId="170" fontId="21" fillId="0" borderId="0" applyFont="0" applyFill="0" applyBorder="0" applyAlignment="0" applyProtection="0"/>
    <xf numFmtId="170" fontId="21" fillId="0" borderId="0" applyFont="0" applyFill="0" applyBorder="0" applyAlignment="0" applyProtection="0"/>
    <xf numFmtId="170" fontId="36" fillId="0" borderId="0" applyFont="0" applyFill="0" applyBorder="0" applyAlignment="0" applyProtection="0">
      <alignment vertical="center"/>
    </xf>
    <xf numFmtId="170" fontId="31" fillId="0" borderId="0" applyFont="0" applyFill="0" applyBorder="0" applyAlignment="0" applyProtection="0">
      <alignment vertical="center"/>
    </xf>
    <xf numFmtId="170" fontId="21" fillId="0" borderId="0" applyFill="0" applyBorder="0" applyAlignment="0" applyProtection="0"/>
    <xf numFmtId="170" fontId="110" fillId="0" borderId="0" applyFont="0" applyFill="0" applyBorder="0" applyAlignment="0" applyProtection="0"/>
    <xf numFmtId="170" fontId="110" fillId="0" borderId="0" applyFont="0" applyFill="0" applyBorder="0" applyAlignment="0" applyProtection="0"/>
    <xf numFmtId="170" fontId="110" fillId="0" borderId="0" applyFont="0" applyFill="0" applyBorder="0" applyAlignment="0" applyProtection="0"/>
    <xf numFmtId="170" fontId="110" fillId="0" borderId="0" applyFont="0" applyFill="0" applyBorder="0" applyAlignment="0" applyProtection="0"/>
    <xf numFmtId="170" fontId="110" fillId="0" borderId="0" applyFont="0" applyFill="0" applyBorder="0" applyAlignment="0" applyProtection="0"/>
    <xf numFmtId="170" fontId="110" fillId="0" borderId="0" applyFont="0" applyFill="0" applyBorder="0" applyAlignment="0" applyProtection="0"/>
    <xf numFmtId="170" fontId="110" fillId="0" borderId="0" applyFont="0" applyFill="0" applyBorder="0" applyAlignment="0" applyProtection="0"/>
    <xf numFmtId="170" fontId="36" fillId="0" borderId="0" applyFont="0" applyFill="0" applyBorder="0" applyAlignment="0" applyProtection="0">
      <alignment vertical="center"/>
    </xf>
    <xf numFmtId="170" fontId="36" fillId="0" borderId="0" applyFont="0" applyFill="0" applyBorder="0" applyAlignment="0" applyProtection="0">
      <alignment vertical="center"/>
    </xf>
    <xf numFmtId="170" fontId="36" fillId="0" borderId="0" applyFont="0" applyFill="0" applyBorder="0" applyAlignment="0" applyProtection="0">
      <alignment vertical="center"/>
    </xf>
    <xf numFmtId="170" fontId="36" fillId="0" borderId="0" applyFont="0" applyFill="0" applyBorder="0" applyAlignment="0" applyProtection="0">
      <alignment vertical="center"/>
    </xf>
    <xf numFmtId="170" fontId="36" fillId="0" borderId="0" applyFont="0" applyFill="0" applyBorder="0" applyAlignment="0" applyProtection="0">
      <alignment vertical="center"/>
    </xf>
    <xf numFmtId="170" fontId="36" fillId="0" borderId="0" applyFont="0" applyFill="0" applyBorder="0" applyAlignment="0" applyProtection="0">
      <alignment vertical="center"/>
    </xf>
    <xf numFmtId="170" fontId="36" fillId="0" borderId="0" applyFont="0" applyFill="0" applyBorder="0" applyAlignment="0" applyProtection="0">
      <alignment vertical="center"/>
    </xf>
    <xf numFmtId="170" fontId="31" fillId="0" borderId="0" applyFont="0" applyFill="0" applyBorder="0" applyAlignment="0" applyProtection="0">
      <alignment vertical="center"/>
    </xf>
    <xf numFmtId="170" fontId="21" fillId="0" borderId="0" applyFont="0" applyFill="0" applyBorder="0" applyAlignment="0" applyProtection="0"/>
    <xf numFmtId="170" fontId="2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21" fillId="0" borderId="0" applyFont="0" applyFill="0" applyBorder="0" applyAlignment="0" applyProtection="0"/>
    <xf numFmtId="174" fontId="154" fillId="0" borderId="0" applyFont="0" applyFill="0" applyBorder="0" applyAlignment="0" applyProtection="0"/>
    <xf numFmtId="170" fontId="21" fillId="0" borderId="0" applyFont="0" applyFill="0" applyBorder="0" applyAlignment="0" applyProtection="0"/>
    <xf numFmtId="170" fontId="21" fillId="0" borderId="0" applyFont="0" applyFill="0" applyBorder="0" applyAlignment="0" applyProtection="0"/>
    <xf numFmtId="170" fontId="21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36" fillId="0" borderId="0" applyFont="0" applyFill="0" applyBorder="0" applyAlignment="0" applyProtection="0">
      <alignment vertical="center"/>
    </xf>
    <xf numFmtId="170" fontId="36" fillId="0" borderId="0" applyFont="0" applyFill="0" applyBorder="0" applyAlignment="0" applyProtection="0">
      <alignment vertical="center"/>
    </xf>
    <xf numFmtId="170" fontId="36" fillId="0" borderId="0" applyFont="0" applyFill="0" applyBorder="0" applyAlignment="0" applyProtection="0">
      <alignment vertical="center"/>
    </xf>
    <xf numFmtId="170" fontId="36" fillId="0" borderId="0" applyFont="0" applyFill="0" applyBorder="0" applyAlignment="0" applyProtection="0">
      <alignment vertical="center"/>
    </xf>
    <xf numFmtId="170" fontId="36" fillId="0" borderId="0" applyFont="0" applyFill="0" applyBorder="0" applyAlignment="0" applyProtection="0">
      <alignment vertical="center"/>
    </xf>
    <xf numFmtId="170" fontId="36" fillId="0" borderId="0" applyFont="0" applyFill="0" applyBorder="0" applyAlignment="0" applyProtection="0">
      <alignment vertical="center"/>
    </xf>
    <xf numFmtId="170" fontId="36" fillId="0" borderId="0" applyFont="0" applyFill="0" applyBorder="0" applyAlignment="0" applyProtection="0">
      <alignment vertical="center"/>
    </xf>
    <xf numFmtId="170" fontId="36" fillId="0" borderId="0" applyFont="0" applyFill="0" applyBorder="0" applyAlignment="0" applyProtection="0">
      <alignment vertical="center"/>
    </xf>
    <xf numFmtId="170" fontId="36" fillId="0" borderId="0" applyFont="0" applyFill="0" applyBorder="0" applyAlignment="0" applyProtection="0">
      <alignment vertical="center"/>
    </xf>
    <xf numFmtId="170" fontId="36" fillId="0" borderId="0" applyFont="0" applyFill="0" applyBorder="0" applyAlignment="0" applyProtection="0">
      <alignment vertical="center"/>
    </xf>
    <xf numFmtId="170" fontId="36" fillId="0" borderId="0" applyFont="0" applyFill="0" applyBorder="0" applyAlignment="0" applyProtection="0">
      <alignment vertical="center"/>
    </xf>
    <xf numFmtId="170" fontId="36" fillId="0" borderId="0" applyFont="0" applyFill="0" applyBorder="0" applyAlignment="0" applyProtection="0">
      <alignment vertical="center"/>
    </xf>
    <xf numFmtId="170" fontId="36" fillId="0" borderId="0" applyFont="0" applyFill="0" applyBorder="0" applyAlignment="0" applyProtection="0">
      <alignment vertical="center"/>
    </xf>
    <xf numFmtId="170" fontId="36" fillId="0" borderId="0" applyFont="0" applyFill="0" applyBorder="0" applyAlignment="0" applyProtection="0">
      <alignment vertical="center"/>
    </xf>
    <xf numFmtId="170" fontId="36" fillId="0" borderId="0" applyFont="0" applyFill="0" applyBorder="0" applyAlignment="0" applyProtection="0">
      <alignment vertical="center"/>
    </xf>
    <xf numFmtId="170" fontId="36" fillId="0" borderId="0" applyFont="0" applyFill="0" applyBorder="0" applyAlignment="0" applyProtection="0">
      <alignment vertical="center"/>
    </xf>
    <xf numFmtId="170" fontId="36" fillId="0" borderId="0" applyFont="0" applyFill="0" applyBorder="0" applyAlignment="0" applyProtection="0">
      <alignment vertical="center"/>
    </xf>
    <xf numFmtId="170" fontId="36" fillId="0" borderId="0" applyFont="0" applyFill="0" applyBorder="0" applyAlignment="0" applyProtection="0">
      <alignment vertical="center"/>
    </xf>
    <xf numFmtId="170" fontId="36" fillId="0" borderId="0" applyFont="0" applyFill="0" applyBorder="0" applyAlignment="0" applyProtection="0">
      <alignment vertical="center"/>
    </xf>
    <xf numFmtId="170" fontId="36" fillId="0" borderId="0" applyFont="0" applyFill="0" applyBorder="0" applyAlignment="0" applyProtection="0">
      <alignment vertical="center"/>
    </xf>
    <xf numFmtId="170" fontId="36" fillId="0" borderId="0" applyFont="0" applyFill="0" applyBorder="0" applyAlignment="0" applyProtection="0">
      <alignment vertical="center"/>
    </xf>
    <xf numFmtId="170" fontId="36" fillId="0" borderId="0" applyFont="0" applyFill="0" applyBorder="0" applyAlignment="0" applyProtection="0">
      <alignment vertical="center"/>
    </xf>
    <xf numFmtId="170" fontId="36" fillId="0" borderId="0" applyFont="0" applyFill="0" applyBorder="0" applyAlignment="0" applyProtection="0">
      <alignment vertical="center"/>
    </xf>
    <xf numFmtId="170" fontId="36" fillId="0" borderId="0" applyFont="0" applyFill="0" applyBorder="0" applyAlignment="0" applyProtection="0">
      <alignment vertical="center"/>
    </xf>
    <xf numFmtId="170" fontId="36" fillId="0" borderId="0" applyFont="0" applyFill="0" applyBorder="0" applyAlignment="0" applyProtection="0">
      <alignment vertical="center"/>
    </xf>
    <xf numFmtId="170" fontId="36" fillId="0" borderId="0" applyFont="0" applyFill="0" applyBorder="0" applyAlignment="0" applyProtection="0">
      <alignment vertical="center"/>
    </xf>
    <xf numFmtId="170" fontId="36" fillId="0" borderId="0" applyFont="0" applyFill="0" applyBorder="0" applyAlignment="0" applyProtection="0">
      <alignment vertical="center"/>
    </xf>
    <xf numFmtId="170" fontId="36" fillId="0" borderId="0" applyFont="0" applyFill="0" applyBorder="0" applyAlignment="0" applyProtection="0">
      <alignment vertical="center"/>
    </xf>
    <xf numFmtId="170" fontId="36" fillId="0" borderId="0" applyFont="0" applyFill="0" applyBorder="0" applyAlignment="0" applyProtection="0">
      <alignment vertical="center"/>
    </xf>
    <xf numFmtId="170" fontId="36" fillId="0" borderId="0" applyFont="0" applyFill="0" applyBorder="0" applyAlignment="0" applyProtection="0">
      <alignment vertical="center"/>
    </xf>
    <xf numFmtId="170" fontId="36" fillId="0" borderId="0" applyFont="0" applyFill="0" applyBorder="0" applyAlignment="0" applyProtection="0">
      <alignment vertical="center"/>
    </xf>
    <xf numFmtId="170" fontId="36" fillId="0" borderId="0" applyFont="0" applyFill="0" applyBorder="0" applyAlignment="0" applyProtection="0">
      <alignment vertical="center"/>
    </xf>
    <xf numFmtId="170" fontId="36" fillId="0" borderId="0" applyFont="0" applyFill="0" applyBorder="0" applyAlignment="0" applyProtection="0">
      <alignment vertical="center"/>
    </xf>
    <xf numFmtId="170" fontId="36" fillId="0" borderId="0" applyFont="0" applyFill="0" applyBorder="0" applyAlignment="0" applyProtection="0">
      <alignment vertical="center"/>
    </xf>
    <xf numFmtId="170" fontId="36" fillId="0" borderId="0" applyFont="0" applyFill="0" applyBorder="0" applyAlignment="0" applyProtection="0">
      <alignment vertical="center"/>
    </xf>
    <xf numFmtId="170" fontId="36" fillId="0" borderId="0" applyFont="0" applyFill="0" applyBorder="0" applyAlignment="0" applyProtection="0">
      <alignment vertical="center"/>
    </xf>
    <xf numFmtId="170" fontId="36" fillId="0" borderId="0" applyFont="0" applyFill="0" applyBorder="0" applyAlignment="0" applyProtection="0">
      <alignment vertical="center"/>
    </xf>
    <xf numFmtId="170" fontId="36" fillId="0" borderId="0" applyFont="0" applyFill="0" applyBorder="0" applyAlignment="0" applyProtection="0">
      <alignment vertical="center"/>
    </xf>
    <xf numFmtId="170" fontId="36" fillId="0" borderId="0" applyFont="0" applyFill="0" applyBorder="0" applyAlignment="0" applyProtection="0">
      <alignment vertical="center"/>
    </xf>
    <xf numFmtId="170" fontId="36" fillId="0" borderId="0" applyFont="0" applyFill="0" applyBorder="0" applyAlignment="0" applyProtection="0">
      <alignment vertical="center"/>
    </xf>
    <xf numFmtId="170" fontId="36" fillId="0" borderId="0" applyFont="0" applyFill="0" applyBorder="0" applyAlignment="0" applyProtection="0">
      <alignment vertical="center"/>
    </xf>
    <xf numFmtId="170" fontId="36" fillId="0" borderId="0" applyFont="0" applyFill="0" applyBorder="0" applyAlignment="0" applyProtection="0">
      <alignment vertical="center"/>
    </xf>
    <xf numFmtId="170" fontId="36" fillId="0" borderId="0" applyFont="0" applyFill="0" applyBorder="0" applyAlignment="0" applyProtection="0">
      <alignment vertical="center"/>
    </xf>
    <xf numFmtId="170" fontId="36" fillId="0" borderId="0" applyFont="0" applyFill="0" applyBorder="0" applyAlignment="0" applyProtection="0">
      <alignment vertical="center"/>
    </xf>
    <xf numFmtId="170" fontId="36" fillId="0" borderId="0" applyFont="0" applyFill="0" applyBorder="0" applyAlignment="0" applyProtection="0">
      <alignment vertical="center"/>
    </xf>
    <xf numFmtId="170" fontId="36" fillId="0" borderId="0" applyFont="0" applyFill="0" applyBorder="0" applyAlignment="0" applyProtection="0">
      <alignment vertical="center"/>
    </xf>
    <xf numFmtId="170" fontId="36" fillId="0" borderId="0" applyFont="0" applyFill="0" applyBorder="0" applyAlignment="0" applyProtection="0">
      <alignment vertical="center"/>
    </xf>
    <xf numFmtId="170" fontId="36" fillId="0" borderId="0" applyFont="0" applyFill="0" applyBorder="0" applyAlignment="0" applyProtection="0">
      <alignment vertical="center"/>
    </xf>
    <xf numFmtId="170" fontId="36" fillId="0" borderId="0" applyFont="0" applyFill="0" applyBorder="0" applyAlignment="0" applyProtection="0">
      <alignment vertical="center"/>
    </xf>
    <xf numFmtId="170" fontId="36" fillId="0" borderId="0" applyFont="0" applyFill="0" applyBorder="0" applyAlignment="0" applyProtection="0">
      <alignment vertical="center"/>
    </xf>
    <xf numFmtId="170" fontId="36" fillId="0" borderId="0" applyFont="0" applyFill="0" applyBorder="0" applyAlignment="0" applyProtection="0">
      <alignment vertical="center"/>
    </xf>
    <xf numFmtId="170" fontId="36" fillId="0" borderId="0" applyFont="0" applyFill="0" applyBorder="0" applyAlignment="0" applyProtection="0">
      <alignment vertical="center"/>
    </xf>
    <xf numFmtId="170" fontId="36" fillId="0" borderId="0" applyFont="0" applyFill="0" applyBorder="0" applyAlignment="0" applyProtection="0">
      <alignment vertical="center"/>
    </xf>
    <xf numFmtId="170" fontId="36" fillId="0" borderId="0" applyFont="0" applyFill="0" applyBorder="0" applyAlignment="0" applyProtection="0">
      <alignment vertical="center"/>
    </xf>
    <xf numFmtId="170" fontId="36" fillId="0" borderId="0" applyFont="0" applyFill="0" applyBorder="0" applyAlignment="0" applyProtection="0">
      <alignment vertical="center"/>
    </xf>
    <xf numFmtId="170" fontId="21" fillId="0" borderId="0" applyFont="0" applyFill="0" applyBorder="0" applyAlignment="0" applyProtection="0"/>
    <xf numFmtId="170" fontId="21" fillId="0" borderId="0" applyFont="0" applyFill="0" applyBorder="0" applyAlignment="0" applyProtection="0"/>
    <xf numFmtId="170" fontId="36" fillId="0" borderId="0" applyFont="0" applyFill="0" applyBorder="0" applyAlignment="0" applyProtection="0">
      <alignment vertical="center"/>
    </xf>
    <xf numFmtId="170" fontId="36" fillId="0" borderId="0" applyFont="0" applyFill="0" applyBorder="0" applyAlignment="0" applyProtection="0">
      <alignment vertical="center"/>
    </xf>
    <xf numFmtId="170" fontId="36" fillId="0" borderId="0" applyFont="0" applyFill="0" applyBorder="0" applyAlignment="0" applyProtection="0">
      <alignment vertical="center"/>
    </xf>
    <xf numFmtId="170" fontId="36" fillId="0" borderId="0" applyFont="0" applyFill="0" applyBorder="0" applyAlignment="0" applyProtection="0">
      <alignment vertical="center"/>
    </xf>
    <xf numFmtId="170" fontId="36" fillId="0" borderId="0" applyFont="0" applyFill="0" applyBorder="0" applyAlignment="0" applyProtection="0">
      <alignment vertical="center"/>
    </xf>
    <xf numFmtId="170" fontId="36" fillId="0" borderId="0" applyFont="0" applyFill="0" applyBorder="0" applyAlignment="0" applyProtection="0">
      <alignment vertical="center"/>
    </xf>
    <xf numFmtId="170" fontId="36" fillId="0" borderId="0" applyFont="0" applyFill="0" applyBorder="0" applyAlignment="0" applyProtection="0">
      <alignment vertical="center"/>
    </xf>
    <xf numFmtId="170" fontId="36" fillId="0" borderId="0" applyFont="0" applyFill="0" applyBorder="0" applyAlignment="0" applyProtection="0">
      <alignment vertical="center"/>
    </xf>
    <xf numFmtId="170" fontId="36" fillId="0" borderId="0" applyFont="0" applyFill="0" applyBorder="0" applyAlignment="0" applyProtection="0">
      <alignment vertical="center"/>
    </xf>
    <xf numFmtId="170" fontId="36" fillId="0" borderId="0" applyFont="0" applyFill="0" applyBorder="0" applyAlignment="0" applyProtection="0">
      <alignment vertical="center"/>
    </xf>
    <xf numFmtId="170" fontId="36" fillId="0" borderId="0" applyFont="0" applyFill="0" applyBorder="0" applyAlignment="0" applyProtection="0">
      <alignment vertical="center"/>
    </xf>
    <xf numFmtId="170" fontId="36" fillId="0" borderId="0" applyFont="0" applyFill="0" applyBorder="0" applyAlignment="0" applyProtection="0">
      <alignment vertical="center"/>
    </xf>
    <xf numFmtId="170" fontId="36" fillId="0" borderId="0" applyFont="0" applyFill="0" applyBorder="0" applyAlignment="0" applyProtection="0">
      <alignment vertical="center"/>
    </xf>
    <xf numFmtId="170" fontId="36" fillId="0" borderId="0" applyFont="0" applyFill="0" applyBorder="0" applyAlignment="0" applyProtection="0">
      <alignment vertical="center"/>
    </xf>
    <xf numFmtId="170" fontId="36" fillId="0" borderId="0" applyFont="0" applyFill="0" applyBorder="0" applyAlignment="0" applyProtection="0">
      <alignment vertical="center"/>
    </xf>
    <xf numFmtId="170" fontId="36" fillId="0" borderId="0" applyFont="0" applyFill="0" applyBorder="0" applyAlignment="0" applyProtection="0">
      <alignment vertical="center"/>
    </xf>
    <xf numFmtId="170" fontId="36" fillId="0" borderId="0" applyFont="0" applyFill="0" applyBorder="0" applyAlignment="0" applyProtection="0">
      <alignment vertical="center"/>
    </xf>
    <xf numFmtId="170" fontId="36" fillId="0" borderId="0" applyFont="0" applyFill="0" applyBorder="0" applyAlignment="0" applyProtection="0">
      <alignment vertical="center"/>
    </xf>
    <xf numFmtId="170" fontId="36" fillId="0" borderId="0" applyFont="0" applyFill="0" applyBorder="0" applyAlignment="0" applyProtection="0">
      <alignment vertical="center"/>
    </xf>
    <xf numFmtId="170" fontId="36" fillId="0" borderId="0" applyFont="0" applyFill="0" applyBorder="0" applyAlignment="0" applyProtection="0">
      <alignment vertical="center"/>
    </xf>
    <xf numFmtId="170" fontId="36" fillId="0" borderId="0" applyFont="0" applyFill="0" applyBorder="0" applyAlignment="0" applyProtection="0">
      <alignment vertical="center"/>
    </xf>
    <xf numFmtId="170" fontId="36" fillId="0" borderId="0" applyFont="0" applyFill="0" applyBorder="0" applyAlignment="0" applyProtection="0">
      <alignment vertical="center"/>
    </xf>
    <xf numFmtId="170" fontId="36" fillId="0" borderId="0" applyFont="0" applyFill="0" applyBorder="0" applyAlignment="0" applyProtection="0">
      <alignment vertical="center"/>
    </xf>
    <xf numFmtId="170" fontId="36" fillId="0" borderId="0" applyFont="0" applyFill="0" applyBorder="0" applyAlignment="0" applyProtection="0">
      <alignment vertical="center"/>
    </xf>
    <xf numFmtId="170" fontId="36" fillId="0" borderId="0" applyFont="0" applyFill="0" applyBorder="0" applyAlignment="0" applyProtection="0">
      <alignment vertical="center"/>
    </xf>
    <xf numFmtId="170" fontId="36" fillId="0" borderId="0" applyFont="0" applyFill="0" applyBorder="0" applyAlignment="0" applyProtection="0">
      <alignment vertical="center"/>
    </xf>
    <xf numFmtId="170" fontId="36" fillId="0" borderId="0" applyFont="0" applyFill="0" applyBorder="0" applyAlignment="0" applyProtection="0">
      <alignment vertical="center"/>
    </xf>
    <xf numFmtId="170" fontId="36" fillId="0" borderId="0" applyFont="0" applyFill="0" applyBorder="0" applyAlignment="0" applyProtection="0">
      <alignment vertical="center"/>
    </xf>
    <xf numFmtId="170" fontId="36" fillId="0" borderId="0" applyFont="0" applyFill="0" applyBorder="0" applyAlignment="0" applyProtection="0">
      <alignment vertical="center"/>
    </xf>
    <xf numFmtId="170" fontId="36" fillId="0" borderId="0" applyFont="0" applyFill="0" applyBorder="0" applyAlignment="0" applyProtection="0">
      <alignment vertical="center"/>
    </xf>
    <xf numFmtId="170" fontId="36" fillId="0" borderId="0" applyFont="0" applyFill="0" applyBorder="0" applyAlignment="0" applyProtection="0">
      <alignment vertical="center"/>
    </xf>
    <xf numFmtId="170" fontId="36" fillId="0" borderId="0" applyFont="0" applyFill="0" applyBorder="0" applyAlignment="0" applyProtection="0">
      <alignment vertical="center"/>
    </xf>
    <xf numFmtId="170" fontId="36" fillId="0" borderId="0" applyFont="0" applyFill="0" applyBorder="0" applyAlignment="0" applyProtection="0">
      <alignment vertical="center"/>
    </xf>
    <xf numFmtId="170" fontId="36" fillId="0" borderId="0" applyFont="0" applyFill="0" applyBorder="0" applyAlignment="0" applyProtection="0">
      <alignment vertical="center"/>
    </xf>
    <xf numFmtId="170" fontId="36" fillId="0" borderId="0" applyFont="0" applyFill="0" applyBorder="0" applyAlignment="0" applyProtection="0">
      <alignment vertical="center"/>
    </xf>
    <xf numFmtId="170" fontId="36" fillId="0" borderId="0" applyFont="0" applyFill="0" applyBorder="0" applyAlignment="0" applyProtection="0">
      <alignment vertical="center"/>
    </xf>
    <xf numFmtId="170" fontId="36" fillId="0" borderId="0" applyFont="0" applyFill="0" applyBorder="0" applyAlignment="0" applyProtection="0">
      <alignment vertical="center"/>
    </xf>
    <xf numFmtId="170" fontId="36" fillId="0" borderId="0" applyFont="0" applyFill="0" applyBorder="0" applyAlignment="0" applyProtection="0">
      <alignment vertical="center"/>
    </xf>
    <xf numFmtId="170" fontId="36" fillId="0" borderId="0" applyFont="0" applyFill="0" applyBorder="0" applyAlignment="0" applyProtection="0">
      <alignment vertical="center"/>
    </xf>
    <xf numFmtId="170" fontId="36" fillId="0" borderId="0" applyFont="0" applyFill="0" applyBorder="0" applyAlignment="0" applyProtection="0">
      <alignment vertical="center"/>
    </xf>
    <xf numFmtId="170" fontId="36" fillId="0" borderId="0" applyFont="0" applyFill="0" applyBorder="0" applyAlignment="0" applyProtection="0">
      <alignment vertical="center"/>
    </xf>
    <xf numFmtId="170" fontId="36" fillId="0" borderId="0" applyFont="0" applyFill="0" applyBorder="0" applyAlignment="0" applyProtection="0">
      <alignment vertical="center"/>
    </xf>
    <xf numFmtId="170" fontId="36" fillId="0" borderId="0" applyFont="0" applyFill="0" applyBorder="0" applyAlignment="0" applyProtection="0">
      <alignment vertical="center"/>
    </xf>
    <xf numFmtId="170" fontId="36" fillId="0" borderId="0" applyFont="0" applyFill="0" applyBorder="0" applyAlignment="0" applyProtection="0">
      <alignment vertical="center"/>
    </xf>
    <xf numFmtId="170" fontId="36" fillId="0" borderId="0" applyFont="0" applyFill="0" applyBorder="0" applyAlignment="0" applyProtection="0">
      <alignment vertical="center"/>
    </xf>
    <xf numFmtId="170" fontId="36" fillId="0" borderId="0" applyFont="0" applyFill="0" applyBorder="0" applyAlignment="0" applyProtection="0">
      <alignment vertical="center"/>
    </xf>
    <xf numFmtId="170" fontId="36" fillId="0" borderId="0" applyFont="0" applyFill="0" applyBorder="0" applyAlignment="0" applyProtection="0">
      <alignment vertical="center"/>
    </xf>
    <xf numFmtId="170" fontId="36" fillId="0" borderId="0" applyFont="0" applyFill="0" applyBorder="0" applyAlignment="0" applyProtection="0">
      <alignment vertical="center"/>
    </xf>
    <xf numFmtId="170" fontId="36" fillId="0" borderId="0" applyFont="0" applyFill="0" applyBorder="0" applyAlignment="0" applyProtection="0">
      <alignment vertical="center"/>
    </xf>
    <xf numFmtId="170" fontId="36" fillId="0" borderId="0" applyFont="0" applyFill="0" applyBorder="0" applyAlignment="0" applyProtection="0">
      <alignment vertical="center"/>
    </xf>
    <xf numFmtId="170" fontId="36" fillId="0" borderId="0" applyFont="0" applyFill="0" applyBorder="0" applyAlignment="0" applyProtection="0">
      <alignment vertical="center"/>
    </xf>
    <xf numFmtId="170" fontId="36" fillId="0" borderId="0" applyFont="0" applyFill="0" applyBorder="0" applyAlignment="0" applyProtection="0">
      <alignment vertical="center"/>
    </xf>
    <xf numFmtId="170" fontId="36" fillId="0" borderId="0" applyFont="0" applyFill="0" applyBorder="0" applyAlignment="0" applyProtection="0">
      <alignment vertical="center"/>
    </xf>
    <xf numFmtId="170" fontId="36" fillId="0" borderId="0" applyFont="0" applyFill="0" applyBorder="0" applyAlignment="0" applyProtection="0">
      <alignment vertical="center"/>
    </xf>
    <xf numFmtId="170" fontId="36" fillId="0" borderId="0" applyFont="0" applyFill="0" applyBorder="0" applyAlignment="0" applyProtection="0">
      <alignment vertical="center"/>
    </xf>
    <xf numFmtId="170" fontId="36" fillId="0" borderId="0" applyFont="0" applyFill="0" applyBorder="0" applyAlignment="0" applyProtection="0">
      <alignment vertical="center"/>
    </xf>
    <xf numFmtId="170" fontId="36" fillId="0" borderId="0" applyFont="0" applyFill="0" applyBorder="0" applyAlignment="0" applyProtection="0">
      <alignment vertical="center"/>
    </xf>
    <xf numFmtId="170" fontId="36" fillId="0" borderId="0" applyFont="0" applyFill="0" applyBorder="0" applyAlignment="0" applyProtection="0">
      <alignment vertical="center"/>
    </xf>
    <xf numFmtId="170" fontId="36" fillId="0" borderId="0" applyFont="0" applyFill="0" applyBorder="0" applyAlignment="0" applyProtection="0">
      <alignment vertical="center"/>
    </xf>
    <xf numFmtId="170" fontId="36" fillId="0" borderId="0" applyFont="0" applyFill="0" applyBorder="0" applyAlignment="0" applyProtection="0">
      <alignment vertical="center"/>
    </xf>
    <xf numFmtId="170" fontId="36" fillId="0" borderId="0" applyFont="0" applyFill="0" applyBorder="0" applyAlignment="0" applyProtection="0">
      <alignment vertical="center"/>
    </xf>
    <xf numFmtId="170" fontId="155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170" fontId="21" fillId="0" borderId="0" applyFont="0" applyFill="0" applyBorder="0" applyAlignment="0" applyProtection="0"/>
    <xf numFmtId="170" fontId="21" fillId="0" borderId="0" applyFont="0" applyFill="0" applyBorder="0" applyAlignment="0" applyProtection="0"/>
    <xf numFmtId="230" fontId="156" fillId="51" borderId="0" applyFill="0">
      <alignment horizontal="left" vertical="top"/>
      <protection locked="0"/>
    </xf>
    <xf numFmtId="164" fontId="21" fillId="0" borderId="0" applyFont="0" applyFill="0" applyBorder="0" applyAlignment="0" applyProtection="0"/>
    <xf numFmtId="231" fontId="21" fillId="0" borderId="0" applyFont="0" applyFill="0" applyBorder="0" applyAlignment="0"/>
    <xf numFmtId="174" fontId="21" fillId="0" borderId="0" applyFont="0" applyFill="0" applyBorder="0" applyAlignment="0"/>
    <xf numFmtId="169" fontId="21" fillId="0" borderId="0" applyFont="0" applyFill="0" applyBorder="0" applyAlignment="0" applyProtection="0"/>
    <xf numFmtId="176" fontId="21" fillId="0" borderId="0" applyFont="0" applyFill="0" applyBorder="0" applyAlignment="0" applyProtection="0"/>
    <xf numFmtId="176" fontId="21" fillId="0" borderId="0" applyFont="0" applyFill="0" applyBorder="0" applyAlignment="0" applyProtection="0"/>
    <xf numFmtId="176" fontId="21" fillId="0" borderId="0" applyFont="0" applyFill="0" applyBorder="0" applyAlignment="0" applyProtection="0"/>
    <xf numFmtId="176" fontId="21" fillId="0" borderId="0" applyFont="0" applyFill="0" applyBorder="0" applyAlignment="0" applyProtection="0"/>
    <xf numFmtId="0" fontId="52" fillId="0" borderId="96"/>
    <xf numFmtId="0" fontId="52" fillId="0" borderId="96"/>
    <xf numFmtId="0" fontId="52" fillId="0" borderId="96"/>
    <xf numFmtId="0" fontId="52" fillId="0" borderId="96"/>
    <xf numFmtId="0" fontId="52" fillId="0" borderId="96"/>
    <xf numFmtId="0" fontId="52" fillId="0" borderId="96"/>
    <xf numFmtId="0" fontId="52" fillId="0" borderId="96"/>
    <xf numFmtId="0" fontId="52" fillId="0" borderId="96"/>
    <xf numFmtId="0" fontId="52" fillId="0" borderId="96"/>
    <xf numFmtId="0" fontId="52" fillId="0" borderId="96"/>
    <xf numFmtId="0" fontId="52" fillId="0" borderId="96"/>
    <xf numFmtId="0" fontId="52" fillId="0" borderId="96"/>
    <xf numFmtId="0" fontId="52" fillId="0" borderId="96"/>
    <xf numFmtId="0" fontId="52" fillId="0" borderId="96"/>
    <xf numFmtId="0" fontId="52" fillId="0" borderId="96"/>
    <xf numFmtId="15" fontId="99" fillId="0" borderId="0" applyFill="0" applyBorder="0" applyAlignment="0"/>
    <xf numFmtId="232" fontId="157" fillId="33" borderId="0" applyFont="0" applyFill="0" applyBorder="0" applyAlignment="0" applyProtection="0"/>
    <xf numFmtId="232" fontId="157" fillId="33" borderId="45" applyFont="0" applyFill="0" applyBorder="0" applyAlignment="0" applyProtection="0"/>
    <xf numFmtId="17" fontId="99" fillId="0" borderId="0" applyFill="0" applyBorder="0">
      <alignment horizontal="right"/>
    </xf>
    <xf numFmtId="233" fontId="21" fillId="0" borderId="0" applyFont="0" applyFill="0" applyBorder="0" applyAlignment="0" applyProtection="0"/>
    <xf numFmtId="234" fontId="21" fillId="0" borderId="0" applyFont="0" applyFill="0" applyBorder="0" applyAlignment="0" applyProtection="0"/>
    <xf numFmtId="235" fontId="21" fillId="0" borderId="0" applyFill="0" applyBorder="0" applyAlignment="0" applyProtection="0"/>
    <xf numFmtId="235" fontId="21" fillId="0" borderId="0" applyFill="0" applyBorder="0" applyAlignment="0" applyProtection="0"/>
    <xf numFmtId="235" fontId="21" fillId="0" borderId="0" applyFill="0" applyBorder="0" applyAlignment="0" applyProtection="0"/>
    <xf numFmtId="235" fontId="21" fillId="0" borderId="0" applyFill="0" applyBorder="0" applyAlignment="0" applyProtection="0"/>
    <xf numFmtId="235" fontId="21" fillId="0" borderId="0" applyFill="0" applyBorder="0" applyAlignment="0" applyProtection="0"/>
    <xf numFmtId="235" fontId="21" fillId="0" borderId="0" applyFill="0" applyBorder="0" applyAlignment="0" applyProtection="0"/>
    <xf numFmtId="235" fontId="21" fillId="0" borderId="0" applyFill="0" applyBorder="0" applyAlignment="0" applyProtection="0"/>
    <xf numFmtId="235" fontId="21" fillId="0" borderId="0" applyFill="0" applyBorder="0" applyAlignment="0" applyProtection="0"/>
    <xf numFmtId="0" fontId="21" fillId="0" borderId="0" applyFill="0" applyBorder="0" applyAlignment="0" applyProtection="0"/>
    <xf numFmtId="0" fontId="3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236" fontId="21" fillId="0" borderId="0">
      <protection locked="0"/>
    </xf>
    <xf numFmtId="236" fontId="21" fillId="0" borderId="0">
      <protection locked="0"/>
    </xf>
    <xf numFmtId="236" fontId="21" fillId="0" borderId="0">
      <protection locked="0"/>
    </xf>
    <xf numFmtId="236" fontId="21" fillId="0" borderId="0">
      <protection locked="0"/>
    </xf>
    <xf numFmtId="236" fontId="21" fillId="0" borderId="0">
      <protection locked="0"/>
    </xf>
    <xf numFmtId="236" fontId="21" fillId="0" borderId="0">
      <protection locked="0"/>
    </xf>
    <xf numFmtId="236" fontId="21" fillId="0" borderId="0">
      <protection locked="0"/>
    </xf>
    <xf numFmtId="236" fontId="21" fillId="0" borderId="0">
      <protection locked="0"/>
    </xf>
    <xf numFmtId="236" fontId="21" fillId="0" borderId="0">
      <protection locked="0"/>
    </xf>
    <xf numFmtId="236" fontId="21" fillId="0" borderId="0">
      <protection locked="0"/>
    </xf>
    <xf numFmtId="236" fontId="21" fillId="0" borderId="0">
      <protection locked="0"/>
    </xf>
    <xf numFmtId="236" fontId="21" fillId="0" borderId="0">
      <protection locked="0"/>
    </xf>
    <xf numFmtId="236" fontId="21" fillId="0" borderId="0">
      <protection locked="0"/>
    </xf>
    <xf numFmtId="236" fontId="21" fillId="0" borderId="0">
      <protection locked="0"/>
    </xf>
    <xf numFmtId="236" fontId="21" fillId="0" borderId="0">
      <protection locked="0"/>
    </xf>
    <xf numFmtId="236" fontId="21" fillId="0" borderId="0">
      <protection locked="0"/>
    </xf>
    <xf numFmtId="236" fontId="21" fillId="0" borderId="0">
      <protection locked="0"/>
    </xf>
    <xf numFmtId="236" fontId="21" fillId="0" borderId="0">
      <protection locked="0"/>
    </xf>
    <xf numFmtId="236" fontId="21" fillId="0" borderId="0">
      <protection locked="0"/>
    </xf>
    <xf numFmtId="236" fontId="21" fillId="0" borderId="0">
      <protection locked="0"/>
    </xf>
    <xf numFmtId="236" fontId="21" fillId="0" borderId="0">
      <protection locked="0"/>
    </xf>
    <xf numFmtId="236" fontId="21" fillId="0" borderId="0">
      <protection locked="0"/>
    </xf>
    <xf numFmtId="236" fontId="21" fillId="0" borderId="0">
      <protection locked="0"/>
    </xf>
    <xf numFmtId="236" fontId="21" fillId="0" borderId="0">
      <protection locked="0"/>
    </xf>
    <xf numFmtId="236" fontId="21" fillId="0" borderId="0">
      <protection locked="0"/>
    </xf>
    <xf numFmtId="236" fontId="21" fillId="0" borderId="0">
      <protection locked="0"/>
    </xf>
    <xf numFmtId="236" fontId="21" fillId="0" borderId="0">
      <protection locked="0"/>
    </xf>
    <xf numFmtId="236" fontId="21" fillId="0" borderId="0">
      <protection locked="0"/>
    </xf>
    <xf numFmtId="236" fontId="21" fillId="0" borderId="0">
      <protection locked="0"/>
    </xf>
    <xf numFmtId="236" fontId="21" fillId="0" borderId="0">
      <protection locked="0"/>
    </xf>
    <xf numFmtId="236" fontId="21" fillId="0" borderId="0">
      <protection locked="0"/>
    </xf>
    <xf numFmtId="236" fontId="21" fillId="0" borderId="0">
      <protection locked="0"/>
    </xf>
    <xf numFmtId="236" fontId="21" fillId="0" borderId="0">
      <protection locked="0"/>
    </xf>
    <xf numFmtId="236" fontId="21" fillId="0" borderId="0">
      <protection locked="0"/>
    </xf>
    <xf numFmtId="236" fontId="21" fillId="0" borderId="0">
      <protection locked="0"/>
    </xf>
    <xf numFmtId="236" fontId="21" fillId="0" borderId="0">
      <protection locked="0"/>
    </xf>
    <xf numFmtId="236" fontId="21" fillId="0" borderId="0">
      <protection locked="0"/>
    </xf>
    <xf numFmtId="236" fontId="21" fillId="0" borderId="0">
      <protection locked="0"/>
    </xf>
    <xf numFmtId="236" fontId="21" fillId="0" borderId="0">
      <protection locked="0"/>
    </xf>
    <xf numFmtId="236" fontId="21" fillId="0" borderId="0">
      <protection locked="0"/>
    </xf>
    <xf numFmtId="236" fontId="21" fillId="0" borderId="0">
      <protection locked="0"/>
    </xf>
    <xf numFmtId="236" fontId="21" fillId="0" borderId="0">
      <protection locked="0"/>
    </xf>
    <xf numFmtId="236" fontId="21" fillId="0" borderId="0">
      <protection locked="0"/>
    </xf>
    <xf numFmtId="236" fontId="21" fillId="0" borderId="0">
      <protection locked="0"/>
    </xf>
    <xf numFmtId="236" fontId="21" fillId="0" borderId="0">
      <protection locked="0"/>
    </xf>
    <xf numFmtId="236" fontId="21" fillId="0" borderId="0">
      <protection locked="0"/>
    </xf>
    <xf numFmtId="236" fontId="21" fillId="0" borderId="0">
      <protection locked="0"/>
    </xf>
    <xf numFmtId="236" fontId="21" fillId="0" borderId="0">
      <protection locked="0"/>
    </xf>
    <xf numFmtId="236" fontId="21" fillId="0" borderId="0">
      <protection locked="0"/>
    </xf>
    <xf numFmtId="236" fontId="21" fillId="0" borderId="0">
      <protection locked="0"/>
    </xf>
    <xf numFmtId="236" fontId="21" fillId="0" borderId="0">
      <protection locked="0"/>
    </xf>
    <xf numFmtId="236" fontId="21" fillId="0" borderId="0">
      <protection locked="0"/>
    </xf>
    <xf numFmtId="236" fontId="21" fillId="0" borderId="0">
      <protection locked="0"/>
    </xf>
    <xf numFmtId="236" fontId="21" fillId="0" borderId="0">
      <protection locked="0"/>
    </xf>
    <xf numFmtId="236" fontId="21" fillId="0" borderId="0">
      <protection locked="0"/>
    </xf>
    <xf numFmtId="236" fontId="21" fillId="0" borderId="0">
      <protection locked="0"/>
    </xf>
    <xf numFmtId="236" fontId="21" fillId="0" borderId="0">
      <protection locked="0"/>
    </xf>
    <xf numFmtId="236" fontId="21" fillId="0" borderId="0">
      <protection locked="0"/>
    </xf>
    <xf numFmtId="236" fontId="21" fillId="0" borderId="0">
      <protection locked="0"/>
    </xf>
    <xf numFmtId="236" fontId="21" fillId="0" borderId="0">
      <protection locked="0"/>
    </xf>
    <xf numFmtId="236" fontId="21" fillId="0" borderId="0">
      <protection locked="0"/>
    </xf>
    <xf numFmtId="236" fontId="21" fillId="0" borderId="0">
      <protection locked="0"/>
    </xf>
    <xf numFmtId="236" fontId="21" fillId="0" borderId="0">
      <protection locked="0"/>
    </xf>
    <xf numFmtId="237" fontId="157" fillId="33" borderId="0" applyFont="0" applyFill="0" applyBorder="0" applyAlignment="0"/>
    <xf numFmtId="238" fontId="53" fillId="0" borderId="0" applyFont="0">
      <alignment horizontal="left"/>
      <protection locked="0"/>
    </xf>
    <xf numFmtId="0" fontId="57" fillId="4" borderId="0" applyNumberFormat="0" applyBorder="0" applyAlignment="0" applyProtection="0"/>
    <xf numFmtId="0" fontId="57" fillId="4" borderId="0" applyNumberFormat="0" applyBorder="0" applyAlignment="0" applyProtection="0"/>
    <xf numFmtId="0" fontId="57" fillId="4" borderId="0" applyNumberFormat="0" applyBorder="0" applyAlignment="0" applyProtection="0"/>
    <xf numFmtId="0" fontId="57" fillId="4" borderId="0" applyNumberFormat="0" applyBorder="0" applyAlignment="0" applyProtection="0"/>
    <xf numFmtId="0" fontId="57" fillId="4" borderId="0" applyNumberFormat="0" applyBorder="0" applyAlignment="0" applyProtection="0"/>
    <xf numFmtId="0" fontId="57" fillId="4" borderId="0" applyNumberFormat="0" applyBorder="0" applyAlignment="0" applyProtection="0"/>
    <xf numFmtId="0" fontId="57" fillId="4" borderId="0" applyNumberFormat="0" applyBorder="0" applyAlignment="0" applyProtection="0"/>
    <xf numFmtId="0" fontId="57" fillId="4" borderId="0" applyNumberFormat="0" applyBorder="0" applyAlignment="0" applyProtection="0"/>
    <xf numFmtId="0" fontId="57" fillId="4" borderId="0" applyNumberFormat="0" applyBorder="0" applyAlignment="0" applyProtection="0"/>
    <xf numFmtId="0" fontId="57" fillId="4" borderId="0" applyNumberFormat="0" applyBorder="0" applyAlignment="0" applyProtection="0"/>
    <xf numFmtId="0" fontId="57" fillId="4" borderId="0" applyNumberFormat="0" applyBorder="0" applyAlignment="0" applyProtection="0"/>
    <xf numFmtId="230" fontId="158" fillId="0" borderId="0">
      <alignment horizontal="left"/>
    </xf>
    <xf numFmtId="0" fontId="59" fillId="31" borderId="8"/>
    <xf numFmtId="0" fontId="59" fillId="31" borderId="8"/>
    <xf numFmtId="0" fontId="59" fillId="31" borderId="8"/>
    <xf numFmtId="0" fontId="59" fillId="31" borderId="8"/>
    <xf numFmtId="0" fontId="59" fillId="31" borderId="8"/>
    <xf numFmtId="0" fontId="59" fillId="31" borderId="8"/>
    <xf numFmtId="0" fontId="59" fillId="31" borderId="8"/>
    <xf numFmtId="0" fontId="59" fillId="31" borderId="8"/>
    <xf numFmtId="0" fontId="59" fillId="31" borderId="8"/>
    <xf numFmtId="0" fontId="60" fillId="0" borderId="9" applyNumberFormat="0" applyAlignment="0" applyProtection="0">
      <alignment horizontal="left" vertical="center"/>
    </xf>
    <xf numFmtId="0" fontId="60" fillId="0" borderId="9" applyNumberFormat="0" applyAlignment="0" applyProtection="0">
      <alignment horizontal="left" vertical="center"/>
    </xf>
    <xf numFmtId="0" fontId="60" fillId="0" borderId="9" applyNumberFormat="0" applyAlignment="0" applyProtection="0">
      <alignment horizontal="left" vertical="center"/>
    </xf>
    <xf numFmtId="0" fontId="60" fillId="0" borderId="9" applyNumberFormat="0" applyAlignment="0" applyProtection="0">
      <alignment horizontal="left" vertical="center"/>
    </xf>
    <xf numFmtId="0" fontId="60" fillId="0" borderId="9" applyNumberFormat="0" applyAlignment="0" applyProtection="0">
      <alignment horizontal="left" vertical="center"/>
    </xf>
    <xf numFmtId="0" fontId="60" fillId="0" borderId="9" applyNumberFormat="0" applyAlignment="0" applyProtection="0">
      <alignment horizontal="left" vertical="center"/>
    </xf>
    <xf numFmtId="0" fontId="60" fillId="0" borderId="9" applyNumberFormat="0" applyAlignment="0" applyProtection="0">
      <alignment horizontal="left" vertical="center"/>
    </xf>
    <xf numFmtId="0" fontId="60" fillId="0" borderId="9" applyNumberFormat="0" applyAlignment="0" applyProtection="0">
      <alignment horizontal="left" vertical="center"/>
    </xf>
    <xf numFmtId="0" fontId="60" fillId="0" borderId="9" applyNumberFormat="0" applyAlignment="0" applyProtection="0">
      <alignment horizontal="left" vertical="center"/>
    </xf>
    <xf numFmtId="0" fontId="60" fillId="0" borderId="9" applyNumberFormat="0" applyAlignment="0" applyProtection="0">
      <alignment horizontal="left" vertical="center"/>
    </xf>
    <xf numFmtId="0" fontId="60" fillId="0" borderId="9" applyNumberFormat="0" applyAlignment="0" applyProtection="0">
      <alignment horizontal="left" vertical="center"/>
    </xf>
    <xf numFmtId="0" fontId="60" fillId="0" borderId="9" applyNumberFormat="0" applyAlignment="0" applyProtection="0">
      <alignment horizontal="left" vertical="center"/>
    </xf>
    <xf numFmtId="0" fontId="60" fillId="0" borderId="9" applyNumberFormat="0" applyAlignment="0" applyProtection="0">
      <alignment horizontal="left" vertical="center"/>
    </xf>
    <xf numFmtId="0" fontId="60" fillId="0" borderId="9" applyNumberFormat="0" applyAlignment="0" applyProtection="0">
      <alignment horizontal="left" vertical="center"/>
    </xf>
    <xf numFmtId="0" fontId="60" fillId="0" borderId="9" applyNumberFormat="0" applyAlignment="0" applyProtection="0">
      <alignment horizontal="left" vertical="center"/>
    </xf>
    <xf numFmtId="0" fontId="60" fillId="0" borderId="9" applyNumberFormat="0" applyAlignment="0" applyProtection="0">
      <alignment horizontal="left" vertical="center"/>
    </xf>
    <xf numFmtId="0" fontId="60" fillId="0" borderId="9" applyNumberFormat="0" applyAlignment="0" applyProtection="0">
      <alignment horizontal="left" vertical="center"/>
    </xf>
    <xf numFmtId="0" fontId="60" fillId="0" borderId="93">
      <alignment horizontal="left" vertical="center"/>
    </xf>
    <xf numFmtId="0" fontId="60" fillId="0" borderId="93">
      <alignment horizontal="left" vertical="center"/>
    </xf>
    <xf numFmtId="0" fontId="60" fillId="0" borderId="93">
      <alignment horizontal="left" vertical="center"/>
    </xf>
    <xf numFmtId="0" fontId="60" fillId="0" borderId="93">
      <alignment horizontal="left" vertical="center"/>
    </xf>
    <xf numFmtId="0" fontId="60" fillId="0" borderId="93">
      <alignment horizontal="left" vertical="center"/>
    </xf>
    <xf numFmtId="0" fontId="60" fillId="0" borderId="93">
      <alignment horizontal="left" vertical="center"/>
    </xf>
    <xf numFmtId="0" fontId="60" fillId="0" borderId="93">
      <alignment horizontal="left" vertical="center"/>
    </xf>
    <xf numFmtId="0" fontId="60" fillId="0" borderId="93">
      <alignment horizontal="left" vertical="center"/>
    </xf>
    <xf numFmtId="0" fontId="60" fillId="0" borderId="93">
      <alignment horizontal="left" vertical="center"/>
    </xf>
    <xf numFmtId="0" fontId="60" fillId="0" borderId="93">
      <alignment horizontal="left" vertical="center"/>
    </xf>
    <xf numFmtId="0" fontId="60" fillId="0" borderId="93">
      <alignment horizontal="left" vertical="center"/>
    </xf>
    <xf numFmtId="0" fontId="60" fillId="0" borderId="93">
      <alignment horizontal="left" vertical="center"/>
    </xf>
    <xf numFmtId="0" fontId="60" fillId="0" borderId="93">
      <alignment horizontal="left" vertical="center"/>
    </xf>
    <xf numFmtId="0" fontId="60" fillId="0" borderId="93">
      <alignment horizontal="left" vertical="center"/>
    </xf>
    <xf numFmtId="0" fontId="60" fillId="0" borderId="93">
      <alignment horizontal="left" vertical="center"/>
    </xf>
    <xf numFmtId="0" fontId="60" fillId="0" borderId="93">
      <alignment horizontal="left" vertical="center"/>
    </xf>
    <xf numFmtId="0" fontId="60" fillId="0" borderId="93">
      <alignment horizontal="left" vertical="center"/>
    </xf>
    <xf numFmtId="0" fontId="60" fillId="0" borderId="93">
      <alignment horizontal="left" vertical="center"/>
    </xf>
    <xf numFmtId="0" fontId="60" fillId="0" borderId="93">
      <alignment horizontal="left" vertical="center"/>
    </xf>
    <xf numFmtId="0" fontId="60" fillId="0" borderId="93">
      <alignment horizontal="left" vertical="center"/>
    </xf>
    <xf numFmtId="0" fontId="60" fillId="0" borderId="93">
      <alignment horizontal="left" vertical="center"/>
    </xf>
    <xf numFmtId="0" fontId="60" fillId="0" borderId="93">
      <alignment horizontal="left" vertical="center"/>
    </xf>
    <xf numFmtId="0" fontId="60" fillId="0" borderId="93">
      <alignment horizontal="left" vertical="center"/>
    </xf>
    <xf numFmtId="0" fontId="60" fillId="0" borderId="93">
      <alignment horizontal="left" vertical="center"/>
    </xf>
    <xf numFmtId="0" fontId="60" fillId="0" borderId="93">
      <alignment horizontal="left" vertical="center"/>
    </xf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63" fillId="0" borderId="13" applyNumberFormat="0" applyFill="0" applyAlignment="0" applyProtection="0"/>
    <xf numFmtId="0" fontId="63" fillId="0" borderId="13" applyNumberFormat="0" applyFill="0" applyAlignment="0" applyProtection="0"/>
    <xf numFmtId="0" fontId="63" fillId="0" borderId="13" applyNumberFormat="0" applyFill="0" applyAlignment="0" applyProtection="0"/>
    <xf numFmtId="0" fontId="63" fillId="0" borderId="13" applyNumberFormat="0" applyFill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64" fillId="0" borderId="14" applyNumberFormat="0" applyFill="0" applyAlignment="0" applyProtection="0"/>
    <xf numFmtId="0" fontId="64" fillId="0" borderId="14" applyNumberFormat="0" applyFill="0" applyAlignment="0" applyProtection="0"/>
    <xf numFmtId="0" fontId="64" fillId="0" borderId="14" applyNumberFormat="0" applyFill="0" applyAlignment="0" applyProtection="0"/>
    <xf numFmtId="0" fontId="64" fillId="0" borderId="14" applyNumberFormat="0" applyFill="0" applyAlignment="0" applyProtection="0"/>
    <xf numFmtId="0" fontId="159" fillId="0" borderId="97" applyNumberFormat="0" applyFill="0" applyAlignment="0" applyProtection="0"/>
    <xf numFmtId="0" fontId="159" fillId="0" borderId="97" applyNumberFormat="0" applyFill="0" applyAlignment="0" applyProtection="0"/>
    <xf numFmtId="0" fontId="64" fillId="0" borderId="14" applyNumberFormat="0" applyFill="0" applyAlignment="0" applyProtection="0"/>
    <xf numFmtId="0" fontId="64" fillId="0" borderId="14" applyNumberFormat="0" applyFill="0" applyAlignment="0" applyProtection="0"/>
    <xf numFmtId="0" fontId="64" fillId="0" borderId="14" applyNumberFormat="0" applyFill="0" applyAlignment="0" applyProtection="0"/>
    <xf numFmtId="0" fontId="64" fillId="0" borderId="14" applyNumberFormat="0" applyFill="0" applyAlignment="0" applyProtection="0"/>
    <xf numFmtId="0" fontId="64" fillId="0" borderId="14" applyNumberFormat="0" applyFill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23" fillId="32" borderId="11">
      <alignment vertical="center" wrapText="1"/>
    </xf>
    <xf numFmtId="0" fontId="23" fillId="32" borderId="11">
      <alignment vertical="center" wrapText="1"/>
    </xf>
    <xf numFmtId="186" fontId="160" fillId="0" borderId="0">
      <protection locked="0"/>
    </xf>
    <xf numFmtId="236" fontId="21" fillId="0" borderId="0">
      <protection locked="0"/>
    </xf>
    <xf numFmtId="186" fontId="65" fillId="0" borderId="0">
      <protection locked="0"/>
    </xf>
    <xf numFmtId="236" fontId="21" fillId="0" borderId="0">
      <protection locked="0"/>
    </xf>
    <xf numFmtId="236" fontId="21" fillId="0" borderId="0">
      <protection locked="0"/>
    </xf>
    <xf numFmtId="236" fontId="21" fillId="0" borderId="0">
      <protection locked="0"/>
    </xf>
    <xf numFmtId="236" fontId="21" fillId="0" borderId="0">
      <protection locked="0"/>
    </xf>
    <xf numFmtId="236" fontId="21" fillId="0" borderId="0">
      <protection locked="0"/>
    </xf>
    <xf numFmtId="236" fontId="21" fillId="0" borderId="0">
      <protection locked="0"/>
    </xf>
    <xf numFmtId="236" fontId="21" fillId="0" borderId="0">
      <protection locked="0"/>
    </xf>
    <xf numFmtId="186" fontId="160" fillId="0" borderId="0">
      <protection locked="0"/>
    </xf>
    <xf numFmtId="236" fontId="21" fillId="0" borderId="0">
      <protection locked="0"/>
    </xf>
    <xf numFmtId="236" fontId="21" fillId="0" borderId="0">
      <protection locked="0"/>
    </xf>
    <xf numFmtId="236" fontId="21" fillId="0" borderId="0">
      <protection locked="0"/>
    </xf>
    <xf numFmtId="236" fontId="21" fillId="0" borderId="0">
      <protection locked="0"/>
    </xf>
    <xf numFmtId="236" fontId="21" fillId="0" borderId="0">
      <protection locked="0"/>
    </xf>
    <xf numFmtId="236" fontId="21" fillId="0" borderId="0">
      <protection locked="0"/>
    </xf>
    <xf numFmtId="0" fontId="161" fillId="0" borderId="0" applyNumberFormat="0" applyFill="0" applyBorder="0" applyAlignment="0" applyProtection="0">
      <alignment vertical="top"/>
      <protection locked="0"/>
    </xf>
    <xf numFmtId="0" fontId="162" fillId="0" borderId="0" applyNumberFormat="0" applyFill="0" applyBorder="0" applyAlignment="0" applyProtection="0">
      <alignment vertical="top"/>
      <protection locked="0"/>
    </xf>
    <xf numFmtId="0" fontId="163" fillId="0" borderId="0" applyNumberFormat="0" applyFill="0" applyBorder="0" applyAlignment="0" applyProtection="0">
      <alignment vertical="top"/>
      <protection locked="0"/>
    </xf>
    <xf numFmtId="0" fontId="164" fillId="0" borderId="42"/>
    <xf numFmtId="0" fontId="165" fillId="33" borderId="16" applyNumberFormat="0" applyBorder="0" applyAlignment="0" applyProtection="0">
      <alignment vertical="center"/>
    </xf>
    <xf numFmtId="0" fontId="165" fillId="33" borderId="16" applyNumberFormat="0" applyBorder="0" applyAlignment="0" applyProtection="0">
      <alignment vertical="center"/>
    </xf>
    <xf numFmtId="0" fontId="165" fillId="33" borderId="16" applyNumberFormat="0" applyBorder="0" applyAlignment="0" applyProtection="0">
      <alignment vertical="center"/>
    </xf>
    <xf numFmtId="0" fontId="165" fillId="33" borderId="16" applyNumberFormat="0" applyBorder="0" applyAlignment="0" applyProtection="0">
      <alignment vertical="center"/>
    </xf>
    <xf numFmtId="0" fontId="165" fillId="33" borderId="16" applyNumberFormat="0" applyBorder="0" applyAlignment="0" applyProtection="0">
      <alignment vertical="center"/>
    </xf>
    <xf numFmtId="0" fontId="165" fillId="33" borderId="16" applyNumberFormat="0" applyBorder="0" applyAlignment="0" applyProtection="0">
      <alignment vertical="center"/>
    </xf>
    <xf numFmtId="0" fontId="165" fillId="33" borderId="16" applyNumberFormat="0" applyBorder="0" applyAlignment="0" applyProtection="0">
      <alignment vertical="center"/>
    </xf>
    <xf numFmtId="0" fontId="165" fillId="33" borderId="16" applyNumberFormat="0" applyBorder="0" applyAlignment="0" applyProtection="0">
      <alignment vertical="center"/>
    </xf>
    <xf numFmtId="0" fontId="165" fillId="33" borderId="16" applyNumberFormat="0" applyBorder="0" applyAlignment="0" applyProtection="0">
      <alignment vertical="center"/>
    </xf>
    <xf numFmtId="0" fontId="165" fillId="33" borderId="16" applyNumberFormat="0" applyBorder="0" applyAlignment="0" applyProtection="0">
      <alignment vertical="center"/>
    </xf>
    <xf numFmtId="0" fontId="165" fillId="33" borderId="16" applyNumberFormat="0" applyBorder="0" applyAlignment="0" applyProtection="0">
      <alignment vertical="center"/>
    </xf>
    <xf numFmtId="0" fontId="165" fillId="33" borderId="16" applyNumberFormat="0" applyBorder="0" applyAlignment="0" applyProtection="0">
      <alignment vertical="center"/>
    </xf>
    <xf numFmtId="0" fontId="165" fillId="33" borderId="16" applyNumberFormat="0" applyBorder="0" applyAlignment="0" applyProtection="0">
      <alignment vertical="center"/>
    </xf>
    <xf numFmtId="0" fontId="165" fillId="33" borderId="16" applyNumberFormat="0" applyBorder="0" applyAlignment="0" applyProtection="0">
      <alignment vertical="center"/>
    </xf>
    <xf numFmtId="0" fontId="165" fillId="33" borderId="16" applyNumberFormat="0" applyBorder="0" applyAlignment="0" applyProtection="0">
      <alignment vertical="center"/>
    </xf>
    <xf numFmtId="0" fontId="165" fillId="33" borderId="16" applyNumberFormat="0" applyBorder="0" applyAlignment="0" applyProtection="0">
      <alignment vertical="center"/>
    </xf>
    <xf numFmtId="0" fontId="165" fillId="33" borderId="16" applyNumberFormat="0" applyBorder="0" applyAlignment="0" applyProtection="0">
      <alignment vertical="center"/>
    </xf>
    <xf numFmtId="0" fontId="165" fillId="33" borderId="16" applyNumberFormat="0" applyBorder="0" applyAlignment="0" applyProtection="0">
      <alignment vertical="center"/>
    </xf>
    <xf numFmtId="0" fontId="165" fillId="33" borderId="16" applyNumberFormat="0" applyBorder="0" applyAlignment="0" applyProtection="0">
      <alignment vertical="center"/>
    </xf>
    <xf numFmtId="0" fontId="165" fillId="33" borderId="16" applyNumberFormat="0" applyBorder="0" applyAlignment="0" applyProtection="0">
      <alignment vertical="center"/>
    </xf>
    <xf numFmtId="0" fontId="165" fillId="33" borderId="16" applyNumberFormat="0" applyBorder="0" applyAlignment="0" applyProtection="0">
      <alignment vertical="center"/>
    </xf>
    <xf numFmtId="0" fontId="165" fillId="33" borderId="16" applyNumberFormat="0" applyBorder="0" applyAlignment="0" applyProtection="0">
      <alignment vertical="center"/>
    </xf>
    <xf numFmtId="0" fontId="165" fillId="33" borderId="16" applyNumberFormat="0" applyBorder="0" applyAlignment="0" applyProtection="0">
      <alignment vertical="center"/>
    </xf>
    <xf numFmtId="0" fontId="165" fillId="33" borderId="16" applyNumberFormat="0" applyBorder="0" applyAlignment="0" applyProtection="0">
      <alignment vertical="center"/>
    </xf>
    <xf numFmtId="0" fontId="165" fillId="33" borderId="16" applyNumberFormat="0" applyBorder="0" applyAlignment="0" applyProtection="0">
      <alignment vertical="center"/>
    </xf>
    <xf numFmtId="0" fontId="165" fillId="33" borderId="16" applyNumberFormat="0" applyBorder="0" applyAlignment="0" applyProtection="0">
      <alignment vertical="center"/>
    </xf>
    <xf numFmtId="0" fontId="165" fillId="33" borderId="16" applyNumberFormat="0" applyBorder="0" applyAlignment="0" applyProtection="0">
      <alignment vertical="center"/>
    </xf>
    <xf numFmtId="0" fontId="165" fillId="33" borderId="16" applyNumberFormat="0" applyBorder="0" applyAlignment="0" applyProtection="0">
      <alignment vertical="center"/>
    </xf>
    <xf numFmtId="0" fontId="165" fillId="33" borderId="16" applyNumberFormat="0" applyBorder="0" applyAlignment="0" applyProtection="0">
      <alignment vertical="center"/>
    </xf>
    <xf numFmtId="0" fontId="165" fillId="33" borderId="16" applyNumberFormat="0" applyBorder="0" applyAlignment="0" applyProtection="0">
      <alignment vertical="center"/>
    </xf>
    <xf numFmtId="0" fontId="165" fillId="33" borderId="16" applyNumberFormat="0" applyBorder="0" applyAlignment="0" applyProtection="0">
      <alignment vertical="center"/>
    </xf>
    <xf numFmtId="0" fontId="165" fillId="33" borderId="16" applyNumberFormat="0" applyBorder="0" applyAlignment="0" applyProtection="0">
      <alignment vertical="center"/>
    </xf>
    <xf numFmtId="0" fontId="165" fillId="33" borderId="16" applyNumberFormat="0" applyBorder="0" applyAlignment="0" applyProtection="0">
      <alignment vertical="center"/>
    </xf>
    <xf numFmtId="0" fontId="165" fillId="33" borderId="16" applyNumberFormat="0" applyBorder="0" applyAlignment="0" applyProtection="0">
      <alignment vertical="center"/>
    </xf>
    <xf numFmtId="0" fontId="165" fillId="33" borderId="16" applyNumberFormat="0" applyBorder="0" applyAlignment="0" applyProtection="0">
      <alignment vertical="center"/>
    </xf>
    <xf numFmtId="0" fontId="165" fillId="33" borderId="16" applyNumberFormat="0" applyBorder="0" applyAlignment="0" applyProtection="0">
      <alignment vertical="center"/>
    </xf>
    <xf numFmtId="0" fontId="165" fillId="33" borderId="16" applyNumberFormat="0" applyBorder="0" applyAlignment="0" applyProtection="0">
      <alignment vertical="center"/>
    </xf>
    <xf numFmtId="0" fontId="165" fillId="33" borderId="16" applyNumberFormat="0" applyBorder="0" applyAlignment="0" applyProtection="0">
      <alignment vertical="center"/>
    </xf>
    <xf numFmtId="0" fontId="165" fillId="33" borderId="16" applyNumberFormat="0" applyBorder="0" applyAlignment="0" applyProtection="0">
      <alignment vertical="center"/>
    </xf>
    <xf numFmtId="0" fontId="165" fillId="33" borderId="16" applyNumberFormat="0" applyBorder="0" applyAlignment="0" applyProtection="0">
      <alignment vertical="center"/>
    </xf>
    <xf numFmtId="0" fontId="165" fillId="33" borderId="16" applyNumberFormat="0" applyBorder="0" applyAlignment="0" applyProtection="0">
      <alignment vertical="center"/>
    </xf>
    <xf numFmtId="0" fontId="165" fillId="33" borderId="16" applyNumberFormat="0" applyBorder="0" applyAlignment="0" applyProtection="0">
      <alignment vertical="center"/>
    </xf>
    <xf numFmtId="0" fontId="165" fillId="33" borderId="16" applyNumberFormat="0" applyBorder="0" applyAlignment="0" applyProtection="0">
      <alignment vertical="center"/>
    </xf>
    <xf numFmtId="0" fontId="165" fillId="33" borderId="16" applyNumberFormat="0" applyBorder="0" applyAlignment="0" applyProtection="0">
      <alignment vertical="center"/>
    </xf>
    <xf numFmtId="0" fontId="165" fillId="33" borderId="16" applyNumberFormat="0" applyBorder="0" applyAlignment="0" applyProtection="0">
      <alignment vertical="center"/>
    </xf>
    <xf numFmtId="0" fontId="165" fillId="33" borderId="16" applyNumberFormat="0" applyBorder="0" applyAlignment="0" applyProtection="0">
      <alignment vertical="center"/>
    </xf>
    <xf numFmtId="0" fontId="165" fillId="33" borderId="16" applyNumberFormat="0" applyBorder="0" applyAlignment="0" applyProtection="0">
      <alignment vertical="center"/>
    </xf>
    <xf numFmtId="0" fontId="165" fillId="33" borderId="16" applyNumberFormat="0" applyBorder="0" applyAlignment="0" applyProtection="0">
      <alignment vertical="center"/>
    </xf>
    <xf numFmtId="0" fontId="165" fillId="33" borderId="16" applyNumberFormat="0" applyBorder="0" applyAlignment="0" applyProtection="0">
      <alignment vertical="center"/>
    </xf>
    <xf numFmtId="0" fontId="165" fillId="33" borderId="16" applyNumberFormat="0" applyBorder="0" applyAlignment="0" applyProtection="0">
      <alignment vertical="center"/>
    </xf>
    <xf numFmtId="0" fontId="165" fillId="33" borderId="16" applyNumberFormat="0" applyBorder="0" applyAlignment="0" applyProtection="0">
      <alignment vertical="center"/>
    </xf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26" borderId="2" applyNumberFormat="0" applyAlignment="0" applyProtection="0"/>
    <xf numFmtId="0" fontId="67" fillId="26" borderId="2" applyNumberFormat="0" applyAlignment="0" applyProtection="0"/>
    <xf numFmtId="0" fontId="67" fillId="26" borderId="2" applyNumberFormat="0" applyAlignment="0" applyProtection="0"/>
    <xf numFmtId="0" fontId="67" fillId="26" borderId="2" applyNumberFormat="0" applyAlignment="0" applyProtection="0"/>
    <xf numFmtId="0" fontId="67" fillId="26" borderId="2" applyNumberFormat="0" applyAlignment="0" applyProtection="0"/>
    <xf numFmtId="0" fontId="67" fillId="26" borderId="2" applyNumberFormat="0" applyAlignment="0" applyProtection="0"/>
    <xf numFmtId="0" fontId="67" fillId="26" borderId="2" applyNumberFormat="0" applyAlignment="0" applyProtection="0"/>
    <xf numFmtId="0" fontId="67" fillId="26" borderId="2" applyNumberFormat="0" applyAlignment="0" applyProtection="0"/>
    <xf numFmtId="0" fontId="67" fillId="26" borderId="2" applyNumberFormat="0" applyAlignment="0" applyProtection="0"/>
    <xf numFmtId="0" fontId="67" fillId="26" borderId="2" applyNumberFormat="0" applyAlignment="0" applyProtection="0"/>
    <xf numFmtId="0" fontId="67" fillId="26" borderId="2" applyNumberFormat="0" applyAlignment="0" applyProtection="0"/>
    <xf numFmtId="0" fontId="67" fillId="26" borderId="2" applyNumberFormat="0" applyAlignment="0" applyProtection="0"/>
    <xf numFmtId="0" fontId="67" fillId="26" borderId="2" applyNumberFormat="0" applyAlignment="0" applyProtection="0"/>
    <xf numFmtId="0" fontId="67" fillId="26" borderId="2" applyNumberFormat="0" applyAlignment="0" applyProtection="0"/>
    <xf numFmtId="0" fontId="67" fillId="26" borderId="2" applyNumberFormat="0" applyAlignment="0" applyProtection="0"/>
    <xf numFmtId="0" fontId="67" fillId="26" borderId="2" applyNumberFormat="0" applyAlignment="0" applyProtection="0"/>
    <xf numFmtId="0" fontId="67" fillId="26" borderId="2" applyNumberFormat="0" applyAlignment="0" applyProtection="0"/>
    <xf numFmtId="0" fontId="67" fillId="26" borderId="2" applyNumberFormat="0" applyAlignment="0" applyProtection="0"/>
    <xf numFmtId="0" fontId="67" fillId="26" borderId="2" applyNumberFormat="0" applyAlignment="0" applyProtection="0"/>
    <xf numFmtId="0" fontId="67" fillId="26" borderId="2" applyNumberFormat="0" applyAlignment="0" applyProtection="0"/>
    <xf numFmtId="0" fontId="67" fillId="26" borderId="2" applyNumberFormat="0" applyAlignment="0" applyProtection="0"/>
    <xf numFmtId="0" fontId="67" fillId="26" borderId="2" applyNumberFormat="0" applyAlignment="0" applyProtection="0"/>
    <xf numFmtId="0" fontId="67" fillId="26" borderId="2" applyNumberFormat="0" applyAlignment="0" applyProtection="0"/>
    <xf numFmtId="0" fontId="67" fillId="26" borderId="2" applyNumberFormat="0" applyAlignment="0" applyProtection="0"/>
    <xf numFmtId="0" fontId="67" fillId="26" borderId="2" applyNumberFormat="0" applyAlignment="0" applyProtection="0"/>
    <xf numFmtId="0" fontId="67" fillId="26" borderId="2" applyNumberFormat="0" applyAlignment="0" applyProtection="0"/>
    <xf numFmtId="0" fontId="67" fillId="26" borderId="2" applyNumberFormat="0" applyAlignment="0" applyProtection="0"/>
    <xf numFmtId="0" fontId="67" fillId="26" borderId="2" applyNumberFormat="0" applyAlignment="0" applyProtection="0"/>
    <xf numFmtId="0" fontId="67" fillId="26" borderId="2" applyNumberFormat="0" applyAlignment="0" applyProtection="0"/>
    <xf numFmtId="0" fontId="67" fillId="26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174" fontId="58" fillId="33" borderId="0" applyFont="0" applyBorder="0" applyAlignment="0" applyProtection="0">
      <protection locked="0"/>
    </xf>
    <xf numFmtId="15" fontId="58" fillId="33" borderId="0" applyFont="0" applyBorder="0" applyAlignment="0" applyProtection="0">
      <protection locked="0"/>
    </xf>
    <xf numFmtId="237" fontId="157" fillId="33" borderId="0" applyFont="0" applyBorder="0" applyAlignment="0">
      <protection locked="0"/>
    </xf>
    <xf numFmtId="38" fontId="58" fillId="33" borderId="0">
      <protection locked="0"/>
    </xf>
    <xf numFmtId="239" fontId="157" fillId="33" borderId="0" applyFont="0" applyBorder="0" applyAlignment="0">
      <protection locked="0"/>
    </xf>
    <xf numFmtId="10" fontId="58" fillId="33" borderId="0">
      <protection locked="0"/>
    </xf>
    <xf numFmtId="240" fontId="58" fillId="33" borderId="0" applyFont="0" applyBorder="0" applyAlignment="0">
      <protection locked="0"/>
    </xf>
    <xf numFmtId="202" fontId="166" fillId="33" borderId="0" applyNumberFormat="0" applyBorder="0" applyAlignment="0">
      <protection locked="0"/>
    </xf>
    <xf numFmtId="230" fontId="53" fillId="0" borderId="0" applyFont="0">
      <alignment horizontal="left"/>
    </xf>
    <xf numFmtId="230" fontId="21" fillId="0" borderId="0">
      <alignment horizontal="left"/>
    </xf>
    <xf numFmtId="230" fontId="21" fillId="0" borderId="0">
      <alignment horizontal="left"/>
    </xf>
    <xf numFmtId="230" fontId="21" fillId="0" borderId="0">
      <alignment horizontal="left"/>
    </xf>
    <xf numFmtId="230" fontId="21" fillId="0" borderId="0">
      <alignment horizontal="left"/>
    </xf>
    <xf numFmtId="230" fontId="21" fillId="0" borderId="0">
      <alignment horizontal="left"/>
    </xf>
    <xf numFmtId="230" fontId="21" fillId="0" borderId="0">
      <alignment horizontal="left"/>
    </xf>
    <xf numFmtId="230" fontId="21" fillId="0" borderId="0">
      <alignment horizontal="left"/>
    </xf>
    <xf numFmtId="230" fontId="21" fillId="0" borderId="0">
      <alignment horizontal="left"/>
    </xf>
    <xf numFmtId="230" fontId="21" fillId="0" borderId="0">
      <alignment horizontal="left"/>
    </xf>
    <xf numFmtId="230" fontId="21" fillId="0" borderId="0">
      <alignment horizontal="left"/>
    </xf>
    <xf numFmtId="230" fontId="21" fillId="0" borderId="0">
      <alignment horizontal="left"/>
    </xf>
    <xf numFmtId="230" fontId="21" fillId="0" borderId="0">
      <alignment horizontal="left"/>
    </xf>
    <xf numFmtId="230" fontId="21" fillId="0" borderId="0">
      <alignment horizontal="left"/>
    </xf>
    <xf numFmtId="230" fontId="21" fillId="0" borderId="0">
      <alignment horizontal="left"/>
    </xf>
    <xf numFmtId="230" fontId="21" fillId="0" borderId="0">
      <alignment horizontal="left"/>
    </xf>
    <xf numFmtId="230" fontId="21" fillId="0" borderId="0">
      <alignment horizontal="left"/>
    </xf>
    <xf numFmtId="230" fontId="21" fillId="0" borderId="0">
      <alignment horizontal="left"/>
    </xf>
    <xf numFmtId="230" fontId="21" fillId="0" borderId="0">
      <alignment horizontal="left"/>
    </xf>
    <xf numFmtId="230" fontId="21" fillId="0" borderId="0">
      <alignment horizontal="left"/>
    </xf>
    <xf numFmtId="230" fontId="21" fillId="0" borderId="0">
      <alignment horizontal="left"/>
    </xf>
    <xf numFmtId="230" fontId="21" fillId="0" borderId="0">
      <alignment horizontal="left"/>
    </xf>
    <xf numFmtId="230" fontId="21" fillId="0" borderId="0">
      <alignment horizontal="left"/>
    </xf>
    <xf numFmtId="230" fontId="21" fillId="0" borderId="0">
      <alignment horizontal="left"/>
    </xf>
    <xf numFmtId="230" fontId="21" fillId="0" borderId="0">
      <alignment horizontal="left"/>
    </xf>
    <xf numFmtId="230" fontId="21" fillId="0" borderId="0">
      <alignment horizontal="left"/>
    </xf>
    <xf numFmtId="230" fontId="21" fillId="0" borderId="0">
      <alignment horizontal="left"/>
    </xf>
    <xf numFmtId="230" fontId="21" fillId="0" borderId="0">
      <alignment horizontal="left"/>
    </xf>
    <xf numFmtId="230" fontId="21" fillId="0" borderId="0">
      <alignment horizontal="left"/>
    </xf>
    <xf numFmtId="230" fontId="21" fillId="0" borderId="0">
      <alignment horizontal="left"/>
    </xf>
    <xf numFmtId="230" fontId="21" fillId="0" borderId="0">
      <alignment horizontal="left"/>
    </xf>
    <xf numFmtId="230" fontId="21" fillId="0" borderId="0">
      <alignment horizontal="left"/>
    </xf>
    <xf numFmtId="230" fontId="21" fillId="0" borderId="0">
      <alignment horizontal="left"/>
    </xf>
    <xf numFmtId="230" fontId="21" fillId="0" borderId="0">
      <alignment horizontal="left"/>
    </xf>
    <xf numFmtId="230" fontId="21" fillId="0" borderId="0">
      <alignment horizontal="left"/>
    </xf>
    <xf numFmtId="230" fontId="21" fillId="0" borderId="0">
      <alignment horizontal="left"/>
    </xf>
    <xf numFmtId="230" fontId="21" fillId="0" borderId="0">
      <alignment horizontal="left"/>
    </xf>
    <xf numFmtId="230" fontId="53" fillId="0" borderId="0" applyFont="0">
      <alignment horizontal="left"/>
    </xf>
    <xf numFmtId="205" fontId="60" fillId="0" borderId="0"/>
    <xf numFmtId="0" fontId="70" fillId="0" borderId="5" applyNumberFormat="0" applyFont="0" applyFill="0" applyBorder="0" applyAlignment="0" applyProtection="0">
      <protection locked="0" hidden="1"/>
    </xf>
    <xf numFmtId="0" fontId="70" fillId="0" borderId="5" applyNumberFormat="0" applyFont="0" applyFill="0" applyBorder="0" applyAlignment="0" applyProtection="0">
      <protection locked="0" hidden="1"/>
    </xf>
    <xf numFmtId="0" fontId="70" fillId="0" borderId="5" applyNumberFormat="0" applyFont="0" applyFill="0" applyBorder="0" applyAlignment="0" applyProtection="0">
      <protection locked="0" hidden="1"/>
    </xf>
    <xf numFmtId="0" fontId="70" fillId="0" borderId="5" applyNumberFormat="0" applyFont="0" applyFill="0" applyBorder="0" applyAlignment="0" applyProtection="0">
      <protection locked="0" hidden="1"/>
    </xf>
    <xf numFmtId="0" fontId="70" fillId="0" borderId="5" applyNumberFormat="0" applyFont="0" applyFill="0" applyBorder="0" applyAlignment="0" applyProtection="0">
      <protection locked="0" hidden="1"/>
    </xf>
    <xf numFmtId="230" fontId="53" fillId="0" borderId="0" applyFont="0" applyFill="0" applyBorder="0">
      <alignment horizontal="left"/>
    </xf>
    <xf numFmtId="230" fontId="21" fillId="0" borderId="0" applyFill="0" applyBorder="0">
      <alignment horizontal="left"/>
    </xf>
    <xf numFmtId="230" fontId="21" fillId="0" borderId="0" applyFill="0" applyBorder="0">
      <alignment horizontal="left"/>
    </xf>
    <xf numFmtId="230" fontId="21" fillId="0" borderId="0" applyFill="0" applyBorder="0">
      <alignment horizontal="left"/>
    </xf>
    <xf numFmtId="230" fontId="21" fillId="0" borderId="0" applyFill="0" applyBorder="0">
      <alignment horizontal="left"/>
    </xf>
    <xf numFmtId="230" fontId="21" fillId="0" borderId="0" applyFill="0" applyBorder="0">
      <alignment horizontal="left"/>
    </xf>
    <xf numFmtId="230" fontId="21" fillId="0" borderId="0" applyFill="0" applyBorder="0">
      <alignment horizontal="left"/>
    </xf>
    <xf numFmtId="230" fontId="21" fillId="0" borderId="0" applyFill="0" applyBorder="0">
      <alignment horizontal="left"/>
    </xf>
    <xf numFmtId="230" fontId="21" fillId="0" borderId="0" applyFill="0" applyBorder="0">
      <alignment horizontal="left"/>
    </xf>
    <xf numFmtId="230" fontId="21" fillId="0" borderId="0" applyFill="0" applyBorder="0">
      <alignment horizontal="left"/>
    </xf>
    <xf numFmtId="230" fontId="21" fillId="0" borderId="0" applyFill="0" applyBorder="0">
      <alignment horizontal="left"/>
    </xf>
    <xf numFmtId="230" fontId="21" fillId="0" borderId="0" applyFill="0" applyBorder="0">
      <alignment horizontal="left"/>
    </xf>
    <xf numFmtId="230" fontId="21" fillId="0" borderId="0" applyFill="0" applyBorder="0">
      <alignment horizontal="left"/>
    </xf>
    <xf numFmtId="230" fontId="21" fillId="0" borderId="0" applyFill="0" applyBorder="0">
      <alignment horizontal="left"/>
    </xf>
    <xf numFmtId="230" fontId="21" fillId="0" borderId="0" applyFill="0" applyBorder="0">
      <alignment horizontal="left"/>
    </xf>
    <xf numFmtId="230" fontId="21" fillId="0" borderId="0" applyFill="0" applyBorder="0">
      <alignment horizontal="left"/>
    </xf>
    <xf numFmtId="230" fontId="21" fillId="0" borderId="0" applyFill="0" applyBorder="0">
      <alignment horizontal="left"/>
    </xf>
    <xf numFmtId="230" fontId="21" fillId="0" borderId="0" applyFill="0" applyBorder="0">
      <alignment horizontal="left"/>
    </xf>
    <xf numFmtId="230" fontId="21" fillId="0" borderId="0" applyFill="0" applyBorder="0">
      <alignment horizontal="left"/>
    </xf>
    <xf numFmtId="230" fontId="21" fillId="0" borderId="0" applyFill="0" applyBorder="0">
      <alignment horizontal="left"/>
    </xf>
    <xf numFmtId="230" fontId="21" fillId="0" borderId="0" applyFill="0" applyBorder="0">
      <alignment horizontal="left"/>
    </xf>
    <xf numFmtId="230" fontId="21" fillId="0" borderId="0" applyFill="0" applyBorder="0">
      <alignment horizontal="left"/>
    </xf>
    <xf numFmtId="230" fontId="21" fillId="0" borderId="0" applyFill="0" applyBorder="0">
      <alignment horizontal="left"/>
    </xf>
    <xf numFmtId="230" fontId="21" fillId="0" borderId="0" applyFill="0" applyBorder="0">
      <alignment horizontal="left"/>
    </xf>
    <xf numFmtId="230" fontId="21" fillId="0" borderId="0" applyFill="0" applyBorder="0">
      <alignment horizontal="left"/>
    </xf>
    <xf numFmtId="230" fontId="21" fillId="0" borderId="0" applyFill="0" applyBorder="0">
      <alignment horizontal="left"/>
    </xf>
    <xf numFmtId="230" fontId="21" fillId="0" borderId="0" applyFill="0" applyBorder="0">
      <alignment horizontal="left"/>
    </xf>
    <xf numFmtId="230" fontId="21" fillId="0" borderId="0" applyFill="0" applyBorder="0">
      <alignment horizontal="left"/>
    </xf>
    <xf numFmtId="230" fontId="21" fillId="0" borderId="0" applyFill="0" applyBorder="0">
      <alignment horizontal="left"/>
    </xf>
    <xf numFmtId="230" fontId="21" fillId="0" borderId="0" applyFill="0" applyBorder="0">
      <alignment horizontal="left"/>
    </xf>
    <xf numFmtId="230" fontId="21" fillId="0" borderId="0" applyFill="0" applyBorder="0">
      <alignment horizontal="left"/>
    </xf>
    <xf numFmtId="230" fontId="21" fillId="0" borderId="0" applyFill="0" applyBorder="0">
      <alignment horizontal="left"/>
    </xf>
    <xf numFmtId="230" fontId="21" fillId="0" borderId="0" applyFill="0" applyBorder="0">
      <alignment horizontal="left"/>
    </xf>
    <xf numFmtId="230" fontId="21" fillId="0" borderId="0" applyFill="0" applyBorder="0">
      <alignment horizontal="left"/>
    </xf>
    <xf numFmtId="230" fontId="21" fillId="0" borderId="0" applyFill="0" applyBorder="0">
      <alignment horizontal="left"/>
    </xf>
    <xf numFmtId="230" fontId="21" fillId="0" borderId="0" applyFill="0" applyBorder="0">
      <alignment horizontal="left"/>
    </xf>
    <xf numFmtId="230" fontId="21" fillId="0" borderId="0" applyFill="0" applyBorder="0">
      <alignment horizontal="left"/>
    </xf>
    <xf numFmtId="230" fontId="53" fillId="0" borderId="0" applyFont="0" applyFill="0" applyBorder="0">
      <alignment horizontal="left"/>
    </xf>
    <xf numFmtId="0" fontId="71" fillId="35" borderId="6"/>
    <xf numFmtId="0" fontId="71" fillId="35" borderId="6"/>
    <xf numFmtId="0" fontId="71" fillId="35" borderId="6"/>
    <xf numFmtId="0" fontId="71" fillId="35" borderId="6"/>
    <xf numFmtId="0" fontId="71" fillId="35" borderId="6"/>
    <xf numFmtId="0" fontId="71" fillId="35" borderId="6"/>
    <xf numFmtId="0" fontId="71" fillId="35" borderId="6"/>
    <xf numFmtId="0" fontId="71" fillId="35" borderId="6"/>
    <xf numFmtId="0" fontId="71" fillId="35" borderId="6"/>
    <xf numFmtId="0" fontId="71" fillId="35" borderId="6"/>
    <xf numFmtId="0" fontId="71" fillId="35" borderId="6"/>
    <xf numFmtId="0" fontId="71" fillId="35" borderId="6"/>
    <xf numFmtId="0" fontId="71" fillId="35" borderId="6"/>
    <xf numFmtId="0" fontId="71" fillId="35" borderId="6"/>
    <xf numFmtId="0" fontId="71" fillId="35" borderId="6"/>
    <xf numFmtId="40" fontId="58" fillId="0" borderId="0" applyFont="0">
      <protection locked="0"/>
    </xf>
    <xf numFmtId="0" fontId="72" fillId="0" borderId="18" applyNumberFormat="0" applyFill="0" applyAlignment="0" applyProtection="0"/>
    <xf numFmtId="0" fontId="72" fillId="0" borderId="18" applyNumberFormat="0" applyFill="0" applyAlignment="0" applyProtection="0"/>
    <xf numFmtId="0" fontId="72" fillId="0" borderId="18" applyNumberFormat="0" applyFill="0" applyAlignment="0" applyProtection="0"/>
    <xf numFmtId="0" fontId="72" fillId="0" borderId="18" applyNumberFormat="0" applyFill="0" applyAlignment="0" applyProtection="0"/>
    <xf numFmtId="0" fontId="72" fillId="0" borderId="18" applyNumberFormat="0" applyFill="0" applyAlignment="0" applyProtection="0"/>
    <xf numFmtId="0" fontId="72" fillId="0" borderId="18" applyNumberFormat="0" applyFill="0" applyAlignment="0" applyProtection="0"/>
    <xf numFmtId="0" fontId="72" fillId="0" borderId="18" applyNumberFormat="0" applyFill="0" applyAlignment="0" applyProtection="0"/>
    <xf numFmtId="0" fontId="72" fillId="0" borderId="18" applyNumberFormat="0" applyFill="0" applyAlignment="0" applyProtection="0"/>
    <xf numFmtId="0" fontId="72" fillId="0" borderId="18" applyNumberFormat="0" applyFill="0" applyAlignment="0" applyProtection="0"/>
    <xf numFmtId="0" fontId="72" fillId="0" borderId="18" applyNumberFormat="0" applyFill="0" applyAlignment="0" applyProtection="0"/>
    <xf numFmtId="0" fontId="72" fillId="0" borderId="18" applyNumberFormat="0" applyFill="0" applyAlignment="0" applyProtection="0"/>
    <xf numFmtId="0" fontId="73" fillId="0" borderId="19">
      <alignment horizontal="center"/>
    </xf>
    <xf numFmtId="0" fontId="73" fillId="0" borderId="19">
      <alignment horizontal="center"/>
    </xf>
    <xf numFmtId="0" fontId="73" fillId="0" borderId="19">
      <alignment horizontal="center"/>
    </xf>
    <xf numFmtId="0" fontId="73" fillId="0" borderId="19">
      <alignment horizontal="center"/>
    </xf>
    <xf numFmtId="0" fontId="73" fillId="0" borderId="7">
      <alignment horizontal="center"/>
    </xf>
    <xf numFmtId="0" fontId="73" fillId="0" borderId="7">
      <alignment horizontal="center"/>
    </xf>
    <xf numFmtId="0" fontId="73" fillId="0" borderId="7">
      <alignment horizontal="center"/>
    </xf>
    <xf numFmtId="0" fontId="73" fillId="0" borderId="7">
      <alignment horizontal="center"/>
    </xf>
    <xf numFmtId="230" fontId="53" fillId="0" borderId="0" applyFont="0" applyFill="0" applyBorder="0">
      <alignment horizontal="left"/>
    </xf>
    <xf numFmtId="0" fontId="73" fillId="0" borderId="7">
      <alignment horizontal="center"/>
    </xf>
    <xf numFmtId="0" fontId="73" fillId="0" borderId="7">
      <alignment horizontal="center"/>
    </xf>
    <xf numFmtId="0" fontId="73" fillId="0" borderId="7">
      <alignment horizontal="center"/>
    </xf>
    <xf numFmtId="0" fontId="73" fillId="0" borderId="7">
      <alignment horizontal="center"/>
    </xf>
    <xf numFmtId="0" fontId="73" fillId="0" borderId="7">
      <alignment horizontal="center"/>
    </xf>
    <xf numFmtId="0" fontId="73" fillId="0" borderId="7">
      <alignment horizontal="center"/>
    </xf>
    <xf numFmtId="0" fontId="73" fillId="0" borderId="7">
      <alignment horizontal="center"/>
    </xf>
    <xf numFmtId="0" fontId="73" fillId="0" borderId="7">
      <alignment horizontal="center"/>
    </xf>
    <xf numFmtId="0" fontId="73" fillId="0" borderId="7">
      <alignment horizontal="center"/>
    </xf>
    <xf numFmtId="0" fontId="73" fillId="0" borderId="7">
      <alignment horizontal="center"/>
    </xf>
    <xf numFmtId="0" fontId="73" fillId="0" borderId="7">
      <alignment horizontal="center"/>
    </xf>
    <xf numFmtId="0" fontId="73" fillId="0" borderId="7">
      <alignment horizontal="center"/>
    </xf>
    <xf numFmtId="230" fontId="21" fillId="0" borderId="0" applyFill="0" applyBorder="0">
      <alignment horizontal="left"/>
    </xf>
    <xf numFmtId="230" fontId="21" fillId="0" borderId="0" applyFill="0" applyBorder="0">
      <alignment horizontal="left"/>
    </xf>
    <xf numFmtId="230" fontId="21" fillId="0" borderId="0" applyFill="0" applyBorder="0">
      <alignment horizontal="left"/>
    </xf>
    <xf numFmtId="230" fontId="21" fillId="0" borderId="0" applyFill="0" applyBorder="0">
      <alignment horizontal="left"/>
    </xf>
    <xf numFmtId="230" fontId="21" fillId="0" borderId="0" applyFill="0" applyBorder="0">
      <alignment horizontal="left"/>
    </xf>
    <xf numFmtId="230" fontId="21" fillId="0" borderId="0" applyFill="0" applyBorder="0">
      <alignment horizontal="left"/>
    </xf>
    <xf numFmtId="230" fontId="21" fillId="0" borderId="0" applyFill="0" applyBorder="0">
      <alignment horizontal="left"/>
    </xf>
    <xf numFmtId="230" fontId="21" fillId="0" borderId="0" applyFill="0" applyBorder="0">
      <alignment horizontal="left"/>
    </xf>
    <xf numFmtId="230" fontId="21" fillId="0" borderId="0" applyFill="0" applyBorder="0">
      <alignment horizontal="left"/>
    </xf>
    <xf numFmtId="230" fontId="21" fillId="0" borderId="0" applyFill="0" applyBorder="0">
      <alignment horizontal="left"/>
    </xf>
    <xf numFmtId="230" fontId="21" fillId="0" borderId="0" applyFill="0" applyBorder="0">
      <alignment horizontal="left"/>
    </xf>
    <xf numFmtId="230" fontId="21" fillId="0" borderId="0" applyFill="0" applyBorder="0">
      <alignment horizontal="left"/>
    </xf>
    <xf numFmtId="230" fontId="21" fillId="0" borderId="0" applyFill="0" applyBorder="0">
      <alignment horizontal="left"/>
    </xf>
    <xf numFmtId="230" fontId="21" fillId="0" borderId="0" applyFill="0" applyBorder="0">
      <alignment horizontal="left"/>
    </xf>
    <xf numFmtId="230" fontId="21" fillId="0" borderId="0" applyFill="0" applyBorder="0">
      <alignment horizontal="left"/>
    </xf>
    <xf numFmtId="230" fontId="21" fillId="0" borderId="0" applyFill="0" applyBorder="0">
      <alignment horizontal="left"/>
    </xf>
    <xf numFmtId="230" fontId="21" fillId="0" borderId="0" applyFill="0" applyBorder="0">
      <alignment horizontal="left"/>
    </xf>
    <xf numFmtId="230" fontId="21" fillId="0" borderId="0" applyFill="0" applyBorder="0">
      <alignment horizontal="left"/>
    </xf>
    <xf numFmtId="230" fontId="53" fillId="0" borderId="0" applyFont="0" applyFill="0" applyBorder="0">
      <alignment horizontal="left"/>
    </xf>
    <xf numFmtId="230" fontId="21" fillId="0" borderId="0" applyFill="0" applyBorder="0">
      <alignment horizontal="left"/>
    </xf>
    <xf numFmtId="230" fontId="21" fillId="0" borderId="0" applyFill="0" applyBorder="0">
      <alignment horizontal="left"/>
    </xf>
    <xf numFmtId="230" fontId="21" fillId="0" borderId="0" applyFill="0" applyBorder="0">
      <alignment horizontal="left"/>
    </xf>
    <xf numFmtId="230" fontId="21" fillId="0" borderId="0" applyFill="0" applyBorder="0">
      <alignment horizontal="left"/>
    </xf>
    <xf numFmtId="230" fontId="21" fillId="0" borderId="0" applyFill="0" applyBorder="0">
      <alignment horizontal="left"/>
    </xf>
    <xf numFmtId="230" fontId="21" fillId="0" borderId="0" applyFill="0" applyBorder="0">
      <alignment horizontal="left"/>
    </xf>
    <xf numFmtId="230" fontId="21" fillId="0" borderId="0" applyFill="0" applyBorder="0">
      <alignment horizontal="left"/>
    </xf>
    <xf numFmtId="230" fontId="21" fillId="0" borderId="0" applyFill="0" applyBorder="0">
      <alignment horizontal="left"/>
    </xf>
    <xf numFmtId="230" fontId="53" fillId="0" borderId="0" applyFont="0" applyFill="0" applyBorder="0">
      <alignment horizontal="left"/>
    </xf>
    <xf numFmtId="230" fontId="21" fillId="0" borderId="0" applyFill="0" applyBorder="0">
      <alignment horizontal="left"/>
    </xf>
    <xf numFmtId="230" fontId="21" fillId="0" borderId="0" applyFill="0" applyBorder="0">
      <alignment horizontal="left"/>
    </xf>
    <xf numFmtId="0" fontId="73" fillId="0" borderId="19">
      <alignment horizontal="center"/>
    </xf>
    <xf numFmtId="0" fontId="73" fillId="0" borderId="19">
      <alignment horizontal="center"/>
    </xf>
    <xf numFmtId="0" fontId="73" fillId="0" borderId="19">
      <alignment horizontal="center"/>
    </xf>
    <xf numFmtId="0" fontId="73" fillId="0" borderId="19">
      <alignment horizontal="center"/>
    </xf>
    <xf numFmtId="0" fontId="73" fillId="0" borderId="19">
      <alignment horizontal="center"/>
    </xf>
    <xf numFmtId="0" fontId="73" fillId="0" borderId="19">
      <alignment horizontal="center"/>
    </xf>
    <xf numFmtId="0" fontId="73" fillId="0" borderId="19">
      <alignment horizontal="center"/>
    </xf>
    <xf numFmtId="0" fontId="73" fillId="0" borderId="19">
      <alignment horizontal="center"/>
    </xf>
    <xf numFmtId="0" fontId="73" fillId="0" borderId="19">
      <alignment horizontal="center"/>
    </xf>
    <xf numFmtId="0" fontId="73" fillId="0" borderId="19">
      <alignment horizontal="center"/>
    </xf>
    <xf numFmtId="230" fontId="21" fillId="0" borderId="0" applyFill="0" applyBorder="0">
      <alignment horizontal="left"/>
    </xf>
    <xf numFmtId="230" fontId="21" fillId="0" borderId="0" applyFill="0" applyBorder="0">
      <alignment horizontal="left"/>
    </xf>
    <xf numFmtId="0" fontId="73" fillId="0" borderId="19">
      <alignment horizontal="center"/>
    </xf>
    <xf numFmtId="230" fontId="21" fillId="0" borderId="0" applyFill="0" applyBorder="0">
      <alignment horizontal="left"/>
    </xf>
    <xf numFmtId="230" fontId="21" fillId="0" borderId="0" applyFill="0" applyBorder="0">
      <alignment horizontal="left"/>
    </xf>
    <xf numFmtId="0" fontId="73" fillId="0" borderId="7">
      <alignment horizontal="center"/>
    </xf>
    <xf numFmtId="0" fontId="73" fillId="0" borderId="7">
      <alignment horizontal="center"/>
    </xf>
    <xf numFmtId="0" fontId="73" fillId="0" borderId="19">
      <alignment horizontal="center"/>
    </xf>
    <xf numFmtId="0" fontId="73" fillId="0" borderId="19">
      <alignment horizontal="center"/>
    </xf>
    <xf numFmtId="0" fontId="73" fillId="0" borderId="7">
      <alignment horizontal="center"/>
    </xf>
    <xf numFmtId="0" fontId="73" fillId="0" borderId="7">
      <alignment horizontal="center"/>
    </xf>
    <xf numFmtId="230" fontId="21" fillId="0" borderId="0" applyFill="0" applyBorder="0">
      <alignment horizontal="left"/>
    </xf>
    <xf numFmtId="230" fontId="21" fillId="0" borderId="0" applyFill="0" applyBorder="0">
      <alignment horizontal="left"/>
    </xf>
    <xf numFmtId="230" fontId="21" fillId="0" borderId="0" applyFill="0" applyBorder="0">
      <alignment horizontal="left"/>
    </xf>
    <xf numFmtId="230" fontId="21" fillId="0" borderId="0" applyFill="0" applyBorder="0">
      <alignment horizontal="left"/>
    </xf>
    <xf numFmtId="0" fontId="73" fillId="0" borderId="7">
      <alignment horizontal="center"/>
    </xf>
    <xf numFmtId="0" fontId="73" fillId="0" borderId="7">
      <alignment horizontal="center"/>
    </xf>
    <xf numFmtId="0" fontId="73" fillId="0" borderId="7">
      <alignment horizontal="center"/>
    </xf>
    <xf numFmtId="0" fontId="73" fillId="0" borderId="7">
      <alignment horizontal="center"/>
    </xf>
    <xf numFmtId="0" fontId="73" fillId="0" borderId="19">
      <alignment horizontal="center"/>
    </xf>
    <xf numFmtId="230" fontId="53" fillId="0" borderId="0" applyFont="0" applyFill="0" applyBorder="0">
      <alignment horizontal="left"/>
    </xf>
    <xf numFmtId="0" fontId="73" fillId="0" borderId="19">
      <alignment horizontal="center"/>
    </xf>
    <xf numFmtId="0" fontId="73" fillId="0" borderId="19">
      <alignment horizontal="center"/>
    </xf>
    <xf numFmtId="0" fontId="73" fillId="0" borderId="7">
      <alignment horizontal="center"/>
    </xf>
    <xf numFmtId="0" fontId="73" fillId="0" borderId="7">
      <alignment horizontal="center"/>
    </xf>
    <xf numFmtId="230" fontId="53" fillId="0" borderId="0" applyFont="0" applyFill="0" applyBorder="0">
      <alignment horizontal="left"/>
    </xf>
    <xf numFmtId="212" fontId="167" fillId="0" borderId="0">
      <alignment horizontal="left" vertical="top"/>
      <protection locked="0"/>
    </xf>
    <xf numFmtId="212" fontId="58" fillId="0" borderId="0" applyFont="0"/>
    <xf numFmtId="229" fontId="21" fillId="0" borderId="0" applyFont="0" applyFill="0" applyBorder="0" applyAlignment="0" applyProtection="0"/>
    <xf numFmtId="241" fontId="21" fillId="0" borderId="0" applyFont="0" applyFill="0" applyBorder="0" applyAlignment="0" applyProtection="0"/>
    <xf numFmtId="230" fontId="53" fillId="0" borderId="0" applyFont="0" applyFill="0" applyBorder="0">
      <alignment horizontal="left"/>
    </xf>
    <xf numFmtId="175" fontId="21" fillId="0" borderId="0" applyFont="0" applyFill="0" applyBorder="0" applyAlignment="0" applyProtection="0"/>
    <xf numFmtId="176" fontId="21" fillId="0" borderId="0" applyFont="0" applyFill="0" applyBorder="0" applyAlignment="0" applyProtection="0"/>
    <xf numFmtId="230" fontId="53" fillId="0" borderId="0" applyFont="0">
      <alignment horizontal="left"/>
    </xf>
    <xf numFmtId="230" fontId="21" fillId="0" borderId="0">
      <alignment horizontal="left"/>
    </xf>
    <xf numFmtId="230" fontId="21" fillId="0" borderId="0">
      <alignment horizontal="left"/>
    </xf>
    <xf numFmtId="230" fontId="21" fillId="0" borderId="0">
      <alignment horizontal="left"/>
    </xf>
    <xf numFmtId="230" fontId="21" fillId="0" borderId="0">
      <alignment horizontal="left"/>
    </xf>
    <xf numFmtId="230" fontId="21" fillId="0" borderId="0">
      <alignment horizontal="left"/>
    </xf>
    <xf numFmtId="230" fontId="21" fillId="0" borderId="0">
      <alignment horizontal="left"/>
    </xf>
    <xf numFmtId="230" fontId="21" fillId="0" borderId="0">
      <alignment horizontal="left"/>
    </xf>
    <xf numFmtId="230" fontId="21" fillId="0" borderId="0">
      <alignment horizontal="left"/>
    </xf>
    <xf numFmtId="230" fontId="21" fillId="0" borderId="0">
      <alignment horizontal="left"/>
    </xf>
    <xf numFmtId="230" fontId="21" fillId="0" borderId="0">
      <alignment horizontal="left"/>
    </xf>
    <xf numFmtId="230" fontId="21" fillId="0" borderId="0">
      <alignment horizontal="left"/>
    </xf>
    <xf numFmtId="230" fontId="21" fillId="0" borderId="0">
      <alignment horizontal="left"/>
    </xf>
    <xf numFmtId="230" fontId="21" fillId="0" borderId="0">
      <alignment horizontal="left"/>
    </xf>
    <xf numFmtId="230" fontId="21" fillId="0" borderId="0">
      <alignment horizontal="left"/>
    </xf>
    <xf numFmtId="230" fontId="21" fillId="0" borderId="0">
      <alignment horizontal="left"/>
    </xf>
    <xf numFmtId="230" fontId="21" fillId="0" borderId="0">
      <alignment horizontal="left"/>
    </xf>
    <xf numFmtId="230" fontId="21" fillId="0" borderId="0">
      <alignment horizontal="left"/>
    </xf>
    <xf numFmtId="230" fontId="21" fillId="0" borderId="0">
      <alignment horizontal="left"/>
    </xf>
    <xf numFmtId="230" fontId="21" fillId="0" borderId="0">
      <alignment horizontal="left"/>
    </xf>
    <xf numFmtId="230" fontId="21" fillId="0" borderId="0">
      <alignment horizontal="left"/>
    </xf>
    <xf numFmtId="230" fontId="21" fillId="0" borderId="0">
      <alignment horizontal="left"/>
    </xf>
    <xf numFmtId="230" fontId="21" fillId="0" borderId="0">
      <alignment horizontal="left"/>
    </xf>
    <xf numFmtId="230" fontId="21" fillId="0" borderId="0">
      <alignment horizontal="left"/>
    </xf>
    <xf numFmtId="230" fontId="21" fillId="0" borderId="0">
      <alignment horizontal="left"/>
    </xf>
    <xf numFmtId="230" fontId="21" fillId="0" borderId="0">
      <alignment horizontal="left"/>
    </xf>
    <xf numFmtId="230" fontId="21" fillId="0" borderId="0">
      <alignment horizontal="left"/>
    </xf>
    <xf numFmtId="230" fontId="21" fillId="0" borderId="0">
      <alignment horizontal="left"/>
    </xf>
    <xf numFmtId="230" fontId="21" fillId="0" borderId="0">
      <alignment horizontal="left"/>
    </xf>
    <xf numFmtId="230" fontId="21" fillId="0" borderId="0">
      <alignment horizontal="left"/>
    </xf>
    <xf numFmtId="230" fontId="21" fillId="0" borderId="0">
      <alignment horizontal="left"/>
    </xf>
    <xf numFmtId="230" fontId="21" fillId="0" borderId="0">
      <alignment horizontal="left"/>
    </xf>
    <xf numFmtId="230" fontId="21" fillId="0" borderId="0">
      <alignment horizontal="left"/>
    </xf>
    <xf numFmtId="230" fontId="21" fillId="0" borderId="0">
      <alignment horizontal="left"/>
    </xf>
    <xf numFmtId="230" fontId="21" fillId="0" borderId="0">
      <alignment horizontal="left"/>
    </xf>
    <xf numFmtId="230" fontId="21" fillId="0" borderId="0">
      <alignment horizontal="left"/>
    </xf>
    <xf numFmtId="230" fontId="21" fillId="0" borderId="0">
      <alignment horizontal="left"/>
    </xf>
    <xf numFmtId="230" fontId="53" fillId="0" borderId="0" applyFont="0">
      <alignment horizontal="left"/>
    </xf>
    <xf numFmtId="242" fontId="157" fillId="30" borderId="0" applyFont="0" applyBorder="0" applyAlignment="0" applyProtection="0">
      <alignment horizontal="right"/>
      <protection hidden="1"/>
    </xf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49" fontId="135" fillId="0" borderId="32" applyFont="0" applyBorder="0" applyAlignment="0">
      <alignment vertical="center"/>
    </xf>
    <xf numFmtId="49" fontId="135" fillId="0" borderId="32" applyFont="0" applyBorder="0" applyAlignment="0">
      <alignment vertical="center"/>
    </xf>
    <xf numFmtId="49" fontId="135" fillId="0" borderId="32" applyFont="0" applyBorder="0" applyAlignment="0">
      <alignment vertical="center"/>
    </xf>
    <xf numFmtId="49" fontId="135" fillId="0" borderId="32" applyFont="0" applyBorder="0" applyAlignment="0">
      <alignment vertical="center"/>
    </xf>
    <xf numFmtId="49" fontId="135" fillId="0" borderId="32" applyFont="0" applyBorder="0" applyAlignment="0">
      <alignment vertical="center"/>
    </xf>
    <xf numFmtId="49" fontId="135" fillId="0" borderId="32" applyFont="0" applyBorder="0" applyAlignment="0">
      <alignment vertical="center"/>
    </xf>
    <xf numFmtId="49" fontId="135" fillId="0" borderId="32" applyFont="0" applyBorder="0" applyAlignment="0">
      <alignment vertical="center"/>
    </xf>
    <xf numFmtId="49" fontId="135" fillId="0" borderId="32" applyFont="0" applyBorder="0" applyAlignment="0">
      <alignment vertical="center"/>
    </xf>
    <xf numFmtId="49" fontId="135" fillId="0" borderId="32" applyFont="0" applyBorder="0" applyAlignment="0">
      <alignment vertical="center"/>
    </xf>
    <xf numFmtId="49" fontId="135" fillId="0" borderId="32" applyFont="0" applyBorder="0" applyAlignment="0">
      <alignment vertical="center"/>
    </xf>
    <xf numFmtId="0" fontId="80" fillId="0" borderId="0"/>
    <xf numFmtId="0" fontId="80" fillId="0" borderId="0"/>
    <xf numFmtId="1" fontId="168" fillId="0" borderId="16"/>
    <xf numFmtId="1" fontId="168" fillId="0" borderId="16"/>
    <xf numFmtId="1" fontId="168" fillId="0" borderId="16"/>
    <xf numFmtId="1" fontId="168" fillId="0" borderId="16"/>
    <xf numFmtId="38" fontId="58" fillId="0" borderId="0" applyFont="0" applyFill="0" applyBorder="0" applyAlignment="0"/>
    <xf numFmtId="202" fontId="21" fillId="0" borderId="0" applyFont="0" applyFill="0" applyBorder="0" applyAlignment="0"/>
    <xf numFmtId="40" fontId="58" fillId="0" borderId="0" applyFont="0" applyFill="0" applyBorder="0" applyAlignment="0"/>
    <xf numFmtId="243" fontId="58" fillId="0" borderId="0" applyFont="0" applyFill="0" applyBorder="0" applyAlignment="0"/>
    <xf numFmtId="0" fontId="51" fillId="0" borderId="0" applyNumberFormat="0" applyAlignment="0"/>
    <xf numFmtId="0" fontId="169" fillId="0" borderId="0">
      <alignment vertical="center"/>
    </xf>
    <xf numFmtId="0" fontId="169" fillId="0" borderId="0">
      <alignment vertical="center"/>
    </xf>
    <xf numFmtId="225" fontId="104" fillId="0" borderId="0"/>
    <xf numFmtId="0" fontId="169" fillId="0" borderId="0">
      <alignment vertical="center"/>
    </xf>
    <xf numFmtId="0" fontId="21" fillId="0" borderId="0"/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80" fillId="0" borderId="0"/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2" fillId="0" borderId="0"/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2" fillId="0" borderId="0"/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21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2" fillId="0" borderId="0"/>
    <xf numFmtId="0" fontId="2" fillId="0" borderId="0"/>
    <xf numFmtId="0" fontId="2" fillId="0" borderId="0"/>
    <xf numFmtId="0" fontId="169" fillId="0" borderId="0">
      <alignment vertical="center"/>
    </xf>
    <xf numFmtId="0" fontId="21" fillId="0" borderId="0" applyProtection="0"/>
    <xf numFmtId="0" fontId="2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10" fillId="0" borderId="0"/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10" fillId="0" borderId="0"/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244" fontId="49" fillId="0" borderId="0"/>
    <xf numFmtId="0" fontId="21" fillId="0" borderId="0"/>
    <xf numFmtId="0" fontId="110" fillId="0" borderId="0"/>
    <xf numFmtId="0" fontId="110" fillId="0" borderId="0"/>
    <xf numFmtId="0" fontId="21" fillId="0" borderId="0"/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245" fontId="21" fillId="0" borderId="0"/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21" fillId="0" borderId="0"/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21" fillId="0" borderId="0"/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70" fillId="0" borderId="0">
      <alignment vertical="center"/>
    </xf>
    <xf numFmtId="0" fontId="170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39" fontId="49" fillId="0" borderId="0"/>
    <xf numFmtId="0" fontId="21" fillId="0" borderId="0"/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21" fillId="0" borderId="0"/>
    <xf numFmtId="0" fontId="170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70" fillId="0" borderId="0">
      <alignment vertical="center"/>
    </xf>
    <xf numFmtId="0" fontId="170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21" fillId="0" borderId="0"/>
    <xf numFmtId="0" fontId="170" fillId="0" borderId="0">
      <alignment vertical="center"/>
    </xf>
    <xf numFmtId="0" fontId="170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70" fillId="0" borderId="0">
      <alignment vertical="center"/>
    </xf>
    <xf numFmtId="0" fontId="170" fillId="0" borderId="0">
      <alignment vertical="center"/>
    </xf>
    <xf numFmtId="0" fontId="170" fillId="0" borderId="0">
      <alignment vertical="center"/>
    </xf>
    <xf numFmtId="0" fontId="170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71" fillId="0" borderId="0"/>
    <xf numFmtId="0" fontId="21" fillId="0" borderId="0" applyProtection="0"/>
    <xf numFmtId="0" fontId="21" fillId="0" borderId="0"/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21" fillId="0" borderId="0"/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21" fillId="0" borderId="0"/>
    <xf numFmtId="0" fontId="172" fillId="52" borderId="0">
      <alignment vertical="center"/>
    </xf>
    <xf numFmtId="0" fontId="172" fillId="52" borderId="0">
      <alignment vertical="center"/>
    </xf>
    <xf numFmtId="0" fontId="172" fillId="52" borderId="0">
      <alignment vertical="center"/>
    </xf>
    <xf numFmtId="0" fontId="172" fillId="52" borderId="0">
      <alignment vertical="center"/>
    </xf>
    <xf numFmtId="0" fontId="172" fillId="52" borderId="0">
      <alignment vertical="center"/>
    </xf>
    <xf numFmtId="0" fontId="172" fillId="52" borderId="0">
      <alignment vertical="center"/>
    </xf>
    <xf numFmtId="0" fontId="21" fillId="0" borderId="0"/>
    <xf numFmtId="0" fontId="172" fillId="52" borderId="0">
      <alignment vertical="center"/>
    </xf>
    <xf numFmtId="0" fontId="172" fillId="52" borderId="0">
      <alignment vertical="center"/>
    </xf>
    <xf numFmtId="0" fontId="172" fillId="52" borderId="0">
      <alignment vertical="center"/>
    </xf>
    <xf numFmtId="0" fontId="172" fillId="52" borderId="0">
      <alignment vertical="center"/>
    </xf>
    <xf numFmtId="0" fontId="172" fillId="52" borderId="0">
      <alignment vertical="center"/>
    </xf>
    <xf numFmtId="0" fontId="172" fillId="52" borderId="0">
      <alignment vertical="center"/>
    </xf>
    <xf numFmtId="0" fontId="21" fillId="0" borderId="0"/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21" fillId="0" borderId="0"/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21" fillId="0" borderId="0"/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21" fillId="0" borderId="0"/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21" fillId="0" borderId="0"/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21" fillId="0" borderId="0"/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21" fillId="0" borderId="0"/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21" fillId="0" borderId="0"/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21" fillId="0" borderId="0"/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39" fontId="73" fillId="0" borderId="0"/>
    <xf numFmtId="0" fontId="21" fillId="0" borderId="0"/>
    <xf numFmtId="0" fontId="21" fillId="0" borderId="0"/>
    <xf numFmtId="0" fontId="169" fillId="0" borderId="0">
      <alignment vertical="center"/>
    </xf>
    <xf numFmtId="0" fontId="169" fillId="0" borderId="0">
      <alignment vertical="center"/>
    </xf>
    <xf numFmtId="0" fontId="21" fillId="0" borderId="0"/>
    <xf numFmtId="0" fontId="21" fillId="0" borderId="0"/>
    <xf numFmtId="0" fontId="21" fillId="0" borderId="0"/>
    <xf numFmtId="39" fontId="73" fillId="0" borderId="0"/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39" fontId="73" fillId="0" borderId="0"/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39" fontId="73" fillId="0" borderId="0"/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39" fontId="73" fillId="0" borderId="0"/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39" fontId="73" fillId="0" borderId="0"/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21" fillId="0" borderId="0"/>
    <xf numFmtId="39" fontId="73" fillId="0" borderId="0"/>
    <xf numFmtId="39" fontId="73" fillId="0" borderId="0"/>
    <xf numFmtId="39" fontId="73" fillId="0" borderId="0"/>
    <xf numFmtId="39" fontId="73" fillId="0" borderId="0"/>
    <xf numFmtId="39" fontId="73" fillId="0" borderId="0"/>
    <xf numFmtId="39" fontId="7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39" fontId="7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39" fontId="73" fillId="0" borderId="0"/>
    <xf numFmtId="39" fontId="73" fillId="0" borderId="0"/>
    <xf numFmtId="39" fontId="73" fillId="0" borderId="0"/>
    <xf numFmtId="39" fontId="73" fillId="0" borderId="0"/>
    <xf numFmtId="39" fontId="73" fillId="0" borderId="0"/>
    <xf numFmtId="0" fontId="21" fillId="0" borderId="0"/>
    <xf numFmtId="39" fontId="73" fillId="0" borderId="0"/>
    <xf numFmtId="39" fontId="73" fillId="0" borderId="0"/>
    <xf numFmtId="39" fontId="73" fillId="0" borderId="0"/>
    <xf numFmtId="39" fontId="73" fillId="0" borderId="0"/>
    <xf numFmtId="39" fontId="73" fillId="0" borderId="0"/>
    <xf numFmtId="39" fontId="73" fillId="0" borderId="0"/>
    <xf numFmtId="39" fontId="7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39" fontId="73" fillId="0" borderId="0"/>
    <xf numFmtId="39" fontId="73" fillId="0" borderId="0"/>
    <xf numFmtId="39" fontId="73" fillId="0" borderId="0"/>
    <xf numFmtId="39" fontId="73" fillId="0" borderId="0"/>
    <xf numFmtId="39" fontId="73" fillId="0" borderId="0"/>
    <xf numFmtId="39" fontId="73" fillId="0" borderId="0"/>
    <xf numFmtId="39" fontId="73" fillId="0" borderId="0"/>
    <xf numFmtId="39" fontId="73" fillId="0" borderId="0"/>
    <xf numFmtId="39" fontId="73" fillId="0" borderId="0"/>
    <xf numFmtId="39" fontId="73" fillId="0" borderId="0"/>
    <xf numFmtId="39" fontId="73" fillId="0" borderId="0"/>
    <xf numFmtId="0" fontId="21" fillId="0" borderId="0"/>
    <xf numFmtId="39" fontId="73" fillId="0" borderId="0"/>
    <xf numFmtId="39" fontId="73" fillId="0" borderId="0"/>
    <xf numFmtId="0" fontId="169" fillId="0" borderId="0">
      <alignment vertical="center"/>
    </xf>
    <xf numFmtId="0" fontId="169" fillId="0" borderId="0">
      <alignment vertical="center"/>
    </xf>
    <xf numFmtId="39" fontId="73" fillId="0" borderId="0"/>
    <xf numFmtId="39" fontId="73" fillId="0" borderId="0"/>
    <xf numFmtId="39" fontId="73" fillId="0" borderId="0"/>
    <xf numFmtId="39" fontId="73" fillId="0" borderId="0"/>
    <xf numFmtId="39" fontId="73" fillId="0" borderId="0"/>
    <xf numFmtId="39" fontId="73" fillId="0" borderId="0"/>
    <xf numFmtId="0" fontId="21" fillId="0" borderId="0"/>
    <xf numFmtId="39" fontId="73" fillId="0" borderId="0"/>
    <xf numFmtId="39" fontId="73" fillId="0" borderId="0"/>
    <xf numFmtId="39" fontId="73" fillId="0" borderId="0"/>
    <xf numFmtId="39" fontId="73" fillId="0" borderId="0"/>
    <xf numFmtId="39" fontId="73" fillId="0" borderId="0"/>
    <xf numFmtId="39" fontId="73" fillId="0" borderId="0"/>
    <xf numFmtId="39" fontId="7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39" fontId="73" fillId="0" borderId="0"/>
    <xf numFmtId="39" fontId="73" fillId="0" borderId="0"/>
    <xf numFmtId="0" fontId="21" fillId="0" borderId="0"/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21" fillId="0" borderId="0"/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21" fillId="0" borderId="0"/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39" fontId="73" fillId="0" borderId="0"/>
    <xf numFmtId="39" fontId="73" fillId="0" borderId="0"/>
    <xf numFmtId="39" fontId="73" fillId="0" borderId="0"/>
    <xf numFmtId="39" fontId="73" fillId="0" borderId="0"/>
    <xf numFmtId="39" fontId="73" fillId="0" borderId="0"/>
    <xf numFmtId="39" fontId="73" fillId="0" borderId="0"/>
    <xf numFmtId="39" fontId="73" fillId="0" borderId="0"/>
    <xf numFmtId="39" fontId="73" fillId="0" borderId="0"/>
    <xf numFmtId="39" fontId="73" fillId="0" borderId="0"/>
    <xf numFmtId="39" fontId="73" fillId="0" borderId="0"/>
    <xf numFmtId="39" fontId="73" fillId="0" borderId="0"/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39" fontId="73" fillId="0" borderId="0"/>
    <xf numFmtId="39" fontId="73" fillId="0" borderId="0"/>
    <xf numFmtId="39" fontId="73" fillId="0" borderId="0"/>
    <xf numFmtId="39" fontId="73" fillId="0" borderId="0"/>
    <xf numFmtId="39" fontId="73" fillId="0" borderId="0"/>
    <xf numFmtId="39" fontId="73" fillId="0" borderId="0"/>
    <xf numFmtId="39" fontId="73" fillId="0" borderId="0"/>
    <xf numFmtId="39" fontId="73" fillId="0" borderId="0"/>
    <xf numFmtId="0" fontId="21" fillId="0" borderId="0"/>
    <xf numFmtId="39" fontId="73" fillId="0" borderId="0"/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39" fontId="73" fillId="0" borderId="0"/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39" fontId="73" fillId="0" borderId="0"/>
    <xf numFmtId="39" fontId="73" fillId="0" borderId="0"/>
    <xf numFmtId="39" fontId="73" fillId="0" borderId="0"/>
    <xf numFmtId="39" fontId="7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39" fontId="73" fillId="0" borderId="0"/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39" fontId="73" fillId="0" borderId="0"/>
    <xf numFmtId="39" fontId="73" fillId="0" borderId="0"/>
    <xf numFmtId="39" fontId="73" fillId="0" borderId="0"/>
    <xf numFmtId="39" fontId="73" fillId="0" borderId="0"/>
    <xf numFmtId="39" fontId="73" fillId="0" borderId="0"/>
    <xf numFmtId="39" fontId="73" fillId="0" borderId="0"/>
    <xf numFmtId="39" fontId="73" fillId="0" borderId="0"/>
    <xf numFmtId="39" fontId="73" fillId="0" borderId="0"/>
    <xf numFmtId="39" fontId="73" fillId="0" borderId="0"/>
    <xf numFmtId="39" fontId="73" fillId="0" borderId="0"/>
    <xf numFmtId="39" fontId="73" fillId="0" borderId="0"/>
    <xf numFmtId="39" fontId="7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39" fontId="73" fillId="0" borderId="0"/>
    <xf numFmtId="0" fontId="21" fillId="0" borderId="0"/>
    <xf numFmtId="0" fontId="21" fillId="0" borderId="0"/>
    <xf numFmtId="0" fontId="169" fillId="0" borderId="0">
      <alignment vertical="center"/>
    </xf>
    <xf numFmtId="0" fontId="169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39" fontId="7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39" fontId="73" fillId="0" borderId="0"/>
    <xf numFmtId="39" fontId="73" fillId="0" borderId="0"/>
    <xf numFmtId="39" fontId="73" fillId="0" borderId="0"/>
    <xf numFmtId="39" fontId="73" fillId="0" borderId="0"/>
    <xf numFmtId="39" fontId="73" fillId="0" borderId="0"/>
    <xf numFmtId="39" fontId="73" fillId="0" borderId="0"/>
    <xf numFmtId="0" fontId="21" fillId="0" borderId="0"/>
    <xf numFmtId="0" fontId="21" fillId="0" borderId="0"/>
    <xf numFmtId="39" fontId="73" fillId="0" borderId="0"/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39" fontId="73" fillId="0" borderId="0"/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39" fontId="73" fillId="0" borderId="0"/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39" fontId="73" fillId="0" borderId="0"/>
    <xf numFmtId="39" fontId="73" fillId="0" borderId="0"/>
    <xf numFmtId="39" fontId="73" fillId="0" borderId="0"/>
    <xf numFmtId="39" fontId="73" fillId="0" borderId="0"/>
    <xf numFmtId="39" fontId="73" fillId="0" borderId="0"/>
    <xf numFmtId="0" fontId="21" fillId="0" borderId="0"/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21" fillId="0" borderId="0"/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21" fillId="0" borderId="0"/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21" fillId="0" borderId="0"/>
    <xf numFmtId="0" fontId="21" fillId="0" borderId="0"/>
    <xf numFmtId="39" fontId="73" fillId="0" borderId="0"/>
    <xf numFmtId="39" fontId="73" fillId="0" borderId="0"/>
    <xf numFmtId="39" fontId="73" fillId="0" borderId="0"/>
    <xf numFmtId="39" fontId="73" fillId="0" borderId="0"/>
    <xf numFmtId="39" fontId="73" fillId="0" borderId="0"/>
    <xf numFmtId="39" fontId="73" fillId="0" borderId="0"/>
    <xf numFmtId="39" fontId="73" fillId="0" borderId="0"/>
    <xf numFmtId="39" fontId="73" fillId="0" borderId="0"/>
    <xf numFmtId="39" fontId="73" fillId="0" borderId="0"/>
    <xf numFmtId="39" fontId="7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39" fontId="7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39" fontId="73" fillId="0" borderId="0"/>
    <xf numFmtId="39" fontId="73" fillId="0" borderId="0"/>
    <xf numFmtId="39" fontId="73" fillId="0" borderId="0"/>
    <xf numFmtId="39" fontId="73" fillId="0" borderId="0"/>
    <xf numFmtId="39" fontId="73" fillId="0" borderId="0"/>
    <xf numFmtId="39" fontId="73" fillId="0" borderId="0"/>
    <xf numFmtId="39" fontId="73" fillId="0" borderId="0"/>
    <xf numFmtId="39" fontId="73" fillId="0" borderId="0"/>
    <xf numFmtId="39" fontId="73" fillId="0" borderId="0"/>
    <xf numFmtId="39" fontId="73" fillId="0" borderId="0"/>
    <xf numFmtId="39" fontId="7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39" fontId="73" fillId="0" borderId="0"/>
    <xf numFmtId="0" fontId="21" fillId="0" borderId="0"/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21" fillId="0" borderId="0"/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39" fontId="73" fillId="0" borderId="0"/>
    <xf numFmtId="0" fontId="21" fillId="0" borderId="0"/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21" fillId="0" borderId="0"/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39" fontId="73" fillId="0" borderId="0"/>
    <xf numFmtId="39" fontId="73" fillId="0" borderId="0"/>
    <xf numFmtId="39" fontId="73" fillId="0" borderId="0"/>
    <xf numFmtId="39" fontId="73" fillId="0" borderId="0"/>
    <xf numFmtId="39" fontId="73" fillId="0" borderId="0"/>
    <xf numFmtId="39" fontId="73" fillId="0" borderId="0"/>
    <xf numFmtId="0" fontId="21" fillId="0" borderId="0"/>
    <xf numFmtId="0" fontId="21" fillId="0" borderId="0"/>
    <xf numFmtId="39" fontId="73" fillId="0" borderId="0"/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39" fontId="73" fillId="0" borderId="0"/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39" fontId="73" fillId="0" borderId="0"/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39" fontId="73" fillId="0" borderId="0"/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39" fontId="73" fillId="0" borderId="0"/>
    <xf numFmtId="39" fontId="73" fillId="0" borderId="0"/>
    <xf numFmtId="39" fontId="73" fillId="0" borderId="0"/>
    <xf numFmtId="39" fontId="7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39" fontId="73" fillId="0" borderId="0"/>
    <xf numFmtId="0" fontId="21" fillId="0" borderId="0"/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21" fillId="0" borderId="0"/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21" fillId="0" borderId="0"/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21" fillId="0" borderId="0"/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21" fillId="0" borderId="0"/>
    <xf numFmtId="0" fontId="21" fillId="0" borderId="0"/>
    <xf numFmtId="39" fontId="73" fillId="0" borderId="0"/>
    <xf numFmtId="39" fontId="73" fillId="0" borderId="0"/>
    <xf numFmtId="39" fontId="73" fillId="0" borderId="0"/>
    <xf numFmtId="39" fontId="73" fillId="0" borderId="0"/>
    <xf numFmtId="39" fontId="73" fillId="0" borderId="0"/>
    <xf numFmtId="39" fontId="73" fillId="0" borderId="0"/>
    <xf numFmtId="39" fontId="73" fillId="0" borderId="0"/>
    <xf numFmtId="39" fontId="73" fillId="0" borderId="0"/>
    <xf numFmtId="39" fontId="7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39" fontId="73" fillId="0" borderId="0"/>
    <xf numFmtId="39" fontId="73" fillId="0" borderId="0"/>
    <xf numFmtId="39" fontId="73" fillId="0" borderId="0"/>
    <xf numFmtId="39" fontId="73" fillId="0" borderId="0"/>
    <xf numFmtId="39" fontId="73" fillId="0" borderId="0"/>
    <xf numFmtId="39" fontId="73" fillId="0" borderId="0"/>
    <xf numFmtId="39" fontId="73" fillId="0" borderId="0"/>
    <xf numFmtId="39" fontId="73" fillId="0" borderId="0"/>
    <xf numFmtId="39" fontId="73" fillId="0" borderId="0"/>
    <xf numFmtId="39" fontId="73" fillId="0" borderId="0"/>
    <xf numFmtId="39" fontId="73" fillId="0" borderId="0"/>
    <xf numFmtId="0" fontId="21" fillId="0" borderId="0"/>
    <xf numFmtId="0" fontId="169" fillId="0" borderId="0">
      <alignment vertical="center"/>
    </xf>
    <xf numFmtId="39" fontId="73" fillId="0" borderId="0"/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39" fontId="73" fillId="0" borderId="0"/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39" fontId="73" fillId="0" borderId="0"/>
    <xf numFmtId="39" fontId="73" fillId="0" borderId="0"/>
    <xf numFmtId="39" fontId="73" fillId="0" borderId="0"/>
    <xf numFmtId="39" fontId="73" fillId="0" borderId="0"/>
    <xf numFmtId="39" fontId="73" fillId="0" borderId="0"/>
    <xf numFmtId="39" fontId="73" fillId="0" borderId="0"/>
    <xf numFmtId="0" fontId="21" fillId="0" borderId="0"/>
    <xf numFmtId="39" fontId="73" fillId="0" borderId="0"/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39" fontId="73" fillId="0" borderId="0"/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39" fontId="73" fillId="0" borderId="0"/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39" fontId="73" fillId="0" borderId="0"/>
    <xf numFmtId="39" fontId="73" fillId="0" borderId="0"/>
    <xf numFmtId="39" fontId="73" fillId="0" borderId="0"/>
    <xf numFmtId="39" fontId="7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39" fontId="73" fillId="0" borderId="0"/>
    <xf numFmtId="39" fontId="73" fillId="0" borderId="0"/>
    <xf numFmtId="0" fontId="169" fillId="0" borderId="0">
      <alignment vertical="center"/>
    </xf>
    <xf numFmtId="0" fontId="169" fillId="0" borderId="0">
      <alignment vertical="center"/>
    </xf>
    <xf numFmtId="0" fontId="21" fillId="0" borderId="0"/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21" fillId="0" borderId="0"/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21" fillId="0" borderId="0"/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21" fillId="0" borderId="0"/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21" fillId="0" borderId="0"/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21" fillId="0" borderId="0"/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21" fillId="0" borderId="0"/>
    <xf numFmtId="0" fontId="21" fillId="0" borderId="0"/>
    <xf numFmtId="39" fontId="73" fillId="0" borderId="0"/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39" fontId="73" fillId="0" borderId="0"/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39" fontId="73" fillId="0" borderId="0"/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39" fontId="73" fillId="0" borderId="0"/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39" fontId="73" fillId="0" borderId="0"/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39" fontId="73" fillId="0" borderId="0"/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39" fontId="73" fillId="0" borderId="0"/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39" fontId="73" fillId="0" borderId="0"/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39" fontId="73" fillId="0" borderId="0"/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21" fillId="0" borderId="0"/>
    <xf numFmtId="39" fontId="73" fillId="0" borderId="0"/>
    <xf numFmtId="39" fontId="73" fillId="0" borderId="0"/>
    <xf numFmtId="0" fontId="169" fillId="0" borderId="0">
      <alignment vertical="center"/>
    </xf>
    <xf numFmtId="0" fontId="169" fillId="0" borderId="0">
      <alignment vertical="center"/>
    </xf>
    <xf numFmtId="39" fontId="73" fillId="0" borderId="0"/>
    <xf numFmtId="39" fontId="73" fillId="0" borderId="0"/>
    <xf numFmtId="39" fontId="73" fillId="0" borderId="0"/>
    <xf numFmtId="39" fontId="73" fillId="0" borderId="0"/>
    <xf numFmtId="39" fontId="7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39" fontId="73" fillId="0" borderId="0"/>
    <xf numFmtId="39" fontId="73" fillId="0" borderId="0"/>
    <xf numFmtId="39" fontId="73" fillId="0" borderId="0"/>
    <xf numFmtId="39" fontId="73" fillId="0" borderId="0"/>
    <xf numFmtId="39" fontId="73" fillId="0" borderId="0"/>
    <xf numFmtId="39" fontId="73" fillId="0" borderId="0"/>
    <xf numFmtId="39" fontId="73" fillId="0" borderId="0"/>
    <xf numFmtId="39" fontId="73" fillId="0" borderId="0"/>
    <xf numFmtId="39" fontId="73" fillId="0" borderId="0"/>
    <xf numFmtId="39" fontId="73" fillId="0" borderId="0"/>
    <xf numFmtId="39" fontId="73" fillId="0" borderId="0"/>
    <xf numFmtId="0" fontId="21" fillId="0" borderId="0"/>
    <xf numFmtId="0" fontId="169" fillId="0" borderId="0">
      <alignment vertical="center"/>
    </xf>
    <xf numFmtId="39" fontId="73" fillId="0" borderId="0"/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39" fontId="73" fillId="0" borderId="0"/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39" fontId="73" fillId="0" borderId="0"/>
    <xf numFmtId="39" fontId="73" fillId="0" borderId="0"/>
    <xf numFmtId="39" fontId="73" fillId="0" borderId="0"/>
    <xf numFmtId="39" fontId="73" fillId="0" borderId="0"/>
    <xf numFmtId="39" fontId="73" fillId="0" borderId="0"/>
    <xf numFmtId="39" fontId="73" fillId="0" borderId="0"/>
    <xf numFmtId="0" fontId="21" fillId="0" borderId="0"/>
    <xf numFmtId="39" fontId="73" fillId="0" borderId="0"/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39" fontId="73" fillId="0" borderId="0"/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39" fontId="73" fillId="0" borderId="0"/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39" fontId="73" fillId="0" borderId="0"/>
    <xf numFmtId="39" fontId="73" fillId="0" borderId="0"/>
    <xf numFmtId="39" fontId="73" fillId="0" borderId="0"/>
    <xf numFmtId="39" fontId="7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39" fontId="73" fillId="0" borderId="0"/>
    <xf numFmtId="39" fontId="73" fillId="0" borderId="0"/>
    <xf numFmtId="0" fontId="169" fillId="0" borderId="0">
      <alignment vertical="center"/>
    </xf>
    <xf numFmtId="0" fontId="169" fillId="0" borderId="0">
      <alignment vertical="center"/>
    </xf>
    <xf numFmtId="0" fontId="21" fillId="0" borderId="0"/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21" fillId="0" borderId="0"/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21" fillId="0" borderId="0"/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21" fillId="0" borderId="0"/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21" fillId="0" borderId="0"/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21" fillId="0" borderId="0"/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21" fillId="0" borderId="0"/>
    <xf numFmtId="0" fontId="21" fillId="0" borderId="0"/>
    <xf numFmtId="39" fontId="73" fillId="0" borderId="0"/>
    <xf numFmtId="39" fontId="73" fillId="0" borderId="0"/>
    <xf numFmtId="39" fontId="73" fillId="0" borderId="0"/>
    <xf numFmtId="39" fontId="73" fillId="0" borderId="0"/>
    <xf numFmtId="39" fontId="73" fillId="0" borderId="0"/>
    <xf numFmtId="39" fontId="73" fillId="0" borderId="0"/>
    <xf numFmtId="39" fontId="73" fillId="0" borderId="0"/>
    <xf numFmtId="39" fontId="73" fillId="0" borderId="0"/>
    <xf numFmtId="39" fontId="73" fillId="0" borderId="0"/>
    <xf numFmtId="39" fontId="73" fillId="0" borderId="0"/>
    <xf numFmtId="39" fontId="73" fillId="0" borderId="0"/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39" fontId="73" fillId="0" borderId="0"/>
    <xf numFmtId="39" fontId="73" fillId="0" borderId="0"/>
    <xf numFmtId="39" fontId="73" fillId="0" borderId="0"/>
    <xf numFmtId="39" fontId="73" fillId="0" borderId="0"/>
    <xf numFmtId="39" fontId="73" fillId="0" borderId="0"/>
    <xf numFmtId="39" fontId="73" fillId="0" borderId="0"/>
    <xf numFmtId="39" fontId="73" fillId="0" borderId="0"/>
    <xf numFmtId="39" fontId="73" fillId="0" borderId="0"/>
    <xf numFmtId="0" fontId="21" fillId="0" borderId="0"/>
    <xf numFmtId="39" fontId="73" fillId="0" borderId="0"/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39" fontId="73" fillId="0" borderId="0"/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39" fontId="73" fillId="0" borderId="0"/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39" fontId="73" fillId="0" borderId="0"/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39" fontId="73" fillId="0" borderId="0"/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39" fontId="73" fillId="0" borderId="0"/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39" fontId="73" fillId="0" borderId="0"/>
    <xf numFmtId="39" fontId="73" fillId="0" borderId="0"/>
    <xf numFmtId="39" fontId="73" fillId="0" borderId="0"/>
    <xf numFmtId="39" fontId="73" fillId="0" borderId="0"/>
    <xf numFmtId="39" fontId="73" fillId="0" borderId="0"/>
    <xf numFmtId="39" fontId="73" fillId="0" borderId="0"/>
    <xf numFmtId="39" fontId="73" fillId="0" borderId="0"/>
    <xf numFmtId="39" fontId="73" fillId="0" borderId="0"/>
    <xf numFmtId="39" fontId="73" fillId="0" borderId="0"/>
    <xf numFmtId="39" fontId="73" fillId="0" borderId="0"/>
    <xf numFmtId="39" fontId="7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39" fontId="73" fillId="0" borderId="0"/>
    <xf numFmtId="0" fontId="169" fillId="0" borderId="0">
      <alignment vertical="center"/>
    </xf>
    <xf numFmtId="0" fontId="21" fillId="0" borderId="0"/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21" fillId="0" borderId="0"/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39" fontId="73" fillId="0" borderId="0"/>
    <xf numFmtId="0" fontId="21" fillId="0" borderId="0"/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21" fillId="0" borderId="0"/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21" fillId="0" borderId="0"/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39" fontId="73" fillId="0" borderId="0"/>
    <xf numFmtId="39" fontId="73" fillId="0" borderId="0"/>
    <xf numFmtId="39" fontId="73" fillId="0" borderId="0"/>
    <xf numFmtId="39" fontId="73" fillId="0" borderId="0"/>
    <xf numFmtId="39" fontId="73" fillId="0" borderId="0"/>
    <xf numFmtId="39" fontId="73" fillId="0" borderId="0"/>
    <xf numFmtId="0" fontId="21" fillId="0" borderId="0"/>
    <xf numFmtId="0" fontId="21" fillId="0" borderId="0"/>
    <xf numFmtId="0" fontId="169" fillId="0" borderId="0">
      <alignment vertical="center"/>
    </xf>
    <xf numFmtId="0" fontId="169" fillId="0" borderId="0">
      <alignment vertical="center"/>
    </xf>
    <xf numFmtId="39" fontId="73" fillId="0" borderId="0"/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39" fontId="73" fillId="0" borderId="0"/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39" fontId="73" fillId="0" borderId="0"/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39" fontId="73" fillId="0" borderId="0"/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39" fontId="73" fillId="0" borderId="0"/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39" fontId="73" fillId="0" borderId="0"/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39" fontId="73" fillId="0" borderId="0"/>
    <xf numFmtId="39" fontId="73" fillId="0" borderId="0"/>
    <xf numFmtId="0" fontId="21" fillId="0" borderId="0"/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21" fillId="0" borderId="0"/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21" fillId="0" borderId="0"/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21" fillId="0" borderId="0"/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55" fillId="0" borderId="0"/>
    <xf numFmtId="245" fontId="21" fillId="0" borderId="0"/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39" fontId="172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170" fillId="0" borderId="0">
      <alignment vertical="center"/>
    </xf>
    <xf numFmtId="0" fontId="170" fillId="0" borderId="0">
      <alignment vertical="center"/>
    </xf>
    <xf numFmtId="0" fontId="170" fillId="0" borderId="0">
      <alignment vertical="center"/>
    </xf>
    <xf numFmtId="0" fontId="170" fillId="0" borderId="0">
      <alignment vertical="center"/>
    </xf>
    <xf numFmtId="0" fontId="170" fillId="0" borderId="0">
      <alignment vertical="center"/>
    </xf>
    <xf numFmtId="0" fontId="170" fillId="0" borderId="0">
      <alignment vertical="center"/>
    </xf>
    <xf numFmtId="0" fontId="170" fillId="0" borderId="0">
      <alignment vertical="center"/>
    </xf>
    <xf numFmtId="0" fontId="170" fillId="0" borderId="0">
      <alignment vertical="center"/>
    </xf>
    <xf numFmtId="0" fontId="172" fillId="0" borderId="0">
      <alignment vertical="center"/>
    </xf>
    <xf numFmtId="0" fontId="110" fillId="0" borderId="0"/>
    <xf numFmtId="0" fontId="2" fillId="0" borderId="0"/>
    <xf numFmtId="0" fontId="21" fillId="0" borderId="0"/>
    <xf numFmtId="0" fontId="21" fillId="0" borderId="0"/>
    <xf numFmtId="0" fontId="58" fillId="0" borderId="0"/>
    <xf numFmtId="0" fontId="110" fillId="0" borderId="0"/>
    <xf numFmtId="0" fontId="110" fillId="0" borderId="0"/>
    <xf numFmtId="0" fontId="21" fillId="0" borderId="0" applyProtection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70" fillId="0" borderId="0">
      <alignment vertical="center"/>
    </xf>
    <xf numFmtId="0" fontId="170" fillId="0" borderId="0">
      <alignment vertical="center"/>
    </xf>
    <xf numFmtId="0" fontId="170" fillId="0" borderId="0">
      <alignment vertical="center"/>
    </xf>
    <xf numFmtId="0" fontId="170" fillId="0" borderId="0">
      <alignment vertical="center"/>
    </xf>
    <xf numFmtId="0" fontId="170" fillId="0" borderId="0">
      <alignment vertical="center"/>
    </xf>
    <xf numFmtId="0" fontId="170" fillId="0" borderId="0">
      <alignment vertical="center"/>
    </xf>
    <xf numFmtId="0" fontId="170" fillId="0" borderId="0">
      <alignment vertical="center"/>
    </xf>
    <xf numFmtId="0" fontId="170" fillId="0" borderId="0">
      <alignment vertical="center"/>
    </xf>
    <xf numFmtId="0" fontId="170" fillId="0" borderId="0">
      <alignment vertical="center"/>
    </xf>
    <xf numFmtId="0" fontId="170" fillId="0" borderId="0">
      <alignment vertical="center"/>
    </xf>
    <xf numFmtId="0" fontId="170" fillId="0" borderId="0">
      <alignment vertical="center"/>
    </xf>
    <xf numFmtId="0" fontId="2" fillId="0" borderId="0"/>
    <xf numFmtId="0" fontId="2" fillId="0" borderId="0"/>
    <xf numFmtId="0" fontId="170" fillId="0" borderId="0">
      <alignment vertical="center"/>
    </xf>
    <xf numFmtId="0" fontId="110" fillId="0" borderId="0"/>
    <xf numFmtId="0" fontId="110" fillId="0" borderId="0"/>
    <xf numFmtId="0" fontId="21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218" fontId="21" fillId="0" borderId="0"/>
    <xf numFmtId="0" fontId="170" fillId="0" borderId="0">
      <alignment vertical="center"/>
    </xf>
    <xf numFmtId="0" fontId="170" fillId="0" borderId="0">
      <alignment vertical="center"/>
    </xf>
    <xf numFmtId="0" fontId="170" fillId="0" borderId="0">
      <alignment vertical="center"/>
    </xf>
    <xf numFmtId="0" fontId="170" fillId="0" borderId="0">
      <alignment vertical="center"/>
    </xf>
    <xf numFmtId="0" fontId="170" fillId="0" borderId="0">
      <alignment vertical="center"/>
    </xf>
    <xf numFmtId="0" fontId="170" fillId="0" borderId="0">
      <alignment vertical="center"/>
    </xf>
    <xf numFmtId="0" fontId="170" fillId="0" borderId="0">
      <alignment vertical="center"/>
    </xf>
    <xf numFmtId="0" fontId="170" fillId="0" borderId="0">
      <alignment vertical="center"/>
    </xf>
    <xf numFmtId="0" fontId="170" fillId="0" borderId="0">
      <alignment vertical="center"/>
    </xf>
    <xf numFmtId="0" fontId="170" fillId="0" borderId="0">
      <alignment vertical="center"/>
    </xf>
    <xf numFmtId="0" fontId="170" fillId="0" borderId="0">
      <alignment vertical="center"/>
    </xf>
    <xf numFmtId="0" fontId="152" fillId="0" borderId="0">
      <alignment vertical="center"/>
    </xf>
    <xf numFmtId="0" fontId="110" fillId="0" borderId="0"/>
    <xf numFmtId="0" fontId="110" fillId="0" borderId="0"/>
    <xf numFmtId="0" fontId="170" fillId="0" borderId="0">
      <alignment vertical="center"/>
    </xf>
    <xf numFmtId="0" fontId="170" fillId="0" borderId="0">
      <alignment vertical="center"/>
    </xf>
    <xf numFmtId="0" fontId="172" fillId="52" borderId="0">
      <alignment vertical="center"/>
    </xf>
    <xf numFmtId="0" fontId="172" fillId="52" borderId="0">
      <alignment vertical="center"/>
    </xf>
    <xf numFmtId="0" fontId="172" fillId="52" borderId="0">
      <alignment vertical="center"/>
    </xf>
    <xf numFmtId="0" fontId="172" fillId="52" borderId="0">
      <alignment vertical="center"/>
    </xf>
    <xf numFmtId="39" fontId="172" fillId="0" borderId="0">
      <alignment vertical="center"/>
    </xf>
    <xf numFmtId="39" fontId="172" fillId="0" borderId="0">
      <alignment vertical="center"/>
    </xf>
    <xf numFmtId="39" fontId="172" fillId="0" borderId="0">
      <alignment vertical="center"/>
    </xf>
    <xf numFmtId="39" fontId="172" fillId="0" borderId="0">
      <alignment vertical="center"/>
    </xf>
    <xf numFmtId="39" fontId="172" fillId="0" borderId="0">
      <alignment vertical="center"/>
    </xf>
    <xf numFmtId="39" fontId="172" fillId="0" borderId="0">
      <alignment vertical="center"/>
    </xf>
    <xf numFmtId="39" fontId="172" fillId="0" borderId="0">
      <alignment vertical="center"/>
    </xf>
    <xf numFmtId="39" fontId="172" fillId="0" borderId="0">
      <alignment vertical="center"/>
    </xf>
    <xf numFmtId="39" fontId="172" fillId="0" borderId="0">
      <alignment vertical="center"/>
    </xf>
    <xf numFmtId="39" fontId="172" fillId="0" borderId="0">
      <alignment vertical="center"/>
    </xf>
    <xf numFmtId="39" fontId="172" fillId="0" borderId="0">
      <alignment vertical="center"/>
    </xf>
    <xf numFmtId="39" fontId="172" fillId="0" borderId="0">
      <alignment vertical="center"/>
    </xf>
    <xf numFmtId="39" fontId="172" fillId="0" borderId="0">
      <alignment vertical="center"/>
    </xf>
    <xf numFmtId="39" fontId="172" fillId="0" borderId="0">
      <alignment vertical="center"/>
    </xf>
    <xf numFmtId="39" fontId="172" fillId="0" borderId="0">
      <alignment vertical="center"/>
    </xf>
    <xf numFmtId="39" fontId="172" fillId="0" borderId="0">
      <alignment vertical="center"/>
    </xf>
    <xf numFmtId="39" fontId="172" fillId="0" borderId="0">
      <alignment vertical="center"/>
    </xf>
    <xf numFmtId="39" fontId="172" fillId="0" borderId="0">
      <alignment vertical="center"/>
    </xf>
    <xf numFmtId="39" fontId="172" fillId="0" borderId="0">
      <alignment vertical="center"/>
    </xf>
    <xf numFmtId="39" fontId="172" fillId="0" borderId="0">
      <alignment vertical="center"/>
    </xf>
    <xf numFmtId="39" fontId="172" fillId="0" borderId="0">
      <alignment vertical="center"/>
    </xf>
    <xf numFmtId="39" fontId="172" fillId="0" borderId="0">
      <alignment vertical="center"/>
    </xf>
    <xf numFmtId="39" fontId="172" fillId="0" borderId="0">
      <alignment vertical="center"/>
    </xf>
    <xf numFmtId="39" fontId="172" fillId="0" borderId="0">
      <alignment vertical="center"/>
    </xf>
    <xf numFmtId="39" fontId="172" fillId="0" borderId="0">
      <alignment vertical="center"/>
    </xf>
    <xf numFmtId="39" fontId="172" fillId="0" borderId="0">
      <alignment vertical="center"/>
    </xf>
    <xf numFmtId="39" fontId="172" fillId="0" borderId="0">
      <alignment vertical="center"/>
    </xf>
    <xf numFmtId="39" fontId="172" fillId="0" borderId="0">
      <alignment vertical="center"/>
    </xf>
    <xf numFmtId="39" fontId="172" fillId="0" borderId="0">
      <alignment vertical="center"/>
    </xf>
    <xf numFmtId="0" fontId="49" fillId="0" borderId="0"/>
    <xf numFmtId="39" fontId="172" fillId="0" borderId="0">
      <alignment vertical="center"/>
    </xf>
    <xf numFmtId="39" fontId="172" fillId="0" borderId="0">
      <alignment vertical="center"/>
    </xf>
    <xf numFmtId="0" fontId="172" fillId="52" borderId="0">
      <alignment vertical="center"/>
    </xf>
    <xf numFmtId="39" fontId="172" fillId="0" borderId="0">
      <alignment vertical="center"/>
    </xf>
    <xf numFmtId="39" fontId="172" fillId="0" borderId="0">
      <alignment vertical="center"/>
    </xf>
    <xf numFmtId="0" fontId="172" fillId="52" borderId="0">
      <alignment vertical="center"/>
    </xf>
    <xf numFmtId="39" fontId="172" fillId="0" borderId="0">
      <alignment vertical="center"/>
    </xf>
    <xf numFmtId="39" fontId="172" fillId="0" borderId="0">
      <alignment vertical="center"/>
    </xf>
    <xf numFmtId="245" fontId="110" fillId="0" borderId="0"/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21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21" fillId="0" borderId="0" applyProtection="0"/>
    <xf numFmtId="202" fontId="99" fillId="0" borderId="0" applyNumberFormat="0" applyFill="0" applyBorder="0" applyAlignment="0" applyProtection="0"/>
    <xf numFmtId="246" fontId="157" fillId="0" borderId="0" applyFont="0" applyFill="0" applyBorder="0" applyAlignment="0" applyProtection="0"/>
    <xf numFmtId="0" fontId="173" fillId="53" borderId="98" applyBorder="0">
      <alignment horizontal="center" vertical="justify"/>
    </xf>
    <xf numFmtId="0" fontId="173" fillId="53" borderId="98" applyBorder="0">
      <alignment horizontal="center" vertical="justify"/>
    </xf>
    <xf numFmtId="0" fontId="173" fillId="53" borderId="98" applyBorder="0">
      <alignment horizontal="center" vertical="justify"/>
    </xf>
    <xf numFmtId="0" fontId="173" fillId="53" borderId="98" applyBorder="0">
      <alignment horizontal="center" vertical="justify"/>
    </xf>
    <xf numFmtId="0" fontId="173" fillId="53" borderId="98" applyBorder="0">
      <alignment horizontal="center" vertical="justify"/>
    </xf>
    <xf numFmtId="0" fontId="173" fillId="53" borderId="98" applyBorder="0">
      <alignment horizontal="center" vertical="justify"/>
    </xf>
    <xf numFmtId="0" fontId="173" fillId="53" borderId="98" applyBorder="0">
      <alignment horizontal="center" vertical="justify"/>
    </xf>
    <xf numFmtId="0" fontId="173" fillId="53" borderId="98" applyBorder="0">
      <alignment horizontal="center" vertical="justify"/>
    </xf>
    <xf numFmtId="0" fontId="173" fillId="53" borderId="98" applyBorder="0">
      <alignment horizontal="center" vertical="justify"/>
    </xf>
    <xf numFmtId="0" fontId="173" fillId="53" borderId="98" applyBorder="0">
      <alignment horizontal="center" vertical="justify"/>
    </xf>
    <xf numFmtId="0" fontId="173" fillId="53" borderId="98" applyBorder="0">
      <alignment horizontal="center" vertical="justify"/>
    </xf>
    <xf numFmtId="0" fontId="173" fillId="53" borderId="98" applyBorder="0">
      <alignment horizontal="center" vertical="justify"/>
    </xf>
    <xf numFmtId="0" fontId="173" fillId="53" borderId="98" applyBorder="0">
      <alignment horizontal="center" vertical="justify"/>
    </xf>
    <xf numFmtId="0" fontId="173" fillId="53" borderId="98" applyBorder="0">
      <alignment horizontal="center" vertical="justify"/>
    </xf>
    <xf numFmtId="0" fontId="173" fillId="53" borderId="98" applyBorder="0">
      <alignment horizontal="center" vertical="justify"/>
    </xf>
    <xf numFmtId="0" fontId="173" fillId="53" borderId="98" applyBorder="0">
      <alignment horizontal="center" vertical="justify"/>
    </xf>
    <xf numFmtId="0" fontId="173" fillId="53" borderId="98" applyBorder="0">
      <alignment horizontal="center" vertical="justify"/>
    </xf>
    <xf numFmtId="0" fontId="173" fillId="53" borderId="98" applyBorder="0">
      <alignment horizontal="center" vertical="justify"/>
    </xf>
    <xf numFmtId="0" fontId="173" fillId="53" borderId="98" applyBorder="0">
      <alignment horizontal="center" vertical="justify"/>
    </xf>
    <xf numFmtId="0" fontId="25" fillId="0" borderId="0"/>
    <xf numFmtId="0" fontId="25" fillId="0" borderId="0"/>
    <xf numFmtId="0" fontId="25" fillId="0" borderId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247" fontId="21" fillId="0" borderId="0" applyFont="0" applyFill="0" applyBorder="0" applyAlignment="0" applyProtection="0"/>
    <xf numFmtId="238" fontId="58" fillId="0" borderId="0" applyFont="0">
      <protection locked="0"/>
    </xf>
    <xf numFmtId="3" fontId="23" fillId="0" borderId="20" applyFont="0" applyBorder="0" applyAlignment="0">
      <alignment horizontal="center"/>
    </xf>
    <xf numFmtId="3" fontId="23" fillId="0" borderId="20" applyFont="0" applyBorder="0" applyAlignment="0">
      <alignment horizontal="center"/>
    </xf>
    <xf numFmtId="3" fontId="23" fillId="0" borderId="20" applyFont="0" applyBorder="0" applyAlignment="0">
      <alignment horizontal="center"/>
    </xf>
    <xf numFmtId="3" fontId="23" fillId="0" borderId="20" applyFont="0" applyBorder="0" applyAlignment="0">
      <alignment horizontal="center"/>
    </xf>
    <xf numFmtId="3" fontId="23" fillId="0" borderId="20" applyFont="0" applyBorder="0" applyAlignment="0">
      <alignment horizontal="center"/>
    </xf>
    <xf numFmtId="3" fontId="23" fillId="0" borderId="20" applyFont="0" applyBorder="0" applyAlignment="0">
      <alignment horizontal="center"/>
    </xf>
    <xf numFmtId="3" fontId="23" fillId="0" borderId="20" applyFont="0" applyBorder="0" applyAlignment="0">
      <alignment horizontal="center"/>
    </xf>
    <xf numFmtId="3" fontId="23" fillId="0" borderId="20" applyFont="0" applyBorder="0" applyAlignment="0">
      <alignment horizontal="center"/>
    </xf>
    <xf numFmtId="3" fontId="23" fillId="0" borderId="20" applyFont="0" applyBorder="0" applyAlignment="0">
      <alignment horizontal="center"/>
    </xf>
    <xf numFmtId="3" fontId="23" fillId="0" borderId="20" applyFont="0" applyBorder="0" applyAlignment="0">
      <alignment horizontal="center"/>
    </xf>
    <xf numFmtId="3" fontId="23" fillId="0" borderId="20" applyFont="0" applyBorder="0" applyAlignment="0">
      <alignment horizontal="center"/>
    </xf>
    <xf numFmtId="3" fontId="23" fillId="0" borderId="20" applyFont="0" applyBorder="0" applyAlignment="0">
      <alignment horizontal="center"/>
    </xf>
    <xf numFmtId="3" fontId="23" fillId="0" borderId="20" applyFont="0" applyBorder="0" applyAlignment="0">
      <alignment horizontal="center"/>
    </xf>
    <xf numFmtId="3" fontId="23" fillId="0" borderId="20" applyFont="0" applyBorder="0" applyAlignment="0">
      <alignment horizontal="center"/>
    </xf>
    <xf numFmtId="3" fontId="23" fillId="0" borderId="20" applyFont="0" applyBorder="0" applyAlignment="0">
      <alignment horizontal="center"/>
    </xf>
    <xf numFmtId="3" fontId="23" fillId="0" borderId="20" applyFont="0" applyBorder="0" applyAlignment="0">
      <alignment horizontal="center"/>
    </xf>
    <xf numFmtId="3" fontId="23" fillId="0" borderId="20" applyFont="0" applyBorder="0" applyAlignment="0">
      <alignment horizontal="center"/>
    </xf>
    <xf numFmtId="43" fontId="21" fillId="0" borderId="0" applyFont="0" applyFill="0" applyBorder="0" applyAlignment="0" applyProtection="0"/>
    <xf numFmtId="170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34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34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0" fontId="82" fillId="26" borderId="17" applyNumberFormat="0" applyAlignment="0" applyProtection="0"/>
    <xf numFmtId="248" fontId="21" fillId="0" borderId="0"/>
    <xf numFmtId="249" fontId="157" fillId="0" borderId="0" applyFont="0" applyFill="0" applyBorder="0" applyAlignment="0"/>
    <xf numFmtId="239" fontId="157" fillId="0" borderId="0" applyFont="0" applyFill="0" applyBorder="0" applyAlignment="0"/>
    <xf numFmtId="10" fontId="21" fillId="0" borderId="0" applyFont="0" applyFill="0" applyBorder="0" applyAlignment="0" applyProtection="0"/>
    <xf numFmtId="10" fontId="46" fillId="0" borderId="0" applyFont="0" applyFill="0" applyBorder="0" applyAlignment="0" applyProtection="0">
      <alignment vertical="center"/>
    </xf>
    <xf numFmtId="10" fontId="46" fillId="0" borderId="0" applyFont="0" applyFill="0" applyBorder="0" applyAlignment="0" applyProtection="0">
      <alignment vertical="center"/>
    </xf>
    <xf numFmtId="10" fontId="46" fillId="0" borderId="0" applyFont="0" applyFill="0" applyBorder="0" applyAlignment="0" applyProtection="0">
      <alignment vertical="center"/>
    </xf>
    <xf numFmtId="10" fontId="46" fillId="0" borderId="0" applyFont="0" applyFill="0" applyBorder="0" applyAlignment="0" applyProtection="0">
      <alignment vertical="center"/>
    </xf>
    <xf numFmtId="10" fontId="46" fillId="0" borderId="0" applyFont="0" applyFill="0" applyBorder="0" applyAlignment="0" applyProtection="0">
      <alignment vertical="center"/>
    </xf>
    <xf numFmtId="10" fontId="46" fillId="0" borderId="0" applyFont="0" applyFill="0" applyBorder="0" applyAlignment="0" applyProtection="0">
      <alignment vertical="center"/>
    </xf>
    <xf numFmtId="10" fontId="46" fillId="0" borderId="0" applyFont="0" applyFill="0" applyBorder="0" applyAlignment="0" applyProtection="0">
      <alignment vertical="center"/>
    </xf>
    <xf numFmtId="10" fontId="46" fillId="0" borderId="0" applyFont="0" applyFill="0" applyBorder="0" applyAlignment="0" applyProtection="0">
      <alignment vertical="center"/>
    </xf>
    <xf numFmtId="10" fontId="46" fillId="0" borderId="0" applyFont="0" applyFill="0" applyBorder="0" applyAlignment="0" applyProtection="0">
      <alignment vertical="center"/>
    </xf>
    <xf numFmtId="10" fontId="21" fillId="0" borderId="0" applyFont="0" applyFill="0" applyBorder="0" applyAlignment="0" applyProtection="0"/>
    <xf numFmtId="10" fontId="46" fillId="0" borderId="0" applyFont="0" applyFill="0" applyBorder="0" applyAlignment="0" applyProtection="0">
      <alignment vertical="center"/>
    </xf>
    <xf numFmtId="10" fontId="46" fillId="0" borderId="0" applyFont="0" applyFill="0" applyBorder="0" applyAlignment="0" applyProtection="0">
      <alignment vertical="center"/>
    </xf>
    <xf numFmtId="10" fontId="46" fillId="0" borderId="0" applyFont="0" applyFill="0" applyBorder="0" applyAlignment="0" applyProtection="0">
      <alignment vertical="center"/>
    </xf>
    <xf numFmtId="10" fontId="46" fillId="0" borderId="0" applyFont="0" applyFill="0" applyBorder="0" applyAlignment="0" applyProtection="0">
      <alignment vertical="center"/>
    </xf>
    <xf numFmtId="10" fontId="46" fillId="0" borderId="0" applyFont="0" applyFill="0" applyBorder="0" applyAlignment="0" applyProtection="0">
      <alignment vertical="center"/>
    </xf>
    <xf numFmtId="10" fontId="46" fillId="0" borderId="0" applyFont="0" applyFill="0" applyBorder="0" applyAlignment="0" applyProtection="0">
      <alignment vertical="center"/>
    </xf>
    <xf numFmtId="10" fontId="46" fillId="0" borderId="0" applyFont="0" applyFill="0" applyBorder="0" applyAlignment="0" applyProtection="0">
      <alignment vertical="center"/>
    </xf>
    <xf numFmtId="10" fontId="46" fillId="0" borderId="0" applyFont="0" applyFill="0" applyBorder="0" applyAlignment="0" applyProtection="0">
      <alignment vertical="center"/>
    </xf>
    <xf numFmtId="10" fontId="46" fillId="0" borderId="0" applyFont="0" applyFill="0" applyBorder="0" applyAlignment="0" applyProtection="0">
      <alignment vertical="center"/>
    </xf>
    <xf numFmtId="10" fontId="46" fillId="0" borderId="0" applyFont="0" applyFill="0" applyBorder="0" applyAlignment="0" applyProtection="0">
      <alignment vertical="center"/>
    </xf>
    <xf numFmtId="10" fontId="21" fillId="0" borderId="0" applyFont="0" applyFill="0" applyBorder="0" applyAlignment="0" applyProtection="0"/>
    <xf numFmtId="10" fontId="46" fillId="0" borderId="0" applyFont="0" applyFill="0" applyBorder="0" applyAlignment="0" applyProtection="0">
      <alignment vertical="center"/>
    </xf>
    <xf numFmtId="10" fontId="46" fillId="0" borderId="0" applyFont="0" applyFill="0" applyBorder="0" applyAlignment="0" applyProtection="0">
      <alignment vertical="center"/>
    </xf>
    <xf numFmtId="10" fontId="46" fillId="0" borderId="0" applyFont="0" applyFill="0" applyBorder="0" applyAlignment="0" applyProtection="0">
      <alignment vertical="center"/>
    </xf>
    <xf numFmtId="10" fontId="46" fillId="0" borderId="0" applyFont="0" applyFill="0" applyBorder="0" applyAlignment="0" applyProtection="0">
      <alignment vertical="center"/>
    </xf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41" fillId="0" borderId="21" applyNumberFormat="0" applyBorder="0"/>
    <xf numFmtId="250" fontId="21" fillId="0" borderId="0" applyFont="0" applyFill="0" applyBorder="0" applyAlignment="0" applyProtection="0"/>
    <xf numFmtId="0" fontId="41" fillId="0" borderId="0" applyNumberFormat="0" applyFont="0" applyFill="0" applyBorder="0" applyAlignment="0" applyProtection="0">
      <alignment horizontal="left"/>
    </xf>
    <xf numFmtId="15" fontId="41" fillId="0" borderId="0" applyFont="0" applyFill="0" applyBorder="0" applyAlignment="0" applyProtection="0"/>
    <xf numFmtId="0" fontId="25" fillId="0" borderId="0"/>
    <xf numFmtId="40" fontId="53" fillId="0" borderId="0" applyFont="0">
      <protection locked="0"/>
    </xf>
    <xf numFmtId="40" fontId="158" fillId="0" borderId="0" applyFont="0">
      <protection locked="0"/>
    </xf>
    <xf numFmtId="202" fontId="174" fillId="0" borderId="0" applyNumberFormat="0" applyFill="0" applyBorder="0" applyAlignment="0" applyProtection="0">
      <alignment horizontal="left"/>
    </xf>
    <xf numFmtId="0" fontId="25" fillId="0" borderId="0"/>
    <xf numFmtId="212" fontId="175" fillId="0" borderId="0" applyFont="0">
      <alignment horizontal="left"/>
    </xf>
    <xf numFmtId="0" fontId="85" fillId="1" borderId="10" applyNumberFormat="0" applyFont="0" applyAlignment="0">
      <alignment horizontal="center"/>
    </xf>
    <xf numFmtId="0" fontId="85" fillId="1" borderId="10" applyNumberFormat="0" applyFont="0" applyAlignment="0">
      <alignment horizontal="center"/>
    </xf>
    <xf numFmtId="0" fontId="85" fillId="1" borderId="10" applyNumberFormat="0" applyFont="0" applyAlignment="0">
      <alignment horizontal="center"/>
    </xf>
    <xf numFmtId="0" fontId="85" fillId="1" borderId="10" applyNumberFormat="0" applyFont="0" applyAlignment="0">
      <alignment horizontal="center"/>
    </xf>
    <xf numFmtId="0" fontId="85" fillId="1" borderId="10" applyNumberFormat="0" applyFont="0" applyAlignment="0">
      <alignment horizontal="center"/>
    </xf>
    <xf numFmtId="0" fontId="85" fillId="1" borderId="10" applyNumberFormat="0" applyFont="0" applyAlignment="0">
      <alignment horizontal="center"/>
    </xf>
    <xf numFmtId="0" fontId="85" fillId="1" borderId="10" applyNumberFormat="0" applyFont="0" applyAlignment="0">
      <alignment horizontal="center"/>
    </xf>
    <xf numFmtId="0" fontId="85" fillId="1" borderId="10" applyNumberFormat="0" applyFont="0" applyAlignment="0">
      <alignment horizontal="center"/>
    </xf>
    <xf numFmtId="0" fontId="85" fillId="1" borderId="10" applyNumberFormat="0" applyFont="0" applyAlignment="0">
      <alignment horizontal="center"/>
    </xf>
    <xf numFmtId="0" fontId="85" fillId="1" borderId="10" applyNumberFormat="0" applyFont="0" applyAlignment="0">
      <alignment horizontal="center"/>
    </xf>
    <xf numFmtId="0" fontId="41" fillId="0" borderId="0"/>
    <xf numFmtId="202" fontId="58" fillId="54" borderId="0" applyNumberFormat="0" applyFont="0" applyBorder="0" applyAlignment="0">
      <protection hidden="1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21" fillId="0" borderId="0"/>
    <xf numFmtId="0" fontId="28" fillId="0" borderId="0">
      <protection locked="0"/>
    </xf>
    <xf numFmtId="0" fontId="28" fillId="0" borderId="0">
      <protection locked="0"/>
    </xf>
    <xf numFmtId="1" fontId="144" fillId="0" borderId="0"/>
    <xf numFmtId="0" fontId="176" fillId="0" borderId="0" applyNumberFormat="0" applyProtection="0">
      <alignment wrapText="1"/>
      <protection locked="0"/>
    </xf>
    <xf numFmtId="212" fontId="53" fillId="0" borderId="0" applyFill="0" applyProtection="0">
      <protection locked="0"/>
    </xf>
    <xf numFmtId="230" fontId="73" fillId="55" borderId="0" applyNumberFormat="0" applyAlignment="0">
      <alignment horizontal="left" vertical="top"/>
    </xf>
    <xf numFmtId="251" fontId="177" fillId="0" borderId="36">
      <alignment horizontal="right" vertical="center"/>
    </xf>
    <xf numFmtId="252" fontId="177" fillId="0" borderId="99">
      <alignment horizontal="right" vertical="center"/>
    </xf>
    <xf numFmtId="252" fontId="177" fillId="0" borderId="99">
      <alignment horizontal="right" vertical="center"/>
    </xf>
    <xf numFmtId="252" fontId="177" fillId="0" borderId="99">
      <alignment horizontal="right" vertical="center"/>
    </xf>
    <xf numFmtId="252" fontId="177" fillId="0" borderId="99">
      <alignment horizontal="right" vertical="center"/>
    </xf>
    <xf numFmtId="252" fontId="177" fillId="0" borderId="99">
      <alignment horizontal="right" vertical="center"/>
    </xf>
    <xf numFmtId="252" fontId="177" fillId="0" borderId="99">
      <alignment horizontal="right" vertical="center"/>
    </xf>
    <xf numFmtId="252" fontId="177" fillId="0" borderId="99">
      <alignment horizontal="right" vertical="center"/>
    </xf>
    <xf numFmtId="252" fontId="177" fillId="0" borderId="99">
      <alignment horizontal="right" vertical="center"/>
    </xf>
    <xf numFmtId="252" fontId="177" fillId="0" borderId="99">
      <alignment horizontal="right" vertical="center"/>
    </xf>
    <xf numFmtId="252" fontId="177" fillId="0" borderId="99">
      <alignment horizontal="right" vertical="center"/>
    </xf>
    <xf numFmtId="252" fontId="177" fillId="0" borderId="99">
      <alignment horizontal="right" vertical="center"/>
    </xf>
    <xf numFmtId="252" fontId="177" fillId="0" borderId="99">
      <alignment horizontal="right" vertical="center"/>
    </xf>
    <xf numFmtId="252" fontId="177" fillId="0" borderId="99">
      <alignment horizontal="right" vertical="center"/>
    </xf>
    <xf numFmtId="252" fontId="177" fillId="0" borderId="99">
      <alignment horizontal="right" vertical="center"/>
    </xf>
    <xf numFmtId="252" fontId="177" fillId="0" borderId="99">
      <alignment horizontal="right" vertical="center"/>
    </xf>
    <xf numFmtId="253" fontId="21" fillId="0" borderId="36">
      <alignment horizontal="right" vertical="center"/>
    </xf>
    <xf numFmtId="254" fontId="21" fillId="0" borderId="99">
      <alignment horizontal="right" vertical="center"/>
    </xf>
    <xf numFmtId="254" fontId="21" fillId="0" borderId="99">
      <alignment horizontal="right" vertical="center"/>
    </xf>
    <xf numFmtId="254" fontId="21" fillId="0" borderId="99">
      <alignment horizontal="right" vertical="center"/>
    </xf>
    <xf numFmtId="254" fontId="21" fillId="0" borderId="99">
      <alignment horizontal="right" vertical="center"/>
    </xf>
    <xf numFmtId="254" fontId="21" fillId="0" borderId="99">
      <alignment horizontal="right" vertical="center"/>
    </xf>
    <xf numFmtId="254" fontId="21" fillId="0" borderId="99">
      <alignment horizontal="right" vertical="center"/>
    </xf>
    <xf numFmtId="254" fontId="21" fillId="0" borderId="99">
      <alignment horizontal="right" vertical="center"/>
    </xf>
    <xf numFmtId="254" fontId="21" fillId="0" borderId="99">
      <alignment horizontal="right" vertical="center"/>
    </xf>
    <xf numFmtId="254" fontId="21" fillId="0" borderId="99">
      <alignment horizontal="right" vertical="center"/>
    </xf>
    <xf numFmtId="254" fontId="21" fillId="0" borderId="99">
      <alignment horizontal="right" vertical="center"/>
    </xf>
    <xf numFmtId="254" fontId="21" fillId="0" borderId="99">
      <alignment horizontal="right" vertical="center"/>
    </xf>
    <xf numFmtId="254" fontId="21" fillId="0" borderId="99">
      <alignment horizontal="right" vertical="center"/>
    </xf>
    <xf numFmtId="254" fontId="21" fillId="0" borderId="99">
      <alignment horizontal="right" vertical="center"/>
    </xf>
    <xf numFmtId="254" fontId="21" fillId="0" borderId="99">
      <alignment horizontal="right" vertical="center"/>
    </xf>
    <xf numFmtId="254" fontId="21" fillId="0" borderId="99">
      <alignment horizontal="right" vertical="center"/>
    </xf>
    <xf numFmtId="253" fontId="21" fillId="0" borderId="36">
      <alignment horizontal="right" vertical="center"/>
    </xf>
    <xf numFmtId="253" fontId="21" fillId="0" borderId="36">
      <alignment horizontal="right" vertical="center"/>
    </xf>
    <xf numFmtId="253" fontId="21" fillId="0" borderId="36">
      <alignment horizontal="right" vertical="center"/>
    </xf>
    <xf numFmtId="253" fontId="21" fillId="0" borderId="36">
      <alignment horizontal="right" vertical="center"/>
    </xf>
    <xf numFmtId="253" fontId="21" fillId="0" borderId="36">
      <alignment horizontal="right" vertical="center"/>
    </xf>
    <xf numFmtId="253" fontId="21" fillId="0" borderId="36">
      <alignment horizontal="right" vertical="center"/>
    </xf>
    <xf numFmtId="253" fontId="21" fillId="0" borderId="36">
      <alignment horizontal="right" vertical="center"/>
    </xf>
    <xf numFmtId="253" fontId="21" fillId="0" borderId="36">
      <alignment horizontal="right" vertical="center"/>
    </xf>
    <xf numFmtId="253" fontId="21" fillId="0" borderId="36">
      <alignment horizontal="right" vertical="center"/>
    </xf>
    <xf numFmtId="254" fontId="21" fillId="0" borderId="99">
      <alignment horizontal="right" vertical="center"/>
    </xf>
    <xf numFmtId="254" fontId="21" fillId="0" borderId="99">
      <alignment horizontal="right" vertical="center"/>
    </xf>
    <xf numFmtId="254" fontId="21" fillId="0" borderId="99">
      <alignment horizontal="right" vertical="center"/>
    </xf>
    <xf numFmtId="254" fontId="21" fillId="0" borderId="99">
      <alignment horizontal="right" vertical="center"/>
    </xf>
    <xf numFmtId="254" fontId="21" fillId="0" borderId="99">
      <alignment horizontal="right" vertical="center"/>
    </xf>
    <xf numFmtId="254" fontId="21" fillId="0" borderId="99">
      <alignment horizontal="right" vertical="center"/>
    </xf>
    <xf numFmtId="254" fontId="21" fillId="0" borderId="99">
      <alignment horizontal="right" vertical="center"/>
    </xf>
    <xf numFmtId="254" fontId="21" fillId="0" borderId="99">
      <alignment horizontal="right" vertical="center"/>
    </xf>
    <xf numFmtId="254" fontId="21" fillId="0" borderId="99">
      <alignment horizontal="right" vertical="center"/>
    </xf>
    <xf numFmtId="254" fontId="21" fillId="0" borderId="99">
      <alignment horizontal="right" vertical="center"/>
    </xf>
    <xf numFmtId="254" fontId="21" fillId="0" borderId="99">
      <alignment horizontal="right" vertical="center"/>
    </xf>
    <xf numFmtId="254" fontId="21" fillId="0" borderId="99">
      <alignment horizontal="right" vertical="center"/>
    </xf>
    <xf numFmtId="254" fontId="21" fillId="0" borderId="99">
      <alignment horizontal="right" vertical="center"/>
    </xf>
    <xf numFmtId="254" fontId="21" fillId="0" borderId="99">
      <alignment horizontal="right" vertical="center"/>
    </xf>
    <xf numFmtId="254" fontId="21" fillId="0" borderId="99">
      <alignment horizontal="right" vertical="center"/>
    </xf>
    <xf numFmtId="254" fontId="21" fillId="0" borderId="99">
      <alignment horizontal="right" vertical="center"/>
    </xf>
    <xf numFmtId="253" fontId="21" fillId="0" borderId="36">
      <alignment horizontal="right" vertical="center"/>
    </xf>
    <xf numFmtId="253" fontId="21" fillId="0" borderId="36">
      <alignment horizontal="right" vertical="center"/>
    </xf>
    <xf numFmtId="253" fontId="21" fillId="0" borderId="36">
      <alignment horizontal="right" vertical="center"/>
    </xf>
    <xf numFmtId="253" fontId="21" fillId="0" borderId="36">
      <alignment horizontal="right" vertical="center"/>
    </xf>
    <xf numFmtId="253" fontId="21" fillId="0" borderId="36">
      <alignment horizontal="right" vertical="center"/>
    </xf>
    <xf numFmtId="253" fontId="21" fillId="0" borderId="36">
      <alignment horizontal="right" vertical="center"/>
    </xf>
    <xf numFmtId="253" fontId="21" fillId="0" borderId="36">
      <alignment horizontal="right" vertical="center"/>
    </xf>
    <xf numFmtId="0" fontId="135" fillId="0" borderId="8">
      <alignment vertical="top" wrapText="1"/>
    </xf>
    <xf numFmtId="0" fontId="135" fillId="0" borderId="8">
      <alignment vertical="top" wrapText="1"/>
    </xf>
    <xf numFmtId="0" fontId="135" fillId="0" borderId="8">
      <alignment vertical="top" wrapText="1"/>
    </xf>
    <xf numFmtId="0" fontId="135" fillId="0" borderId="8">
      <alignment vertical="top" wrapText="1"/>
    </xf>
    <xf numFmtId="0" fontId="135" fillId="0" borderId="8">
      <alignment vertical="top" wrapText="1"/>
    </xf>
    <xf numFmtId="0" fontId="135" fillId="0" borderId="8">
      <alignment vertical="top" wrapText="1"/>
    </xf>
    <xf numFmtId="0" fontId="135" fillId="0" borderId="8">
      <alignment vertical="top" wrapText="1"/>
    </xf>
    <xf numFmtId="0" fontId="135" fillId="0" borderId="8">
      <alignment vertical="top" wrapText="1"/>
    </xf>
    <xf numFmtId="0" fontId="135" fillId="0" borderId="8">
      <alignment vertical="top" wrapText="1"/>
    </xf>
    <xf numFmtId="0" fontId="135" fillId="0" borderId="8">
      <alignment vertical="top" wrapText="1"/>
    </xf>
    <xf numFmtId="251" fontId="177" fillId="0" borderId="36">
      <alignment horizontal="right" vertical="center"/>
    </xf>
    <xf numFmtId="251" fontId="177" fillId="0" borderId="36">
      <alignment horizontal="right" vertical="center"/>
    </xf>
    <xf numFmtId="251" fontId="177" fillId="0" borderId="36">
      <alignment horizontal="right" vertical="center"/>
    </xf>
    <xf numFmtId="251" fontId="177" fillId="0" borderId="36">
      <alignment horizontal="right" vertical="center"/>
    </xf>
    <xf numFmtId="251" fontId="177" fillId="0" borderId="36">
      <alignment horizontal="right" vertical="center"/>
    </xf>
    <xf numFmtId="251" fontId="177" fillId="0" borderId="36">
      <alignment horizontal="right" vertical="center"/>
    </xf>
    <xf numFmtId="251" fontId="177" fillId="0" borderId="36">
      <alignment horizontal="right" vertical="center"/>
    </xf>
    <xf numFmtId="252" fontId="177" fillId="0" borderId="99">
      <alignment horizontal="right" vertical="center"/>
    </xf>
    <xf numFmtId="252" fontId="177" fillId="0" borderId="99">
      <alignment horizontal="right" vertical="center"/>
    </xf>
    <xf numFmtId="252" fontId="177" fillId="0" borderId="99">
      <alignment horizontal="right" vertical="center"/>
    </xf>
    <xf numFmtId="252" fontId="177" fillId="0" borderId="99">
      <alignment horizontal="right" vertical="center"/>
    </xf>
    <xf numFmtId="252" fontId="177" fillId="0" borderId="99">
      <alignment horizontal="right" vertical="center"/>
    </xf>
    <xf numFmtId="252" fontId="177" fillId="0" borderId="99">
      <alignment horizontal="right" vertical="center"/>
    </xf>
    <xf numFmtId="252" fontId="177" fillId="0" borderId="99">
      <alignment horizontal="right" vertical="center"/>
    </xf>
    <xf numFmtId="252" fontId="177" fillId="0" borderId="99">
      <alignment horizontal="right" vertical="center"/>
    </xf>
    <xf numFmtId="252" fontId="177" fillId="0" borderId="99">
      <alignment horizontal="right" vertical="center"/>
    </xf>
    <xf numFmtId="252" fontId="177" fillId="0" borderId="99">
      <alignment horizontal="right" vertical="center"/>
    </xf>
    <xf numFmtId="252" fontId="177" fillId="0" borderId="99">
      <alignment horizontal="right" vertical="center"/>
    </xf>
    <xf numFmtId="252" fontId="177" fillId="0" borderId="99">
      <alignment horizontal="right" vertical="center"/>
    </xf>
    <xf numFmtId="252" fontId="177" fillId="0" borderId="99">
      <alignment horizontal="right" vertical="center"/>
    </xf>
    <xf numFmtId="252" fontId="177" fillId="0" borderId="99">
      <alignment horizontal="right" vertical="center"/>
    </xf>
    <xf numFmtId="252" fontId="177" fillId="0" borderId="99">
      <alignment horizontal="right" vertical="center"/>
    </xf>
    <xf numFmtId="252" fontId="177" fillId="0" borderId="99">
      <alignment horizontal="right" vertical="center"/>
    </xf>
    <xf numFmtId="251" fontId="177" fillId="0" borderId="36">
      <alignment horizontal="right" vertical="center"/>
    </xf>
    <xf numFmtId="251" fontId="177" fillId="0" borderId="36">
      <alignment horizontal="right" vertical="center"/>
    </xf>
    <xf numFmtId="251" fontId="177" fillId="0" borderId="36">
      <alignment horizontal="right" vertical="center"/>
    </xf>
    <xf numFmtId="251" fontId="177" fillId="0" borderId="36">
      <alignment horizontal="right" vertical="center"/>
    </xf>
    <xf numFmtId="251" fontId="177" fillId="0" borderId="36">
      <alignment horizontal="right" vertical="center"/>
    </xf>
    <xf numFmtId="251" fontId="177" fillId="0" borderId="36">
      <alignment horizontal="right" vertical="center"/>
    </xf>
    <xf numFmtId="251" fontId="177" fillId="0" borderId="36">
      <alignment horizontal="right" vertical="center"/>
    </xf>
    <xf numFmtId="0" fontId="52" fillId="0" borderId="6"/>
    <xf numFmtId="0" fontId="52" fillId="0" borderId="6"/>
    <xf numFmtId="0" fontId="52" fillId="0" borderId="6"/>
    <xf numFmtId="0" fontId="52" fillId="0" borderId="6"/>
    <xf numFmtId="0" fontId="52" fillId="0" borderId="6"/>
    <xf numFmtId="0" fontId="52" fillId="0" borderId="6"/>
    <xf numFmtId="0" fontId="52" fillId="0" borderId="6"/>
    <xf numFmtId="0" fontId="52" fillId="0" borderId="6"/>
    <xf numFmtId="0" fontId="52" fillId="0" borderId="6"/>
    <xf numFmtId="0" fontId="52" fillId="0" borderId="6"/>
    <xf numFmtId="0" fontId="52" fillId="0" borderId="6"/>
    <xf numFmtId="0" fontId="52" fillId="0" borderId="6"/>
    <xf numFmtId="0" fontId="52" fillId="0" borderId="6"/>
    <xf numFmtId="0" fontId="52" fillId="0" borderId="6"/>
    <xf numFmtId="0" fontId="52" fillId="0" borderId="6"/>
    <xf numFmtId="3" fontId="21" fillId="0" borderId="100" applyNumberFormat="0" applyFont="0" applyFill="0" applyAlignment="0" applyProtection="0">
      <alignment vertical="center"/>
    </xf>
    <xf numFmtId="3" fontId="21" fillId="0" borderId="100" applyNumberFormat="0" applyFont="0" applyFill="0" applyAlignment="0" applyProtection="0">
      <alignment vertical="center"/>
    </xf>
    <xf numFmtId="3" fontId="21" fillId="0" borderId="100" applyNumberFormat="0" applyFont="0" applyFill="0" applyAlignment="0" applyProtection="0">
      <alignment vertical="center"/>
    </xf>
    <xf numFmtId="3" fontId="21" fillId="0" borderId="100" applyNumberFormat="0" applyFont="0" applyFill="0" applyAlignment="0" applyProtection="0">
      <alignment vertical="center"/>
    </xf>
    <xf numFmtId="3" fontId="21" fillId="0" borderId="100" applyNumberFormat="0" applyFont="0" applyFill="0" applyAlignment="0" applyProtection="0">
      <alignment vertical="center"/>
    </xf>
    <xf numFmtId="3" fontId="21" fillId="0" borderId="100" applyNumberFormat="0" applyFont="0" applyFill="0" applyAlignment="0" applyProtection="0">
      <alignment vertical="center"/>
    </xf>
    <xf numFmtId="3" fontId="21" fillId="0" borderId="100" applyNumberFormat="0" applyFont="0" applyFill="0" applyAlignment="0" applyProtection="0">
      <alignment vertical="center"/>
    </xf>
    <xf numFmtId="3" fontId="21" fillId="0" borderId="100" applyNumberFormat="0" applyFont="0" applyFill="0" applyAlignment="0" applyProtection="0">
      <alignment vertical="center"/>
    </xf>
    <xf numFmtId="3" fontId="21" fillId="0" borderId="100" applyNumberFormat="0" applyFont="0" applyFill="0" applyAlignment="0" applyProtection="0">
      <alignment vertical="center"/>
    </xf>
    <xf numFmtId="3" fontId="21" fillId="0" borderId="100" applyNumberFormat="0" applyFont="0" applyFill="0" applyAlignment="0" applyProtection="0">
      <alignment vertical="center"/>
    </xf>
    <xf numFmtId="3" fontId="21" fillId="0" borderId="100" applyNumberFormat="0" applyFont="0" applyFill="0" applyAlignment="0" applyProtection="0">
      <alignment vertical="center"/>
    </xf>
    <xf numFmtId="3" fontId="21" fillId="0" borderId="100" applyNumberFormat="0" applyFont="0" applyFill="0" applyAlignment="0" applyProtection="0">
      <alignment vertical="center"/>
    </xf>
    <xf numFmtId="3" fontId="21" fillId="0" borderId="100" applyNumberFormat="0" applyFont="0" applyFill="0" applyAlignment="0" applyProtection="0">
      <alignment vertical="center"/>
    </xf>
    <xf numFmtId="3" fontId="21" fillId="0" borderId="100" applyNumberFormat="0" applyFont="0" applyFill="0" applyAlignment="0" applyProtection="0">
      <alignment vertical="center"/>
    </xf>
    <xf numFmtId="3" fontId="21" fillId="0" borderId="100" applyNumberFormat="0" applyFont="0" applyFill="0" applyAlignment="0" applyProtection="0">
      <alignment vertical="center"/>
    </xf>
    <xf numFmtId="202" fontId="21" fillId="56" borderId="0" applyNumberFormat="0" applyFont="0" applyBorder="0" applyAlignment="0" applyProtection="0"/>
    <xf numFmtId="206" fontId="21" fillId="0" borderId="0" applyFill="0" applyBorder="0" applyAlignment="0" applyProtection="0">
      <alignment horizontal="right"/>
    </xf>
    <xf numFmtId="16" fontId="51" fillId="0" borderId="0"/>
    <xf numFmtId="255" fontId="178" fillId="0" borderId="101">
      <alignment horizontal="center"/>
    </xf>
    <xf numFmtId="255" fontId="178" fillId="0" borderId="102">
      <alignment horizontal="center"/>
    </xf>
    <xf numFmtId="255" fontId="178" fillId="0" borderId="102">
      <alignment horizontal="center"/>
    </xf>
    <xf numFmtId="255" fontId="178" fillId="0" borderId="102">
      <alignment horizontal="center"/>
    </xf>
    <xf numFmtId="255" fontId="178" fillId="0" borderId="102">
      <alignment horizontal="center"/>
    </xf>
    <xf numFmtId="255" fontId="178" fillId="0" borderId="102">
      <alignment horizontal="center"/>
    </xf>
    <xf numFmtId="255" fontId="178" fillId="0" borderId="102">
      <alignment horizontal="center"/>
    </xf>
    <xf numFmtId="255" fontId="178" fillId="0" borderId="102">
      <alignment horizontal="center"/>
    </xf>
    <xf numFmtId="255" fontId="178" fillId="0" borderId="102">
      <alignment horizontal="center"/>
    </xf>
    <xf numFmtId="255" fontId="178" fillId="0" borderId="102">
      <alignment horizontal="center"/>
    </xf>
    <xf numFmtId="255" fontId="178" fillId="0" borderId="102">
      <alignment horizontal="center"/>
    </xf>
    <xf numFmtId="255" fontId="178" fillId="0" borderId="102">
      <alignment horizontal="center"/>
    </xf>
    <xf numFmtId="255" fontId="178" fillId="0" borderId="102">
      <alignment horizontal="center"/>
    </xf>
    <xf numFmtId="255" fontId="178" fillId="0" borderId="102">
      <alignment horizontal="center"/>
    </xf>
    <xf numFmtId="255" fontId="178" fillId="0" borderId="102">
      <alignment horizontal="center"/>
    </xf>
    <xf numFmtId="255" fontId="178" fillId="0" borderId="102">
      <alignment horizontal="center"/>
    </xf>
    <xf numFmtId="0" fontId="25" fillId="0" borderId="0"/>
    <xf numFmtId="0" fontId="21" fillId="0" borderId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230" fontId="179" fillId="0" borderId="21" applyNumberFormat="0" applyFill="0" applyProtection="0">
      <alignment horizontal="center"/>
    </xf>
    <xf numFmtId="230" fontId="179" fillId="0" borderId="21" applyNumberFormat="0" applyFill="0" applyProtection="0">
      <alignment horizontal="center"/>
    </xf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236" fontId="21" fillId="0" borderId="86">
      <protection locked="0"/>
    </xf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236" fontId="21" fillId="0" borderId="86">
      <protection locked="0"/>
    </xf>
    <xf numFmtId="236" fontId="21" fillId="0" borderId="86">
      <protection locked="0"/>
    </xf>
    <xf numFmtId="236" fontId="21" fillId="0" borderId="86">
      <protection locked="0"/>
    </xf>
    <xf numFmtId="236" fontId="21" fillId="0" borderId="86">
      <protection locked="0"/>
    </xf>
    <xf numFmtId="236" fontId="21" fillId="0" borderId="86">
      <protection locked="0"/>
    </xf>
    <xf numFmtId="236" fontId="21" fillId="0" borderId="86">
      <protection locked="0"/>
    </xf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236" fontId="21" fillId="0" borderId="86">
      <protection locked="0"/>
    </xf>
    <xf numFmtId="236" fontId="21" fillId="0" borderId="86">
      <protection locked="0"/>
    </xf>
    <xf numFmtId="236" fontId="21" fillId="0" borderId="86">
      <protection locked="0"/>
    </xf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212" fontId="158" fillId="0" borderId="0"/>
    <xf numFmtId="0" fontId="71" fillId="0" borderId="6"/>
    <xf numFmtId="0" fontId="71" fillId="0" borderId="6"/>
    <xf numFmtId="0" fontId="71" fillId="0" borderId="6"/>
    <xf numFmtId="0" fontId="71" fillId="0" borderId="6"/>
    <xf numFmtId="0" fontId="71" fillId="0" borderId="6"/>
    <xf numFmtId="0" fontId="71" fillId="0" borderId="6"/>
    <xf numFmtId="0" fontId="71" fillId="0" borderId="6"/>
    <xf numFmtId="0" fontId="71" fillId="0" borderId="6"/>
    <xf numFmtId="0" fontId="71" fillId="0" borderId="6"/>
    <xf numFmtId="0" fontId="71" fillId="0" borderId="6"/>
    <xf numFmtId="0" fontId="71" fillId="0" borderId="6"/>
    <xf numFmtId="0" fontId="71" fillId="0" borderId="6"/>
    <xf numFmtId="0" fontId="71" fillId="0" borderId="6"/>
    <xf numFmtId="0" fontId="71" fillId="0" borderId="6"/>
    <xf numFmtId="0" fontId="71" fillId="0" borderId="6"/>
    <xf numFmtId="38" fontId="41" fillId="0" borderId="0" applyFont="0" applyFill="0" applyBorder="0" applyAlignment="0" applyProtection="0"/>
    <xf numFmtId="40" fontId="41" fillId="0" borderId="0" applyFont="0" applyFill="0" applyBorder="0" applyAlignment="0" applyProtection="0"/>
    <xf numFmtId="256" fontId="53" fillId="0" borderId="0" applyFill="0">
      <alignment horizontal="center"/>
    </xf>
    <xf numFmtId="178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257" fontId="180" fillId="0" borderId="0"/>
    <xf numFmtId="258" fontId="180" fillId="0" borderId="16"/>
    <xf numFmtId="259" fontId="180" fillId="0" borderId="6"/>
    <xf numFmtId="259" fontId="180" fillId="0" borderId="6"/>
    <xf numFmtId="259" fontId="180" fillId="0" borderId="6"/>
    <xf numFmtId="259" fontId="180" fillId="0" borderId="6"/>
    <xf numFmtId="259" fontId="180" fillId="0" borderId="6"/>
    <xf numFmtId="259" fontId="180" fillId="0" borderId="6"/>
    <xf numFmtId="259" fontId="180" fillId="0" borderId="6"/>
    <xf numFmtId="259" fontId="180" fillId="0" borderId="6"/>
    <xf numFmtId="259" fontId="180" fillId="0" borderId="6"/>
    <xf numFmtId="259" fontId="180" fillId="0" borderId="6"/>
    <xf numFmtId="259" fontId="180" fillId="0" borderId="6"/>
    <xf numFmtId="259" fontId="180" fillId="0" borderId="6"/>
    <xf numFmtId="259" fontId="180" fillId="0" borderId="6"/>
    <xf numFmtId="259" fontId="180" fillId="0" borderId="6"/>
    <xf numFmtId="259" fontId="180" fillId="0" borderId="6"/>
    <xf numFmtId="260" fontId="21" fillId="0" borderId="0" applyFont="0" applyFill="0" applyBorder="0" applyAlignment="0" applyProtection="0"/>
    <xf numFmtId="261" fontId="21" fillId="0" borderId="0" applyFon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81" fillId="0" borderId="0" applyNumberFormat="0" applyFont="0" applyFill="0" applyBorder="0">
      <alignment horizontal="center" vertical="center"/>
    </xf>
    <xf numFmtId="202" fontId="182" fillId="0" borderId="0" applyNumberFormat="0" applyFill="0" applyBorder="0" applyAlignment="0" applyProtection="0"/>
    <xf numFmtId="40" fontId="183" fillId="0" borderId="0" applyFont="0" applyFill="0" applyBorder="0" applyAlignment="0" applyProtection="0"/>
    <xf numFmtId="38" fontId="183" fillId="0" borderId="0" applyFont="0" applyFill="0" applyBorder="0" applyAlignment="0" applyProtection="0"/>
    <xf numFmtId="0" fontId="183" fillId="0" borderId="0" applyFont="0" applyFill="0" applyBorder="0" applyAlignment="0" applyProtection="0"/>
    <xf numFmtId="0" fontId="183" fillId="0" borderId="0" applyFont="0" applyFill="0" applyBorder="0" applyAlignment="0" applyProtection="0"/>
    <xf numFmtId="9" fontId="184" fillId="0" borderId="0" applyFont="0" applyFill="0" applyBorder="0" applyAlignment="0" applyProtection="0"/>
    <xf numFmtId="0" fontId="185" fillId="0" borderId="0"/>
    <xf numFmtId="262" fontId="186" fillId="0" borderId="0" applyFont="0" applyFill="0" applyBorder="0" applyAlignment="0" applyProtection="0"/>
    <xf numFmtId="263" fontId="186" fillId="0" borderId="0" applyFont="0" applyFill="0" applyBorder="0" applyAlignment="0" applyProtection="0"/>
    <xf numFmtId="264" fontId="186" fillId="0" borderId="0" applyFont="0" applyFill="0" applyBorder="0" applyAlignment="0" applyProtection="0"/>
    <xf numFmtId="265" fontId="186" fillId="0" borderId="0" applyFont="0" applyFill="0" applyBorder="0" applyAlignment="0" applyProtection="0"/>
    <xf numFmtId="0" fontId="187" fillId="0" borderId="0"/>
    <xf numFmtId="0" fontId="188" fillId="0" borderId="0"/>
    <xf numFmtId="41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38" fontId="189" fillId="0" borderId="0" applyFont="0" applyFill="0" applyBorder="0" applyAlignment="0" applyProtection="0">
      <alignment vertical="center"/>
    </xf>
    <xf numFmtId="0" fontId="189" fillId="0" borderId="0">
      <alignment vertical="center"/>
    </xf>
    <xf numFmtId="221" fontId="188" fillId="0" borderId="0" applyFont="0" applyFill="0" applyBorder="0" applyAlignment="0" applyProtection="0"/>
    <xf numFmtId="266" fontId="188" fillId="0" borderId="0" applyFont="0" applyFill="0" applyBorder="0" applyAlignment="0" applyProtection="0"/>
    <xf numFmtId="0" fontId="110" fillId="0" borderId="0"/>
    <xf numFmtId="0" fontId="21" fillId="0" borderId="0"/>
    <xf numFmtId="170" fontId="21" fillId="0" borderId="0" applyFont="0" applyFill="0" applyBorder="0" applyAlignment="0" applyProtection="0"/>
    <xf numFmtId="0" fontId="21" fillId="0" borderId="0"/>
    <xf numFmtId="168" fontId="46" fillId="0" borderId="0" applyFont="0" applyFill="0" applyBorder="0" applyAlignment="0" applyProtection="0"/>
    <xf numFmtId="41" fontId="230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70" fontId="21" fillId="0" borderId="0" applyFont="0" applyFill="0" applyBorder="0" applyAlignment="0" applyProtection="0">
      <alignment vertical="center"/>
    </xf>
    <xf numFmtId="170" fontId="21" fillId="0" borderId="0" applyFont="0" applyFill="0" applyBorder="0" applyAlignment="0" applyProtection="0">
      <alignment vertical="center"/>
    </xf>
    <xf numFmtId="170" fontId="21" fillId="0" borderId="0" applyFont="0" applyFill="0" applyBorder="0" applyAlignment="0" applyProtection="0"/>
    <xf numFmtId="170" fontId="21" fillId="0" borderId="0" applyFont="0" applyFill="0" applyBorder="0" applyAlignment="0" applyProtection="0"/>
    <xf numFmtId="271" fontId="2" fillId="0" borderId="0" applyFont="0" applyFill="0" applyBorder="0" applyAlignment="0" applyProtection="0"/>
    <xf numFmtId="0" fontId="21" fillId="0" borderId="0"/>
    <xf numFmtId="0" fontId="230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" fillId="0" borderId="0"/>
    <xf numFmtId="0" fontId="2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1" fillId="0" borderId="0"/>
    <xf numFmtId="9" fontId="2" fillId="0" borderId="0" applyFont="0" applyFill="0" applyBorder="0" applyAlignment="0" applyProtection="0"/>
    <xf numFmtId="9" fontId="21" fillId="0" borderId="0" applyFont="0" applyFill="0" applyBorder="0" applyAlignment="0" applyProtection="0"/>
    <xf numFmtId="170" fontId="21" fillId="0" borderId="0" applyFont="0" applyFill="0" applyBorder="0" applyAlignment="0" applyProtection="0"/>
    <xf numFmtId="41" fontId="21" fillId="0" borderId="0" applyFont="0" applyFill="0" applyBorder="0" applyAlignment="0" applyProtection="0"/>
    <xf numFmtId="0" fontId="21" fillId="0" borderId="0"/>
    <xf numFmtId="9" fontId="105" fillId="0" borderId="0" applyFont="0" applyFill="0" applyBorder="0" applyAlignment="0" applyProtection="0"/>
  </cellStyleXfs>
  <cellXfs count="2495">
    <xf numFmtId="0" fontId="0" fillId="0" borderId="0" xfId="0"/>
    <xf numFmtId="0" fontId="113" fillId="0" borderId="61" xfId="0" applyFont="1" applyBorder="1" applyAlignment="1">
      <alignment horizontal="center" vertical="top"/>
    </xf>
    <xf numFmtId="0" fontId="114" fillId="0" borderId="61" xfId="0" applyFont="1" applyBorder="1" applyAlignment="1">
      <alignment horizontal="left" vertical="top" wrapText="1"/>
    </xf>
    <xf numFmtId="0" fontId="114" fillId="0" borderId="61" xfId="0" applyFont="1" applyBorder="1" applyAlignment="1">
      <alignment horizontal="left" vertical="top"/>
    </xf>
    <xf numFmtId="0" fontId="115" fillId="0" borderId="61" xfId="0" applyFont="1" applyBorder="1" applyAlignment="1">
      <alignment horizontal="left" vertical="top"/>
    </xf>
    <xf numFmtId="0" fontId="0" fillId="0" borderId="61" xfId="0" applyBorder="1" applyAlignment="1">
      <alignment horizontal="left" vertical="top"/>
    </xf>
    <xf numFmtId="0" fontId="113" fillId="0" borderId="61" xfId="0" applyFont="1" applyBorder="1" applyAlignment="1">
      <alignment horizontal="left" vertical="top" wrapText="1"/>
    </xf>
    <xf numFmtId="0" fontId="113" fillId="0" borderId="61" xfId="0" applyFont="1" applyBorder="1" applyAlignment="1">
      <alignment horizontal="center" vertical="top" wrapText="1"/>
    </xf>
    <xf numFmtId="0" fontId="116" fillId="0" borderId="61" xfId="0" applyFont="1" applyBorder="1" applyAlignment="1">
      <alignment horizontal="center" vertical="top" wrapText="1"/>
    </xf>
    <xf numFmtId="0" fontId="116" fillId="0" borderId="61" xfId="0" applyFont="1" applyBorder="1" applyAlignment="1">
      <alignment horizontal="left" vertical="top"/>
    </xf>
    <xf numFmtId="0" fontId="117" fillId="0" borderId="61" xfId="0" applyFont="1" applyBorder="1" applyAlignment="1">
      <alignment horizontal="left" vertical="top"/>
    </xf>
    <xf numFmtId="0" fontId="117" fillId="0" borderId="61" xfId="0" applyFont="1" applyBorder="1" applyAlignment="1">
      <alignment horizontal="center" vertical="top"/>
    </xf>
    <xf numFmtId="0" fontId="114" fillId="0" borderId="61" xfId="0" applyFont="1" applyBorder="1" applyAlignment="1">
      <alignment horizontal="center" vertical="top"/>
    </xf>
    <xf numFmtId="0" fontId="118" fillId="0" borderId="61" xfId="0" applyFont="1" applyBorder="1" applyAlignment="1">
      <alignment horizontal="left" vertical="top"/>
    </xf>
    <xf numFmtId="0" fontId="119" fillId="0" borderId="61" xfId="0" applyFont="1" applyBorder="1" applyAlignment="1">
      <alignment horizontal="center" vertical="top"/>
    </xf>
    <xf numFmtId="0" fontId="114" fillId="0" borderId="61" xfId="0" applyFont="1" applyBorder="1" applyAlignment="1">
      <alignment horizontal="right" vertical="top"/>
    </xf>
    <xf numFmtId="0" fontId="114" fillId="0" borderId="61" xfId="0" applyFont="1" applyBorder="1" applyAlignment="1">
      <alignment horizontal="center" vertical="top" wrapText="1"/>
    </xf>
    <xf numFmtId="0" fontId="120" fillId="0" borderId="61" xfId="0" applyFont="1" applyBorder="1" applyAlignment="1">
      <alignment horizontal="center" vertical="top" wrapText="1"/>
    </xf>
    <xf numFmtId="0" fontId="113" fillId="0" borderId="61" xfId="0" applyFont="1" applyBorder="1" applyAlignment="1">
      <alignment horizontal="left" vertical="top"/>
    </xf>
    <xf numFmtId="0" fontId="116" fillId="0" borderId="61" xfId="0" applyFont="1" applyBorder="1" applyAlignment="1">
      <alignment horizontal="center" vertical="top"/>
    </xf>
    <xf numFmtId="0" fontId="121" fillId="0" borderId="61" xfId="0" applyFont="1" applyBorder="1" applyAlignment="1">
      <alignment horizontal="center" vertical="top"/>
    </xf>
    <xf numFmtId="0" fontId="122" fillId="0" borderId="61" xfId="0" applyFont="1" applyBorder="1" applyAlignment="1">
      <alignment horizontal="center" vertical="top" wrapText="1"/>
    </xf>
    <xf numFmtId="0" fontId="123" fillId="0" borderId="61" xfId="0" applyFont="1" applyBorder="1" applyAlignment="1">
      <alignment horizontal="center" vertical="top" wrapText="1"/>
    </xf>
    <xf numFmtId="0" fontId="119" fillId="0" borderId="61" xfId="0" applyFont="1" applyBorder="1" applyAlignment="1">
      <alignment horizontal="left" vertical="top"/>
    </xf>
    <xf numFmtId="0" fontId="118" fillId="0" borderId="0" xfId="0" applyFont="1" applyAlignment="1">
      <alignment horizontal="left" vertical="top"/>
    </xf>
    <xf numFmtId="0" fontId="118" fillId="0" borderId="62" xfId="0" applyFont="1" applyBorder="1" applyAlignment="1">
      <alignment horizontal="left" vertical="top"/>
    </xf>
    <xf numFmtId="0" fontId="114" fillId="0" borderId="63" xfId="0" applyFont="1" applyBorder="1" applyAlignment="1">
      <alignment horizontal="left" vertical="top"/>
    </xf>
    <xf numFmtId="0" fontId="117" fillId="0" borderId="63" xfId="0" applyFont="1" applyBorder="1" applyAlignment="1">
      <alignment horizontal="left" vertical="top"/>
    </xf>
    <xf numFmtId="0" fontId="0" fillId="0" borderId="64" xfId="0" applyBorder="1" applyAlignment="1">
      <alignment horizontal="left" vertical="top"/>
    </xf>
    <xf numFmtId="0" fontId="114" fillId="0" borderId="61" xfId="0" applyFont="1" applyBorder="1" applyAlignment="1">
      <alignment horizontal="left" vertical="center"/>
    </xf>
    <xf numFmtId="0" fontId="115" fillId="0" borderId="61" xfId="0" applyFont="1" applyBorder="1" applyAlignment="1">
      <alignment horizontal="left" vertical="center"/>
    </xf>
    <xf numFmtId="0" fontId="0" fillId="0" borderId="61" xfId="0" applyBorder="1" applyAlignment="1">
      <alignment horizontal="left" vertical="center"/>
    </xf>
    <xf numFmtId="0" fontId="114" fillId="0" borderId="65" xfId="0" applyFont="1" applyBorder="1" applyAlignment="1">
      <alignment horizontal="left" vertical="center"/>
    </xf>
    <xf numFmtId="0" fontId="114" fillId="0" borderId="65" xfId="0" applyFont="1" applyBorder="1" applyAlignment="1">
      <alignment horizontal="left" vertical="center" wrapText="1"/>
    </xf>
    <xf numFmtId="0" fontId="114" fillId="0" borderId="61" xfId="0" applyFont="1" applyBorder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113" fillId="0" borderId="0" xfId="0" applyFont="1" applyAlignment="1">
      <alignment horizontal="left" vertical="top" wrapText="1"/>
    </xf>
    <xf numFmtId="0" fontId="0" fillId="0" borderId="0" xfId="0" applyAlignment="1">
      <alignment horizontal="left" vertical="top"/>
    </xf>
    <xf numFmtId="0" fontId="114" fillId="0" borderId="0" xfId="0" applyFont="1" applyAlignment="1">
      <alignment horizontal="left" vertical="top"/>
    </xf>
    <xf numFmtId="0" fontId="113" fillId="0" borderId="16" xfId="0" applyFont="1" applyBorder="1" applyAlignment="1">
      <alignment horizontal="left" vertical="top" wrapText="1"/>
    </xf>
    <xf numFmtId="0" fontId="113" fillId="0" borderId="16" xfId="0" applyFont="1" applyBorder="1" applyAlignment="1">
      <alignment vertical="top" wrapText="1"/>
    </xf>
    <xf numFmtId="0" fontId="114" fillId="39" borderId="16" xfId="0" applyFont="1" applyFill="1" applyBorder="1" applyAlignment="1">
      <alignment horizontal="left" vertical="top" wrapText="1"/>
    </xf>
    <xf numFmtId="0" fontId="114" fillId="39" borderId="16" xfId="0" applyFont="1" applyFill="1" applyBorder="1" applyAlignment="1">
      <alignment vertical="top" wrapText="1"/>
    </xf>
    <xf numFmtId="0" fontId="0" fillId="39" borderId="16" xfId="0" applyFill="1" applyBorder="1" applyAlignment="1">
      <alignment horizontal="left" vertical="top"/>
    </xf>
    <xf numFmtId="0" fontId="0" fillId="0" borderId="16" xfId="0" applyBorder="1" applyAlignment="1">
      <alignment horizontal="left" vertical="top"/>
    </xf>
    <xf numFmtId="0" fontId="0" fillId="0" borderId="16" xfId="0" applyBorder="1" applyAlignment="1">
      <alignment vertical="top"/>
    </xf>
    <xf numFmtId="0" fontId="114" fillId="0" borderId="16" xfId="0" applyFont="1" applyBorder="1" applyAlignment="1">
      <alignment horizontal="left" vertical="top"/>
    </xf>
    <xf numFmtId="0" fontId="114" fillId="0" borderId="16" xfId="0" applyFont="1" applyBorder="1" applyAlignment="1">
      <alignment horizontal="left" vertical="top" wrapText="1"/>
    </xf>
    <xf numFmtId="0" fontId="114" fillId="0" borderId="16" xfId="0" applyFont="1" applyBorder="1" applyAlignment="1">
      <alignment vertical="top"/>
    </xf>
    <xf numFmtId="0" fontId="0" fillId="39" borderId="16" xfId="0" applyFill="1" applyBorder="1" applyAlignment="1">
      <alignment vertical="top"/>
    </xf>
    <xf numFmtId="0" fontId="113" fillId="0" borderId="0" xfId="0" applyFont="1"/>
    <xf numFmtId="0" fontId="113" fillId="0" borderId="0" xfId="0" applyFont="1" applyAlignment="1">
      <alignment horizontal="left" vertical="center" indent="12"/>
    </xf>
    <xf numFmtId="0" fontId="113" fillId="0" borderId="0" xfId="0" applyFont="1" applyAlignment="1">
      <alignment horizontal="left"/>
    </xf>
    <xf numFmtId="0" fontId="124" fillId="0" borderId="0" xfId="0" applyFont="1" applyAlignment="1">
      <alignment horizontal="left" vertical="center" indent="12"/>
    </xf>
    <xf numFmtId="0" fontId="114" fillId="0" borderId="0" xfId="0" applyFont="1" applyAlignment="1">
      <alignment vertical="center"/>
    </xf>
    <xf numFmtId="0" fontId="113" fillId="0" borderId="0" xfId="0" applyFont="1" applyAlignment="1">
      <alignment vertical="center"/>
    </xf>
    <xf numFmtId="0" fontId="113" fillId="0" borderId="0" xfId="0" applyFont="1" applyAlignment="1">
      <alignment horizontal="left" vertical="center"/>
    </xf>
    <xf numFmtId="0" fontId="0" fillId="0" borderId="16" xfId="0" applyBorder="1"/>
    <xf numFmtId="0" fontId="114" fillId="0" borderId="16" xfId="0" applyFont="1" applyBorder="1" applyAlignment="1">
      <alignment horizontal="center" vertical="top"/>
    </xf>
    <xf numFmtId="0" fontId="0" fillId="0" borderId="61" xfId="0" applyBorder="1" applyAlignment="1">
      <alignment horizontal="center" vertical="top"/>
    </xf>
    <xf numFmtId="0" fontId="114" fillId="0" borderId="63" xfId="0" applyFont="1" applyBorder="1" applyAlignment="1">
      <alignment horizontal="center" vertical="top"/>
    </xf>
    <xf numFmtId="0" fontId="113" fillId="0" borderId="61" xfId="0" applyFont="1" applyBorder="1" applyAlignment="1">
      <alignment horizontal="center" vertical="center" wrapText="1"/>
    </xf>
    <xf numFmtId="0" fontId="124" fillId="0" borderId="0" xfId="0" applyFont="1" applyAlignment="1">
      <alignment vertical="center"/>
    </xf>
    <xf numFmtId="0" fontId="117" fillId="0" borderId="66" xfId="0" applyFont="1" applyBorder="1" applyAlignment="1">
      <alignment horizontal="left" vertical="top"/>
    </xf>
    <xf numFmtId="0" fontId="117" fillId="0" borderId="64" xfId="0" applyFont="1" applyBorder="1" applyAlignment="1">
      <alignment horizontal="left" vertical="top"/>
    </xf>
    <xf numFmtId="0" fontId="113" fillId="0" borderId="16" xfId="0" applyFont="1" applyBorder="1" applyAlignment="1">
      <alignment vertical="center"/>
    </xf>
    <xf numFmtId="0" fontId="116" fillId="0" borderId="0" xfId="0" applyFont="1"/>
    <xf numFmtId="0" fontId="116" fillId="0" borderId="0" xfId="0" applyFont="1" applyAlignment="1">
      <alignment horizontal="left" vertical="center" indent="12"/>
    </xf>
    <xf numFmtId="0" fontId="125" fillId="0" borderId="0" xfId="0" applyFont="1" applyAlignment="1">
      <alignment vertical="center"/>
    </xf>
    <xf numFmtId="0" fontId="113" fillId="0" borderId="16" xfId="0" applyFont="1" applyBorder="1" applyAlignment="1">
      <alignment horizontal="left" vertical="center" indent="12"/>
    </xf>
    <xf numFmtId="0" fontId="114" fillId="0" borderId="64" xfId="0" applyFont="1" applyBorder="1" applyAlignment="1">
      <alignment horizontal="center" vertical="top"/>
    </xf>
    <xf numFmtId="0" fontId="126" fillId="0" borderId="0" xfId="0" applyFont="1" applyAlignment="1">
      <alignment vertical="center"/>
    </xf>
    <xf numFmtId="0" fontId="113" fillId="0" borderId="63" xfId="0" applyFont="1" applyBorder="1" applyAlignment="1">
      <alignment horizontal="left" vertical="top"/>
    </xf>
    <xf numFmtId="0" fontId="0" fillId="0" borderId="0" xfId="0" applyAlignment="1">
      <alignment horizontal="center" vertical="center"/>
    </xf>
    <xf numFmtId="0" fontId="0" fillId="0" borderId="61" xfId="0" applyBorder="1" applyAlignment="1">
      <alignment horizontal="center" vertical="center"/>
    </xf>
    <xf numFmtId="0" fontId="114" fillId="0" borderId="61" xfId="0" applyFont="1" applyBorder="1" applyAlignment="1">
      <alignment horizontal="center" vertical="center"/>
    </xf>
    <xf numFmtId="0" fontId="114" fillId="0" borderId="61" xfId="0" applyFont="1" applyBorder="1" applyAlignment="1">
      <alignment horizontal="center" vertical="center" wrapText="1"/>
    </xf>
    <xf numFmtId="0" fontId="114" fillId="0" borderId="63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27" fillId="0" borderId="0" xfId="0" applyFont="1" applyAlignment="1">
      <alignment vertical="center"/>
    </xf>
    <xf numFmtId="0" fontId="118" fillId="0" borderId="0" xfId="0" applyFont="1" applyAlignment="1">
      <alignment horizontal="center" vertical="top"/>
    </xf>
    <xf numFmtId="0" fontId="118" fillId="0" borderId="62" xfId="0" applyFont="1" applyBorder="1" applyAlignment="1">
      <alignment horizontal="center" vertical="top"/>
    </xf>
    <xf numFmtId="0" fontId="115" fillId="0" borderId="61" xfId="0" applyFont="1" applyBorder="1" applyAlignment="1">
      <alignment horizontal="left" vertical="top" wrapText="1"/>
    </xf>
    <xf numFmtId="0" fontId="0" fillId="0" borderId="65" xfId="0" applyBorder="1" applyAlignment="1">
      <alignment horizontal="left" vertical="top"/>
    </xf>
    <xf numFmtId="0" fontId="0" fillId="0" borderId="67" xfId="0" applyBorder="1" applyAlignment="1">
      <alignment horizontal="left" vertical="top"/>
    </xf>
    <xf numFmtId="0" fontId="117" fillId="0" borderId="65" xfId="0" applyFont="1" applyBorder="1" applyAlignment="1">
      <alignment vertical="top"/>
    </xf>
    <xf numFmtId="0" fontId="0" fillId="0" borderId="65" xfId="0" applyBorder="1" applyAlignment="1">
      <alignment vertical="top"/>
    </xf>
    <xf numFmtId="0" fontId="0" fillId="0" borderId="67" xfId="0" applyBorder="1" applyAlignment="1">
      <alignment vertical="top"/>
    </xf>
    <xf numFmtId="0" fontId="0" fillId="0" borderId="68" xfId="0" applyBorder="1" applyAlignment="1">
      <alignment vertical="top"/>
    </xf>
    <xf numFmtId="0" fontId="0" fillId="0" borderId="69" xfId="0" applyBorder="1" applyAlignment="1">
      <alignment vertical="top"/>
    </xf>
    <xf numFmtId="0" fontId="113" fillId="0" borderId="65" xfId="0" applyFont="1" applyBorder="1" applyAlignment="1">
      <alignment horizontal="center" vertical="top" wrapText="1"/>
    </xf>
    <xf numFmtId="0" fontId="113" fillId="0" borderId="65" xfId="0" applyFont="1" applyBorder="1" applyAlignment="1">
      <alignment vertical="top" wrapText="1"/>
    </xf>
    <xf numFmtId="0" fontId="115" fillId="0" borderId="65" xfId="0" applyFont="1" applyBorder="1" applyAlignment="1">
      <alignment vertical="top"/>
    </xf>
    <xf numFmtId="0" fontId="115" fillId="0" borderId="68" xfId="0" applyFont="1" applyBorder="1" applyAlignment="1">
      <alignment vertical="top"/>
    </xf>
    <xf numFmtId="0" fontId="115" fillId="0" borderId="67" xfId="0" applyFont="1" applyBorder="1" applyAlignment="1">
      <alignment vertical="top"/>
    </xf>
    <xf numFmtId="0" fontId="0" fillId="0" borderId="62" xfId="0" applyBorder="1" applyAlignment="1">
      <alignment horizontal="left" vertical="top"/>
    </xf>
    <xf numFmtId="0" fontId="114" fillId="0" borderId="65" xfId="0" applyFont="1" applyBorder="1" applyAlignment="1">
      <alignment vertical="top"/>
    </xf>
    <xf numFmtId="0" fontId="114" fillId="0" borderId="67" xfId="0" applyFont="1" applyBorder="1" applyAlignment="1">
      <alignment vertical="top"/>
    </xf>
    <xf numFmtId="0" fontId="114" fillId="0" borderId="70" xfId="0" applyFont="1" applyBorder="1" applyAlignment="1">
      <alignment horizontal="left" vertical="top"/>
    </xf>
    <xf numFmtId="0" fontId="0" fillId="0" borderId="70" xfId="0" applyBorder="1" applyAlignment="1">
      <alignment horizontal="left" vertical="top"/>
    </xf>
    <xf numFmtId="0" fontId="114" fillId="0" borderId="62" xfId="0" applyFont="1" applyBorder="1" applyAlignment="1">
      <alignment horizontal="left" vertical="top"/>
    </xf>
    <xf numFmtId="0" fontId="119" fillId="0" borderId="65" xfId="0" applyFont="1" applyBorder="1" applyAlignment="1">
      <alignment vertical="top"/>
    </xf>
    <xf numFmtId="0" fontId="114" fillId="0" borderId="68" xfId="0" applyFont="1" applyBorder="1" applyAlignment="1">
      <alignment vertical="top"/>
    </xf>
    <xf numFmtId="0" fontId="114" fillId="0" borderId="69" xfId="0" applyFont="1" applyBorder="1" applyAlignment="1">
      <alignment vertical="top"/>
    </xf>
    <xf numFmtId="0" fontId="114" fillId="0" borderId="65" xfId="0" applyFont="1" applyBorder="1" applyAlignment="1">
      <alignment vertical="top" wrapText="1"/>
    </xf>
    <xf numFmtId="0" fontId="0" fillId="0" borderId="71" xfId="0" applyBorder="1" applyAlignment="1">
      <alignment vertical="top"/>
    </xf>
    <xf numFmtId="0" fontId="114" fillId="0" borderId="71" xfId="0" applyFont="1" applyBorder="1" applyAlignment="1">
      <alignment vertical="top"/>
    </xf>
    <xf numFmtId="0" fontId="0" fillId="0" borderId="72" xfId="0" applyBorder="1" applyAlignment="1">
      <alignment vertical="top"/>
    </xf>
    <xf numFmtId="0" fontId="113" fillId="0" borderId="69" xfId="0" applyFont="1" applyBorder="1" applyAlignment="1">
      <alignment vertical="top" wrapText="1"/>
    </xf>
    <xf numFmtId="0" fontId="113" fillId="0" borderId="72" xfId="0" applyFont="1" applyBorder="1" applyAlignment="1">
      <alignment vertical="top" wrapText="1"/>
    </xf>
    <xf numFmtId="0" fontId="113" fillId="0" borderId="65" xfId="0" applyFont="1" applyBorder="1" applyAlignment="1">
      <alignment vertical="top"/>
    </xf>
    <xf numFmtId="0" fontId="118" fillId="0" borderId="65" xfId="0" applyFont="1" applyBorder="1" applyAlignment="1">
      <alignment vertical="top"/>
    </xf>
    <xf numFmtId="0" fontId="124" fillId="0" borderId="0" xfId="0" applyFont="1"/>
    <xf numFmtId="0" fontId="113" fillId="0" borderId="73" xfId="0" applyFont="1" applyBorder="1" applyAlignment="1">
      <alignment vertical="top" wrapText="1"/>
    </xf>
    <xf numFmtId="0" fontId="121" fillId="0" borderId="65" xfId="0" applyFont="1" applyBorder="1" applyAlignment="1">
      <alignment vertical="top"/>
    </xf>
    <xf numFmtId="0" fontId="115" fillId="0" borderId="65" xfId="0" applyFont="1" applyBorder="1" applyAlignment="1">
      <alignment vertical="top" wrapText="1"/>
    </xf>
    <xf numFmtId="0" fontId="113" fillId="0" borderId="62" xfId="0" applyFont="1" applyBorder="1"/>
    <xf numFmtId="0" fontId="118" fillId="0" borderId="0" xfId="0" applyFont="1" applyAlignment="1">
      <alignment vertical="center"/>
    </xf>
    <xf numFmtId="0" fontId="114" fillId="0" borderId="62" xfId="0" applyFont="1" applyBorder="1" applyAlignment="1">
      <alignment horizontal="center" vertical="top"/>
    </xf>
    <xf numFmtId="0" fontId="128" fillId="40" borderId="65" xfId="0" applyFont="1" applyFill="1" applyBorder="1" applyAlignment="1">
      <alignment vertical="top"/>
    </xf>
    <xf numFmtId="0" fontId="128" fillId="40" borderId="61" xfId="0" applyFont="1" applyFill="1" applyBorder="1" applyAlignment="1">
      <alignment horizontal="center" vertical="top"/>
    </xf>
    <xf numFmtId="0" fontId="128" fillId="40" borderId="0" xfId="0" applyFont="1" applyFill="1"/>
    <xf numFmtId="0" fontId="128" fillId="40" borderId="0" xfId="0" applyFont="1" applyFill="1" applyAlignment="1">
      <alignment horizontal="center"/>
    </xf>
    <xf numFmtId="181" fontId="128" fillId="40" borderId="0" xfId="0" applyNumberFormat="1" applyFont="1" applyFill="1" applyAlignment="1">
      <alignment horizontal="right"/>
    </xf>
    <xf numFmtId="170" fontId="128" fillId="40" borderId="0" xfId="115" applyFont="1" applyFill="1" applyAlignment="1">
      <alignment horizontal="right"/>
    </xf>
    <xf numFmtId="0" fontId="129" fillId="40" borderId="0" xfId="0" applyFont="1" applyFill="1"/>
    <xf numFmtId="181" fontId="128" fillId="40" borderId="61" xfId="0" applyNumberFormat="1" applyFont="1" applyFill="1" applyBorder="1" applyAlignment="1">
      <alignment horizontal="right" vertical="top"/>
    </xf>
    <xf numFmtId="170" fontId="128" fillId="40" borderId="61" xfId="115" applyFont="1" applyFill="1" applyBorder="1" applyAlignment="1">
      <alignment horizontal="right" vertical="top"/>
    </xf>
    <xf numFmtId="170" fontId="128" fillId="40" borderId="63" xfId="115" applyFont="1" applyFill="1" applyBorder="1" applyAlignment="1">
      <alignment horizontal="right" vertical="top"/>
    </xf>
    <xf numFmtId="0" fontId="129" fillId="40" borderId="61" xfId="0" applyFont="1" applyFill="1" applyBorder="1" applyAlignment="1">
      <alignment horizontal="left" vertical="top" wrapText="1"/>
    </xf>
    <xf numFmtId="0" fontId="129" fillId="40" borderId="61" xfId="0" applyFont="1" applyFill="1" applyBorder="1" applyAlignment="1">
      <alignment horizontal="center" vertical="top" wrapText="1"/>
    </xf>
    <xf numFmtId="181" fontId="129" fillId="40" borderId="61" xfId="0" applyNumberFormat="1" applyFont="1" applyFill="1" applyBorder="1" applyAlignment="1">
      <alignment horizontal="right" vertical="top" wrapText="1"/>
    </xf>
    <xf numFmtId="170" fontId="129" fillId="40" borderId="61" xfId="115" applyFont="1" applyFill="1" applyBorder="1" applyAlignment="1">
      <alignment horizontal="right" vertical="top"/>
    </xf>
    <xf numFmtId="0" fontId="129" fillId="40" borderId="0" xfId="0" applyFont="1" applyFill="1" applyAlignment="1">
      <alignment horizontal="left" vertical="top"/>
    </xf>
    <xf numFmtId="170" fontId="128" fillId="40" borderId="0" xfId="115" applyFont="1" applyFill="1" applyBorder="1" applyAlignment="1">
      <alignment horizontal="right" vertical="top"/>
    </xf>
    <xf numFmtId="181" fontId="128" fillId="40" borderId="68" xfId="0" applyNumberFormat="1" applyFont="1" applyFill="1" applyBorder="1" applyAlignment="1">
      <alignment horizontal="right" vertical="top"/>
    </xf>
    <xf numFmtId="0" fontId="128" fillId="40" borderId="68" xfId="0" applyFont="1" applyFill="1" applyBorder="1" applyAlignment="1">
      <alignment vertical="top"/>
    </xf>
    <xf numFmtId="0" fontId="128" fillId="40" borderId="68" xfId="0" applyFont="1" applyFill="1" applyBorder="1" applyAlignment="1">
      <alignment horizontal="center" vertical="top"/>
    </xf>
    <xf numFmtId="0" fontId="130" fillId="40" borderId="65" xfId="0" applyFont="1" applyFill="1" applyBorder="1" applyAlignment="1">
      <alignment vertical="top"/>
    </xf>
    <xf numFmtId="0" fontId="130" fillId="40" borderId="68" xfId="0" applyFont="1" applyFill="1" applyBorder="1" applyAlignment="1">
      <alignment vertical="top"/>
    </xf>
    <xf numFmtId="0" fontId="128" fillId="40" borderId="0" xfId="0" applyFont="1" applyFill="1" applyAlignment="1">
      <alignment horizontal="left" vertical="top"/>
    </xf>
    <xf numFmtId="0" fontId="128" fillId="40" borderId="0" xfId="0" applyFont="1" applyFill="1" applyAlignment="1">
      <alignment horizontal="center" vertical="top"/>
    </xf>
    <xf numFmtId="181" fontId="128" fillId="40" borderId="0" xfId="0" applyNumberFormat="1" applyFont="1" applyFill="1" applyAlignment="1">
      <alignment horizontal="right" vertical="top"/>
    </xf>
    <xf numFmtId="170" fontId="128" fillId="40" borderId="65" xfId="115" applyFont="1" applyFill="1" applyBorder="1" applyAlignment="1">
      <alignment horizontal="right" vertical="top"/>
    </xf>
    <xf numFmtId="0" fontId="129" fillId="40" borderId="65" xfId="0" applyFont="1" applyFill="1" applyBorder="1" applyAlignment="1">
      <alignment vertical="top" wrapText="1"/>
    </xf>
    <xf numFmtId="170" fontId="128" fillId="40" borderId="67" xfId="115" applyFont="1" applyFill="1" applyBorder="1" applyAlignment="1">
      <alignment horizontal="right" vertical="top"/>
    </xf>
    <xf numFmtId="0" fontId="128" fillId="40" borderId="62" xfId="0" applyFont="1" applyFill="1" applyBorder="1" applyAlignment="1">
      <alignment horizontal="left" vertical="top"/>
    </xf>
    <xf numFmtId="0" fontId="128" fillId="40" borderId="62" xfId="0" applyFont="1" applyFill="1" applyBorder="1" applyAlignment="1">
      <alignment horizontal="center" vertical="top"/>
    </xf>
    <xf numFmtId="181" fontId="128" fillId="40" borderId="62" xfId="0" applyNumberFormat="1" applyFont="1" applyFill="1" applyBorder="1" applyAlignment="1">
      <alignment horizontal="right" vertical="top"/>
    </xf>
    <xf numFmtId="170" fontId="128" fillId="40" borderId="62" xfId="115" applyFont="1" applyFill="1" applyBorder="1" applyAlignment="1">
      <alignment horizontal="right" vertical="top"/>
    </xf>
    <xf numFmtId="0" fontId="130" fillId="40" borderId="67" xfId="0" applyFont="1" applyFill="1" applyBorder="1" applyAlignment="1">
      <alignment horizontal="center" vertical="top"/>
    </xf>
    <xf numFmtId="0" fontId="129" fillId="40" borderId="61" xfId="0" applyFont="1" applyFill="1" applyBorder="1" applyAlignment="1">
      <alignment horizontal="center" vertical="top"/>
    </xf>
    <xf numFmtId="181" fontId="128" fillId="40" borderId="63" xfId="0" applyNumberFormat="1" applyFont="1" applyFill="1" applyBorder="1" applyAlignment="1">
      <alignment horizontal="right" vertical="top"/>
    </xf>
    <xf numFmtId="170" fontId="128" fillId="40" borderId="0" xfId="115" applyFont="1" applyFill="1" applyBorder="1" applyAlignment="1">
      <alignment horizontal="right"/>
    </xf>
    <xf numFmtId="0" fontId="128" fillId="40" borderId="61" xfId="0" applyFont="1" applyFill="1" applyBorder="1" applyAlignment="1">
      <alignment horizontal="left" vertical="top"/>
    </xf>
    <xf numFmtId="0" fontId="129" fillId="40" borderId="0" xfId="1012" applyFont="1" applyFill="1"/>
    <xf numFmtId="0" fontId="128" fillId="40" borderId="0" xfId="1012" applyFont="1" applyFill="1"/>
    <xf numFmtId="0" fontId="128" fillId="40" borderId="0" xfId="1012" applyFont="1" applyFill="1" applyAlignment="1">
      <alignment horizontal="center"/>
    </xf>
    <xf numFmtId="181" fontId="128" fillId="40" borderId="0" xfId="1012" applyNumberFormat="1" applyFont="1" applyFill="1" applyAlignment="1">
      <alignment horizontal="right"/>
    </xf>
    <xf numFmtId="170" fontId="128" fillId="40" borderId="0" xfId="548" applyFont="1" applyFill="1" applyAlignment="1">
      <alignment horizontal="right"/>
    </xf>
    <xf numFmtId="0" fontId="129" fillId="40" borderId="61" xfId="1012" applyFont="1" applyFill="1" applyBorder="1" applyAlignment="1">
      <alignment horizontal="left" vertical="top" wrapText="1"/>
    </xf>
    <xf numFmtId="0" fontId="129" fillId="40" borderId="65" xfId="1012" applyFont="1" applyFill="1" applyBorder="1" applyAlignment="1">
      <alignment horizontal="left" vertical="top" wrapText="1"/>
    </xf>
    <xf numFmtId="0" fontId="129" fillId="40" borderId="65" xfId="1012" applyFont="1" applyFill="1" applyBorder="1" applyAlignment="1">
      <alignment horizontal="center" vertical="top" wrapText="1"/>
    </xf>
    <xf numFmtId="181" fontId="129" fillId="40" borderId="65" xfId="1012" applyNumberFormat="1" applyFont="1" applyFill="1" applyBorder="1" applyAlignment="1">
      <alignment horizontal="right" vertical="top" wrapText="1"/>
    </xf>
    <xf numFmtId="170" fontId="129" fillId="40" borderId="65" xfId="548" applyFont="1" applyFill="1" applyBorder="1" applyAlignment="1">
      <alignment horizontal="right" vertical="top"/>
    </xf>
    <xf numFmtId="170" fontId="129" fillId="40" borderId="61" xfId="548" applyFont="1" applyFill="1" applyBorder="1" applyAlignment="1">
      <alignment horizontal="right" vertical="top"/>
    </xf>
    <xf numFmtId="0" fontId="128" fillId="40" borderId="61" xfId="1012" applyFont="1" applyFill="1" applyBorder="1" applyAlignment="1">
      <alignment horizontal="left" vertical="top"/>
    </xf>
    <xf numFmtId="0" fontId="128" fillId="40" borderId="65" xfId="1012" applyFont="1" applyFill="1" applyBorder="1" applyAlignment="1">
      <alignment horizontal="left" vertical="top"/>
    </xf>
    <xf numFmtId="0" fontId="128" fillId="40" borderId="65" xfId="1012" applyFont="1" applyFill="1" applyBorder="1" applyAlignment="1">
      <alignment horizontal="center" vertical="top"/>
    </xf>
    <xf numFmtId="181" fontId="128" fillId="40" borderId="65" xfId="1012" applyNumberFormat="1" applyFont="1" applyFill="1" applyBorder="1" applyAlignment="1">
      <alignment horizontal="right" vertical="top"/>
    </xf>
    <xf numFmtId="170" fontId="128" fillId="40" borderId="65" xfId="548" applyFont="1" applyFill="1" applyBorder="1" applyAlignment="1">
      <alignment horizontal="right" vertical="top"/>
    </xf>
    <xf numFmtId="170" fontId="128" fillId="40" borderId="61" xfId="548" applyFont="1" applyFill="1" applyBorder="1" applyAlignment="1">
      <alignment horizontal="right" vertical="top"/>
    </xf>
    <xf numFmtId="181" fontId="128" fillId="40" borderId="74" xfId="1012" applyNumberFormat="1" applyFont="1" applyFill="1" applyBorder="1" applyAlignment="1">
      <alignment horizontal="right" vertical="top"/>
    </xf>
    <xf numFmtId="170" fontId="128" fillId="40" borderId="74" xfId="548" applyFont="1" applyFill="1" applyBorder="1" applyAlignment="1">
      <alignment horizontal="right" vertical="top"/>
    </xf>
    <xf numFmtId="0" fontId="129" fillId="40" borderId="61" xfId="1012" applyFont="1" applyFill="1" applyBorder="1" applyAlignment="1">
      <alignment horizontal="center" vertical="top" wrapText="1"/>
    </xf>
    <xf numFmtId="181" fontId="129" fillId="40" borderId="61" xfId="1012" applyNumberFormat="1" applyFont="1" applyFill="1" applyBorder="1" applyAlignment="1">
      <alignment horizontal="right" vertical="top" wrapText="1"/>
    </xf>
    <xf numFmtId="0" fontId="128" fillId="40" borderId="61" xfId="1012" applyFont="1" applyFill="1" applyBorder="1" applyAlignment="1">
      <alignment horizontal="center" vertical="top"/>
    </xf>
    <xf numFmtId="181" fontId="128" fillId="40" borderId="61" xfId="1012" applyNumberFormat="1" applyFont="1" applyFill="1" applyBorder="1" applyAlignment="1">
      <alignment horizontal="right" vertical="top"/>
    </xf>
    <xf numFmtId="0" fontId="105" fillId="0" borderId="0" xfId="1012"/>
    <xf numFmtId="0" fontId="131" fillId="0" borderId="0" xfId="1012" applyFont="1"/>
    <xf numFmtId="0" fontId="105" fillId="0" borderId="0" xfId="1012" applyAlignment="1">
      <alignment horizontal="center"/>
    </xf>
    <xf numFmtId="170" fontId="128" fillId="40" borderId="80" xfId="0" applyNumberFormat="1" applyFont="1" applyFill="1" applyBorder="1"/>
    <xf numFmtId="170" fontId="128" fillId="40" borderId="80" xfId="1012" applyNumberFormat="1" applyFont="1" applyFill="1" applyBorder="1"/>
    <xf numFmtId="170" fontId="128" fillId="40" borderId="80" xfId="115" applyFont="1" applyFill="1" applyBorder="1" applyAlignment="1">
      <alignment horizontal="right"/>
    </xf>
    <xf numFmtId="0" fontId="128" fillId="40" borderId="0" xfId="1012" applyFont="1" applyFill="1" applyAlignment="1">
      <alignment horizontal="left" vertical="top"/>
    </xf>
    <xf numFmtId="170" fontId="128" fillId="40" borderId="0" xfId="1012" applyNumberFormat="1" applyFont="1" applyFill="1"/>
    <xf numFmtId="170" fontId="128" fillId="40" borderId="0" xfId="548" applyFont="1" applyFill="1" applyBorder="1" applyAlignment="1">
      <alignment horizontal="right" vertical="top"/>
    </xf>
    <xf numFmtId="181" fontId="128" fillId="40" borderId="65" xfId="0" applyNumberFormat="1" applyFont="1" applyFill="1" applyBorder="1" applyAlignment="1">
      <alignment horizontal="right" vertical="top"/>
    </xf>
    <xf numFmtId="0" fontId="132" fillId="0" borderId="0" xfId="1012" applyFont="1" applyAlignment="1">
      <alignment horizontal="center"/>
    </xf>
    <xf numFmtId="181" fontId="128" fillId="40" borderId="63" xfId="1012" applyNumberFormat="1" applyFont="1" applyFill="1" applyBorder="1" applyAlignment="1">
      <alignment horizontal="right" vertical="top"/>
    </xf>
    <xf numFmtId="170" fontId="128" fillId="40" borderId="63" xfId="548" applyFont="1" applyFill="1" applyBorder="1" applyAlignment="1">
      <alignment horizontal="right" vertical="top"/>
    </xf>
    <xf numFmtId="0" fontId="110" fillId="0" borderId="0" xfId="1204"/>
    <xf numFmtId="0" fontId="191" fillId="0" borderId="0" xfId="1204" applyFont="1" applyAlignment="1">
      <alignment horizontal="left"/>
    </xf>
    <xf numFmtId="0" fontId="110" fillId="0" borderId="0" xfId="1204" applyAlignment="1">
      <alignment horizontal="left"/>
    </xf>
    <xf numFmtId="0" fontId="191" fillId="0" borderId="0" xfId="1204" applyFont="1"/>
    <xf numFmtId="2" fontId="191" fillId="0" borderId="0" xfId="1204" applyNumberFormat="1" applyFont="1"/>
    <xf numFmtId="0" fontId="110" fillId="0" borderId="0" xfId="1204" applyAlignment="1">
      <alignment horizontal="right"/>
    </xf>
    <xf numFmtId="2" fontId="110" fillId="0" borderId="0" xfId="1204" applyNumberFormat="1"/>
    <xf numFmtId="0" fontId="192" fillId="0" borderId="103" xfId="1204" applyFont="1" applyBorder="1" applyAlignment="1">
      <alignment horizontal="left" vertical="center"/>
    </xf>
    <xf numFmtId="0" fontId="192" fillId="0" borderId="90" xfId="1204" applyFont="1" applyBorder="1" applyAlignment="1">
      <alignment horizontal="center" vertical="center"/>
    </xf>
    <xf numFmtId="2" fontId="192" fillId="0" borderId="88" xfId="1204" applyNumberFormat="1" applyFont="1" applyBorder="1" applyAlignment="1">
      <alignment horizontal="left" vertical="center"/>
    </xf>
    <xf numFmtId="0" fontId="192" fillId="0" borderId="104" xfId="1204" applyFont="1" applyBorder="1" applyAlignment="1">
      <alignment horizontal="center" vertical="center"/>
    </xf>
    <xf numFmtId="0" fontId="110" fillId="0" borderId="105" xfId="1204" applyBorder="1" applyAlignment="1">
      <alignment horizontal="center"/>
    </xf>
    <xf numFmtId="0" fontId="110" fillId="0" borderId="38" xfId="1204" applyBorder="1" applyAlignment="1">
      <alignment horizontal="left"/>
    </xf>
    <xf numFmtId="0" fontId="110" fillId="0" borderId="58" xfId="1204" applyBorder="1"/>
    <xf numFmtId="0" fontId="110" fillId="0" borderId="60" xfId="1204" applyBorder="1" applyAlignment="1">
      <alignment horizontal="center"/>
    </xf>
    <xf numFmtId="0" fontId="110" fillId="0" borderId="38" xfId="1204" applyBorder="1" applyAlignment="1">
      <alignment horizontal="center"/>
    </xf>
    <xf numFmtId="0" fontId="110" fillId="0" borderId="59" xfId="1204" applyBorder="1" applyAlignment="1">
      <alignment horizontal="center"/>
    </xf>
    <xf numFmtId="2" fontId="110" fillId="0" borderId="59" xfId="1204" applyNumberFormat="1" applyBorder="1" applyAlignment="1">
      <alignment horizontal="center"/>
    </xf>
    <xf numFmtId="0" fontId="110" fillId="0" borderId="106" xfId="1204" applyBorder="1" applyAlignment="1">
      <alignment horizontal="center"/>
    </xf>
    <xf numFmtId="0" fontId="110" fillId="0" borderId="107" xfId="1204" applyBorder="1" applyAlignment="1">
      <alignment horizontal="center"/>
    </xf>
    <xf numFmtId="0" fontId="0" fillId="0" borderId="39" xfId="1204" applyFont="1" applyBorder="1" applyAlignment="1">
      <alignment horizontal="left"/>
    </xf>
    <xf numFmtId="0" fontId="110" fillId="0" borderId="42" xfId="1204" applyBorder="1"/>
    <xf numFmtId="0" fontId="110" fillId="0" borderId="39" xfId="1204" applyBorder="1" applyAlignment="1">
      <alignment horizontal="center"/>
    </xf>
    <xf numFmtId="0" fontId="110" fillId="0" borderId="46" xfId="1204" applyBorder="1" applyAlignment="1">
      <alignment horizontal="center"/>
    </xf>
    <xf numFmtId="0" fontId="110" fillId="0" borderId="47" xfId="1204" applyBorder="1" applyAlignment="1">
      <alignment horizontal="center"/>
    </xf>
    <xf numFmtId="2" fontId="110" fillId="0" borderId="46" xfId="1204" applyNumberFormat="1" applyBorder="1" applyAlignment="1">
      <alignment horizontal="center"/>
    </xf>
    <xf numFmtId="0" fontId="0" fillId="0" borderId="108" xfId="1204" applyFont="1" applyBorder="1" applyAlignment="1">
      <alignment horizontal="center"/>
    </xf>
    <xf numFmtId="0" fontId="110" fillId="0" borderId="39" xfId="1204" applyBorder="1" applyAlignment="1">
      <alignment horizontal="left"/>
    </xf>
    <xf numFmtId="0" fontId="0" fillId="0" borderId="47" xfId="1204" applyFont="1" applyBorder="1" applyAlignment="1">
      <alignment horizontal="right"/>
    </xf>
    <xf numFmtId="0" fontId="110" fillId="0" borderId="108" xfId="1204" applyBorder="1" applyAlignment="1">
      <alignment horizontal="center"/>
    </xf>
    <xf numFmtId="0" fontId="110" fillId="0" borderId="109" xfId="1204" applyBorder="1" applyAlignment="1">
      <alignment horizontal="center"/>
    </xf>
    <xf numFmtId="0" fontId="110" fillId="0" borderId="55" xfId="1204" applyBorder="1" applyAlignment="1">
      <alignment horizontal="left"/>
    </xf>
    <xf numFmtId="0" fontId="110" fillId="0" borderId="56" xfId="1204" applyBorder="1"/>
    <xf numFmtId="0" fontId="110" fillId="0" borderId="57" xfId="1204" applyBorder="1" applyAlignment="1">
      <alignment horizontal="center"/>
    </xf>
    <xf numFmtId="0" fontId="110" fillId="0" borderId="55" xfId="1204" applyBorder="1" applyAlignment="1">
      <alignment horizontal="center"/>
    </xf>
    <xf numFmtId="0" fontId="110" fillId="0" borderId="43" xfId="1204" applyBorder="1" applyAlignment="1">
      <alignment horizontal="center"/>
    </xf>
    <xf numFmtId="2" fontId="110" fillId="0" borderId="43" xfId="1204" applyNumberFormat="1" applyBorder="1" applyAlignment="1">
      <alignment horizontal="center"/>
    </xf>
    <xf numFmtId="0" fontId="110" fillId="0" borderId="110" xfId="1204" applyBorder="1" applyAlignment="1">
      <alignment horizontal="center"/>
    </xf>
    <xf numFmtId="0" fontId="110" fillId="0" borderId="111" xfId="1204" applyBorder="1" applyAlignment="1">
      <alignment horizontal="center"/>
    </xf>
    <xf numFmtId="0" fontId="110" fillId="0" borderId="112" xfId="1204" applyBorder="1" applyAlignment="1">
      <alignment horizontal="left"/>
    </xf>
    <xf numFmtId="0" fontId="110" fillId="0" borderId="113" xfId="1204" applyBorder="1"/>
    <xf numFmtId="0" fontId="110" fillId="0" borderId="114" xfId="1204" applyBorder="1" applyAlignment="1">
      <alignment horizontal="center"/>
    </xf>
    <xf numFmtId="0" fontId="110" fillId="0" borderId="112" xfId="1204" applyBorder="1" applyAlignment="1">
      <alignment horizontal="center"/>
    </xf>
    <xf numFmtId="0" fontId="110" fillId="0" borderId="115" xfId="1204" applyBorder="1" applyAlignment="1">
      <alignment horizontal="center"/>
    </xf>
    <xf numFmtId="2" fontId="110" fillId="0" borderId="115" xfId="1204" applyNumberFormat="1" applyBorder="1" applyAlignment="1">
      <alignment horizontal="center"/>
    </xf>
    <xf numFmtId="0" fontId="110" fillId="0" borderId="116" xfId="1204" applyBorder="1" applyAlignment="1">
      <alignment horizontal="center"/>
    </xf>
    <xf numFmtId="0" fontId="193" fillId="0" borderId="0" xfId="1204" applyFont="1"/>
    <xf numFmtId="185" fontId="110" fillId="0" borderId="0" xfId="1204" applyNumberFormat="1"/>
    <xf numFmtId="0" fontId="21" fillId="0" borderId="117" xfId="21951" applyBorder="1"/>
    <xf numFmtId="0" fontId="21" fillId="0" borderId="118" xfId="21951" applyBorder="1"/>
    <xf numFmtId="0" fontId="194" fillId="0" borderId="118" xfId="21951" applyFont="1" applyBorder="1"/>
    <xf numFmtId="0" fontId="195" fillId="0" borderId="117" xfId="21951" applyFont="1" applyBorder="1"/>
    <xf numFmtId="0" fontId="194" fillId="0" borderId="119" xfId="21951" applyFont="1" applyBorder="1"/>
    <xf numFmtId="0" fontId="196" fillId="0" borderId="118" xfId="21951" applyFont="1" applyBorder="1"/>
    <xf numFmtId="0" fontId="194" fillId="0" borderId="0" xfId="21951" applyFont="1" applyAlignment="1">
      <alignment horizontal="center"/>
    </xf>
    <xf numFmtId="0" fontId="21" fillId="0" borderId="0" xfId="21951"/>
    <xf numFmtId="0" fontId="21" fillId="0" borderId="120" xfId="21951" applyBorder="1"/>
    <xf numFmtId="0" fontId="128" fillId="0" borderId="0" xfId="21951" applyFont="1" applyAlignment="1">
      <alignment vertical="center"/>
    </xf>
    <xf numFmtId="0" fontId="128" fillId="0" borderId="120" xfId="21951" applyFont="1" applyBorder="1" applyAlignment="1">
      <alignment horizontal="center" vertical="center"/>
    </xf>
    <xf numFmtId="170" fontId="128" fillId="0" borderId="0" xfId="2263" applyFont="1" applyFill="1" applyBorder="1" applyAlignment="1">
      <alignment vertical="center"/>
    </xf>
    <xf numFmtId="0" fontId="129" fillId="0" borderId="0" xfId="21951" applyFont="1" applyAlignment="1">
      <alignment vertical="center"/>
    </xf>
    <xf numFmtId="0" fontId="129" fillId="0" borderId="121" xfId="21951" applyFont="1" applyBorder="1" applyAlignment="1">
      <alignment vertical="center"/>
    </xf>
    <xf numFmtId="0" fontId="21" fillId="0" borderId="122" xfId="21951" applyBorder="1"/>
    <xf numFmtId="0" fontId="21" fillId="0" borderId="84" xfId="21951" applyBorder="1"/>
    <xf numFmtId="0" fontId="21" fillId="0" borderId="123" xfId="21951" applyBorder="1"/>
    <xf numFmtId="0" fontId="129" fillId="0" borderId="122" xfId="21951" applyFont="1" applyBorder="1" applyAlignment="1">
      <alignment vertical="center"/>
    </xf>
    <xf numFmtId="0" fontId="129" fillId="0" borderId="84" xfId="21951" applyFont="1" applyBorder="1" applyAlignment="1">
      <alignment vertical="center"/>
    </xf>
    <xf numFmtId="170" fontId="129" fillId="0" borderId="84" xfId="2263" applyFont="1" applyFill="1" applyBorder="1" applyAlignment="1">
      <alignment vertical="center"/>
    </xf>
    <xf numFmtId="267" fontId="129" fillId="0" borderId="123" xfId="2263" applyNumberFormat="1" applyFont="1" applyFill="1" applyBorder="1" applyAlignment="1">
      <alignment horizontal="center" vertical="center"/>
    </xf>
    <xf numFmtId="267" fontId="129" fillId="0" borderId="0" xfId="2263" applyNumberFormat="1" applyFont="1" applyFill="1" applyBorder="1" applyAlignment="1">
      <alignment horizontal="center" vertical="center"/>
    </xf>
    <xf numFmtId="0" fontId="129" fillId="0" borderId="124" xfId="21951" applyFont="1" applyBorder="1" applyAlignment="1">
      <alignment horizontal="center" vertical="center"/>
    </xf>
    <xf numFmtId="170" fontId="129" fillId="0" borderId="125" xfId="2263" applyFont="1" applyFill="1" applyBorder="1" applyAlignment="1">
      <alignment horizontal="center" vertical="center"/>
    </xf>
    <xf numFmtId="0" fontId="129" fillId="0" borderId="126" xfId="21951" applyFont="1" applyBorder="1" applyAlignment="1">
      <alignment horizontal="center" vertical="center"/>
    </xf>
    <xf numFmtId="0" fontId="129" fillId="0" borderId="127" xfId="21951" applyFont="1" applyBorder="1" applyAlignment="1">
      <alignment horizontal="center" vertical="center"/>
    </xf>
    <xf numFmtId="0" fontId="129" fillId="0" borderId="128" xfId="21951" applyFont="1" applyBorder="1" applyAlignment="1">
      <alignment horizontal="center" vertical="center"/>
    </xf>
    <xf numFmtId="170" fontId="129" fillId="0" borderId="129" xfId="2263" applyFont="1" applyFill="1" applyBorder="1" applyAlignment="1">
      <alignment horizontal="center" vertical="center"/>
    </xf>
    <xf numFmtId="267" fontId="129" fillId="0" borderId="0" xfId="2263" applyNumberFormat="1" applyFont="1" applyFill="1" applyBorder="1" applyAlignment="1">
      <alignment horizontal="center" vertical="center" wrapText="1"/>
    </xf>
    <xf numFmtId="0" fontId="129" fillId="0" borderId="132" xfId="21951" applyFont="1" applyBorder="1" applyAlignment="1">
      <alignment horizontal="center" vertical="center"/>
    </xf>
    <xf numFmtId="170" fontId="129" fillId="0" borderId="5" xfId="2263" applyFont="1" applyFill="1" applyBorder="1" applyAlignment="1">
      <alignment horizontal="center" vertical="center"/>
    </xf>
    <xf numFmtId="0" fontId="129" fillId="0" borderId="5" xfId="21951" applyFont="1" applyBorder="1" applyAlignment="1">
      <alignment horizontal="center" vertical="center"/>
    </xf>
    <xf numFmtId="0" fontId="129" fillId="0" borderId="32" xfId="21951" applyFont="1" applyBorder="1" applyAlignment="1">
      <alignment horizontal="center" vertical="center"/>
    </xf>
    <xf numFmtId="0" fontId="129" fillId="0" borderId="133" xfId="21951" applyFont="1" applyBorder="1" applyAlignment="1">
      <alignment horizontal="center" vertical="center"/>
    </xf>
    <xf numFmtId="0" fontId="129" fillId="0" borderId="134" xfId="21951" applyFont="1" applyBorder="1" applyAlignment="1">
      <alignment horizontal="center" vertical="center"/>
    </xf>
    <xf numFmtId="0" fontId="129" fillId="0" borderId="136" xfId="21951" applyFont="1" applyBorder="1" applyAlignment="1">
      <alignment horizontal="center" vertical="center"/>
    </xf>
    <xf numFmtId="170" fontId="129" fillId="0" borderId="137" xfId="2263" applyFont="1" applyFill="1" applyBorder="1" applyAlignment="1">
      <alignment horizontal="center" vertical="center"/>
    </xf>
    <xf numFmtId="0" fontId="129" fillId="0" borderId="137" xfId="21951" applyFont="1" applyBorder="1" applyAlignment="1">
      <alignment horizontal="center" vertical="center"/>
    </xf>
    <xf numFmtId="0" fontId="129" fillId="0" borderId="138" xfId="21951" applyFont="1" applyBorder="1" applyAlignment="1">
      <alignment horizontal="center" vertical="center"/>
    </xf>
    <xf numFmtId="0" fontId="128" fillId="0" borderId="138" xfId="21951" applyFont="1" applyBorder="1" applyAlignment="1">
      <alignment horizontal="center" vertical="center"/>
    </xf>
    <xf numFmtId="0" fontId="129" fillId="0" borderId="139" xfId="21951" applyFont="1" applyBorder="1" applyAlignment="1">
      <alignment horizontal="center" vertical="center"/>
    </xf>
    <xf numFmtId="0" fontId="129" fillId="0" borderId="87" xfId="21951" applyFont="1" applyBorder="1" applyAlignment="1">
      <alignment horizontal="center" vertical="center"/>
    </xf>
    <xf numFmtId="0" fontId="129" fillId="0" borderId="140" xfId="21951" applyFont="1" applyBorder="1" applyAlignment="1">
      <alignment horizontal="center" vertical="center"/>
    </xf>
    <xf numFmtId="0" fontId="129" fillId="0" borderId="139" xfId="21951" applyFont="1" applyBorder="1" applyAlignment="1">
      <alignment vertical="center"/>
    </xf>
    <xf numFmtId="0" fontId="128" fillId="0" borderId="87" xfId="21951" applyFont="1" applyBorder="1" applyAlignment="1">
      <alignment horizontal="center" vertical="center"/>
    </xf>
    <xf numFmtId="0" fontId="128" fillId="0" borderId="140" xfId="21951" applyFont="1" applyBorder="1" applyAlignment="1">
      <alignment horizontal="center" vertical="center"/>
    </xf>
    <xf numFmtId="0" fontId="129" fillId="0" borderId="141" xfId="21951" applyFont="1" applyBorder="1" applyAlignment="1">
      <alignment horizontal="center" vertical="center"/>
    </xf>
    <xf numFmtId="0" fontId="129" fillId="0" borderId="142" xfId="21951" quotePrefix="1" applyFont="1" applyBorder="1" applyAlignment="1">
      <alignment horizontal="center" vertical="center"/>
    </xf>
    <xf numFmtId="0" fontId="128" fillId="0" borderId="141" xfId="21951" applyFont="1" applyBorder="1" applyAlignment="1">
      <alignment horizontal="center" vertical="center"/>
    </xf>
    <xf numFmtId="0" fontId="129" fillId="0" borderId="143" xfId="21951" applyFont="1" applyBorder="1" applyAlignment="1">
      <alignment horizontal="center" vertical="center"/>
    </xf>
    <xf numFmtId="0" fontId="129" fillId="0" borderId="144" xfId="21951" applyFont="1" applyBorder="1" applyAlignment="1">
      <alignment horizontal="center" vertical="center" wrapText="1"/>
    </xf>
    <xf numFmtId="0" fontId="129" fillId="0" borderId="144" xfId="21951" applyFont="1" applyBorder="1" applyAlignment="1">
      <alignment horizontal="center" vertical="center"/>
    </xf>
    <xf numFmtId="0" fontId="129" fillId="0" borderId="145" xfId="21951" applyFont="1" applyBorder="1" applyAlignment="1">
      <alignment horizontal="center" vertical="center"/>
    </xf>
    <xf numFmtId="170" fontId="129" fillId="0" borderId="146" xfId="2263" applyFont="1" applyFill="1" applyBorder="1" applyAlignment="1">
      <alignment horizontal="center" vertical="center"/>
    </xf>
    <xf numFmtId="0" fontId="129" fillId="0" borderId="146" xfId="21951" applyFont="1" applyBorder="1" applyAlignment="1">
      <alignment horizontal="center" vertical="center"/>
    </xf>
    <xf numFmtId="0" fontId="129" fillId="0" borderId="147" xfId="21951" applyFont="1" applyBorder="1" applyAlignment="1">
      <alignment horizontal="center" vertical="center"/>
    </xf>
    <xf numFmtId="0" fontId="128" fillId="0" borderId="147" xfId="21951" applyFont="1" applyBorder="1" applyAlignment="1">
      <alignment horizontal="center" vertical="center"/>
    </xf>
    <xf numFmtId="0" fontId="129" fillId="0" borderId="148" xfId="21951" applyFont="1" applyBorder="1" applyAlignment="1">
      <alignment horizontal="center" vertical="center"/>
    </xf>
    <xf numFmtId="0" fontId="129" fillId="0" borderId="145" xfId="21951" applyFont="1" applyBorder="1" applyAlignment="1">
      <alignment vertical="center"/>
    </xf>
    <xf numFmtId="0" fontId="128" fillId="0" borderId="146" xfId="21951" applyFont="1" applyBorder="1" applyAlignment="1">
      <alignment horizontal="center" vertical="center"/>
    </xf>
    <xf numFmtId="0" fontId="128" fillId="0" borderId="148" xfId="21951" applyFont="1" applyBorder="1" applyAlignment="1">
      <alignment horizontal="center" vertical="center"/>
    </xf>
    <xf numFmtId="0" fontId="129" fillId="0" borderId="149" xfId="21951" quotePrefix="1" applyFont="1" applyBorder="1" applyAlignment="1">
      <alignment horizontal="center" vertical="center"/>
    </xf>
    <xf numFmtId="170" fontId="129" fillId="0" borderId="145" xfId="2263" applyFont="1" applyFill="1" applyBorder="1" applyAlignment="1">
      <alignment vertical="center"/>
    </xf>
    <xf numFmtId="170" fontId="129" fillId="0" borderId="146" xfId="2263" applyFont="1" applyFill="1" applyBorder="1" applyAlignment="1">
      <alignment vertical="center"/>
    </xf>
    <xf numFmtId="267" fontId="129" fillId="0" borderId="148" xfId="2263" applyNumberFormat="1" applyFont="1" applyFill="1" applyBorder="1" applyAlignment="1">
      <alignment horizontal="center" vertical="center"/>
    </xf>
    <xf numFmtId="0" fontId="128" fillId="0" borderId="150" xfId="21951" applyFont="1" applyBorder="1" applyAlignment="1">
      <alignment horizontal="center" vertical="center"/>
    </xf>
    <xf numFmtId="170" fontId="128" fillId="0" borderId="39" xfId="2263" applyFont="1" applyFill="1" applyBorder="1" applyAlignment="1">
      <alignment horizontal="center" vertical="center"/>
    </xf>
    <xf numFmtId="170" fontId="128" fillId="0" borderId="39" xfId="2493" applyFont="1" applyFill="1" applyBorder="1" applyAlignment="1">
      <alignment vertical="center"/>
    </xf>
    <xf numFmtId="170" fontId="128" fillId="0" borderId="42" xfId="2493" applyFont="1" applyFill="1" applyBorder="1" applyAlignment="1">
      <alignment vertical="center"/>
    </xf>
    <xf numFmtId="183" fontId="128" fillId="0" borderId="42" xfId="2140" applyNumberFormat="1" applyFont="1" applyFill="1" applyBorder="1" applyAlignment="1">
      <alignment vertical="center"/>
    </xf>
    <xf numFmtId="168" fontId="128" fillId="0" borderId="107" xfId="2140" quotePrefix="1" applyFont="1" applyFill="1" applyBorder="1" applyAlignment="1">
      <alignment horizontal="center" vertical="center"/>
    </xf>
    <xf numFmtId="185" fontId="128" fillId="0" borderId="39" xfId="21951" applyNumberFormat="1" applyFont="1" applyBorder="1" applyAlignment="1">
      <alignment horizontal="center" vertical="center"/>
    </xf>
    <xf numFmtId="168" fontId="128" fillId="0" borderId="151" xfId="2140" applyFont="1" applyFill="1" applyBorder="1" applyAlignment="1">
      <alignment horizontal="center" vertical="center"/>
    </xf>
    <xf numFmtId="0" fontId="128" fillId="0" borderId="107" xfId="21951" quotePrefix="1" applyFont="1" applyBorder="1" applyAlignment="1">
      <alignment vertical="center"/>
    </xf>
    <xf numFmtId="267" fontId="128" fillId="0" borderId="39" xfId="21951" applyNumberFormat="1" applyFont="1" applyBorder="1" applyAlignment="1">
      <alignment horizontal="center" vertical="center"/>
    </xf>
    <xf numFmtId="170" fontId="128" fillId="0" borderId="39" xfId="21951" applyNumberFormat="1" applyFont="1" applyBorder="1" applyAlignment="1">
      <alignment horizontal="center" vertical="center"/>
    </xf>
    <xf numFmtId="263" fontId="128" fillId="0" borderId="151" xfId="2493" applyNumberFormat="1" applyFont="1" applyFill="1" applyBorder="1" applyAlignment="1">
      <alignment vertical="center"/>
    </xf>
    <xf numFmtId="170" fontId="128" fillId="0" borderId="107" xfId="21951" applyNumberFormat="1" applyFont="1" applyBorder="1" applyAlignment="1">
      <alignment vertical="center"/>
    </xf>
    <xf numFmtId="170" fontId="128" fillId="0" borderId="151" xfId="21951" applyNumberFormat="1" applyFont="1" applyBorder="1" applyAlignment="1">
      <alignment vertical="center"/>
    </xf>
    <xf numFmtId="170" fontId="128" fillId="0" borderId="152" xfId="21951" applyNumberFormat="1" applyFont="1" applyBorder="1" applyAlignment="1">
      <alignment vertical="center"/>
    </xf>
    <xf numFmtId="170" fontId="128" fillId="0" borderId="39" xfId="2263" applyFont="1" applyFill="1" applyBorder="1" applyAlignment="1">
      <alignment vertical="center"/>
    </xf>
    <xf numFmtId="183" fontId="128" fillId="0" borderId="151" xfId="2140" applyNumberFormat="1" applyFont="1" applyFill="1" applyBorder="1" applyAlignment="1">
      <alignment vertical="center"/>
    </xf>
    <xf numFmtId="170" fontId="128" fillId="0" borderId="107" xfId="2263" applyFont="1" applyFill="1" applyBorder="1" applyAlignment="1">
      <alignment vertical="center"/>
    </xf>
    <xf numFmtId="267" fontId="128" fillId="0" borderId="151" xfId="2263" applyNumberFormat="1" applyFont="1" applyFill="1" applyBorder="1" applyAlignment="1">
      <alignment horizontal="center" vertical="center"/>
    </xf>
    <xf numFmtId="267" fontId="128" fillId="0" borderId="0" xfId="2263" applyNumberFormat="1" applyFont="1" applyFill="1" applyBorder="1" applyAlignment="1">
      <alignment horizontal="center" vertical="center"/>
    </xf>
    <xf numFmtId="183" fontId="128" fillId="41" borderId="153" xfId="2140" applyNumberFormat="1" applyFont="1" applyFill="1" applyBorder="1" applyAlignment="1">
      <alignment vertical="center"/>
    </xf>
    <xf numFmtId="168" fontId="128" fillId="0" borderId="47" xfId="2140" quotePrefix="1" applyFont="1" applyFill="1" applyBorder="1" applyAlignment="1">
      <alignment horizontal="center" vertical="center"/>
    </xf>
    <xf numFmtId="170" fontId="128" fillId="0" borderId="42" xfId="21951" applyNumberFormat="1" applyFont="1" applyBorder="1" applyAlignment="1">
      <alignment vertical="center"/>
    </xf>
    <xf numFmtId="170" fontId="128" fillId="41" borderId="153" xfId="21951" applyNumberFormat="1" applyFont="1" applyFill="1" applyBorder="1" applyAlignment="1">
      <alignment vertical="center"/>
    </xf>
    <xf numFmtId="267" fontId="128" fillId="41" borderId="149" xfId="2263" applyNumberFormat="1" applyFont="1" applyFill="1" applyBorder="1" applyAlignment="1">
      <alignment horizontal="center" vertical="center"/>
    </xf>
    <xf numFmtId="267" fontId="128" fillId="41" borderId="0" xfId="2263" applyNumberFormat="1" applyFont="1" applyFill="1" applyBorder="1" applyAlignment="1">
      <alignment horizontal="center" vertical="center"/>
    </xf>
    <xf numFmtId="0" fontId="128" fillId="0" borderId="109" xfId="21951" applyFont="1" applyBorder="1" applyAlignment="1">
      <alignment horizontal="center" vertical="center"/>
    </xf>
    <xf numFmtId="170" fontId="128" fillId="0" borderId="55" xfId="2263" applyFont="1" applyFill="1" applyBorder="1" applyAlignment="1">
      <alignment vertical="center"/>
    </xf>
    <xf numFmtId="170" fontId="128" fillId="0" borderId="55" xfId="2493" applyFont="1" applyFill="1" applyBorder="1" applyAlignment="1">
      <alignment vertical="center"/>
    </xf>
    <xf numFmtId="170" fontId="128" fillId="0" borderId="56" xfId="2493" applyFont="1" applyFill="1" applyBorder="1" applyAlignment="1">
      <alignment vertical="center"/>
    </xf>
    <xf numFmtId="267" fontId="128" fillId="0" borderId="56" xfId="2493" applyNumberFormat="1" applyFont="1" applyFill="1" applyBorder="1" applyAlignment="1">
      <alignment vertical="center"/>
    </xf>
    <xf numFmtId="185" fontId="128" fillId="0" borderId="55" xfId="21951" applyNumberFormat="1" applyFont="1" applyBorder="1" applyAlignment="1">
      <alignment horizontal="center" vertical="center"/>
    </xf>
    <xf numFmtId="0" fontId="128" fillId="0" borderId="154" xfId="21951" applyFont="1" applyBorder="1" applyAlignment="1">
      <alignment horizontal="center" vertical="center"/>
    </xf>
    <xf numFmtId="0" fontId="128" fillId="0" borderId="109" xfId="21951" quotePrefix="1" applyFont="1" applyBorder="1" applyAlignment="1">
      <alignment vertical="center"/>
    </xf>
    <xf numFmtId="170" fontId="128" fillId="0" borderId="55" xfId="21951" applyNumberFormat="1" applyFont="1" applyBorder="1" applyAlignment="1">
      <alignment horizontal="center" vertical="center"/>
    </xf>
    <xf numFmtId="170" fontId="128" fillId="0" borderId="154" xfId="2493" applyFont="1" applyFill="1" applyBorder="1" applyAlignment="1">
      <alignment vertical="center"/>
    </xf>
    <xf numFmtId="170" fontId="128" fillId="0" borderId="111" xfId="21951" applyNumberFormat="1" applyFont="1" applyBorder="1" applyAlignment="1">
      <alignment vertical="center"/>
    </xf>
    <xf numFmtId="170" fontId="128" fillId="0" borderId="155" xfId="21951" applyNumberFormat="1" applyFont="1" applyBorder="1" applyAlignment="1">
      <alignment vertical="center"/>
    </xf>
    <xf numFmtId="170" fontId="128" fillId="0" borderId="156" xfId="21951" applyNumberFormat="1" applyFont="1" applyBorder="1" applyAlignment="1">
      <alignment vertical="center"/>
    </xf>
    <xf numFmtId="267" fontId="128" fillId="0" borderId="154" xfId="2493" applyNumberFormat="1" applyFont="1" applyFill="1" applyBorder="1" applyAlignment="1">
      <alignment vertical="center"/>
    </xf>
    <xf numFmtId="170" fontId="128" fillId="0" borderId="109" xfId="2263" applyFont="1" applyFill="1" applyBorder="1" applyAlignment="1">
      <alignment vertical="center"/>
    </xf>
    <xf numFmtId="267" fontId="128" fillId="0" borderId="154" xfId="2263" applyNumberFormat="1" applyFont="1" applyFill="1" applyBorder="1" applyAlignment="1">
      <alignment horizontal="center" vertical="center"/>
    </xf>
    <xf numFmtId="170" fontId="128" fillId="0" borderId="55" xfId="2263" applyFont="1" applyFill="1" applyBorder="1" applyAlignment="1">
      <alignment horizontal="center" vertical="center"/>
    </xf>
    <xf numFmtId="267" fontId="128" fillId="0" borderId="32" xfId="21951" applyNumberFormat="1" applyFont="1" applyBorder="1" applyAlignment="1">
      <alignment horizontal="center" vertical="center"/>
    </xf>
    <xf numFmtId="168" fontId="128" fillId="0" borderId="109" xfId="2140" quotePrefix="1" applyFont="1" applyFill="1" applyBorder="1" applyAlignment="1">
      <alignment horizontal="center" vertical="center"/>
    </xf>
    <xf numFmtId="168" fontId="128" fillId="0" borderId="154" xfId="2140" applyFont="1" applyFill="1" applyBorder="1" applyAlignment="1">
      <alignment horizontal="center" vertical="center"/>
    </xf>
    <xf numFmtId="267" fontId="128" fillId="0" borderId="55" xfId="21951" applyNumberFormat="1" applyFont="1" applyBorder="1" applyAlignment="1">
      <alignment horizontal="center" vertical="center"/>
    </xf>
    <xf numFmtId="263" fontId="128" fillId="0" borderId="154" xfId="2493" applyNumberFormat="1" applyFont="1" applyFill="1" applyBorder="1" applyAlignment="1">
      <alignment vertical="center"/>
    </xf>
    <xf numFmtId="170" fontId="128" fillId="0" borderId="134" xfId="21951" applyNumberFormat="1" applyFont="1" applyBorder="1" applyAlignment="1">
      <alignment vertical="center"/>
    </xf>
    <xf numFmtId="0" fontId="128" fillId="0" borderId="43" xfId="21951" applyFont="1" applyBorder="1" applyAlignment="1">
      <alignment vertical="center"/>
    </xf>
    <xf numFmtId="183" fontId="128" fillId="0" borderId="154" xfId="2140" applyNumberFormat="1" applyFont="1" applyFill="1" applyBorder="1" applyAlignment="1">
      <alignment vertical="center"/>
    </xf>
    <xf numFmtId="0" fontId="21" fillId="0" borderId="43" xfId="21951" applyBorder="1"/>
    <xf numFmtId="267" fontId="128" fillId="0" borderId="121" xfId="2263" applyNumberFormat="1" applyFont="1" applyFill="1" applyBorder="1" applyAlignment="1">
      <alignment horizontal="center" vertical="center"/>
    </xf>
    <xf numFmtId="0" fontId="21" fillId="0" borderId="157" xfId="21951" applyBorder="1"/>
    <xf numFmtId="0" fontId="21" fillId="0" borderId="46" xfId="21951" applyBorder="1"/>
    <xf numFmtId="0" fontId="128" fillId="0" borderId="46" xfId="21951" applyFont="1" applyBorder="1" applyAlignment="1">
      <alignment vertical="center"/>
    </xf>
    <xf numFmtId="0" fontId="128" fillId="0" borderId="107" xfId="21951" applyFont="1" applyBorder="1" applyAlignment="1">
      <alignment horizontal="center" vertical="center"/>
    </xf>
    <xf numFmtId="267" fontId="128" fillId="0" borderId="46" xfId="2263" applyNumberFormat="1" applyFont="1" applyFill="1" applyBorder="1" applyAlignment="1">
      <alignment horizontal="center" vertical="center"/>
    </xf>
    <xf numFmtId="0" fontId="128" fillId="0" borderId="132" xfId="21951" applyFont="1" applyBorder="1" applyAlignment="1">
      <alignment horizontal="center" vertical="center"/>
    </xf>
    <xf numFmtId="170" fontId="128" fillId="0" borderId="5" xfId="2493" applyFont="1" applyFill="1" applyBorder="1" applyAlignment="1">
      <alignment vertical="center"/>
    </xf>
    <xf numFmtId="170" fontId="128" fillId="0" borderId="32" xfId="2493" applyFont="1" applyFill="1" applyBorder="1" applyAlignment="1">
      <alignment vertical="center"/>
    </xf>
    <xf numFmtId="170" fontId="128" fillId="0" borderId="5" xfId="2263" applyFont="1" applyFill="1" applyBorder="1" applyAlignment="1">
      <alignment vertical="center"/>
    </xf>
    <xf numFmtId="183" fontId="128" fillId="0" borderId="133" xfId="2140" applyNumberFormat="1" applyFont="1" applyFill="1" applyBorder="1" applyAlignment="1">
      <alignment vertical="center"/>
    </xf>
    <xf numFmtId="0" fontId="128" fillId="0" borderId="145" xfId="21951" applyFont="1" applyBorder="1" applyAlignment="1">
      <alignment horizontal="center" vertical="center"/>
    </xf>
    <xf numFmtId="170" fontId="128" fillId="0" borderId="146" xfId="2263" applyFont="1" applyFill="1" applyBorder="1" applyAlignment="1">
      <alignment horizontal="center" vertical="center"/>
    </xf>
    <xf numFmtId="267" fontId="128" fillId="0" borderId="147" xfId="21951" applyNumberFormat="1" applyFont="1" applyBorder="1" applyAlignment="1">
      <alignment horizontal="center" vertical="center"/>
    </xf>
    <xf numFmtId="185" fontId="128" fillId="0" borderId="146" xfId="21951" applyNumberFormat="1" applyFont="1" applyBorder="1" applyAlignment="1">
      <alignment horizontal="center" vertical="center"/>
    </xf>
    <xf numFmtId="0" fontId="128" fillId="0" borderId="145" xfId="21951" applyFont="1" applyBorder="1" applyAlignment="1">
      <alignment vertical="center"/>
    </xf>
    <xf numFmtId="267" fontId="128" fillId="0" borderId="146" xfId="21951" applyNumberFormat="1" applyFont="1" applyBorder="1" applyAlignment="1">
      <alignment horizontal="center" vertical="center"/>
    </xf>
    <xf numFmtId="0" fontId="128" fillId="0" borderId="149" xfId="21951" quotePrefix="1" applyFont="1" applyBorder="1" applyAlignment="1">
      <alignment horizontal="center" vertical="center"/>
    </xf>
    <xf numFmtId="267" fontId="128" fillId="0" borderId="148" xfId="21951" applyNumberFormat="1" applyFont="1" applyBorder="1" applyAlignment="1">
      <alignment horizontal="center" vertical="center"/>
    </xf>
    <xf numFmtId="0" fontId="128" fillId="0" borderId="158" xfId="21951" applyFont="1" applyBorder="1" applyAlignment="1">
      <alignment vertical="center"/>
    </xf>
    <xf numFmtId="0" fontId="128" fillId="0" borderId="159" xfId="21951" applyFont="1" applyBorder="1" applyAlignment="1">
      <alignment vertical="center"/>
    </xf>
    <xf numFmtId="170" fontId="128" fillId="0" borderId="159" xfId="2263" applyFont="1" applyFill="1" applyBorder="1" applyAlignment="1">
      <alignment vertical="center"/>
    </xf>
    <xf numFmtId="267" fontId="128" fillId="0" borderId="160" xfId="2263" applyNumberFormat="1" applyFont="1" applyFill="1" applyBorder="1" applyAlignment="1">
      <alignment horizontal="center" vertical="center"/>
    </xf>
    <xf numFmtId="183" fontId="128" fillId="0" borderId="49" xfId="2140" applyNumberFormat="1" applyFont="1" applyFill="1" applyBorder="1" applyAlignment="1">
      <alignment vertical="center"/>
    </xf>
    <xf numFmtId="0" fontId="128" fillId="0" borderId="107" xfId="21951" quotePrefix="1" applyFont="1" applyBorder="1" applyAlignment="1">
      <alignment horizontal="center" vertical="center"/>
    </xf>
    <xf numFmtId="0" fontId="128" fillId="0" borderId="151" xfId="21951" applyFont="1" applyBorder="1" applyAlignment="1">
      <alignment horizontal="center" vertical="center"/>
    </xf>
    <xf numFmtId="170" fontId="128" fillId="0" borderId="161" xfId="21951" applyNumberFormat="1" applyFont="1" applyBorder="1" applyAlignment="1">
      <alignment vertical="center"/>
    </xf>
    <xf numFmtId="267" fontId="128" fillId="0" borderId="162" xfId="2263" applyNumberFormat="1" applyFont="1" applyFill="1" applyBorder="1" applyAlignment="1">
      <alignment horizontal="center" vertical="center"/>
    </xf>
    <xf numFmtId="0" fontId="128" fillId="0" borderId="47" xfId="21951" quotePrefix="1" applyFont="1" applyBorder="1" applyAlignment="1">
      <alignment horizontal="center" vertical="center"/>
    </xf>
    <xf numFmtId="170" fontId="128" fillId="0" borderId="42" xfId="2263" applyFont="1" applyFill="1" applyBorder="1" applyAlignment="1">
      <alignment vertical="center"/>
    </xf>
    <xf numFmtId="267" fontId="128" fillId="41" borderId="163" xfId="2263" applyNumberFormat="1" applyFont="1" applyFill="1" applyBorder="1" applyAlignment="1">
      <alignment horizontal="center" vertical="center"/>
    </xf>
    <xf numFmtId="170" fontId="128" fillId="0" borderId="145" xfId="2263" applyFont="1" applyFill="1" applyBorder="1" applyAlignment="1">
      <alignment vertical="center"/>
    </xf>
    <xf numFmtId="170" fontId="128" fillId="0" borderId="146" xfId="2263" applyFont="1" applyFill="1" applyBorder="1" applyAlignment="1">
      <alignment vertical="center"/>
    </xf>
    <xf numFmtId="267" fontId="128" fillId="0" borderId="148" xfId="2263" applyNumberFormat="1" applyFont="1" applyFill="1" applyBorder="1" applyAlignment="1">
      <alignment horizontal="center" vertical="center"/>
    </xf>
    <xf numFmtId="170" fontId="21" fillId="0" borderId="0" xfId="21951" applyNumberFormat="1"/>
    <xf numFmtId="185" fontId="128" fillId="0" borderId="39" xfId="2140" applyNumberFormat="1" applyFont="1" applyFill="1" applyBorder="1" applyAlignment="1">
      <alignment horizontal="center" vertical="center"/>
    </xf>
    <xf numFmtId="263" fontId="128" fillId="0" borderId="107" xfId="2263" quotePrefix="1" applyNumberFormat="1" applyFont="1" applyFill="1" applyBorder="1" applyAlignment="1">
      <alignment horizontal="center" vertical="center"/>
    </xf>
    <xf numFmtId="170" fontId="128" fillId="0" borderId="164" xfId="2263" applyFont="1" applyFill="1" applyBorder="1" applyAlignment="1">
      <alignment vertical="center"/>
    </xf>
    <xf numFmtId="170" fontId="128" fillId="0" borderId="92" xfId="2263" applyFont="1" applyFill="1" applyBorder="1" applyAlignment="1">
      <alignment vertical="center"/>
    </xf>
    <xf numFmtId="267" fontId="128" fillId="0" borderId="131" xfId="2263" applyNumberFormat="1" applyFont="1" applyFill="1" applyBorder="1" applyAlignment="1">
      <alignment horizontal="center" vertical="center"/>
    </xf>
    <xf numFmtId="183" fontId="128" fillId="41" borderId="56" xfId="2140" applyNumberFormat="1" applyFont="1" applyFill="1" applyBorder="1" applyAlignment="1">
      <alignment vertical="center"/>
    </xf>
    <xf numFmtId="170" fontId="128" fillId="41" borderId="156" xfId="21951" applyNumberFormat="1" applyFont="1" applyFill="1" applyBorder="1" applyAlignment="1">
      <alignment vertical="center"/>
    </xf>
    <xf numFmtId="183" fontId="128" fillId="0" borderId="107" xfId="2140" applyNumberFormat="1" applyFont="1" applyFill="1" applyBorder="1" applyAlignment="1">
      <alignment vertical="center"/>
    </xf>
    <xf numFmtId="183" fontId="128" fillId="41" borderId="165" xfId="2140" applyNumberFormat="1" applyFont="1" applyFill="1" applyBorder="1" applyAlignment="1">
      <alignment vertical="center"/>
    </xf>
    <xf numFmtId="183" fontId="128" fillId="41" borderId="0" xfId="2140" applyNumberFormat="1" applyFont="1" applyFill="1" applyBorder="1" applyAlignment="1">
      <alignment vertical="center"/>
    </xf>
    <xf numFmtId="183" fontId="128" fillId="41" borderId="134" xfId="2140" applyNumberFormat="1" applyFont="1" applyFill="1" applyBorder="1" applyAlignment="1">
      <alignment vertical="center"/>
    </xf>
    <xf numFmtId="0" fontId="21" fillId="0" borderId="158" xfId="21951" applyBorder="1"/>
    <xf numFmtId="0" fontId="21" fillId="0" borderId="159" xfId="21951" applyBorder="1"/>
    <xf numFmtId="0" fontId="21" fillId="0" borderId="158" xfId="21951" applyBorder="1" applyAlignment="1">
      <alignment vertical="center"/>
    </xf>
    <xf numFmtId="0" fontId="21" fillId="0" borderId="145" xfId="21951" applyBorder="1"/>
    <xf numFmtId="0" fontId="21" fillId="0" borderId="148" xfId="21951" applyBorder="1"/>
    <xf numFmtId="0" fontId="21" fillId="0" borderId="142" xfId="21951" applyBorder="1"/>
    <xf numFmtId="170" fontId="128" fillId="0" borderId="41" xfId="2263" applyFont="1" applyFill="1" applyBorder="1" applyAlignment="1">
      <alignment vertical="center"/>
    </xf>
    <xf numFmtId="170" fontId="128" fillId="0" borderId="41" xfId="2493" applyFont="1" applyFill="1" applyBorder="1" applyAlignment="1">
      <alignment vertical="center"/>
    </xf>
    <xf numFmtId="170" fontId="128" fillId="0" borderId="49" xfId="2493" applyFont="1" applyFill="1" applyBorder="1" applyAlignment="1">
      <alignment vertical="center"/>
    </xf>
    <xf numFmtId="168" fontId="128" fillId="0" borderId="150" xfId="2140" quotePrefix="1" applyFont="1" applyFill="1" applyBorder="1" applyAlignment="1">
      <alignment horizontal="center" vertical="center"/>
    </xf>
    <xf numFmtId="168" fontId="128" fillId="0" borderId="162" xfId="2140" applyFont="1" applyFill="1" applyBorder="1" applyAlignment="1">
      <alignment horizontal="center" vertical="center"/>
    </xf>
    <xf numFmtId="263" fontId="128" fillId="0" borderId="150" xfId="2263" quotePrefix="1" applyNumberFormat="1" applyFont="1" applyFill="1" applyBorder="1" applyAlignment="1">
      <alignment horizontal="center" vertical="center"/>
    </xf>
    <xf numFmtId="267" fontId="128" fillId="0" borderId="41" xfId="21951" applyNumberFormat="1" applyFont="1" applyBorder="1" applyAlignment="1">
      <alignment horizontal="center" vertical="center"/>
    </xf>
    <xf numFmtId="170" fontId="128" fillId="0" borderId="41" xfId="21951" applyNumberFormat="1" applyFont="1" applyBorder="1" applyAlignment="1">
      <alignment horizontal="center" vertical="center"/>
    </xf>
    <xf numFmtId="170" fontId="128" fillId="0" borderId="162" xfId="2493" applyFont="1" applyFill="1" applyBorder="1" applyAlignment="1">
      <alignment vertical="center"/>
    </xf>
    <xf numFmtId="170" fontId="128" fillId="0" borderId="150" xfId="21951" applyNumberFormat="1" applyFont="1" applyBorder="1" applyAlignment="1">
      <alignment vertical="center"/>
    </xf>
    <xf numFmtId="170" fontId="128" fillId="0" borderId="162" xfId="21951" applyNumberFormat="1" applyFont="1" applyBorder="1" applyAlignment="1">
      <alignment vertical="center"/>
    </xf>
    <xf numFmtId="170" fontId="128" fillId="0" borderId="132" xfId="2263" applyFont="1" applyFill="1" applyBorder="1" applyAlignment="1">
      <alignment vertical="center"/>
    </xf>
    <xf numFmtId="170" fontId="128" fillId="0" borderId="129" xfId="2263" applyFont="1" applyFill="1" applyBorder="1" applyAlignment="1">
      <alignment vertical="center"/>
    </xf>
    <xf numFmtId="0" fontId="23" fillId="0" borderId="0" xfId="21951" applyFont="1"/>
    <xf numFmtId="0" fontId="21" fillId="0" borderId="0" xfId="21951" applyAlignment="1">
      <alignment vertical="center"/>
    </xf>
    <xf numFmtId="170" fontId="110" fillId="0" borderId="0" xfId="115" applyFont="1"/>
    <xf numFmtId="183" fontId="128" fillId="41" borderId="49" xfId="2140" applyNumberFormat="1" applyFont="1" applyFill="1" applyBorder="1" applyAlignment="1">
      <alignment vertical="center"/>
    </xf>
    <xf numFmtId="170" fontId="128" fillId="41" borderId="134" xfId="21951" applyNumberFormat="1" applyFont="1" applyFill="1" applyBorder="1" applyAlignment="1">
      <alignment vertical="center"/>
    </xf>
    <xf numFmtId="267" fontId="128" fillId="41" borderId="131" xfId="2263" applyNumberFormat="1" applyFont="1" applyFill="1" applyBorder="1" applyAlignment="1">
      <alignment horizontal="center" vertical="center"/>
    </xf>
    <xf numFmtId="183" fontId="128" fillId="0" borderId="56" xfId="2140" applyNumberFormat="1" applyFont="1" applyFill="1" applyBorder="1" applyAlignment="1">
      <alignment vertical="center"/>
    </xf>
    <xf numFmtId="1" fontId="110" fillId="0" borderId="46" xfId="1204" applyNumberFormat="1" applyBorder="1" applyAlignment="1">
      <alignment horizontal="center"/>
    </xf>
    <xf numFmtId="0" fontId="197" fillId="0" borderId="0" xfId="0" applyFont="1"/>
    <xf numFmtId="183" fontId="197" fillId="0" borderId="0" xfId="180" applyNumberFormat="1" applyFont="1" applyFill="1" applyBorder="1"/>
    <xf numFmtId="170" fontId="197" fillId="0" borderId="0" xfId="115" applyFont="1" applyFill="1"/>
    <xf numFmtId="0" fontId="201" fillId="0" borderId="16" xfId="0" applyFont="1" applyBorder="1" applyAlignment="1">
      <alignment horizontal="center" vertical="center"/>
    </xf>
    <xf numFmtId="0" fontId="201" fillId="0" borderId="36" xfId="0" applyFont="1" applyBorder="1" applyAlignment="1">
      <alignment horizontal="center" vertical="center" wrapText="1"/>
    </xf>
    <xf numFmtId="0" fontId="201" fillId="0" borderId="38" xfId="0" applyFont="1" applyBorder="1" applyAlignment="1">
      <alignment horizontal="center" vertical="top"/>
    </xf>
    <xf numFmtId="0" fontId="201" fillId="0" borderId="59" xfId="0" applyFont="1" applyBorder="1" applyAlignment="1">
      <alignment vertical="top" wrapText="1"/>
    </xf>
    <xf numFmtId="0" fontId="197" fillId="0" borderId="38" xfId="0" applyFont="1" applyBorder="1" applyAlignment="1">
      <alignment vertical="top"/>
    </xf>
    <xf numFmtId="0" fontId="197" fillId="0" borderId="39" xfId="0" applyFont="1" applyBorder="1" applyAlignment="1">
      <alignment horizontal="center" vertical="top"/>
    </xf>
    <xf numFmtId="0" fontId="197" fillId="0" borderId="46" xfId="0" applyFont="1" applyBorder="1" applyAlignment="1">
      <alignment vertical="top" wrapText="1"/>
    </xf>
    <xf numFmtId="170" fontId="197" fillId="0" borderId="39" xfId="0" applyNumberFormat="1" applyFont="1" applyBorder="1" applyAlignment="1">
      <alignment vertical="top"/>
    </xf>
    <xf numFmtId="183" fontId="197" fillId="0" borderId="0" xfId="180" applyNumberFormat="1" applyFont="1" applyFill="1" applyBorder="1" applyAlignment="1">
      <alignment vertical="top"/>
    </xf>
    <xf numFmtId="170" fontId="197" fillId="0" borderId="0" xfId="0" applyNumberFormat="1" applyFont="1"/>
    <xf numFmtId="0" fontId="197" fillId="0" borderId="39" xfId="0" applyFont="1" applyBorder="1" applyAlignment="1">
      <alignment vertical="top"/>
    </xf>
    <xf numFmtId="0" fontId="201" fillId="0" borderId="39" xfId="0" applyFont="1" applyBorder="1" applyAlignment="1">
      <alignment horizontal="center" vertical="top"/>
    </xf>
    <xf numFmtId="0" fontId="201" fillId="0" borderId="46" xfId="0" applyFont="1" applyBorder="1" applyAlignment="1">
      <alignment vertical="top" wrapText="1"/>
    </xf>
    <xf numFmtId="0" fontId="197" fillId="0" borderId="46" xfId="0" applyFont="1" applyBorder="1" applyAlignment="1">
      <alignment vertical="top"/>
    </xf>
    <xf numFmtId="170" fontId="197" fillId="0" borderId="0" xfId="0" applyNumberFormat="1" applyFont="1" applyProtection="1">
      <protection hidden="1"/>
    </xf>
    <xf numFmtId="0" fontId="197" fillId="0" borderId="40" xfId="0" applyFont="1" applyBorder="1" applyAlignment="1">
      <alignment horizontal="center" vertical="top"/>
    </xf>
    <xf numFmtId="0" fontId="197" fillId="0" borderId="53" xfId="0" applyFont="1" applyBorder="1" applyAlignment="1">
      <alignment vertical="top" wrapText="1"/>
    </xf>
    <xf numFmtId="170" fontId="197" fillId="0" borderId="40" xfId="0" applyNumberFormat="1" applyFont="1" applyBorder="1" applyAlignment="1">
      <alignment vertical="top"/>
    </xf>
    <xf numFmtId="0" fontId="197" fillId="0" borderId="41" xfId="0" applyFont="1" applyBorder="1" applyAlignment="1">
      <alignment horizontal="center" vertical="top"/>
    </xf>
    <xf numFmtId="0" fontId="197" fillId="0" borderId="50" xfId="0" applyFont="1" applyBorder="1" applyAlignment="1">
      <alignment vertical="top" wrapText="1"/>
    </xf>
    <xf numFmtId="170" fontId="197" fillId="0" borderId="41" xfId="0" applyNumberFormat="1" applyFont="1" applyBorder="1" applyAlignment="1">
      <alignment vertical="top"/>
    </xf>
    <xf numFmtId="0" fontId="201" fillId="0" borderId="39" xfId="0" applyFont="1" applyBorder="1" applyAlignment="1">
      <alignment horizontal="center"/>
    </xf>
    <xf numFmtId="0" fontId="201" fillId="0" borderId="46" xfId="0" applyFont="1" applyBorder="1" applyAlignment="1">
      <alignment wrapText="1"/>
    </xf>
    <xf numFmtId="170" fontId="201" fillId="0" borderId="0" xfId="115" applyFont="1" applyFill="1"/>
    <xf numFmtId="0" fontId="201" fillId="0" borderId="39" xfId="0" applyFont="1" applyBorder="1" applyAlignment="1">
      <alignment vertical="top" wrapText="1"/>
    </xf>
    <xf numFmtId="0" fontId="197" fillId="0" borderId="42" xfId="0" applyFont="1" applyBorder="1" applyAlignment="1">
      <alignment horizontal="left" vertical="top" wrapText="1"/>
    </xf>
    <xf numFmtId="0" fontId="197" fillId="0" borderId="42" xfId="0" applyFont="1" applyBorder="1" applyAlignment="1">
      <alignment horizontal="left" vertical="top"/>
    </xf>
    <xf numFmtId="0" fontId="197" fillId="0" borderId="40" xfId="0" applyFont="1" applyBorder="1" applyAlignment="1">
      <alignment vertical="top"/>
    </xf>
    <xf numFmtId="0" fontId="201" fillId="0" borderId="41" xfId="0" applyFont="1" applyBorder="1" applyAlignment="1">
      <alignment horizontal="center" vertical="top"/>
    </xf>
    <xf numFmtId="0" fontId="201" fillId="0" borderId="50" xfId="0" applyFont="1" applyBorder="1" applyAlignment="1">
      <alignment vertical="top" wrapText="1"/>
    </xf>
    <xf numFmtId="0" fontId="197" fillId="0" borderId="41" xfId="0" applyFont="1" applyBorder="1" applyAlignment="1">
      <alignment vertical="top"/>
    </xf>
    <xf numFmtId="0" fontId="197" fillId="0" borderId="46" xfId="0" applyFont="1" applyBorder="1" applyAlignment="1">
      <alignment vertical="center" wrapText="1"/>
    </xf>
    <xf numFmtId="0" fontId="197" fillId="0" borderId="46" xfId="0" applyFont="1" applyBorder="1" applyAlignment="1">
      <alignment horizontal="left" vertical="top"/>
    </xf>
    <xf numFmtId="183" fontId="201" fillId="0" borderId="0" xfId="180" applyNumberFormat="1" applyFont="1" applyFill="1" applyBorder="1" applyAlignment="1">
      <alignment vertical="top"/>
    </xf>
    <xf numFmtId="0" fontId="197" fillId="0" borderId="42" xfId="0" applyFont="1" applyBorder="1" applyAlignment="1">
      <alignment vertical="top" wrapText="1"/>
    </xf>
    <xf numFmtId="0" fontId="197" fillId="0" borderId="42" xfId="0" applyFont="1" applyBorder="1" applyAlignment="1">
      <alignment vertical="top"/>
    </xf>
    <xf numFmtId="0" fontId="201" fillId="0" borderId="42" xfId="0" applyFont="1" applyBorder="1" applyAlignment="1">
      <alignment vertical="top" wrapText="1"/>
    </xf>
    <xf numFmtId="170" fontId="201" fillId="0" borderId="39" xfId="0" applyNumberFormat="1" applyFont="1" applyBorder="1" applyAlignment="1">
      <alignment vertical="top"/>
    </xf>
    <xf numFmtId="0" fontId="201" fillId="0" borderId="0" xfId="0" applyFont="1"/>
    <xf numFmtId="0" fontId="197" fillId="0" borderId="52" xfId="0" applyFont="1" applyBorder="1" applyAlignment="1">
      <alignment vertical="top" wrapText="1"/>
    </xf>
    <xf numFmtId="0" fontId="201" fillId="0" borderId="49" xfId="0" applyFont="1" applyBorder="1" applyAlignment="1">
      <alignment vertical="top" wrapText="1"/>
    </xf>
    <xf numFmtId="170" fontId="201" fillId="0" borderId="41" xfId="0" applyNumberFormat="1" applyFont="1" applyBorder="1" applyAlignment="1">
      <alignment vertical="top"/>
    </xf>
    <xf numFmtId="0" fontId="201" fillId="0" borderId="42" xfId="0" applyFont="1" applyBorder="1" applyAlignment="1">
      <alignment horizontal="center" vertical="top"/>
    </xf>
    <xf numFmtId="0" fontId="201" fillId="0" borderId="42" xfId="0" applyFont="1" applyBorder="1" applyAlignment="1">
      <alignment horizontal="left" vertical="center" wrapText="1"/>
    </xf>
    <xf numFmtId="0" fontId="201" fillId="0" borderId="39" xfId="0" applyFont="1" applyBorder="1" applyAlignment="1">
      <alignment horizontal="center" vertical="center"/>
    </xf>
    <xf numFmtId="0" fontId="197" fillId="0" borderId="42" xfId="0" applyFont="1" applyBorder="1" applyAlignment="1">
      <alignment horizontal="center" vertical="top"/>
    </xf>
    <xf numFmtId="170" fontId="197" fillId="0" borderId="39" xfId="180" applyNumberFormat="1" applyFont="1" applyFill="1" applyBorder="1" applyAlignment="1">
      <alignment vertical="top"/>
    </xf>
    <xf numFmtId="170" fontId="201" fillId="0" borderId="39" xfId="180" applyNumberFormat="1" applyFont="1" applyFill="1" applyBorder="1" applyAlignment="1">
      <alignment vertical="top"/>
    </xf>
    <xf numFmtId="183" fontId="201" fillId="0" borderId="0" xfId="180" applyNumberFormat="1" applyFont="1" applyFill="1" applyBorder="1"/>
    <xf numFmtId="170" fontId="201" fillId="0" borderId="0" xfId="0" applyNumberFormat="1" applyFont="1"/>
    <xf numFmtId="0" fontId="197" fillId="0" borderId="56" xfId="0" applyFont="1" applyBorder="1" applyAlignment="1">
      <alignment horizontal="center" vertical="top"/>
    </xf>
    <xf numFmtId="0" fontId="197" fillId="0" borderId="56" xfId="0" applyFont="1" applyBorder="1" applyAlignment="1">
      <alignment vertical="top" wrapText="1"/>
    </xf>
    <xf numFmtId="170" fontId="197" fillId="0" borderId="55" xfId="180" applyNumberFormat="1" applyFont="1" applyFill="1" applyBorder="1" applyAlignment="1">
      <alignment vertical="top"/>
    </xf>
    <xf numFmtId="170" fontId="197" fillId="0" borderId="42" xfId="0" applyNumberFormat="1" applyFont="1" applyBorder="1" applyAlignment="1">
      <alignment vertical="top" wrapText="1"/>
    </xf>
    <xf numFmtId="0" fontId="197" fillId="0" borderId="55" xfId="0" applyFont="1" applyBorder="1" applyAlignment="1">
      <alignment horizontal="center" vertical="top"/>
    </xf>
    <xf numFmtId="170" fontId="197" fillId="0" borderId="56" xfId="0" applyNumberFormat="1" applyFont="1" applyBorder="1" applyAlignment="1">
      <alignment vertical="top" wrapText="1"/>
    </xf>
    <xf numFmtId="0" fontId="197" fillId="0" borderId="0" xfId="0" applyFont="1" applyAlignment="1">
      <alignment horizontal="center" vertical="top"/>
    </xf>
    <xf numFmtId="0" fontId="197" fillId="0" borderId="0" xfId="0" applyFont="1" applyAlignment="1">
      <alignment horizontal="center" vertical="top" wrapText="1"/>
    </xf>
    <xf numFmtId="0" fontId="197" fillId="0" borderId="0" xfId="0" applyFont="1" applyAlignment="1">
      <alignment vertical="top"/>
    </xf>
    <xf numFmtId="0" fontId="197" fillId="0" borderId="0" xfId="0" applyFont="1" applyAlignment="1">
      <alignment vertical="top" wrapText="1"/>
    </xf>
    <xf numFmtId="0" fontId="205" fillId="0" borderId="0" xfId="1204" applyFont="1" applyAlignment="1">
      <alignment vertical="center"/>
    </xf>
    <xf numFmtId="0" fontId="206" fillId="0" borderId="0" xfId="1204" applyFont="1" applyAlignment="1">
      <alignment vertical="center"/>
    </xf>
    <xf numFmtId="0" fontId="200" fillId="0" borderId="0" xfId="0" applyFont="1" applyProtection="1">
      <protection hidden="1"/>
    </xf>
    <xf numFmtId="0" fontId="202" fillId="0" borderId="0" xfId="0" applyFont="1" applyAlignment="1" applyProtection="1">
      <alignment horizontal="center"/>
      <protection hidden="1"/>
    </xf>
    <xf numFmtId="0" fontId="202" fillId="0" borderId="0" xfId="0" applyFont="1" applyProtection="1">
      <protection hidden="1"/>
    </xf>
    <xf numFmtId="0" fontId="202" fillId="0" borderId="61" xfId="0" applyFont="1" applyBorder="1" applyAlignment="1" applyProtection="1">
      <alignment horizontal="center" vertical="center" wrapText="1"/>
      <protection hidden="1"/>
    </xf>
    <xf numFmtId="224" fontId="202" fillId="0" borderId="61" xfId="180" applyNumberFormat="1" applyFont="1" applyFill="1" applyBorder="1" applyAlignment="1" applyProtection="1">
      <alignment horizontal="center" vertical="center" wrapText="1"/>
      <protection hidden="1"/>
    </xf>
    <xf numFmtId="0" fontId="200" fillId="0" borderId="0" xfId="0" applyFont="1" applyAlignment="1" applyProtection="1">
      <alignment horizontal="center"/>
      <protection hidden="1"/>
    </xf>
    <xf numFmtId="0" fontId="202" fillId="0" borderId="61" xfId="0" applyFont="1" applyBorder="1" applyAlignment="1" applyProtection="1">
      <alignment horizontal="center" vertical="top"/>
      <protection hidden="1"/>
    </xf>
    <xf numFmtId="0" fontId="200" fillId="0" borderId="61" xfId="0" applyFont="1" applyBorder="1" applyAlignment="1" applyProtection="1">
      <alignment horizontal="center" vertical="top"/>
      <protection hidden="1"/>
    </xf>
    <xf numFmtId="224" fontId="200" fillId="0" borderId="61" xfId="180" applyNumberFormat="1" applyFont="1" applyFill="1" applyBorder="1" applyAlignment="1" applyProtection="1">
      <alignment horizontal="center" vertical="top"/>
      <protection hidden="1"/>
    </xf>
    <xf numFmtId="183" fontId="200" fillId="0" borderId="61" xfId="180" applyNumberFormat="1" applyFont="1" applyFill="1" applyBorder="1" applyAlignment="1" applyProtection="1">
      <alignment vertical="top"/>
      <protection hidden="1"/>
    </xf>
    <xf numFmtId="170" fontId="200" fillId="0" borderId="61" xfId="115" applyFont="1" applyFill="1" applyBorder="1" applyAlignment="1" applyProtection="1">
      <alignment horizontal="left" vertical="top"/>
      <protection hidden="1"/>
    </xf>
    <xf numFmtId="170" fontId="202" fillId="0" borderId="61" xfId="115" applyFont="1" applyFill="1" applyBorder="1" applyAlignment="1" applyProtection="1">
      <alignment horizontal="left" vertical="top"/>
      <protection hidden="1"/>
    </xf>
    <xf numFmtId="170" fontId="202" fillId="0" borderId="61" xfId="115" applyFont="1" applyFill="1" applyBorder="1" applyAlignment="1" applyProtection="1">
      <alignment horizontal="right" vertical="top"/>
      <protection hidden="1"/>
    </xf>
    <xf numFmtId="0" fontId="200" fillId="0" borderId="0" xfId="0" applyFont="1" applyAlignment="1" applyProtection="1">
      <alignment horizontal="center" vertical="center"/>
      <protection hidden="1"/>
    </xf>
    <xf numFmtId="0" fontId="202" fillId="0" borderId="0" xfId="0" applyFont="1" applyAlignment="1" applyProtection="1">
      <alignment horizontal="center" vertical="top"/>
      <protection hidden="1"/>
    </xf>
    <xf numFmtId="0" fontId="202" fillId="0" borderId="0" xfId="0" applyFont="1" applyAlignment="1" applyProtection="1">
      <alignment horizontal="left" vertical="top"/>
      <protection hidden="1"/>
    </xf>
    <xf numFmtId="170" fontId="200" fillId="0" borderId="0" xfId="115" applyFont="1" applyFill="1" applyBorder="1" applyAlignment="1" applyProtection="1">
      <alignment horizontal="left" vertical="top"/>
      <protection hidden="1"/>
    </xf>
    <xf numFmtId="0" fontId="200" fillId="0" borderId="67" xfId="0" applyFont="1" applyBorder="1" applyAlignment="1" applyProtection="1">
      <alignment horizontal="center" vertical="top"/>
      <protection hidden="1"/>
    </xf>
    <xf numFmtId="0" fontId="200" fillId="0" borderId="64" xfId="0" applyFont="1" applyBorder="1" applyAlignment="1" applyProtection="1">
      <alignment horizontal="center" vertical="top"/>
      <protection hidden="1"/>
    </xf>
    <xf numFmtId="0" fontId="200" fillId="0" borderId="0" xfId="0" applyFont="1" applyAlignment="1" applyProtection="1">
      <alignment horizontal="center" vertical="top"/>
      <protection hidden="1"/>
    </xf>
    <xf numFmtId="224" fontId="200" fillId="0" borderId="0" xfId="180" applyNumberFormat="1" applyFont="1" applyFill="1" applyBorder="1" applyAlignment="1" applyProtection="1">
      <alignment horizontal="center" vertical="top"/>
      <protection hidden="1"/>
    </xf>
    <xf numFmtId="183" fontId="200" fillId="0" borderId="0" xfId="180" applyNumberFormat="1" applyFont="1" applyFill="1" applyBorder="1" applyAlignment="1" applyProtection="1">
      <alignment vertical="top"/>
      <protection hidden="1"/>
    </xf>
    <xf numFmtId="170" fontId="200" fillId="0" borderId="61" xfId="115" applyFont="1" applyFill="1" applyBorder="1" applyAlignment="1" applyProtection="1">
      <alignment horizontal="right" vertical="top"/>
      <protection hidden="1"/>
    </xf>
    <xf numFmtId="170" fontId="202" fillId="0" borderId="0" xfId="0" applyNumberFormat="1" applyFont="1" applyProtection="1">
      <protection hidden="1"/>
    </xf>
    <xf numFmtId="170" fontId="202" fillId="0" borderId="67" xfId="115" applyFont="1" applyFill="1" applyBorder="1" applyAlignment="1" applyProtection="1">
      <alignment horizontal="right" vertical="top"/>
      <protection hidden="1"/>
    </xf>
    <xf numFmtId="0" fontId="202" fillId="0" borderId="65" xfId="0" applyFont="1" applyBorder="1" applyAlignment="1" applyProtection="1">
      <alignment horizontal="left" vertical="top"/>
      <protection hidden="1"/>
    </xf>
    <xf numFmtId="0" fontId="200" fillId="0" borderId="65" xfId="0" applyFont="1" applyBorder="1" applyAlignment="1" applyProtection="1">
      <alignment horizontal="left" vertical="top"/>
      <protection hidden="1"/>
    </xf>
    <xf numFmtId="0" fontId="200" fillId="0" borderId="77" xfId="0" applyFont="1" applyBorder="1" applyAlignment="1" applyProtection="1">
      <alignment horizontal="left" vertical="top"/>
      <protection hidden="1"/>
    </xf>
    <xf numFmtId="170" fontId="202" fillId="0" borderId="61" xfId="115" applyFont="1" applyFill="1" applyBorder="1" applyAlignment="1" applyProtection="1">
      <alignment horizontal="right"/>
      <protection hidden="1"/>
    </xf>
    <xf numFmtId="0" fontId="200" fillId="0" borderId="16" xfId="0" applyFont="1" applyBorder="1" applyAlignment="1" applyProtection="1">
      <alignment horizontal="center" vertical="top"/>
      <protection hidden="1"/>
    </xf>
    <xf numFmtId="170" fontId="202" fillId="0" borderId="72" xfId="115" applyFont="1" applyFill="1" applyBorder="1" applyAlignment="1" applyProtection="1">
      <alignment horizontal="right" vertical="top"/>
      <protection hidden="1"/>
    </xf>
    <xf numFmtId="170" fontId="202" fillId="0" borderId="0" xfId="115" applyFont="1" applyFill="1" applyBorder="1" applyAlignment="1" applyProtection="1">
      <alignment horizontal="right" vertical="top"/>
      <protection hidden="1"/>
    </xf>
    <xf numFmtId="170" fontId="200" fillId="0" borderId="0" xfId="115" applyFont="1" applyFill="1" applyBorder="1" applyAlignment="1" applyProtection="1">
      <alignment horizontal="right" vertical="top"/>
      <protection hidden="1"/>
    </xf>
    <xf numFmtId="0" fontId="202" fillId="0" borderId="0" xfId="0" applyFont="1" applyAlignment="1" applyProtection="1">
      <alignment vertical="top"/>
      <protection hidden="1"/>
    </xf>
    <xf numFmtId="0" fontId="200" fillId="0" borderId="0" xfId="0" applyFont="1" applyAlignment="1" applyProtection="1">
      <alignment vertical="center"/>
      <protection hidden="1"/>
    </xf>
    <xf numFmtId="170" fontId="202" fillId="0" borderId="69" xfId="115" applyFont="1" applyFill="1" applyBorder="1" applyAlignment="1" applyProtection="1">
      <alignment horizontal="right" vertical="top"/>
      <protection hidden="1"/>
    </xf>
    <xf numFmtId="0" fontId="202" fillId="0" borderId="0" xfId="1012" applyFont="1" applyProtection="1">
      <protection hidden="1"/>
    </xf>
    <xf numFmtId="0" fontId="200" fillId="0" borderId="0" xfId="1012" applyFont="1" applyProtection="1">
      <protection hidden="1"/>
    </xf>
    <xf numFmtId="0" fontId="200" fillId="0" borderId="0" xfId="1012" applyFont="1" applyAlignment="1" applyProtection="1">
      <alignment horizontal="center" vertical="center"/>
      <protection hidden="1"/>
    </xf>
    <xf numFmtId="170" fontId="202" fillId="0" borderId="61" xfId="548" applyFont="1" applyFill="1" applyBorder="1" applyAlignment="1" applyProtection="1">
      <alignment horizontal="right" vertical="top"/>
      <protection hidden="1"/>
    </xf>
    <xf numFmtId="170" fontId="200" fillId="0" borderId="0" xfId="548" applyFont="1" applyFill="1" applyBorder="1" applyAlignment="1" applyProtection="1">
      <alignment horizontal="right" vertical="top"/>
      <protection hidden="1"/>
    </xf>
    <xf numFmtId="0" fontId="205" fillId="0" borderId="0" xfId="1012" applyFont="1" applyProtection="1">
      <protection hidden="1"/>
    </xf>
    <xf numFmtId="170" fontId="200" fillId="0" borderId="0" xfId="115" applyFont="1" applyFill="1" applyBorder="1" applyAlignment="1" applyProtection="1">
      <alignment horizontal="center" vertical="center"/>
      <protection hidden="1"/>
    </xf>
    <xf numFmtId="0" fontId="206" fillId="0" borderId="16" xfId="1204" applyFont="1" applyBorder="1" applyAlignment="1">
      <alignment horizontal="center" vertical="center" wrapText="1"/>
    </xf>
    <xf numFmtId="224" fontId="206" fillId="0" borderId="16" xfId="2138" applyNumberFormat="1" applyFont="1" applyFill="1" applyBorder="1" applyAlignment="1">
      <alignment horizontal="center" vertical="center" wrapText="1"/>
    </xf>
    <xf numFmtId="222" fontId="206" fillId="0" borderId="16" xfId="1204" applyNumberFormat="1" applyFont="1" applyBorder="1" applyAlignment="1">
      <alignment vertical="center" wrapText="1"/>
    </xf>
    <xf numFmtId="0" fontId="205" fillId="0" borderId="16" xfId="1204" applyFont="1" applyBorder="1" applyAlignment="1">
      <alignment horizontal="center" vertical="center"/>
    </xf>
    <xf numFmtId="224" fontId="205" fillId="0" borderId="16" xfId="2138" applyNumberFormat="1" applyFont="1" applyFill="1" applyBorder="1" applyAlignment="1">
      <alignment horizontal="center" vertical="center"/>
    </xf>
    <xf numFmtId="222" fontId="205" fillId="0" borderId="16" xfId="1204" applyNumberFormat="1" applyFont="1" applyBorder="1" applyAlignment="1">
      <alignment vertical="center"/>
    </xf>
    <xf numFmtId="0" fontId="205" fillId="0" borderId="93" xfId="1204" applyFont="1" applyBorder="1" applyAlignment="1">
      <alignment horizontal="center" vertical="center"/>
    </xf>
    <xf numFmtId="222" fontId="205" fillId="0" borderId="167" xfId="1204" applyNumberFormat="1" applyFont="1" applyBorder="1" applyAlignment="1">
      <alignment vertical="center"/>
    </xf>
    <xf numFmtId="0" fontId="205" fillId="0" borderId="93" xfId="1204" applyFont="1" applyBorder="1" applyAlignment="1">
      <alignment vertical="center"/>
    </xf>
    <xf numFmtId="0" fontId="205" fillId="0" borderId="167" xfId="1204" applyFont="1" applyBorder="1" applyAlignment="1">
      <alignment horizontal="center" vertical="center"/>
    </xf>
    <xf numFmtId="9" fontId="206" fillId="0" borderId="93" xfId="1204" applyNumberFormat="1" applyFont="1" applyBorder="1" applyAlignment="1">
      <alignment horizontal="center" vertical="center"/>
    </xf>
    <xf numFmtId="0" fontId="206" fillId="0" borderId="37" xfId="1204" applyFont="1" applyBorder="1" applyAlignment="1">
      <alignment vertical="center"/>
    </xf>
    <xf numFmtId="0" fontId="198" fillId="0" borderId="0" xfId="838" applyFont="1" applyAlignment="1" applyProtection="1">
      <alignment vertical="center"/>
      <protection hidden="1"/>
    </xf>
    <xf numFmtId="0" fontId="198" fillId="0" borderId="0" xfId="838" applyFont="1" applyAlignment="1" applyProtection="1">
      <alignment horizontal="left" vertical="center"/>
      <protection hidden="1"/>
    </xf>
    <xf numFmtId="0" fontId="198" fillId="0" borderId="0" xfId="838" applyFont="1" applyAlignment="1" applyProtection="1">
      <alignment horizontal="center" vertical="center"/>
      <protection hidden="1"/>
    </xf>
    <xf numFmtId="183" fontId="197" fillId="0" borderId="0" xfId="198" applyNumberFormat="1" applyFont="1" applyFill="1" applyAlignment="1" applyProtection="1">
      <alignment horizontal="left" vertical="center"/>
      <protection hidden="1"/>
    </xf>
    <xf numFmtId="0" fontId="203" fillId="0" borderId="0" xfId="838" applyFont="1" applyAlignment="1" applyProtection="1">
      <alignment vertical="center"/>
      <protection hidden="1"/>
    </xf>
    <xf numFmtId="0" fontId="197" fillId="0" borderId="39" xfId="838" applyFont="1" applyBorder="1" applyAlignment="1" applyProtection="1">
      <alignment horizontal="center" vertical="center"/>
      <protection hidden="1"/>
    </xf>
    <xf numFmtId="0" fontId="198" fillId="0" borderId="42" xfId="838" applyFont="1" applyBorder="1" applyAlignment="1" applyProtection="1">
      <alignment vertical="center"/>
      <protection hidden="1"/>
    </xf>
    <xf numFmtId="0" fontId="198" fillId="0" borderId="46" xfId="838" applyFont="1" applyBorder="1" applyAlignment="1" applyProtection="1">
      <alignment vertical="center"/>
      <protection hidden="1"/>
    </xf>
    <xf numFmtId="0" fontId="198" fillId="0" borderId="39" xfId="838" applyFont="1" applyBorder="1" applyAlignment="1" applyProtection="1">
      <alignment horizontal="center" vertical="center"/>
      <protection hidden="1"/>
    </xf>
    <xf numFmtId="183" fontId="197" fillId="0" borderId="39" xfId="198" applyNumberFormat="1" applyFont="1" applyFill="1" applyBorder="1" applyAlignment="1" applyProtection="1">
      <alignment vertical="center"/>
      <protection hidden="1"/>
    </xf>
    <xf numFmtId="183" fontId="198" fillId="0" borderId="0" xfId="198" applyNumberFormat="1" applyFont="1" applyFill="1" applyAlignment="1" applyProtection="1">
      <alignment vertical="center"/>
      <protection hidden="1"/>
    </xf>
    <xf numFmtId="183" fontId="197" fillId="0" borderId="0" xfId="198" applyNumberFormat="1" applyFont="1" applyFill="1" applyAlignment="1" applyProtection="1">
      <alignment vertical="center"/>
      <protection hidden="1"/>
    </xf>
    <xf numFmtId="0" fontId="197" fillId="0" borderId="41" xfId="838" applyFont="1" applyBorder="1" applyAlignment="1" applyProtection="1">
      <alignment horizontal="center" vertical="center"/>
      <protection hidden="1"/>
    </xf>
    <xf numFmtId="0" fontId="198" fillId="0" borderId="49" xfId="838" applyFont="1" applyBorder="1" applyAlignment="1" applyProtection="1">
      <alignment vertical="center"/>
      <protection hidden="1"/>
    </xf>
    <xf numFmtId="0" fontId="198" fillId="0" borderId="50" xfId="838" applyFont="1" applyBorder="1" applyAlignment="1" applyProtection="1">
      <alignment vertical="center"/>
      <protection hidden="1"/>
    </xf>
    <xf numFmtId="0" fontId="198" fillId="0" borderId="51" xfId="838" applyFont="1" applyBorder="1" applyAlignment="1" applyProtection="1">
      <alignment horizontal="center" vertical="center"/>
      <protection hidden="1"/>
    </xf>
    <xf numFmtId="0" fontId="198" fillId="0" borderId="41" xfId="838" applyFont="1" applyBorder="1" applyAlignment="1" applyProtection="1">
      <alignment horizontal="center" vertical="center"/>
      <protection hidden="1"/>
    </xf>
    <xf numFmtId="183" fontId="197" fillId="0" borderId="41" xfId="198" applyNumberFormat="1" applyFont="1" applyFill="1" applyBorder="1" applyAlignment="1" applyProtection="1">
      <alignment horizontal="right" vertical="center"/>
      <protection hidden="1"/>
    </xf>
    <xf numFmtId="0" fontId="211" fillId="0" borderId="42" xfId="838" applyFont="1" applyBorder="1" applyAlignment="1" applyProtection="1">
      <alignment vertical="center"/>
      <protection hidden="1"/>
    </xf>
    <xf numFmtId="0" fontId="211" fillId="0" borderId="46" xfId="838" applyFont="1" applyBorder="1" applyAlignment="1" applyProtection="1">
      <alignment vertical="center"/>
      <protection hidden="1"/>
    </xf>
    <xf numFmtId="0" fontId="198" fillId="0" borderId="47" xfId="838" applyFont="1" applyBorder="1" applyAlignment="1" applyProtection="1">
      <alignment horizontal="center" vertical="center"/>
      <protection hidden="1"/>
    </xf>
    <xf numFmtId="183" fontId="197" fillId="0" borderId="39" xfId="198" applyNumberFormat="1" applyFont="1" applyFill="1" applyBorder="1" applyAlignment="1" applyProtection="1">
      <alignment horizontal="right" vertical="center"/>
      <protection hidden="1"/>
    </xf>
    <xf numFmtId="0" fontId="201" fillId="0" borderId="39" xfId="838" applyFont="1" applyBorder="1" applyAlignment="1" applyProtection="1">
      <alignment horizontal="center" vertical="center"/>
      <protection hidden="1"/>
    </xf>
    <xf numFmtId="0" fontId="198" fillId="0" borderId="42" xfId="847" applyFont="1" applyBorder="1" applyAlignment="1" applyProtection="1">
      <alignment vertical="center"/>
      <protection hidden="1"/>
    </xf>
    <xf numFmtId="0" fontId="198" fillId="0" borderId="46" xfId="847" applyFont="1" applyBorder="1" applyAlignment="1" applyProtection="1">
      <alignment vertical="center"/>
      <protection hidden="1"/>
    </xf>
    <xf numFmtId="0" fontId="198" fillId="0" borderId="47" xfId="847" applyFont="1" applyBorder="1" applyAlignment="1" applyProtection="1">
      <alignment horizontal="center" vertical="center"/>
      <protection hidden="1"/>
    </xf>
    <xf numFmtId="0" fontId="198" fillId="0" borderId="39" xfId="847" applyFont="1" applyBorder="1" applyAlignment="1" applyProtection="1">
      <alignment horizontal="center" vertical="center"/>
      <protection hidden="1"/>
    </xf>
    <xf numFmtId="0" fontId="197" fillId="0" borderId="39" xfId="847" applyFont="1" applyBorder="1" applyAlignment="1" applyProtection="1">
      <alignment horizontal="center" vertical="center"/>
      <protection hidden="1"/>
    </xf>
    <xf numFmtId="0" fontId="198" fillId="0" borderId="0" xfId="847" applyFont="1" applyAlignment="1" applyProtection="1">
      <alignment vertical="center"/>
      <protection hidden="1"/>
    </xf>
    <xf numFmtId="0" fontId="198" fillId="0" borderId="42" xfId="838" applyFont="1" applyBorder="1" applyProtection="1">
      <protection hidden="1"/>
    </xf>
    <xf numFmtId="0" fontId="198" fillId="0" borderId="46" xfId="838" applyFont="1" applyBorder="1" applyProtection="1">
      <protection hidden="1"/>
    </xf>
    <xf numFmtId="170" fontId="197" fillId="0" borderId="39" xfId="838" applyNumberFormat="1" applyFont="1" applyBorder="1" applyAlignment="1" applyProtection="1">
      <alignment horizontal="center" vertical="center"/>
      <protection hidden="1"/>
    </xf>
    <xf numFmtId="0" fontId="198" fillId="0" borderId="39" xfId="838" applyFont="1" applyBorder="1" applyAlignment="1" applyProtection="1">
      <alignment horizontal="center" vertical="top"/>
      <protection hidden="1"/>
    </xf>
    <xf numFmtId="185" fontId="198" fillId="0" borderId="39" xfId="199" applyNumberFormat="1" applyFont="1" applyFill="1" applyBorder="1" applyAlignment="1" applyProtection="1">
      <alignment horizontal="center" wrapText="1"/>
      <protection hidden="1"/>
    </xf>
    <xf numFmtId="0" fontId="198" fillId="0" borderId="39" xfId="838" applyFont="1" applyBorder="1" applyAlignment="1" applyProtection="1">
      <alignment horizontal="center"/>
      <protection hidden="1"/>
    </xf>
    <xf numFmtId="168" fontId="197" fillId="0" borderId="39" xfId="180" applyFont="1" applyFill="1" applyBorder="1" applyAlignment="1" applyProtection="1">
      <alignment horizontal="center" vertical="center"/>
      <protection hidden="1"/>
    </xf>
    <xf numFmtId="183" fontId="197" fillId="0" borderId="39" xfId="180" applyNumberFormat="1" applyFont="1" applyFill="1" applyBorder="1" applyAlignment="1" applyProtection="1">
      <alignment horizontal="center" vertical="center"/>
      <protection hidden="1"/>
    </xf>
    <xf numFmtId="9" fontId="198" fillId="0" borderId="42" xfId="1085" applyFont="1" applyFill="1" applyBorder="1" applyAlignment="1" applyProtection="1">
      <alignment horizontal="left" vertical="center"/>
      <protection hidden="1"/>
    </xf>
    <xf numFmtId="9" fontId="198" fillId="0" borderId="46" xfId="1085" applyFont="1" applyFill="1" applyBorder="1" applyAlignment="1" applyProtection="1">
      <alignment horizontal="left" vertical="center"/>
      <protection hidden="1"/>
    </xf>
    <xf numFmtId="0" fontId="198" fillId="0" borderId="42" xfId="199" applyNumberFormat="1" applyFont="1" applyFill="1" applyBorder="1" applyAlignment="1" applyProtection="1">
      <protection hidden="1"/>
    </xf>
    <xf numFmtId="0" fontId="198" fillId="0" borderId="46" xfId="199" applyNumberFormat="1" applyFont="1" applyFill="1" applyBorder="1" applyAlignment="1" applyProtection="1">
      <protection hidden="1"/>
    </xf>
    <xf numFmtId="0" fontId="212" fillId="0" borderId="42" xfId="25987" applyFont="1" applyBorder="1" applyAlignment="1">
      <alignment vertical="center"/>
    </xf>
    <xf numFmtId="0" fontId="212" fillId="0" borderId="46" xfId="25987" applyFont="1" applyBorder="1" applyAlignment="1">
      <alignment vertical="center"/>
    </xf>
    <xf numFmtId="0" fontId="212" fillId="0" borderId="47" xfId="25987" applyFont="1" applyBorder="1" applyAlignment="1">
      <alignment horizontal="center" vertical="center"/>
    </xf>
    <xf numFmtId="0" fontId="212" fillId="0" borderId="39" xfId="25987" applyFont="1" applyBorder="1" applyAlignment="1">
      <alignment horizontal="center" vertical="center"/>
    </xf>
    <xf numFmtId="0" fontId="211" fillId="0" borderId="42" xfId="838" applyFont="1" applyBorder="1" applyProtection="1">
      <protection hidden="1"/>
    </xf>
    <xf numFmtId="0" fontId="197" fillId="0" borderId="39" xfId="0" applyFont="1" applyBorder="1" applyAlignment="1" applyProtection="1">
      <alignment horizontal="left" vertical="top"/>
      <protection hidden="1"/>
    </xf>
    <xf numFmtId="170" fontId="198" fillId="0" borderId="39" xfId="115" applyFont="1" applyFill="1" applyBorder="1" applyAlignment="1" applyProtection="1">
      <alignment horizontal="center" vertical="center"/>
      <protection hidden="1"/>
    </xf>
    <xf numFmtId="0" fontId="197" fillId="0" borderId="40" xfId="838" applyFont="1" applyBorder="1" applyAlignment="1" applyProtection="1">
      <alignment horizontal="center" vertical="center"/>
      <protection hidden="1"/>
    </xf>
    <xf numFmtId="0" fontId="198" fillId="0" borderId="54" xfId="838" applyFont="1" applyBorder="1" applyAlignment="1" applyProtection="1">
      <alignment horizontal="center" vertical="center"/>
      <protection hidden="1"/>
    </xf>
    <xf numFmtId="183" fontId="197" fillId="0" borderId="40" xfId="198" applyNumberFormat="1" applyFont="1" applyFill="1" applyBorder="1" applyAlignment="1" applyProtection="1">
      <alignment horizontal="right" vertical="center"/>
      <protection hidden="1"/>
    </xf>
    <xf numFmtId="0" fontId="204" fillId="0" borderId="0" xfId="0" applyFont="1" applyAlignment="1">
      <alignment horizontal="center"/>
    </xf>
    <xf numFmtId="0" fontId="204" fillId="0" borderId="0" xfId="0" applyFont="1"/>
    <xf numFmtId="0" fontId="202" fillId="0" borderId="0" xfId="838" applyFont="1" applyAlignment="1">
      <alignment horizontal="center"/>
    </xf>
    <xf numFmtId="0" fontId="202" fillId="0" borderId="0" xfId="838" applyFont="1" applyAlignment="1">
      <alignment horizontal="left"/>
    </xf>
    <xf numFmtId="0" fontId="202" fillId="0" borderId="0" xfId="838" applyFont="1"/>
    <xf numFmtId="182" fontId="202" fillId="0" borderId="0" xfId="838" applyNumberFormat="1" applyFont="1" applyAlignment="1">
      <alignment horizontal="center"/>
    </xf>
    <xf numFmtId="170" fontId="202" fillId="0" borderId="0" xfId="838" applyNumberFormat="1" applyFont="1"/>
    <xf numFmtId="0" fontId="202" fillId="0" borderId="85" xfId="0" applyFont="1" applyBorder="1" applyAlignment="1" applyProtection="1">
      <alignment horizontal="center"/>
      <protection hidden="1"/>
    </xf>
    <xf numFmtId="245" fontId="202" fillId="0" borderId="85" xfId="41635" applyFont="1" applyBorder="1" applyAlignment="1">
      <alignment horizontal="left" vertical="center"/>
    </xf>
    <xf numFmtId="0" fontId="200" fillId="0" borderId="85" xfId="0" applyFont="1" applyBorder="1" applyAlignment="1" applyProtection="1">
      <alignment horizontal="center"/>
      <protection hidden="1"/>
    </xf>
    <xf numFmtId="224" fontId="200" fillId="0" borderId="85" xfId="180" applyNumberFormat="1" applyFont="1" applyFill="1" applyBorder="1" applyAlignment="1" applyProtection="1">
      <alignment horizontal="right"/>
      <protection hidden="1"/>
    </xf>
    <xf numFmtId="183" fontId="200" fillId="0" borderId="85" xfId="180" applyNumberFormat="1" applyFont="1" applyFill="1" applyBorder="1" applyAlignment="1" applyProtection="1">
      <alignment horizontal="right"/>
      <protection hidden="1"/>
    </xf>
    <xf numFmtId="170" fontId="200" fillId="0" borderId="85" xfId="115" applyFont="1" applyFill="1" applyBorder="1" applyAlignment="1" applyProtection="1">
      <alignment horizontal="right"/>
      <protection hidden="1"/>
    </xf>
    <xf numFmtId="0" fontId="202" fillId="0" borderId="16" xfId="0" applyFont="1" applyBorder="1" applyAlignment="1" applyProtection="1">
      <alignment horizontal="center" vertical="center" wrapText="1"/>
      <protection hidden="1"/>
    </xf>
    <xf numFmtId="224" fontId="202" fillId="0" borderId="16" xfId="180" applyNumberFormat="1" applyFont="1" applyFill="1" applyBorder="1" applyAlignment="1" applyProtection="1">
      <alignment horizontal="center" vertical="center" wrapText="1"/>
      <protection hidden="1"/>
    </xf>
    <xf numFmtId="183" fontId="202" fillId="0" borderId="16" xfId="180" applyNumberFormat="1" applyFont="1" applyFill="1" applyBorder="1" applyAlignment="1" applyProtection="1">
      <alignment horizontal="center" vertical="center" wrapText="1"/>
      <protection hidden="1"/>
    </xf>
    <xf numFmtId="170" fontId="202" fillId="0" borderId="16" xfId="115" applyFont="1" applyFill="1" applyBorder="1" applyAlignment="1" applyProtection="1">
      <alignment horizontal="center" vertical="center" wrapText="1"/>
      <protection hidden="1"/>
    </xf>
    <xf numFmtId="0" fontId="202" fillId="0" borderId="16" xfId="0" applyFont="1" applyBorder="1" applyAlignment="1" applyProtection="1">
      <alignment horizontal="center" vertical="top"/>
      <protection hidden="1"/>
    </xf>
    <xf numFmtId="245" fontId="202" fillId="0" borderId="36" xfId="41635" applyFont="1" applyBorder="1" applyAlignment="1">
      <alignment horizontal="left" vertical="center"/>
    </xf>
    <xf numFmtId="0" fontId="200" fillId="0" borderId="167" xfId="0" applyFont="1" applyBorder="1" applyAlignment="1" applyProtection="1">
      <alignment horizontal="center" vertical="top"/>
      <protection hidden="1"/>
    </xf>
    <xf numFmtId="224" fontId="200" fillId="0" borderId="16" xfId="180" applyNumberFormat="1" applyFont="1" applyFill="1" applyBorder="1" applyAlignment="1" applyProtection="1">
      <alignment horizontal="right" vertical="top"/>
      <protection hidden="1"/>
    </xf>
    <xf numFmtId="183" fontId="200" fillId="0" borderId="16" xfId="180" applyNumberFormat="1" applyFont="1" applyFill="1" applyBorder="1" applyAlignment="1" applyProtection="1">
      <alignment horizontal="right" vertical="top"/>
      <protection hidden="1"/>
    </xf>
    <xf numFmtId="170" fontId="200" fillId="0" borderId="16" xfId="115" applyFont="1" applyFill="1" applyBorder="1" applyAlignment="1" applyProtection="1">
      <alignment horizontal="right" vertical="top"/>
      <protection hidden="1"/>
    </xf>
    <xf numFmtId="0" fontId="200" fillId="0" borderId="36" xfId="0" applyFont="1" applyBorder="1" applyAlignment="1">
      <alignment vertical="center"/>
    </xf>
    <xf numFmtId="0" fontId="200" fillId="0" borderId="167" xfId="0" applyFont="1" applyBorder="1" applyAlignment="1">
      <alignment vertical="center"/>
    </xf>
    <xf numFmtId="0" fontId="200" fillId="0" borderId="36" xfId="0" applyFont="1" applyBorder="1" applyAlignment="1" applyProtection="1">
      <alignment horizontal="left" vertical="top"/>
      <protection hidden="1"/>
    </xf>
    <xf numFmtId="170" fontId="202" fillId="0" borderId="16" xfId="115" applyFont="1" applyFill="1" applyBorder="1" applyAlignment="1" applyProtection="1">
      <alignment horizontal="right" vertical="top"/>
      <protection hidden="1"/>
    </xf>
    <xf numFmtId="0" fontId="202" fillId="0" borderId="36" xfId="0" applyFont="1" applyBorder="1" applyAlignment="1" applyProtection="1">
      <alignment horizontal="left" vertical="top"/>
      <protection hidden="1"/>
    </xf>
    <xf numFmtId="224" fontId="200" fillId="0" borderId="16" xfId="180" applyNumberFormat="1" applyFont="1" applyFill="1" applyBorder="1" applyAlignment="1" applyProtection="1">
      <alignment horizontal="right" wrapText="1"/>
      <protection hidden="1"/>
    </xf>
    <xf numFmtId="245" fontId="202" fillId="0" borderId="62" xfId="41635" applyFont="1" applyBorder="1" applyAlignment="1">
      <alignment horizontal="left" vertical="center"/>
    </xf>
    <xf numFmtId="224" fontId="200" fillId="0" borderId="0" xfId="180" applyNumberFormat="1" applyFont="1" applyFill="1" applyAlignment="1" applyProtection="1">
      <alignment horizontal="right"/>
      <protection hidden="1"/>
    </xf>
    <xf numFmtId="183" fontId="200" fillId="0" borderId="0" xfId="180" applyNumberFormat="1" applyFont="1" applyFill="1" applyAlignment="1" applyProtection="1">
      <alignment horizontal="right"/>
      <protection hidden="1"/>
    </xf>
    <xf numFmtId="170" fontId="200" fillId="0" borderId="0" xfId="115" applyFont="1" applyFill="1" applyAlignment="1" applyProtection="1">
      <alignment horizontal="right"/>
      <protection hidden="1"/>
    </xf>
    <xf numFmtId="183" fontId="202" fillId="0" borderId="61" xfId="180" applyNumberFormat="1" applyFont="1" applyFill="1" applyBorder="1" applyAlignment="1" applyProtection="1">
      <alignment horizontal="center" vertical="center" wrapText="1"/>
      <protection hidden="1"/>
    </xf>
    <xf numFmtId="170" fontId="202" fillId="0" borderId="61" xfId="115" applyFont="1" applyFill="1" applyBorder="1" applyAlignment="1" applyProtection="1">
      <alignment horizontal="center" vertical="center" wrapText="1"/>
      <protection hidden="1"/>
    </xf>
    <xf numFmtId="224" fontId="200" fillId="0" borderId="61" xfId="180" applyNumberFormat="1" applyFont="1" applyFill="1" applyBorder="1" applyAlignment="1" applyProtection="1">
      <alignment horizontal="right" vertical="top"/>
      <protection hidden="1"/>
    </xf>
    <xf numFmtId="183" fontId="200" fillId="0" borderId="61" xfId="180" applyNumberFormat="1" applyFont="1" applyFill="1" applyBorder="1" applyAlignment="1" applyProtection="1">
      <alignment horizontal="right" vertical="top"/>
      <protection hidden="1"/>
    </xf>
    <xf numFmtId="0" fontId="200" fillId="0" borderId="170" xfId="0" applyFont="1" applyBorder="1" applyAlignment="1">
      <alignment vertical="center"/>
    </xf>
    <xf numFmtId="0" fontId="200" fillId="0" borderId="65" xfId="902" applyFont="1" applyBorder="1" applyProtection="1">
      <protection hidden="1"/>
    </xf>
    <xf numFmtId="224" fontId="200" fillId="0" borderId="61" xfId="180" applyNumberFormat="1" applyFont="1" applyFill="1" applyBorder="1" applyAlignment="1" applyProtection="1">
      <alignment horizontal="right" wrapText="1"/>
      <protection hidden="1"/>
    </xf>
    <xf numFmtId="0" fontId="202" fillId="0" borderId="85" xfId="0" applyFont="1" applyBorder="1" applyAlignment="1">
      <alignment horizontal="left" vertical="center"/>
    </xf>
    <xf numFmtId="0" fontId="200" fillId="0" borderId="85" xfId="838" applyFont="1" applyBorder="1"/>
    <xf numFmtId="0" fontId="202" fillId="0" borderId="85" xfId="838" applyFont="1" applyBorder="1" applyAlignment="1">
      <alignment horizontal="center"/>
    </xf>
    <xf numFmtId="182" fontId="200" fillId="0" borderId="85" xfId="838" applyNumberFormat="1" applyFont="1" applyBorder="1" applyAlignment="1">
      <alignment horizontal="center"/>
    </xf>
    <xf numFmtId="170" fontId="200" fillId="0" borderId="85" xfId="838" applyNumberFormat="1" applyFont="1" applyBorder="1"/>
    <xf numFmtId="170" fontId="202" fillId="0" borderId="171" xfId="838" applyNumberFormat="1" applyFont="1" applyBorder="1" applyAlignment="1">
      <alignment horizontal="center" vertical="center"/>
    </xf>
    <xf numFmtId="170" fontId="202" fillId="0" borderId="45" xfId="838" applyNumberFormat="1" applyFont="1" applyBorder="1" applyAlignment="1">
      <alignment horizontal="center" vertical="center"/>
    </xf>
    <xf numFmtId="0" fontId="202" fillId="0" borderId="16" xfId="838" applyFont="1" applyBorder="1" applyAlignment="1">
      <alignment horizontal="center"/>
    </xf>
    <xf numFmtId="0" fontId="202" fillId="0" borderId="36" xfId="838" applyFont="1" applyBorder="1" applyAlignment="1">
      <alignment horizontal="left"/>
    </xf>
    <xf numFmtId="0" fontId="202" fillId="0" borderId="167" xfId="838" applyFont="1" applyBorder="1" applyAlignment="1">
      <alignment horizontal="left"/>
    </xf>
    <xf numFmtId="182" fontId="200" fillId="0" borderId="16" xfId="838" applyNumberFormat="1" applyFont="1" applyBorder="1" applyAlignment="1">
      <alignment horizontal="center"/>
    </xf>
    <xf numFmtId="170" fontId="200" fillId="0" borderId="16" xfId="838" applyNumberFormat="1" applyFont="1" applyBorder="1"/>
    <xf numFmtId="0" fontId="200" fillId="0" borderId="16" xfId="838" applyFont="1" applyBorder="1" applyAlignment="1">
      <alignment horizontal="center"/>
    </xf>
    <xf numFmtId="181" fontId="200" fillId="0" borderId="16" xfId="841" applyNumberFormat="1" applyFont="1" applyBorder="1" applyAlignment="1">
      <alignment horizontal="center"/>
    </xf>
    <xf numFmtId="170" fontId="202" fillId="0" borderId="16" xfId="838" applyNumberFormat="1" applyFont="1" applyBorder="1"/>
    <xf numFmtId="0" fontId="200" fillId="0" borderId="16" xfId="841" applyFont="1" applyBorder="1" applyAlignment="1">
      <alignment horizontal="center"/>
    </xf>
    <xf numFmtId="0" fontId="200" fillId="0" borderId="36" xfId="838" applyFont="1" applyBorder="1" applyAlignment="1">
      <alignment horizontal="left"/>
    </xf>
    <xf numFmtId="0" fontId="200" fillId="0" borderId="167" xfId="838" applyFont="1" applyBorder="1" applyAlignment="1">
      <alignment horizontal="left"/>
    </xf>
    <xf numFmtId="0" fontId="202" fillId="0" borderId="85" xfId="841" applyFont="1" applyBorder="1" applyAlignment="1">
      <alignment horizontal="center"/>
    </xf>
    <xf numFmtId="0" fontId="200" fillId="0" borderId="169" xfId="0" applyFont="1" applyBorder="1" applyAlignment="1">
      <alignment horizontal="left" vertical="center"/>
    </xf>
    <xf numFmtId="0" fontId="201" fillId="0" borderId="85" xfId="841" applyFont="1" applyBorder="1" applyAlignment="1">
      <alignment horizontal="left"/>
    </xf>
    <xf numFmtId="0" fontId="201" fillId="0" borderId="85" xfId="0" applyFont="1" applyBorder="1" applyAlignment="1">
      <alignment horizontal="left" vertical="center"/>
    </xf>
    <xf numFmtId="0" fontId="197" fillId="0" borderId="85" xfId="838" applyFont="1" applyBorder="1"/>
    <xf numFmtId="0" fontId="201" fillId="0" borderId="85" xfId="838" applyFont="1" applyBorder="1" applyAlignment="1">
      <alignment horizontal="center"/>
    </xf>
    <xf numFmtId="182" fontId="197" fillId="0" borderId="85" xfId="838" applyNumberFormat="1" applyFont="1" applyBorder="1" applyAlignment="1">
      <alignment horizontal="center"/>
    </xf>
    <xf numFmtId="170" fontId="197" fillId="0" borderId="85" xfId="838" applyNumberFormat="1" applyFont="1" applyBorder="1"/>
    <xf numFmtId="170" fontId="201" fillId="0" borderId="171" xfId="838" applyNumberFormat="1" applyFont="1" applyBorder="1" applyAlignment="1">
      <alignment horizontal="center" vertical="center"/>
    </xf>
    <xf numFmtId="170" fontId="201" fillId="0" borderId="45" xfId="838" applyNumberFormat="1" applyFont="1" applyBorder="1" applyAlignment="1">
      <alignment horizontal="center" vertical="center"/>
    </xf>
    <xf numFmtId="0" fontId="201" fillId="0" borderId="16" xfId="838" applyFont="1" applyBorder="1" applyAlignment="1">
      <alignment horizontal="center"/>
    </xf>
    <xf numFmtId="0" fontId="201" fillId="0" borderId="36" xfId="838" applyFont="1" applyBorder="1" applyAlignment="1">
      <alignment horizontal="left"/>
    </xf>
    <xf numFmtId="0" fontId="201" fillId="0" borderId="167" xfId="838" applyFont="1" applyBorder="1" applyAlignment="1">
      <alignment horizontal="left"/>
    </xf>
    <xf numFmtId="182" fontId="197" fillId="0" borderId="16" xfId="838" applyNumberFormat="1" applyFont="1" applyBorder="1" applyAlignment="1">
      <alignment horizontal="center"/>
    </xf>
    <xf numFmtId="170" fontId="197" fillId="0" borderId="16" xfId="838" applyNumberFormat="1" applyFont="1" applyBorder="1"/>
    <xf numFmtId="0" fontId="197" fillId="0" borderId="16" xfId="838" applyFont="1" applyBorder="1" applyAlignment="1">
      <alignment horizontal="center"/>
    </xf>
    <xf numFmtId="0" fontId="197" fillId="0" borderId="36" xfId="838" applyFont="1" applyBorder="1" applyAlignment="1">
      <alignment horizontal="left"/>
    </xf>
    <xf numFmtId="0" fontId="197" fillId="0" borderId="167" xfId="838" applyFont="1" applyBorder="1" applyAlignment="1">
      <alignment horizontal="left"/>
    </xf>
    <xf numFmtId="181" fontId="197" fillId="0" borderId="16" xfId="841" applyNumberFormat="1" applyFont="1" applyBorder="1" applyAlignment="1">
      <alignment horizontal="center"/>
    </xf>
    <xf numFmtId="170" fontId="201" fillId="0" borderId="16" xfId="838" applyNumberFormat="1" applyFont="1" applyBorder="1"/>
    <xf numFmtId="0" fontId="197" fillId="0" borderId="36" xfId="0" applyFont="1" applyBorder="1" applyAlignment="1">
      <alignment horizontal="left" vertical="center"/>
    </xf>
    <xf numFmtId="0" fontId="197" fillId="0" borderId="16" xfId="841" applyFont="1" applyBorder="1" applyAlignment="1">
      <alignment horizontal="center"/>
    </xf>
    <xf numFmtId="170" fontId="202" fillId="0" borderId="0" xfId="115" applyFont="1" applyFill="1" applyBorder="1" applyAlignment="1" applyProtection="1">
      <alignment vertical="top"/>
      <protection hidden="1"/>
    </xf>
    <xf numFmtId="170" fontId="206" fillId="0" borderId="16" xfId="1207" applyFont="1" applyFill="1" applyBorder="1" applyAlignment="1">
      <alignment vertical="center" wrapText="1"/>
    </xf>
    <xf numFmtId="170" fontId="205" fillId="0" borderId="16" xfId="1207" applyFont="1" applyFill="1" applyBorder="1" applyAlignment="1">
      <alignment vertical="center"/>
    </xf>
    <xf numFmtId="170" fontId="206" fillId="0" borderId="16" xfId="1207" applyFont="1" applyFill="1" applyBorder="1" applyAlignment="1">
      <alignment vertical="center"/>
    </xf>
    <xf numFmtId="170" fontId="206" fillId="0" borderId="45" xfId="1207" applyFont="1" applyFill="1" applyBorder="1" applyAlignment="1">
      <alignment vertical="center"/>
    </xf>
    <xf numFmtId="170" fontId="206" fillId="0" borderId="0" xfId="1207" applyFont="1" applyFill="1" applyBorder="1" applyAlignment="1">
      <alignment vertical="center"/>
    </xf>
    <xf numFmtId="170" fontId="198" fillId="0" borderId="0" xfId="838" applyNumberFormat="1" applyFont="1" applyAlignment="1" applyProtection="1">
      <alignment vertical="center"/>
      <protection hidden="1"/>
    </xf>
    <xf numFmtId="0" fontId="201" fillId="0" borderId="41" xfId="838" applyFont="1" applyBorder="1" applyAlignment="1" applyProtection="1">
      <alignment horizontal="center" vertical="center"/>
      <protection hidden="1"/>
    </xf>
    <xf numFmtId="0" fontId="211" fillId="0" borderId="49" xfId="838" applyFont="1" applyBorder="1" applyAlignment="1" applyProtection="1">
      <alignment vertical="center"/>
      <protection hidden="1"/>
    </xf>
    <xf numFmtId="0" fontId="211" fillId="0" borderId="50" xfId="838" applyFont="1" applyBorder="1" applyAlignment="1" applyProtection="1">
      <alignment vertical="center"/>
      <protection hidden="1"/>
    </xf>
    <xf numFmtId="0" fontId="198" fillId="0" borderId="52" xfId="838" applyFont="1" applyBorder="1" applyAlignment="1" applyProtection="1">
      <alignment vertical="center"/>
      <protection hidden="1"/>
    </xf>
    <xf numFmtId="0" fontId="198" fillId="0" borderId="53" xfId="838" applyFont="1" applyBorder="1" applyAlignment="1" applyProtection="1">
      <alignment vertical="center"/>
      <protection hidden="1"/>
    </xf>
    <xf numFmtId="0" fontId="198" fillId="0" borderId="40" xfId="838" applyFont="1" applyBorder="1" applyAlignment="1" applyProtection="1">
      <alignment horizontal="center" vertical="center"/>
      <protection hidden="1"/>
    </xf>
    <xf numFmtId="0" fontId="213" fillId="0" borderId="0" xfId="0" applyFont="1" applyAlignment="1">
      <alignment horizontal="center"/>
    </xf>
    <xf numFmtId="0" fontId="0" fillId="0" borderId="0" xfId="0" applyAlignment="1">
      <alignment vertical="center"/>
    </xf>
    <xf numFmtId="0" fontId="216" fillId="0" borderId="0" xfId="0" applyFont="1"/>
    <xf numFmtId="0" fontId="197" fillId="41" borderId="53" xfId="0" applyFont="1" applyFill="1" applyBorder="1" applyAlignment="1">
      <alignment vertical="top" wrapText="1"/>
    </xf>
    <xf numFmtId="0" fontId="197" fillId="41" borderId="50" xfId="0" applyFont="1" applyFill="1" applyBorder="1" applyAlignment="1">
      <alignment vertical="top" wrapText="1"/>
    </xf>
    <xf numFmtId="0" fontId="197" fillId="41" borderId="40" xfId="0" applyFont="1" applyFill="1" applyBorder="1" applyAlignment="1">
      <alignment horizontal="center" vertical="top"/>
    </xf>
    <xf numFmtId="170" fontId="197" fillId="41" borderId="40" xfId="0" applyNumberFormat="1" applyFont="1" applyFill="1" applyBorder="1" applyAlignment="1">
      <alignment vertical="top"/>
    </xf>
    <xf numFmtId="0" fontId="197" fillId="41" borderId="41" xfId="0" applyFont="1" applyFill="1" applyBorder="1" applyAlignment="1">
      <alignment horizontal="center" vertical="top"/>
    </xf>
    <xf numFmtId="170" fontId="197" fillId="41" borderId="41" xfId="0" applyNumberFormat="1" applyFont="1" applyFill="1" applyBorder="1" applyAlignment="1">
      <alignment vertical="top"/>
    </xf>
    <xf numFmtId="0" fontId="216" fillId="0" borderId="0" xfId="0" applyFont="1" applyAlignment="1">
      <alignment horizontal="center"/>
    </xf>
    <xf numFmtId="0" fontId="216" fillId="0" borderId="175" xfId="0" applyFont="1" applyBorder="1" applyAlignment="1">
      <alignment horizontal="center"/>
    </xf>
    <xf numFmtId="0" fontId="216" fillId="0" borderId="39" xfId="0" applyFont="1" applyBorder="1" applyAlignment="1">
      <alignment horizontal="center"/>
    </xf>
    <xf numFmtId="0" fontId="216" fillId="0" borderId="55" xfId="0" applyFont="1" applyBorder="1" applyAlignment="1">
      <alignment horizontal="center"/>
    </xf>
    <xf numFmtId="0" fontId="216" fillId="0" borderId="41" xfId="0" applyFont="1" applyBorder="1" applyAlignment="1">
      <alignment horizontal="center"/>
    </xf>
    <xf numFmtId="0" fontId="216" fillId="0" borderId="176" xfId="0" applyFont="1" applyBorder="1" applyAlignment="1">
      <alignment horizontal="center"/>
    </xf>
    <xf numFmtId="0" fontId="216" fillId="59" borderId="16" xfId="0" applyFont="1" applyFill="1" applyBorder="1" applyAlignment="1">
      <alignment horizontal="center" vertical="center"/>
    </xf>
    <xf numFmtId="0" fontId="218" fillId="59" borderId="5" xfId="0" applyFont="1" applyFill="1" applyBorder="1" applyAlignment="1">
      <alignment horizontal="center" vertical="center"/>
    </xf>
    <xf numFmtId="0" fontId="216" fillId="60" borderId="16" xfId="0" applyFont="1" applyFill="1" applyBorder="1" applyAlignment="1">
      <alignment horizontal="center" vertical="center"/>
    </xf>
    <xf numFmtId="0" fontId="218" fillId="60" borderId="5" xfId="0" applyFont="1" applyFill="1" applyBorder="1" applyAlignment="1">
      <alignment horizontal="center" vertical="center"/>
    </xf>
    <xf numFmtId="0" fontId="216" fillId="61" borderId="16" xfId="0" applyFont="1" applyFill="1" applyBorder="1" applyAlignment="1">
      <alignment horizontal="center" vertical="center"/>
    </xf>
    <xf numFmtId="0" fontId="218" fillId="61" borderId="5" xfId="0" applyFont="1" applyFill="1" applyBorder="1" applyAlignment="1">
      <alignment horizontal="center" vertical="center"/>
    </xf>
    <xf numFmtId="4" fontId="216" fillId="0" borderId="39" xfId="0" applyNumberFormat="1" applyFont="1" applyBorder="1" applyAlignment="1">
      <alignment horizontal="center"/>
    </xf>
    <xf numFmtId="4" fontId="0" fillId="0" borderId="0" xfId="0" applyNumberFormat="1" applyAlignment="1">
      <alignment horizontal="center"/>
    </xf>
    <xf numFmtId="4" fontId="0" fillId="0" borderId="0" xfId="0" applyNumberFormat="1"/>
    <xf numFmtId="0" fontId="197" fillId="41" borderId="39" xfId="0" applyFont="1" applyFill="1" applyBorder="1" applyAlignment="1">
      <alignment horizontal="center" vertical="top"/>
    </xf>
    <xf numFmtId="0" fontId="197" fillId="41" borderId="46" xfId="0" applyFont="1" applyFill="1" applyBorder="1" applyAlignment="1">
      <alignment vertical="top" wrapText="1"/>
    </xf>
    <xf numFmtId="170" fontId="197" fillId="41" borderId="39" xfId="0" applyNumberFormat="1" applyFont="1" applyFill="1" applyBorder="1" applyAlignment="1">
      <alignment vertical="top"/>
    </xf>
    <xf numFmtId="0" fontId="197" fillId="41" borderId="46" xfId="0" applyFont="1" applyFill="1" applyBorder="1" applyAlignment="1">
      <alignment vertical="top"/>
    </xf>
    <xf numFmtId="0" fontId="214" fillId="0" borderId="0" xfId="0" applyFont="1" applyAlignment="1">
      <alignment horizontal="left"/>
    </xf>
    <xf numFmtId="225" fontId="222" fillId="40" borderId="42" xfId="3293" applyFont="1" applyFill="1" applyBorder="1" applyAlignment="1">
      <alignment vertical="center"/>
    </xf>
    <xf numFmtId="225" fontId="222" fillId="40" borderId="56" xfId="3293" applyFont="1" applyFill="1" applyBorder="1" applyAlignment="1">
      <alignment vertical="center"/>
    </xf>
    <xf numFmtId="0" fontId="225" fillId="0" borderId="39" xfId="0" applyFont="1" applyBorder="1" applyAlignment="1">
      <alignment horizontal="center"/>
    </xf>
    <xf numFmtId="4" fontId="216" fillId="0" borderId="46" xfId="0" applyNumberFormat="1" applyFont="1" applyBorder="1" applyAlignment="1">
      <alignment horizontal="center"/>
    </xf>
    <xf numFmtId="268" fontId="216" fillId="0" borderId="0" xfId="0" applyNumberFormat="1" applyFont="1"/>
    <xf numFmtId="0" fontId="216" fillId="0" borderId="0" xfId="0" applyFont="1" applyAlignment="1">
      <alignment vertical="center"/>
    </xf>
    <xf numFmtId="0" fontId="214" fillId="0" borderId="0" xfId="0" applyFont="1" applyAlignment="1">
      <alignment horizontal="center" vertical="center"/>
    </xf>
    <xf numFmtId="268" fontId="0" fillId="0" borderId="0" xfId="0" applyNumberFormat="1"/>
    <xf numFmtId="0" fontId="197" fillId="41" borderId="55" xfId="0" applyFont="1" applyFill="1" applyBorder="1" applyAlignment="1">
      <alignment horizontal="center" vertical="top"/>
    </xf>
    <xf numFmtId="170" fontId="197" fillId="41" borderId="56" xfId="0" applyNumberFormat="1" applyFont="1" applyFill="1" applyBorder="1" applyAlignment="1">
      <alignment vertical="top" wrapText="1"/>
    </xf>
    <xf numFmtId="170" fontId="197" fillId="41" borderId="55" xfId="180" applyNumberFormat="1" applyFont="1" applyFill="1" applyBorder="1" applyAlignment="1">
      <alignment vertical="top"/>
    </xf>
    <xf numFmtId="0" fontId="224" fillId="0" borderId="39" xfId="0" applyFont="1" applyBorder="1" applyAlignment="1">
      <alignment horizontal="center"/>
    </xf>
    <xf numFmtId="0" fontId="216" fillId="0" borderId="178" xfId="0" applyFont="1" applyBorder="1" applyAlignment="1">
      <alignment horizontal="center"/>
    </xf>
    <xf numFmtId="4" fontId="222" fillId="40" borderId="42" xfId="3293" applyNumberFormat="1" applyFont="1" applyFill="1" applyBorder="1" applyAlignment="1">
      <alignment vertical="center"/>
    </xf>
    <xf numFmtId="4" fontId="222" fillId="40" borderId="56" xfId="3293" applyNumberFormat="1" applyFont="1" applyFill="1" applyBorder="1" applyAlignment="1">
      <alignment vertical="center"/>
    </xf>
    <xf numFmtId="4" fontId="219" fillId="62" borderId="16" xfId="0" applyNumberFormat="1" applyFont="1" applyFill="1" applyBorder="1" applyAlignment="1">
      <alignment horizontal="center" vertical="center"/>
    </xf>
    <xf numFmtId="4" fontId="220" fillId="62" borderId="0" xfId="0" applyNumberFormat="1" applyFont="1" applyFill="1" applyAlignment="1">
      <alignment horizontal="center" vertical="center"/>
    </xf>
    <xf numFmtId="4" fontId="216" fillId="0" borderId="43" xfId="0" applyNumberFormat="1" applyFont="1" applyBorder="1" applyAlignment="1">
      <alignment horizontal="center"/>
    </xf>
    <xf numFmtId="4" fontId="224" fillId="0" borderId="46" xfId="0" applyNumberFormat="1" applyFont="1" applyBorder="1" applyAlignment="1">
      <alignment horizontal="center"/>
    </xf>
    <xf numFmtId="4" fontId="216" fillId="0" borderId="50" xfId="0" applyNumberFormat="1" applyFont="1" applyBorder="1" applyAlignment="1">
      <alignment horizontal="center"/>
    </xf>
    <xf numFmtId="4" fontId="224" fillId="0" borderId="39" xfId="0" applyNumberFormat="1" applyFont="1" applyBorder="1" applyAlignment="1">
      <alignment horizontal="center"/>
    </xf>
    <xf numFmtId="0" fontId="216" fillId="41" borderId="175" xfId="0" applyFont="1" applyFill="1" applyBorder="1" applyAlignment="1">
      <alignment horizontal="center"/>
    </xf>
    <xf numFmtId="0" fontId="197" fillId="41" borderId="42" xfId="0" applyFont="1" applyFill="1" applyBorder="1" applyAlignment="1">
      <alignment horizontal="center" vertical="top"/>
    </xf>
    <xf numFmtId="0" fontId="197" fillId="41" borderId="42" xfId="0" applyFont="1" applyFill="1" applyBorder="1" applyAlignment="1">
      <alignment vertical="top" wrapText="1"/>
    </xf>
    <xf numFmtId="170" fontId="197" fillId="41" borderId="39" xfId="180" applyNumberFormat="1" applyFont="1" applyFill="1" applyBorder="1" applyAlignment="1">
      <alignment vertical="top"/>
    </xf>
    <xf numFmtId="0" fontId="200" fillId="0" borderId="200" xfId="0" applyFont="1" applyBorder="1" applyAlignment="1" applyProtection="1">
      <alignment horizontal="center" vertical="top"/>
      <protection hidden="1"/>
    </xf>
    <xf numFmtId="0" fontId="200" fillId="0" borderId="0" xfId="0" applyFont="1" applyAlignment="1">
      <alignment vertical="center"/>
    </xf>
    <xf numFmtId="0" fontId="200" fillId="0" borderId="200" xfId="0" applyFont="1" applyBorder="1" applyAlignment="1">
      <alignment vertical="center"/>
    </xf>
    <xf numFmtId="0" fontId="200" fillId="0" borderId="201" xfId="0" applyFont="1" applyBorder="1" applyAlignment="1">
      <alignment vertical="center"/>
    </xf>
    <xf numFmtId="0" fontId="200" fillId="0" borderId="202" xfId="0" applyFont="1" applyBorder="1" applyAlignment="1">
      <alignment vertical="center"/>
    </xf>
    <xf numFmtId="0" fontId="200" fillId="0" borderId="65" xfId="0" applyFont="1" applyBorder="1" applyAlignment="1">
      <alignment vertical="center"/>
    </xf>
    <xf numFmtId="0" fontId="200" fillId="0" borderId="67" xfId="0" applyFont="1" applyBorder="1" applyAlignment="1">
      <alignment vertical="center"/>
    </xf>
    <xf numFmtId="0" fontId="226" fillId="0" borderId="0" xfId="0" applyFont="1" applyAlignment="1" applyProtection="1">
      <alignment horizontal="left" vertical="top"/>
      <protection hidden="1"/>
    </xf>
    <xf numFmtId="0" fontId="204" fillId="0" borderId="196" xfId="0" applyFont="1" applyBorder="1"/>
    <xf numFmtId="0" fontId="204" fillId="0" borderId="198" xfId="0" applyFont="1" applyBorder="1"/>
    <xf numFmtId="0" fontId="204" fillId="0" borderId="192" xfId="0" applyFont="1" applyBorder="1"/>
    <xf numFmtId="0" fontId="204" fillId="0" borderId="196" xfId="0" applyFont="1" applyBorder="1" applyAlignment="1">
      <alignment horizontal="center"/>
    </xf>
    <xf numFmtId="183" fontId="231" fillId="0" borderId="67" xfId="0" applyNumberFormat="1" applyFont="1" applyBorder="1" applyAlignment="1" applyProtection="1">
      <alignment horizontal="right" vertical="top"/>
      <protection hidden="1"/>
    </xf>
    <xf numFmtId="0" fontId="229" fillId="0" borderId="0" xfId="42614" applyFont="1" applyAlignment="1">
      <alignment horizontal="left" vertical="center" wrapText="1"/>
    </xf>
    <xf numFmtId="183" fontId="226" fillId="0" borderId="61" xfId="0" applyNumberFormat="1" applyFont="1" applyBorder="1" applyAlignment="1" applyProtection="1">
      <alignment vertical="top"/>
      <protection hidden="1"/>
    </xf>
    <xf numFmtId="224" fontId="226" fillId="0" borderId="65" xfId="0" applyNumberFormat="1" applyFont="1" applyBorder="1" applyAlignment="1" applyProtection="1">
      <alignment vertical="top"/>
      <protection hidden="1"/>
    </xf>
    <xf numFmtId="222" fontId="200" fillId="0" borderId="0" xfId="0" applyNumberFormat="1" applyFont="1" applyProtection="1">
      <protection hidden="1"/>
    </xf>
    <xf numFmtId="198" fontId="202" fillId="0" borderId="0" xfId="0" applyNumberFormat="1" applyFont="1" applyProtection="1">
      <protection hidden="1"/>
    </xf>
    <xf numFmtId="170" fontId="0" fillId="0" borderId="0" xfId="0" applyNumberFormat="1"/>
    <xf numFmtId="3" fontId="0" fillId="0" borderId="0" xfId="0" applyNumberFormat="1"/>
    <xf numFmtId="0" fontId="204" fillId="0" borderId="0" xfId="0" applyFont="1" applyAlignment="1">
      <alignment horizontal="left"/>
    </xf>
    <xf numFmtId="0" fontId="202" fillId="0" borderId="204" xfId="838" applyFont="1" applyBorder="1"/>
    <xf numFmtId="0" fontId="202" fillId="0" borderId="203" xfId="838" applyFont="1" applyBorder="1"/>
    <xf numFmtId="0" fontId="202" fillId="0" borderId="205" xfId="838" applyFont="1" applyBorder="1"/>
    <xf numFmtId="2" fontId="226" fillId="0" borderId="205" xfId="838" applyNumberFormat="1" applyFont="1" applyBorder="1"/>
    <xf numFmtId="170" fontId="202" fillId="0" borderId="205" xfId="838" applyNumberFormat="1" applyFont="1" applyBorder="1"/>
    <xf numFmtId="0" fontId="202" fillId="0" borderId="203" xfId="838" applyFont="1" applyBorder="1" applyAlignment="1">
      <alignment horizontal="left"/>
    </xf>
    <xf numFmtId="170" fontId="200" fillId="0" borderId="205" xfId="838" applyNumberFormat="1" applyFont="1" applyBorder="1"/>
    <xf numFmtId="0" fontId="202" fillId="0" borderId="209" xfId="838" applyFont="1" applyBorder="1" applyAlignment="1">
      <alignment horizontal="center"/>
    </xf>
    <xf numFmtId="2" fontId="200" fillId="0" borderId="209" xfId="838" applyNumberFormat="1" applyFont="1" applyBorder="1" applyAlignment="1">
      <alignment horizontal="center"/>
    </xf>
    <xf numFmtId="0" fontId="200" fillId="0" borderId="209" xfId="838" applyFont="1" applyBorder="1" applyAlignment="1">
      <alignment horizontal="center"/>
    </xf>
    <xf numFmtId="2" fontId="200" fillId="0" borderId="209" xfId="841" applyNumberFormat="1" applyFont="1" applyBorder="1" applyAlignment="1">
      <alignment horizontal="center"/>
    </xf>
    <xf numFmtId="0" fontId="202" fillId="0" borderId="209" xfId="838" applyFont="1" applyBorder="1"/>
    <xf numFmtId="2" fontId="202" fillId="0" borderId="209" xfId="838" applyNumberFormat="1" applyFont="1" applyBorder="1" applyAlignment="1">
      <alignment horizontal="center"/>
    </xf>
    <xf numFmtId="0" fontId="200" fillId="0" borderId="209" xfId="841" applyFont="1" applyBorder="1" applyAlignment="1">
      <alignment horizontal="center"/>
    </xf>
    <xf numFmtId="182" fontId="200" fillId="0" borderId="209" xfId="838" applyNumberFormat="1" applyFont="1" applyBorder="1" applyAlignment="1">
      <alignment horizontal="center"/>
    </xf>
    <xf numFmtId="0" fontId="197" fillId="0" borderId="46" xfId="838" applyFont="1" applyBorder="1" applyAlignment="1" applyProtection="1">
      <alignment horizontal="center" vertical="center"/>
      <protection hidden="1"/>
    </xf>
    <xf numFmtId="0" fontId="198" fillId="0" borderId="46" xfId="838" applyFont="1" applyBorder="1" applyAlignment="1" applyProtection="1">
      <alignment horizontal="center" vertical="center"/>
      <protection hidden="1"/>
    </xf>
    <xf numFmtId="183" fontId="197" fillId="0" borderId="46" xfId="198" applyNumberFormat="1" applyFont="1" applyFill="1" applyBorder="1" applyAlignment="1" applyProtection="1">
      <alignment vertical="center"/>
      <protection hidden="1"/>
    </xf>
    <xf numFmtId="0" fontId="197" fillId="0" borderId="215" xfId="838" applyFont="1" applyBorder="1" applyAlignment="1" applyProtection="1">
      <alignment horizontal="center" vertical="center"/>
      <protection hidden="1"/>
    </xf>
    <xf numFmtId="224" fontId="205" fillId="0" borderId="16" xfId="2138" quotePrefix="1" applyNumberFormat="1" applyFont="1" applyFill="1" applyBorder="1" applyAlignment="1">
      <alignment horizontal="center" vertical="center"/>
    </xf>
    <xf numFmtId="0" fontId="197" fillId="0" borderId="55" xfId="838" applyFont="1" applyBorder="1" applyAlignment="1" applyProtection="1">
      <alignment horizontal="center" vertical="center"/>
      <protection hidden="1"/>
    </xf>
    <xf numFmtId="0" fontId="198" fillId="0" borderId="56" xfId="838" applyFont="1" applyBorder="1" applyAlignment="1" applyProtection="1">
      <alignment horizontal="left" vertical="center"/>
      <protection hidden="1"/>
    </xf>
    <xf numFmtId="0" fontId="198" fillId="0" borderId="43" xfId="838" applyFont="1" applyBorder="1" applyAlignment="1" applyProtection="1">
      <alignment horizontal="left" vertical="center"/>
      <protection hidden="1"/>
    </xf>
    <xf numFmtId="0" fontId="198" fillId="0" borderId="57" xfId="838" applyFont="1" applyBorder="1" applyAlignment="1" applyProtection="1">
      <alignment horizontal="center" vertical="center"/>
      <protection hidden="1"/>
    </xf>
    <xf numFmtId="0" fontId="198" fillId="0" borderId="55" xfId="838" applyFont="1" applyBorder="1" applyAlignment="1" applyProtection="1">
      <alignment horizontal="center" vertical="top"/>
      <protection hidden="1"/>
    </xf>
    <xf numFmtId="183" fontId="197" fillId="0" borderId="55" xfId="198" applyNumberFormat="1" applyFont="1" applyFill="1" applyBorder="1" applyAlignment="1" applyProtection="1">
      <alignment horizontal="right" vertical="center"/>
      <protection hidden="1"/>
    </xf>
    <xf numFmtId="168" fontId="233" fillId="0" borderId="46" xfId="198" applyFont="1" applyFill="1" applyBorder="1" applyAlignment="1" applyProtection="1">
      <alignment horizontal="center" vertical="center"/>
      <protection hidden="1"/>
    </xf>
    <xf numFmtId="183" fontId="197" fillId="0" borderId="42" xfId="198" applyNumberFormat="1" applyFont="1" applyFill="1" applyBorder="1" applyAlignment="1" applyProtection="1">
      <alignment vertical="center"/>
      <protection hidden="1"/>
    </xf>
    <xf numFmtId="183" fontId="197" fillId="0" borderId="47" xfId="198" applyNumberFormat="1" applyFont="1" applyFill="1" applyBorder="1" applyAlignment="1" applyProtection="1">
      <alignment vertical="center"/>
      <protection hidden="1"/>
    </xf>
    <xf numFmtId="183" fontId="197" fillId="0" borderId="46" xfId="198" applyNumberFormat="1" applyFont="1" applyFill="1" applyBorder="1" applyAlignment="1" applyProtection="1">
      <alignment horizontal="center" vertical="center"/>
      <protection hidden="1"/>
    </xf>
    <xf numFmtId="183" fontId="197" fillId="0" borderId="215" xfId="198" applyNumberFormat="1" applyFont="1" applyFill="1" applyBorder="1" applyAlignment="1" applyProtection="1">
      <alignment vertical="center"/>
      <protection hidden="1"/>
    </xf>
    <xf numFmtId="0" fontId="197" fillId="0" borderId="53" xfId="838" applyFont="1" applyBorder="1" applyAlignment="1" applyProtection="1">
      <alignment horizontal="center" vertical="center"/>
      <protection hidden="1"/>
    </xf>
    <xf numFmtId="0" fontId="198" fillId="0" borderId="53" xfId="838" applyFont="1" applyBorder="1" applyAlignment="1" applyProtection="1">
      <alignment horizontal="center" vertical="center"/>
      <protection hidden="1"/>
    </xf>
    <xf numFmtId="183" fontId="197" fillId="0" borderId="40" xfId="198" applyNumberFormat="1" applyFont="1" applyFill="1" applyBorder="1" applyAlignment="1" applyProtection="1">
      <alignment vertical="center"/>
      <protection hidden="1"/>
    </xf>
    <xf numFmtId="170" fontId="204" fillId="0" borderId="196" xfId="0" applyNumberFormat="1" applyFont="1" applyBorder="1"/>
    <xf numFmtId="0" fontId="216" fillId="0" borderId="0" xfId="0" applyFont="1" applyAlignment="1">
      <alignment horizontal="left"/>
    </xf>
    <xf numFmtId="0" fontId="216" fillId="63" borderId="175" xfId="0" applyFont="1" applyFill="1" applyBorder="1" applyAlignment="1">
      <alignment horizontal="center"/>
    </xf>
    <xf numFmtId="0" fontId="216" fillId="63" borderId="39" xfId="0" applyFont="1" applyFill="1" applyBorder="1" applyAlignment="1">
      <alignment horizontal="center"/>
    </xf>
    <xf numFmtId="0" fontId="234" fillId="0" borderId="0" xfId="0" applyFont="1"/>
    <xf numFmtId="4" fontId="236" fillId="57" borderId="172" xfId="0" applyNumberFormat="1" applyFont="1" applyFill="1" applyBorder="1" applyAlignment="1">
      <alignment horizontal="center" vertical="center"/>
    </xf>
    <xf numFmtId="268" fontId="236" fillId="57" borderId="172" xfId="0" applyNumberFormat="1" applyFont="1" applyFill="1" applyBorder="1" applyAlignment="1">
      <alignment horizontal="center" vertical="center"/>
    </xf>
    <xf numFmtId="0" fontId="232" fillId="0" borderId="46" xfId="0" applyFont="1" applyBorder="1" applyAlignment="1">
      <alignment horizontal="center"/>
    </xf>
    <xf numFmtId="4" fontId="232" fillId="0" borderId="39" xfId="0" applyNumberFormat="1" applyFont="1" applyBorder="1" applyAlignment="1">
      <alignment horizontal="center"/>
    </xf>
    <xf numFmtId="0" fontId="232" fillId="0" borderId="39" xfId="0" applyFont="1" applyBorder="1" applyAlignment="1">
      <alignment horizontal="center"/>
    </xf>
    <xf numFmtId="268" fontId="232" fillId="0" borderId="39" xfId="0" applyNumberFormat="1" applyFont="1" applyBorder="1" applyAlignment="1">
      <alignment horizontal="center"/>
    </xf>
    <xf numFmtId="0" fontId="232" fillId="0" borderId="43" xfId="0" applyFont="1" applyBorder="1" applyAlignment="1">
      <alignment horizontal="center"/>
    </xf>
    <xf numFmtId="4" fontId="232" fillId="0" borderId="55" xfId="0" applyNumberFormat="1" applyFont="1" applyBorder="1" applyAlignment="1">
      <alignment horizontal="center"/>
    </xf>
    <xf numFmtId="0" fontId="232" fillId="0" borderId="55" xfId="0" applyFont="1" applyBorder="1" applyAlignment="1">
      <alignment horizontal="center"/>
    </xf>
    <xf numFmtId="268" fontId="232" fillId="0" borderId="55" xfId="0" applyNumberFormat="1" applyFont="1" applyBorder="1" applyAlignment="1">
      <alignment horizontal="center"/>
    </xf>
    <xf numFmtId="0" fontId="232" fillId="0" borderId="0" xfId="0" applyFont="1" applyAlignment="1">
      <alignment horizontal="center"/>
    </xf>
    <xf numFmtId="0" fontId="232" fillId="0" borderId="0" xfId="0" applyFont="1" applyAlignment="1">
      <alignment horizontal="left"/>
    </xf>
    <xf numFmtId="4" fontId="232" fillId="0" borderId="5" xfId="0" applyNumberFormat="1" applyFont="1" applyBorder="1" applyAlignment="1">
      <alignment horizontal="center"/>
    </xf>
    <xf numFmtId="0" fontId="232" fillId="0" borderId="5" xfId="0" applyFont="1" applyBorder="1" applyAlignment="1">
      <alignment horizontal="center"/>
    </xf>
    <xf numFmtId="268" fontId="232" fillId="0" borderId="5" xfId="0" applyNumberFormat="1" applyFont="1" applyBorder="1" applyAlignment="1">
      <alignment horizontal="center"/>
    </xf>
    <xf numFmtId="0" fontId="239" fillId="0" borderId="46" xfId="0" applyFont="1" applyBorder="1" applyAlignment="1">
      <alignment horizontal="center"/>
    </xf>
    <xf numFmtId="0" fontId="232" fillId="0" borderId="46" xfId="0" applyFont="1" applyBorder="1" applyAlignment="1">
      <alignment horizontal="left"/>
    </xf>
    <xf numFmtId="0" fontId="232" fillId="0" borderId="47" xfId="0" applyFont="1" applyBorder="1" applyAlignment="1">
      <alignment horizontal="left"/>
    </xf>
    <xf numFmtId="0" fontId="240" fillId="0" borderId="46" xfId="0" applyFont="1" applyBorder="1" applyAlignment="1">
      <alignment horizontal="center"/>
    </xf>
    <xf numFmtId="0" fontId="240" fillId="0" borderId="46" xfId="0" applyFont="1" applyBorder="1" applyAlignment="1">
      <alignment horizontal="left"/>
    </xf>
    <xf numFmtId="0" fontId="240" fillId="0" borderId="47" xfId="0" applyFont="1" applyBorder="1" applyAlignment="1">
      <alignment horizontal="left"/>
    </xf>
    <xf numFmtId="0" fontId="232" fillId="0" borderId="43" xfId="0" applyFont="1" applyBorder="1" applyAlignment="1">
      <alignment horizontal="left"/>
    </xf>
    <xf numFmtId="0" fontId="232" fillId="0" borderId="57" xfId="0" applyFont="1" applyBorder="1" applyAlignment="1">
      <alignment horizontal="left"/>
    </xf>
    <xf numFmtId="0" fontId="232" fillId="0" borderId="50" xfId="0" applyFont="1" applyBorder="1" applyAlignment="1">
      <alignment horizontal="center"/>
    </xf>
    <xf numFmtId="4" fontId="232" fillId="0" borderId="41" xfId="0" applyNumberFormat="1" applyFont="1" applyBorder="1" applyAlignment="1">
      <alignment horizontal="center"/>
    </xf>
    <xf numFmtId="0" fontId="232" fillId="0" borderId="41" xfId="0" applyFont="1" applyBorder="1" applyAlignment="1">
      <alignment horizontal="center"/>
    </xf>
    <xf numFmtId="268" fontId="232" fillId="0" borderId="41" xfId="0" applyNumberFormat="1" applyFont="1" applyBorder="1" applyAlignment="1">
      <alignment horizontal="center"/>
    </xf>
    <xf numFmtId="0" fontId="232" fillId="0" borderId="46" xfId="0" applyFont="1" applyBorder="1" applyAlignment="1">
      <alignment horizontal="center" vertical="center"/>
    </xf>
    <xf numFmtId="0" fontId="232" fillId="0" borderId="46" xfId="0" applyFont="1" applyBorder="1"/>
    <xf numFmtId="0" fontId="232" fillId="0" borderId="47" xfId="0" applyFont="1" applyBorder="1"/>
    <xf numFmtId="0" fontId="237" fillId="0" borderId="50" xfId="0" applyFont="1" applyBorder="1" applyAlignment="1">
      <alignment horizontal="center"/>
    </xf>
    <xf numFmtId="0" fontId="237" fillId="0" borderId="46" xfId="0" applyFont="1" applyBorder="1" applyAlignment="1">
      <alignment horizontal="center"/>
    </xf>
    <xf numFmtId="0" fontId="232" fillId="0" borderId="0" xfId="0" applyFont="1"/>
    <xf numFmtId="4" fontId="232" fillId="0" borderId="0" xfId="0" applyNumberFormat="1" applyFont="1" applyAlignment="1">
      <alignment horizontal="center"/>
    </xf>
    <xf numFmtId="268" fontId="232" fillId="0" borderId="0" xfId="0" applyNumberFormat="1" applyFont="1" applyAlignment="1">
      <alignment horizontal="center"/>
    </xf>
    <xf numFmtId="0" fontId="232" fillId="0" borderId="47" xfId="0" applyFont="1" applyBorder="1" applyAlignment="1">
      <alignment horizontal="left" wrapText="1"/>
    </xf>
    <xf numFmtId="0" fontId="232" fillId="0" borderId="216" xfId="0" applyFont="1" applyBorder="1" applyAlignment="1">
      <alignment horizontal="left"/>
    </xf>
    <xf numFmtId="0" fontId="232" fillId="0" borderId="46" xfId="0" applyFont="1" applyBorder="1" applyAlignment="1">
      <alignment horizontal="left" wrapText="1"/>
    </xf>
    <xf numFmtId="0" fontId="197" fillId="61" borderId="0" xfId="0" applyFont="1" applyFill="1"/>
    <xf numFmtId="0" fontId="197" fillId="61" borderId="39" xfId="0" applyFont="1" applyFill="1" applyBorder="1" applyAlignment="1">
      <alignment horizontal="center" vertical="top"/>
    </xf>
    <xf numFmtId="0" fontId="197" fillId="61" borderId="46" xfId="0" applyFont="1" applyFill="1" applyBorder="1" applyAlignment="1">
      <alignment vertical="top" wrapText="1"/>
    </xf>
    <xf numFmtId="170" fontId="197" fillId="61" borderId="39" xfId="0" applyNumberFormat="1" applyFont="1" applyFill="1" applyBorder="1" applyAlignment="1">
      <alignment vertical="top"/>
    </xf>
    <xf numFmtId="183" fontId="197" fillId="61" borderId="0" xfId="180" applyNumberFormat="1" applyFont="1" applyFill="1" applyBorder="1" applyAlignment="1">
      <alignment vertical="top"/>
    </xf>
    <xf numFmtId="170" fontId="197" fillId="61" borderId="0" xfId="0" applyNumberFormat="1" applyFont="1" applyFill="1"/>
    <xf numFmtId="170" fontId="197" fillId="61" borderId="0" xfId="115" applyFont="1" applyFill="1"/>
    <xf numFmtId="0" fontId="197" fillId="41" borderId="42" xfId="0" applyFont="1" applyFill="1" applyBorder="1" applyAlignment="1">
      <alignment horizontal="left" vertical="top" wrapText="1"/>
    </xf>
    <xf numFmtId="0" fontId="237" fillId="63" borderId="46" xfId="0" applyFont="1" applyFill="1" applyBorder="1" applyAlignment="1">
      <alignment horizontal="center"/>
    </xf>
    <xf numFmtId="4" fontId="216" fillId="63" borderId="46" xfId="0" applyNumberFormat="1" applyFont="1" applyFill="1" applyBorder="1" applyAlignment="1">
      <alignment horizontal="center"/>
    </xf>
    <xf numFmtId="3" fontId="216" fillId="0" borderId="39" xfId="0" applyNumberFormat="1" applyFont="1" applyBorder="1" applyAlignment="1">
      <alignment horizontal="center"/>
    </xf>
    <xf numFmtId="0" fontId="242" fillId="0" borderId="39" xfId="0" applyFont="1" applyBorder="1" applyAlignment="1">
      <alignment horizontal="center"/>
    </xf>
    <xf numFmtId="0" fontId="197" fillId="65" borderId="39" xfId="0" applyFont="1" applyFill="1" applyBorder="1" applyAlignment="1">
      <alignment horizontal="center" vertical="top"/>
    </xf>
    <xf numFmtId="0" fontId="197" fillId="65" borderId="46" xfId="0" applyFont="1" applyFill="1" applyBorder="1" applyAlignment="1">
      <alignment vertical="top" wrapText="1"/>
    </xf>
    <xf numFmtId="170" fontId="197" fillId="65" borderId="39" xfId="0" applyNumberFormat="1" applyFont="1" applyFill="1" applyBorder="1" applyAlignment="1">
      <alignment vertical="top"/>
    </xf>
    <xf numFmtId="3" fontId="224" fillId="0" borderId="39" xfId="0" applyNumberFormat="1" applyFont="1" applyBorder="1" applyAlignment="1">
      <alignment horizontal="center"/>
    </xf>
    <xf numFmtId="0" fontId="232" fillId="64" borderId="46" xfId="0" applyFont="1" applyFill="1" applyBorder="1" applyAlignment="1">
      <alignment horizontal="center"/>
    </xf>
    <xf numFmtId="0" fontId="224" fillId="64" borderId="39" xfId="0" applyFont="1" applyFill="1" applyBorder="1" applyAlignment="1">
      <alignment horizontal="center"/>
    </xf>
    <xf numFmtId="4" fontId="224" fillId="64" borderId="46" xfId="0" applyNumberFormat="1" applyFont="1" applyFill="1" applyBorder="1" applyAlignment="1">
      <alignment horizontal="center"/>
    </xf>
    <xf numFmtId="0" fontId="216" fillId="64" borderId="39" xfId="0" applyFont="1" applyFill="1" applyBorder="1" applyAlignment="1">
      <alignment horizontal="center"/>
    </xf>
    <xf numFmtId="0" fontId="232" fillId="0" borderId="203" xfId="0" applyFont="1" applyBorder="1" applyAlignment="1">
      <alignment horizontal="left"/>
    </xf>
    <xf numFmtId="0" fontId="237" fillId="0" borderId="43" xfId="0" applyFont="1" applyBorder="1" applyAlignment="1">
      <alignment horizontal="center"/>
    </xf>
    <xf numFmtId="0" fontId="237" fillId="0" borderId="0" xfId="0" applyFont="1" applyAlignment="1">
      <alignment horizontal="center"/>
    </xf>
    <xf numFmtId="0" fontId="237" fillId="0" borderId="46" xfId="0" applyFont="1" applyBorder="1" applyAlignment="1">
      <alignment horizontal="left"/>
    </xf>
    <xf numFmtId="3" fontId="242" fillId="0" borderId="39" xfId="0" applyNumberFormat="1" applyFont="1" applyBorder="1" applyAlignment="1">
      <alignment horizontal="center"/>
    </xf>
    <xf numFmtId="0" fontId="200" fillId="0" borderId="203" xfId="838" applyFont="1" applyBorder="1" applyAlignment="1">
      <alignment horizontal="left"/>
    </xf>
    <xf numFmtId="0" fontId="197" fillId="0" borderId="0" xfId="838" applyFont="1" applyAlignment="1" applyProtection="1">
      <alignment horizontal="center" vertical="center"/>
      <protection hidden="1"/>
    </xf>
    <xf numFmtId="170" fontId="215" fillId="0" borderId="39" xfId="0" applyNumberFormat="1" applyFont="1" applyBorder="1" applyAlignment="1">
      <alignment horizontal="center"/>
    </xf>
    <xf numFmtId="4" fontId="215" fillId="0" borderId="39" xfId="0" applyNumberFormat="1" applyFont="1" applyBorder="1" applyAlignment="1">
      <alignment horizontal="center"/>
    </xf>
    <xf numFmtId="4" fontId="215" fillId="0" borderId="55" xfId="0" applyNumberFormat="1" applyFont="1" applyBorder="1" applyAlignment="1">
      <alignment horizontal="center"/>
    </xf>
    <xf numFmtId="4" fontId="242" fillId="0" borderId="39" xfId="0" applyNumberFormat="1" applyFont="1" applyBorder="1" applyAlignment="1">
      <alignment horizontal="center"/>
    </xf>
    <xf numFmtId="4" fontId="215" fillId="63" borderId="39" xfId="0" applyNumberFormat="1" applyFont="1" applyFill="1" applyBorder="1" applyAlignment="1">
      <alignment horizontal="center"/>
    </xf>
    <xf numFmtId="4" fontId="215" fillId="64" borderId="39" xfId="0" applyNumberFormat="1" applyFont="1" applyFill="1" applyBorder="1" applyAlignment="1">
      <alignment horizontal="center"/>
    </xf>
    <xf numFmtId="4" fontId="215" fillId="0" borderId="41" xfId="0" applyNumberFormat="1" applyFont="1" applyBorder="1" applyAlignment="1">
      <alignment horizontal="center"/>
    </xf>
    <xf numFmtId="4" fontId="243" fillId="0" borderId="0" xfId="0" applyNumberFormat="1" applyFont="1"/>
    <xf numFmtId="3" fontId="216" fillId="0" borderId="0" xfId="0" applyNumberFormat="1" applyFont="1"/>
    <xf numFmtId="3" fontId="216" fillId="0" borderId="0" xfId="0" applyNumberFormat="1" applyFont="1" applyAlignment="1">
      <alignment horizontal="left"/>
    </xf>
    <xf numFmtId="3" fontId="216" fillId="0" borderId="39" xfId="0" applyNumberFormat="1" applyFont="1" applyBorder="1" applyAlignment="1">
      <alignment horizontal="left"/>
    </xf>
    <xf numFmtId="3" fontId="240" fillId="0" borderId="47" xfId="0" applyNumberFormat="1" applyFont="1" applyBorder="1" applyAlignment="1">
      <alignment horizontal="left"/>
    </xf>
    <xf numFmtId="3" fontId="232" fillId="0" borderId="47" xfId="0" applyNumberFormat="1" applyFont="1" applyBorder="1" applyAlignment="1">
      <alignment horizontal="left"/>
    </xf>
    <xf numFmtId="3" fontId="238" fillId="0" borderId="46" xfId="0" applyNumberFormat="1" applyFont="1" applyBorder="1" applyAlignment="1">
      <alignment horizontal="left"/>
    </xf>
    <xf numFmtId="3" fontId="232" fillId="0" borderId="47" xfId="0" applyNumberFormat="1" applyFont="1" applyBorder="1"/>
    <xf numFmtId="3" fontId="232" fillId="0" borderId="46" xfId="0" applyNumberFormat="1" applyFont="1" applyBorder="1" applyAlignment="1">
      <alignment horizontal="left"/>
    </xf>
    <xf numFmtId="3" fontId="232" fillId="0" borderId="57" xfId="0" applyNumberFormat="1" applyFont="1" applyBorder="1" applyAlignment="1">
      <alignment horizontal="left"/>
    </xf>
    <xf numFmtId="3" fontId="232" fillId="0" borderId="47" xfId="0" applyNumberFormat="1" applyFont="1" applyBorder="1" applyAlignment="1">
      <alignment horizontal="left" wrapText="1"/>
    </xf>
    <xf numFmtId="3" fontId="232" fillId="64" borderId="47" xfId="0" applyNumberFormat="1" applyFont="1" applyFill="1" applyBorder="1" applyAlignment="1">
      <alignment horizontal="left"/>
    </xf>
    <xf numFmtId="3" fontId="240" fillId="0" borderId="47" xfId="0" applyNumberFormat="1" applyFont="1" applyBorder="1"/>
    <xf numFmtId="3" fontId="238" fillId="0" borderId="47" xfId="0" applyNumberFormat="1" applyFont="1" applyBorder="1" applyAlignment="1">
      <alignment horizontal="left"/>
    </xf>
    <xf numFmtId="3" fontId="232" fillId="0" borderId="47" xfId="0" applyNumberFormat="1" applyFont="1" applyBorder="1" applyAlignment="1">
      <alignment horizontal="center"/>
    </xf>
    <xf numFmtId="3" fontId="232" fillId="0" borderId="216" xfId="0" applyNumberFormat="1" applyFont="1" applyBorder="1" applyAlignment="1">
      <alignment horizontal="left"/>
    </xf>
    <xf numFmtId="3" fontId="232" fillId="0" borderId="51" xfId="0" applyNumberFormat="1" applyFont="1" applyBorder="1" applyAlignment="1">
      <alignment horizontal="left"/>
    </xf>
    <xf numFmtId="3" fontId="237" fillId="0" borderId="47" xfId="0" applyNumberFormat="1" applyFont="1" applyBorder="1" applyAlignment="1">
      <alignment horizontal="left"/>
    </xf>
    <xf numFmtId="3" fontId="232" fillId="63" borderId="47" xfId="0" applyNumberFormat="1" applyFont="1" applyFill="1" applyBorder="1" applyAlignment="1">
      <alignment horizontal="left"/>
    </xf>
    <xf numFmtId="3" fontId="237" fillId="0" borderId="0" xfId="0" applyNumberFormat="1" applyFont="1" applyAlignment="1">
      <alignment horizontal="left" vertical="center"/>
    </xf>
    <xf numFmtId="3" fontId="232" fillId="0" borderId="0" xfId="0" applyNumberFormat="1" applyFont="1"/>
    <xf numFmtId="0" fontId="213" fillId="0" borderId="0" xfId="0" applyFont="1"/>
    <xf numFmtId="0" fontId="244" fillId="0" borderId="16" xfId="838" applyFont="1" applyBorder="1" applyAlignment="1" applyProtection="1">
      <alignment horizontal="center" vertical="center"/>
      <protection hidden="1"/>
    </xf>
    <xf numFmtId="0" fontId="245" fillId="0" borderId="16" xfId="838" applyFont="1" applyBorder="1" applyAlignment="1" applyProtection="1">
      <alignment horizontal="center" vertical="center"/>
      <protection hidden="1"/>
    </xf>
    <xf numFmtId="0" fontId="244" fillId="0" borderId="16" xfId="838" quotePrefix="1" applyFont="1" applyBorder="1" applyAlignment="1" applyProtection="1">
      <alignment horizontal="center" vertical="center"/>
      <protection hidden="1"/>
    </xf>
    <xf numFmtId="0" fontId="244" fillId="0" borderId="220" xfId="838" applyFont="1" applyBorder="1" applyAlignment="1" applyProtection="1">
      <alignment horizontal="center" vertical="center"/>
      <protection hidden="1"/>
    </xf>
    <xf numFmtId="0" fontId="245" fillId="0" borderId="209" xfId="838" applyFont="1" applyBorder="1" applyAlignment="1" applyProtection="1">
      <alignment horizontal="center" vertical="center"/>
      <protection hidden="1"/>
    </xf>
    <xf numFmtId="0" fontId="244" fillId="0" borderId="209" xfId="330" applyNumberFormat="1" applyFont="1" applyFill="1" applyBorder="1" applyAlignment="1" applyProtection="1">
      <alignment horizontal="center" vertical="center"/>
      <protection hidden="1"/>
    </xf>
    <xf numFmtId="0" fontId="244" fillId="0" borderId="206" xfId="838" applyFont="1" applyBorder="1" applyAlignment="1" applyProtection="1">
      <alignment horizontal="center" vertical="center"/>
      <protection hidden="1"/>
    </xf>
    <xf numFmtId="0" fontId="197" fillId="0" borderId="175" xfId="838" applyFont="1" applyBorder="1" applyAlignment="1" applyProtection="1">
      <alignment horizontal="center" vertical="center"/>
      <protection hidden="1"/>
    </xf>
    <xf numFmtId="169" fontId="197" fillId="0" borderId="222" xfId="838" applyNumberFormat="1" applyFont="1" applyBorder="1" applyAlignment="1" applyProtection="1">
      <alignment horizontal="center" vertical="center"/>
      <protection hidden="1"/>
    </xf>
    <xf numFmtId="0" fontId="197" fillId="0" borderId="223" xfId="838" applyFont="1" applyBorder="1" applyAlignment="1" applyProtection="1">
      <alignment horizontal="center" vertical="center"/>
      <protection hidden="1"/>
    </xf>
    <xf numFmtId="0" fontId="198" fillId="0" borderId="224" xfId="838" applyFont="1" applyBorder="1" applyAlignment="1" applyProtection="1">
      <alignment vertical="center"/>
      <protection hidden="1"/>
    </xf>
    <xf numFmtId="0" fontId="198" fillId="0" borderId="15" xfId="838" applyFont="1" applyBorder="1" applyAlignment="1" applyProtection="1">
      <alignment vertical="center"/>
      <protection hidden="1"/>
    </xf>
    <xf numFmtId="0" fontId="198" fillId="0" borderId="225" xfId="838" applyFont="1" applyBorder="1" applyAlignment="1" applyProtection="1">
      <alignment horizontal="center" vertical="center"/>
      <protection hidden="1"/>
    </xf>
    <xf numFmtId="183" fontId="197" fillId="0" borderId="225" xfId="198" applyNumberFormat="1" applyFont="1" applyFill="1" applyBorder="1" applyAlignment="1" applyProtection="1">
      <alignment horizontal="right" vertical="center"/>
      <protection hidden="1"/>
    </xf>
    <xf numFmtId="0" fontId="197" fillId="0" borderId="226" xfId="838" applyFont="1" applyBorder="1" applyAlignment="1" applyProtection="1">
      <alignment horizontal="center" vertical="center"/>
      <protection hidden="1"/>
    </xf>
    <xf numFmtId="0" fontId="204" fillId="0" borderId="209" xfId="0" applyFont="1" applyBorder="1" applyAlignment="1">
      <alignment horizontal="center"/>
    </xf>
    <xf numFmtId="0" fontId="204" fillId="0" borderId="204" xfId="0" applyFont="1" applyBorder="1"/>
    <xf numFmtId="0" fontId="204" fillId="0" borderId="205" xfId="0" applyFont="1" applyBorder="1"/>
    <xf numFmtId="0" fontId="204" fillId="0" borderId="209" xfId="0" applyFont="1" applyBorder="1"/>
    <xf numFmtId="0" fontId="234" fillId="0" borderId="0" xfId="0" applyFont="1" applyAlignment="1">
      <alignment horizontal="center"/>
    </xf>
    <xf numFmtId="268" fontId="237" fillId="0" borderId="209" xfId="0" applyNumberFormat="1" applyFont="1" applyBorder="1" applyAlignment="1">
      <alignment horizontal="center"/>
    </xf>
    <xf numFmtId="0" fontId="237" fillId="0" borderId="39" xfId="0" applyFont="1" applyBorder="1" applyAlignment="1">
      <alignment horizontal="center"/>
    </xf>
    <xf numFmtId="0" fontId="237" fillId="0" borderId="225" xfId="0" applyFont="1" applyBorder="1" applyAlignment="1">
      <alignment horizontal="center"/>
    </xf>
    <xf numFmtId="0" fontId="232" fillId="0" borderId="157" xfId="0" applyFont="1" applyBorder="1" applyAlignment="1">
      <alignment horizontal="center" vertical="center"/>
    </xf>
    <xf numFmtId="268" fontId="232" fillId="0" borderId="108" xfId="0" applyNumberFormat="1" applyFont="1" applyBorder="1" applyAlignment="1">
      <alignment vertical="center"/>
    </xf>
    <xf numFmtId="268" fontId="237" fillId="0" borderId="236" xfId="0" applyNumberFormat="1" applyFont="1" applyBorder="1" applyAlignment="1">
      <alignment vertical="center"/>
    </xf>
    <xf numFmtId="269" fontId="232" fillId="0" borderId="234" xfId="0" applyNumberFormat="1" applyFont="1" applyBorder="1" applyAlignment="1">
      <alignment vertical="center"/>
    </xf>
    <xf numFmtId="268" fontId="232" fillId="0" borderId="110" xfId="0" applyNumberFormat="1" applyFont="1" applyBorder="1" applyAlignment="1">
      <alignment vertical="center"/>
    </xf>
    <xf numFmtId="268" fontId="237" fillId="0" borderId="240" xfId="0" applyNumberFormat="1" applyFont="1" applyBorder="1" applyAlignment="1">
      <alignment vertical="center"/>
    </xf>
    <xf numFmtId="0" fontId="248" fillId="0" borderId="0" xfId="838" applyFont="1" applyAlignment="1">
      <alignment horizontal="left"/>
    </xf>
    <xf numFmtId="0" fontId="248" fillId="0" borderId="0" xfId="838" applyFont="1" applyAlignment="1">
      <alignment horizontal="center"/>
    </xf>
    <xf numFmtId="0" fontId="202" fillId="0" borderId="204" xfId="838" applyFont="1" applyBorder="1" applyAlignment="1">
      <alignment horizontal="left"/>
    </xf>
    <xf numFmtId="0" fontId="202" fillId="0" borderId="205" xfId="838" applyFont="1" applyBorder="1" applyAlignment="1">
      <alignment horizontal="left"/>
    </xf>
    <xf numFmtId="170" fontId="200" fillId="0" borderId="209" xfId="838" applyNumberFormat="1" applyFont="1" applyBorder="1"/>
    <xf numFmtId="0" fontId="200" fillId="0" borderId="204" xfId="838" applyFont="1" applyBorder="1" applyAlignment="1">
      <alignment horizontal="left"/>
    </xf>
    <xf numFmtId="0" fontId="200" fillId="0" borderId="205" xfId="838" applyFont="1" applyBorder="1" applyAlignment="1">
      <alignment horizontal="left"/>
    </xf>
    <xf numFmtId="181" fontId="200" fillId="0" borderId="209" xfId="841" applyNumberFormat="1" applyFont="1" applyBorder="1" applyAlignment="1">
      <alignment horizontal="center"/>
    </xf>
    <xf numFmtId="170" fontId="202" fillId="0" borderId="209" xfId="838" applyNumberFormat="1" applyFont="1" applyBorder="1"/>
    <xf numFmtId="0" fontId="200" fillId="0" borderId="203" xfId="0" applyFont="1" applyBorder="1" applyAlignment="1">
      <alignment horizontal="left" vertical="center"/>
    </xf>
    <xf numFmtId="0" fontId="204" fillId="0" borderId="204" xfId="0" applyFont="1" applyBorder="1" applyAlignment="1">
      <alignment horizontal="center"/>
    </xf>
    <xf numFmtId="0" fontId="204" fillId="0" borderId="203" xfId="0" applyFont="1" applyBorder="1"/>
    <xf numFmtId="170" fontId="204" fillId="0" borderId="205" xfId="0" applyNumberFormat="1" applyFont="1" applyBorder="1"/>
    <xf numFmtId="0" fontId="198" fillId="0" borderId="195" xfId="838" applyFont="1" applyBorder="1" applyProtection="1">
      <protection hidden="1"/>
    </xf>
    <xf numFmtId="170" fontId="204" fillId="0" borderId="209" xfId="0" applyNumberFormat="1" applyFont="1" applyBorder="1"/>
    <xf numFmtId="0" fontId="211" fillId="0" borderId="195" xfId="838" applyFont="1" applyBorder="1" applyProtection="1">
      <protection hidden="1"/>
    </xf>
    <xf numFmtId="170" fontId="234" fillId="0" borderId="209" xfId="0" applyNumberFormat="1" applyFont="1" applyBorder="1"/>
    <xf numFmtId="0" fontId="200" fillId="41" borderId="0" xfId="0" applyFont="1" applyFill="1" applyProtection="1">
      <protection hidden="1"/>
    </xf>
    <xf numFmtId="0" fontId="200" fillId="41" borderId="0" xfId="0" applyFont="1" applyFill="1" applyAlignment="1" applyProtection="1">
      <alignment horizontal="center" vertical="center"/>
      <protection hidden="1"/>
    </xf>
    <xf numFmtId="0" fontId="202" fillId="41" borderId="0" xfId="0" applyFont="1" applyFill="1" applyProtection="1">
      <protection hidden="1"/>
    </xf>
    <xf numFmtId="170" fontId="202" fillId="41" borderId="61" xfId="115" applyFont="1" applyFill="1" applyBorder="1" applyAlignment="1" applyProtection="1">
      <alignment horizontal="right" vertical="top"/>
      <protection hidden="1"/>
    </xf>
    <xf numFmtId="170" fontId="202" fillId="41" borderId="0" xfId="115" applyFont="1" applyFill="1" applyBorder="1" applyAlignment="1" applyProtection="1">
      <alignment horizontal="right" vertical="top"/>
      <protection hidden="1"/>
    </xf>
    <xf numFmtId="170" fontId="200" fillId="41" borderId="0" xfId="115" applyFont="1" applyFill="1" applyBorder="1" applyAlignment="1" applyProtection="1">
      <alignment horizontal="right" vertical="top"/>
      <protection hidden="1"/>
    </xf>
    <xf numFmtId="0" fontId="200" fillId="41" borderId="0" xfId="0" applyFont="1" applyFill="1" applyAlignment="1" applyProtection="1">
      <alignment vertical="center"/>
      <protection hidden="1"/>
    </xf>
    <xf numFmtId="183" fontId="197" fillId="41" borderId="39" xfId="198" applyNumberFormat="1" applyFont="1" applyFill="1" applyBorder="1" applyAlignment="1" applyProtection="1">
      <alignment horizontal="right" vertical="center"/>
      <protection hidden="1"/>
    </xf>
    <xf numFmtId="0" fontId="198" fillId="41" borderId="0" xfId="838" applyFont="1" applyFill="1" applyAlignment="1" applyProtection="1">
      <alignment vertical="center"/>
      <protection hidden="1"/>
    </xf>
    <xf numFmtId="0" fontId="198" fillId="41" borderId="0" xfId="847" applyFont="1" applyFill="1" applyAlignment="1" applyProtection="1">
      <alignment vertical="center"/>
      <protection hidden="1"/>
    </xf>
    <xf numFmtId="0" fontId="198" fillId="41" borderId="0" xfId="838" applyFont="1" applyFill="1" applyAlignment="1" applyProtection="1">
      <alignment vertical="top"/>
      <protection hidden="1"/>
    </xf>
    <xf numFmtId="0" fontId="238" fillId="0" borderId="0" xfId="0" applyFont="1" applyAlignment="1">
      <alignment horizontal="center" vertical="center"/>
    </xf>
    <xf numFmtId="3" fontId="232" fillId="0" borderId="46" xfId="0" applyNumberFormat="1" applyFont="1" applyBorder="1" applyAlignment="1">
      <alignment horizontal="center"/>
    </xf>
    <xf numFmtId="0" fontId="240" fillId="0" borderId="0" xfId="0" applyFont="1" applyAlignment="1">
      <alignment horizontal="left"/>
    </xf>
    <xf numFmtId="0" fontId="240" fillId="0" borderId="216" xfId="0" applyFont="1" applyBorder="1" applyAlignment="1">
      <alignment horizontal="left"/>
    </xf>
    <xf numFmtId="0" fontId="237" fillId="0" borderId="216" xfId="0" applyFont="1" applyBorder="1" applyAlignment="1">
      <alignment horizontal="left"/>
    </xf>
    <xf numFmtId="0" fontId="197" fillId="67" borderId="46" xfId="0" applyFont="1" applyFill="1" applyBorder="1" applyAlignment="1">
      <alignment vertical="top" wrapText="1"/>
    </xf>
    <xf numFmtId="170" fontId="202" fillId="67" borderId="67" xfId="115" applyFont="1" applyFill="1" applyBorder="1" applyAlignment="1" applyProtection="1">
      <alignment horizontal="right" vertical="top"/>
      <protection hidden="1"/>
    </xf>
    <xf numFmtId="0" fontId="200" fillId="67" borderId="0" xfId="0" applyFont="1" applyFill="1" applyProtection="1">
      <protection hidden="1"/>
    </xf>
    <xf numFmtId="0" fontId="202" fillId="67" borderId="0" xfId="0" applyFont="1" applyFill="1" applyProtection="1">
      <protection hidden="1"/>
    </xf>
    <xf numFmtId="0" fontId="200" fillId="67" borderId="0" xfId="0" applyFont="1" applyFill="1" applyAlignment="1" applyProtection="1">
      <alignment horizontal="center" vertical="center"/>
      <protection hidden="1"/>
    </xf>
    <xf numFmtId="170" fontId="202" fillId="67" borderId="61" xfId="115" applyFont="1" applyFill="1" applyBorder="1" applyAlignment="1" applyProtection="1">
      <alignment horizontal="right" vertical="top"/>
      <protection hidden="1"/>
    </xf>
    <xf numFmtId="170" fontId="200" fillId="67" borderId="0" xfId="115" applyFont="1" applyFill="1" applyBorder="1" applyAlignment="1" applyProtection="1">
      <alignment horizontal="right" vertical="top"/>
      <protection hidden="1"/>
    </xf>
    <xf numFmtId="0" fontId="232" fillId="0" borderId="186" xfId="0" applyFont="1" applyBorder="1" applyAlignment="1">
      <alignment horizontal="center"/>
    </xf>
    <xf numFmtId="0" fontId="238" fillId="0" borderId="47" xfId="0" applyFont="1" applyBorder="1" applyAlignment="1">
      <alignment horizontal="left"/>
    </xf>
    <xf numFmtId="0" fontId="215" fillId="0" borderId="175" xfId="0" applyFont="1" applyBorder="1" applyAlignment="1">
      <alignment horizontal="center"/>
    </xf>
    <xf numFmtId="3" fontId="238" fillId="0" borderId="51" xfId="0" applyNumberFormat="1" applyFont="1" applyBorder="1" applyAlignment="1">
      <alignment horizontal="left"/>
    </xf>
    <xf numFmtId="0" fontId="197" fillId="66" borderId="39" xfId="0" applyFont="1" applyFill="1" applyBorder="1" applyAlignment="1">
      <alignment horizontal="center" vertical="top"/>
    </xf>
    <xf numFmtId="0" fontId="197" fillId="66" borderId="46" xfId="0" applyFont="1" applyFill="1" applyBorder="1" applyAlignment="1">
      <alignment vertical="top"/>
    </xf>
    <xf numFmtId="170" fontId="197" fillId="66" borderId="39" xfId="0" applyNumberFormat="1" applyFont="1" applyFill="1" applyBorder="1" applyAlignment="1">
      <alignment vertical="top"/>
    </xf>
    <xf numFmtId="0" fontId="197" fillId="66" borderId="46" xfId="0" applyFont="1" applyFill="1" applyBorder="1" applyAlignment="1">
      <alignment vertical="top" wrapText="1"/>
    </xf>
    <xf numFmtId="0" fontId="200" fillId="66" borderId="0" xfId="0" applyFont="1" applyFill="1" applyAlignment="1" applyProtection="1">
      <alignment horizontal="center"/>
      <protection hidden="1"/>
    </xf>
    <xf numFmtId="0" fontId="200" fillId="66" borderId="0" xfId="0" applyFont="1" applyFill="1" applyProtection="1">
      <protection hidden="1"/>
    </xf>
    <xf numFmtId="0" fontId="202" fillId="66" borderId="0" xfId="0" applyFont="1" applyFill="1" applyProtection="1">
      <protection hidden="1"/>
    </xf>
    <xf numFmtId="170" fontId="202" fillId="66" borderId="61" xfId="115" applyFont="1" applyFill="1" applyBorder="1" applyAlignment="1" applyProtection="1">
      <alignment horizontal="right" vertical="top"/>
      <protection hidden="1"/>
    </xf>
    <xf numFmtId="0" fontId="200" fillId="66" borderId="0" xfId="0" applyFont="1" applyFill="1" applyAlignment="1" applyProtection="1">
      <alignment horizontal="center" vertical="center"/>
      <protection hidden="1"/>
    </xf>
    <xf numFmtId="170" fontId="200" fillId="66" borderId="0" xfId="115" applyFont="1" applyFill="1" applyBorder="1" applyAlignment="1" applyProtection="1">
      <alignment horizontal="right" vertical="top"/>
      <protection hidden="1"/>
    </xf>
    <xf numFmtId="170" fontId="202" fillId="66" borderId="0" xfId="115" applyFont="1" applyFill="1" applyBorder="1" applyAlignment="1" applyProtection="1">
      <alignment horizontal="right" vertical="top"/>
      <protection hidden="1"/>
    </xf>
    <xf numFmtId="4" fontId="232" fillId="0" borderId="56" xfId="0" applyNumberFormat="1" applyFont="1" applyBorder="1" applyAlignment="1">
      <alignment horizontal="center"/>
    </xf>
    <xf numFmtId="0" fontId="232" fillId="0" borderId="214" xfId="0" applyFont="1" applyBorder="1" applyAlignment="1">
      <alignment horizontal="center"/>
    </xf>
    <xf numFmtId="4" fontId="232" fillId="0" borderId="203" xfId="0" applyNumberFormat="1" applyFont="1" applyBorder="1" applyAlignment="1">
      <alignment horizontal="center"/>
    </xf>
    <xf numFmtId="0" fontId="232" fillId="0" borderId="205" xfId="0" applyFont="1" applyBorder="1" applyAlignment="1">
      <alignment horizontal="center"/>
    </xf>
    <xf numFmtId="0" fontId="239" fillId="0" borderId="46" xfId="0" applyFont="1" applyBorder="1" applyAlignment="1">
      <alignment horizontal="left"/>
    </xf>
    <xf numFmtId="0" fontId="216" fillId="64" borderId="175" xfId="0" applyFont="1" applyFill="1" applyBorder="1" applyAlignment="1">
      <alignment horizontal="center"/>
    </xf>
    <xf numFmtId="3" fontId="239" fillId="64" borderId="47" xfId="0" applyNumberFormat="1" applyFont="1" applyFill="1" applyBorder="1" applyAlignment="1">
      <alignment horizontal="left"/>
    </xf>
    <xf numFmtId="4" fontId="216" fillId="64" borderId="46" xfId="0" applyNumberFormat="1" applyFont="1" applyFill="1" applyBorder="1" applyAlignment="1">
      <alignment horizontal="center"/>
    </xf>
    <xf numFmtId="4" fontId="232" fillId="0" borderId="209" xfId="0" applyNumberFormat="1" applyFont="1" applyBorder="1" applyAlignment="1">
      <alignment horizontal="center"/>
    </xf>
    <xf numFmtId="0" fontId="232" fillId="0" borderId="209" xfId="0" applyFont="1" applyBorder="1" applyAlignment="1">
      <alignment horizontal="center"/>
    </xf>
    <xf numFmtId="0" fontId="236" fillId="64" borderId="231" xfId="0" applyFont="1" applyFill="1" applyBorder="1" applyAlignment="1">
      <alignment horizontal="center" vertical="center"/>
    </xf>
    <xf numFmtId="268" fontId="236" fillId="64" borderId="232" xfId="0" applyNumberFormat="1" applyFont="1" applyFill="1" applyBorder="1" applyAlignment="1">
      <alignment horizontal="center" vertical="center"/>
    </xf>
    <xf numFmtId="3" fontId="239" fillId="0" borderId="47" xfId="0" applyNumberFormat="1" applyFont="1" applyBorder="1" applyAlignment="1">
      <alignment horizontal="left"/>
    </xf>
    <xf numFmtId="170" fontId="216" fillId="0" borderId="39" xfId="0" applyNumberFormat="1" applyFont="1" applyBorder="1" applyAlignment="1">
      <alignment horizontal="center"/>
    </xf>
    <xf numFmtId="0" fontId="224" fillId="0" borderId="55" xfId="0" applyFont="1" applyBorder="1" applyAlignment="1">
      <alignment horizontal="center"/>
    </xf>
    <xf numFmtId="4" fontId="224" fillId="0" borderId="43" xfId="0" applyNumberFormat="1" applyFont="1" applyBorder="1" applyAlignment="1">
      <alignment horizontal="center"/>
    </xf>
    <xf numFmtId="3" fontId="232" fillId="0" borderId="243" xfId="0" applyNumberFormat="1" applyFont="1" applyBorder="1" applyAlignment="1">
      <alignment horizontal="left"/>
    </xf>
    <xf numFmtId="0" fontId="232" fillId="0" borderId="50" xfId="0" applyFont="1" applyBorder="1" applyAlignment="1">
      <alignment horizontal="left"/>
    </xf>
    <xf numFmtId="170" fontId="202" fillId="41" borderId="67" xfId="115" applyFont="1" applyFill="1" applyBorder="1" applyAlignment="1" applyProtection="1">
      <alignment horizontal="right" vertical="top"/>
      <protection hidden="1"/>
    </xf>
    <xf numFmtId="170" fontId="198" fillId="41" borderId="0" xfId="838" applyNumberFormat="1" applyFont="1" applyFill="1" applyAlignment="1" applyProtection="1">
      <alignment vertical="center"/>
      <protection hidden="1"/>
    </xf>
    <xf numFmtId="0" fontId="198" fillId="41" borderId="0" xfId="847" applyFont="1" applyFill="1" applyAlignment="1" applyProtection="1">
      <alignment vertical="top"/>
      <protection hidden="1"/>
    </xf>
    <xf numFmtId="0" fontId="232" fillId="0" borderId="51" xfId="0" applyFont="1" applyBorder="1" applyAlignment="1">
      <alignment horizontal="left"/>
    </xf>
    <xf numFmtId="3" fontId="240" fillId="0" borderId="47" xfId="0" applyNumberFormat="1" applyFont="1" applyBorder="1" applyAlignment="1">
      <alignment horizontal="right"/>
    </xf>
    <xf numFmtId="3" fontId="240" fillId="0" borderId="46" xfId="0" applyNumberFormat="1" applyFont="1" applyBorder="1" applyAlignment="1">
      <alignment horizontal="right"/>
    </xf>
    <xf numFmtId="0" fontId="197" fillId="68" borderId="39" xfId="0" applyFont="1" applyFill="1" applyBorder="1" applyAlignment="1">
      <alignment horizontal="center" vertical="top"/>
    </xf>
    <xf numFmtId="0" fontId="197" fillId="68" borderId="46" xfId="0" applyFont="1" applyFill="1" applyBorder="1" applyAlignment="1">
      <alignment vertical="top" wrapText="1"/>
    </xf>
    <xf numFmtId="170" fontId="197" fillId="68" borderId="39" xfId="0" applyNumberFormat="1" applyFont="1" applyFill="1" applyBorder="1" applyAlignment="1">
      <alignment vertical="top"/>
    </xf>
    <xf numFmtId="0" fontId="197" fillId="68" borderId="40" xfId="0" applyFont="1" applyFill="1" applyBorder="1" applyAlignment="1">
      <alignment horizontal="center" vertical="top"/>
    </xf>
    <xf numFmtId="0" fontId="197" fillId="68" borderId="53" xfId="0" applyFont="1" applyFill="1" applyBorder="1" applyAlignment="1">
      <alignment vertical="top"/>
    </xf>
    <xf numFmtId="170" fontId="197" fillId="68" borderId="40" xfId="0" applyNumberFormat="1" applyFont="1" applyFill="1" applyBorder="1" applyAlignment="1">
      <alignment vertical="top"/>
    </xf>
    <xf numFmtId="0" fontId="197" fillId="68" borderId="41" xfId="0" applyFont="1" applyFill="1" applyBorder="1" applyAlignment="1">
      <alignment horizontal="center" vertical="top"/>
    </xf>
    <xf numFmtId="0" fontId="197" fillId="68" borderId="50" xfId="0" applyFont="1" applyFill="1" applyBorder="1" applyAlignment="1">
      <alignment vertical="top" wrapText="1"/>
    </xf>
    <xf numFmtId="170" fontId="197" fillId="68" borderId="41" xfId="0" applyNumberFormat="1" applyFont="1" applyFill="1" applyBorder="1" applyAlignment="1">
      <alignment vertical="top"/>
    </xf>
    <xf numFmtId="170" fontId="234" fillId="0" borderId="196" xfId="0" applyNumberFormat="1" applyFont="1" applyBorder="1"/>
    <xf numFmtId="3" fontId="232" fillId="0" borderId="47" xfId="0" applyNumberFormat="1" applyFont="1" applyBorder="1" applyAlignment="1">
      <alignment horizontal="right"/>
    </xf>
    <xf numFmtId="0" fontId="237" fillId="0" borderId="52" xfId="0" applyFont="1" applyBorder="1" applyAlignment="1">
      <alignment horizontal="center"/>
    </xf>
    <xf numFmtId="0" fontId="232" fillId="0" borderId="53" xfId="0" applyFont="1" applyBorder="1" applyAlignment="1">
      <alignment horizontal="center"/>
    </xf>
    <xf numFmtId="4" fontId="232" fillId="0" borderId="40" xfId="0" applyNumberFormat="1" applyFont="1" applyBorder="1" applyAlignment="1">
      <alignment horizontal="center"/>
    </xf>
    <xf numFmtId="0" fontId="232" fillId="0" borderId="40" xfId="0" applyFont="1" applyBorder="1" applyAlignment="1">
      <alignment horizontal="center"/>
    </xf>
    <xf numFmtId="268" fontId="232" fillId="0" borderId="54" xfId="0" applyNumberFormat="1" applyFont="1" applyBorder="1" applyAlignment="1">
      <alignment horizontal="center"/>
    </xf>
    <xf numFmtId="0" fontId="198" fillId="0" borderId="47" xfId="838" applyFont="1" applyBorder="1" applyAlignment="1" applyProtection="1">
      <alignment horizontal="center" vertical="top"/>
      <protection hidden="1"/>
    </xf>
    <xf numFmtId="0" fontId="197" fillId="0" borderId="39" xfId="838" applyFont="1" applyBorder="1" applyAlignment="1" applyProtection="1">
      <alignment horizontal="center" vertical="top"/>
      <protection hidden="1"/>
    </xf>
    <xf numFmtId="0" fontId="198" fillId="0" borderId="47" xfId="847" applyFont="1" applyBorder="1" applyAlignment="1" applyProtection="1">
      <alignment horizontal="center" vertical="top"/>
      <protection hidden="1"/>
    </xf>
    <xf numFmtId="0" fontId="198" fillId="0" borderId="39" xfId="847" applyFont="1" applyBorder="1" applyAlignment="1" applyProtection="1">
      <alignment horizontal="center" vertical="top"/>
      <protection hidden="1"/>
    </xf>
    <xf numFmtId="0" fontId="197" fillId="0" borderId="39" xfId="847" applyFont="1" applyBorder="1" applyAlignment="1" applyProtection="1">
      <alignment horizontal="center" vertical="top"/>
      <protection hidden="1"/>
    </xf>
    <xf numFmtId="0" fontId="198" fillId="0" borderId="42" xfId="199" applyNumberFormat="1" applyFont="1" applyFill="1" applyBorder="1" applyAlignment="1" applyProtection="1">
      <alignment horizontal="left" vertical="top"/>
      <protection hidden="1"/>
    </xf>
    <xf numFmtId="0" fontId="198" fillId="0" borderId="46" xfId="199" applyNumberFormat="1" applyFont="1" applyFill="1" applyBorder="1" applyAlignment="1" applyProtection="1">
      <alignment horizontal="left" vertical="top"/>
      <protection hidden="1"/>
    </xf>
    <xf numFmtId="0" fontId="232" fillId="41" borderId="46" xfId="0" applyFont="1" applyFill="1" applyBorder="1" applyAlignment="1">
      <alignment horizontal="center"/>
    </xf>
    <xf numFmtId="224" fontId="200" fillId="66" borderId="0" xfId="180" applyNumberFormat="1" applyFont="1" applyFill="1" applyAlignment="1" applyProtection="1">
      <alignment horizontal="center"/>
      <protection hidden="1"/>
    </xf>
    <xf numFmtId="183" fontId="200" fillId="66" borderId="0" xfId="180" applyNumberFormat="1" applyFont="1" applyFill="1" applyAlignment="1" applyProtection="1">
      <protection hidden="1"/>
    </xf>
    <xf numFmtId="170" fontId="200" fillId="66" borderId="0" xfId="115" applyFont="1" applyFill="1" applyAlignment="1" applyProtection="1">
      <protection hidden="1"/>
    </xf>
    <xf numFmtId="0" fontId="202" fillId="66" borderId="0" xfId="0" applyFont="1" applyFill="1" applyAlignment="1" applyProtection="1">
      <alignment horizontal="center"/>
      <protection hidden="1"/>
    </xf>
    <xf numFmtId="0" fontId="209" fillId="66" borderId="0" xfId="901" applyFont="1" applyFill="1" applyAlignment="1" applyProtection="1">
      <alignment horizontal="left" vertical="center"/>
      <protection hidden="1"/>
    </xf>
    <xf numFmtId="0" fontId="202" fillId="66" borderId="61" xfId="0" applyFont="1" applyFill="1" applyBorder="1" applyAlignment="1" applyProtection="1">
      <alignment horizontal="center" vertical="center" wrapText="1"/>
      <protection hidden="1"/>
    </xf>
    <xf numFmtId="224" fontId="202" fillId="66" borderId="61" xfId="180" applyNumberFormat="1" applyFont="1" applyFill="1" applyBorder="1" applyAlignment="1" applyProtection="1">
      <alignment horizontal="center" vertical="center" wrapText="1"/>
      <protection hidden="1"/>
    </xf>
    <xf numFmtId="183" fontId="202" fillId="66" borderId="61" xfId="180" applyNumberFormat="1" applyFont="1" applyFill="1" applyBorder="1" applyAlignment="1" applyProtection="1">
      <alignment vertical="center"/>
      <protection hidden="1"/>
    </xf>
    <xf numFmtId="170" fontId="202" fillId="66" borderId="61" xfId="115" applyFont="1" applyFill="1" applyBorder="1" applyAlignment="1" applyProtection="1">
      <alignment vertical="center"/>
      <protection hidden="1"/>
    </xf>
    <xf numFmtId="0" fontId="200" fillId="66" borderId="0" xfId="0" applyFont="1" applyFill="1" applyAlignment="1" applyProtection="1">
      <alignment vertical="center"/>
      <protection hidden="1"/>
    </xf>
    <xf numFmtId="0" fontId="202" fillId="66" borderId="61" xfId="0" applyFont="1" applyFill="1" applyBorder="1" applyAlignment="1" applyProtection="1">
      <alignment horizontal="center" vertical="top"/>
      <protection hidden="1"/>
    </xf>
    <xf numFmtId="0" fontId="202" fillId="66" borderId="61" xfId="0" applyFont="1" applyFill="1" applyBorder="1" applyAlignment="1" applyProtection="1">
      <alignment horizontal="left" vertical="top"/>
      <protection hidden="1"/>
    </xf>
    <xf numFmtId="0" fontId="200" fillId="66" borderId="61" xfId="0" applyFont="1" applyFill="1" applyBorder="1" applyAlignment="1" applyProtection="1">
      <alignment horizontal="center" vertical="top"/>
      <protection hidden="1"/>
    </xf>
    <xf numFmtId="224" fontId="200" fillId="66" borderId="61" xfId="180" applyNumberFormat="1" applyFont="1" applyFill="1" applyBorder="1" applyAlignment="1" applyProtection="1">
      <alignment horizontal="center" vertical="top"/>
      <protection hidden="1"/>
    </xf>
    <xf numFmtId="183" fontId="200" fillId="66" borderId="61" xfId="180" applyNumberFormat="1" applyFont="1" applyFill="1" applyBorder="1" applyAlignment="1" applyProtection="1">
      <alignment vertical="top"/>
      <protection hidden="1"/>
    </xf>
    <xf numFmtId="170" fontId="200" fillId="66" borderId="61" xfId="115" applyFont="1" applyFill="1" applyBorder="1" applyAlignment="1" applyProtection="1">
      <alignment vertical="top"/>
      <protection hidden="1"/>
    </xf>
    <xf numFmtId="0" fontId="200" fillId="66" borderId="61" xfId="0" applyFont="1" applyFill="1" applyBorder="1" applyAlignment="1" applyProtection="1">
      <alignment horizontal="left" vertical="top"/>
      <protection hidden="1"/>
    </xf>
    <xf numFmtId="0" fontId="208" fillId="66" borderId="16" xfId="901" applyFont="1" applyFill="1" applyBorder="1" applyProtection="1">
      <protection hidden="1"/>
    </xf>
    <xf numFmtId="224" fontId="208" fillId="66" borderId="16" xfId="180" applyNumberFormat="1" applyFont="1" applyFill="1" applyBorder="1" applyAlignment="1" applyProtection="1">
      <alignment horizontal="center" wrapText="1"/>
      <protection hidden="1"/>
    </xf>
    <xf numFmtId="0" fontId="200" fillId="66" borderId="64" xfId="0" applyFont="1" applyFill="1" applyBorder="1" applyAlignment="1" applyProtection="1">
      <alignment horizontal="left" vertical="top"/>
      <protection hidden="1"/>
    </xf>
    <xf numFmtId="0" fontId="200" fillId="66" borderId="64" xfId="0" applyFont="1" applyFill="1" applyBorder="1" applyAlignment="1" applyProtection="1">
      <alignment horizontal="center" vertical="top"/>
      <protection hidden="1"/>
    </xf>
    <xf numFmtId="170" fontId="202" fillId="66" borderId="61" xfId="115" applyFont="1" applyFill="1" applyBorder="1" applyAlignment="1" applyProtection="1">
      <alignment vertical="top"/>
      <protection hidden="1"/>
    </xf>
    <xf numFmtId="183" fontId="197" fillId="66" borderId="39" xfId="198" applyNumberFormat="1" applyFont="1" applyFill="1" applyBorder="1" applyAlignment="1" applyProtection="1">
      <alignment horizontal="right" vertical="center"/>
      <protection hidden="1"/>
    </xf>
    <xf numFmtId="0" fontId="198" fillId="66" borderId="0" xfId="838" applyFont="1" applyFill="1" applyAlignment="1" applyProtection="1">
      <alignment vertical="center"/>
      <protection hidden="1"/>
    </xf>
    <xf numFmtId="170" fontId="198" fillId="66" borderId="0" xfId="838" applyNumberFormat="1" applyFont="1" applyFill="1" applyAlignment="1" applyProtection="1">
      <alignment vertical="center"/>
      <protection hidden="1"/>
    </xf>
    <xf numFmtId="0" fontId="239" fillId="0" borderId="47" xfId="0" applyFont="1" applyBorder="1" applyAlignment="1">
      <alignment horizontal="left"/>
    </xf>
    <xf numFmtId="4" fontId="232" fillId="0" borderId="186" xfId="0" applyNumberFormat="1" applyFont="1" applyBorder="1" applyAlignment="1">
      <alignment horizontal="center"/>
    </xf>
    <xf numFmtId="268" fontId="237" fillId="0" borderId="209" xfId="0" applyNumberFormat="1" applyFont="1" applyBorder="1" applyAlignment="1">
      <alignment horizontal="right"/>
    </xf>
    <xf numFmtId="0" fontId="216" fillId="64" borderId="220" xfId="0" applyFont="1" applyFill="1" applyBorder="1" applyAlignment="1">
      <alignment horizontal="center"/>
    </xf>
    <xf numFmtId="0" fontId="237" fillId="64" borderId="204" xfId="0" applyFont="1" applyFill="1" applyBorder="1" applyAlignment="1">
      <alignment vertical="center"/>
    </xf>
    <xf numFmtId="0" fontId="237" fillId="64" borderId="203" xfId="0" applyFont="1" applyFill="1" applyBorder="1" applyAlignment="1">
      <alignment vertical="center"/>
    </xf>
    <xf numFmtId="0" fontId="237" fillId="64" borderId="205" xfId="0" applyFont="1" applyFill="1" applyBorder="1" applyAlignment="1">
      <alignment vertical="center"/>
    </xf>
    <xf numFmtId="3" fontId="240" fillId="64" borderId="205" xfId="0" applyNumberFormat="1" applyFont="1" applyFill="1" applyBorder="1" applyAlignment="1">
      <alignment horizontal="left"/>
    </xf>
    <xf numFmtId="0" fontId="224" fillId="64" borderId="209" xfId="0" applyFont="1" applyFill="1" applyBorder="1" applyAlignment="1">
      <alignment horizontal="center"/>
    </xf>
    <xf numFmtId="4" fontId="224" fillId="64" borderId="203" xfId="0" applyNumberFormat="1" applyFont="1" applyFill="1" applyBorder="1" applyAlignment="1">
      <alignment horizontal="center"/>
    </xf>
    <xf numFmtId="4" fontId="215" fillId="64" borderId="209" xfId="0" applyNumberFormat="1" applyFont="1" applyFill="1" applyBorder="1" applyAlignment="1">
      <alignment horizontal="center"/>
    </xf>
    <xf numFmtId="0" fontId="216" fillId="64" borderId="209" xfId="0" applyFont="1" applyFill="1" applyBorder="1" applyAlignment="1">
      <alignment horizontal="center"/>
    </xf>
    <xf numFmtId="3" fontId="238" fillId="0" borderId="43" xfId="0" applyNumberFormat="1" applyFont="1" applyBorder="1" applyAlignment="1">
      <alignment horizontal="left"/>
    </xf>
    <xf numFmtId="3" fontId="239" fillId="0" borderId="51" xfId="0" applyNumberFormat="1" applyFont="1" applyBorder="1" applyAlignment="1">
      <alignment horizontal="left"/>
    </xf>
    <xf numFmtId="4" fontId="216" fillId="0" borderId="41" xfId="0" applyNumberFormat="1" applyFont="1" applyBorder="1" applyAlignment="1">
      <alignment horizontal="center"/>
    </xf>
    <xf numFmtId="3" fontId="241" fillId="64" borderId="205" xfId="0" applyNumberFormat="1" applyFont="1" applyFill="1" applyBorder="1" applyAlignment="1">
      <alignment horizontal="left"/>
    </xf>
    <xf numFmtId="4" fontId="216" fillId="64" borderId="203" xfId="0" applyNumberFormat="1" applyFont="1" applyFill="1" applyBorder="1" applyAlignment="1">
      <alignment horizontal="center"/>
    </xf>
    <xf numFmtId="0" fontId="216" fillId="58" borderId="178" xfId="0" applyFont="1" applyFill="1" applyBorder="1" applyAlignment="1">
      <alignment horizontal="center"/>
    </xf>
    <xf numFmtId="3" fontId="238" fillId="58" borderId="38" xfId="0" applyNumberFormat="1" applyFont="1" applyFill="1" applyBorder="1" applyAlignment="1">
      <alignment horizontal="left"/>
    </xf>
    <xf numFmtId="0" fontId="216" fillId="58" borderId="41" xfId="0" applyFont="1" applyFill="1" applyBorder="1" applyAlignment="1">
      <alignment horizontal="center"/>
    </xf>
    <xf numFmtId="4" fontId="216" fillId="58" borderId="50" xfId="0" applyNumberFormat="1" applyFont="1" applyFill="1" applyBorder="1" applyAlignment="1">
      <alignment horizontal="center"/>
    </xf>
    <xf numFmtId="4" fontId="215" fillId="58" borderId="41" xfId="0" applyNumberFormat="1" applyFont="1" applyFill="1" applyBorder="1" applyAlignment="1">
      <alignment horizontal="center"/>
    </xf>
    <xf numFmtId="0" fontId="232" fillId="0" borderId="225" xfId="0" applyFont="1" applyBorder="1" applyAlignment="1">
      <alignment horizontal="left"/>
    </xf>
    <xf numFmtId="0" fontId="232" fillId="0" borderId="244" xfId="0" applyFont="1" applyBorder="1" applyAlignment="1">
      <alignment horizontal="center"/>
    </xf>
    <xf numFmtId="0" fontId="237" fillId="0" borderId="246" xfId="0" applyFont="1" applyBorder="1" applyAlignment="1">
      <alignment horizontal="center"/>
    </xf>
    <xf numFmtId="0" fontId="240" fillId="41" borderId="47" xfId="0" applyFont="1" applyFill="1" applyBorder="1" applyAlignment="1">
      <alignment horizontal="right"/>
    </xf>
    <xf numFmtId="0" fontId="224" fillId="41" borderId="39" xfId="0" applyFont="1" applyFill="1" applyBorder="1" applyAlignment="1">
      <alignment horizontal="center"/>
    </xf>
    <xf numFmtId="4" fontId="224" fillId="41" borderId="46" xfId="0" applyNumberFormat="1" applyFont="1" applyFill="1" applyBorder="1" applyAlignment="1">
      <alignment horizontal="center"/>
    </xf>
    <xf numFmtId="4" fontId="215" fillId="41" borderId="39" xfId="0" applyNumberFormat="1" applyFont="1" applyFill="1" applyBorder="1" applyAlignment="1">
      <alignment horizontal="center"/>
    </xf>
    <xf numFmtId="0" fontId="216" fillId="41" borderId="39" xfId="0" applyFont="1" applyFill="1" applyBorder="1" applyAlignment="1">
      <alignment horizontal="center"/>
    </xf>
    <xf numFmtId="0" fontId="200" fillId="69" borderId="0" xfId="0" applyFont="1" applyFill="1" applyProtection="1">
      <protection hidden="1"/>
    </xf>
    <xf numFmtId="0" fontId="200" fillId="69" borderId="0" xfId="0" applyFont="1" applyFill="1" applyAlignment="1" applyProtection="1">
      <alignment horizontal="center" vertical="center"/>
      <protection hidden="1"/>
    </xf>
    <xf numFmtId="0" fontId="202" fillId="69" borderId="0" xfId="0" applyFont="1" applyFill="1" applyProtection="1">
      <protection hidden="1"/>
    </xf>
    <xf numFmtId="170" fontId="202" fillId="69" borderId="61" xfId="115" applyFont="1" applyFill="1" applyBorder="1" applyAlignment="1" applyProtection="1">
      <alignment horizontal="right" vertical="top"/>
      <protection hidden="1"/>
    </xf>
    <xf numFmtId="170" fontId="202" fillId="69" borderId="67" xfId="115" applyFont="1" applyFill="1" applyBorder="1" applyAlignment="1" applyProtection="1">
      <alignment horizontal="right" vertical="top"/>
      <protection hidden="1"/>
    </xf>
    <xf numFmtId="0" fontId="232" fillId="0" borderId="42" xfId="0" applyFont="1" applyBorder="1" applyAlignment="1">
      <alignment horizontal="left" vertical="center"/>
    </xf>
    <xf numFmtId="0" fontId="232" fillId="0" borderId="47" xfId="0" applyFont="1" applyBorder="1" applyAlignment="1">
      <alignment horizontal="left" vertical="center"/>
    </xf>
    <xf numFmtId="0" fontId="135" fillId="0" borderId="0" xfId="0" applyFont="1" applyAlignment="1" applyProtection="1">
      <alignment horizontal="center"/>
      <protection hidden="1"/>
    </xf>
    <xf numFmtId="0" fontId="135" fillId="0" borderId="0" xfId="0" applyFont="1" applyProtection="1">
      <protection hidden="1"/>
    </xf>
    <xf numFmtId="224" fontId="135" fillId="0" borderId="0" xfId="180" applyNumberFormat="1" applyFont="1" applyFill="1" applyAlignment="1" applyProtection="1">
      <alignment horizontal="center"/>
      <protection hidden="1"/>
    </xf>
    <xf numFmtId="183" fontId="135" fillId="0" borderId="0" xfId="180" applyNumberFormat="1" applyFont="1" applyFill="1" applyAlignment="1" applyProtection="1">
      <protection hidden="1"/>
    </xf>
    <xf numFmtId="170" fontId="135" fillId="0" borderId="0" xfId="115" applyFont="1" applyFill="1" applyAlignment="1" applyProtection="1">
      <protection hidden="1"/>
    </xf>
    <xf numFmtId="0" fontId="249" fillId="0" borderId="0" xfId="0" applyFont="1" applyAlignment="1" applyProtection="1">
      <alignment horizontal="center"/>
      <protection hidden="1"/>
    </xf>
    <xf numFmtId="0" fontId="249" fillId="0" borderId="61" xfId="0" applyFont="1" applyBorder="1" applyAlignment="1" applyProtection="1">
      <alignment horizontal="center" vertical="center" wrapText="1"/>
      <protection hidden="1"/>
    </xf>
    <xf numFmtId="224" fontId="249" fillId="0" borderId="61" xfId="180" applyNumberFormat="1" applyFont="1" applyFill="1" applyBorder="1" applyAlignment="1" applyProtection="1">
      <alignment horizontal="center" vertical="center" wrapText="1"/>
      <protection hidden="1"/>
    </xf>
    <xf numFmtId="183" fontId="249" fillId="0" borderId="65" xfId="180" applyNumberFormat="1" applyFont="1" applyFill="1" applyBorder="1" applyAlignment="1" applyProtection="1">
      <alignment vertical="center"/>
      <protection hidden="1"/>
    </xf>
    <xf numFmtId="183" fontId="135" fillId="0" borderId="61" xfId="180" applyNumberFormat="1" applyFont="1" applyFill="1" applyBorder="1" applyAlignment="1" applyProtection="1">
      <alignment vertical="top"/>
      <protection hidden="1"/>
    </xf>
    <xf numFmtId="170" fontId="135" fillId="0" borderId="63" xfId="115" applyFont="1" applyFill="1" applyBorder="1" applyAlignment="1" applyProtection="1">
      <alignment vertical="top"/>
      <protection hidden="1"/>
    </xf>
    <xf numFmtId="170" fontId="135" fillId="0" borderId="61" xfId="115" applyFont="1" applyFill="1" applyBorder="1" applyAlignment="1" applyProtection="1">
      <alignment vertical="top"/>
      <protection hidden="1"/>
    </xf>
    <xf numFmtId="170" fontId="249" fillId="0" borderId="61" xfId="115" applyFont="1" applyFill="1" applyBorder="1" applyAlignment="1" applyProtection="1">
      <alignment vertical="top"/>
      <protection hidden="1"/>
    </xf>
    <xf numFmtId="170" fontId="249" fillId="0" borderId="80" xfId="115" applyFont="1" applyFill="1" applyBorder="1" applyAlignment="1" applyProtection="1">
      <protection hidden="1"/>
    </xf>
    <xf numFmtId="183" fontId="249" fillId="0" borderId="61" xfId="180" applyNumberFormat="1" applyFont="1" applyFill="1" applyBorder="1" applyAlignment="1" applyProtection="1">
      <alignment vertical="center"/>
      <protection hidden="1"/>
    </xf>
    <xf numFmtId="170" fontId="249" fillId="0" borderId="61" xfId="115" applyFont="1" applyFill="1" applyBorder="1" applyAlignment="1" applyProtection="1">
      <alignment vertical="center"/>
      <protection hidden="1"/>
    </xf>
    <xf numFmtId="0" fontId="249" fillId="0" borderId="0" xfId="0" applyFont="1" applyAlignment="1" applyProtection="1">
      <alignment horizontal="center" vertical="top"/>
      <protection hidden="1"/>
    </xf>
    <xf numFmtId="0" fontId="249" fillId="0" borderId="0" xfId="0" applyFont="1" applyAlignment="1" applyProtection="1">
      <alignment horizontal="left" vertical="top"/>
      <protection hidden="1"/>
    </xf>
    <xf numFmtId="224" fontId="249" fillId="0" borderId="0" xfId="180" applyNumberFormat="1" applyFont="1" applyFill="1" applyBorder="1" applyAlignment="1" applyProtection="1">
      <alignment horizontal="center" vertical="top"/>
      <protection hidden="1"/>
    </xf>
    <xf numFmtId="183" fontId="249" fillId="0" borderId="0" xfId="180" applyNumberFormat="1" applyFont="1" applyFill="1" applyBorder="1" applyAlignment="1" applyProtection="1">
      <alignment vertical="top"/>
      <protection hidden="1"/>
    </xf>
    <xf numFmtId="170" fontId="135" fillId="0" borderId="0" xfId="115" applyFont="1" applyFill="1" applyBorder="1" applyAlignment="1" applyProtection="1">
      <alignment vertical="top"/>
      <protection hidden="1"/>
    </xf>
    <xf numFmtId="0" fontId="249" fillId="0" borderId="65" xfId="0" applyFont="1" applyBorder="1" applyAlignment="1" applyProtection="1">
      <alignment horizontal="center" vertical="center" wrapText="1"/>
      <protection hidden="1"/>
    </xf>
    <xf numFmtId="0" fontId="249" fillId="0" borderId="65" xfId="0" applyFont="1" applyBorder="1" applyAlignment="1" applyProtection="1">
      <alignment vertical="top"/>
      <protection hidden="1"/>
    </xf>
    <xf numFmtId="0" fontId="135" fillId="0" borderId="65" xfId="0" applyFont="1" applyBorder="1" applyAlignment="1" applyProtection="1">
      <alignment vertical="top"/>
      <protection hidden="1"/>
    </xf>
    <xf numFmtId="0" fontId="135" fillId="0" borderId="65" xfId="0" applyFont="1" applyBorder="1" applyAlignment="1" applyProtection="1">
      <alignment vertical="top" wrapText="1"/>
      <protection hidden="1"/>
    </xf>
    <xf numFmtId="0" fontId="249" fillId="0" borderId="68" xfId="0" applyFont="1" applyBorder="1" applyAlignment="1" applyProtection="1">
      <alignment horizontal="center" vertical="top"/>
      <protection hidden="1"/>
    </xf>
    <xf numFmtId="224" fontId="249" fillId="0" borderId="68" xfId="180" applyNumberFormat="1" applyFont="1" applyFill="1" applyBorder="1" applyAlignment="1" applyProtection="1">
      <alignment horizontal="center" vertical="top"/>
      <protection hidden="1"/>
    </xf>
    <xf numFmtId="183" fontId="249" fillId="0" borderId="68" xfId="180" applyNumberFormat="1" applyFont="1" applyFill="1" applyBorder="1" applyAlignment="1" applyProtection="1">
      <alignment vertical="top"/>
      <protection hidden="1"/>
    </xf>
    <xf numFmtId="0" fontId="250" fillId="0" borderId="65" xfId="0" applyFont="1" applyBorder="1" applyAlignment="1" applyProtection="1">
      <alignment vertical="top"/>
      <protection hidden="1"/>
    </xf>
    <xf numFmtId="0" fontId="250" fillId="0" borderId="68" xfId="0" applyFont="1" applyBorder="1" applyAlignment="1" applyProtection="1">
      <alignment horizontal="center" vertical="top"/>
      <protection hidden="1"/>
    </xf>
    <xf numFmtId="0" fontId="135" fillId="0" borderId="64" xfId="0" applyFont="1" applyBorder="1" applyAlignment="1" applyProtection="1">
      <alignment horizontal="left" vertical="top"/>
      <protection hidden="1"/>
    </xf>
    <xf numFmtId="0" fontId="135" fillId="0" borderId="61" xfId="0" applyFont="1" applyBorder="1" applyAlignment="1" applyProtection="1">
      <alignment horizontal="left" vertical="top" wrapText="1"/>
      <protection hidden="1"/>
    </xf>
    <xf numFmtId="224" fontId="135" fillId="0" borderId="63" xfId="180" applyNumberFormat="1" applyFont="1" applyFill="1" applyBorder="1" applyAlignment="1" applyProtection="1">
      <alignment horizontal="center" vertical="top"/>
      <protection hidden="1"/>
    </xf>
    <xf numFmtId="183" fontId="135" fillId="0" borderId="63" xfId="180" applyNumberFormat="1" applyFont="1" applyFill="1" applyBorder="1" applyAlignment="1" applyProtection="1">
      <alignment vertical="top"/>
      <protection hidden="1"/>
    </xf>
    <xf numFmtId="0" fontId="135" fillId="0" borderId="0" xfId="0" applyFont="1" applyAlignment="1" applyProtection="1">
      <alignment horizontal="center" vertical="top"/>
      <protection hidden="1"/>
    </xf>
    <xf numFmtId="0" fontId="135" fillId="0" borderId="0" xfId="0" applyFont="1" applyAlignment="1" applyProtection="1">
      <alignment horizontal="left" vertical="top"/>
      <protection hidden="1"/>
    </xf>
    <xf numFmtId="224" fontId="135" fillId="0" borderId="0" xfId="180" applyNumberFormat="1" applyFont="1" applyFill="1" applyBorder="1" applyAlignment="1" applyProtection="1">
      <alignment horizontal="center" vertical="top"/>
      <protection hidden="1"/>
    </xf>
    <xf numFmtId="183" fontId="135" fillId="0" borderId="0" xfId="180" applyNumberFormat="1" applyFont="1" applyFill="1" applyBorder="1" applyAlignment="1" applyProtection="1">
      <alignment vertical="top"/>
      <protection hidden="1"/>
    </xf>
    <xf numFmtId="170" fontId="135" fillId="0" borderId="0" xfId="115" applyFont="1" applyFill="1" applyBorder="1" applyAlignment="1" applyProtection="1">
      <protection hidden="1"/>
    </xf>
    <xf numFmtId="170" fontId="249" fillId="0" borderId="0" xfId="115" applyFont="1" applyFill="1" applyBorder="1" applyAlignment="1" applyProtection="1">
      <protection hidden="1"/>
    </xf>
    <xf numFmtId="170" fontId="249" fillId="0" borderId="72" xfId="115" applyFont="1" applyFill="1" applyBorder="1" applyAlignment="1" applyProtection="1">
      <alignment vertical="center"/>
      <protection hidden="1"/>
    </xf>
    <xf numFmtId="183" fontId="135" fillId="0" borderId="65" xfId="180" applyNumberFormat="1" applyFont="1" applyFill="1" applyBorder="1" applyAlignment="1" applyProtection="1">
      <alignment vertical="top"/>
      <protection hidden="1"/>
    </xf>
    <xf numFmtId="170" fontId="135" fillId="0" borderId="72" xfId="115" applyFont="1" applyFill="1" applyBorder="1" applyAlignment="1" applyProtection="1">
      <alignment vertical="top"/>
      <protection hidden="1"/>
    </xf>
    <xf numFmtId="170" fontId="249" fillId="0" borderId="61" xfId="115" applyFont="1" applyFill="1" applyBorder="1" applyAlignment="1" applyProtection="1">
      <protection hidden="1"/>
    </xf>
    <xf numFmtId="224" fontId="249" fillId="0" borderId="65" xfId="180" applyNumberFormat="1" applyFont="1" applyFill="1" applyBorder="1" applyAlignment="1" applyProtection="1">
      <alignment horizontal="center" vertical="center" wrapText="1"/>
      <protection hidden="1"/>
    </xf>
    <xf numFmtId="183" fontId="135" fillId="0" borderId="67" xfId="180" applyNumberFormat="1" applyFont="1" applyFill="1" applyBorder="1" applyAlignment="1" applyProtection="1">
      <alignment vertical="top"/>
      <protection hidden="1"/>
    </xf>
    <xf numFmtId="183" fontId="249" fillId="0" borderId="67" xfId="180" applyNumberFormat="1" applyFont="1" applyFill="1" applyBorder="1" applyAlignment="1" applyProtection="1">
      <alignment vertical="top"/>
      <protection hidden="1"/>
    </xf>
    <xf numFmtId="0" fontId="135" fillId="0" borderId="61" xfId="0" applyFont="1" applyBorder="1" applyAlignment="1" applyProtection="1">
      <alignment vertical="top"/>
      <protection hidden="1"/>
    </xf>
    <xf numFmtId="0" fontId="135" fillId="0" borderId="70" xfId="0" applyFont="1" applyBorder="1" applyAlignment="1" applyProtection="1">
      <alignment horizontal="center" vertical="top"/>
      <protection hidden="1"/>
    </xf>
    <xf numFmtId="0" fontId="135" fillId="0" borderId="70" xfId="0" applyFont="1" applyBorder="1" applyAlignment="1" applyProtection="1">
      <alignment horizontal="left" vertical="top"/>
      <protection hidden="1"/>
    </xf>
    <xf numFmtId="224" fontId="135" fillId="0" borderId="70" xfId="180" applyNumberFormat="1" applyFont="1" applyFill="1" applyBorder="1" applyAlignment="1" applyProtection="1">
      <alignment horizontal="center" vertical="top"/>
      <protection hidden="1"/>
    </xf>
    <xf numFmtId="183" fontId="135" fillId="0" borderId="70" xfId="180" applyNumberFormat="1" applyFont="1" applyFill="1" applyBorder="1" applyAlignment="1" applyProtection="1">
      <alignment vertical="top"/>
      <protection hidden="1"/>
    </xf>
    <xf numFmtId="170" fontId="135" fillId="0" borderId="70" xfId="115" applyFont="1" applyFill="1" applyBorder="1" applyAlignment="1" applyProtection="1">
      <alignment vertical="top"/>
      <protection hidden="1"/>
    </xf>
    <xf numFmtId="0" fontId="135" fillId="0" borderId="61" xfId="1012" applyFont="1" applyBorder="1" applyAlignment="1" applyProtection="1">
      <alignment horizontal="left" vertical="top"/>
      <protection hidden="1"/>
    </xf>
    <xf numFmtId="170" fontId="249" fillId="0" borderId="67" xfId="115" applyFont="1" applyFill="1" applyBorder="1" applyAlignment="1" applyProtection="1">
      <alignment vertical="top"/>
      <protection hidden="1"/>
    </xf>
    <xf numFmtId="0" fontId="249" fillId="0" borderId="0" xfId="0" applyFont="1" applyAlignment="1" applyProtection="1">
      <alignment horizontal="center" vertical="center"/>
      <protection hidden="1"/>
    </xf>
    <xf numFmtId="224" fontId="135" fillId="0" borderId="68" xfId="180" applyNumberFormat="1" applyFont="1" applyFill="1" applyBorder="1" applyAlignment="1" applyProtection="1">
      <alignment horizontal="center" vertical="top"/>
      <protection hidden="1"/>
    </xf>
    <xf numFmtId="183" fontId="135" fillId="0" borderId="69" xfId="180" applyNumberFormat="1" applyFont="1" applyFill="1" applyBorder="1" applyAlignment="1" applyProtection="1">
      <alignment vertical="top"/>
      <protection hidden="1"/>
    </xf>
    <xf numFmtId="170" fontId="135" fillId="0" borderId="67" xfId="115" applyFont="1" applyFill="1" applyBorder="1" applyAlignment="1" applyProtection="1">
      <alignment vertical="top"/>
      <protection hidden="1"/>
    </xf>
    <xf numFmtId="0" fontId="250" fillId="0" borderId="67" xfId="0" applyFont="1" applyBorder="1" applyAlignment="1" applyProtection="1">
      <alignment horizontal="center" vertical="top"/>
      <protection hidden="1"/>
    </xf>
    <xf numFmtId="0" fontId="135" fillId="0" borderId="77" xfId="0" applyFont="1" applyBorder="1" applyAlignment="1" applyProtection="1">
      <alignment horizontal="left" vertical="top"/>
      <protection hidden="1"/>
    </xf>
    <xf numFmtId="0" fontId="249" fillId="0" borderId="61" xfId="0" applyFont="1" applyBorder="1" applyAlignment="1" applyProtection="1">
      <alignment horizontal="center" vertical="top" wrapText="1"/>
      <protection hidden="1"/>
    </xf>
    <xf numFmtId="0" fontId="249" fillId="0" borderId="61" xfId="0" applyFont="1" applyBorder="1" applyAlignment="1" applyProtection="1">
      <alignment horizontal="left" vertical="top" wrapText="1"/>
      <protection hidden="1"/>
    </xf>
    <xf numFmtId="224" fontId="249" fillId="0" borderId="61" xfId="180" applyNumberFormat="1" applyFont="1" applyFill="1" applyBorder="1" applyAlignment="1" applyProtection="1">
      <alignment horizontal="center" vertical="top" wrapText="1"/>
      <protection hidden="1"/>
    </xf>
    <xf numFmtId="183" fontId="249" fillId="0" borderId="61" xfId="180" applyNumberFormat="1" applyFont="1" applyFill="1" applyBorder="1" applyAlignment="1" applyProtection="1">
      <alignment vertical="top"/>
      <protection hidden="1"/>
    </xf>
    <xf numFmtId="183" fontId="249" fillId="0" borderId="69" xfId="180" applyNumberFormat="1" applyFont="1" applyFill="1" applyBorder="1" applyAlignment="1" applyProtection="1">
      <alignment vertical="top"/>
      <protection hidden="1"/>
    </xf>
    <xf numFmtId="0" fontId="135" fillId="0" borderId="65" xfId="0" applyFont="1" applyBorder="1" applyAlignment="1" applyProtection="1">
      <alignment horizontal="center"/>
      <protection hidden="1"/>
    </xf>
    <xf numFmtId="224" fontId="135" fillId="0" borderId="61" xfId="180" applyNumberFormat="1" applyFont="1" applyFill="1" applyBorder="1" applyAlignment="1" applyProtection="1">
      <alignment horizontal="center"/>
      <protection hidden="1"/>
    </xf>
    <xf numFmtId="183" fontId="135" fillId="0" borderId="61" xfId="180" applyNumberFormat="1" applyFont="1" applyFill="1" applyBorder="1" applyAlignment="1" applyProtection="1">
      <protection hidden="1"/>
    </xf>
    <xf numFmtId="170" fontId="135" fillId="0" borderId="61" xfId="115" applyFont="1" applyFill="1" applyBorder="1" applyAlignment="1" applyProtection="1">
      <protection hidden="1"/>
    </xf>
    <xf numFmtId="0" fontId="135" fillId="0" borderId="61" xfId="0" applyFont="1" applyBorder="1" applyAlignment="1" applyProtection="1">
      <alignment horizontal="left"/>
      <protection hidden="1"/>
    </xf>
    <xf numFmtId="0" fontId="135" fillId="0" borderId="61" xfId="0" applyFont="1" applyBorder="1" applyAlignment="1" applyProtection="1">
      <alignment horizontal="left" wrapText="1"/>
      <protection hidden="1"/>
    </xf>
    <xf numFmtId="0" fontId="135" fillId="0" borderId="70" xfId="0" applyFont="1" applyBorder="1" applyAlignment="1" applyProtection="1">
      <alignment horizontal="center"/>
      <protection hidden="1"/>
    </xf>
    <xf numFmtId="0" fontId="135" fillId="0" borderId="70" xfId="0" applyFont="1" applyBorder="1" applyAlignment="1" applyProtection="1">
      <alignment horizontal="left"/>
      <protection hidden="1"/>
    </xf>
    <xf numFmtId="183" fontId="135" fillId="0" borderId="70" xfId="180" applyNumberFormat="1" applyFont="1" applyFill="1" applyBorder="1" applyAlignment="1" applyProtection="1">
      <protection hidden="1"/>
    </xf>
    <xf numFmtId="170" fontId="135" fillId="0" borderId="70" xfId="115" applyFont="1" applyFill="1" applyBorder="1" applyAlignment="1" applyProtection="1">
      <protection hidden="1"/>
    </xf>
    <xf numFmtId="0" fontId="249" fillId="0" borderId="0" xfId="0" applyFont="1" applyAlignment="1" applyProtection="1">
      <alignment horizontal="left"/>
      <protection hidden="1"/>
    </xf>
    <xf numFmtId="224" fontId="135" fillId="0" borderId="0" xfId="180" applyNumberFormat="1" applyFont="1" applyFill="1" applyBorder="1" applyAlignment="1" applyProtection="1">
      <alignment horizontal="center"/>
      <protection hidden="1"/>
    </xf>
    <xf numFmtId="183" fontId="135" fillId="0" borderId="0" xfId="180" applyNumberFormat="1" applyFont="1" applyFill="1" applyBorder="1" applyAlignment="1" applyProtection="1">
      <protection hidden="1"/>
    </xf>
    <xf numFmtId="224" fontId="249" fillId="0" borderId="0" xfId="180" applyNumberFormat="1" applyFont="1" applyFill="1" applyBorder="1" applyAlignment="1" applyProtection="1">
      <alignment horizontal="center"/>
      <protection hidden="1"/>
    </xf>
    <xf numFmtId="183" fontId="249" fillId="0" borderId="0" xfId="180" applyNumberFormat="1" applyFont="1" applyFill="1" applyBorder="1" applyAlignment="1" applyProtection="1">
      <protection hidden="1"/>
    </xf>
    <xf numFmtId="170" fontId="249" fillId="0" borderId="0" xfId="115" applyFont="1" applyFill="1" applyBorder="1" applyAlignment="1" applyProtection="1">
      <alignment vertical="top"/>
      <protection hidden="1"/>
    </xf>
    <xf numFmtId="0" fontId="135" fillId="0" borderId="0" xfId="0" applyFont="1" applyAlignment="1" applyProtection="1">
      <alignment horizontal="left"/>
      <protection hidden="1"/>
    </xf>
    <xf numFmtId="170" fontId="135" fillId="0" borderId="64" xfId="115" applyFont="1" applyFill="1" applyBorder="1" applyAlignment="1" applyProtection="1">
      <alignment vertical="top"/>
      <protection hidden="1"/>
    </xf>
    <xf numFmtId="224" fontId="135" fillId="0" borderId="61" xfId="180" applyNumberFormat="1" applyFont="1" applyFill="1" applyBorder="1" applyAlignment="1" applyProtection="1">
      <alignment horizontal="center" vertical="top" wrapText="1"/>
      <protection hidden="1"/>
    </xf>
    <xf numFmtId="0" fontId="135" fillId="0" borderId="71" xfId="0" applyFont="1" applyBorder="1" applyAlignment="1" applyProtection="1">
      <alignment horizontal="center" vertical="top"/>
      <protection hidden="1"/>
    </xf>
    <xf numFmtId="0" fontId="251" fillId="0" borderId="65" xfId="0" applyFont="1" applyBorder="1" applyAlignment="1" applyProtection="1">
      <alignment vertical="top"/>
      <protection hidden="1"/>
    </xf>
    <xf numFmtId="0" fontId="135" fillId="0" borderId="69" xfId="0" applyFont="1" applyBorder="1" applyAlignment="1" applyProtection="1">
      <alignment horizontal="center" vertical="top"/>
      <protection hidden="1"/>
    </xf>
    <xf numFmtId="0" fontId="135" fillId="0" borderId="65" xfId="0" applyFont="1" applyBorder="1" applyAlignment="1" applyProtection="1">
      <alignment horizontal="center" vertical="top" wrapText="1"/>
      <protection hidden="1"/>
    </xf>
    <xf numFmtId="224" fontId="135" fillId="0" borderId="65" xfId="180" applyNumberFormat="1" applyFont="1" applyFill="1" applyBorder="1" applyAlignment="1" applyProtection="1">
      <alignment horizontal="center" vertical="top" wrapText="1"/>
      <protection hidden="1"/>
    </xf>
    <xf numFmtId="0" fontId="249" fillId="0" borderId="71" xfId="0" applyFont="1" applyBorder="1" applyAlignment="1" applyProtection="1">
      <alignment horizontal="center" vertical="top"/>
      <protection hidden="1"/>
    </xf>
    <xf numFmtId="0" fontId="250" fillId="0" borderId="71" xfId="0" applyFont="1" applyBorder="1" applyAlignment="1" applyProtection="1">
      <alignment horizontal="center" vertical="top"/>
      <protection hidden="1"/>
    </xf>
    <xf numFmtId="0" fontId="135" fillId="0" borderId="61" xfId="0" applyFont="1" applyBorder="1" applyAlignment="1" applyProtection="1">
      <alignment horizontal="center" vertical="top" wrapText="1"/>
      <protection hidden="1"/>
    </xf>
    <xf numFmtId="170" fontId="249" fillId="0" borderId="70" xfId="115" applyFont="1" applyFill="1" applyBorder="1" applyAlignment="1" applyProtection="1">
      <alignment vertical="top"/>
      <protection hidden="1"/>
    </xf>
    <xf numFmtId="0" fontId="249" fillId="0" borderId="75" xfId="0" applyFont="1" applyBorder="1" applyAlignment="1" applyProtection="1">
      <alignment vertical="top"/>
      <protection hidden="1"/>
    </xf>
    <xf numFmtId="0" fontId="249" fillId="0" borderId="75" xfId="0" applyFont="1" applyBorder="1" applyAlignment="1" applyProtection="1">
      <alignment horizontal="center" vertical="top"/>
      <protection hidden="1"/>
    </xf>
    <xf numFmtId="224" fontId="249" fillId="0" borderId="75" xfId="180" applyNumberFormat="1" applyFont="1" applyFill="1" applyBorder="1" applyAlignment="1" applyProtection="1">
      <alignment horizontal="center" vertical="top"/>
      <protection hidden="1"/>
    </xf>
    <xf numFmtId="183" fontId="249" fillId="0" borderId="75" xfId="180" applyNumberFormat="1" applyFont="1" applyFill="1" applyBorder="1" applyAlignment="1" applyProtection="1">
      <alignment vertical="top"/>
      <protection hidden="1"/>
    </xf>
    <xf numFmtId="0" fontId="250" fillId="0" borderId="61" xfId="0" applyFont="1" applyBorder="1" applyAlignment="1" applyProtection="1">
      <alignment vertical="top"/>
      <protection hidden="1"/>
    </xf>
    <xf numFmtId="0" fontId="250" fillId="0" borderId="61" xfId="0" applyFont="1" applyBorder="1" applyAlignment="1" applyProtection="1">
      <alignment horizontal="center" vertical="top"/>
      <protection hidden="1"/>
    </xf>
    <xf numFmtId="224" fontId="249" fillId="0" borderId="61" xfId="180" applyNumberFormat="1" applyFont="1" applyFill="1" applyBorder="1" applyAlignment="1" applyProtection="1">
      <alignment horizontal="center" vertical="top"/>
      <protection hidden="1"/>
    </xf>
    <xf numFmtId="0" fontId="249" fillId="0" borderId="63" xfId="0" applyFont="1" applyBorder="1" applyAlignment="1" applyProtection="1">
      <alignment vertical="top"/>
      <protection hidden="1"/>
    </xf>
    <xf numFmtId="224" fontId="249" fillId="0" borderId="63" xfId="180" applyNumberFormat="1" applyFont="1" applyFill="1" applyBorder="1" applyAlignment="1" applyProtection="1">
      <alignment horizontal="center" vertical="top"/>
      <protection hidden="1"/>
    </xf>
    <xf numFmtId="183" fontId="249" fillId="0" borderId="63" xfId="180" applyNumberFormat="1" applyFont="1" applyFill="1" applyBorder="1" applyAlignment="1" applyProtection="1">
      <alignment vertical="top"/>
      <protection hidden="1"/>
    </xf>
    <xf numFmtId="0" fontId="249" fillId="0" borderId="0" xfId="0" applyFont="1" applyAlignment="1" applyProtection="1">
      <alignment vertical="top"/>
      <protection hidden="1"/>
    </xf>
    <xf numFmtId="0" fontId="249" fillId="0" borderId="61" xfId="0" applyFont="1" applyBorder="1" applyAlignment="1" applyProtection="1">
      <alignment vertical="top"/>
      <protection hidden="1"/>
    </xf>
    <xf numFmtId="183" fontId="135" fillId="0" borderId="61" xfId="180" applyNumberFormat="1" applyFont="1" applyFill="1" applyBorder="1" applyAlignment="1" applyProtection="1">
      <alignment horizontal="center" vertical="top"/>
      <protection hidden="1"/>
    </xf>
    <xf numFmtId="198" fontId="135" fillId="0" borderId="61" xfId="115" applyNumberFormat="1" applyFont="1" applyFill="1" applyBorder="1" applyAlignment="1" applyProtection="1">
      <alignment vertical="top"/>
      <protection hidden="1"/>
    </xf>
    <xf numFmtId="170" fontId="249" fillId="0" borderId="72" xfId="115" applyFont="1" applyFill="1" applyBorder="1" applyAlignment="1" applyProtection="1">
      <alignment vertical="top"/>
      <protection hidden="1"/>
    </xf>
    <xf numFmtId="183" fontId="249" fillId="0" borderId="61" xfId="180" applyNumberFormat="1" applyFont="1" applyFill="1" applyBorder="1" applyAlignment="1" applyProtection="1">
      <alignment vertical="center" wrapText="1"/>
      <protection hidden="1"/>
    </xf>
    <xf numFmtId="170" fontId="249" fillId="0" borderId="61" xfId="115" applyFont="1" applyFill="1" applyBorder="1" applyAlignment="1" applyProtection="1">
      <alignment vertical="center" wrapText="1"/>
      <protection hidden="1"/>
    </xf>
    <xf numFmtId="183" fontId="249" fillId="0" borderId="69" xfId="180" applyNumberFormat="1" applyFont="1" applyFill="1" applyBorder="1" applyAlignment="1" applyProtection="1">
      <alignment vertical="center"/>
      <protection hidden="1"/>
    </xf>
    <xf numFmtId="0" fontId="249" fillId="0" borderId="68" xfId="0" applyFont="1" applyBorder="1" applyAlignment="1" applyProtection="1">
      <alignment vertical="top"/>
      <protection hidden="1"/>
    </xf>
    <xf numFmtId="0" fontId="249" fillId="0" borderId="61" xfId="0" applyFont="1" applyBorder="1" applyAlignment="1" applyProtection="1">
      <alignment horizontal="center" vertical="center"/>
      <protection hidden="1"/>
    </xf>
    <xf numFmtId="224" fontId="249" fillId="0" borderId="61" xfId="180" applyNumberFormat="1" applyFont="1" applyFill="1" applyBorder="1" applyAlignment="1" applyProtection="1">
      <alignment horizontal="center" vertical="center"/>
      <protection hidden="1"/>
    </xf>
    <xf numFmtId="0" fontId="249" fillId="0" borderId="65" xfId="0" applyFont="1" applyBorder="1" applyAlignment="1" applyProtection="1">
      <alignment horizontal="center" vertical="center"/>
      <protection hidden="1"/>
    </xf>
    <xf numFmtId="224" fontId="249" fillId="0" borderId="65" xfId="180" applyNumberFormat="1" applyFont="1" applyFill="1" applyBorder="1" applyAlignment="1" applyProtection="1">
      <alignment horizontal="center" vertical="center"/>
      <protection hidden="1"/>
    </xf>
    <xf numFmtId="183" fontId="135" fillId="0" borderId="64" xfId="180" applyNumberFormat="1" applyFont="1" applyFill="1" applyBorder="1" applyAlignment="1" applyProtection="1">
      <alignment vertical="top"/>
      <protection hidden="1"/>
    </xf>
    <xf numFmtId="183" fontId="135" fillId="0" borderId="73" xfId="180" applyNumberFormat="1" applyFont="1" applyFill="1" applyBorder="1" applyAlignment="1" applyProtection="1">
      <alignment vertical="top"/>
      <protection hidden="1"/>
    </xf>
    <xf numFmtId="183" fontId="249" fillId="0" borderId="73" xfId="180" applyNumberFormat="1" applyFont="1" applyFill="1" applyBorder="1" applyAlignment="1" applyProtection="1">
      <alignment vertical="top"/>
      <protection hidden="1"/>
    </xf>
    <xf numFmtId="183" fontId="249" fillId="0" borderId="76" xfId="180" applyNumberFormat="1" applyFont="1" applyFill="1" applyBorder="1" applyAlignment="1" applyProtection="1">
      <alignment vertical="top"/>
      <protection hidden="1"/>
    </xf>
    <xf numFmtId="170" fontId="249" fillId="0" borderId="73" xfId="115" applyFont="1" applyFill="1" applyBorder="1" applyAlignment="1" applyProtection="1">
      <alignment vertical="center"/>
      <protection hidden="1"/>
    </xf>
    <xf numFmtId="170" fontId="135" fillId="0" borderId="69" xfId="115" applyFont="1" applyFill="1" applyBorder="1" applyAlignment="1" applyProtection="1">
      <alignment vertical="top"/>
      <protection hidden="1"/>
    </xf>
    <xf numFmtId="170" fontId="249" fillId="0" borderId="69" xfId="115" applyFont="1" applyFill="1" applyBorder="1" applyAlignment="1" applyProtection="1">
      <alignment vertical="top"/>
      <protection hidden="1"/>
    </xf>
    <xf numFmtId="0" fontId="249" fillId="0" borderId="61" xfId="0" applyFont="1" applyBorder="1" applyAlignment="1" applyProtection="1">
      <alignment horizontal="left" vertical="center" wrapText="1"/>
      <protection hidden="1"/>
    </xf>
    <xf numFmtId="0" fontId="249" fillId="0" borderId="64" xfId="0" applyFont="1" applyBorder="1" applyAlignment="1" applyProtection="1">
      <alignment horizontal="center" vertical="center" wrapText="1"/>
      <protection hidden="1"/>
    </xf>
    <xf numFmtId="0" fontId="249" fillId="0" borderId="0" xfId="0" applyFont="1" applyAlignment="1" applyProtection="1">
      <alignment horizontal="center" vertical="center" wrapText="1"/>
      <protection hidden="1"/>
    </xf>
    <xf numFmtId="224" fontId="249" fillId="0" borderId="0" xfId="180" applyNumberFormat="1" applyFont="1" applyFill="1" applyBorder="1" applyAlignment="1" applyProtection="1">
      <alignment horizontal="center" vertical="center" wrapText="1"/>
      <protection hidden="1"/>
    </xf>
    <xf numFmtId="183" fontId="249" fillId="0" borderId="64" xfId="180" applyNumberFormat="1" applyFont="1" applyFill="1" applyBorder="1" applyAlignment="1" applyProtection="1">
      <alignment vertical="center"/>
      <protection hidden="1"/>
    </xf>
    <xf numFmtId="170" fontId="249" fillId="0" borderId="64" xfId="115" applyFont="1" applyFill="1" applyBorder="1" applyAlignment="1" applyProtection="1">
      <alignment vertical="center"/>
      <protection hidden="1"/>
    </xf>
    <xf numFmtId="185" fontId="135" fillId="0" borderId="61" xfId="198" applyNumberFormat="1" applyFont="1" applyFill="1" applyBorder="1" applyAlignment="1" applyProtection="1">
      <alignment wrapText="1"/>
      <protection hidden="1"/>
    </xf>
    <xf numFmtId="185" fontId="135" fillId="0" borderId="61" xfId="198" applyNumberFormat="1" applyFont="1" applyFill="1" applyBorder="1" applyAlignment="1" applyProtection="1">
      <alignment horizontal="center" wrapText="1"/>
      <protection hidden="1"/>
    </xf>
    <xf numFmtId="224" fontId="135" fillId="0" borderId="61" xfId="180" applyNumberFormat="1" applyFont="1" applyFill="1" applyBorder="1" applyAlignment="1" applyProtection="1">
      <alignment horizontal="center" wrapText="1"/>
      <protection hidden="1"/>
    </xf>
    <xf numFmtId="185" fontId="249" fillId="0" borderId="61" xfId="198" applyNumberFormat="1" applyFont="1" applyFill="1" applyBorder="1" applyAlignment="1" applyProtection="1">
      <alignment horizontal="center" wrapText="1"/>
      <protection hidden="1"/>
    </xf>
    <xf numFmtId="170" fontId="135" fillId="0" borderId="61" xfId="115" applyFont="1" applyFill="1" applyBorder="1" applyAlignment="1" applyProtection="1">
      <alignment vertical="center"/>
      <protection hidden="1"/>
    </xf>
    <xf numFmtId="224" fontId="135" fillId="0" borderId="0" xfId="180" applyNumberFormat="1" applyFont="1" applyFill="1" applyBorder="1" applyAlignment="1" applyProtection="1">
      <protection hidden="1"/>
    </xf>
    <xf numFmtId="183" fontId="249" fillId="0" borderId="77" xfId="180" applyNumberFormat="1" applyFont="1" applyFill="1" applyBorder="1" applyAlignment="1" applyProtection="1">
      <alignment vertical="center"/>
      <protection hidden="1"/>
    </xf>
    <xf numFmtId="0" fontId="249" fillId="0" borderId="0" xfId="0" applyFont="1" applyProtection="1">
      <protection hidden="1"/>
    </xf>
    <xf numFmtId="170" fontId="249" fillId="0" borderId="61" xfId="115" applyFont="1" applyFill="1" applyBorder="1" applyAlignment="1" applyProtection="1">
      <alignment horizontal="left" vertical="center"/>
      <protection hidden="1"/>
    </xf>
    <xf numFmtId="0" fontId="249" fillId="0" borderId="61" xfId="1012" applyFont="1" applyBorder="1" applyAlignment="1" applyProtection="1">
      <alignment horizontal="center" vertical="center" wrapText="1"/>
      <protection hidden="1"/>
    </xf>
    <xf numFmtId="170" fontId="249" fillId="0" borderId="61" xfId="548" applyFont="1" applyFill="1" applyBorder="1" applyAlignment="1" applyProtection="1">
      <alignment vertical="center"/>
      <protection hidden="1"/>
    </xf>
    <xf numFmtId="170" fontId="135" fillId="0" borderId="61" xfId="548" applyFont="1" applyFill="1" applyBorder="1" applyAlignment="1" applyProtection="1">
      <alignment vertical="top"/>
      <protection hidden="1"/>
    </xf>
    <xf numFmtId="0" fontId="135" fillId="0" borderId="64" xfId="1012" applyFont="1" applyBorder="1" applyAlignment="1" applyProtection="1">
      <alignment horizontal="left" vertical="top"/>
      <protection hidden="1"/>
    </xf>
    <xf numFmtId="0" fontId="135" fillId="0" borderId="64" xfId="1012" applyFont="1" applyBorder="1" applyAlignment="1" applyProtection="1">
      <alignment horizontal="center" vertical="top"/>
      <protection hidden="1"/>
    </xf>
    <xf numFmtId="170" fontId="249" fillId="0" borderId="61" xfId="548" applyFont="1" applyFill="1" applyBorder="1" applyAlignment="1" applyProtection="1">
      <alignment vertical="top"/>
      <protection hidden="1"/>
    </xf>
    <xf numFmtId="0" fontId="135" fillId="0" borderId="0" xfId="1012" applyFont="1" applyAlignment="1" applyProtection="1">
      <alignment horizontal="center" vertical="top"/>
      <protection hidden="1"/>
    </xf>
    <xf numFmtId="0" fontId="135" fillId="0" borderId="0" xfId="1012" applyFont="1" applyAlignment="1" applyProtection="1">
      <alignment horizontal="left" vertical="top"/>
      <protection hidden="1"/>
    </xf>
    <xf numFmtId="170" fontId="135" fillId="0" borderId="0" xfId="1012" applyNumberFormat="1" applyFont="1" applyProtection="1">
      <protection hidden="1"/>
    </xf>
    <xf numFmtId="0" fontId="251" fillId="0" borderId="65" xfId="0" applyFont="1" applyBorder="1" applyAlignment="1" applyProtection="1">
      <alignment vertical="top" wrapText="1"/>
      <protection hidden="1"/>
    </xf>
    <xf numFmtId="0" fontId="135" fillId="0" borderId="0" xfId="0" applyFont="1" applyAlignment="1" applyProtection="1">
      <alignment vertical="top"/>
      <protection hidden="1"/>
    </xf>
    <xf numFmtId="0" fontId="249" fillId="0" borderId="61" xfId="0" applyFont="1" applyBorder="1" applyAlignment="1" applyProtection="1">
      <alignment vertical="center" wrapText="1"/>
      <protection hidden="1"/>
    </xf>
    <xf numFmtId="0" fontId="135" fillId="0" borderId="70" xfId="0" applyFont="1" applyBorder="1" applyProtection="1">
      <protection hidden="1"/>
    </xf>
    <xf numFmtId="0" fontId="249" fillId="0" borderId="80" xfId="0" applyFont="1" applyBorder="1" applyAlignment="1" applyProtection="1">
      <alignment horizontal="center" vertical="center" wrapText="1"/>
      <protection hidden="1"/>
    </xf>
    <xf numFmtId="0" fontId="249" fillId="0" borderId="0" xfId="0" applyFont="1" applyAlignment="1" applyProtection="1">
      <alignment horizontal="left" vertical="center"/>
      <protection hidden="1"/>
    </xf>
    <xf numFmtId="170" fontId="135" fillId="0" borderId="0" xfId="548" applyFont="1" applyFill="1" applyBorder="1" applyAlignment="1" applyProtection="1">
      <alignment vertical="top"/>
      <protection hidden="1"/>
    </xf>
    <xf numFmtId="224" fontId="135" fillId="0" borderId="80" xfId="180" applyNumberFormat="1" applyFont="1" applyFill="1" applyBorder="1" applyAlignment="1" applyProtection="1">
      <alignment horizontal="center" vertical="top"/>
      <protection hidden="1"/>
    </xf>
    <xf numFmtId="183" fontId="135" fillId="0" borderId="80" xfId="180" applyNumberFormat="1" applyFont="1" applyFill="1" applyBorder="1" applyAlignment="1" applyProtection="1">
      <alignment vertical="top"/>
      <protection hidden="1"/>
    </xf>
    <xf numFmtId="170" fontId="135" fillId="0" borderId="70" xfId="548" applyFont="1" applyFill="1" applyBorder="1" applyAlignment="1" applyProtection="1">
      <alignment vertical="top"/>
      <protection hidden="1"/>
    </xf>
    <xf numFmtId="0" fontId="135" fillId="0" borderId="68" xfId="0" applyFont="1" applyBorder="1" applyAlignment="1" applyProtection="1">
      <alignment vertical="top"/>
      <protection hidden="1"/>
    </xf>
    <xf numFmtId="0" fontId="135" fillId="0" borderId="68" xfId="0" applyFont="1" applyBorder="1" applyAlignment="1" applyProtection="1">
      <alignment horizontal="center" vertical="top"/>
      <protection hidden="1"/>
    </xf>
    <xf numFmtId="0" fontId="135" fillId="0" borderId="0" xfId="0" applyFont="1" applyAlignment="1" applyProtection="1">
      <alignment horizontal="center" vertical="center"/>
      <protection hidden="1"/>
    </xf>
    <xf numFmtId="0" fontId="153" fillId="0" borderId="42" xfId="838" applyFont="1" applyBorder="1" applyAlignment="1" applyProtection="1">
      <alignment vertical="center"/>
      <protection hidden="1"/>
    </xf>
    <xf numFmtId="17" fontId="135" fillId="0" borderId="61" xfId="0" applyNumberFormat="1" applyFont="1" applyBorder="1" applyAlignment="1" applyProtection="1">
      <alignment horizontal="left" vertical="top"/>
      <protection hidden="1"/>
    </xf>
    <xf numFmtId="0" fontId="135" fillId="0" borderId="61" xfId="0" applyFont="1" applyBorder="1" applyAlignment="1" applyProtection="1">
      <alignment vertical="top" wrapText="1"/>
      <protection hidden="1"/>
    </xf>
    <xf numFmtId="224" fontId="153" fillId="0" borderId="16" xfId="180" applyNumberFormat="1" applyFont="1" applyFill="1" applyBorder="1" applyAlignment="1" applyProtection="1">
      <alignment horizontal="center" wrapText="1"/>
      <protection hidden="1"/>
    </xf>
    <xf numFmtId="0" fontId="249" fillId="0" borderId="65" xfId="0" applyFont="1" applyBorder="1" applyProtection="1">
      <protection hidden="1"/>
    </xf>
    <xf numFmtId="0" fontId="249" fillId="0" borderId="68" xfId="0" applyFont="1" applyBorder="1" applyAlignment="1" applyProtection="1">
      <alignment horizontal="center"/>
      <protection hidden="1"/>
    </xf>
    <xf numFmtId="224" fontId="249" fillId="0" borderId="68" xfId="180" applyNumberFormat="1" applyFont="1" applyFill="1" applyBorder="1" applyAlignment="1" applyProtection="1">
      <alignment horizontal="center"/>
      <protection hidden="1"/>
    </xf>
    <xf numFmtId="183" fontId="249" fillId="0" borderId="67" xfId="180" applyNumberFormat="1" applyFont="1" applyFill="1" applyBorder="1" applyAlignment="1" applyProtection="1">
      <protection hidden="1"/>
    </xf>
    <xf numFmtId="0" fontId="252" fillId="0" borderId="0" xfId="901" applyFont="1" applyAlignment="1" applyProtection="1">
      <alignment horizontal="left" vertical="center"/>
      <protection hidden="1"/>
    </xf>
    <xf numFmtId="0" fontId="153" fillId="0" borderId="16" xfId="901" applyFont="1" applyBorder="1" applyProtection="1">
      <protection hidden="1"/>
    </xf>
    <xf numFmtId="0" fontId="135" fillId="0" borderId="61" xfId="0" applyFont="1" applyBorder="1" applyAlignment="1" applyProtection="1">
      <alignment horizontal="center" vertical="center" wrapText="1"/>
      <protection hidden="1"/>
    </xf>
    <xf numFmtId="0" fontId="135" fillId="0" borderId="61" xfId="0" applyFont="1" applyBorder="1" applyAlignment="1" applyProtection="1">
      <alignment horizontal="left" vertical="center" wrapText="1"/>
      <protection hidden="1"/>
    </xf>
    <xf numFmtId="224" fontId="135" fillId="0" borderId="61" xfId="180" applyNumberFormat="1" applyFont="1" applyFill="1" applyBorder="1" applyAlignment="1" applyProtection="1">
      <alignment horizontal="center" vertical="center" wrapText="1"/>
      <protection hidden="1"/>
    </xf>
    <xf numFmtId="183" fontId="135" fillId="0" borderId="61" xfId="180" applyNumberFormat="1" applyFont="1" applyFill="1" applyBorder="1" applyAlignment="1" applyProtection="1">
      <alignment vertical="center"/>
      <protection hidden="1"/>
    </xf>
    <xf numFmtId="0" fontId="253" fillId="0" borderId="16" xfId="1204" applyFont="1" applyBorder="1" applyAlignment="1">
      <alignment horizontal="center" vertical="center" wrapText="1"/>
    </xf>
    <xf numFmtId="224" fontId="253" fillId="0" borderId="16" xfId="2138" applyNumberFormat="1" applyFont="1" applyFill="1" applyBorder="1" applyAlignment="1">
      <alignment horizontal="center" vertical="center" wrapText="1"/>
    </xf>
    <xf numFmtId="222" fontId="253" fillId="0" borderId="16" xfId="1204" applyNumberFormat="1" applyFont="1" applyBorder="1" applyAlignment="1">
      <alignment vertical="center" wrapText="1"/>
    </xf>
    <xf numFmtId="170" fontId="253" fillId="0" borderId="16" xfId="1207" applyFont="1" applyFill="1" applyBorder="1" applyAlignment="1">
      <alignment vertical="center" wrapText="1"/>
    </xf>
    <xf numFmtId="0" fontId="253" fillId="0" borderId="16" xfId="1204" applyFont="1" applyBorder="1" applyAlignment="1">
      <alignment horizontal="center" vertical="center"/>
    </xf>
    <xf numFmtId="0" fontId="253" fillId="0" borderId="16" xfId="1204" applyFont="1" applyBorder="1" applyAlignment="1">
      <alignment vertical="center"/>
    </xf>
    <xf numFmtId="0" fontId="246" fillId="0" borderId="16" xfId="1204" applyFont="1" applyBorder="1" applyAlignment="1">
      <alignment horizontal="center" vertical="center"/>
    </xf>
    <xf numFmtId="224" fontId="246" fillId="0" borderId="16" xfId="2138" applyNumberFormat="1" applyFont="1" applyFill="1" applyBorder="1" applyAlignment="1">
      <alignment horizontal="center" vertical="center"/>
    </xf>
    <xf numFmtId="222" fontId="246" fillId="0" borderId="16" xfId="1204" applyNumberFormat="1" applyFont="1" applyBorder="1" applyAlignment="1">
      <alignment vertical="center"/>
    </xf>
    <xf numFmtId="170" fontId="246" fillId="0" borderId="16" xfId="1207" applyFont="1" applyFill="1" applyBorder="1" applyAlignment="1">
      <alignment vertical="center"/>
    </xf>
    <xf numFmtId="0" fontId="246" fillId="0" borderId="16" xfId="1204" applyFont="1" applyBorder="1" applyAlignment="1">
      <alignment vertical="center"/>
    </xf>
    <xf numFmtId="0" fontId="246" fillId="0" borderId="93" xfId="1204" applyFont="1" applyBorder="1" applyAlignment="1">
      <alignment horizontal="center" vertical="center"/>
    </xf>
    <xf numFmtId="222" fontId="246" fillId="0" borderId="167" xfId="1204" applyNumberFormat="1" applyFont="1" applyBorder="1" applyAlignment="1">
      <alignment vertical="center"/>
    </xf>
    <xf numFmtId="170" fontId="253" fillId="0" borderId="16" xfId="1207" applyFont="1" applyFill="1" applyBorder="1" applyAlignment="1">
      <alignment vertical="center"/>
    </xf>
    <xf numFmtId="0" fontId="246" fillId="0" borderId="93" xfId="1204" applyFont="1" applyBorder="1" applyAlignment="1">
      <alignment vertical="center"/>
    </xf>
    <xf numFmtId="0" fontId="246" fillId="0" borderId="36" xfId="1204" applyFont="1" applyBorder="1" applyAlignment="1">
      <alignment horizontal="left" vertical="center"/>
    </xf>
    <xf numFmtId="0" fontId="246" fillId="0" borderId="167" xfId="1204" applyFont="1" applyBorder="1" applyAlignment="1">
      <alignment horizontal="center" vertical="center"/>
    </xf>
    <xf numFmtId="0" fontId="253" fillId="0" borderId="45" xfId="1204" applyFont="1" applyBorder="1" applyAlignment="1">
      <alignment horizontal="center" vertical="center"/>
    </xf>
    <xf numFmtId="170" fontId="253" fillId="0" borderId="45" xfId="1207" applyFont="1" applyFill="1" applyBorder="1" applyAlignment="1">
      <alignment vertical="center"/>
    </xf>
    <xf numFmtId="9" fontId="253" fillId="0" borderId="93" xfId="1204" applyNumberFormat="1" applyFont="1" applyBorder="1" applyAlignment="1">
      <alignment horizontal="center" vertical="center"/>
    </xf>
    <xf numFmtId="0" fontId="253" fillId="0" borderId="37" xfId="1204" applyFont="1" applyBorder="1" applyAlignment="1">
      <alignment vertical="center"/>
    </xf>
    <xf numFmtId="0" fontId="253" fillId="0" borderId="0" xfId="1204" applyFont="1" applyAlignment="1">
      <alignment horizontal="center" vertical="center"/>
    </xf>
    <xf numFmtId="0" fontId="253" fillId="0" borderId="0" xfId="1204" applyFont="1" applyAlignment="1">
      <alignment horizontal="left" vertical="center"/>
    </xf>
    <xf numFmtId="0" fontId="253" fillId="0" borderId="0" xfId="1204" applyFont="1" applyAlignment="1">
      <alignment vertical="center"/>
    </xf>
    <xf numFmtId="170" fontId="253" fillId="0" borderId="0" xfId="1207" applyFont="1" applyFill="1" applyBorder="1" applyAlignment="1">
      <alignment vertical="center"/>
    </xf>
    <xf numFmtId="0" fontId="249" fillId="0" borderId="85" xfId="0" applyFont="1" applyBorder="1" applyAlignment="1" applyProtection="1">
      <alignment vertical="top"/>
      <protection hidden="1"/>
    </xf>
    <xf numFmtId="0" fontId="253" fillId="0" borderId="196" xfId="1204" applyFont="1" applyBorder="1" applyAlignment="1">
      <alignment horizontal="center" vertical="center"/>
    </xf>
    <xf numFmtId="0" fontId="246" fillId="0" borderId="198" xfId="1204" applyFont="1" applyBorder="1" applyAlignment="1">
      <alignment vertical="center"/>
    </xf>
    <xf numFmtId="0" fontId="246" fillId="0" borderId="196" xfId="1204" applyFont="1" applyBorder="1" applyAlignment="1">
      <alignment horizontal="center" vertical="center"/>
    </xf>
    <xf numFmtId="0" fontId="246" fillId="0" borderId="192" xfId="1204" applyFont="1" applyBorder="1" applyAlignment="1">
      <alignment horizontal="center" vertical="center"/>
    </xf>
    <xf numFmtId="224" fontId="246" fillId="0" borderId="198" xfId="2138" applyNumberFormat="1" applyFont="1" applyFill="1" applyBorder="1" applyAlignment="1">
      <alignment horizontal="center" vertical="center"/>
    </xf>
    <xf numFmtId="222" fontId="246" fillId="0" borderId="192" xfId="1204" applyNumberFormat="1" applyFont="1" applyBorder="1" applyAlignment="1">
      <alignment vertical="center"/>
    </xf>
    <xf numFmtId="170" fontId="246" fillId="0" borderId="196" xfId="1207" applyFont="1" applyFill="1" applyBorder="1" applyAlignment="1">
      <alignment vertical="center"/>
    </xf>
    <xf numFmtId="0" fontId="250" fillId="0" borderId="0" xfId="0" applyFont="1" applyAlignment="1" applyProtection="1">
      <alignment horizontal="left" vertical="center" wrapText="1"/>
      <protection hidden="1"/>
    </xf>
    <xf numFmtId="0" fontId="250" fillId="0" borderId="0" xfId="0" applyFont="1" applyAlignment="1" applyProtection="1">
      <alignment horizontal="center" vertical="center" wrapText="1"/>
      <protection hidden="1"/>
    </xf>
    <xf numFmtId="0" fontId="135" fillId="0" borderId="0" xfId="42649" applyFont="1" applyAlignment="1">
      <alignment vertical="center"/>
    </xf>
    <xf numFmtId="0" fontId="135" fillId="0" borderId="0" xfId="42649" applyFont="1" applyAlignment="1">
      <alignment horizontal="left" vertical="center"/>
    </xf>
    <xf numFmtId="272" fontId="135" fillId="0" borderId="0" xfId="42649" applyNumberFormat="1" applyFont="1" applyAlignment="1">
      <alignment horizontal="left" vertical="center"/>
    </xf>
    <xf numFmtId="241" fontId="135" fillId="0" borderId="0" xfId="42649" applyNumberFormat="1" applyFont="1" applyAlignment="1">
      <alignment vertical="center"/>
    </xf>
    <xf numFmtId="272" fontId="135" fillId="0" borderId="0" xfId="42649" applyNumberFormat="1" applyFont="1" applyAlignment="1">
      <alignment vertical="center"/>
    </xf>
    <xf numFmtId="170" fontId="206" fillId="0" borderId="186" xfId="1207" applyFont="1" applyFill="1" applyBorder="1" applyAlignment="1">
      <alignment vertical="center"/>
    </xf>
    <xf numFmtId="0" fontId="206" fillId="0" borderId="0" xfId="1204" applyFont="1" applyAlignment="1">
      <alignment horizontal="center" vertical="center" wrapText="1"/>
    </xf>
    <xf numFmtId="224" fontId="206" fillId="0" borderId="0" xfId="2138" applyNumberFormat="1" applyFont="1" applyFill="1" applyBorder="1" applyAlignment="1">
      <alignment horizontal="center" vertical="center" wrapText="1"/>
    </xf>
    <xf numFmtId="222" fontId="206" fillId="0" borderId="0" xfId="1204" applyNumberFormat="1" applyFont="1" applyAlignment="1">
      <alignment vertical="center" wrapText="1"/>
    </xf>
    <xf numFmtId="170" fontId="206" fillId="0" borderId="0" xfId="1207" applyFont="1" applyFill="1" applyBorder="1" applyAlignment="1">
      <alignment vertical="center" wrapText="1"/>
    </xf>
    <xf numFmtId="0" fontId="205" fillId="0" borderId="0" xfId="1204" applyFont="1" applyAlignment="1">
      <alignment horizontal="center" vertical="center"/>
    </xf>
    <xf numFmtId="224" fontId="205" fillId="0" borderId="0" xfId="2138" applyNumberFormat="1" applyFont="1" applyFill="1" applyBorder="1" applyAlignment="1">
      <alignment horizontal="center" vertical="center"/>
    </xf>
    <xf numFmtId="222" fontId="205" fillId="0" borderId="0" xfId="1204" applyNumberFormat="1" applyFont="1" applyAlignment="1">
      <alignment vertical="center"/>
    </xf>
    <xf numFmtId="170" fontId="205" fillId="0" borderId="0" xfId="1207" applyFont="1" applyFill="1" applyBorder="1" applyAlignment="1">
      <alignment vertical="center"/>
    </xf>
    <xf numFmtId="9" fontId="206" fillId="0" borderId="0" xfId="1204" applyNumberFormat="1" applyFont="1" applyAlignment="1">
      <alignment horizontal="center" vertical="center"/>
    </xf>
    <xf numFmtId="0" fontId="237" fillId="0" borderId="204" xfId="0" applyFont="1" applyBorder="1"/>
    <xf numFmtId="0" fontId="237" fillId="0" borderId="203" xfId="0" applyFont="1" applyBorder="1"/>
    <xf numFmtId="0" fontId="240" fillId="0" borderId="50" xfId="0" applyFont="1" applyBorder="1" applyAlignment="1">
      <alignment horizontal="left"/>
    </xf>
    <xf numFmtId="0" fontId="240" fillId="0" borderId="51" xfId="0" applyFont="1" applyBorder="1" applyAlignment="1">
      <alignment horizontal="left"/>
    </xf>
    <xf numFmtId="4" fontId="232" fillId="0" borderId="168" xfId="0" applyNumberFormat="1" applyFont="1" applyBorder="1" applyAlignment="1">
      <alignment horizontal="center"/>
    </xf>
    <xf numFmtId="0" fontId="232" fillId="0" borderId="49" xfId="0" applyFont="1" applyBorder="1" applyAlignment="1">
      <alignment horizontal="center"/>
    </xf>
    <xf numFmtId="268" fontId="232" fillId="0" borderId="51" xfId="0" applyNumberFormat="1" applyFont="1" applyBorder="1" applyAlignment="1">
      <alignment horizontal="center"/>
    </xf>
    <xf numFmtId="0" fontId="232" fillId="0" borderId="39" xfId="0" applyFont="1" applyBorder="1"/>
    <xf numFmtId="0" fontId="237" fillId="0" borderId="248" xfId="0" applyFont="1" applyBorder="1" applyAlignment="1">
      <alignment horizontal="center" vertical="center"/>
    </xf>
    <xf numFmtId="0" fontId="249" fillId="0" borderId="61" xfId="0" applyFont="1" applyBorder="1" applyAlignment="1" applyProtection="1">
      <alignment horizontal="left" vertical="top"/>
      <protection hidden="1"/>
    </xf>
    <xf numFmtId="0" fontId="249" fillId="0" borderId="61" xfId="0" applyFont="1" applyBorder="1" applyAlignment="1" applyProtection="1">
      <alignment horizontal="center" vertical="top"/>
      <protection hidden="1"/>
    </xf>
    <xf numFmtId="0" fontId="135" fillId="0" borderId="61" xfId="0" applyFont="1" applyBorder="1" applyAlignment="1" applyProtection="1">
      <alignment horizontal="center" vertical="top"/>
      <protection hidden="1"/>
    </xf>
    <xf numFmtId="0" fontId="135" fillId="0" borderId="61" xfId="0" applyFont="1" applyBorder="1" applyAlignment="1" applyProtection="1">
      <alignment horizontal="left" vertical="top"/>
      <protection hidden="1"/>
    </xf>
    <xf numFmtId="0" fontId="135" fillId="0" borderId="64" xfId="0" applyFont="1" applyBorder="1" applyAlignment="1" applyProtection="1">
      <alignment horizontal="center" vertical="top"/>
      <protection hidden="1"/>
    </xf>
    <xf numFmtId="224" fontId="135" fillId="0" borderId="61" xfId="180" applyNumberFormat="1" applyFont="1" applyFill="1" applyBorder="1" applyAlignment="1" applyProtection="1">
      <alignment horizontal="center" vertical="top"/>
      <protection hidden="1"/>
    </xf>
    <xf numFmtId="0" fontId="198" fillId="0" borderId="42" xfId="838" applyFont="1" applyBorder="1" applyAlignment="1" applyProtection="1">
      <alignment horizontal="left" vertical="center"/>
      <protection hidden="1"/>
    </xf>
    <xf numFmtId="0" fontId="198" fillId="0" borderId="46" xfId="838" applyFont="1" applyBorder="1" applyAlignment="1" applyProtection="1">
      <alignment horizontal="left" vertical="center"/>
      <protection hidden="1"/>
    </xf>
    <xf numFmtId="4" fontId="224" fillId="0" borderId="50" xfId="0" applyNumberFormat="1" applyFont="1" applyBorder="1" applyAlignment="1">
      <alignment horizontal="center"/>
    </xf>
    <xf numFmtId="273" fontId="215" fillId="0" borderId="41" xfId="0" applyNumberFormat="1" applyFont="1" applyBorder="1" applyAlignment="1">
      <alignment horizontal="center"/>
    </xf>
    <xf numFmtId="170" fontId="202" fillId="66" borderId="67" xfId="115" applyFont="1" applyFill="1" applyBorder="1" applyAlignment="1" applyProtection="1">
      <alignment horizontal="right" vertical="top"/>
      <protection hidden="1"/>
    </xf>
    <xf numFmtId="268" fontId="237" fillId="0" borderId="108" xfId="0" applyNumberFormat="1" applyFont="1" applyBorder="1" applyAlignment="1">
      <alignment vertical="center"/>
    </xf>
    <xf numFmtId="268" fontId="237" fillId="0" borderId="234" xfId="0" applyNumberFormat="1" applyFont="1" applyBorder="1" applyAlignment="1">
      <alignment vertical="center"/>
    </xf>
    <xf numFmtId="268" fontId="216" fillId="0" borderId="0" xfId="0" applyNumberFormat="1" applyFont="1" applyAlignment="1">
      <alignment vertical="center"/>
    </xf>
    <xf numFmtId="0" fontId="237" fillId="0" borderId="157" xfId="0" applyFont="1" applyBorder="1" applyAlignment="1">
      <alignment horizontal="center" vertical="center"/>
    </xf>
    <xf numFmtId="0" fontId="237" fillId="0" borderId="233" xfId="0" applyFont="1" applyBorder="1" applyAlignment="1">
      <alignment horizontal="center" vertical="center"/>
    </xf>
    <xf numFmtId="0" fontId="237" fillId="0" borderId="5" xfId="0" applyFont="1" applyBorder="1" applyAlignment="1">
      <alignment horizontal="center" vertical="center"/>
    </xf>
    <xf numFmtId="0" fontId="232" fillId="0" borderId="5" xfId="0" applyFont="1" applyBorder="1" applyAlignment="1">
      <alignment vertical="center" wrapText="1"/>
    </xf>
    <xf numFmtId="0" fontId="235" fillId="0" borderId="133" xfId="0" applyFont="1" applyBorder="1" applyAlignment="1">
      <alignment horizontal="center" vertical="center" wrapText="1"/>
    </xf>
    <xf numFmtId="0" fontId="252" fillId="0" borderId="0" xfId="0" applyFont="1" applyAlignment="1" applyProtection="1">
      <alignment horizontal="center"/>
      <protection hidden="1"/>
    </xf>
    <xf numFmtId="0" fontId="252" fillId="0" borderId="0" xfId="0" applyFont="1" applyAlignment="1" applyProtection="1">
      <alignment horizontal="left" vertical="top"/>
      <protection hidden="1"/>
    </xf>
    <xf numFmtId="0" fontId="153" fillId="0" borderId="0" xfId="0" applyFont="1" applyAlignment="1" applyProtection="1">
      <alignment horizontal="center" vertical="top"/>
      <protection hidden="1"/>
    </xf>
    <xf numFmtId="224" fontId="153" fillId="0" borderId="0" xfId="180" applyNumberFormat="1" applyFont="1" applyFill="1" applyBorder="1" applyAlignment="1" applyProtection="1">
      <alignment horizontal="center" vertical="top"/>
      <protection hidden="1"/>
    </xf>
    <xf numFmtId="183" fontId="153" fillId="0" borderId="0" xfId="180" applyNumberFormat="1" applyFont="1" applyFill="1" applyBorder="1" applyAlignment="1" applyProtection="1">
      <alignment vertical="top"/>
      <protection hidden="1"/>
    </xf>
    <xf numFmtId="170" fontId="153" fillId="0" borderId="0" xfId="115" applyFont="1" applyFill="1" applyBorder="1" applyAlignment="1" applyProtection="1">
      <alignment vertical="top"/>
      <protection hidden="1"/>
    </xf>
    <xf numFmtId="0" fontId="252" fillId="0" borderId="61" xfId="0" applyFont="1" applyBorder="1" applyAlignment="1" applyProtection="1">
      <alignment horizontal="center" vertical="center" wrapText="1"/>
      <protection hidden="1"/>
    </xf>
    <xf numFmtId="224" fontId="252" fillId="0" borderId="61" xfId="180" applyNumberFormat="1" applyFont="1" applyFill="1" applyBorder="1" applyAlignment="1" applyProtection="1">
      <alignment horizontal="center" vertical="center" wrapText="1"/>
      <protection hidden="1"/>
    </xf>
    <xf numFmtId="183" fontId="252" fillId="0" borderId="61" xfId="180" applyNumberFormat="1" applyFont="1" applyFill="1" applyBorder="1" applyAlignment="1" applyProtection="1">
      <alignment vertical="center"/>
      <protection hidden="1"/>
    </xf>
    <xf numFmtId="170" fontId="252" fillId="0" borderId="61" xfId="115" applyFont="1" applyFill="1" applyBorder="1" applyAlignment="1" applyProtection="1">
      <alignment vertical="center"/>
      <protection hidden="1"/>
    </xf>
    <xf numFmtId="0" fontId="153" fillId="0" borderId="61" xfId="0" applyFont="1" applyBorder="1" applyAlignment="1" applyProtection="1">
      <alignment horizontal="center" vertical="top"/>
      <protection hidden="1"/>
    </xf>
    <xf numFmtId="224" fontId="153" fillId="0" borderId="61" xfId="180" applyNumberFormat="1" applyFont="1" applyFill="1" applyBorder="1" applyAlignment="1" applyProtection="1">
      <alignment horizontal="center" vertical="top"/>
      <protection hidden="1"/>
    </xf>
    <xf numFmtId="183" fontId="153" fillId="0" borderId="61" xfId="180" applyNumberFormat="1" applyFont="1" applyFill="1" applyBorder="1" applyAlignment="1" applyProtection="1">
      <alignment vertical="top"/>
      <protection hidden="1"/>
    </xf>
    <xf numFmtId="170" fontId="153" fillId="0" borderId="61" xfId="115" applyFont="1" applyFill="1" applyBorder="1" applyAlignment="1" applyProtection="1">
      <alignment vertical="top"/>
      <protection hidden="1"/>
    </xf>
    <xf numFmtId="0" fontId="153" fillId="0" borderId="61" xfId="0" applyFont="1" applyBorder="1" applyAlignment="1" applyProtection="1">
      <alignment horizontal="left" vertical="top"/>
      <protection hidden="1"/>
    </xf>
    <xf numFmtId="0" fontId="153" fillId="0" borderId="64" xfId="0" applyFont="1" applyBorder="1" applyAlignment="1" applyProtection="1">
      <alignment horizontal="left" vertical="top"/>
      <protection hidden="1"/>
    </xf>
    <xf numFmtId="0" fontId="153" fillId="0" borderId="64" xfId="0" applyFont="1" applyBorder="1" applyAlignment="1" applyProtection="1">
      <alignment horizontal="center" vertical="top"/>
      <protection hidden="1"/>
    </xf>
    <xf numFmtId="170" fontId="252" fillId="0" borderId="61" xfId="115" applyFont="1" applyFill="1" applyBorder="1" applyAlignment="1" applyProtection="1">
      <alignment vertical="top"/>
      <protection hidden="1"/>
    </xf>
    <xf numFmtId="0" fontId="249" fillId="0" borderId="203" xfId="0" applyFont="1" applyBorder="1" applyAlignment="1" applyProtection="1">
      <alignment horizontal="left" vertical="top"/>
      <protection hidden="1"/>
    </xf>
    <xf numFmtId="170" fontId="249" fillId="0" borderId="205" xfId="115" applyFont="1" applyFill="1" applyBorder="1" applyAlignment="1" applyProtection="1">
      <alignment vertical="top"/>
      <protection hidden="1"/>
    </xf>
    <xf numFmtId="0" fontId="135" fillId="0" borderId="207" xfId="42649" applyFont="1" applyBorder="1" applyAlignment="1">
      <alignment horizontal="left" vertical="center"/>
    </xf>
    <xf numFmtId="0" fontId="135" fillId="0" borderId="208" xfId="42649" applyFont="1" applyBorder="1" applyAlignment="1">
      <alignment horizontal="left" vertical="center"/>
    </xf>
    <xf numFmtId="241" fontId="135" fillId="0" borderId="203" xfId="42649" applyNumberFormat="1" applyFont="1" applyBorder="1" applyAlignment="1">
      <alignment horizontal="left" vertical="center"/>
    </xf>
    <xf numFmtId="241" fontId="135" fillId="0" borderId="209" xfId="42649" applyNumberFormat="1" applyFont="1" applyBorder="1" applyAlignment="1">
      <alignment vertical="center"/>
    </xf>
    <xf numFmtId="0" fontId="135" fillId="0" borderId="209" xfId="42649" applyFont="1" applyBorder="1" applyAlignment="1">
      <alignment horizontal="left" vertical="center"/>
    </xf>
    <xf numFmtId="0" fontId="135" fillId="0" borderId="203" xfId="42649" applyFont="1" applyBorder="1" applyAlignment="1">
      <alignment vertical="center"/>
    </xf>
    <xf numFmtId="241" fontId="135" fillId="0" borderId="203" xfId="42649" applyNumberFormat="1" applyFont="1" applyBorder="1" applyAlignment="1">
      <alignment vertical="center"/>
    </xf>
    <xf numFmtId="241" fontId="135" fillId="0" borderId="209" xfId="42648" applyNumberFormat="1" applyFont="1" applyFill="1" applyBorder="1" applyAlignment="1">
      <alignment vertical="center"/>
    </xf>
    <xf numFmtId="270" fontId="246" fillId="0" borderId="203" xfId="42648" applyNumberFormat="1" applyFont="1" applyFill="1" applyBorder="1" applyAlignment="1">
      <alignment vertical="center"/>
    </xf>
    <xf numFmtId="0" fontId="135" fillId="0" borderId="203" xfId="42649" applyFont="1" applyBorder="1" applyAlignment="1">
      <alignment horizontal="left" vertical="center"/>
    </xf>
    <xf numFmtId="241" fontId="135" fillId="0" borderId="205" xfId="42648" applyNumberFormat="1" applyFont="1" applyFill="1" applyBorder="1" applyAlignment="1">
      <alignment vertical="center"/>
    </xf>
    <xf numFmtId="241" fontId="249" fillId="0" borderId="209" xfId="42648" applyNumberFormat="1" applyFont="1" applyFill="1" applyBorder="1" applyAlignment="1">
      <alignment vertical="center"/>
    </xf>
    <xf numFmtId="0" fontId="249" fillId="0" borderId="85" xfId="0" applyFont="1" applyBorder="1" applyAlignment="1" applyProtection="1">
      <alignment horizontal="left" vertical="top"/>
      <protection hidden="1"/>
    </xf>
    <xf numFmtId="241" fontId="135" fillId="0" borderId="205" xfId="42649" applyNumberFormat="1" applyFont="1" applyBorder="1" applyAlignment="1">
      <alignment vertical="center"/>
    </xf>
    <xf numFmtId="0" fontId="135" fillId="0" borderId="203" xfId="0" applyFont="1" applyBorder="1" applyAlignment="1" applyProtection="1">
      <alignment horizontal="left" vertical="top"/>
      <protection hidden="1"/>
    </xf>
    <xf numFmtId="0" fontId="135" fillId="0" borderId="203" xfId="0" applyFont="1" applyBorder="1" applyAlignment="1" applyProtection="1">
      <alignment horizontal="center" vertical="top"/>
      <protection hidden="1"/>
    </xf>
    <xf numFmtId="224" fontId="135" fillId="0" borderId="203" xfId="180" applyNumberFormat="1" applyFont="1" applyFill="1" applyBorder="1" applyAlignment="1" applyProtection="1">
      <alignment horizontal="center" vertical="top"/>
      <protection hidden="1"/>
    </xf>
    <xf numFmtId="183" fontId="135" fillId="0" borderId="203" xfId="180" applyNumberFormat="1" applyFont="1" applyFill="1" applyBorder="1" applyAlignment="1" applyProtection="1">
      <alignment vertical="top"/>
      <protection hidden="1"/>
    </xf>
    <xf numFmtId="170" fontId="135" fillId="0" borderId="205" xfId="115" applyFont="1" applyFill="1" applyBorder="1" applyAlignment="1" applyProtection="1">
      <alignment vertical="top"/>
      <protection hidden="1"/>
    </xf>
    <xf numFmtId="0" fontId="249" fillId="0" borderId="211" xfId="0" applyFont="1" applyBorder="1" applyAlignment="1" applyProtection="1">
      <alignment horizontal="center" vertical="center"/>
      <protection hidden="1"/>
    </xf>
    <xf numFmtId="224" fontId="249" fillId="0" borderId="211" xfId="180" applyNumberFormat="1" applyFont="1" applyFill="1" applyBorder="1" applyAlignment="1" applyProtection="1">
      <alignment horizontal="center" vertical="center"/>
      <protection hidden="1"/>
    </xf>
    <xf numFmtId="183" fontId="249" fillId="0" borderId="211" xfId="180" applyNumberFormat="1" applyFont="1" applyFill="1" applyBorder="1" applyAlignment="1" applyProtection="1">
      <alignment vertical="center"/>
      <protection hidden="1"/>
    </xf>
    <xf numFmtId="170" fontId="249" fillId="0" borderId="212" xfId="115" applyFont="1" applyFill="1" applyBorder="1" applyAlignment="1" applyProtection="1">
      <alignment vertical="center"/>
      <protection hidden="1"/>
    </xf>
    <xf numFmtId="0" fontId="135" fillId="0" borderId="211" xfId="0" applyFont="1" applyBorder="1" applyAlignment="1" applyProtection="1">
      <alignment horizontal="left" vertical="top"/>
      <protection hidden="1"/>
    </xf>
    <xf numFmtId="224" fontId="135" fillId="0" borderId="211" xfId="180" applyNumberFormat="1" applyFont="1" applyFill="1" applyBorder="1" applyAlignment="1" applyProtection="1">
      <alignment horizontal="center" vertical="top"/>
      <protection hidden="1"/>
    </xf>
    <xf numFmtId="183" fontId="135" fillId="0" borderId="211" xfId="180" applyNumberFormat="1" applyFont="1" applyFill="1" applyBorder="1" applyAlignment="1" applyProtection="1">
      <alignment vertical="top"/>
      <protection hidden="1"/>
    </xf>
    <xf numFmtId="170" fontId="135" fillId="0" borderId="212" xfId="115" applyFont="1" applyFill="1" applyBorder="1" applyAlignment="1" applyProtection="1">
      <alignment vertical="top"/>
      <protection hidden="1"/>
    </xf>
    <xf numFmtId="170" fontId="249" fillId="0" borderId="212" xfId="115" applyFont="1" applyFill="1" applyBorder="1" applyAlignment="1" applyProtection="1">
      <alignment vertical="top"/>
      <protection hidden="1"/>
    </xf>
    <xf numFmtId="0" fontId="135" fillId="0" borderId="203" xfId="0" applyFont="1" applyBorder="1" applyProtection="1">
      <protection hidden="1"/>
    </xf>
    <xf numFmtId="0" fontId="135" fillId="0" borderId="203" xfId="0" applyFont="1" applyBorder="1" applyAlignment="1" applyProtection="1">
      <alignment horizontal="center"/>
      <protection hidden="1"/>
    </xf>
    <xf numFmtId="224" fontId="135" fillId="0" borderId="203" xfId="180" applyNumberFormat="1" applyFont="1" applyFill="1" applyBorder="1" applyAlignment="1" applyProtection="1">
      <alignment horizontal="center"/>
      <protection hidden="1"/>
    </xf>
    <xf numFmtId="183" fontId="135" fillId="0" borderId="203" xfId="180" applyNumberFormat="1" applyFont="1" applyFill="1" applyBorder="1" applyAlignment="1" applyProtection="1">
      <protection hidden="1"/>
    </xf>
    <xf numFmtId="170" fontId="135" fillId="0" borderId="205" xfId="115" applyFont="1" applyFill="1" applyBorder="1" applyAlignment="1" applyProtection="1">
      <protection hidden="1"/>
    </xf>
    <xf numFmtId="0" fontId="249" fillId="0" borderId="203" xfId="0" applyFont="1" applyBorder="1" applyProtection="1">
      <protection hidden="1"/>
    </xf>
    <xf numFmtId="183" fontId="249" fillId="0" borderId="78" xfId="180" applyNumberFormat="1" applyFont="1" applyFill="1" applyBorder="1" applyAlignment="1" applyProtection="1">
      <alignment vertical="top"/>
      <protection hidden="1"/>
    </xf>
    <xf numFmtId="0" fontId="251" fillId="0" borderId="61" xfId="0" applyFont="1" applyBorder="1" applyAlignment="1" applyProtection="1">
      <alignment horizontal="left" vertical="top" wrapText="1"/>
      <protection hidden="1"/>
    </xf>
    <xf numFmtId="224" fontId="249" fillId="0" borderId="73" xfId="180" applyNumberFormat="1" applyFont="1" applyFill="1" applyBorder="1" applyAlignment="1" applyProtection="1">
      <alignment horizontal="center" vertical="top"/>
      <protection hidden="1"/>
    </xf>
    <xf numFmtId="0" fontId="197" fillId="0" borderId="46" xfId="1204" applyFont="1" applyBorder="1"/>
    <xf numFmtId="3" fontId="237" fillId="0" borderId="243" xfId="0" applyNumberFormat="1" applyFont="1" applyBorder="1" applyAlignment="1">
      <alignment horizontal="left" vertical="center"/>
    </xf>
    <xf numFmtId="0" fontId="232" fillId="0" borderId="252" xfId="0" applyFont="1" applyBorder="1" applyAlignment="1">
      <alignment horizontal="left"/>
    </xf>
    <xf numFmtId="3" fontId="237" fillId="0" borderId="46" xfId="0" applyNumberFormat="1" applyFont="1" applyBorder="1" applyAlignment="1">
      <alignment horizontal="left" vertical="center"/>
    </xf>
    <xf numFmtId="0" fontId="232" fillId="63" borderId="46" xfId="0" applyFont="1" applyFill="1" applyBorder="1" applyAlignment="1">
      <alignment horizontal="center"/>
    </xf>
    <xf numFmtId="0" fontId="224" fillId="63" borderId="39" xfId="0" applyFont="1" applyFill="1" applyBorder="1" applyAlignment="1">
      <alignment horizontal="center"/>
    </xf>
    <xf numFmtId="4" fontId="224" fillId="63" borderId="46" xfId="0" applyNumberFormat="1" applyFont="1" applyFill="1" applyBorder="1" applyAlignment="1">
      <alignment horizontal="center"/>
    </xf>
    <xf numFmtId="0" fontId="216" fillId="63" borderId="178" xfId="0" applyFont="1" applyFill="1" applyBorder="1" applyAlignment="1">
      <alignment horizontal="center"/>
    </xf>
    <xf numFmtId="0" fontId="232" fillId="63" borderId="50" xfId="0" applyFont="1" applyFill="1" applyBorder="1" applyAlignment="1">
      <alignment horizontal="center"/>
    </xf>
    <xf numFmtId="3" fontId="232" fillId="63" borderId="51" xfId="0" applyNumberFormat="1" applyFont="1" applyFill="1" applyBorder="1" applyAlignment="1">
      <alignment horizontal="left"/>
    </xf>
    <xf numFmtId="0" fontId="224" fillId="63" borderId="41" xfId="0" applyFont="1" applyFill="1" applyBorder="1" applyAlignment="1">
      <alignment horizontal="center"/>
    </xf>
    <xf numFmtId="4" fontId="224" fillId="63" borderId="50" xfId="0" applyNumberFormat="1" applyFont="1" applyFill="1" applyBorder="1" applyAlignment="1">
      <alignment horizontal="center"/>
    </xf>
    <xf numFmtId="4" fontId="215" fillId="63" borderId="41" xfId="0" applyNumberFormat="1" applyFont="1" applyFill="1" applyBorder="1" applyAlignment="1">
      <alignment horizontal="center"/>
    </xf>
    <xf numFmtId="0" fontId="216" fillId="63" borderId="41" xfId="0" applyFont="1" applyFill="1" applyBorder="1" applyAlignment="1">
      <alignment horizontal="center"/>
    </xf>
    <xf numFmtId="0" fontId="232" fillId="63" borderId="43" xfId="0" applyFont="1" applyFill="1" applyBorder="1" applyAlignment="1">
      <alignment horizontal="center"/>
    </xf>
    <xf numFmtId="3" fontId="232" fillId="63" borderId="47" xfId="0" applyNumberFormat="1" applyFont="1" applyFill="1" applyBorder="1"/>
    <xf numFmtId="0" fontId="215" fillId="64" borderId="220" xfId="0" applyFont="1" applyFill="1" applyBorder="1" applyAlignment="1">
      <alignment horizontal="center" vertical="center"/>
    </xf>
    <xf numFmtId="3" fontId="238" fillId="64" borderId="205" xfId="0" applyNumberFormat="1" applyFont="1" applyFill="1" applyBorder="1" applyAlignment="1">
      <alignment horizontal="left"/>
    </xf>
    <xf numFmtId="0" fontId="216" fillId="71" borderId="178" xfId="0" applyFont="1" applyFill="1" applyBorder="1" applyAlignment="1">
      <alignment horizontal="center"/>
    </xf>
    <xf numFmtId="0" fontId="237" fillId="71" borderId="50" xfId="0" applyFont="1" applyFill="1" applyBorder="1" applyAlignment="1">
      <alignment horizontal="center"/>
    </xf>
    <xf numFmtId="3" fontId="232" fillId="71" borderId="51" xfId="0" applyNumberFormat="1" applyFont="1" applyFill="1" applyBorder="1" applyAlignment="1">
      <alignment horizontal="left"/>
    </xf>
    <xf numFmtId="0" fontId="224" fillId="71" borderId="41" xfId="0" applyFont="1" applyFill="1" applyBorder="1" applyAlignment="1">
      <alignment horizontal="center"/>
    </xf>
    <xf numFmtId="4" fontId="224" fillId="71" borderId="50" xfId="0" applyNumberFormat="1" applyFont="1" applyFill="1" applyBorder="1" applyAlignment="1">
      <alignment horizontal="center"/>
    </xf>
    <xf numFmtId="4" fontId="215" fillId="71" borderId="41" xfId="0" applyNumberFormat="1" applyFont="1" applyFill="1" applyBorder="1" applyAlignment="1">
      <alignment horizontal="center"/>
    </xf>
    <xf numFmtId="0" fontId="216" fillId="71" borderId="41" xfId="0" applyFont="1" applyFill="1" applyBorder="1" applyAlignment="1">
      <alignment horizontal="center"/>
    </xf>
    <xf numFmtId="0" fontId="216" fillId="71" borderId="175" xfId="0" applyFont="1" applyFill="1" applyBorder="1" applyAlignment="1">
      <alignment horizontal="center"/>
    </xf>
    <xf numFmtId="0" fontId="237" fillId="71" borderId="46" xfId="0" applyFont="1" applyFill="1" applyBorder="1" applyAlignment="1">
      <alignment horizontal="center"/>
    </xf>
    <xf numFmtId="3" fontId="232" fillId="71" borderId="47" xfId="0" applyNumberFormat="1" applyFont="1" applyFill="1" applyBorder="1" applyAlignment="1">
      <alignment horizontal="left"/>
    </xf>
    <xf numFmtId="0" fontId="224" fillId="71" borderId="39" xfId="0" applyFont="1" applyFill="1" applyBorder="1" applyAlignment="1">
      <alignment horizontal="center"/>
    </xf>
    <xf numFmtId="4" fontId="224" fillId="71" borderId="46" xfId="0" applyNumberFormat="1" applyFont="1" applyFill="1" applyBorder="1" applyAlignment="1">
      <alignment horizontal="center"/>
    </xf>
    <xf numFmtId="4" fontId="215" fillId="71" borderId="39" xfId="0" applyNumberFormat="1" applyFont="1" applyFill="1" applyBorder="1" applyAlignment="1">
      <alignment horizontal="center"/>
    </xf>
    <xf numFmtId="0" fontId="216" fillId="71" borderId="39" xfId="0" applyFont="1" applyFill="1" applyBorder="1" applyAlignment="1">
      <alignment horizontal="center"/>
    </xf>
    <xf numFmtId="0" fontId="232" fillId="71" borderId="46" xfId="0" applyFont="1" applyFill="1" applyBorder="1" applyAlignment="1">
      <alignment horizontal="center"/>
    </xf>
    <xf numFmtId="3" fontId="238" fillId="71" borderId="47" xfId="0" applyNumberFormat="1" applyFont="1" applyFill="1" applyBorder="1" applyAlignment="1">
      <alignment horizontal="left"/>
    </xf>
    <xf numFmtId="0" fontId="216" fillId="64" borderId="220" xfId="0" applyFont="1" applyFill="1" applyBorder="1" applyAlignment="1">
      <alignment horizontal="center" vertical="center"/>
    </xf>
    <xf numFmtId="3" fontId="232" fillId="64" borderId="205" xfId="0" applyNumberFormat="1" applyFont="1" applyFill="1" applyBorder="1" applyAlignment="1">
      <alignment horizontal="left" vertical="center"/>
    </xf>
    <xf numFmtId="0" fontId="224" fillId="64" borderId="209" xfId="0" applyFont="1" applyFill="1" applyBorder="1" applyAlignment="1">
      <alignment horizontal="center" vertical="center"/>
    </xf>
    <xf numFmtId="4" fontId="224" fillId="64" borderId="203" xfId="0" applyNumberFormat="1" applyFont="1" applyFill="1" applyBorder="1" applyAlignment="1">
      <alignment horizontal="center" vertical="center"/>
    </xf>
    <xf numFmtId="4" fontId="215" fillId="64" borderId="209" xfId="0" applyNumberFormat="1" applyFont="1" applyFill="1" applyBorder="1" applyAlignment="1">
      <alignment horizontal="center" vertical="center"/>
    </xf>
    <xf numFmtId="0" fontId="216" fillId="64" borderId="209" xfId="0" applyFont="1" applyFill="1" applyBorder="1" applyAlignment="1">
      <alignment horizontal="center" vertical="center"/>
    </xf>
    <xf numFmtId="0" fontId="237" fillId="63" borderId="50" xfId="0" applyFont="1" applyFill="1" applyBorder="1" applyAlignment="1">
      <alignment horizontal="center"/>
    </xf>
    <xf numFmtId="0" fontId="0" fillId="0" borderId="46" xfId="0" applyBorder="1"/>
    <xf numFmtId="0" fontId="215" fillId="0" borderId="39" xfId="0" applyFont="1" applyBorder="1" applyAlignment="1">
      <alignment horizontal="center"/>
    </xf>
    <xf numFmtId="4" fontId="216" fillId="63" borderId="50" xfId="0" applyNumberFormat="1" applyFont="1" applyFill="1" applyBorder="1" applyAlignment="1">
      <alignment horizontal="center"/>
    </xf>
    <xf numFmtId="201" fontId="200" fillId="0" borderId="209" xfId="838" applyNumberFormat="1" applyFont="1" applyBorder="1" applyAlignment="1">
      <alignment horizontal="center"/>
    </xf>
    <xf numFmtId="0" fontId="220" fillId="58" borderId="253" xfId="0" applyFont="1" applyFill="1" applyBorder="1" applyAlignment="1">
      <alignment horizontal="center" vertical="center"/>
    </xf>
    <xf numFmtId="0" fontId="215" fillId="0" borderId="178" xfId="0" applyFont="1" applyBorder="1" applyAlignment="1">
      <alignment horizontal="center"/>
    </xf>
    <xf numFmtId="3" fontId="215" fillId="0" borderId="41" xfId="0" applyNumberFormat="1" applyFont="1" applyBorder="1" applyAlignment="1">
      <alignment horizontal="left"/>
    </xf>
    <xf numFmtId="0" fontId="215" fillId="0" borderId="41" xfId="0" applyFont="1" applyBorder="1" applyAlignment="1">
      <alignment horizontal="center"/>
    </xf>
    <xf numFmtId="4" fontId="215" fillId="0" borderId="50" xfId="0" applyNumberFormat="1" applyFont="1" applyBorder="1" applyAlignment="1">
      <alignment horizontal="center"/>
    </xf>
    <xf numFmtId="0" fontId="214" fillId="64" borderId="173" xfId="0" applyFont="1" applyFill="1" applyBorder="1" applyAlignment="1">
      <alignment horizontal="center" vertical="center"/>
    </xf>
    <xf numFmtId="3" fontId="214" fillId="64" borderId="189" xfId="0" applyNumberFormat="1" applyFont="1" applyFill="1" applyBorder="1" applyAlignment="1">
      <alignment horizontal="center" vertical="center"/>
    </xf>
    <xf numFmtId="0" fontId="218" fillId="64" borderId="174" xfId="0" applyFont="1" applyFill="1" applyBorder="1" applyAlignment="1">
      <alignment horizontal="center" vertical="center"/>
    </xf>
    <xf numFmtId="4" fontId="220" fillId="64" borderId="190" xfId="0" applyNumberFormat="1" applyFont="1" applyFill="1" applyBorder="1" applyAlignment="1">
      <alignment horizontal="center" vertical="center"/>
    </xf>
    <xf numFmtId="0" fontId="220" fillId="64" borderId="174" xfId="0" applyFont="1" applyFill="1" applyBorder="1" applyAlignment="1">
      <alignment horizontal="center" vertical="center"/>
    </xf>
    <xf numFmtId="4" fontId="214" fillId="64" borderId="174" xfId="0" applyNumberFormat="1" applyFont="1" applyFill="1" applyBorder="1" applyAlignment="1">
      <alignment horizontal="center" vertical="center"/>
    </xf>
    <xf numFmtId="0" fontId="214" fillId="64" borderId="254" xfId="0" applyFont="1" applyFill="1" applyBorder="1" applyAlignment="1">
      <alignment horizontal="center" vertical="center"/>
    </xf>
    <xf numFmtId="0" fontId="215" fillId="64" borderId="177" xfId="0" applyFont="1" applyFill="1" applyBorder="1" applyAlignment="1">
      <alignment horizontal="center" vertical="center"/>
    </xf>
    <xf numFmtId="3" fontId="216" fillId="64" borderId="209" xfId="0" applyNumberFormat="1" applyFont="1" applyFill="1" applyBorder="1"/>
    <xf numFmtId="0" fontId="216" fillId="64" borderId="16" xfId="0" applyFont="1" applyFill="1" applyBorder="1" applyAlignment="1">
      <alignment horizontal="center"/>
    </xf>
    <xf numFmtId="4" fontId="216" fillId="64" borderId="93" xfId="0" applyNumberFormat="1" applyFont="1" applyFill="1" applyBorder="1" applyAlignment="1">
      <alignment horizontal="center"/>
    </xf>
    <xf numFmtId="4" fontId="215" fillId="64" borderId="16" xfId="0" applyNumberFormat="1" applyFont="1" applyFill="1" applyBorder="1" applyAlignment="1">
      <alignment horizontal="center"/>
    </xf>
    <xf numFmtId="0" fontId="215" fillId="70" borderId="220" xfId="0" applyFont="1" applyFill="1" applyBorder="1" applyAlignment="1">
      <alignment horizontal="center" vertical="center"/>
    </xf>
    <xf numFmtId="3" fontId="237" fillId="70" borderId="205" xfId="0" applyNumberFormat="1" applyFont="1" applyFill="1" applyBorder="1" applyAlignment="1">
      <alignment vertical="center"/>
    </xf>
    <xf numFmtId="0" fontId="224" fillId="70" borderId="209" xfId="0" applyFont="1" applyFill="1" applyBorder="1" applyAlignment="1">
      <alignment horizontal="center"/>
    </xf>
    <xf numFmtId="4" fontId="224" fillId="70" borderId="203" xfId="0" applyNumberFormat="1" applyFont="1" applyFill="1" applyBorder="1" applyAlignment="1">
      <alignment horizontal="center"/>
    </xf>
    <xf numFmtId="4" fontId="215" fillId="70" borderId="209" xfId="0" applyNumberFormat="1" applyFont="1" applyFill="1" applyBorder="1" applyAlignment="1">
      <alignment horizontal="center"/>
    </xf>
    <xf numFmtId="0" fontId="216" fillId="70" borderId="209" xfId="0" applyFont="1" applyFill="1" applyBorder="1" applyAlignment="1">
      <alignment horizontal="center"/>
    </xf>
    <xf numFmtId="3" fontId="238" fillId="70" borderId="51" xfId="0" applyNumberFormat="1" applyFont="1" applyFill="1" applyBorder="1" applyAlignment="1">
      <alignment horizontal="left"/>
    </xf>
    <xf numFmtId="0" fontId="216" fillId="70" borderId="39" xfId="0" applyFont="1" applyFill="1" applyBorder="1" applyAlignment="1">
      <alignment horizontal="center"/>
    </xf>
    <xf numFmtId="4" fontId="216" fillId="70" borderId="46" xfId="0" applyNumberFormat="1" applyFont="1" applyFill="1" applyBorder="1" applyAlignment="1">
      <alignment horizontal="center"/>
    </xf>
    <xf numFmtId="4" fontId="215" fillId="70" borderId="39" xfId="0" applyNumberFormat="1" applyFont="1" applyFill="1" applyBorder="1" applyAlignment="1">
      <alignment horizontal="center"/>
    </xf>
    <xf numFmtId="3" fontId="237" fillId="70" borderId="0" xfId="0" applyNumberFormat="1" applyFont="1" applyFill="1" applyAlignment="1">
      <alignment horizontal="left" vertical="center"/>
    </xf>
    <xf numFmtId="0" fontId="237" fillId="70" borderId="175" xfId="0" applyFont="1" applyFill="1" applyBorder="1" applyAlignment="1">
      <alignment horizontal="center" vertical="center"/>
    </xf>
    <xf numFmtId="3" fontId="232" fillId="70" borderId="46" xfId="0" applyNumberFormat="1" applyFont="1" applyFill="1" applyBorder="1" applyAlignment="1">
      <alignment horizontal="left" vertical="center"/>
    </xf>
    <xf numFmtId="0" fontId="232" fillId="70" borderId="39" xfId="0" applyFont="1" applyFill="1" applyBorder="1" applyAlignment="1">
      <alignment horizontal="center" vertical="center"/>
    </xf>
    <xf numFmtId="4" fontId="232" fillId="70" borderId="46" xfId="0" applyNumberFormat="1" applyFont="1" applyFill="1" applyBorder="1" applyAlignment="1">
      <alignment horizontal="center" vertical="center"/>
    </xf>
    <xf numFmtId="4" fontId="237" fillId="70" borderId="39" xfId="0" applyNumberFormat="1" applyFont="1" applyFill="1" applyBorder="1" applyAlignment="1">
      <alignment horizontal="center" vertical="center"/>
    </xf>
    <xf numFmtId="0" fontId="232" fillId="0" borderId="0" xfId="0" applyFont="1" applyAlignment="1">
      <alignment vertical="center"/>
    </xf>
    <xf numFmtId="0" fontId="216" fillId="0" borderId="255" xfId="0" applyFont="1" applyBorder="1" applyAlignment="1">
      <alignment horizontal="center"/>
    </xf>
    <xf numFmtId="0" fontId="232" fillId="0" borderId="53" xfId="0" applyFont="1" applyBorder="1" applyAlignment="1">
      <alignment horizontal="left"/>
    </xf>
    <xf numFmtId="0" fontId="232" fillId="0" borderId="54" xfId="0" applyFont="1" applyBorder="1" applyAlignment="1">
      <alignment horizontal="left"/>
    </xf>
    <xf numFmtId="3" fontId="232" fillId="0" borderId="54" xfId="0" applyNumberFormat="1" applyFont="1" applyBorder="1" applyAlignment="1">
      <alignment horizontal="left"/>
    </xf>
    <xf numFmtId="0" fontId="216" fillId="0" borderId="40" xfId="0" applyFont="1" applyBorder="1" applyAlignment="1">
      <alignment horizontal="center"/>
    </xf>
    <xf numFmtId="4" fontId="216" fillId="0" borderId="53" xfId="0" applyNumberFormat="1" applyFont="1" applyBorder="1" applyAlignment="1">
      <alignment horizontal="center"/>
    </xf>
    <xf numFmtId="4" fontId="215" fillId="0" borderId="40" xfId="0" applyNumberFormat="1" applyFont="1" applyBorder="1" applyAlignment="1">
      <alignment horizontal="center"/>
    </xf>
    <xf numFmtId="3" fontId="232" fillId="0" borderId="39" xfId="0" applyNumberFormat="1" applyFont="1" applyBorder="1" applyAlignment="1">
      <alignment horizontal="center"/>
    </xf>
    <xf numFmtId="4" fontId="232" fillId="0" borderId="39" xfId="0" applyNumberFormat="1" applyFont="1" applyBorder="1" applyAlignment="1">
      <alignment horizontal="center" vertical="center"/>
    </xf>
    <xf numFmtId="0" fontId="232" fillId="0" borderId="39" xfId="0" applyFont="1" applyBorder="1" applyAlignment="1">
      <alignment horizontal="center" vertical="center"/>
    </xf>
    <xf numFmtId="268" fontId="232" fillId="0" borderId="39" xfId="0" applyNumberFormat="1" applyFont="1" applyBorder="1" applyAlignment="1">
      <alignment horizontal="center" vertical="center"/>
    </xf>
    <xf numFmtId="0" fontId="232" fillId="60" borderId="46" xfId="0" applyFont="1" applyFill="1" applyBorder="1" applyAlignment="1">
      <alignment horizontal="center"/>
    </xf>
    <xf numFmtId="0" fontId="232" fillId="60" borderId="46" xfId="0" applyFont="1" applyFill="1" applyBorder="1" applyAlignment="1">
      <alignment horizontal="left"/>
    </xf>
    <xf numFmtId="0" fontId="232" fillId="60" borderId="47" xfId="0" applyFont="1" applyFill="1" applyBorder="1" applyAlignment="1">
      <alignment horizontal="left"/>
    </xf>
    <xf numFmtId="0" fontId="216" fillId="60" borderId="175" xfId="0" applyFont="1" applyFill="1" applyBorder="1" applyAlignment="1">
      <alignment horizontal="center"/>
    </xf>
    <xf numFmtId="0" fontId="232" fillId="60" borderId="46" xfId="0" applyFont="1" applyFill="1" applyBorder="1" applyAlignment="1">
      <alignment horizontal="center" vertical="center"/>
    </xf>
    <xf numFmtId="3" fontId="232" fillId="60" borderId="47" xfId="0" applyNumberFormat="1" applyFont="1" applyFill="1" applyBorder="1" applyAlignment="1">
      <alignment horizontal="left"/>
    </xf>
    <xf numFmtId="0" fontId="224" fillId="60" borderId="39" xfId="0" applyFont="1" applyFill="1" applyBorder="1" applyAlignment="1">
      <alignment horizontal="center"/>
    </xf>
    <xf numFmtId="3" fontId="224" fillId="60" borderId="46" xfId="0" applyNumberFormat="1" applyFont="1" applyFill="1" applyBorder="1" applyAlignment="1">
      <alignment horizontal="center"/>
    </xf>
    <xf numFmtId="3" fontId="224" fillId="60" borderId="39" xfId="0" applyNumberFormat="1" applyFont="1" applyFill="1" applyBorder="1" applyAlignment="1">
      <alignment horizontal="center"/>
    </xf>
    <xf numFmtId="4" fontId="215" fillId="60" borderId="39" xfId="0" applyNumberFormat="1" applyFont="1" applyFill="1" applyBorder="1" applyAlignment="1">
      <alignment horizontal="center"/>
    </xf>
    <xf numFmtId="0" fontId="216" fillId="60" borderId="39" xfId="0" applyFont="1" applyFill="1" applyBorder="1" applyAlignment="1">
      <alignment horizontal="center"/>
    </xf>
    <xf numFmtId="4" fontId="224" fillId="60" borderId="46" xfId="0" applyNumberFormat="1" applyFont="1" applyFill="1" applyBorder="1" applyAlignment="1">
      <alignment horizontal="center"/>
    </xf>
    <xf numFmtId="0" fontId="242" fillId="60" borderId="39" xfId="0" applyFont="1" applyFill="1" applyBorder="1" applyAlignment="1">
      <alignment horizontal="center"/>
    </xf>
    <xf numFmtId="3" fontId="240" fillId="60" borderId="47" xfId="0" applyNumberFormat="1" applyFont="1" applyFill="1" applyBorder="1" applyAlignment="1">
      <alignment horizontal="left"/>
    </xf>
    <xf numFmtId="3" fontId="238" fillId="60" borderId="47" xfId="0" applyNumberFormat="1" applyFont="1" applyFill="1" applyBorder="1" applyAlignment="1">
      <alignment horizontal="left"/>
    </xf>
    <xf numFmtId="4" fontId="216" fillId="60" borderId="46" xfId="0" applyNumberFormat="1" applyFont="1" applyFill="1" applyBorder="1" applyAlignment="1">
      <alignment horizontal="center"/>
    </xf>
    <xf numFmtId="0" fontId="200" fillId="60" borderId="0" xfId="0" applyFont="1" applyFill="1" applyProtection="1">
      <protection hidden="1"/>
    </xf>
    <xf numFmtId="0" fontId="249" fillId="60" borderId="0" xfId="0" applyFont="1" applyFill="1" applyAlignment="1" applyProtection="1">
      <alignment horizontal="left" vertical="top"/>
      <protection hidden="1"/>
    </xf>
    <xf numFmtId="0" fontId="135" fillId="60" borderId="0" xfId="0" applyFont="1" applyFill="1" applyAlignment="1" applyProtection="1">
      <alignment horizontal="center" vertical="top"/>
      <protection hidden="1"/>
    </xf>
    <xf numFmtId="224" fontId="135" fillId="60" borderId="0" xfId="180" applyNumberFormat="1" applyFont="1" applyFill="1" applyBorder="1" applyAlignment="1" applyProtection="1">
      <alignment horizontal="center" vertical="top"/>
      <protection hidden="1"/>
    </xf>
    <xf numFmtId="183" fontId="135" fillId="60" borderId="0" xfId="180" applyNumberFormat="1" applyFont="1" applyFill="1" applyBorder="1" applyAlignment="1" applyProtection="1">
      <alignment vertical="top"/>
      <protection hidden="1"/>
    </xf>
    <xf numFmtId="170" fontId="135" fillId="60" borderId="0" xfId="115" applyFont="1" applyFill="1" applyBorder="1" applyAlignment="1" applyProtection="1">
      <alignment vertical="top"/>
      <protection hidden="1"/>
    </xf>
    <xf numFmtId="0" fontId="249" fillId="60" borderId="61" xfId="0" applyFont="1" applyFill="1" applyBorder="1" applyAlignment="1" applyProtection="1">
      <alignment horizontal="center" vertical="center" wrapText="1"/>
      <protection hidden="1"/>
    </xf>
    <xf numFmtId="224" fontId="249" fillId="60" borderId="61" xfId="180" applyNumberFormat="1" applyFont="1" applyFill="1" applyBorder="1" applyAlignment="1" applyProtection="1">
      <alignment horizontal="center" vertical="center" wrapText="1"/>
      <protection hidden="1"/>
    </xf>
    <xf numFmtId="183" fontId="249" fillId="60" borderId="61" xfId="180" applyNumberFormat="1" applyFont="1" applyFill="1" applyBorder="1" applyAlignment="1" applyProtection="1">
      <alignment vertical="center"/>
      <protection hidden="1"/>
    </xf>
    <xf numFmtId="170" fontId="249" fillId="60" borderId="61" xfId="115" applyFont="1" applyFill="1" applyBorder="1" applyAlignment="1" applyProtection="1">
      <alignment vertical="center"/>
      <protection hidden="1"/>
    </xf>
    <xf numFmtId="0" fontId="249" fillId="60" borderId="61" xfId="0" applyFont="1" applyFill="1" applyBorder="1" applyAlignment="1" applyProtection="1">
      <alignment horizontal="left" vertical="top"/>
      <protection hidden="1"/>
    </xf>
    <xf numFmtId="0" fontId="135" fillId="60" borderId="61" xfId="0" applyFont="1" applyFill="1" applyBorder="1" applyAlignment="1" applyProtection="1">
      <alignment horizontal="center" vertical="top"/>
      <protection hidden="1"/>
    </xf>
    <xf numFmtId="224" fontId="135" fillId="60" borderId="61" xfId="180" applyNumberFormat="1" applyFont="1" applyFill="1" applyBorder="1" applyAlignment="1" applyProtection="1">
      <alignment horizontal="center" vertical="top"/>
      <protection hidden="1"/>
    </xf>
    <xf numFmtId="183" fontId="135" fillId="60" borderId="61" xfId="180" applyNumberFormat="1" applyFont="1" applyFill="1" applyBorder="1" applyAlignment="1" applyProtection="1">
      <alignment vertical="top"/>
      <protection hidden="1"/>
    </xf>
    <xf numFmtId="170" fontId="135" fillId="60" borderId="61" xfId="115" applyFont="1" applyFill="1" applyBorder="1" applyAlignment="1" applyProtection="1">
      <alignment vertical="top"/>
      <protection hidden="1"/>
    </xf>
    <xf numFmtId="0" fontId="135" fillId="60" borderId="61" xfId="0" applyFont="1" applyFill="1" applyBorder="1" applyAlignment="1" applyProtection="1">
      <alignment horizontal="left" vertical="top"/>
      <protection hidden="1"/>
    </xf>
    <xf numFmtId="0" fontId="135" fillId="60" borderId="61" xfId="0" applyFont="1" applyFill="1" applyBorder="1" applyAlignment="1" applyProtection="1">
      <alignment horizontal="left" vertical="top" wrapText="1"/>
      <protection hidden="1"/>
    </xf>
    <xf numFmtId="170" fontId="249" fillId="60" borderId="61" xfId="115" applyFont="1" applyFill="1" applyBorder="1" applyAlignment="1" applyProtection="1">
      <alignment vertical="top"/>
      <protection hidden="1"/>
    </xf>
    <xf numFmtId="0" fontId="200" fillId="60" borderId="0" xfId="0" applyFont="1" applyFill="1" applyAlignment="1" applyProtection="1">
      <alignment horizontal="center" vertical="center"/>
      <protection hidden="1"/>
    </xf>
    <xf numFmtId="0" fontId="202" fillId="60" borderId="0" xfId="0" applyFont="1" applyFill="1" applyProtection="1">
      <protection hidden="1"/>
    </xf>
    <xf numFmtId="0" fontId="135" fillId="0" borderId="63" xfId="0" applyFont="1" applyBorder="1" applyAlignment="1" applyProtection="1">
      <alignment horizontal="center" vertical="top"/>
      <protection hidden="1"/>
    </xf>
    <xf numFmtId="224" fontId="135" fillId="0" borderId="65" xfId="180" applyNumberFormat="1" applyFont="1" applyFill="1" applyBorder="1" applyAlignment="1" applyProtection="1">
      <alignment horizontal="center" vertical="top"/>
      <protection hidden="1"/>
    </xf>
    <xf numFmtId="224" fontId="135" fillId="0" borderId="67" xfId="180" applyNumberFormat="1" applyFont="1" applyFill="1" applyBorder="1" applyAlignment="1" applyProtection="1">
      <alignment horizontal="center" vertical="top"/>
      <protection hidden="1"/>
    </xf>
    <xf numFmtId="0" fontId="249" fillId="0" borderId="61" xfId="0" applyFont="1" applyBorder="1" applyAlignment="1" applyProtection="1">
      <alignment horizontal="center"/>
      <protection hidden="1"/>
    </xf>
    <xf numFmtId="0" fontId="249" fillId="0" borderId="61" xfId="0" applyFont="1" applyBorder="1" applyAlignment="1" applyProtection="1">
      <alignment horizontal="left"/>
      <protection hidden="1"/>
    </xf>
    <xf numFmtId="0" fontId="135" fillId="0" borderId="65" xfId="0" applyFont="1" applyBorder="1" applyAlignment="1" applyProtection="1">
      <alignment horizontal="left" vertical="top"/>
      <protection hidden="1"/>
    </xf>
    <xf numFmtId="0" fontId="249" fillId="0" borderId="65" xfId="0" applyFont="1" applyBorder="1" applyAlignment="1" applyProtection="1">
      <alignment horizontal="left" vertical="top"/>
      <protection hidden="1"/>
    </xf>
    <xf numFmtId="0" fontId="249" fillId="0" borderId="68" xfId="0" applyFont="1" applyBorder="1" applyAlignment="1" applyProtection="1">
      <alignment horizontal="left" vertical="top"/>
      <protection hidden="1"/>
    </xf>
    <xf numFmtId="0" fontId="135" fillId="0" borderId="65" xfId="0" applyFont="1" applyBorder="1" applyAlignment="1" applyProtection="1">
      <alignment horizontal="center" vertical="top"/>
      <protection hidden="1"/>
    </xf>
    <xf numFmtId="0" fontId="135" fillId="0" borderId="67" xfId="0" applyFont="1" applyBorder="1" applyAlignment="1" applyProtection="1">
      <alignment horizontal="center" vertical="top"/>
      <protection hidden="1"/>
    </xf>
    <xf numFmtId="0" fontId="249" fillId="0" borderId="63" xfId="0" applyFont="1" applyBorder="1" applyAlignment="1" applyProtection="1">
      <alignment horizontal="center" vertical="top"/>
      <protection hidden="1"/>
    </xf>
    <xf numFmtId="0" fontId="135" fillId="0" borderId="61" xfId="1012" applyFont="1" applyBorder="1" applyAlignment="1" applyProtection="1">
      <alignment horizontal="center" vertical="top"/>
      <protection hidden="1"/>
    </xf>
    <xf numFmtId="0" fontId="249" fillId="0" borderId="67" xfId="0" applyFont="1" applyBorder="1" applyAlignment="1" applyProtection="1">
      <alignment horizontal="center" vertical="top"/>
      <protection hidden="1"/>
    </xf>
    <xf numFmtId="0" fontId="251" fillId="0" borderId="61" xfId="0" applyFont="1" applyBorder="1" applyAlignment="1" applyProtection="1">
      <alignment horizontal="left" vertical="top"/>
      <protection hidden="1"/>
    </xf>
    <xf numFmtId="224" fontId="249" fillId="0" borderId="65" xfId="180" applyNumberFormat="1" applyFont="1" applyFill="1" applyBorder="1" applyAlignment="1" applyProtection="1">
      <alignment horizontal="center" vertical="top"/>
      <protection hidden="1"/>
    </xf>
    <xf numFmtId="0" fontId="135" fillId="0" borderId="77" xfId="0" applyFont="1" applyBorder="1" applyAlignment="1" applyProtection="1">
      <alignment horizontal="center" vertical="top"/>
      <protection hidden="1"/>
    </xf>
    <xf numFmtId="0" fontId="135" fillId="0" borderId="79" xfId="0" applyFont="1" applyBorder="1" applyAlignment="1" applyProtection="1">
      <alignment horizontal="center" vertical="top"/>
      <protection hidden="1"/>
    </xf>
    <xf numFmtId="0" fontId="135" fillId="0" borderId="61" xfId="0" applyFont="1" applyBorder="1" applyAlignment="1" applyProtection="1">
      <alignment horizontal="center"/>
      <protection hidden="1"/>
    </xf>
    <xf numFmtId="0" fontId="252" fillId="0" borderId="61" xfId="0" applyFont="1" applyBorder="1" applyAlignment="1" applyProtection="1">
      <alignment horizontal="left" vertical="top"/>
      <protection hidden="1"/>
    </xf>
    <xf numFmtId="0" fontId="135" fillId="0" borderId="211" xfId="0" applyFont="1" applyBorder="1" applyAlignment="1" applyProtection="1">
      <alignment horizontal="center" vertical="top"/>
      <protection hidden="1"/>
    </xf>
    <xf numFmtId="0" fontId="249" fillId="0" borderId="65" xfId="0" applyFont="1" applyBorder="1" applyAlignment="1" applyProtection="1">
      <alignment horizontal="center" vertical="top"/>
      <protection hidden="1"/>
    </xf>
    <xf numFmtId="224" fontId="135" fillId="0" borderId="70" xfId="180" applyNumberFormat="1" applyFont="1" applyFill="1" applyBorder="1" applyAlignment="1" applyProtection="1">
      <alignment horizontal="center"/>
      <protection hidden="1"/>
    </xf>
    <xf numFmtId="0" fontId="236" fillId="57" borderId="172" xfId="0" applyFont="1" applyFill="1" applyBorder="1" applyAlignment="1">
      <alignment horizontal="center" vertical="center"/>
    </xf>
    <xf numFmtId="0" fontId="237" fillId="0" borderId="203" xfId="0" applyFont="1" applyBorder="1" applyAlignment="1">
      <alignment horizontal="center"/>
    </xf>
    <xf numFmtId="0" fontId="232" fillId="0" borderId="203" xfId="0" applyFont="1" applyBorder="1" applyAlignment="1">
      <alignment horizontal="center"/>
    </xf>
    <xf numFmtId="0" fontId="237" fillId="0" borderId="203" xfId="0" applyFont="1" applyBorder="1" applyAlignment="1">
      <alignment horizontal="right"/>
    </xf>
    <xf numFmtId="0" fontId="200" fillId="40" borderId="0" xfId="0" applyFont="1" applyFill="1" applyProtection="1">
      <protection hidden="1"/>
    </xf>
    <xf numFmtId="170" fontId="200" fillId="40" borderId="0" xfId="115" applyFont="1" applyFill="1" applyProtection="1">
      <protection hidden="1"/>
    </xf>
    <xf numFmtId="0" fontId="202" fillId="40" borderId="0" xfId="0" applyFont="1" applyFill="1" applyProtection="1">
      <protection hidden="1"/>
    </xf>
    <xf numFmtId="170" fontId="202" fillId="40" borderId="0" xfId="115" applyFont="1" applyFill="1" applyProtection="1">
      <protection hidden="1"/>
    </xf>
    <xf numFmtId="170" fontId="202" fillId="40" borderId="0" xfId="115" applyFont="1" applyFill="1" applyBorder="1" applyAlignment="1" applyProtection="1">
      <alignment horizontal="right" vertical="top"/>
      <protection hidden="1"/>
    </xf>
    <xf numFmtId="170" fontId="200" fillId="40" borderId="0" xfId="115" applyFont="1" applyFill="1" applyBorder="1" applyAlignment="1" applyProtection="1">
      <alignment horizontal="right" vertical="top"/>
      <protection hidden="1"/>
    </xf>
    <xf numFmtId="170" fontId="200" fillId="40" borderId="209" xfId="115" applyFont="1" applyFill="1" applyBorder="1" applyProtection="1">
      <protection hidden="1"/>
    </xf>
    <xf numFmtId="170" fontId="202" fillId="40" borderId="209" xfId="115" applyFont="1" applyFill="1" applyBorder="1" applyProtection="1">
      <protection hidden="1"/>
    </xf>
    <xf numFmtId="170" fontId="202" fillId="40" borderId="0" xfId="115" applyFont="1" applyFill="1" applyBorder="1" applyAlignment="1" applyProtection="1">
      <alignment horizontal="right"/>
      <protection hidden="1"/>
    </xf>
    <xf numFmtId="170" fontId="200" fillId="40" borderId="0" xfId="115" applyFont="1" applyFill="1" applyBorder="1" applyProtection="1">
      <protection hidden="1"/>
    </xf>
    <xf numFmtId="181" fontId="200" fillId="40" borderId="0" xfId="0" applyNumberFormat="1" applyFont="1" applyFill="1" applyAlignment="1" applyProtection="1">
      <alignment horizontal="right" vertical="top"/>
      <protection hidden="1"/>
    </xf>
    <xf numFmtId="170" fontId="202" fillId="40" borderId="0" xfId="548" applyFont="1" applyFill="1" applyBorder="1" applyAlignment="1" applyProtection="1">
      <alignment horizontal="right" vertical="top"/>
      <protection hidden="1"/>
    </xf>
    <xf numFmtId="170" fontId="200" fillId="40" borderId="0" xfId="548" applyFont="1" applyFill="1" applyBorder="1" applyAlignment="1" applyProtection="1">
      <alignment horizontal="right" vertical="top"/>
      <protection hidden="1"/>
    </xf>
    <xf numFmtId="170" fontId="200" fillId="40" borderId="0" xfId="115" applyFont="1" applyFill="1" applyBorder="1" applyAlignment="1" applyProtection="1">
      <alignment horizontal="center" vertical="center"/>
      <protection hidden="1"/>
    </xf>
    <xf numFmtId="0" fontId="209" fillId="40" borderId="0" xfId="901" applyFont="1" applyFill="1" applyAlignment="1" applyProtection="1">
      <alignment horizontal="left" vertical="center"/>
      <protection hidden="1"/>
    </xf>
    <xf numFmtId="0" fontId="202" fillId="40" borderId="61" xfId="0" applyFont="1" applyFill="1" applyBorder="1" applyAlignment="1" applyProtection="1">
      <alignment horizontal="center" vertical="center" wrapText="1"/>
      <protection hidden="1"/>
    </xf>
    <xf numFmtId="0" fontId="202" fillId="40" borderId="61" xfId="0" applyFont="1" applyFill="1" applyBorder="1" applyAlignment="1" applyProtection="1">
      <alignment horizontal="center" vertical="top"/>
      <protection hidden="1"/>
    </xf>
    <xf numFmtId="0" fontId="202" fillId="40" borderId="61" xfId="0" applyFont="1" applyFill="1" applyBorder="1" applyAlignment="1" applyProtection="1">
      <alignment horizontal="left" vertical="top"/>
      <protection hidden="1"/>
    </xf>
    <xf numFmtId="0" fontId="200" fillId="40" borderId="61" xfId="0" applyFont="1" applyFill="1" applyBorder="1" applyAlignment="1" applyProtection="1">
      <alignment horizontal="center" vertical="top"/>
      <protection hidden="1"/>
    </xf>
    <xf numFmtId="0" fontId="200" fillId="40" borderId="61" xfId="0" applyFont="1" applyFill="1" applyBorder="1" applyAlignment="1" applyProtection="1">
      <alignment horizontal="left" vertical="top"/>
      <protection hidden="1"/>
    </xf>
    <xf numFmtId="0" fontId="200" fillId="40" borderId="64" xfId="0" applyFont="1" applyFill="1" applyBorder="1" applyAlignment="1" applyProtection="1">
      <alignment horizontal="left" vertical="top"/>
      <protection hidden="1"/>
    </xf>
    <xf numFmtId="0" fontId="202" fillId="40" borderId="0" xfId="0" applyFont="1" applyFill="1" applyAlignment="1" applyProtection="1">
      <alignment horizontal="center" vertical="top"/>
      <protection hidden="1"/>
    </xf>
    <xf numFmtId="0" fontId="202" fillId="40" borderId="0" xfId="0" applyFont="1" applyFill="1" applyAlignment="1" applyProtection="1">
      <alignment horizontal="left" vertical="top"/>
      <protection hidden="1"/>
    </xf>
    <xf numFmtId="0" fontId="205" fillId="40" borderId="0" xfId="1204" applyFont="1" applyFill="1" applyAlignment="1">
      <alignment vertical="center"/>
    </xf>
    <xf numFmtId="0" fontId="206" fillId="40" borderId="16" xfId="1204" applyFont="1" applyFill="1" applyBorder="1" applyAlignment="1">
      <alignment horizontal="center" vertical="center" wrapText="1"/>
    </xf>
    <xf numFmtId="0" fontId="206" fillId="40" borderId="16" xfId="1204" applyFont="1" applyFill="1" applyBorder="1" applyAlignment="1">
      <alignment horizontal="center" vertical="center"/>
    </xf>
    <xf numFmtId="0" fontId="206" fillId="40" borderId="16" xfId="1204" applyFont="1" applyFill="1" applyBorder="1" applyAlignment="1">
      <alignment vertical="center"/>
    </xf>
    <xf numFmtId="0" fontId="205" fillId="40" borderId="16" xfId="1204" applyFont="1" applyFill="1" applyBorder="1" applyAlignment="1">
      <alignment vertical="center"/>
    </xf>
    <xf numFmtId="0" fontId="205" fillId="40" borderId="16" xfId="1204" applyFont="1" applyFill="1" applyBorder="1" applyAlignment="1">
      <alignment horizontal="center" vertical="center"/>
    </xf>
    <xf numFmtId="0" fontId="205" fillId="40" borderId="36" xfId="1204" applyFont="1" applyFill="1" applyBorder="1" applyAlignment="1">
      <alignment horizontal="left" vertical="center"/>
    </xf>
    <xf numFmtId="0" fontId="206" fillId="40" borderId="45" xfId="1204" applyFont="1" applyFill="1" applyBorder="1" applyAlignment="1">
      <alignment horizontal="center" vertical="center"/>
    </xf>
    <xf numFmtId="0" fontId="206" fillId="40" borderId="0" xfId="1204" applyFont="1" applyFill="1" applyAlignment="1">
      <alignment horizontal="center" vertical="center" wrapText="1"/>
    </xf>
    <xf numFmtId="0" fontId="206" fillId="40" borderId="0" xfId="1204" applyFont="1" applyFill="1" applyAlignment="1">
      <alignment horizontal="center" vertical="center"/>
    </xf>
    <xf numFmtId="0" fontId="206" fillId="40" borderId="0" xfId="1204" applyFont="1" applyFill="1" applyAlignment="1">
      <alignment vertical="center"/>
    </xf>
    <xf numFmtId="0" fontId="205" fillId="40" borderId="0" xfId="1204" applyFont="1" applyFill="1" applyAlignment="1">
      <alignment horizontal="center" vertical="center"/>
    </xf>
    <xf numFmtId="0" fontId="205" fillId="40" borderId="0" xfId="1204" applyFont="1" applyFill="1" applyAlignment="1">
      <alignment horizontal="left" vertical="center"/>
    </xf>
    <xf numFmtId="0" fontId="206" fillId="40" borderId="186" xfId="1204" applyFont="1" applyFill="1" applyBorder="1" applyAlignment="1">
      <alignment horizontal="center" vertical="center"/>
    </xf>
    <xf numFmtId="222" fontId="200" fillId="40" borderId="0" xfId="0" applyNumberFormat="1" applyFont="1" applyFill="1" applyProtection="1">
      <protection hidden="1"/>
    </xf>
    <xf numFmtId="0" fontId="200" fillId="40" borderId="209" xfId="0" applyFont="1" applyFill="1" applyBorder="1" applyAlignment="1" applyProtection="1">
      <alignment horizontal="center" vertical="center"/>
      <protection hidden="1"/>
    </xf>
    <xf numFmtId="0" fontId="200" fillId="40" borderId="205" xfId="0" applyFont="1" applyFill="1" applyBorder="1" applyProtection="1">
      <protection hidden="1"/>
    </xf>
    <xf numFmtId="0" fontId="200" fillId="40" borderId="209" xfId="0" applyFont="1" applyFill="1" applyBorder="1" applyProtection="1">
      <protection hidden="1"/>
    </xf>
    <xf numFmtId="9" fontId="135" fillId="40" borderId="209" xfId="42650" applyFont="1" applyFill="1" applyBorder="1" applyAlignment="1" applyProtection="1">
      <alignment vertical="top"/>
      <protection hidden="1"/>
    </xf>
    <xf numFmtId="0" fontId="202" fillId="40" borderId="205" xfId="0" applyFont="1" applyFill="1" applyBorder="1" applyProtection="1">
      <protection hidden="1"/>
    </xf>
    <xf numFmtId="0" fontId="202" fillId="40" borderId="209" xfId="0" applyFont="1" applyFill="1" applyBorder="1" applyProtection="1">
      <protection hidden="1"/>
    </xf>
    <xf numFmtId="170" fontId="202" fillId="40" borderId="205" xfId="115" applyFont="1" applyFill="1" applyBorder="1" applyAlignment="1" applyProtection="1">
      <alignment horizontal="right" vertical="top"/>
      <protection hidden="1"/>
    </xf>
    <xf numFmtId="170" fontId="202" fillId="40" borderId="209" xfId="115" applyFont="1" applyFill="1" applyBorder="1" applyAlignment="1" applyProtection="1">
      <alignment horizontal="right" vertical="top"/>
      <protection hidden="1"/>
    </xf>
    <xf numFmtId="0" fontId="249" fillId="40" borderId="209" xfId="0" applyFont="1" applyFill="1" applyBorder="1" applyAlignment="1" applyProtection="1">
      <alignment horizontal="center" vertical="center"/>
      <protection hidden="1"/>
    </xf>
    <xf numFmtId="170" fontId="249" fillId="40" borderId="209" xfId="115" applyFont="1" applyFill="1" applyBorder="1" applyAlignment="1" applyProtection="1">
      <alignment horizontal="center" vertical="center"/>
      <protection hidden="1"/>
    </xf>
    <xf numFmtId="0" fontId="249" fillId="40" borderId="205" xfId="0" applyFont="1" applyFill="1" applyBorder="1" applyAlignment="1" applyProtection="1">
      <alignment horizontal="center" vertical="center"/>
      <protection hidden="1"/>
    </xf>
    <xf numFmtId="0" fontId="200" fillId="40" borderId="205" xfId="0" applyFont="1" applyFill="1" applyBorder="1" applyAlignment="1" applyProtection="1">
      <alignment horizontal="center"/>
      <protection hidden="1"/>
    </xf>
    <xf numFmtId="0" fontId="200" fillId="40" borderId="209" xfId="0" applyFont="1" applyFill="1" applyBorder="1" applyAlignment="1" applyProtection="1">
      <alignment horizontal="center"/>
      <protection hidden="1"/>
    </xf>
    <xf numFmtId="9" fontId="135" fillId="40" borderId="209" xfId="42650" applyFont="1" applyFill="1" applyBorder="1" applyAlignment="1" applyProtection="1">
      <alignment horizontal="center" vertical="top"/>
      <protection hidden="1"/>
    </xf>
    <xf numFmtId="0" fontId="135" fillId="40" borderId="205" xfId="0" applyFont="1" applyFill="1" applyBorder="1" applyAlignment="1" applyProtection="1">
      <alignment horizontal="center"/>
      <protection hidden="1"/>
    </xf>
    <xf numFmtId="170" fontId="135" fillId="40" borderId="209" xfId="115" applyFont="1" applyFill="1" applyBorder="1" applyProtection="1">
      <protection hidden="1"/>
    </xf>
    <xf numFmtId="10" fontId="135" fillId="40" borderId="209" xfId="42650" applyNumberFormat="1" applyFont="1" applyFill="1" applyBorder="1" applyAlignment="1" applyProtection="1">
      <alignment horizontal="center"/>
      <protection hidden="1"/>
    </xf>
    <xf numFmtId="10" fontId="202" fillId="40" borderId="209" xfId="42650" applyNumberFormat="1" applyFont="1" applyFill="1" applyBorder="1" applyAlignment="1" applyProtection="1">
      <alignment horizontal="center"/>
      <protection hidden="1"/>
    </xf>
    <xf numFmtId="0" fontId="249" fillId="0" borderId="120" xfId="0" applyFont="1" applyBorder="1" applyAlignment="1" applyProtection="1">
      <alignment horizontal="center"/>
      <protection hidden="1"/>
    </xf>
    <xf numFmtId="170" fontId="202" fillId="40" borderId="121" xfId="115" applyFont="1" applyFill="1" applyBorder="1" applyProtection="1">
      <protection hidden="1"/>
    </xf>
    <xf numFmtId="0" fontId="249" fillId="0" borderId="120" xfId="0" applyFont="1" applyBorder="1" applyAlignment="1" applyProtection="1">
      <alignment horizontal="center" vertical="center"/>
      <protection hidden="1"/>
    </xf>
    <xf numFmtId="0" fontId="249" fillId="0" borderId="0" xfId="0" applyFont="1" applyAlignment="1" applyProtection="1">
      <alignment vertical="center"/>
      <protection hidden="1"/>
    </xf>
    <xf numFmtId="224" fontId="249" fillId="0" borderId="0" xfId="180" applyNumberFormat="1" applyFont="1" applyFill="1" applyBorder="1" applyAlignment="1" applyProtection="1">
      <alignment horizontal="center" vertical="center"/>
      <protection hidden="1"/>
    </xf>
    <xf numFmtId="183" fontId="249" fillId="0" borderId="0" xfId="180" applyNumberFormat="1" applyFont="1" applyFill="1" applyBorder="1" applyAlignment="1" applyProtection="1">
      <alignment vertical="center"/>
      <protection hidden="1"/>
    </xf>
    <xf numFmtId="170" fontId="200" fillId="40" borderId="121" xfId="115" applyFont="1" applyFill="1" applyBorder="1" applyProtection="1">
      <protection hidden="1"/>
    </xf>
    <xf numFmtId="170" fontId="249" fillId="0" borderId="0" xfId="115" applyFont="1" applyFill="1" applyBorder="1" applyAlignment="1" applyProtection="1">
      <alignment vertical="center"/>
      <protection hidden="1"/>
    </xf>
    <xf numFmtId="0" fontId="200" fillId="40" borderId="0" xfId="0" applyFont="1" applyFill="1" applyAlignment="1" applyProtection="1">
      <alignment horizontal="center"/>
      <protection hidden="1"/>
    </xf>
    <xf numFmtId="0" fontId="249" fillId="0" borderId="120" xfId="0" applyFont="1" applyBorder="1" applyAlignment="1" applyProtection="1">
      <alignment horizontal="center" vertical="top"/>
      <protection hidden="1"/>
    </xf>
    <xf numFmtId="0" fontId="135" fillId="0" borderId="120" xfId="0" applyFont="1" applyBorder="1" applyAlignment="1" applyProtection="1">
      <alignment horizontal="center" vertical="top"/>
      <protection hidden="1"/>
    </xf>
    <xf numFmtId="0" fontId="135" fillId="0" borderId="120" xfId="0" applyFont="1" applyBorder="1" applyAlignment="1" applyProtection="1">
      <alignment horizontal="center"/>
      <protection hidden="1"/>
    </xf>
    <xf numFmtId="0" fontId="200" fillId="40" borderId="0" xfId="0" applyFont="1" applyFill="1" applyAlignment="1" applyProtection="1">
      <alignment horizontal="center" vertical="center"/>
      <protection hidden="1"/>
    </xf>
    <xf numFmtId="170" fontId="200" fillId="40" borderId="121" xfId="115" applyFont="1" applyFill="1" applyBorder="1" applyAlignment="1" applyProtection="1">
      <alignment horizontal="center" vertical="center"/>
      <protection hidden="1"/>
    </xf>
    <xf numFmtId="0" fontId="135" fillId="0" borderId="0" xfId="0" applyFont="1" applyAlignment="1" applyProtection="1">
      <alignment vertical="top" wrapText="1"/>
      <protection hidden="1"/>
    </xf>
    <xf numFmtId="0" fontId="250" fillId="0" borderId="0" xfId="0" applyFont="1" applyAlignment="1" applyProtection="1">
      <alignment vertical="top"/>
      <protection hidden="1"/>
    </xf>
    <xf numFmtId="0" fontId="250" fillId="0" borderId="0" xfId="0" applyFont="1" applyAlignment="1" applyProtection="1">
      <alignment horizontal="center" vertical="top"/>
      <protection hidden="1"/>
    </xf>
    <xf numFmtId="0" fontId="135" fillId="0" borderId="0" xfId="0" applyFont="1" applyAlignment="1" applyProtection="1">
      <alignment horizontal="left" vertical="top" wrapText="1"/>
      <protection hidden="1"/>
    </xf>
    <xf numFmtId="181" fontId="135" fillId="0" borderId="0" xfId="42649" applyNumberFormat="1" applyFont="1" applyAlignment="1">
      <alignment horizontal="left" vertical="center"/>
    </xf>
    <xf numFmtId="170" fontId="202" fillId="0" borderId="65" xfId="115" applyFont="1" applyFill="1" applyBorder="1" applyAlignment="1" applyProtection="1">
      <alignment horizontal="right" vertical="top"/>
      <protection hidden="1"/>
    </xf>
    <xf numFmtId="10" fontId="202" fillId="40" borderId="209" xfId="42650" applyNumberFormat="1" applyFont="1" applyFill="1" applyBorder="1" applyAlignment="1" applyProtection="1">
      <alignment horizontal="center" vertical="center"/>
      <protection hidden="1"/>
    </xf>
    <xf numFmtId="0" fontId="200" fillId="40" borderId="209" xfId="0" quotePrefix="1" applyFont="1" applyFill="1" applyBorder="1" applyAlignment="1" applyProtection="1">
      <alignment horizontal="center"/>
      <protection hidden="1"/>
    </xf>
    <xf numFmtId="170" fontId="202" fillId="40" borderId="0" xfId="115" applyFont="1" applyFill="1" applyBorder="1" applyProtection="1">
      <protection hidden="1"/>
    </xf>
    <xf numFmtId="170" fontId="202" fillId="40" borderId="259" xfId="115" applyFont="1" applyFill="1" applyBorder="1" applyAlignment="1" applyProtection="1">
      <alignment horizontal="right" vertical="top"/>
      <protection hidden="1"/>
    </xf>
    <xf numFmtId="0" fontId="202" fillId="40" borderId="259" xfId="0" applyFont="1" applyFill="1" applyBorder="1" applyProtection="1">
      <protection hidden="1"/>
    </xf>
    <xf numFmtId="0" fontId="202" fillId="0" borderId="209" xfId="0" applyFont="1" applyBorder="1" applyProtection="1">
      <protection hidden="1"/>
    </xf>
    <xf numFmtId="170" fontId="202" fillId="40" borderId="260" xfId="115" applyFont="1" applyFill="1" applyBorder="1" applyAlignment="1" applyProtection="1">
      <alignment horizontal="right" vertical="top"/>
      <protection hidden="1"/>
    </xf>
    <xf numFmtId="0" fontId="202" fillId="40" borderId="260" xfId="0" applyFont="1" applyFill="1" applyBorder="1" applyProtection="1">
      <protection hidden="1"/>
    </xf>
    <xf numFmtId="0" fontId="200" fillId="40" borderId="166" xfId="0" applyFont="1" applyFill="1" applyBorder="1" applyProtection="1">
      <protection hidden="1"/>
    </xf>
    <xf numFmtId="0" fontId="200" fillId="40" borderId="209" xfId="0" quotePrefix="1" applyFont="1" applyFill="1" applyBorder="1" applyAlignment="1" applyProtection="1">
      <alignment horizontal="center" vertical="center"/>
      <protection hidden="1"/>
    </xf>
    <xf numFmtId="170" fontId="202" fillId="41" borderId="65" xfId="115" applyFont="1" applyFill="1" applyBorder="1" applyAlignment="1" applyProtection="1">
      <alignment horizontal="right" vertical="top"/>
      <protection hidden="1"/>
    </xf>
    <xf numFmtId="170" fontId="202" fillId="40" borderId="166" xfId="115" applyFont="1" applyFill="1" applyBorder="1" applyAlignment="1" applyProtection="1">
      <alignment horizontal="right" vertical="top"/>
      <protection hidden="1"/>
    </xf>
    <xf numFmtId="0" fontId="202" fillId="40" borderId="166" xfId="0" applyFont="1" applyFill="1" applyBorder="1" applyProtection="1">
      <protection hidden="1"/>
    </xf>
    <xf numFmtId="0" fontId="200" fillId="40" borderId="247" xfId="0" applyFont="1" applyFill="1" applyBorder="1" applyProtection="1">
      <protection hidden="1"/>
    </xf>
    <xf numFmtId="0" fontId="200" fillId="40" borderId="186" xfId="0" applyFont="1" applyFill="1" applyBorder="1" applyProtection="1">
      <protection hidden="1"/>
    </xf>
    <xf numFmtId="0" fontId="249" fillId="0" borderId="261" xfId="0" applyFont="1" applyBorder="1" applyAlignment="1" applyProtection="1">
      <alignment horizontal="center" vertical="center" wrapText="1"/>
      <protection hidden="1"/>
    </xf>
    <xf numFmtId="0" fontId="249" fillId="0" borderId="261" xfId="0" applyFont="1" applyBorder="1" applyAlignment="1" applyProtection="1">
      <alignment horizontal="center" vertical="top"/>
      <protection hidden="1"/>
    </xf>
    <xf numFmtId="0" fontId="135" fillId="0" borderId="261" xfId="0" applyFont="1" applyBorder="1" applyAlignment="1" applyProtection="1">
      <alignment horizontal="center" vertical="top"/>
      <protection hidden="1"/>
    </xf>
    <xf numFmtId="170" fontId="202" fillId="40" borderId="0" xfId="0" applyNumberFormat="1" applyFont="1" applyFill="1" applyProtection="1">
      <protection hidden="1"/>
    </xf>
    <xf numFmtId="170" fontId="200" fillId="66" borderId="0" xfId="0" applyNumberFormat="1" applyFont="1" applyFill="1" applyProtection="1">
      <protection hidden="1"/>
    </xf>
    <xf numFmtId="170" fontId="200" fillId="40" borderId="0" xfId="0" applyNumberFormat="1" applyFont="1" applyFill="1" applyProtection="1">
      <protection hidden="1"/>
    </xf>
    <xf numFmtId="181" fontId="200" fillId="66" borderId="0" xfId="0" applyNumberFormat="1" applyFont="1" applyFill="1" applyProtection="1">
      <protection hidden="1"/>
    </xf>
    <xf numFmtId="181" fontId="200" fillId="40" borderId="0" xfId="0" applyNumberFormat="1" applyFont="1" applyFill="1" applyProtection="1">
      <protection hidden="1"/>
    </xf>
    <xf numFmtId="0" fontId="249" fillId="0" borderId="262" xfId="0" applyFont="1" applyBorder="1" applyAlignment="1" applyProtection="1">
      <alignment horizontal="center" vertical="center" wrapText="1"/>
      <protection hidden="1"/>
    </xf>
    <xf numFmtId="0" fontId="249" fillId="0" borderId="262" xfId="0" applyFont="1" applyBorder="1" applyAlignment="1" applyProtection="1">
      <alignment horizontal="center" vertical="top"/>
      <protection hidden="1"/>
    </xf>
    <xf numFmtId="0" fontId="135" fillId="0" borderId="262" xfId="0" applyFont="1" applyBorder="1" applyAlignment="1" applyProtection="1">
      <alignment horizontal="center" vertical="top"/>
      <protection hidden="1"/>
    </xf>
    <xf numFmtId="0" fontId="135" fillId="0" borderId="263" xfId="0" applyFont="1" applyBorder="1" applyAlignment="1" applyProtection="1">
      <alignment horizontal="center" vertical="top"/>
      <protection hidden="1"/>
    </xf>
    <xf numFmtId="0" fontId="249" fillId="0" borderId="261" xfId="0" applyFont="1" applyBorder="1" applyAlignment="1" applyProtection="1">
      <alignment horizontal="center"/>
      <protection hidden="1"/>
    </xf>
    <xf numFmtId="0" fontId="135" fillId="0" borderId="261" xfId="0" applyFont="1" applyBorder="1" applyAlignment="1" applyProtection="1">
      <alignment horizontal="center"/>
      <protection hidden="1"/>
    </xf>
    <xf numFmtId="0" fontId="135" fillId="0" borderId="263" xfId="0" applyFont="1" applyBorder="1" applyAlignment="1" applyProtection="1">
      <alignment horizontal="center"/>
      <protection hidden="1"/>
    </xf>
    <xf numFmtId="0" fontId="135" fillId="0" borderId="264" xfId="0" applyFont="1" applyBorder="1" applyAlignment="1" applyProtection="1">
      <alignment horizontal="center" vertical="top"/>
      <protection hidden="1"/>
    </xf>
    <xf numFmtId="0" fontId="135" fillId="60" borderId="120" xfId="0" applyFont="1" applyFill="1" applyBorder="1" applyAlignment="1" applyProtection="1">
      <alignment horizontal="center"/>
      <protection hidden="1"/>
    </xf>
    <xf numFmtId="0" fontId="135" fillId="60" borderId="0" xfId="0" applyFont="1" applyFill="1" applyProtection="1">
      <protection hidden="1"/>
    </xf>
    <xf numFmtId="0" fontId="135" fillId="60" borderId="0" xfId="0" applyFont="1" applyFill="1" applyAlignment="1" applyProtection="1">
      <alignment horizontal="center"/>
      <protection hidden="1"/>
    </xf>
    <xf numFmtId="224" fontId="135" fillId="60" borderId="0" xfId="180" applyNumberFormat="1" applyFont="1" applyFill="1" applyBorder="1" applyAlignment="1" applyProtection="1">
      <alignment horizontal="center"/>
      <protection hidden="1"/>
    </xf>
    <xf numFmtId="183" fontId="135" fillId="60" borderId="0" xfId="180" applyNumberFormat="1" applyFont="1" applyFill="1" applyBorder="1" applyAlignment="1" applyProtection="1">
      <protection hidden="1"/>
    </xf>
    <xf numFmtId="170" fontId="135" fillId="60" borderId="0" xfId="115" applyFont="1" applyFill="1" applyBorder="1" applyAlignment="1" applyProtection="1">
      <protection hidden="1"/>
    </xf>
    <xf numFmtId="0" fontId="249" fillId="60" borderId="120" xfId="0" applyFont="1" applyFill="1" applyBorder="1" applyAlignment="1" applyProtection="1">
      <alignment horizontal="center"/>
      <protection hidden="1"/>
    </xf>
    <xf numFmtId="0" fontId="249" fillId="60" borderId="261" xfId="0" applyFont="1" applyFill="1" applyBorder="1" applyAlignment="1" applyProtection="1">
      <alignment horizontal="center" vertical="center" wrapText="1"/>
      <protection hidden="1"/>
    </xf>
    <xf numFmtId="0" fontId="249" fillId="60" borderId="261" xfId="0" applyFont="1" applyFill="1" applyBorder="1" applyAlignment="1" applyProtection="1">
      <alignment horizontal="center" vertical="top"/>
      <protection hidden="1"/>
    </xf>
    <xf numFmtId="0" fontId="135" fillId="60" borderId="261" xfId="0" applyFont="1" applyFill="1" applyBorder="1" applyAlignment="1" applyProtection="1">
      <alignment horizontal="center" vertical="top"/>
      <protection hidden="1"/>
    </xf>
    <xf numFmtId="0" fontId="249" fillId="0" borderId="263" xfId="0" applyFont="1" applyBorder="1" applyAlignment="1" applyProtection="1">
      <alignment horizontal="center" vertical="top"/>
      <protection hidden="1"/>
    </xf>
    <xf numFmtId="0" fontId="135" fillId="0" borderId="265" xfId="0" applyFont="1" applyBorder="1" applyAlignment="1" applyProtection="1">
      <alignment horizontal="center" vertical="top"/>
      <protection hidden="1"/>
    </xf>
    <xf numFmtId="0" fontId="135" fillId="0" borderId="209" xfId="0" applyFont="1" applyBorder="1" applyAlignment="1" applyProtection="1">
      <alignment horizontal="center" vertical="top" wrapText="1"/>
      <protection hidden="1"/>
    </xf>
    <xf numFmtId="0" fontId="135" fillId="0" borderId="209" xfId="0" applyFont="1" applyBorder="1" applyAlignment="1" applyProtection="1">
      <alignment horizontal="center" vertical="top"/>
      <protection hidden="1"/>
    </xf>
    <xf numFmtId="0" fontId="200" fillId="40" borderId="0" xfId="0" applyFont="1" applyFill="1" applyAlignment="1" applyProtection="1">
      <alignment horizontal="center" vertical="top"/>
      <protection hidden="1"/>
    </xf>
    <xf numFmtId="170" fontId="200" fillId="40" borderId="121" xfId="115" applyFont="1" applyFill="1" applyBorder="1" applyAlignment="1" applyProtection="1">
      <alignment horizontal="center" vertical="top"/>
      <protection hidden="1"/>
    </xf>
    <xf numFmtId="0" fontId="135" fillId="0" borderId="265" xfId="0" applyFont="1" applyBorder="1" applyAlignment="1" applyProtection="1">
      <alignment horizontal="center"/>
      <protection hidden="1"/>
    </xf>
    <xf numFmtId="182" fontId="135" fillId="0" borderId="209" xfId="115" applyNumberFormat="1" applyFont="1" applyFill="1" applyBorder="1" applyAlignment="1" applyProtection="1">
      <alignment horizontal="center"/>
      <protection hidden="1"/>
    </xf>
    <xf numFmtId="0" fontId="135" fillId="0" borderId="209" xfId="0" applyFont="1" applyBorder="1" applyAlignment="1" applyProtection="1">
      <alignment horizontal="center"/>
      <protection hidden="1"/>
    </xf>
    <xf numFmtId="170" fontId="200" fillId="41" borderId="0" xfId="0" applyNumberFormat="1" applyFont="1" applyFill="1" applyProtection="1">
      <protection hidden="1"/>
    </xf>
    <xf numFmtId="168" fontId="200" fillId="41" borderId="0" xfId="180" applyFont="1" applyFill="1" applyBorder="1" applyProtection="1">
      <protection hidden="1"/>
    </xf>
    <xf numFmtId="168" fontId="200" fillId="40" borderId="0" xfId="180" applyFont="1" applyFill="1" applyBorder="1" applyProtection="1">
      <protection hidden="1"/>
    </xf>
    <xf numFmtId="0" fontId="249" fillId="0" borderId="261" xfId="0" applyFont="1" applyBorder="1" applyAlignment="1" applyProtection="1">
      <alignment horizontal="center" vertical="center"/>
      <protection hidden="1"/>
    </xf>
    <xf numFmtId="0" fontId="200" fillId="40" borderId="0" xfId="0" applyFont="1" applyFill="1" applyAlignment="1" applyProtection="1">
      <alignment vertical="center"/>
      <protection hidden="1"/>
    </xf>
    <xf numFmtId="0" fontId="249" fillId="0" borderId="235" xfId="0" applyFont="1" applyBorder="1" applyAlignment="1" applyProtection="1">
      <alignment horizontal="center" vertical="top"/>
      <protection hidden="1"/>
    </xf>
    <xf numFmtId="272" fontId="249" fillId="0" borderId="266" xfId="42649" applyNumberFormat="1" applyFont="1" applyBorder="1" applyAlignment="1">
      <alignment vertical="center"/>
    </xf>
    <xf numFmtId="272" fontId="135" fillId="0" borderId="235" xfId="42649" applyNumberFormat="1" applyFont="1" applyBorder="1" applyAlignment="1">
      <alignment vertical="center"/>
    </xf>
    <xf numFmtId="0" fontId="135" fillId="0" borderId="235" xfId="0" applyFont="1" applyBorder="1" applyAlignment="1" applyProtection="1">
      <alignment horizontal="center" vertical="top"/>
      <protection hidden="1"/>
    </xf>
    <xf numFmtId="0" fontId="249" fillId="0" borderId="235" xfId="0" applyFont="1" applyBorder="1" applyAlignment="1" applyProtection="1">
      <alignment horizontal="center"/>
      <protection hidden="1"/>
    </xf>
    <xf numFmtId="0" fontId="249" fillId="0" borderId="267" xfId="0" applyFont="1" applyBorder="1" applyAlignment="1" applyProtection="1">
      <alignment horizontal="center" vertical="center"/>
      <protection hidden="1"/>
    </xf>
    <xf numFmtId="0" fontId="249" fillId="0" borderId="267" xfId="0" applyFont="1" applyBorder="1" applyAlignment="1" applyProtection="1">
      <alignment horizontal="center" vertical="top"/>
      <protection hidden="1"/>
    </xf>
    <xf numFmtId="0" fontId="135" fillId="0" borderId="235" xfId="0" applyFont="1" applyBorder="1" applyAlignment="1" applyProtection="1">
      <alignment horizontal="center"/>
      <protection hidden="1"/>
    </xf>
    <xf numFmtId="170" fontId="202" fillId="66" borderId="0" xfId="0" applyNumberFormat="1" applyFont="1" applyFill="1" applyProtection="1">
      <protection hidden="1"/>
    </xf>
    <xf numFmtId="170" fontId="202" fillId="69" borderId="0" xfId="0" applyNumberFormat="1" applyFont="1" applyFill="1" applyProtection="1">
      <protection hidden="1"/>
    </xf>
    <xf numFmtId="183" fontId="135" fillId="0" borderId="259" xfId="180" applyNumberFormat="1" applyFont="1" applyFill="1" applyBorder="1" applyAlignment="1" applyProtection="1">
      <alignment vertical="top"/>
      <protection hidden="1"/>
    </xf>
    <xf numFmtId="170" fontId="200" fillId="40" borderId="0" xfId="0" applyNumberFormat="1" applyFont="1" applyFill="1" applyAlignment="1" applyProtection="1">
      <alignment horizontal="center" vertical="center"/>
      <protection hidden="1"/>
    </xf>
    <xf numFmtId="2" fontId="200" fillId="0" borderId="0" xfId="0" applyNumberFormat="1" applyFont="1" applyProtection="1">
      <protection hidden="1"/>
    </xf>
    <xf numFmtId="2" fontId="200" fillId="40" borderId="0" xfId="0" applyNumberFormat="1" applyFont="1" applyFill="1" applyProtection="1">
      <protection hidden="1"/>
    </xf>
    <xf numFmtId="185" fontId="135" fillId="0" borderId="186" xfId="198" applyNumberFormat="1" applyFont="1" applyFill="1" applyBorder="1" applyAlignment="1" applyProtection="1">
      <alignment wrapText="1"/>
      <protection hidden="1"/>
    </xf>
    <xf numFmtId="185" fontId="135" fillId="0" borderId="186" xfId="198" applyNumberFormat="1" applyFont="1" applyFill="1" applyBorder="1" applyAlignment="1" applyProtection="1">
      <alignment horizontal="center" wrapText="1"/>
      <protection hidden="1"/>
    </xf>
    <xf numFmtId="224" fontId="135" fillId="0" borderId="186" xfId="180" applyNumberFormat="1" applyFont="1" applyFill="1" applyBorder="1" applyAlignment="1" applyProtection="1">
      <alignment horizontal="center" wrapText="1"/>
      <protection hidden="1"/>
    </xf>
    <xf numFmtId="185" fontId="135" fillId="0" borderId="209" xfId="198" applyNumberFormat="1" applyFont="1" applyFill="1" applyBorder="1" applyAlignment="1" applyProtection="1">
      <alignment wrapText="1"/>
      <protection hidden="1"/>
    </xf>
    <xf numFmtId="185" fontId="135" fillId="0" borderId="209" xfId="198" applyNumberFormat="1" applyFont="1" applyFill="1" applyBorder="1" applyAlignment="1" applyProtection="1">
      <alignment horizontal="center" wrapText="1"/>
      <protection hidden="1"/>
    </xf>
    <xf numFmtId="224" fontId="135" fillId="0" borderId="209" xfId="180" applyNumberFormat="1" applyFont="1" applyFill="1" applyBorder="1" applyAlignment="1" applyProtection="1">
      <alignment horizontal="center" wrapText="1"/>
      <protection hidden="1"/>
    </xf>
    <xf numFmtId="183" fontId="135" fillId="0" borderId="209" xfId="180" applyNumberFormat="1" applyFont="1" applyFill="1" applyBorder="1" applyAlignment="1" applyProtection="1">
      <alignment vertical="top"/>
      <protection hidden="1"/>
    </xf>
    <xf numFmtId="0" fontId="249" fillId="0" borderId="0" xfId="1012" applyFont="1" applyProtection="1">
      <protection hidden="1"/>
    </xf>
    <xf numFmtId="0" fontId="135" fillId="0" borderId="0" xfId="1012" applyFont="1" applyAlignment="1" applyProtection="1">
      <alignment horizontal="center"/>
      <protection hidden="1"/>
    </xf>
    <xf numFmtId="170" fontId="135" fillId="0" borderId="0" xfId="548" applyFont="1" applyFill="1" applyBorder="1" applyAlignment="1" applyProtection="1">
      <protection hidden="1"/>
    </xf>
    <xf numFmtId="0" fontId="200" fillId="40" borderId="0" xfId="1012" applyFont="1" applyFill="1" applyProtection="1">
      <protection hidden="1"/>
    </xf>
    <xf numFmtId="0" fontId="200" fillId="40" borderId="0" xfId="1012" applyFont="1" applyFill="1" applyAlignment="1" applyProtection="1">
      <alignment horizontal="center" vertical="center"/>
      <protection hidden="1"/>
    </xf>
    <xf numFmtId="0" fontId="202" fillId="40" borderId="0" xfId="1012" applyFont="1" applyFill="1" applyProtection="1">
      <protection hidden="1"/>
    </xf>
    <xf numFmtId="0" fontId="246" fillId="0" borderId="120" xfId="1012" applyFont="1" applyBorder="1" applyAlignment="1" applyProtection="1">
      <alignment horizontal="center"/>
      <protection hidden="1"/>
    </xf>
    <xf numFmtId="0" fontId="246" fillId="0" borderId="0" xfId="1012" applyFont="1" applyProtection="1">
      <protection hidden="1"/>
    </xf>
    <xf numFmtId="0" fontId="246" fillId="0" borderId="0" xfId="1012" applyFont="1" applyAlignment="1" applyProtection="1">
      <alignment horizontal="center"/>
      <protection hidden="1"/>
    </xf>
    <xf numFmtId="224" fontId="246" fillId="0" borderId="0" xfId="180" applyNumberFormat="1" applyFont="1" applyFill="1" applyBorder="1" applyAlignment="1" applyProtection="1">
      <alignment horizontal="center"/>
      <protection hidden="1"/>
    </xf>
    <xf numFmtId="183" fontId="246" fillId="0" borderId="0" xfId="180" applyNumberFormat="1" applyFont="1" applyFill="1" applyBorder="1" applyAlignment="1" applyProtection="1">
      <protection hidden="1"/>
    </xf>
    <xf numFmtId="0" fontId="205" fillId="40" borderId="0" xfId="1012" applyFont="1" applyFill="1" applyProtection="1">
      <protection hidden="1"/>
    </xf>
    <xf numFmtId="170" fontId="205" fillId="40" borderId="121" xfId="115" applyFont="1" applyFill="1" applyBorder="1" applyProtection="1">
      <protection hidden="1"/>
    </xf>
    <xf numFmtId="0" fontId="249" fillId="0" borderId="264" xfId="0" applyFont="1" applyBorder="1" applyAlignment="1" applyProtection="1">
      <alignment horizontal="center" vertical="top"/>
      <protection hidden="1"/>
    </xf>
    <xf numFmtId="198" fontId="200" fillId="0" borderId="0" xfId="0" applyNumberFormat="1" applyFont="1" applyProtection="1">
      <protection hidden="1"/>
    </xf>
    <xf numFmtId="198" fontId="200" fillId="40" borderId="0" xfId="0" applyNumberFormat="1" applyFont="1" applyFill="1" applyProtection="1">
      <protection hidden="1"/>
    </xf>
    <xf numFmtId="170" fontId="200" fillId="0" borderId="0" xfId="0" applyNumberFormat="1" applyFont="1" applyProtection="1">
      <protection hidden="1"/>
    </xf>
    <xf numFmtId="192" fontId="135" fillId="0" borderId="0" xfId="902" applyNumberFormat="1" applyFont="1" applyAlignment="1" applyProtection="1">
      <alignment horizontal="right"/>
      <protection hidden="1"/>
    </xf>
    <xf numFmtId="0" fontId="249" fillId="0" borderId="268" xfId="0" applyFont="1" applyBorder="1" applyAlignment="1" applyProtection="1">
      <alignment horizontal="center" vertical="center" wrapText="1"/>
      <protection hidden="1"/>
    </xf>
    <xf numFmtId="0" fontId="249" fillId="0" borderId="257" xfId="0" applyFont="1" applyBorder="1" applyAlignment="1" applyProtection="1">
      <alignment horizontal="center" vertical="center" wrapText="1"/>
      <protection hidden="1"/>
    </xf>
    <xf numFmtId="224" fontId="249" fillId="0" borderId="257" xfId="180" applyNumberFormat="1" applyFont="1" applyFill="1" applyBorder="1" applyAlignment="1" applyProtection="1">
      <alignment horizontal="center" vertical="center" wrapText="1"/>
      <protection hidden="1"/>
    </xf>
    <xf numFmtId="183" fontId="249" fillId="0" borderId="257" xfId="180" applyNumberFormat="1" applyFont="1" applyFill="1" applyBorder="1" applyAlignment="1" applyProtection="1">
      <alignment horizontal="center" vertical="center"/>
      <protection hidden="1"/>
    </xf>
    <xf numFmtId="170" fontId="249" fillId="0" borderId="257" xfId="115" applyFont="1" applyFill="1" applyBorder="1" applyAlignment="1" applyProtection="1">
      <alignment horizontal="center" vertical="center"/>
      <protection hidden="1"/>
    </xf>
    <xf numFmtId="0" fontId="200" fillId="66" borderId="166" xfId="0" applyFont="1" applyFill="1" applyBorder="1" applyAlignment="1" applyProtection="1">
      <alignment horizontal="center" vertical="center"/>
      <protection hidden="1"/>
    </xf>
    <xf numFmtId="0" fontId="249" fillId="0" borderId="69" xfId="0" applyFont="1" applyBorder="1" applyAlignment="1" applyProtection="1">
      <alignment horizontal="center" vertical="top"/>
      <protection hidden="1"/>
    </xf>
    <xf numFmtId="0" fontId="249" fillId="0" borderId="78" xfId="0" applyFont="1" applyBorder="1" applyAlignment="1" applyProtection="1">
      <alignment horizontal="center" vertical="top"/>
      <protection hidden="1"/>
    </xf>
    <xf numFmtId="170" fontId="202" fillId="66" borderId="270" xfId="115" applyFont="1" applyFill="1" applyBorder="1" applyAlignment="1" applyProtection="1">
      <alignment horizontal="right" vertical="top"/>
      <protection hidden="1"/>
    </xf>
    <xf numFmtId="0" fontId="249" fillId="0" borderId="201" xfId="0" applyFont="1" applyBorder="1" applyAlignment="1" applyProtection="1">
      <alignment horizontal="center" vertical="center" wrapText="1"/>
      <protection hidden="1"/>
    </xf>
    <xf numFmtId="183" fontId="249" fillId="0" borderId="201" xfId="180" applyNumberFormat="1" applyFont="1" applyFill="1" applyBorder="1" applyAlignment="1" applyProtection="1">
      <alignment vertical="center"/>
      <protection hidden="1"/>
    </xf>
    <xf numFmtId="170" fontId="249" fillId="0" borderId="258" xfId="115" applyFont="1" applyFill="1" applyBorder="1" applyAlignment="1" applyProtection="1">
      <alignment vertical="center"/>
      <protection hidden="1"/>
    </xf>
    <xf numFmtId="0" fontId="200" fillId="0" borderId="166" xfId="0" applyFont="1" applyBorder="1" applyAlignment="1" applyProtection="1">
      <alignment horizontal="center" vertical="center"/>
      <protection hidden="1"/>
    </xf>
    <xf numFmtId="170" fontId="202" fillId="0" borderId="271" xfId="115" applyFont="1" applyFill="1" applyBorder="1" applyAlignment="1" applyProtection="1">
      <alignment horizontal="right" vertical="top"/>
      <protection hidden="1"/>
    </xf>
    <xf numFmtId="0" fontId="135" fillId="0" borderId="166" xfId="0" applyFont="1" applyBorder="1" applyAlignment="1" applyProtection="1">
      <alignment horizontal="center"/>
      <protection hidden="1"/>
    </xf>
    <xf numFmtId="0" fontId="135" fillId="0" borderId="166" xfId="0" applyFont="1" applyBorder="1" applyProtection="1">
      <protection hidden="1"/>
    </xf>
    <xf numFmtId="224" fontId="135" fillId="0" borderId="166" xfId="180" applyNumberFormat="1" applyFont="1" applyFill="1" applyBorder="1" applyAlignment="1" applyProtection="1">
      <alignment horizontal="center"/>
      <protection hidden="1"/>
    </xf>
    <xf numFmtId="183" fontId="135" fillId="0" borderId="166" xfId="180" applyNumberFormat="1" applyFont="1" applyFill="1" applyBorder="1" applyAlignment="1" applyProtection="1">
      <protection hidden="1"/>
    </xf>
    <xf numFmtId="170" fontId="135" fillId="0" borderId="166" xfId="115" applyFont="1" applyFill="1" applyBorder="1" applyAlignment="1" applyProtection="1">
      <protection hidden="1"/>
    </xf>
    <xf numFmtId="0" fontId="200" fillId="0" borderId="166" xfId="0" applyFont="1" applyBorder="1" applyProtection="1">
      <protection hidden="1"/>
    </xf>
    <xf numFmtId="170" fontId="200" fillId="40" borderId="166" xfId="115" applyFont="1" applyFill="1" applyBorder="1" applyProtection="1">
      <protection hidden="1"/>
    </xf>
    <xf numFmtId="0" fontId="249" fillId="0" borderId="67" xfId="0" applyFont="1" applyBorder="1" applyAlignment="1" applyProtection="1">
      <alignment horizontal="center" vertical="center" wrapText="1"/>
      <protection hidden="1"/>
    </xf>
    <xf numFmtId="0" fontId="249" fillId="0" borderId="68" xfId="0" applyFont="1" applyBorder="1" applyAlignment="1" applyProtection="1">
      <alignment horizontal="center" vertical="center" wrapText="1"/>
      <protection hidden="1"/>
    </xf>
    <xf numFmtId="170" fontId="202" fillId="0" borderId="64" xfId="115" applyFont="1" applyFill="1" applyBorder="1" applyAlignment="1" applyProtection="1">
      <alignment horizontal="right" vertical="top"/>
      <protection hidden="1"/>
    </xf>
    <xf numFmtId="0" fontId="135" fillId="0" borderId="166" xfId="0" applyFont="1" applyBorder="1" applyAlignment="1" applyProtection="1">
      <alignment horizontal="center" vertical="top"/>
      <protection hidden="1"/>
    </xf>
    <xf numFmtId="0" fontId="135" fillId="0" borderId="166" xfId="0" applyFont="1" applyBorder="1" applyAlignment="1" applyProtection="1">
      <alignment horizontal="left" vertical="top"/>
      <protection hidden="1"/>
    </xf>
    <xf numFmtId="224" fontId="135" fillId="0" borderId="166" xfId="180" applyNumberFormat="1" applyFont="1" applyFill="1" applyBorder="1" applyAlignment="1" applyProtection="1">
      <alignment horizontal="center" vertical="top"/>
      <protection hidden="1"/>
    </xf>
    <xf numFmtId="183" fontId="135" fillId="0" borderId="166" xfId="180" applyNumberFormat="1" applyFont="1" applyFill="1" applyBorder="1" applyAlignment="1" applyProtection="1">
      <alignment vertical="top"/>
      <protection hidden="1"/>
    </xf>
    <xf numFmtId="170" fontId="135" fillId="0" borderId="166" xfId="115" applyFont="1" applyFill="1" applyBorder="1" applyAlignment="1" applyProtection="1">
      <alignment vertical="top"/>
      <protection hidden="1"/>
    </xf>
    <xf numFmtId="170" fontId="249" fillId="0" borderId="64" xfId="115" applyFont="1" applyFill="1" applyBorder="1" applyAlignment="1" applyProtection="1">
      <alignment vertical="top"/>
      <protection hidden="1"/>
    </xf>
    <xf numFmtId="170" fontId="202" fillId="66" borderId="64" xfId="115" applyFont="1" applyFill="1" applyBorder="1" applyAlignment="1" applyProtection="1">
      <alignment horizontal="right" vertical="top"/>
      <protection hidden="1"/>
    </xf>
    <xf numFmtId="0" fontId="200" fillId="66" borderId="166" xfId="0" applyFont="1" applyFill="1" applyBorder="1" applyProtection="1">
      <protection hidden="1"/>
    </xf>
    <xf numFmtId="0" fontId="249" fillId="0" borderId="67" xfId="0" applyFont="1" applyBorder="1" applyAlignment="1" applyProtection="1">
      <alignment horizontal="center" vertical="top" wrapText="1"/>
      <protection hidden="1"/>
    </xf>
    <xf numFmtId="0" fontId="135" fillId="0" borderId="0" xfId="0" applyFont="1" applyAlignment="1" applyProtection="1">
      <alignment horizontal="left" vertical="center"/>
      <protection hidden="1"/>
    </xf>
    <xf numFmtId="0" fontId="249" fillId="0" borderId="264" xfId="0" applyFont="1" applyBorder="1" applyAlignment="1" applyProtection="1">
      <alignment horizontal="center"/>
      <protection hidden="1"/>
    </xf>
    <xf numFmtId="170" fontId="202" fillId="0" borderId="64" xfId="115" applyFont="1" applyFill="1" applyBorder="1" applyAlignment="1" applyProtection="1">
      <alignment horizontal="right"/>
      <protection hidden="1"/>
    </xf>
    <xf numFmtId="0" fontId="249" fillId="0" borderId="166" xfId="0" applyFont="1" applyBorder="1" applyAlignment="1" applyProtection="1">
      <alignment horizontal="center"/>
      <protection hidden="1"/>
    </xf>
    <xf numFmtId="0" fontId="249" fillId="0" borderId="166" xfId="0" applyFont="1" applyBorder="1" applyAlignment="1" applyProtection="1">
      <alignment horizontal="left"/>
      <protection hidden="1"/>
    </xf>
    <xf numFmtId="224" fontId="249" fillId="0" borderId="166" xfId="180" applyNumberFormat="1" applyFont="1" applyFill="1" applyBorder="1" applyAlignment="1" applyProtection="1">
      <alignment horizontal="center"/>
      <protection hidden="1"/>
    </xf>
    <xf numFmtId="183" fontId="249" fillId="0" borderId="166" xfId="180" applyNumberFormat="1" applyFont="1" applyFill="1" applyBorder="1" applyAlignment="1" applyProtection="1">
      <protection hidden="1"/>
    </xf>
    <xf numFmtId="170" fontId="249" fillId="0" borderId="166" xfId="115" applyFont="1" applyFill="1" applyBorder="1" applyAlignment="1" applyProtection="1">
      <alignment vertical="top"/>
      <protection hidden="1"/>
    </xf>
    <xf numFmtId="170" fontId="202" fillId="0" borderId="166" xfId="115" applyFont="1" applyFill="1" applyBorder="1" applyAlignment="1" applyProtection="1">
      <alignment horizontal="right"/>
      <protection hidden="1"/>
    </xf>
    <xf numFmtId="0" fontId="202" fillId="0" borderId="166" xfId="0" applyFont="1" applyBorder="1" applyProtection="1">
      <protection hidden="1"/>
    </xf>
    <xf numFmtId="0" fontId="249" fillId="60" borderId="264" xfId="0" applyFont="1" applyFill="1" applyBorder="1" applyAlignment="1" applyProtection="1">
      <alignment horizontal="center" vertical="top"/>
      <protection hidden="1"/>
    </xf>
    <xf numFmtId="170" fontId="249" fillId="60" borderId="64" xfId="115" applyFont="1" applyFill="1" applyBorder="1" applyAlignment="1" applyProtection="1">
      <alignment vertical="top"/>
      <protection hidden="1"/>
    </xf>
    <xf numFmtId="0" fontId="200" fillId="60" borderId="166" xfId="0" applyFont="1" applyFill="1" applyBorder="1" applyProtection="1">
      <protection hidden="1"/>
    </xf>
    <xf numFmtId="0" fontId="249" fillId="0" borderId="166" xfId="0" applyFont="1" applyBorder="1" applyAlignment="1" applyProtection="1">
      <alignment horizontal="center" vertical="top"/>
      <protection hidden="1"/>
    </xf>
    <xf numFmtId="0" fontId="249" fillId="0" borderId="166" xfId="0" applyFont="1" applyBorder="1" applyAlignment="1" applyProtection="1">
      <alignment horizontal="left" vertical="top"/>
      <protection hidden="1"/>
    </xf>
    <xf numFmtId="170" fontId="202" fillId="0" borderId="166" xfId="115" applyFont="1" applyFill="1" applyBorder="1" applyAlignment="1" applyProtection="1">
      <alignment horizontal="right" vertical="top"/>
      <protection hidden="1"/>
    </xf>
    <xf numFmtId="170" fontId="202" fillId="40" borderId="166" xfId="115" applyFont="1" applyFill="1" applyBorder="1" applyProtection="1">
      <protection hidden="1"/>
    </xf>
    <xf numFmtId="0" fontId="249" fillId="0" borderId="166" xfId="0" applyFont="1" applyBorder="1" applyAlignment="1" applyProtection="1">
      <alignment vertical="top"/>
      <protection hidden="1"/>
    </xf>
    <xf numFmtId="224" fontId="249" fillId="0" borderId="166" xfId="180" applyNumberFormat="1" applyFont="1" applyFill="1" applyBorder="1" applyAlignment="1" applyProtection="1">
      <alignment horizontal="center" vertical="top"/>
      <protection hidden="1"/>
    </xf>
    <xf numFmtId="183" fontId="249" fillId="0" borderId="166" xfId="180" applyNumberFormat="1" applyFont="1" applyFill="1" applyBorder="1" applyAlignment="1" applyProtection="1">
      <alignment vertical="top"/>
      <protection hidden="1"/>
    </xf>
    <xf numFmtId="0" fontId="249" fillId="0" borderId="166" xfId="0" applyFont="1" applyBorder="1" applyAlignment="1" applyProtection="1">
      <alignment horizontal="center" vertical="center"/>
      <protection hidden="1"/>
    </xf>
    <xf numFmtId="0" fontId="249" fillId="0" borderId="166" xfId="0" applyFont="1" applyBorder="1" applyProtection="1">
      <protection hidden="1"/>
    </xf>
    <xf numFmtId="0" fontId="200" fillId="41" borderId="166" xfId="0" applyFont="1" applyFill="1" applyBorder="1" applyProtection="1">
      <protection hidden="1"/>
    </xf>
    <xf numFmtId="0" fontId="252" fillId="0" borderId="67" xfId="0" applyFont="1" applyBorder="1" applyAlignment="1" applyProtection="1">
      <alignment horizontal="center" vertical="center" wrapText="1"/>
      <protection hidden="1"/>
    </xf>
    <xf numFmtId="0" fontId="252" fillId="0" borderId="67" xfId="0" applyFont="1" applyBorder="1" applyAlignment="1" applyProtection="1">
      <alignment horizontal="center" vertical="top"/>
      <protection hidden="1"/>
    </xf>
    <xf numFmtId="0" fontId="153" fillId="0" borderId="67" xfId="0" applyFont="1" applyBorder="1" applyAlignment="1" applyProtection="1">
      <alignment horizontal="center" vertical="top"/>
      <protection hidden="1"/>
    </xf>
    <xf numFmtId="0" fontId="249" fillId="0" borderId="67" xfId="0" applyFont="1" applyBorder="1" applyAlignment="1" applyProtection="1">
      <alignment horizontal="center" vertical="center"/>
      <protection hidden="1"/>
    </xf>
    <xf numFmtId="170" fontId="200" fillId="40" borderId="0" xfId="115" applyFont="1" applyFill="1" applyBorder="1" applyAlignment="1" applyProtection="1">
      <alignment vertical="center"/>
      <protection hidden="1"/>
    </xf>
    <xf numFmtId="170" fontId="200" fillId="0" borderId="166" xfId="115" applyFont="1" applyFill="1" applyBorder="1" applyAlignment="1" applyProtection="1">
      <alignment horizontal="right" vertical="top"/>
      <protection hidden="1"/>
    </xf>
    <xf numFmtId="170" fontId="200" fillId="40" borderId="166" xfId="115" applyFont="1" applyFill="1" applyBorder="1" applyAlignment="1" applyProtection="1">
      <alignment horizontal="right" vertical="top"/>
      <protection hidden="1"/>
    </xf>
    <xf numFmtId="170" fontId="202" fillId="41" borderId="64" xfId="115" applyFont="1" applyFill="1" applyBorder="1" applyAlignment="1" applyProtection="1">
      <alignment horizontal="right" vertical="top"/>
      <protection hidden="1"/>
    </xf>
    <xf numFmtId="0" fontId="249" fillId="0" borderId="79" xfId="0" applyFont="1" applyBorder="1" applyAlignment="1" applyProtection="1">
      <alignment horizontal="center" vertical="center" wrapText="1"/>
      <protection hidden="1"/>
    </xf>
    <xf numFmtId="0" fontId="135" fillId="0" borderId="67" xfId="0" applyFont="1" applyBorder="1" applyAlignment="1" applyProtection="1">
      <alignment horizontal="center" vertical="center"/>
      <protection hidden="1"/>
    </xf>
    <xf numFmtId="0" fontId="249" fillId="0" borderId="67" xfId="1012" applyFont="1" applyBorder="1" applyAlignment="1" applyProtection="1">
      <alignment horizontal="center" vertical="center" wrapText="1"/>
      <protection hidden="1"/>
    </xf>
    <xf numFmtId="0" fontId="249" fillId="0" borderId="67" xfId="1012" applyFont="1" applyBorder="1" applyAlignment="1" applyProtection="1">
      <alignment horizontal="center" vertical="top"/>
      <protection hidden="1"/>
    </xf>
    <xf numFmtId="0" fontId="246" fillId="0" borderId="166" xfId="1012" applyFont="1" applyBorder="1" applyAlignment="1" applyProtection="1">
      <alignment horizontal="center"/>
      <protection hidden="1"/>
    </xf>
    <xf numFmtId="0" fontId="246" fillId="0" borderId="166" xfId="1012" applyFont="1" applyBorder="1" applyProtection="1">
      <protection hidden="1"/>
    </xf>
    <xf numFmtId="224" fontId="246" fillId="0" borderId="166" xfId="180" applyNumberFormat="1" applyFont="1" applyFill="1" applyBorder="1" applyAlignment="1" applyProtection="1">
      <alignment horizontal="center"/>
      <protection hidden="1"/>
    </xf>
    <xf numFmtId="183" fontId="246" fillId="0" borderId="166" xfId="180" applyNumberFormat="1" applyFont="1" applyFill="1" applyBorder="1" applyAlignment="1" applyProtection="1">
      <protection hidden="1"/>
    </xf>
    <xf numFmtId="0" fontId="205" fillId="0" borderId="166" xfId="1012" applyFont="1" applyBorder="1" applyProtection="1">
      <protection hidden="1"/>
    </xf>
    <xf numFmtId="0" fontId="205" fillId="40" borderId="166" xfId="1012" applyFont="1" applyFill="1" applyBorder="1" applyProtection="1">
      <protection hidden="1"/>
    </xf>
    <xf numFmtId="170" fontId="205" fillId="40" borderId="166" xfId="115" applyFont="1" applyFill="1" applyBorder="1" applyProtection="1">
      <protection hidden="1"/>
    </xf>
    <xf numFmtId="0" fontId="135" fillId="0" borderId="67" xfId="1012" applyFont="1" applyBorder="1" applyAlignment="1" applyProtection="1">
      <alignment horizontal="center" vertical="top"/>
      <protection hidden="1"/>
    </xf>
    <xf numFmtId="0" fontId="249" fillId="0" borderId="79" xfId="0" applyFont="1" applyBorder="1" applyAlignment="1" applyProtection="1">
      <alignment horizontal="center" vertical="top"/>
      <protection hidden="1"/>
    </xf>
    <xf numFmtId="0" fontId="135" fillId="0" borderId="0" xfId="902" applyFont="1" applyAlignment="1" applyProtection="1">
      <alignment horizontal="center" vertical="center"/>
      <protection hidden="1"/>
    </xf>
    <xf numFmtId="0" fontId="135" fillId="0" borderId="0" xfId="902" applyFont="1" applyProtection="1">
      <protection hidden="1"/>
    </xf>
    <xf numFmtId="0" fontId="135" fillId="0" borderId="0" xfId="902" applyFont="1" applyAlignment="1" applyProtection="1">
      <alignment horizontal="center"/>
      <protection hidden="1"/>
    </xf>
    <xf numFmtId="183" fontId="135" fillId="0" borderId="0" xfId="223" applyNumberFormat="1" applyFont="1" applyFill="1" applyBorder="1" applyAlignment="1" applyProtection="1">
      <protection hidden="1"/>
    </xf>
    <xf numFmtId="185" fontId="252" fillId="0" borderId="0" xfId="198" applyNumberFormat="1" applyFont="1" applyFill="1" applyBorder="1" applyAlignment="1" applyProtection="1">
      <alignment horizontal="left" vertical="center"/>
      <protection hidden="1"/>
    </xf>
    <xf numFmtId="170" fontId="202" fillId="66" borderId="67" xfId="115" applyFont="1" applyFill="1" applyBorder="1" applyAlignment="1" applyProtection="1">
      <alignment vertical="center"/>
      <protection hidden="1"/>
    </xf>
    <xf numFmtId="170" fontId="200" fillId="66" borderId="67" xfId="115" applyFont="1" applyFill="1" applyBorder="1" applyAlignment="1" applyProtection="1">
      <alignment vertical="top"/>
      <protection hidden="1"/>
    </xf>
    <xf numFmtId="170" fontId="202" fillId="66" borderId="67" xfId="115" applyFont="1" applyFill="1" applyBorder="1" applyAlignment="1" applyProtection="1">
      <alignment vertical="top"/>
      <protection hidden="1"/>
    </xf>
    <xf numFmtId="0" fontId="153" fillId="0" borderId="209" xfId="901" applyFont="1" applyBorder="1" applyProtection="1">
      <protection hidden="1"/>
    </xf>
    <xf numFmtId="224" fontId="153" fillId="0" borderId="209" xfId="180" applyNumberFormat="1" applyFont="1" applyFill="1" applyBorder="1" applyAlignment="1" applyProtection="1">
      <alignment horizontal="center" wrapText="1"/>
      <protection hidden="1"/>
    </xf>
    <xf numFmtId="170" fontId="200" fillId="40" borderId="0" xfId="115" applyFont="1" applyFill="1" applyBorder="1" applyAlignment="1" applyProtection="1">
      <alignment horizontal="center"/>
      <protection hidden="1"/>
    </xf>
    <xf numFmtId="0" fontId="202" fillId="40" borderId="0" xfId="0" applyFont="1" applyFill="1" applyAlignment="1" applyProtection="1">
      <alignment horizontal="center"/>
      <protection hidden="1"/>
    </xf>
    <xf numFmtId="224" fontId="200" fillId="66" borderId="0" xfId="180" applyNumberFormat="1" applyFont="1" applyFill="1" applyBorder="1" applyAlignment="1" applyProtection="1">
      <alignment horizontal="center"/>
      <protection hidden="1"/>
    </xf>
    <xf numFmtId="183" fontId="200" fillId="66" borderId="0" xfId="180" applyNumberFormat="1" applyFont="1" applyFill="1" applyBorder="1" applyAlignment="1" applyProtection="1">
      <protection hidden="1"/>
    </xf>
    <xf numFmtId="183" fontId="202" fillId="66" borderId="65" xfId="180" applyNumberFormat="1" applyFont="1" applyFill="1" applyBorder="1" applyAlignment="1" applyProtection="1">
      <alignment vertical="center"/>
      <protection hidden="1"/>
    </xf>
    <xf numFmtId="183" fontId="200" fillId="66" borderId="65" xfId="180" applyNumberFormat="1" applyFont="1" applyFill="1" applyBorder="1" applyAlignment="1" applyProtection="1">
      <alignment vertical="top"/>
      <protection hidden="1"/>
    </xf>
    <xf numFmtId="0" fontId="208" fillId="40" borderId="209" xfId="901" applyFont="1" applyFill="1" applyBorder="1" applyProtection="1">
      <protection hidden="1"/>
    </xf>
    <xf numFmtId="224" fontId="208" fillId="66" borderId="209" xfId="180" applyNumberFormat="1" applyFont="1" applyFill="1" applyBorder="1" applyAlignment="1" applyProtection="1">
      <alignment horizontal="center" wrapText="1"/>
      <protection hidden="1"/>
    </xf>
    <xf numFmtId="0" fontId="200" fillId="0" borderId="70" xfId="0" applyFont="1" applyBorder="1" applyProtection="1">
      <protection hidden="1"/>
    </xf>
    <xf numFmtId="0" fontId="249" fillId="40" borderId="271" xfId="0" applyFont="1" applyFill="1" applyBorder="1" applyAlignment="1" applyProtection="1">
      <alignment horizontal="center" vertical="center"/>
      <protection hidden="1"/>
    </xf>
    <xf numFmtId="0" fontId="249" fillId="40" borderId="76" xfId="0" applyFont="1" applyFill="1" applyBorder="1" applyAlignment="1" applyProtection="1">
      <alignment horizontal="center" vertical="center"/>
      <protection hidden="1"/>
    </xf>
    <xf numFmtId="170" fontId="249" fillId="40" borderId="78" xfId="115" applyFont="1" applyFill="1" applyBorder="1" applyAlignment="1" applyProtection="1">
      <alignment horizontal="center" vertical="center"/>
      <protection hidden="1"/>
    </xf>
    <xf numFmtId="170" fontId="200" fillId="40" borderId="210" xfId="115" applyFont="1" applyFill="1" applyBorder="1" applyProtection="1">
      <protection hidden="1"/>
    </xf>
    <xf numFmtId="170" fontId="135" fillId="40" borderId="210" xfId="115" applyFont="1" applyFill="1" applyBorder="1" applyProtection="1">
      <protection hidden="1"/>
    </xf>
    <xf numFmtId="0" fontId="200" fillId="0" borderId="62" xfId="0" applyFont="1" applyBorder="1" applyProtection="1">
      <protection hidden="1"/>
    </xf>
    <xf numFmtId="0" fontId="200" fillId="66" borderId="70" xfId="0" applyFont="1" applyFill="1" applyBorder="1" applyProtection="1">
      <protection hidden="1"/>
    </xf>
    <xf numFmtId="0" fontId="200" fillId="66" borderId="62" xfId="0" applyFont="1" applyFill="1" applyBorder="1" applyProtection="1">
      <protection hidden="1"/>
    </xf>
    <xf numFmtId="185" fontId="153" fillId="0" borderId="209" xfId="198" applyNumberFormat="1" applyFont="1" applyFill="1" applyBorder="1" applyAlignment="1" applyProtection="1">
      <alignment wrapText="1"/>
      <protection hidden="1"/>
    </xf>
    <xf numFmtId="0" fontId="202" fillId="66" borderId="62" xfId="0" applyFont="1" applyFill="1" applyBorder="1" applyProtection="1">
      <protection hidden="1"/>
    </xf>
    <xf numFmtId="0" fontId="202" fillId="40" borderId="273" xfId="0" applyFont="1" applyFill="1" applyBorder="1" applyProtection="1">
      <protection hidden="1"/>
    </xf>
    <xf numFmtId="0" fontId="200" fillId="0" borderId="70" xfId="0" applyFont="1" applyBorder="1" applyAlignment="1" applyProtection="1">
      <alignment horizontal="center" vertical="center"/>
      <protection hidden="1"/>
    </xf>
    <xf numFmtId="0" fontId="200" fillId="40" borderId="259" xfId="0" applyFont="1" applyFill="1" applyBorder="1" applyProtection="1">
      <protection hidden="1"/>
    </xf>
    <xf numFmtId="170" fontId="200" fillId="40" borderId="274" xfId="115" applyFont="1" applyFill="1" applyBorder="1" applyProtection="1">
      <protection hidden="1"/>
    </xf>
    <xf numFmtId="0" fontId="200" fillId="40" borderId="48" xfId="0" applyFont="1" applyFill="1" applyBorder="1" applyProtection="1">
      <protection hidden="1"/>
    </xf>
    <xf numFmtId="0" fontId="200" fillId="40" borderId="45" xfId="0" applyFont="1" applyFill="1" applyBorder="1" applyProtection="1">
      <protection hidden="1"/>
    </xf>
    <xf numFmtId="170" fontId="200" fillId="40" borderId="275" xfId="115" applyFont="1" applyFill="1" applyBorder="1" applyProtection="1">
      <protection hidden="1"/>
    </xf>
    <xf numFmtId="0" fontId="200" fillId="41" borderId="70" xfId="0" applyFont="1" applyFill="1" applyBorder="1" applyAlignment="1" applyProtection="1">
      <alignment horizontal="center" vertical="center"/>
      <protection hidden="1"/>
    </xf>
    <xf numFmtId="170" fontId="202" fillId="40" borderId="45" xfId="115" applyFont="1" applyFill="1" applyBorder="1" applyAlignment="1" applyProtection="1">
      <alignment horizontal="right" vertical="top"/>
      <protection hidden="1"/>
    </xf>
    <xf numFmtId="0" fontId="202" fillId="40" borderId="45" xfId="0" applyFont="1" applyFill="1" applyBorder="1" applyProtection="1">
      <protection hidden="1"/>
    </xf>
    <xf numFmtId="170" fontId="249" fillId="0" borderId="276" xfId="115" applyFont="1" applyFill="1" applyBorder="1" applyAlignment="1" applyProtection="1">
      <alignment vertical="top"/>
      <protection hidden="1"/>
    </xf>
    <xf numFmtId="170" fontId="205" fillId="40" borderId="0" xfId="115" applyFont="1" applyFill="1" applyBorder="1" applyProtection="1">
      <protection hidden="1"/>
    </xf>
    <xf numFmtId="170" fontId="200" fillId="0" borderId="70" xfId="115" applyFont="1" applyFill="1" applyBorder="1" applyAlignment="1" applyProtection="1">
      <alignment horizontal="right" vertical="top"/>
      <protection hidden="1"/>
    </xf>
    <xf numFmtId="0" fontId="200" fillId="67" borderId="70" xfId="0" applyFont="1" applyFill="1" applyBorder="1" applyAlignment="1" applyProtection="1">
      <alignment horizontal="center" vertical="center"/>
      <protection hidden="1"/>
    </xf>
    <xf numFmtId="170" fontId="200" fillId="40" borderId="210" xfId="115" applyFont="1" applyFill="1" applyBorder="1" applyAlignment="1" applyProtection="1">
      <alignment horizontal="center" vertical="center"/>
      <protection hidden="1"/>
    </xf>
    <xf numFmtId="170" fontId="202" fillId="40" borderId="210" xfId="115" applyFont="1" applyFill="1" applyBorder="1" applyProtection="1">
      <protection hidden="1"/>
    </xf>
    <xf numFmtId="170" fontId="200" fillId="0" borderId="62" xfId="115" applyFont="1" applyFill="1" applyBorder="1" applyAlignment="1" applyProtection="1">
      <alignment horizontal="right" vertical="top"/>
      <protection hidden="1"/>
    </xf>
    <xf numFmtId="0" fontId="200" fillId="69" borderId="70" xfId="0" applyFont="1" applyFill="1" applyBorder="1" applyAlignment="1" applyProtection="1">
      <alignment horizontal="center" vertical="center"/>
      <protection hidden="1"/>
    </xf>
    <xf numFmtId="0" fontId="200" fillId="66" borderId="70" xfId="0" applyFont="1" applyFill="1" applyBorder="1" applyAlignment="1" applyProtection="1">
      <alignment horizontal="center" vertical="center"/>
      <protection hidden="1"/>
    </xf>
    <xf numFmtId="0" fontId="135" fillId="0" borderId="68" xfId="0" applyFont="1" applyBorder="1" applyAlignment="1" applyProtection="1">
      <alignment horizontal="left" vertical="top"/>
      <protection hidden="1"/>
    </xf>
    <xf numFmtId="183" fontId="135" fillId="0" borderId="68" xfId="180" applyNumberFormat="1" applyFont="1" applyFill="1" applyBorder="1" applyAlignment="1" applyProtection="1">
      <alignment vertical="top"/>
      <protection hidden="1"/>
    </xf>
    <xf numFmtId="170" fontId="135" fillId="0" borderId="68" xfId="115" applyFont="1" applyFill="1" applyBorder="1" applyAlignment="1" applyProtection="1">
      <alignment vertical="top"/>
      <protection hidden="1"/>
    </xf>
    <xf numFmtId="0" fontId="200" fillId="40" borderId="62" xfId="0" applyFont="1" applyFill="1" applyBorder="1" applyProtection="1">
      <protection hidden="1"/>
    </xf>
    <xf numFmtId="170" fontId="200" fillId="40" borderId="66" xfId="115" applyFont="1" applyFill="1" applyBorder="1" applyProtection="1">
      <protection hidden="1"/>
    </xf>
    <xf numFmtId="170" fontId="249" fillId="0" borderId="80" xfId="115" applyFont="1" applyFill="1" applyBorder="1" applyAlignment="1" applyProtection="1">
      <alignment vertical="top"/>
      <protection hidden="1"/>
    </xf>
    <xf numFmtId="170" fontId="202" fillId="0" borderId="270" xfId="115" applyFont="1" applyFill="1" applyBorder="1" applyAlignment="1" applyProtection="1">
      <alignment horizontal="right" vertical="top"/>
      <protection hidden="1"/>
    </xf>
    <xf numFmtId="0" fontId="249" fillId="40" borderId="0" xfId="0" applyFont="1" applyFill="1" applyAlignment="1" applyProtection="1">
      <alignment horizontal="center"/>
      <protection hidden="1"/>
    </xf>
    <xf numFmtId="0" fontId="249" fillId="40" borderId="0" xfId="0" applyFont="1" applyFill="1" applyProtection="1">
      <protection hidden="1"/>
    </xf>
    <xf numFmtId="0" fontId="135" fillId="40" borderId="0" xfId="0" applyFont="1" applyFill="1" applyAlignment="1" applyProtection="1">
      <alignment horizontal="center"/>
      <protection hidden="1"/>
    </xf>
    <xf numFmtId="224" fontId="135" fillId="40" borderId="0" xfId="180" applyNumberFormat="1" applyFont="1" applyFill="1" applyBorder="1" applyAlignment="1" applyProtection="1">
      <alignment horizontal="center"/>
      <protection hidden="1"/>
    </xf>
    <xf numFmtId="183" fontId="135" fillId="40" borderId="0" xfId="180" applyNumberFormat="1" applyFont="1" applyFill="1" applyBorder="1" applyAlignment="1" applyProtection="1">
      <protection hidden="1"/>
    </xf>
    <xf numFmtId="170" fontId="135" fillId="40" borderId="0" xfId="115" applyFont="1" applyFill="1" applyBorder="1" applyAlignment="1" applyProtection="1">
      <protection hidden="1"/>
    </xf>
    <xf numFmtId="224" fontId="249" fillId="0" borderId="201" xfId="180" applyNumberFormat="1" applyFont="1" applyFill="1" applyBorder="1" applyAlignment="1" applyProtection="1">
      <alignment horizontal="center" vertical="center" wrapText="1"/>
      <protection hidden="1"/>
    </xf>
    <xf numFmtId="183" fontId="249" fillId="0" borderId="257" xfId="180" applyNumberFormat="1" applyFont="1" applyFill="1" applyBorder="1" applyAlignment="1" applyProtection="1">
      <alignment vertical="center"/>
      <protection hidden="1"/>
    </xf>
    <xf numFmtId="170" fontId="249" fillId="0" borderId="257" xfId="115" applyFont="1" applyFill="1" applyBorder="1" applyAlignment="1" applyProtection="1">
      <alignment vertical="center"/>
      <protection hidden="1"/>
    </xf>
    <xf numFmtId="0" fontId="249" fillId="0" borderId="269" xfId="0" applyFont="1" applyBorder="1" applyAlignment="1" applyProtection="1">
      <alignment vertical="top"/>
      <protection hidden="1"/>
    </xf>
    <xf numFmtId="0" fontId="249" fillId="0" borderId="269" xfId="0" applyFont="1" applyBorder="1" applyAlignment="1" applyProtection="1">
      <alignment horizontal="center" vertical="top"/>
      <protection hidden="1"/>
    </xf>
    <xf numFmtId="224" fontId="249" fillId="0" borderId="269" xfId="180" applyNumberFormat="1" applyFont="1" applyFill="1" applyBorder="1" applyAlignment="1" applyProtection="1">
      <alignment horizontal="center" vertical="top"/>
      <protection hidden="1"/>
    </xf>
    <xf numFmtId="183" fontId="249" fillId="0" borderId="269" xfId="180" applyNumberFormat="1" applyFont="1" applyFill="1" applyBorder="1" applyAlignment="1" applyProtection="1">
      <alignment vertical="top"/>
      <protection hidden="1"/>
    </xf>
    <xf numFmtId="170" fontId="202" fillId="0" borderId="85" xfId="115" applyFont="1" applyFill="1" applyBorder="1" applyAlignment="1" applyProtection="1">
      <alignment horizontal="right" vertical="top"/>
      <protection hidden="1"/>
    </xf>
    <xf numFmtId="170" fontId="202" fillId="0" borderId="80" xfId="115" applyFont="1" applyFill="1" applyBorder="1" applyAlignment="1" applyProtection="1">
      <alignment horizontal="right" vertical="top"/>
      <protection hidden="1"/>
    </xf>
    <xf numFmtId="170" fontId="135" fillId="0" borderId="278" xfId="115" applyFont="1" applyFill="1" applyBorder="1" applyAlignment="1" applyProtection="1">
      <alignment vertical="top"/>
      <protection hidden="1"/>
    </xf>
    <xf numFmtId="0" fontId="249" fillId="0" borderId="279" xfId="0" applyFont="1" applyBorder="1" applyAlignment="1" applyProtection="1">
      <alignment horizontal="center" vertical="center" wrapText="1"/>
      <protection hidden="1"/>
    </xf>
    <xf numFmtId="0" fontId="200" fillId="60" borderId="166" xfId="0" applyFont="1" applyFill="1" applyBorder="1" applyAlignment="1" applyProtection="1">
      <alignment horizontal="center" vertical="center"/>
      <protection hidden="1"/>
    </xf>
    <xf numFmtId="0" fontId="249" fillId="0" borderId="270" xfId="0" applyFont="1" applyBorder="1" applyAlignment="1" applyProtection="1">
      <alignment vertical="top"/>
      <protection hidden="1"/>
    </xf>
    <xf numFmtId="0" fontId="249" fillId="0" borderId="280" xfId="0" applyFont="1" applyBorder="1" applyAlignment="1" applyProtection="1">
      <alignment horizontal="center" vertical="top"/>
      <protection hidden="1"/>
    </xf>
    <xf numFmtId="0" fontId="249" fillId="0" borderId="281" xfId="0" applyFont="1" applyBorder="1" applyAlignment="1" applyProtection="1">
      <alignment horizontal="center" vertical="top"/>
      <protection hidden="1"/>
    </xf>
    <xf numFmtId="224" fontId="249" fillId="0" borderId="281" xfId="180" applyNumberFormat="1" applyFont="1" applyFill="1" applyBorder="1" applyAlignment="1" applyProtection="1">
      <alignment horizontal="center" vertical="top"/>
      <protection hidden="1"/>
    </xf>
    <xf numFmtId="183" fontId="249" fillId="0" borderId="281" xfId="180" applyNumberFormat="1" applyFont="1" applyFill="1" applyBorder="1" applyAlignment="1" applyProtection="1">
      <alignment vertical="top"/>
      <protection hidden="1"/>
    </xf>
    <xf numFmtId="170" fontId="202" fillId="60" borderId="80" xfId="115" applyFont="1" applyFill="1" applyBorder="1" applyAlignment="1" applyProtection="1">
      <alignment horizontal="right" vertical="top"/>
      <protection hidden="1"/>
    </xf>
    <xf numFmtId="0" fontId="200" fillId="0" borderId="85" xfId="0" applyFont="1" applyBorder="1" applyProtection="1">
      <protection hidden="1"/>
    </xf>
    <xf numFmtId="0" fontId="135" fillId="0" borderId="81" xfId="0" applyFont="1" applyBorder="1" applyAlignment="1" applyProtection="1">
      <alignment horizontal="center" vertical="top"/>
      <protection hidden="1"/>
    </xf>
    <xf numFmtId="170" fontId="202" fillId="40" borderId="211" xfId="115" applyFont="1" applyFill="1" applyBorder="1" applyAlignment="1" applyProtection="1">
      <alignment horizontal="right" vertical="top"/>
      <protection hidden="1"/>
    </xf>
    <xf numFmtId="0" fontId="202" fillId="40" borderId="211" xfId="0" applyFont="1" applyFill="1" applyBorder="1" applyProtection="1">
      <protection hidden="1"/>
    </xf>
    <xf numFmtId="0" fontId="249" fillId="0" borderId="69" xfId="0" applyFont="1" applyBorder="1" applyAlignment="1" applyProtection="1">
      <alignment horizontal="center"/>
      <protection hidden="1"/>
    </xf>
    <xf numFmtId="0" fontId="135" fillId="0" borderId="69" xfId="0" applyFont="1" applyBorder="1" applyAlignment="1" applyProtection="1">
      <alignment horizontal="center"/>
      <protection hidden="1"/>
    </xf>
    <xf numFmtId="170" fontId="249" fillId="0" borderId="72" xfId="115" applyFont="1" applyFill="1" applyBorder="1" applyAlignment="1" applyProtection="1">
      <protection hidden="1"/>
    </xf>
    <xf numFmtId="0" fontId="249" fillId="0" borderId="78" xfId="0" applyFont="1" applyBorder="1" applyAlignment="1" applyProtection="1">
      <alignment horizontal="center"/>
      <protection hidden="1"/>
    </xf>
    <xf numFmtId="170" fontId="202" fillId="0" borderId="80" xfId="115" applyFont="1" applyFill="1" applyBorder="1" applyAlignment="1" applyProtection="1">
      <alignment horizontal="right"/>
      <protection hidden="1"/>
    </xf>
    <xf numFmtId="170" fontId="202" fillId="40" borderId="212" xfId="115" applyFont="1" applyFill="1" applyBorder="1" applyAlignment="1" applyProtection="1">
      <alignment horizontal="right" vertical="top"/>
      <protection hidden="1"/>
    </xf>
    <xf numFmtId="170" fontId="202" fillId="40" borderId="269" xfId="115" applyFont="1" applyFill="1" applyBorder="1" applyAlignment="1" applyProtection="1">
      <alignment horizontal="right" vertical="top"/>
      <protection hidden="1"/>
    </xf>
    <xf numFmtId="0" fontId="135" fillId="0" borderId="282" xfId="0" applyFont="1" applyBorder="1" applyAlignment="1" applyProtection="1">
      <alignment horizontal="center"/>
      <protection hidden="1"/>
    </xf>
    <xf numFmtId="170" fontId="200" fillId="40" borderId="213" xfId="115" applyFont="1" applyFill="1" applyBorder="1" applyProtection="1">
      <protection hidden="1"/>
    </xf>
    <xf numFmtId="0" fontId="249" fillId="0" borderId="168" xfId="0" applyFont="1" applyBorder="1" applyAlignment="1" applyProtection="1">
      <alignment horizontal="center"/>
      <protection hidden="1"/>
    </xf>
    <xf numFmtId="170" fontId="202" fillId="40" borderId="252" xfId="115" applyFont="1" applyFill="1" applyBorder="1" applyProtection="1">
      <protection hidden="1"/>
    </xf>
    <xf numFmtId="0" fontId="249" fillId="0" borderId="168" xfId="0" applyFont="1" applyBorder="1" applyAlignment="1" applyProtection="1">
      <alignment horizontal="center" vertical="center"/>
      <protection hidden="1"/>
    </xf>
    <xf numFmtId="170" fontId="200" fillId="40" borderId="252" xfId="115" applyFont="1" applyFill="1" applyBorder="1" applyProtection="1">
      <protection hidden="1"/>
    </xf>
    <xf numFmtId="0" fontId="249" fillId="0" borderId="168" xfId="0" applyFont="1" applyBorder="1" applyAlignment="1" applyProtection="1">
      <alignment horizontal="center" vertical="center" wrapText="1"/>
      <protection hidden="1"/>
    </xf>
    <xf numFmtId="0" fontId="249" fillId="0" borderId="168" xfId="0" applyFont="1" applyBorder="1" applyAlignment="1" applyProtection="1">
      <alignment horizontal="center" vertical="top"/>
      <protection hidden="1"/>
    </xf>
    <xf numFmtId="0" fontId="135" fillId="0" borderId="168" xfId="0" applyFont="1" applyBorder="1" applyAlignment="1" applyProtection="1">
      <alignment horizontal="center" vertical="top"/>
      <protection hidden="1"/>
    </xf>
    <xf numFmtId="0" fontId="135" fillId="0" borderId="168" xfId="0" applyFont="1" applyBorder="1" applyAlignment="1" applyProtection="1">
      <alignment horizontal="center"/>
      <protection hidden="1"/>
    </xf>
    <xf numFmtId="170" fontId="200" fillId="40" borderId="252" xfId="115" applyFont="1" applyFill="1" applyBorder="1" applyAlignment="1" applyProtection="1">
      <alignment horizontal="center" vertical="center"/>
      <protection hidden="1"/>
    </xf>
    <xf numFmtId="0" fontId="135" fillId="0" borderId="168" xfId="42649" applyFont="1" applyBorder="1" applyAlignment="1">
      <alignment vertical="center"/>
    </xf>
    <xf numFmtId="0" fontId="249" fillId="0" borderId="35" xfId="0" applyFont="1" applyBorder="1" applyAlignment="1" applyProtection="1">
      <alignment horizontal="center"/>
      <protection hidden="1"/>
    </xf>
    <xf numFmtId="0" fontId="249" fillId="0" borderId="85" xfId="0" applyFont="1" applyBorder="1" applyProtection="1">
      <protection hidden="1"/>
    </xf>
    <xf numFmtId="0" fontId="249" fillId="0" borderId="85" xfId="0" applyFont="1" applyBorder="1" applyAlignment="1" applyProtection="1">
      <alignment horizontal="center"/>
      <protection hidden="1"/>
    </xf>
    <xf numFmtId="224" fontId="249" fillId="0" borderId="85" xfId="180" applyNumberFormat="1" applyFont="1" applyFill="1" applyBorder="1" applyAlignment="1" applyProtection="1">
      <alignment horizontal="center"/>
      <protection hidden="1"/>
    </xf>
    <xf numFmtId="183" fontId="249" fillId="0" borderId="85" xfId="180" applyNumberFormat="1" applyFont="1" applyFill="1" applyBorder="1" applyAlignment="1" applyProtection="1">
      <protection hidden="1"/>
    </xf>
    <xf numFmtId="170" fontId="249" fillId="0" borderId="85" xfId="115" applyFont="1" applyFill="1" applyBorder="1" applyAlignment="1" applyProtection="1">
      <protection hidden="1"/>
    </xf>
    <xf numFmtId="0" fontId="202" fillId="66" borderId="85" xfId="0" applyFont="1" applyFill="1" applyBorder="1" applyProtection="1">
      <protection hidden="1"/>
    </xf>
    <xf numFmtId="0" fontId="202" fillId="40" borderId="85" xfId="0" applyFont="1" applyFill="1" applyBorder="1" applyProtection="1">
      <protection hidden="1"/>
    </xf>
    <xf numFmtId="170" fontId="202" fillId="40" borderId="48" xfId="115" applyFont="1" applyFill="1" applyBorder="1" applyProtection="1">
      <protection hidden="1"/>
    </xf>
    <xf numFmtId="0" fontId="255" fillId="0" borderId="85" xfId="0" applyFont="1" applyBorder="1" applyAlignment="1" applyProtection="1">
      <alignment horizontal="center" vertical="center"/>
      <protection hidden="1"/>
    </xf>
    <xf numFmtId="0" fontId="201" fillId="0" borderId="0" xfId="0" applyFont="1" applyAlignment="1">
      <alignment horizontal="center" wrapText="1"/>
    </xf>
    <xf numFmtId="170" fontId="259" fillId="40" borderId="209" xfId="115" applyFont="1" applyFill="1" applyBorder="1" applyProtection="1">
      <protection hidden="1"/>
    </xf>
    <xf numFmtId="170" fontId="260" fillId="0" borderId="277" xfId="115" applyFont="1" applyFill="1" applyBorder="1" applyAlignment="1" applyProtection="1">
      <alignment vertical="top"/>
      <protection hidden="1"/>
    </xf>
    <xf numFmtId="170" fontId="260" fillId="0" borderId="61" xfId="115" applyFont="1" applyFill="1" applyBorder="1" applyAlignment="1" applyProtection="1">
      <alignment vertical="top"/>
      <protection hidden="1"/>
    </xf>
    <xf numFmtId="268" fontId="0" fillId="0" borderId="15" xfId="0" applyNumberFormat="1" applyBorder="1"/>
    <xf numFmtId="0" fontId="0" fillId="0" borderId="15" xfId="0" applyBorder="1"/>
    <xf numFmtId="0" fontId="0" fillId="0" borderId="5" xfId="0" applyBorder="1"/>
    <xf numFmtId="245" fontId="0" fillId="0" borderId="5" xfId="0" applyNumberFormat="1" applyBorder="1"/>
    <xf numFmtId="0" fontId="237" fillId="0" borderId="166" xfId="0" applyFont="1" applyBorder="1" applyAlignment="1">
      <alignment horizontal="center"/>
    </xf>
    <xf numFmtId="0" fontId="232" fillId="0" borderId="166" xfId="0" applyFont="1" applyBorder="1" applyAlignment="1">
      <alignment horizontal="center"/>
    </xf>
    <xf numFmtId="0" fontId="232" fillId="0" borderId="166" xfId="0" applyFont="1" applyBorder="1" applyAlignment="1">
      <alignment horizontal="left"/>
    </xf>
    <xf numFmtId="4" fontId="232" fillId="0" borderId="166" xfId="0" applyNumberFormat="1" applyFont="1" applyBorder="1" applyAlignment="1">
      <alignment horizontal="center"/>
    </xf>
    <xf numFmtId="0" fontId="232" fillId="0" borderId="166" xfId="0" applyFont="1" applyBorder="1"/>
    <xf numFmtId="268" fontId="236" fillId="57" borderId="286" xfId="0" applyNumberFormat="1" applyFont="1" applyFill="1" applyBorder="1" applyAlignment="1">
      <alignment horizontal="center" vertical="center"/>
    </xf>
    <xf numFmtId="268" fontId="232" fillId="0" borderId="50" xfId="0" applyNumberFormat="1" applyFont="1" applyBorder="1" applyAlignment="1">
      <alignment horizontal="center"/>
    </xf>
    <xf numFmtId="268" fontId="232" fillId="0" borderId="46" xfId="0" applyNumberFormat="1" applyFont="1" applyBorder="1" applyAlignment="1">
      <alignment horizontal="center"/>
    </xf>
    <xf numFmtId="268" fontId="237" fillId="0" borderId="203" xfId="0" applyNumberFormat="1" applyFont="1" applyBorder="1" applyAlignment="1">
      <alignment horizontal="center"/>
    </xf>
    <xf numFmtId="268" fontId="232" fillId="0" borderId="43" xfId="0" applyNumberFormat="1" applyFont="1" applyBorder="1" applyAlignment="1">
      <alignment horizontal="center"/>
    </xf>
    <xf numFmtId="268" fontId="232" fillId="0" borderId="46" xfId="0" applyNumberFormat="1" applyFont="1" applyBorder="1" applyAlignment="1">
      <alignment horizontal="center" vertical="center"/>
    </xf>
    <xf numFmtId="268" fontId="232" fillId="0" borderId="53" xfId="0" applyNumberFormat="1" applyFont="1" applyBorder="1" applyAlignment="1">
      <alignment horizontal="center"/>
    </xf>
    <xf numFmtId="268" fontId="232" fillId="0" borderId="49" xfId="0" applyNumberFormat="1" applyFont="1" applyBorder="1" applyAlignment="1">
      <alignment horizontal="center"/>
    </xf>
    <xf numFmtId="268" fontId="237" fillId="0" borderId="166" xfId="0" applyNumberFormat="1" applyFont="1" applyBorder="1" applyAlignment="1">
      <alignment horizontal="center"/>
    </xf>
    <xf numFmtId="268" fontId="0" fillId="0" borderId="5" xfId="0" applyNumberFormat="1" applyBorder="1"/>
    <xf numFmtId="268" fontId="0" fillId="0" borderId="209" xfId="0" applyNumberFormat="1" applyBorder="1"/>
    <xf numFmtId="0" fontId="0" fillId="0" borderId="209" xfId="0" applyBorder="1"/>
    <xf numFmtId="268" fontId="0" fillId="0" borderId="40" xfId="0" applyNumberFormat="1" applyBorder="1"/>
    <xf numFmtId="245" fontId="0" fillId="0" borderId="40" xfId="0" applyNumberFormat="1" applyBorder="1"/>
    <xf numFmtId="268" fontId="236" fillId="57" borderId="172" xfId="0" applyNumberFormat="1" applyFont="1" applyFill="1" applyBorder="1" applyAlignment="1">
      <alignment horizontal="center" vertical="center" wrapText="1"/>
    </xf>
    <xf numFmtId="268" fontId="0" fillId="57" borderId="209" xfId="0" applyNumberFormat="1" applyFill="1" applyBorder="1"/>
    <xf numFmtId="0" fontId="0" fillId="57" borderId="209" xfId="0" applyFill="1" applyBorder="1"/>
    <xf numFmtId="4" fontId="232" fillId="57" borderId="203" xfId="0" applyNumberFormat="1" applyFont="1" applyFill="1" applyBorder="1" applyAlignment="1">
      <alignment horizontal="center"/>
    </xf>
    <xf numFmtId="0" fontId="232" fillId="57" borderId="203" xfId="0" applyFont="1" applyFill="1" applyBorder="1" applyAlignment="1">
      <alignment horizontal="center"/>
    </xf>
    <xf numFmtId="268" fontId="237" fillId="57" borderId="203" xfId="0" applyNumberFormat="1" applyFont="1" applyFill="1" applyBorder="1" applyAlignment="1">
      <alignment horizontal="center"/>
    </xf>
    <xf numFmtId="4" fontId="232" fillId="57" borderId="203" xfId="0" applyNumberFormat="1" applyFont="1" applyFill="1" applyBorder="1" applyAlignment="1">
      <alignment horizontal="center" vertical="center"/>
    </xf>
    <xf numFmtId="0" fontId="232" fillId="57" borderId="203" xfId="0" applyFont="1" applyFill="1" applyBorder="1" applyAlignment="1">
      <alignment horizontal="center" vertical="center"/>
    </xf>
    <xf numFmtId="268" fontId="232" fillId="57" borderId="203" xfId="0" applyNumberFormat="1" applyFont="1" applyFill="1" applyBorder="1" applyAlignment="1">
      <alignment horizontal="center" vertical="center"/>
    </xf>
    <xf numFmtId="268" fontId="232" fillId="57" borderId="203" xfId="0" applyNumberFormat="1" applyFont="1" applyFill="1" applyBorder="1" applyAlignment="1">
      <alignment horizontal="center"/>
    </xf>
    <xf numFmtId="4" fontId="232" fillId="57" borderId="193" xfId="0" applyNumberFormat="1" applyFont="1" applyFill="1" applyBorder="1" applyAlignment="1">
      <alignment horizontal="center"/>
    </xf>
    <xf numFmtId="0" fontId="232" fillId="57" borderId="193" xfId="0" applyFont="1" applyFill="1" applyBorder="1" applyAlignment="1">
      <alignment horizontal="center"/>
    </xf>
    <xf numFmtId="268" fontId="232" fillId="57" borderId="193" xfId="0" applyNumberFormat="1" applyFont="1" applyFill="1" applyBorder="1" applyAlignment="1">
      <alignment horizontal="center"/>
    </xf>
    <xf numFmtId="268" fontId="0" fillId="57" borderId="209" xfId="0" applyNumberFormat="1" applyFill="1" applyBorder="1" applyAlignment="1">
      <alignment vertical="center"/>
    </xf>
    <xf numFmtId="0" fontId="0" fillId="57" borderId="209" xfId="0" applyFill="1" applyBorder="1" applyAlignment="1">
      <alignment vertical="center"/>
    </xf>
    <xf numFmtId="0" fontId="237" fillId="57" borderId="203" xfId="0" applyFont="1" applyFill="1" applyBorder="1" applyAlignment="1">
      <alignment horizontal="center"/>
    </xf>
    <xf numFmtId="4" fontId="232" fillId="57" borderId="209" xfId="0" applyNumberFormat="1" applyFont="1" applyFill="1" applyBorder="1" applyAlignment="1">
      <alignment horizontal="center"/>
    </xf>
    <xf numFmtId="0" fontId="232" fillId="57" borderId="209" xfId="0" applyFont="1" applyFill="1" applyBorder="1" applyAlignment="1">
      <alignment horizontal="center"/>
    </xf>
    <xf numFmtId="268" fontId="232" fillId="57" borderId="209" xfId="0" applyNumberFormat="1" applyFont="1" applyFill="1" applyBorder="1" applyAlignment="1">
      <alignment horizontal="center"/>
    </xf>
    <xf numFmtId="0" fontId="237" fillId="57" borderId="203" xfId="0" applyFont="1" applyFill="1" applyBorder="1" applyAlignment="1">
      <alignment horizontal="right"/>
    </xf>
    <xf numFmtId="0" fontId="237" fillId="57" borderId="204" xfId="0" applyFont="1" applyFill="1" applyBorder="1" applyAlignment="1">
      <alignment horizontal="center"/>
    </xf>
    <xf numFmtId="4" fontId="232" fillId="57" borderId="204" xfId="0" applyNumberFormat="1" applyFont="1" applyFill="1" applyBorder="1" applyAlignment="1">
      <alignment horizontal="center"/>
    </xf>
    <xf numFmtId="0" fontId="232" fillId="57" borderId="204" xfId="0" applyFont="1" applyFill="1" applyBorder="1" applyAlignment="1">
      <alignment horizontal="center"/>
    </xf>
    <xf numFmtId="268" fontId="232" fillId="57" borderId="205" xfId="0" applyNumberFormat="1" applyFont="1" applyFill="1" applyBorder="1" applyAlignment="1">
      <alignment horizontal="center"/>
    </xf>
    <xf numFmtId="0" fontId="232" fillId="0" borderId="122" xfId="0" applyFont="1" applyBorder="1" applyAlignment="1">
      <alignment horizontal="center"/>
    </xf>
    <xf numFmtId="0" fontId="237" fillId="0" borderId="84" xfId="0" applyFont="1" applyBorder="1" applyAlignment="1">
      <alignment horizontal="center"/>
    </xf>
    <xf numFmtId="0" fontId="232" fillId="0" borderId="84" xfId="0" applyFont="1" applyBorder="1" applyAlignment="1">
      <alignment horizontal="center"/>
    </xf>
    <xf numFmtId="0" fontId="232" fillId="0" borderId="84" xfId="0" applyFont="1" applyBorder="1"/>
    <xf numFmtId="4" fontId="232" fillId="0" borderId="84" xfId="0" applyNumberFormat="1" applyFont="1" applyBorder="1" applyAlignment="1">
      <alignment horizontal="center"/>
    </xf>
    <xf numFmtId="268" fontId="0" fillId="0" borderId="39" xfId="0" applyNumberFormat="1" applyBorder="1"/>
    <xf numFmtId="245" fontId="0" fillId="0" borderId="39" xfId="0" applyNumberFormat="1" applyBorder="1"/>
    <xf numFmtId="0" fontId="0" fillId="0" borderId="39" xfId="0" applyBorder="1"/>
    <xf numFmtId="268" fontId="0" fillId="0" borderId="39" xfId="0" applyNumberFormat="1" applyBorder="1" applyAlignment="1">
      <alignment vertical="center" wrapText="1"/>
    </xf>
    <xf numFmtId="268" fontId="0" fillId="0" borderId="39" xfId="0" applyNumberFormat="1" applyBorder="1" applyAlignment="1">
      <alignment vertical="center"/>
    </xf>
    <xf numFmtId="4" fontId="232" fillId="57" borderId="197" xfId="0" applyNumberFormat="1" applyFont="1" applyFill="1" applyBorder="1" applyAlignment="1">
      <alignment horizontal="center" vertical="center"/>
    </xf>
    <xf numFmtId="0" fontId="232" fillId="57" borderId="197" xfId="0" applyFont="1" applyFill="1" applyBorder="1" applyAlignment="1">
      <alignment horizontal="center" vertical="center"/>
    </xf>
    <xf numFmtId="268" fontId="232" fillId="57" borderId="197" xfId="0" applyNumberFormat="1" applyFont="1" applyFill="1" applyBorder="1" applyAlignment="1">
      <alignment horizontal="center" vertical="center"/>
    </xf>
    <xf numFmtId="268" fontId="232" fillId="57" borderId="230" xfId="0" applyNumberFormat="1" applyFont="1" applyFill="1" applyBorder="1" applyAlignment="1">
      <alignment horizontal="center" vertical="center"/>
    </xf>
    <xf numFmtId="268" fontId="0" fillId="57" borderId="186" xfId="0" applyNumberFormat="1" applyFill="1" applyBorder="1"/>
    <xf numFmtId="0" fontId="0" fillId="57" borderId="186" xfId="0" applyFill="1" applyBorder="1"/>
    <xf numFmtId="268" fontId="237" fillId="0" borderId="5" xfId="0" applyNumberFormat="1" applyFont="1" applyBorder="1" applyAlignment="1">
      <alignment horizontal="right"/>
    </xf>
    <xf numFmtId="268" fontId="237" fillId="0" borderId="253" xfId="0" applyNumberFormat="1" applyFont="1" applyBorder="1" applyAlignment="1">
      <alignment horizontal="right"/>
    </xf>
    <xf numFmtId="0" fontId="237" fillId="0" borderId="85" xfId="0" applyFont="1" applyBorder="1" applyAlignment="1">
      <alignment horizontal="center"/>
    </xf>
    <xf numFmtId="0" fontId="232" fillId="0" borderId="85" xfId="0" applyFont="1" applyBorder="1" applyAlignment="1">
      <alignment horizontal="center"/>
    </xf>
    <xf numFmtId="0" fontId="232" fillId="0" borderId="85" xfId="0" applyFont="1" applyBorder="1"/>
    <xf numFmtId="4" fontId="232" fillId="0" borderId="85" xfId="0" applyNumberFormat="1" applyFont="1" applyBorder="1" applyAlignment="1">
      <alignment horizontal="center"/>
    </xf>
    <xf numFmtId="268" fontId="0" fillId="0" borderId="229" xfId="0" applyNumberFormat="1" applyBorder="1"/>
    <xf numFmtId="0" fontId="0" fillId="0" borderId="229" xfId="0" applyBorder="1"/>
    <xf numFmtId="0" fontId="0" fillId="0" borderId="288" xfId="0" applyBorder="1"/>
    <xf numFmtId="0" fontId="0" fillId="0" borderId="121" xfId="0" applyBorder="1"/>
    <xf numFmtId="0" fontId="0" fillId="0" borderId="290" xfId="0" applyBorder="1"/>
    <xf numFmtId="0" fontId="236" fillId="57" borderId="231" xfId="0" applyFont="1" applyFill="1" applyBorder="1" applyAlignment="1">
      <alignment horizontal="center" vertical="center"/>
    </xf>
    <xf numFmtId="0" fontId="236" fillId="57" borderId="232" xfId="0" applyFont="1" applyFill="1" applyBorder="1" applyAlignment="1">
      <alignment horizontal="center" vertical="center" wrapText="1"/>
    </xf>
    <xf numFmtId="0" fontId="236" fillId="57" borderId="291" xfId="0" applyFont="1" applyFill="1" applyBorder="1" applyAlignment="1">
      <alignment horizontal="center" vertical="center"/>
    </xf>
    <xf numFmtId="0" fontId="0" fillId="57" borderId="292" xfId="0" applyFill="1" applyBorder="1"/>
    <xf numFmtId="0" fontId="232" fillId="0" borderId="150" xfId="0" applyFont="1" applyBorder="1" applyAlignment="1">
      <alignment horizontal="center"/>
    </xf>
    <xf numFmtId="10" fontId="0" fillId="0" borderId="133" xfId="42650" applyNumberFormat="1" applyFont="1" applyBorder="1"/>
    <xf numFmtId="0" fontId="232" fillId="0" borderId="107" xfId="0" applyFont="1" applyBorder="1" applyAlignment="1">
      <alignment horizontal="center"/>
    </xf>
    <xf numFmtId="10" fontId="0" fillId="0" borderId="293" xfId="42650" applyNumberFormat="1" applyFont="1" applyBorder="1"/>
    <xf numFmtId="0" fontId="232" fillId="0" borderId="265" xfId="0" applyFont="1" applyBorder="1" applyAlignment="1">
      <alignment horizontal="center"/>
    </xf>
    <xf numFmtId="0" fontId="0" fillId="0" borderId="133" xfId="0" applyBorder="1"/>
    <xf numFmtId="0" fontId="236" fillId="57" borderId="265" xfId="0" applyFont="1" applyFill="1" applyBorder="1" applyAlignment="1">
      <alignment horizontal="center" vertical="center"/>
    </xf>
    <xf numFmtId="0" fontId="0" fillId="57" borderId="248" xfId="0" applyFill="1" applyBorder="1"/>
    <xf numFmtId="0" fontId="237" fillId="57" borderId="265" xfId="0" applyFont="1" applyFill="1" applyBorder="1" applyAlignment="1">
      <alignment horizontal="center" vertical="center"/>
    </xf>
    <xf numFmtId="0" fontId="237" fillId="0" borderId="150" xfId="0" applyFont="1" applyBorder="1" applyAlignment="1">
      <alignment horizontal="center"/>
    </xf>
    <xf numFmtId="0" fontId="0" fillId="0" borderId="151" xfId="0" applyBorder="1"/>
    <xf numFmtId="10" fontId="0" fillId="0" borderId="151" xfId="42650" applyNumberFormat="1" applyFont="1" applyBorder="1"/>
    <xf numFmtId="0" fontId="237" fillId="0" borderId="107" xfId="0" applyFont="1" applyBorder="1" applyAlignment="1">
      <alignment horizontal="center"/>
    </xf>
    <xf numFmtId="0" fontId="232" fillId="0" borderId="109" xfId="0" applyFont="1" applyBorder="1" applyAlignment="1">
      <alignment horizontal="center"/>
    </xf>
    <xf numFmtId="10" fontId="0" fillId="0" borderId="248" xfId="42650" applyNumberFormat="1" applyFont="1" applyBorder="1"/>
    <xf numFmtId="10" fontId="0" fillId="57" borderId="248" xfId="42650" applyNumberFormat="1" applyFont="1" applyFill="1" applyBorder="1"/>
    <xf numFmtId="0" fontId="237" fillId="57" borderId="294" xfId="0" applyFont="1" applyFill="1" applyBorder="1" applyAlignment="1">
      <alignment horizontal="center" vertical="center"/>
    </xf>
    <xf numFmtId="0" fontId="232" fillId="0" borderId="157" xfId="0" applyFont="1" applyBorder="1" applyAlignment="1">
      <alignment horizontal="center"/>
    </xf>
    <xf numFmtId="0" fontId="0" fillId="0" borderId="248" xfId="0" applyBorder="1"/>
    <xf numFmtId="0" fontId="0" fillId="57" borderId="248" xfId="0" applyFill="1" applyBorder="1" applyAlignment="1">
      <alignment vertical="center"/>
    </xf>
    <xf numFmtId="0" fontId="232" fillId="0" borderId="132" xfId="0" applyFont="1" applyBorder="1" applyAlignment="1">
      <alignment horizontal="center"/>
    </xf>
    <xf numFmtId="0" fontId="237" fillId="57" borderId="265" xfId="0" applyFont="1" applyFill="1" applyBorder="1" applyAlignment="1">
      <alignment horizontal="center"/>
    </xf>
    <xf numFmtId="0" fontId="232" fillId="57" borderId="265" xfId="0" applyFont="1" applyFill="1" applyBorder="1" applyAlignment="1">
      <alignment horizontal="center"/>
    </xf>
    <xf numFmtId="268" fontId="232" fillId="0" borderId="252" xfId="0" applyNumberFormat="1" applyFont="1" applyBorder="1" applyAlignment="1">
      <alignment horizontal="center"/>
    </xf>
    <xf numFmtId="0" fontId="232" fillId="0" borderId="295" xfId="0" applyFont="1" applyBorder="1" applyAlignment="1">
      <alignment horizontal="center"/>
    </xf>
    <xf numFmtId="0" fontId="0" fillId="0" borderId="296" xfId="0" applyBorder="1"/>
    <xf numFmtId="0" fontId="232" fillId="0" borderId="239" xfId="0" applyFont="1" applyBorder="1" applyAlignment="1">
      <alignment horizontal="center"/>
    </xf>
    <xf numFmtId="0" fontId="232" fillId="0" borderId="297" xfId="0" applyFont="1" applyBorder="1" applyAlignment="1">
      <alignment horizontal="center"/>
    </xf>
    <xf numFmtId="0" fontId="232" fillId="0" borderId="120" xfId="0" applyFont="1" applyBorder="1" applyAlignment="1">
      <alignment horizontal="center"/>
    </xf>
    <xf numFmtId="268" fontId="232" fillId="0" borderId="84" xfId="0" applyNumberFormat="1" applyFont="1" applyBorder="1" applyAlignment="1">
      <alignment horizontal="center"/>
    </xf>
    <xf numFmtId="0" fontId="0" fillId="0" borderId="123" xfId="0" applyBorder="1"/>
    <xf numFmtId="268" fontId="0" fillId="57" borderId="299" xfId="0" applyNumberFormat="1" applyFill="1" applyBorder="1"/>
    <xf numFmtId="0" fontId="0" fillId="57" borderId="299" xfId="0" applyFill="1" applyBorder="1"/>
    <xf numFmtId="10" fontId="0" fillId="57" borderId="298" xfId="42650" applyNumberFormat="1" applyFont="1" applyFill="1" applyBorder="1"/>
    <xf numFmtId="0" fontId="114" fillId="0" borderId="31" xfId="0" applyFont="1" applyBorder="1" applyAlignment="1">
      <alignment horizontal="left" vertical="center" wrapText="1"/>
    </xf>
    <xf numFmtId="0" fontId="114" fillId="0" borderId="5" xfId="0" applyFont="1" applyBorder="1" applyAlignment="1">
      <alignment horizontal="left" vertical="center" wrapText="1"/>
    </xf>
    <xf numFmtId="0" fontId="114" fillId="0" borderId="45" xfId="0" applyFont="1" applyBorder="1" applyAlignment="1">
      <alignment horizontal="left" vertical="center" wrapText="1"/>
    </xf>
    <xf numFmtId="0" fontId="114" fillId="0" borderId="81" xfId="0" applyFont="1" applyBorder="1" applyAlignment="1">
      <alignment horizontal="left" vertical="center" wrapText="1"/>
    </xf>
    <xf numFmtId="0" fontId="114" fillId="0" borderId="82" xfId="0" applyFont="1" applyBorder="1" applyAlignment="1">
      <alignment horizontal="left" vertical="center" wrapText="1"/>
    </xf>
    <xf numFmtId="0" fontId="114" fillId="0" borderId="83" xfId="0" applyFont="1" applyBorder="1" applyAlignment="1">
      <alignment horizontal="left" vertical="center" wrapText="1"/>
    </xf>
    <xf numFmtId="0" fontId="114" fillId="0" borderId="61" xfId="0" applyFont="1" applyBorder="1" applyAlignment="1">
      <alignment horizontal="left" vertical="center" wrapText="1"/>
    </xf>
    <xf numFmtId="0" fontId="114" fillId="0" borderId="64" xfId="0" applyFont="1" applyBorder="1" applyAlignment="1">
      <alignment horizontal="left" vertical="center" wrapText="1"/>
    </xf>
    <xf numFmtId="0" fontId="113" fillId="0" borderId="64" xfId="0" applyFont="1" applyBorder="1" applyAlignment="1">
      <alignment horizontal="center" vertical="center"/>
    </xf>
    <xf numFmtId="0" fontId="113" fillId="0" borderId="61" xfId="0" applyFont="1" applyBorder="1" applyAlignment="1">
      <alignment horizontal="center" vertical="center"/>
    </xf>
    <xf numFmtId="0" fontId="115" fillId="0" borderId="61" xfId="0" applyFont="1" applyBorder="1" applyAlignment="1">
      <alignment horizontal="left" vertical="center" wrapText="1"/>
    </xf>
    <xf numFmtId="0" fontId="129" fillId="0" borderId="120" xfId="21951" applyFont="1" applyBorder="1" applyAlignment="1">
      <alignment horizontal="center" vertical="center"/>
    </xf>
    <xf numFmtId="0" fontId="129" fillId="0" borderId="0" xfId="21951" applyFont="1" applyAlignment="1">
      <alignment horizontal="center" vertical="center"/>
    </xf>
    <xf numFmtId="0" fontId="129" fillId="0" borderId="121" xfId="21951" applyFont="1" applyBorder="1" applyAlignment="1">
      <alignment horizontal="center" vertical="center"/>
    </xf>
    <xf numFmtId="0" fontId="194" fillId="0" borderId="117" xfId="21951" applyFont="1" applyBorder="1" applyAlignment="1">
      <alignment horizontal="center"/>
    </xf>
    <xf numFmtId="0" fontId="194" fillId="0" borderId="118" xfId="21951" applyFont="1" applyBorder="1" applyAlignment="1">
      <alignment horizontal="center"/>
    </xf>
    <xf numFmtId="0" fontId="194" fillId="0" borderId="119" xfId="21951" applyFont="1" applyBorder="1" applyAlignment="1">
      <alignment horizontal="center"/>
    </xf>
    <xf numFmtId="0" fontId="129" fillId="0" borderId="88" xfId="21951" applyFont="1" applyBorder="1" applyAlignment="1">
      <alignment horizontal="center" vertical="center"/>
    </xf>
    <xf numFmtId="0" fontId="129" fillId="0" borderId="89" xfId="21951" applyFont="1" applyBorder="1" applyAlignment="1">
      <alignment horizontal="center" vertical="center"/>
    </xf>
    <xf numFmtId="0" fontId="129" fillId="0" borderId="104" xfId="21951" applyFont="1" applyBorder="1" applyAlignment="1">
      <alignment horizontal="center" vertical="center"/>
    </xf>
    <xf numFmtId="0" fontId="129" fillId="0" borderId="117" xfId="21951" applyFont="1" applyBorder="1" applyAlignment="1">
      <alignment horizontal="center" vertical="center"/>
    </xf>
    <xf numFmtId="0" fontId="129" fillId="0" borderId="118" xfId="21951" applyFont="1" applyBorder="1" applyAlignment="1">
      <alignment horizontal="center" vertical="center"/>
    </xf>
    <xf numFmtId="0" fontId="129" fillId="0" borderId="119" xfId="21951" applyFont="1" applyBorder="1" applyAlignment="1">
      <alignment horizontal="center" vertical="center"/>
    </xf>
    <xf numFmtId="0" fontId="129" fillId="0" borderId="130" xfId="21951" applyFont="1" applyBorder="1" applyAlignment="1">
      <alignment horizontal="center" vertical="center"/>
    </xf>
    <xf numFmtId="0" fontId="129" fillId="0" borderId="90" xfId="21951" applyFont="1" applyBorder="1" applyAlignment="1">
      <alignment horizontal="center" vertical="center"/>
    </xf>
    <xf numFmtId="0" fontId="129" fillId="0" borderId="135" xfId="21951" applyFont="1" applyBorder="1" applyAlignment="1">
      <alignment horizontal="center" vertical="center"/>
    </xf>
    <xf numFmtId="0" fontId="129" fillId="0" borderId="16" xfId="21951" applyFont="1" applyBorder="1" applyAlignment="1">
      <alignment horizontal="center" vertical="center"/>
    </xf>
    <xf numFmtId="0" fontId="129" fillId="0" borderId="90" xfId="2263" applyNumberFormat="1" applyFont="1" applyFill="1" applyBorder="1" applyAlignment="1">
      <alignment horizontal="center" vertical="center" wrapText="1"/>
    </xf>
    <xf numFmtId="0" fontId="129" fillId="0" borderId="16" xfId="2263" applyNumberFormat="1" applyFont="1" applyFill="1" applyBorder="1" applyAlignment="1">
      <alignment horizontal="center" vertical="center" wrapText="1"/>
    </xf>
    <xf numFmtId="0" fontId="129" fillId="0" borderId="144" xfId="2263" applyNumberFormat="1" applyFont="1" applyFill="1" applyBorder="1" applyAlignment="1">
      <alignment horizontal="center" vertical="center" wrapText="1"/>
    </xf>
    <xf numFmtId="267" fontId="129" fillId="0" borderId="131" xfId="2263" applyNumberFormat="1" applyFont="1" applyFill="1" applyBorder="1" applyAlignment="1">
      <alignment horizontal="center" vertical="center" wrapText="1"/>
    </xf>
    <xf numFmtId="267" fontId="129" fillId="0" borderId="133" xfId="2263" applyNumberFormat="1" applyFont="1" applyFill="1" applyBorder="1" applyAlignment="1">
      <alignment horizontal="center" vertical="center" wrapText="1"/>
    </xf>
    <xf numFmtId="267" fontId="129" fillId="0" borderId="141" xfId="2263" applyNumberFormat="1" applyFont="1" applyFill="1" applyBorder="1" applyAlignment="1">
      <alignment horizontal="center" vertical="center" wrapText="1"/>
    </xf>
    <xf numFmtId="0" fontId="190" fillId="0" borderId="0" xfId="1204" applyFont="1" applyAlignment="1">
      <alignment horizontal="center"/>
    </xf>
    <xf numFmtId="0" fontId="192" fillId="0" borderId="88" xfId="1204" applyFont="1" applyBorder="1" applyAlignment="1">
      <alignment horizontal="center" vertical="center"/>
    </xf>
    <xf numFmtId="0" fontId="192" fillId="0" borderId="91" xfId="1204" applyFont="1" applyBorder="1" applyAlignment="1">
      <alignment horizontal="center" vertical="center"/>
    </xf>
    <xf numFmtId="170" fontId="192" fillId="0" borderId="88" xfId="1207" applyFont="1" applyBorder="1" applyAlignment="1">
      <alignment horizontal="center" vertical="center"/>
    </xf>
    <xf numFmtId="170" fontId="192" fillId="0" borderId="91" xfId="1207" applyFont="1" applyBorder="1" applyAlignment="1">
      <alignment horizontal="center" vertical="center"/>
    </xf>
    <xf numFmtId="0" fontId="199" fillId="0" borderId="44" xfId="0" applyFont="1" applyBorder="1" applyAlignment="1">
      <alignment horizontal="center" vertical="center"/>
    </xf>
    <xf numFmtId="0" fontId="253" fillId="0" borderId="36" xfId="1204" applyFont="1" applyBorder="1" applyAlignment="1">
      <alignment horizontal="left" vertical="center"/>
    </xf>
    <xf numFmtId="0" fontId="253" fillId="0" borderId="93" xfId="1204" applyFont="1" applyBorder="1" applyAlignment="1">
      <alignment horizontal="left" vertical="center"/>
    </xf>
    <xf numFmtId="0" fontId="253" fillId="0" borderId="37" xfId="1204" applyFont="1" applyBorder="1" applyAlignment="1">
      <alignment horizontal="left" vertical="center"/>
    </xf>
    <xf numFmtId="0" fontId="135" fillId="0" borderId="75" xfId="0" applyFont="1" applyBorder="1" applyAlignment="1" applyProtection="1">
      <alignment horizontal="center" vertical="top"/>
      <protection hidden="1"/>
    </xf>
    <xf numFmtId="0" fontId="249" fillId="0" borderId="61" xfId="0" applyFont="1" applyBorder="1" applyAlignment="1" applyProtection="1">
      <alignment horizontal="left" vertical="top"/>
      <protection hidden="1"/>
    </xf>
    <xf numFmtId="0" fontId="250" fillId="0" borderId="61" xfId="0" applyFont="1" applyBorder="1" applyAlignment="1" applyProtection="1">
      <alignment horizontal="left" vertical="top"/>
      <protection hidden="1"/>
    </xf>
    <xf numFmtId="0" fontId="249" fillId="0" borderId="61" xfId="0" applyFont="1" applyBorder="1" applyAlignment="1" applyProtection="1">
      <alignment horizontal="center" vertical="top"/>
      <protection hidden="1"/>
    </xf>
    <xf numFmtId="0" fontId="249" fillId="0" borderId="63" xfId="0" applyFont="1" applyBorder="1" applyAlignment="1" applyProtection="1">
      <alignment horizontal="left" vertical="top"/>
      <protection hidden="1"/>
    </xf>
    <xf numFmtId="0" fontId="135" fillId="0" borderId="63" xfId="0" applyFont="1" applyBorder="1" applyAlignment="1" applyProtection="1">
      <alignment horizontal="center" vertical="top"/>
      <protection hidden="1"/>
    </xf>
    <xf numFmtId="224" fontId="135" fillId="0" borderId="65" xfId="180" applyNumberFormat="1" applyFont="1" applyFill="1" applyBorder="1" applyAlignment="1" applyProtection="1">
      <alignment horizontal="center" vertical="top"/>
      <protection hidden="1"/>
    </xf>
    <xf numFmtId="224" fontId="135" fillId="0" borderId="67" xfId="180" applyNumberFormat="1" applyFont="1" applyFill="1" applyBorder="1" applyAlignment="1" applyProtection="1">
      <alignment horizontal="center" vertical="top"/>
      <protection hidden="1"/>
    </xf>
    <xf numFmtId="224" fontId="253" fillId="0" borderId="36" xfId="2138" applyNumberFormat="1" applyFont="1" applyFill="1" applyBorder="1" applyAlignment="1">
      <alignment horizontal="center" vertical="center"/>
    </xf>
    <xf numFmtId="224" fontId="253" fillId="0" borderId="167" xfId="2138" applyNumberFormat="1" applyFont="1" applyFill="1" applyBorder="1" applyAlignment="1">
      <alignment horizontal="center" vertical="center"/>
    </xf>
    <xf numFmtId="0" fontId="253" fillId="0" borderId="36" xfId="1204" applyFont="1" applyBorder="1" applyAlignment="1">
      <alignment horizontal="center" vertical="center"/>
    </xf>
    <xf numFmtId="0" fontId="253" fillId="0" borderId="167" xfId="1204" applyFont="1" applyBorder="1" applyAlignment="1">
      <alignment horizontal="center" vertical="center"/>
    </xf>
    <xf numFmtId="0" fontId="253" fillId="0" borderId="35" xfId="1204" applyFont="1" applyBorder="1" applyAlignment="1">
      <alignment horizontal="left" vertical="center"/>
    </xf>
    <xf numFmtId="0" fontId="253" fillId="0" borderId="85" xfId="1204" applyFont="1" applyBorder="1" applyAlignment="1">
      <alignment horizontal="left" vertical="center"/>
    </xf>
    <xf numFmtId="0" fontId="253" fillId="0" borderId="48" xfId="1204" applyFont="1" applyBorder="1" applyAlignment="1">
      <alignment horizontal="left" vertical="center"/>
    </xf>
    <xf numFmtId="0" fontId="249" fillId="0" borderId="75" xfId="0" applyFont="1" applyBorder="1" applyAlignment="1" applyProtection="1">
      <alignment horizontal="left" vertical="top"/>
      <protection hidden="1"/>
    </xf>
    <xf numFmtId="0" fontId="135" fillId="0" borderId="80" xfId="0" applyFont="1" applyBorder="1" applyAlignment="1" applyProtection="1">
      <alignment horizontal="center" vertical="top"/>
      <protection hidden="1"/>
    </xf>
    <xf numFmtId="0" fontId="135" fillId="0" borderId="61" xfId="0" applyFont="1" applyBorder="1" applyAlignment="1" applyProtection="1">
      <alignment horizontal="center" vertical="top"/>
      <protection hidden="1"/>
    </xf>
    <xf numFmtId="0" fontId="249" fillId="0" borderId="75" xfId="0" applyFont="1" applyBorder="1" applyAlignment="1" applyProtection="1">
      <alignment horizontal="left"/>
      <protection hidden="1"/>
    </xf>
    <xf numFmtId="0" fontId="249" fillId="0" borderId="64" xfId="0" applyFont="1" applyBorder="1" applyAlignment="1" applyProtection="1">
      <alignment horizontal="left"/>
      <protection hidden="1"/>
    </xf>
    <xf numFmtId="0" fontId="250" fillId="0" borderId="61" xfId="0" applyFont="1" applyBorder="1" applyAlignment="1" applyProtection="1">
      <alignment horizontal="left"/>
      <protection hidden="1"/>
    </xf>
    <xf numFmtId="0" fontId="249" fillId="0" borderId="61" xfId="0" applyFont="1" applyBorder="1" applyAlignment="1" applyProtection="1">
      <alignment horizontal="center"/>
      <protection hidden="1"/>
    </xf>
    <xf numFmtId="0" fontId="249" fillId="0" borderId="63" xfId="0" applyFont="1" applyBorder="1" applyAlignment="1" applyProtection="1">
      <alignment horizontal="left"/>
      <protection hidden="1"/>
    </xf>
    <xf numFmtId="0" fontId="249" fillId="0" borderId="269" xfId="0" applyFont="1" applyBorder="1" applyAlignment="1" applyProtection="1">
      <alignment horizontal="left"/>
      <protection hidden="1"/>
    </xf>
    <xf numFmtId="0" fontId="135" fillId="0" borderId="80" xfId="0" applyFont="1" applyBorder="1" applyAlignment="1" applyProtection="1">
      <alignment horizontal="center"/>
      <protection hidden="1"/>
    </xf>
    <xf numFmtId="0" fontId="249" fillId="0" borderId="61" xfId="0" applyFont="1" applyBorder="1" applyAlignment="1" applyProtection="1">
      <alignment horizontal="left"/>
      <protection hidden="1"/>
    </xf>
    <xf numFmtId="0" fontId="135" fillId="0" borderId="75" xfId="0" applyFont="1" applyBorder="1" applyAlignment="1" applyProtection="1">
      <alignment horizontal="center"/>
      <protection hidden="1"/>
    </xf>
    <xf numFmtId="0" fontId="249" fillId="0" borderId="0" xfId="0" applyFont="1" applyAlignment="1" applyProtection="1">
      <alignment horizontal="left" vertical="top"/>
      <protection hidden="1"/>
    </xf>
    <xf numFmtId="0" fontId="135" fillId="0" borderId="0" xfId="0" applyFont="1" applyAlignment="1" applyProtection="1">
      <alignment horizontal="center" vertical="top"/>
      <protection hidden="1"/>
    </xf>
    <xf numFmtId="0" fontId="250" fillId="0" borderId="0" xfId="0" applyFont="1" applyAlignment="1" applyProtection="1">
      <alignment horizontal="left" vertical="top"/>
      <protection hidden="1"/>
    </xf>
    <xf numFmtId="0" fontId="249" fillId="0" borderId="0" xfId="0" applyFont="1" applyAlignment="1" applyProtection="1">
      <alignment horizontal="center" vertical="top"/>
      <protection hidden="1"/>
    </xf>
    <xf numFmtId="0" fontId="135" fillId="0" borderId="65" xfId="0" applyFont="1" applyBorder="1" applyAlignment="1" applyProtection="1">
      <alignment horizontal="left" vertical="top"/>
      <protection hidden="1"/>
    </xf>
    <xf numFmtId="0" fontId="135" fillId="0" borderId="67" xfId="0" applyFont="1" applyBorder="1" applyAlignment="1" applyProtection="1">
      <alignment horizontal="left" vertical="top"/>
      <protection hidden="1"/>
    </xf>
    <xf numFmtId="0" fontId="135" fillId="0" borderId="0" xfId="0" applyFont="1" applyAlignment="1" applyProtection="1">
      <alignment horizontal="left" vertical="top"/>
      <protection hidden="1"/>
    </xf>
    <xf numFmtId="0" fontId="251" fillId="0" borderId="0" xfId="0" applyFont="1" applyAlignment="1" applyProtection="1">
      <alignment horizontal="left" vertical="top"/>
      <protection hidden="1"/>
    </xf>
    <xf numFmtId="0" fontId="249" fillId="0" borderId="269" xfId="0" applyFont="1" applyBorder="1" applyAlignment="1" applyProtection="1">
      <alignment horizontal="left" vertical="top"/>
      <protection hidden="1"/>
    </xf>
    <xf numFmtId="224" fontId="135" fillId="0" borderId="61" xfId="180" applyNumberFormat="1" applyFont="1" applyFill="1" applyBorder="1" applyAlignment="1" applyProtection="1">
      <alignment horizontal="center" vertical="top"/>
      <protection hidden="1"/>
    </xf>
    <xf numFmtId="0" fontId="249" fillId="0" borderId="65" xfId="0" applyFont="1" applyBorder="1" applyAlignment="1" applyProtection="1">
      <alignment horizontal="left" vertical="top"/>
      <protection hidden="1"/>
    </xf>
    <xf numFmtId="0" fontId="249" fillId="0" borderId="68" xfId="0" applyFont="1" applyBorder="1" applyAlignment="1" applyProtection="1">
      <alignment horizontal="left" vertical="top"/>
      <protection hidden="1"/>
    </xf>
    <xf numFmtId="0" fontId="249" fillId="0" borderId="67" xfId="0" applyFont="1" applyBorder="1" applyAlignment="1" applyProtection="1">
      <alignment horizontal="left" vertical="top"/>
      <protection hidden="1"/>
    </xf>
    <xf numFmtId="0" fontId="249" fillId="0" borderId="0" xfId="0" applyFont="1" applyAlignment="1" applyProtection="1">
      <alignment horizontal="center" vertical="center" wrapText="1"/>
      <protection hidden="1"/>
    </xf>
    <xf numFmtId="0" fontId="135" fillId="0" borderId="65" xfId="0" applyFont="1" applyBorder="1" applyAlignment="1" applyProtection="1">
      <alignment horizontal="center" vertical="top"/>
      <protection hidden="1"/>
    </xf>
    <xf numFmtId="0" fontId="135" fillId="0" borderId="67" xfId="0" applyFont="1" applyBorder="1" applyAlignment="1" applyProtection="1">
      <alignment horizontal="center" vertical="top"/>
      <protection hidden="1"/>
    </xf>
    <xf numFmtId="0" fontId="249" fillId="0" borderId="210" xfId="0" applyFont="1" applyBorder="1" applyAlignment="1" applyProtection="1">
      <alignment horizontal="left" vertical="top"/>
      <protection hidden="1"/>
    </xf>
    <xf numFmtId="0" fontId="249" fillId="0" borderId="211" xfId="0" applyFont="1" applyBorder="1" applyAlignment="1" applyProtection="1">
      <alignment horizontal="left" vertical="top"/>
      <protection hidden="1"/>
    </xf>
    <xf numFmtId="0" fontId="249" fillId="0" borderId="212" xfId="0" applyFont="1" applyBorder="1" applyAlignment="1" applyProtection="1">
      <alignment horizontal="left" vertical="top"/>
      <protection hidden="1"/>
    </xf>
    <xf numFmtId="0" fontId="250" fillId="0" borderId="63" xfId="0" applyFont="1" applyBorder="1" applyAlignment="1" applyProtection="1">
      <alignment horizontal="left" vertical="top"/>
      <protection hidden="1"/>
    </xf>
    <xf numFmtId="0" fontId="249" fillId="0" borderId="63" xfId="0" applyFont="1" applyBorder="1" applyAlignment="1" applyProtection="1">
      <alignment horizontal="center" vertical="top"/>
      <protection hidden="1"/>
    </xf>
    <xf numFmtId="0" fontId="135" fillId="0" borderId="61" xfId="1012" applyFont="1" applyBorder="1" applyAlignment="1" applyProtection="1">
      <alignment horizontal="center" vertical="top"/>
      <protection hidden="1"/>
    </xf>
    <xf numFmtId="0" fontId="249" fillId="0" borderId="61" xfId="1012" applyFont="1" applyBorder="1" applyAlignment="1" applyProtection="1">
      <alignment horizontal="left" vertical="top"/>
      <protection hidden="1"/>
    </xf>
    <xf numFmtId="0" fontId="250" fillId="0" borderId="61" xfId="1012" applyFont="1" applyBorder="1" applyAlignment="1" applyProtection="1">
      <alignment horizontal="left" vertical="top"/>
      <protection hidden="1"/>
    </xf>
    <xf numFmtId="0" fontId="249" fillId="0" borderId="61" xfId="1012" applyFont="1" applyBorder="1" applyAlignment="1" applyProtection="1">
      <alignment horizontal="center" vertical="top"/>
      <protection hidden="1"/>
    </xf>
    <xf numFmtId="0" fontId="250" fillId="0" borderId="65" xfId="0" applyFont="1" applyBorder="1" applyAlignment="1" applyProtection="1">
      <alignment horizontal="left" vertical="top"/>
      <protection hidden="1"/>
    </xf>
    <xf numFmtId="0" fontId="249" fillId="0" borderId="67" xfId="0" applyFont="1" applyBorder="1" applyAlignment="1" applyProtection="1">
      <alignment horizontal="center" vertical="top"/>
      <protection hidden="1"/>
    </xf>
    <xf numFmtId="224" fontId="249" fillId="0" borderId="0" xfId="180" applyNumberFormat="1" applyFont="1" applyFill="1" applyBorder="1" applyAlignment="1" applyProtection="1">
      <alignment horizontal="center" vertical="top"/>
      <protection hidden="1"/>
    </xf>
    <xf numFmtId="224" fontId="135" fillId="0" borderId="0" xfId="180" applyNumberFormat="1" applyFont="1" applyFill="1" applyBorder="1" applyAlignment="1" applyProtection="1">
      <alignment horizontal="center" vertical="top"/>
      <protection hidden="1"/>
    </xf>
    <xf numFmtId="0" fontId="249" fillId="0" borderId="209" xfId="0" applyFont="1" applyBorder="1" applyAlignment="1" applyProtection="1">
      <alignment horizontal="left" vertical="top"/>
      <protection hidden="1"/>
    </xf>
    <xf numFmtId="0" fontId="249" fillId="0" borderId="80" xfId="0" applyFont="1" applyBorder="1" applyAlignment="1" applyProtection="1">
      <alignment horizontal="left" vertical="top"/>
      <protection hidden="1"/>
    </xf>
    <xf numFmtId="0" fontId="135" fillId="0" borderId="61" xfId="0" applyFont="1" applyBorder="1" applyAlignment="1" applyProtection="1">
      <alignment horizontal="center"/>
      <protection hidden="1"/>
    </xf>
    <xf numFmtId="0" fontId="135" fillId="60" borderId="80" xfId="0" applyFont="1" applyFill="1" applyBorder="1" applyAlignment="1" applyProtection="1">
      <alignment horizontal="center" vertical="top"/>
      <protection hidden="1"/>
    </xf>
    <xf numFmtId="0" fontId="249" fillId="60" borderId="75" xfId="0" applyFont="1" applyFill="1" applyBorder="1" applyAlignment="1" applyProtection="1">
      <alignment horizontal="left" vertical="top"/>
      <protection hidden="1"/>
    </xf>
    <xf numFmtId="0" fontId="250" fillId="60" borderId="61" xfId="0" applyFont="1" applyFill="1" applyBorder="1" applyAlignment="1" applyProtection="1">
      <alignment horizontal="left" vertical="top"/>
      <protection hidden="1"/>
    </xf>
    <xf numFmtId="0" fontId="135" fillId="0" borderId="64" xfId="0" applyFont="1" applyBorder="1" applyAlignment="1" applyProtection="1">
      <alignment horizontal="center" vertical="top"/>
      <protection hidden="1"/>
    </xf>
    <xf numFmtId="0" fontId="249" fillId="60" borderId="61" xfId="0" applyFont="1" applyFill="1" applyBorder="1" applyAlignment="1" applyProtection="1">
      <alignment horizontal="center" vertical="top"/>
      <protection hidden="1"/>
    </xf>
    <xf numFmtId="0" fontId="135" fillId="60" borderId="75" xfId="0" applyFont="1" applyFill="1" applyBorder="1" applyAlignment="1" applyProtection="1">
      <alignment horizontal="center" vertical="top"/>
      <protection hidden="1"/>
    </xf>
    <xf numFmtId="0" fontId="135" fillId="0" borderId="209" xfId="0" applyFont="1" applyBorder="1" applyAlignment="1" applyProtection="1">
      <alignment horizontal="center" vertical="top" wrapText="1"/>
      <protection hidden="1"/>
    </xf>
    <xf numFmtId="0" fontId="135" fillId="0" borderId="209" xfId="0" applyFont="1" applyBorder="1" applyAlignment="1" applyProtection="1">
      <alignment horizontal="center"/>
      <protection hidden="1"/>
    </xf>
    <xf numFmtId="182" fontId="135" fillId="0" borderId="209" xfId="0" applyNumberFormat="1" applyFont="1" applyBorder="1" applyAlignment="1" applyProtection="1">
      <alignment horizontal="center"/>
      <protection hidden="1"/>
    </xf>
    <xf numFmtId="0" fontId="254" fillId="0" borderId="61" xfId="0" applyFont="1" applyBorder="1" applyAlignment="1" applyProtection="1">
      <alignment horizontal="left" vertical="top"/>
      <protection hidden="1"/>
    </xf>
    <xf numFmtId="0" fontId="252" fillId="0" borderId="61" xfId="0" applyFont="1" applyBorder="1" applyAlignment="1" applyProtection="1">
      <alignment horizontal="center" vertical="top"/>
      <protection hidden="1"/>
    </xf>
    <xf numFmtId="0" fontId="252" fillId="0" borderId="63" xfId="0" applyFont="1" applyBorder="1" applyAlignment="1" applyProtection="1">
      <alignment horizontal="left" vertical="top"/>
      <protection hidden="1"/>
    </xf>
    <xf numFmtId="0" fontId="153" fillId="0" borderId="75" xfId="0" applyFont="1" applyBorder="1" applyAlignment="1" applyProtection="1">
      <alignment horizontal="center" vertical="top"/>
      <protection hidden="1"/>
    </xf>
    <xf numFmtId="0" fontId="252" fillId="0" borderId="61" xfId="0" applyFont="1" applyBorder="1" applyAlignment="1" applyProtection="1">
      <alignment horizontal="left" vertical="top"/>
      <protection hidden="1"/>
    </xf>
    <xf numFmtId="0" fontId="250" fillId="0" borderId="211" xfId="0" applyFont="1" applyBorder="1" applyAlignment="1" applyProtection="1">
      <alignment horizontal="left" vertical="top"/>
      <protection hidden="1"/>
    </xf>
    <xf numFmtId="0" fontId="249" fillId="0" borderId="211" xfId="0" applyFont="1" applyBorder="1" applyAlignment="1" applyProtection="1">
      <alignment horizontal="center" vertical="top"/>
      <protection hidden="1"/>
    </xf>
    <xf numFmtId="0" fontId="135" fillId="0" borderId="211" xfId="0" applyFont="1" applyBorder="1" applyAlignment="1" applyProtection="1">
      <alignment horizontal="center" vertical="top"/>
      <protection hidden="1"/>
    </xf>
    <xf numFmtId="0" fontId="249" fillId="0" borderId="63" xfId="1012" applyFont="1" applyBorder="1" applyAlignment="1" applyProtection="1">
      <alignment horizontal="left" vertical="top"/>
      <protection hidden="1"/>
    </xf>
    <xf numFmtId="0" fontId="249" fillId="0" borderId="65" xfId="0" applyFont="1" applyBorder="1" applyAlignment="1" applyProtection="1">
      <alignment horizontal="center" vertical="top"/>
      <protection hidden="1"/>
    </xf>
    <xf numFmtId="0" fontId="135" fillId="0" borderId="75" xfId="1012" applyFont="1" applyBorder="1" applyAlignment="1" applyProtection="1">
      <alignment horizontal="center" vertical="top"/>
      <protection hidden="1"/>
    </xf>
    <xf numFmtId="224" fontId="135" fillId="0" borderId="75" xfId="180" applyNumberFormat="1" applyFont="1" applyFill="1" applyBorder="1" applyAlignment="1" applyProtection="1">
      <alignment horizontal="center" vertical="top"/>
      <protection hidden="1"/>
    </xf>
    <xf numFmtId="224" fontId="135" fillId="0" borderId="70" xfId="180" applyNumberFormat="1" applyFont="1" applyFill="1" applyBorder="1" applyAlignment="1" applyProtection="1">
      <alignment horizontal="center"/>
      <protection hidden="1"/>
    </xf>
    <xf numFmtId="0" fontId="258" fillId="0" borderId="0" xfId="0" applyFont="1" applyAlignment="1" applyProtection="1">
      <alignment horizontal="center" vertical="center"/>
      <protection hidden="1"/>
    </xf>
    <xf numFmtId="224" fontId="200" fillId="66" borderId="61" xfId="180" applyNumberFormat="1" applyFont="1" applyFill="1" applyBorder="1" applyAlignment="1" applyProtection="1">
      <alignment horizontal="center" vertical="top"/>
      <protection hidden="1"/>
    </xf>
    <xf numFmtId="224" fontId="200" fillId="66" borderId="65" xfId="180" applyNumberFormat="1" applyFont="1" applyFill="1" applyBorder="1" applyAlignment="1" applyProtection="1">
      <alignment horizontal="center" vertical="top"/>
      <protection hidden="1"/>
    </xf>
    <xf numFmtId="0" fontId="200" fillId="66" borderId="75" xfId="0" applyFont="1" applyFill="1" applyBorder="1" applyAlignment="1" applyProtection="1">
      <alignment horizontal="center" vertical="top"/>
      <protection hidden="1"/>
    </xf>
    <xf numFmtId="0" fontId="200" fillId="66" borderId="272" xfId="0" applyFont="1" applyFill="1" applyBorder="1" applyAlignment="1" applyProtection="1">
      <alignment horizontal="center" vertical="top"/>
      <protection hidden="1"/>
    </xf>
    <xf numFmtId="0" fontId="202" fillId="66" borderId="61" xfId="0" applyFont="1" applyFill="1" applyBorder="1" applyAlignment="1" applyProtection="1">
      <alignment horizontal="left" vertical="top"/>
      <protection hidden="1"/>
    </xf>
    <xf numFmtId="0" fontId="202" fillId="66" borderId="65" xfId="0" applyFont="1" applyFill="1" applyBorder="1" applyAlignment="1" applyProtection="1">
      <alignment horizontal="left" vertical="top"/>
      <protection hidden="1"/>
    </xf>
    <xf numFmtId="0" fontId="207" fillId="66" borderId="61" xfId="0" applyFont="1" applyFill="1" applyBorder="1" applyAlignment="1" applyProtection="1">
      <alignment horizontal="left" vertical="top"/>
      <protection hidden="1"/>
    </xf>
    <xf numFmtId="0" fontId="202" fillId="66" borderId="61" xfId="0" applyFont="1" applyFill="1" applyBorder="1" applyAlignment="1" applyProtection="1">
      <alignment horizontal="center" vertical="top"/>
      <protection hidden="1"/>
    </xf>
    <xf numFmtId="0" fontId="202" fillId="66" borderId="65" xfId="0" applyFont="1" applyFill="1" applyBorder="1" applyAlignment="1" applyProtection="1">
      <alignment horizontal="center" vertical="top"/>
      <protection hidden="1"/>
    </xf>
    <xf numFmtId="0" fontId="206" fillId="0" borderId="214" xfId="1204" applyFont="1" applyBorder="1" applyAlignment="1">
      <alignment horizontal="left" vertical="center"/>
    </xf>
    <xf numFmtId="0" fontId="206" fillId="0" borderId="85" xfId="1204" applyFont="1" applyBorder="1" applyAlignment="1">
      <alignment horizontal="left" vertical="center"/>
    </xf>
    <xf numFmtId="0" fontId="206" fillId="0" borderId="247" xfId="1204" applyFont="1" applyBorder="1" applyAlignment="1">
      <alignment horizontal="left" vertical="center"/>
    </xf>
    <xf numFmtId="224" fontId="206" fillId="0" borderId="36" xfId="2138" applyNumberFormat="1" applyFont="1" applyFill="1" applyBorder="1" applyAlignment="1">
      <alignment horizontal="center" vertical="center"/>
    </xf>
    <xf numFmtId="224" fontId="206" fillId="0" borderId="167" xfId="2138" applyNumberFormat="1" applyFont="1" applyFill="1" applyBorder="1" applyAlignment="1">
      <alignment horizontal="center" vertical="center"/>
    </xf>
    <xf numFmtId="0" fontId="206" fillId="0" borderId="36" xfId="1204" applyFont="1" applyBorder="1" applyAlignment="1">
      <alignment horizontal="center" vertical="center"/>
    </xf>
    <xf numFmtId="0" fontId="206" fillId="0" borderId="167" xfId="1204" applyFont="1" applyBorder="1" applyAlignment="1">
      <alignment horizontal="center" vertical="center"/>
    </xf>
    <xf numFmtId="0" fontId="206" fillId="0" borderId="35" xfId="1204" applyFont="1" applyBorder="1" applyAlignment="1">
      <alignment horizontal="left" vertical="center"/>
    </xf>
    <xf numFmtId="0" fontId="206" fillId="0" borderId="48" xfId="1204" applyFont="1" applyBorder="1" applyAlignment="1">
      <alignment horizontal="left" vertical="center"/>
    </xf>
    <xf numFmtId="0" fontId="206" fillId="0" borderId="36" xfId="1204" applyFont="1" applyBorder="1" applyAlignment="1">
      <alignment horizontal="left" vertical="center"/>
    </xf>
    <xf numFmtId="0" fontId="206" fillId="0" borderId="93" xfId="1204" applyFont="1" applyBorder="1" applyAlignment="1">
      <alignment horizontal="left" vertical="center"/>
    </xf>
    <xf numFmtId="0" fontId="206" fillId="0" borderId="37" xfId="1204" applyFont="1" applyBorder="1" applyAlignment="1">
      <alignment horizontal="left" vertical="center"/>
    </xf>
    <xf numFmtId="224" fontId="206" fillId="0" borderId="0" xfId="2138" applyNumberFormat="1" applyFont="1" applyFill="1" applyBorder="1" applyAlignment="1">
      <alignment horizontal="center" vertical="center"/>
    </xf>
    <xf numFmtId="0" fontId="206" fillId="0" borderId="0" xfId="1204" applyFont="1" applyAlignment="1">
      <alignment horizontal="center" vertical="center"/>
    </xf>
    <xf numFmtId="0" fontId="206" fillId="0" borderId="0" xfId="1204" applyFont="1" applyAlignment="1">
      <alignment horizontal="left" vertical="center"/>
    </xf>
    <xf numFmtId="0" fontId="200" fillId="0" borderId="204" xfId="838" applyFont="1" applyBorder="1" applyAlignment="1">
      <alignment horizontal="left"/>
    </xf>
    <xf numFmtId="0" fontId="200" fillId="0" borderId="203" xfId="838" applyFont="1" applyBorder="1" applyAlignment="1">
      <alignment horizontal="left"/>
    </xf>
    <xf numFmtId="0" fontId="200" fillId="0" borderId="36" xfId="838" applyFont="1" applyBorder="1" applyAlignment="1">
      <alignment horizontal="left"/>
    </xf>
    <xf numFmtId="0" fontId="201" fillId="0" borderId="16" xfId="838" applyFont="1" applyBorder="1" applyAlignment="1">
      <alignment horizontal="left"/>
    </xf>
    <xf numFmtId="0" fontId="201" fillId="0" borderId="16" xfId="838" applyFont="1" applyBorder="1" applyAlignment="1">
      <alignment horizontal="right"/>
    </xf>
    <xf numFmtId="0" fontId="197" fillId="0" borderId="36" xfId="838" applyFont="1" applyBorder="1" applyAlignment="1">
      <alignment horizontal="left"/>
    </xf>
    <xf numFmtId="0" fontId="197" fillId="0" borderId="167" xfId="838" applyFont="1" applyBorder="1" applyAlignment="1">
      <alignment horizontal="left"/>
    </xf>
    <xf numFmtId="0" fontId="202" fillId="0" borderId="209" xfId="838" applyFont="1" applyBorder="1" applyAlignment="1">
      <alignment horizontal="left"/>
    </xf>
    <xf numFmtId="0" fontId="202" fillId="0" borderId="209" xfId="838" applyFont="1" applyBorder="1" applyAlignment="1">
      <alignment horizontal="right"/>
    </xf>
    <xf numFmtId="0" fontId="200" fillId="0" borderId="205" xfId="838" applyFont="1" applyBorder="1" applyAlignment="1">
      <alignment horizontal="left"/>
    </xf>
    <xf numFmtId="0" fontId="201" fillId="0" borderId="171" xfId="838" applyFont="1" applyBorder="1" applyAlignment="1">
      <alignment horizontal="center" vertical="center"/>
    </xf>
    <xf numFmtId="0" fontId="201" fillId="0" borderId="45" xfId="838" applyFont="1" applyBorder="1" applyAlignment="1">
      <alignment horizontal="center" vertical="center"/>
    </xf>
    <xf numFmtId="182" fontId="201" fillId="0" borderId="171" xfId="838" applyNumberFormat="1" applyFont="1" applyBorder="1" applyAlignment="1">
      <alignment horizontal="center" vertical="center"/>
    </xf>
    <xf numFmtId="182" fontId="201" fillId="0" borderId="45" xfId="838" applyNumberFormat="1" applyFont="1" applyBorder="1" applyAlignment="1">
      <alignment horizontal="center" vertical="center"/>
    </xf>
    <xf numFmtId="0" fontId="202" fillId="0" borderId="16" xfId="838" applyFont="1" applyBorder="1" applyAlignment="1">
      <alignment horizontal="right"/>
    </xf>
    <xf numFmtId="0" fontId="200" fillId="0" borderId="167" xfId="838" applyFont="1" applyBorder="1" applyAlignment="1">
      <alignment horizontal="left"/>
    </xf>
    <xf numFmtId="0" fontId="202" fillId="0" borderId="16" xfId="838" applyFont="1" applyBorder="1" applyAlignment="1">
      <alignment horizontal="left"/>
    </xf>
    <xf numFmtId="0" fontId="202" fillId="0" borderId="171" xfId="838" applyFont="1" applyBorder="1" applyAlignment="1">
      <alignment horizontal="center" vertical="center"/>
    </xf>
    <xf numFmtId="0" fontId="202" fillId="0" borderId="45" xfId="838" applyFont="1" applyBorder="1" applyAlignment="1">
      <alignment horizontal="center" vertical="center"/>
    </xf>
    <xf numFmtId="182" fontId="202" fillId="0" borderId="171" xfId="838" applyNumberFormat="1" applyFont="1" applyBorder="1" applyAlignment="1">
      <alignment horizontal="center" vertical="center"/>
    </xf>
    <xf numFmtId="182" fontId="202" fillId="0" borderId="45" xfId="838" applyNumberFormat="1" applyFont="1" applyBorder="1" applyAlignment="1">
      <alignment horizontal="center" vertical="center"/>
    </xf>
    <xf numFmtId="0" fontId="202" fillId="0" borderId="61" xfId="0" applyFont="1" applyBorder="1" applyAlignment="1" applyProtection="1">
      <alignment horizontal="left" vertical="top"/>
      <protection hidden="1"/>
    </xf>
    <xf numFmtId="0" fontId="202" fillId="0" borderId="36" xfId="0" applyFont="1" applyBorder="1" applyAlignment="1" applyProtection="1">
      <alignment horizontal="center" vertical="center" wrapText="1"/>
      <protection hidden="1"/>
    </xf>
    <xf numFmtId="0" fontId="202" fillId="0" borderId="167" xfId="0" applyFont="1" applyBorder="1" applyAlignment="1" applyProtection="1">
      <alignment horizontal="center" vertical="center" wrapText="1"/>
      <protection hidden="1"/>
    </xf>
    <xf numFmtId="0" fontId="202" fillId="0" borderId="65" xfId="0" applyFont="1" applyBorder="1" applyAlignment="1" applyProtection="1">
      <alignment horizontal="center" vertical="center" wrapText="1"/>
      <protection hidden="1"/>
    </xf>
    <xf numFmtId="0" fontId="202" fillId="0" borderId="67" xfId="0" applyFont="1" applyBorder="1" applyAlignment="1" applyProtection="1">
      <alignment horizontal="center" vertical="center" wrapText="1"/>
      <protection hidden="1"/>
    </xf>
    <xf numFmtId="0" fontId="202" fillId="0" borderId="75" xfId="0" applyFont="1" applyBorder="1" applyAlignment="1" applyProtection="1">
      <alignment horizontal="center" vertical="top"/>
      <protection hidden="1"/>
    </xf>
    <xf numFmtId="224" fontId="202" fillId="0" borderId="16" xfId="180" applyNumberFormat="1" applyFont="1" applyFill="1" applyBorder="1" applyAlignment="1" applyProtection="1">
      <alignment horizontal="right" vertical="top"/>
      <protection hidden="1"/>
    </xf>
    <xf numFmtId="0" fontId="202" fillId="0" borderId="16" xfId="0" applyFont="1" applyBorder="1" applyAlignment="1" applyProtection="1">
      <alignment horizontal="right" vertical="top"/>
      <protection hidden="1"/>
    </xf>
    <xf numFmtId="0" fontId="202" fillId="0" borderId="16" xfId="0" applyFont="1" applyBorder="1" applyAlignment="1" applyProtection="1">
      <alignment horizontal="left" vertical="top"/>
      <protection hidden="1"/>
    </xf>
    <xf numFmtId="224" fontId="202" fillId="0" borderId="61" xfId="180" applyNumberFormat="1" applyFont="1" applyFill="1" applyBorder="1" applyAlignment="1" applyProtection="1">
      <alignment horizontal="right" vertical="top"/>
      <protection hidden="1"/>
    </xf>
    <xf numFmtId="0" fontId="135" fillId="0" borderId="65" xfId="42614" applyFont="1" applyBorder="1" applyAlignment="1">
      <alignment horizontal="left" vertical="center" wrapText="1"/>
    </xf>
    <xf numFmtId="0" fontId="135" fillId="0" borderId="67" xfId="42614" applyFont="1" applyBorder="1" applyAlignment="1">
      <alignment horizontal="left" vertical="center" wrapText="1"/>
    </xf>
    <xf numFmtId="0" fontId="210" fillId="0" borderId="0" xfId="838" applyFont="1" applyAlignment="1" applyProtection="1">
      <alignment horizontal="center" vertical="center"/>
      <protection hidden="1"/>
    </xf>
    <xf numFmtId="0" fontId="201" fillId="0" borderId="182" xfId="838" applyFont="1" applyBorder="1" applyAlignment="1" applyProtection="1">
      <alignment horizontal="center" vertical="center" wrapText="1"/>
      <protection hidden="1"/>
    </xf>
    <xf numFmtId="0" fontId="201" fillId="0" borderId="181" xfId="838" applyFont="1" applyBorder="1" applyAlignment="1" applyProtection="1">
      <alignment horizontal="center" vertical="center" wrapText="1"/>
      <protection hidden="1"/>
    </xf>
    <xf numFmtId="0" fontId="211" fillId="0" borderId="183" xfId="838" applyFont="1" applyBorder="1" applyAlignment="1" applyProtection="1">
      <alignment horizontal="center" vertical="center" wrapText="1"/>
      <protection hidden="1"/>
    </xf>
    <xf numFmtId="0" fontId="211" fillId="0" borderId="21" xfId="838" applyFont="1" applyBorder="1" applyAlignment="1" applyProtection="1">
      <alignment horizontal="center" vertical="center" wrapText="1"/>
      <protection hidden="1"/>
    </xf>
    <xf numFmtId="0" fontId="211" fillId="0" borderId="168" xfId="838" applyFont="1" applyBorder="1" applyAlignment="1" applyProtection="1">
      <alignment horizontal="center" vertical="center" wrapText="1"/>
      <protection hidden="1"/>
    </xf>
    <xf numFmtId="0" fontId="211" fillId="0" borderId="0" xfId="838" applyFont="1" applyAlignment="1" applyProtection="1">
      <alignment horizontal="center" vertical="center" wrapText="1"/>
      <protection hidden="1"/>
    </xf>
    <xf numFmtId="0" fontId="211" fillId="0" borderId="214" xfId="838" applyFont="1" applyBorder="1" applyAlignment="1" applyProtection="1">
      <alignment horizontal="center" vertical="center" wrapText="1"/>
      <protection hidden="1"/>
    </xf>
    <xf numFmtId="0" fontId="211" fillId="0" borderId="85" xfId="838" applyFont="1" applyBorder="1" applyAlignment="1" applyProtection="1">
      <alignment horizontal="center" vertical="center" wrapText="1"/>
      <protection hidden="1"/>
    </xf>
    <xf numFmtId="0" fontId="211" fillId="0" borderId="185" xfId="838" applyFont="1" applyBorder="1" applyAlignment="1" applyProtection="1">
      <alignment horizontal="center" vertical="center" wrapText="1"/>
      <protection hidden="1"/>
    </xf>
    <xf numFmtId="0" fontId="211" fillId="0" borderId="5" xfId="838" applyFont="1" applyBorder="1" applyAlignment="1" applyProtection="1">
      <alignment horizontal="center" vertical="center" wrapText="1"/>
      <protection hidden="1"/>
    </xf>
    <xf numFmtId="0" fontId="211" fillId="0" borderId="186" xfId="838" applyFont="1" applyBorder="1" applyAlignment="1" applyProtection="1">
      <alignment horizontal="center" vertical="center" wrapText="1"/>
      <protection hidden="1"/>
    </xf>
    <xf numFmtId="0" fontId="245" fillId="0" borderId="204" xfId="838" applyFont="1" applyBorder="1" applyAlignment="1" applyProtection="1">
      <alignment horizontal="center" vertical="center"/>
      <protection hidden="1"/>
    </xf>
    <xf numFmtId="0" fontId="245" fillId="0" borderId="203" xfId="838" applyFont="1" applyBorder="1" applyAlignment="1" applyProtection="1">
      <alignment horizontal="center" vertical="center"/>
      <protection hidden="1"/>
    </xf>
    <xf numFmtId="0" fontId="245" fillId="0" borderId="36" xfId="838" applyFont="1" applyBorder="1" applyAlignment="1" applyProtection="1">
      <alignment horizontal="center" vertical="center"/>
      <protection hidden="1"/>
    </xf>
    <xf numFmtId="0" fontId="245" fillId="0" borderId="93" xfId="838" applyFont="1" applyBorder="1" applyAlignment="1" applyProtection="1">
      <alignment horizontal="center" vertical="center"/>
      <protection hidden="1"/>
    </xf>
    <xf numFmtId="0" fontId="245" fillId="0" borderId="167" xfId="838" applyFont="1" applyBorder="1" applyAlignment="1" applyProtection="1">
      <alignment horizontal="center" vertical="center"/>
      <protection hidden="1"/>
    </xf>
    <xf numFmtId="0" fontId="198" fillId="0" borderId="42" xfId="847" applyFont="1" applyBorder="1" applyAlignment="1" applyProtection="1">
      <alignment horizontal="left" vertical="top" wrapText="1"/>
      <protection hidden="1"/>
    </xf>
    <xf numFmtId="0" fontId="198" fillId="0" borderId="46" xfId="847" applyFont="1" applyBorder="1" applyAlignment="1" applyProtection="1">
      <alignment horizontal="left" vertical="top" wrapText="1"/>
      <protection hidden="1"/>
    </xf>
    <xf numFmtId="0" fontId="198" fillId="0" borderId="42" xfId="838" applyFont="1" applyBorder="1" applyAlignment="1" applyProtection="1">
      <alignment horizontal="left" vertical="top" wrapText="1"/>
      <protection hidden="1"/>
    </xf>
    <xf numFmtId="0" fontId="198" fillId="0" borderId="46" xfId="838" applyFont="1" applyBorder="1" applyAlignment="1" applyProtection="1">
      <alignment horizontal="left" vertical="top" wrapText="1"/>
      <protection hidden="1"/>
    </xf>
    <xf numFmtId="0" fontId="198" fillId="0" borderId="42" xfId="838" applyFont="1" applyBorder="1" applyAlignment="1" applyProtection="1">
      <alignment horizontal="left" vertical="center"/>
      <protection hidden="1"/>
    </xf>
    <xf numFmtId="0" fontId="198" fillId="0" borderId="46" xfId="838" applyFont="1" applyBorder="1" applyAlignment="1" applyProtection="1">
      <alignment horizontal="left" vertical="center"/>
      <protection hidden="1"/>
    </xf>
    <xf numFmtId="0" fontId="198" fillId="0" borderId="47" xfId="838" applyFont="1" applyBorder="1" applyAlignment="1" applyProtection="1">
      <alignment horizontal="left" vertical="center"/>
      <protection hidden="1"/>
    </xf>
    <xf numFmtId="0" fontId="201" fillId="0" borderId="38" xfId="838" applyFont="1" applyBorder="1" applyAlignment="1" applyProtection="1">
      <alignment horizontal="center" vertical="center" wrapText="1"/>
      <protection hidden="1"/>
    </xf>
    <xf numFmtId="0" fontId="201" fillId="0" borderId="39" xfId="838" applyFont="1" applyBorder="1" applyAlignment="1" applyProtection="1">
      <alignment horizontal="center" vertical="center" wrapText="1"/>
      <protection hidden="1"/>
    </xf>
    <xf numFmtId="0" fontId="201" fillId="0" borderId="55" xfId="838" applyFont="1" applyBorder="1" applyAlignment="1" applyProtection="1">
      <alignment horizontal="center" vertical="center" wrapText="1"/>
      <protection hidden="1"/>
    </xf>
    <xf numFmtId="184" fontId="201" fillId="0" borderId="187" xfId="575" applyNumberFormat="1" applyFont="1" applyFill="1" applyBorder="1" applyAlignment="1" applyProtection="1">
      <alignment horizontal="center" vertical="center" wrapText="1"/>
      <protection hidden="1"/>
    </xf>
    <xf numFmtId="184" fontId="201" fillId="0" borderId="188" xfId="575" applyNumberFormat="1" applyFont="1" applyFill="1" applyBorder="1" applyAlignment="1" applyProtection="1">
      <alignment horizontal="center" vertical="center" wrapText="1"/>
      <protection hidden="1"/>
    </xf>
    <xf numFmtId="184" fontId="201" fillId="0" borderId="221" xfId="575" applyNumberFormat="1" applyFont="1" applyFill="1" applyBorder="1" applyAlignment="1" applyProtection="1">
      <alignment horizontal="center" vertical="center" wrapText="1"/>
      <protection hidden="1"/>
    </xf>
    <xf numFmtId="0" fontId="211" fillId="0" borderId="38" xfId="838" applyFont="1" applyBorder="1" applyAlignment="1" applyProtection="1">
      <alignment horizontal="center" vertical="center" wrapText="1"/>
      <protection hidden="1"/>
    </xf>
    <xf numFmtId="0" fontId="211" fillId="0" borderId="39" xfId="838" applyFont="1" applyBorder="1" applyAlignment="1" applyProtection="1">
      <alignment horizontal="center" vertical="center" wrapText="1"/>
      <protection hidden="1"/>
    </xf>
    <xf numFmtId="0" fontId="211" fillId="0" borderId="55" xfId="838" applyFont="1" applyBorder="1" applyAlignment="1" applyProtection="1">
      <alignment horizontal="center" vertical="center" wrapText="1"/>
      <protection hidden="1"/>
    </xf>
    <xf numFmtId="183" fontId="201" fillId="0" borderId="38" xfId="198" applyNumberFormat="1" applyFont="1" applyFill="1" applyBorder="1" applyAlignment="1" applyProtection="1">
      <alignment horizontal="center" vertical="center" wrapText="1"/>
      <protection hidden="1"/>
    </xf>
    <xf numFmtId="183" fontId="201" fillId="0" borderId="39" xfId="198" applyNumberFormat="1" applyFont="1" applyFill="1" applyBorder="1" applyAlignment="1" applyProtection="1">
      <alignment horizontal="center" vertical="center" wrapText="1"/>
      <protection hidden="1"/>
    </xf>
    <xf numFmtId="183" fontId="201" fillId="0" borderId="55" xfId="198" applyNumberFormat="1" applyFont="1" applyFill="1" applyBorder="1" applyAlignment="1" applyProtection="1">
      <alignment horizontal="center" vertical="center" wrapText="1"/>
      <protection hidden="1"/>
    </xf>
    <xf numFmtId="183" fontId="201" fillId="0" borderId="185" xfId="198" applyNumberFormat="1" applyFont="1" applyFill="1" applyBorder="1" applyAlignment="1" applyProtection="1">
      <alignment horizontal="center" vertical="center" wrapText="1"/>
      <protection hidden="1"/>
    </xf>
    <xf numFmtId="183" fontId="201" fillId="0" borderId="5" xfId="198" applyNumberFormat="1" applyFont="1" applyFill="1" applyBorder="1" applyAlignment="1" applyProtection="1">
      <alignment horizontal="center" vertical="center" wrapText="1"/>
      <protection hidden="1"/>
    </xf>
    <xf numFmtId="183" fontId="201" fillId="0" borderId="186" xfId="198" applyNumberFormat="1" applyFont="1" applyFill="1" applyBorder="1" applyAlignment="1" applyProtection="1">
      <alignment horizontal="center" vertical="center" wrapText="1"/>
      <protection hidden="1"/>
    </xf>
    <xf numFmtId="0" fontId="211" fillId="0" borderId="33" xfId="838" applyFont="1" applyBorder="1" applyAlignment="1" applyProtection="1">
      <alignment horizontal="center" vertical="center" wrapText="1"/>
      <protection hidden="1"/>
    </xf>
    <xf numFmtId="0" fontId="211" fillId="0" borderId="166" xfId="838" applyFont="1" applyBorder="1" applyAlignment="1" applyProtection="1">
      <alignment horizontal="center" vertical="center" wrapText="1"/>
      <protection hidden="1"/>
    </xf>
    <xf numFmtId="0" fontId="211" fillId="0" borderId="34" xfId="838" applyFont="1" applyBorder="1" applyAlignment="1" applyProtection="1">
      <alignment horizontal="center" vertical="center" wrapText="1"/>
      <protection hidden="1"/>
    </xf>
    <xf numFmtId="0" fontId="211" fillId="0" borderId="7" xfId="838" applyFont="1" applyBorder="1" applyAlignment="1" applyProtection="1">
      <alignment horizontal="center" vertical="center" wrapText="1"/>
      <protection hidden="1"/>
    </xf>
    <xf numFmtId="0" fontId="211" fillId="0" borderId="35" xfId="838" applyFont="1" applyBorder="1" applyAlignment="1" applyProtection="1">
      <alignment horizontal="center" vertical="center" wrapText="1"/>
      <protection hidden="1"/>
    </xf>
    <xf numFmtId="0" fontId="211" fillId="0" borderId="48" xfId="838" applyFont="1" applyBorder="1" applyAlignment="1" applyProtection="1">
      <alignment horizontal="center" vertical="center" wrapText="1"/>
      <protection hidden="1"/>
    </xf>
    <xf numFmtId="0" fontId="198" fillId="0" borderId="42" xfId="838" applyFont="1" applyBorder="1" applyAlignment="1" applyProtection="1">
      <alignment horizontal="left" vertical="center" wrapText="1"/>
      <protection hidden="1"/>
    </xf>
    <xf numFmtId="0" fontId="198" fillId="0" borderId="46" xfId="838" applyFont="1" applyBorder="1" applyAlignment="1" applyProtection="1">
      <alignment horizontal="left" vertical="center" wrapText="1"/>
      <protection hidden="1"/>
    </xf>
    <xf numFmtId="0" fontId="197" fillId="0" borderId="0" xfId="838" applyFont="1" applyAlignment="1" applyProtection="1">
      <alignment horizontal="center"/>
      <protection hidden="1"/>
    </xf>
    <xf numFmtId="0" fontId="257" fillId="63" borderId="249" xfId="0" applyFont="1" applyFill="1" applyBorder="1" applyAlignment="1">
      <alignment horizontal="center" vertical="center"/>
    </xf>
    <xf numFmtId="0" fontId="257" fillId="63" borderId="250" xfId="0" applyFont="1" applyFill="1" applyBorder="1" applyAlignment="1">
      <alignment horizontal="center" vertical="center"/>
    </xf>
    <xf numFmtId="0" fontId="257" fillId="63" borderId="251" xfId="0" applyFont="1" applyFill="1" applyBorder="1" applyAlignment="1">
      <alignment horizontal="center" vertical="center"/>
    </xf>
    <xf numFmtId="0" fontId="232" fillId="0" borderId="237" xfId="0" applyFont="1" applyBorder="1" applyAlignment="1">
      <alignment horizontal="right" vertical="center"/>
    </xf>
    <xf numFmtId="0" fontId="232" fillId="0" borderId="193" xfId="0" applyFont="1" applyBorder="1" applyAlignment="1">
      <alignment horizontal="right" vertical="center"/>
    </xf>
    <xf numFmtId="0" fontId="232" fillId="0" borderId="194" xfId="0" applyFont="1" applyBorder="1" applyAlignment="1">
      <alignment horizontal="right" vertical="center"/>
    </xf>
    <xf numFmtId="0" fontId="232" fillId="0" borderId="238" xfId="0" applyFont="1" applyBorder="1" applyAlignment="1">
      <alignment horizontal="right" vertical="center"/>
    </xf>
    <xf numFmtId="0" fontId="232" fillId="0" borderId="53" xfId="0" applyFont="1" applyBorder="1" applyAlignment="1">
      <alignment horizontal="right" vertical="center"/>
    </xf>
    <xf numFmtId="0" fontId="232" fillId="0" borderId="54" xfId="0" applyFont="1" applyBorder="1" applyAlignment="1">
      <alignment horizontal="right" vertical="center"/>
    </xf>
    <xf numFmtId="0" fontId="237" fillId="0" borderId="239" xfId="0" applyFont="1" applyBorder="1" applyAlignment="1">
      <alignment horizontal="right" vertical="center"/>
    </xf>
    <xf numFmtId="0" fontId="237" fillId="0" borderId="166" xfId="0" applyFont="1" applyBorder="1" applyAlignment="1">
      <alignment horizontal="right" vertical="center"/>
    </xf>
    <xf numFmtId="0" fontId="237" fillId="0" borderId="213" xfId="0" applyFont="1" applyBorder="1" applyAlignment="1">
      <alignment horizontal="right" vertical="center"/>
    </xf>
    <xf numFmtId="0" fontId="237" fillId="0" borderId="235" xfId="0" applyFont="1" applyBorder="1" applyAlignment="1">
      <alignment horizontal="right" vertical="center"/>
    </xf>
    <xf numFmtId="0" fontId="237" fillId="0" borderId="203" xfId="0" applyFont="1" applyBorder="1" applyAlignment="1">
      <alignment horizontal="right" vertical="center"/>
    </xf>
    <xf numFmtId="0" fontId="237" fillId="0" borderId="205" xfId="0" applyFont="1" applyBorder="1" applyAlignment="1">
      <alignment horizontal="right" vertical="center"/>
    </xf>
    <xf numFmtId="0" fontId="237" fillId="0" borderId="189" xfId="0" applyFont="1" applyBorder="1" applyAlignment="1">
      <alignment horizontal="left" vertical="center"/>
    </xf>
    <xf numFmtId="0" fontId="237" fillId="0" borderId="190" xfId="0" applyFont="1" applyBorder="1" applyAlignment="1">
      <alignment horizontal="left" vertical="center"/>
    </xf>
    <xf numFmtId="0" fontId="237" fillId="0" borderId="191" xfId="0" applyFont="1" applyBorder="1" applyAlignment="1">
      <alignment horizontal="left" vertical="center"/>
    </xf>
    <xf numFmtId="0" fontId="237" fillId="0" borderId="42" xfId="0" applyFont="1" applyBorder="1" applyAlignment="1">
      <alignment horizontal="left" vertical="center"/>
    </xf>
    <xf numFmtId="0" fontId="237" fillId="0" borderId="46" xfId="0" applyFont="1" applyBorder="1" applyAlignment="1">
      <alignment horizontal="left" vertical="center"/>
    </xf>
    <xf numFmtId="0" fontId="237" fillId="0" borderId="47" xfId="0" applyFont="1" applyBorder="1" applyAlignment="1">
      <alignment horizontal="left" vertical="center"/>
    </xf>
    <xf numFmtId="0" fontId="237" fillId="0" borderId="132" xfId="0" applyFont="1" applyBorder="1" applyAlignment="1">
      <alignment horizontal="left" vertical="center"/>
    </xf>
    <xf numFmtId="0" fontId="237" fillId="0" borderId="5" xfId="0" applyFont="1" applyBorder="1" applyAlignment="1">
      <alignment horizontal="left" vertical="center"/>
    </xf>
    <xf numFmtId="0" fontId="237" fillId="0" borderId="107" xfId="0" applyFont="1" applyBorder="1" applyAlignment="1">
      <alignment horizontal="left"/>
    </xf>
    <xf numFmtId="0" fontId="237" fillId="0" borderId="39" xfId="0" applyFont="1" applyBorder="1" applyAlignment="1">
      <alignment horizontal="left"/>
    </xf>
    <xf numFmtId="274" fontId="216" fillId="0" borderId="120" xfId="0" applyNumberFormat="1" applyFont="1" applyBorder="1" applyAlignment="1">
      <alignment horizontal="center" vertical="center"/>
    </xf>
    <xf numFmtId="274" fontId="216" fillId="0" borderId="0" xfId="0" applyNumberFormat="1" applyFont="1" applyAlignment="1">
      <alignment horizontal="center" vertical="center"/>
    </xf>
    <xf numFmtId="268" fontId="216" fillId="0" borderId="0" xfId="0" applyNumberFormat="1" applyFont="1" applyAlignment="1">
      <alignment horizontal="center" vertical="center"/>
    </xf>
    <xf numFmtId="0" fontId="216" fillId="0" borderId="0" xfId="0" applyFont="1" applyAlignment="1">
      <alignment horizontal="center" vertical="center"/>
    </xf>
    <xf numFmtId="4" fontId="237" fillId="0" borderId="227" xfId="0" applyNumberFormat="1" applyFont="1" applyBorder="1" applyAlignment="1">
      <alignment horizontal="left"/>
    </xf>
    <xf numFmtId="0" fontId="237" fillId="0" borderId="225" xfId="0" applyFont="1" applyBorder="1" applyAlignment="1">
      <alignment horizontal="left"/>
    </xf>
    <xf numFmtId="0" fontId="236" fillId="64" borderId="172" xfId="0" applyFont="1" applyFill="1" applyBorder="1" applyAlignment="1">
      <alignment horizontal="center" vertical="center"/>
    </xf>
    <xf numFmtId="0" fontId="238" fillId="0" borderId="241" xfId="0" applyFont="1" applyBorder="1" applyAlignment="1">
      <alignment horizontal="center" vertical="center"/>
    </xf>
    <xf numFmtId="0" fontId="238" fillId="0" borderId="86" xfId="0" applyFont="1" applyBorder="1" applyAlignment="1">
      <alignment horizontal="center" vertical="center"/>
    </xf>
    <xf numFmtId="0" fontId="238" fillId="0" borderId="242" xfId="0" applyFont="1" applyBorder="1" applyAlignment="1">
      <alignment horizontal="center" vertical="center"/>
    </xf>
    <xf numFmtId="0" fontId="256" fillId="0" borderId="133" xfId="0" applyFont="1" applyBorder="1" applyAlignment="1">
      <alignment horizontal="center" vertical="center"/>
    </xf>
    <xf numFmtId="0" fontId="256" fillId="0" borderId="228" xfId="0" applyFont="1" applyBorder="1" applyAlignment="1">
      <alignment horizontal="center" vertical="center"/>
    </xf>
    <xf numFmtId="0" fontId="232" fillId="0" borderId="46" xfId="0" applyFont="1" applyBorder="1" applyAlignment="1">
      <alignment horizontal="left"/>
    </xf>
    <xf numFmtId="0" fontId="232" fillId="0" borderId="47" xfId="0" applyFont="1" applyBorder="1" applyAlignment="1">
      <alignment horizontal="left"/>
    </xf>
    <xf numFmtId="0" fontId="238" fillId="0" borderId="46" xfId="0" applyFont="1" applyBorder="1" applyAlignment="1">
      <alignment horizontal="left"/>
    </xf>
    <xf numFmtId="0" fontId="238" fillId="0" borderId="47" xfId="0" applyFont="1" applyBorder="1" applyAlignment="1">
      <alignment horizontal="left"/>
    </xf>
    <xf numFmtId="0" fontId="238" fillId="0" borderId="50" xfId="0" applyFont="1" applyBorder="1" applyAlignment="1">
      <alignment horizontal="left"/>
    </xf>
    <xf numFmtId="0" fontId="238" fillId="0" borderId="51" xfId="0" applyFont="1" applyBorder="1" applyAlignment="1">
      <alignment horizontal="left"/>
    </xf>
    <xf numFmtId="0" fontId="232" fillId="0" borderId="46" xfId="0" applyFont="1" applyBorder="1"/>
    <xf numFmtId="0" fontId="232" fillId="0" borderId="47" xfId="0" applyFont="1" applyBorder="1"/>
    <xf numFmtId="0" fontId="232" fillId="0" borderId="43" xfId="0" applyFont="1" applyBorder="1" applyAlignment="1">
      <alignment horizontal="left"/>
    </xf>
    <xf numFmtId="0" fontId="232" fillId="0" borderId="57" xfId="0" applyFont="1" applyBorder="1" applyAlignment="1">
      <alignment horizontal="left"/>
    </xf>
    <xf numFmtId="0" fontId="232" fillId="0" borderId="244" xfId="0" applyFont="1" applyBorder="1" applyAlignment="1">
      <alignment horizontal="left" wrapText="1"/>
    </xf>
    <xf numFmtId="0" fontId="232" fillId="0" borderId="245" xfId="0" applyFont="1" applyBorder="1" applyAlignment="1">
      <alignment horizontal="left" wrapText="1"/>
    </xf>
    <xf numFmtId="0" fontId="236" fillId="57" borderId="204" xfId="0" applyFont="1" applyFill="1" applyBorder="1" applyAlignment="1">
      <alignment horizontal="left" vertical="center"/>
    </xf>
    <xf numFmtId="0" fontId="236" fillId="57" borderId="203" xfId="0" applyFont="1" applyFill="1" applyBorder="1" applyAlignment="1">
      <alignment horizontal="left" vertical="center"/>
    </xf>
    <xf numFmtId="0" fontId="239" fillId="0" borderId="46" xfId="0" applyFont="1" applyBorder="1" applyAlignment="1">
      <alignment horizontal="left"/>
    </xf>
    <xf numFmtId="0" fontId="239" fillId="0" borderId="47" xfId="0" applyFont="1" applyBorder="1" applyAlignment="1">
      <alignment horizontal="left"/>
    </xf>
    <xf numFmtId="0" fontId="238" fillId="57" borderId="195" xfId="0" applyFont="1" applyFill="1" applyBorder="1" applyAlignment="1">
      <alignment horizontal="left" vertical="center"/>
    </xf>
    <xf numFmtId="0" fontId="238" fillId="57" borderId="193" xfId="0" applyFont="1" applyFill="1" applyBorder="1" applyAlignment="1">
      <alignment horizontal="left" vertical="center"/>
    </xf>
    <xf numFmtId="0" fontId="238" fillId="57" borderId="204" xfId="0" applyFont="1" applyFill="1" applyBorder="1" applyAlignment="1">
      <alignment horizontal="left"/>
    </xf>
    <xf numFmtId="0" fontId="238" fillId="57" borderId="203" xfId="0" applyFont="1" applyFill="1" applyBorder="1" applyAlignment="1">
      <alignment horizontal="left"/>
    </xf>
    <xf numFmtId="0" fontId="237" fillId="0" borderId="204" xfId="0" applyFont="1" applyBorder="1" applyAlignment="1">
      <alignment horizontal="center"/>
    </xf>
    <xf numFmtId="0" fontId="237" fillId="0" borderId="203" xfId="0" applyFont="1" applyBorder="1" applyAlignment="1">
      <alignment horizontal="center"/>
    </xf>
    <xf numFmtId="0" fontId="237" fillId="0" borderId="205" xfId="0" applyFont="1" applyBorder="1" applyAlignment="1">
      <alignment horizontal="center"/>
    </xf>
    <xf numFmtId="0" fontId="232" fillId="0" borderId="203" xfId="0" applyFont="1" applyBorder="1" applyAlignment="1">
      <alignment horizontal="center"/>
    </xf>
    <xf numFmtId="0" fontId="232" fillId="0" borderId="50" xfId="0" applyFont="1" applyBorder="1" applyAlignment="1">
      <alignment horizontal="left"/>
    </xf>
    <xf numFmtId="0" fontId="236" fillId="57" borderId="230" xfId="0" applyFont="1" applyFill="1" applyBorder="1" applyAlignment="1">
      <alignment horizontal="left" vertical="center"/>
    </xf>
    <xf numFmtId="0" fontId="238" fillId="57" borderId="203" xfId="0" applyFont="1" applyFill="1" applyBorder="1" applyAlignment="1">
      <alignment horizontal="left" vertical="center"/>
    </xf>
    <xf numFmtId="0" fontId="246" fillId="0" borderId="197" xfId="0" applyFont="1" applyBorder="1" applyAlignment="1">
      <alignment horizontal="left" vertical="center" wrapText="1"/>
    </xf>
    <xf numFmtId="0" fontId="246" fillId="0" borderId="283" xfId="0" applyFont="1" applyBorder="1" applyAlignment="1">
      <alignment horizontal="left" vertical="center" wrapText="1"/>
    </xf>
    <xf numFmtId="0" fontId="232" fillId="0" borderId="209" xfId="0" applyFont="1" applyBorder="1" applyAlignment="1">
      <alignment horizontal="left"/>
    </xf>
    <xf numFmtId="0" fontId="247" fillId="0" borderId="287" xfId="0" applyFont="1" applyBorder="1" applyAlignment="1">
      <alignment horizontal="center" vertical="center" wrapText="1"/>
    </xf>
    <xf numFmtId="0" fontId="247" fillId="0" borderId="229" xfId="0" applyFont="1" applyBorder="1" applyAlignment="1">
      <alignment horizontal="center" vertical="center" wrapText="1"/>
    </xf>
    <xf numFmtId="0" fontId="236" fillId="0" borderId="235" xfId="0" applyFont="1" applyBorder="1" applyAlignment="1">
      <alignment horizontal="center"/>
    </xf>
    <xf numFmtId="0" fontId="236" fillId="0" borderId="203" xfId="0" applyFont="1" applyBorder="1" applyAlignment="1">
      <alignment horizontal="center"/>
    </xf>
    <xf numFmtId="0" fontId="235" fillId="0" borderId="120" xfId="0" applyFont="1" applyBorder="1" applyAlignment="1">
      <alignment horizontal="center" vertical="center"/>
    </xf>
    <xf numFmtId="0" fontId="235" fillId="0" borderId="0" xfId="0" applyFont="1" applyAlignment="1">
      <alignment horizontal="center" vertical="center"/>
    </xf>
    <xf numFmtId="0" fontId="235" fillId="0" borderId="289" xfId="0" applyFont="1" applyBorder="1" applyAlignment="1">
      <alignment horizontal="center" vertical="center"/>
    </xf>
    <xf numFmtId="0" fontId="235" fillId="0" borderId="15" xfId="0" applyFont="1" applyBorder="1" applyAlignment="1">
      <alignment horizontal="center" vertical="center"/>
    </xf>
    <xf numFmtId="0" fontId="232" fillId="0" borderId="204" xfId="0" applyFont="1" applyBorder="1" applyAlignment="1">
      <alignment horizontal="left"/>
    </xf>
    <xf numFmtId="0" fontId="232" fillId="0" borderId="199" xfId="0" applyFont="1" applyBorder="1" applyAlignment="1">
      <alignment horizontal="left"/>
    </xf>
    <xf numFmtId="0" fontId="232" fillId="0" borderId="256" xfId="0" applyFont="1" applyBorder="1" applyAlignment="1">
      <alignment horizontal="left"/>
    </xf>
    <xf numFmtId="4" fontId="232" fillId="0" borderId="199" xfId="0" applyNumberFormat="1" applyFont="1" applyBorder="1" applyAlignment="1">
      <alignment horizontal="left"/>
    </xf>
    <xf numFmtId="0" fontId="232" fillId="0" borderId="197" xfId="0" applyFont="1" applyBorder="1" applyAlignment="1">
      <alignment horizontal="left" vertical="center"/>
    </xf>
    <xf numFmtId="0" fontId="237" fillId="0" borderId="46" xfId="0" applyFont="1" applyBorder="1" applyAlignment="1">
      <alignment horizontal="left"/>
    </xf>
    <xf numFmtId="0" fontId="237" fillId="0" borderId="47" xfId="0" applyFont="1" applyBorder="1" applyAlignment="1">
      <alignment horizontal="left"/>
    </xf>
    <xf numFmtId="0" fontId="238" fillId="57" borderId="204" xfId="0" applyFont="1" applyFill="1" applyBorder="1" applyAlignment="1">
      <alignment horizontal="left" vertical="center"/>
    </xf>
    <xf numFmtId="0" fontId="237" fillId="0" borderId="204" xfId="0" applyFont="1" applyBorder="1" applyAlignment="1">
      <alignment horizontal="right"/>
    </xf>
    <xf numFmtId="0" fontId="237" fillId="0" borderId="205" xfId="0" applyFont="1" applyBorder="1" applyAlignment="1">
      <alignment horizontal="right"/>
    </xf>
    <xf numFmtId="0" fontId="238" fillId="57" borderId="205" xfId="0" applyFont="1" applyFill="1" applyBorder="1" applyAlignment="1">
      <alignment horizontal="left"/>
    </xf>
    <xf numFmtId="0" fontId="237" fillId="0" borderId="203" xfId="0" applyFont="1" applyBorder="1" applyAlignment="1">
      <alignment horizontal="right"/>
    </xf>
    <xf numFmtId="0" fontId="232" fillId="0" borderId="51" xfId="0" applyFont="1" applyBorder="1" applyAlignment="1">
      <alignment horizontal="left"/>
    </xf>
    <xf numFmtId="0" fontId="232" fillId="0" borderId="0" xfId="0" applyFont="1" applyAlignment="1">
      <alignment horizontal="left"/>
    </xf>
    <xf numFmtId="0" fontId="232" fillId="0" borderId="252" xfId="0" applyFont="1" applyBorder="1" applyAlignment="1">
      <alignment horizontal="left"/>
    </xf>
    <xf numFmtId="0" fontId="232" fillId="0" borderId="53" xfId="0" applyFont="1" applyBorder="1" applyAlignment="1">
      <alignment horizontal="left"/>
    </xf>
    <xf numFmtId="0" fontId="232" fillId="0" borderId="54" xfId="0" applyFont="1" applyBorder="1" applyAlignment="1">
      <alignment horizontal="left"/>
    </xf>
    <xf numFmtId="0" fontId="235" fillId="64" borderId="284" xfId="0" applyFont="1" applyFill="1" applyBorder="1" applyAlignment="1">
      <alignment horizontal="center" vertical="center"/>
    </xf>
    <xf numFmtId="0" fontId="235" fillId="64" borderId="84" xfId="0" applyFont="1" applyFill="1" applyBorder="1" applyAlignment="1">
      <alignment horizontal="center" vertical="center"/>
    </xf>
    <xf numFmtId="0" fontId="235" fillId="64" borderId="285" xfId="0" applyFont="1" applyFill="1" applyBorder="1" applyAlignment="1">
      <alignment horizontal="center" vertical="center"/>
    </xf>
    <xf numFmtId="268" fontId="237" fillId="0" borderId="213" xfId="0" applyNumberFormat="1" applyFont="1" applyBorder="1" applyAlignment="1">
      <alignment horizontal="center" vertical="center"/>
    </xf>
    <xf numFmtId="268" fontId="237" fillId="0" borderId="247" xfId="0" applyNumberFormat="1" applyFont="1" applyBorder="1" applyAlignment="1">
      <alignment horizontal="center" vertical="center"/>
    </xf>
    <xf numFmtId="268" fontId="237" fillId="0" borderId="253" xfId="0" applyNumberFormat="1" applyFont="1" applyBorder="1" applyAlignment="1">
      <alignment horizontal="center" vertical="center"/>
    </xf>
    <xf numFmtId="268" fontId="237" fillId="0" borderId="186" xfId="0" applyNumberFormat="1" applyFont="1" applyBorder="1" applyAlignment="1">
      <alignment horizontal="center" vertical="center"/>
    </xf>
    <xf numFmtId="0" fontId="0" fillId="0" borderId="296" xfId="0" applyBorder="1" applyAlignment="1">
      <alignment horizontal="center"/>
    </xf>
    <xf numFmtId="0" fontId="0" fillId="0" borderId="292" xfId="0" applyBorder="1" applyAlignment="1">
      <alignment horizontal="center"/>
    </xf>
    <xf numFmtId="10" fontId="236" fillId="0" borderId="5" xfId="42650" applyNumberFormat="1" applyFont="1" applyBorder="1" applyAlignment="1">
      <alignment horizontal="center" vertical="center"/>
    </xf>
    <xf numFmtId="10" fontId="236" fillId="0" borderId="137" xfId="42650" applyNumberFormat="1" applyFont="1" applyBorder="1" applyAlignment="1">
      <alignment horizontal="center" vertical="center"/>
    </xf>
    <xf numFmtId="268" fontId="261" fillId="0" borderId="5" xfId="0" applyNumberFormat="1" applyFont="1" applyBorder="1" applyAlignment="1">
      <alignment horizontal="center" vertical="center"/>
    </xf>
    <xf numFmtId="268" fontId="261" fillId="0" borderId="137" xfId="0" applyNumberFormat="1" applyFont="1" applyBorder="1" applyAlignment="1">
      <alignment horizontal="center" vertical="center"/>
    </xf>
    <xf numFmtId="0" fontId="236" fillId="57" borderId="172" xfId="0" applyFont="1" applyFill="1" applyBorder="1" applyAlignment="1">
      <alignment horizontal="center" vertical="center"/>
    </xf>
    <xf numFmtId="0" fontId="237" fillId="0" borderId="282" xfId="0" applyFont="1" applyBorder="1" applyAlignment="1">
      <alignment horizontal="right"/>
    </xf>
    <xf numFmtId="0" fontId="237" fillId="0" borderId="213" xfId="0" applyFont="1" applyBorder="1" applyAlignment="1">
      <alignment horizontal="right"/>
    </xf>
    <xf numFmtId="0" fontId="232" fillId="0" borderId="46" xfId="0" applyFont="1" applyBorder="1" applyAlignment="1">
      <alignment horizontal="left" vertical="center" wrapText="1"/>
    </xf>
    <xf numFmtId="0" fontId="232" fillId="0" borderId="47" xfId="0" applyFont="1" applyBorder="1" applyAlignment="1">
      <alignment horizontal="left" vertical="center" wrapText="1"/>
    </xf>
    <xf numFmtId="4" fontId="214" fillId="58" borderId="185" xfId="0" applyNumberFormat="1" applyFont="1" applyFill="1" applyBorder="1" applyAlignment="1">
      <alignment horizontal="center" vertical="center"/>
    </xf>
    <xf numFmtId="4" fontId="214" fillId="58" borderId="5" xfId="0" applyNumberFormat="1" applyFont="1" applyFill="1" applyBorder="1" applyAlignment="1">
      <alignment horizontal="center" vertical="center"/>
    </xf>
    <xf numFmtId="0" fontId="240" fillId="0" borderId="46" xfId="0" applyFont="1" applyBorder="1" applyAlignment="1">
      <alignment horizontal="left"/>
    </xf>
    <xf numFmtId="0" fontId="240" fillId="0" borderId="47" xfId="0" applyFont="1" applyBorder="1" applyAlignment="1">
      <alignment horizontal="left"/>
    </xf>
    <xf numFmtId="0" fontId="217" fillId="0" borderId="179" xfId="0" applyFont="1" applyBorder="1" applyAlignment="1">
      <alignment horizontal="center" vertical="center"/>
    </xf>
    <xf numFmtId="0" fontId="217" fillId="0" borderId="180" xfId="0" applyFont="1" applyBorder="1" applyAlignment="1">
      <alignment horizontal="center" vertical="center"/>
    </xf>
    <xf numFmtId="0" fontId="214" fillId="0" borderId="0" xfId="0" applyFont="1" applyAlignment="1">
      <alignment horizontal="left"/>
    </xf>
    <xf numFmtId="0" fontId="214" fillId="58" borderId="182" xfId="0" applyFont="1" applyFill="1" applyBorder="1" applyAlignment="1">
      <alignment horizontal="center" vertical="center"/>
    </xf>
    <xf numFmtId="0" fontId="214" fillId="58" borderId="181" xfId="0" applyFont="1" applyFill="1" applyBorder="1" applyAlignment="1">
      <alignment horizontal="center" vertical="center"/>
    </xf>
    <xf numFmtId="3" fontId="214" fillId="58" borderId="183" xfId="0" applyNumberFormat="1" applyFont="1" applyFill="1" applyBorder="1" applyAlignment="1">
      <alignment horizontal="center" vertical="center"/>
    </xf>
    <xf numFmtId="3" fontId="214" fillId="58" borderId="168" xfId="0" applyNumberFormat="1" applyFont="1" applyFill="1" applyBorder="1" applyAlignment="1">
      <alignment horizontal="center" vertical="center"/>
    </xf>
    <xf numFmtId="0" fontId="214" fillId="58" borderId="183" xfId="0" applyFont="1" applyFill="1" applyBorder="1" applyAlignment="1">
      <alignment horizontal="center" vertical="center"/>
    </xf>
    <xf numFmtId="0" fontId="214" fillId="58" borderId="21" xfId="0" applyFont="1" applyFill="1" applyBorder="1" applyAlignment="1">
      <alignment horizontal="center" vertical="center"/>
    </xf>
    <xf numFmtId="0" fontId="214" fillId="58" borderId="184" xfId="0" applyFont="1" applyFill="1" applyBorder="1" applyAlignment="1">
      <alignment horizontal="center" vertical="center"/>
    </xf>
    <xf numFmtId="0" fontId="214" fillId="58" borderId="168" xfId="0" applyFont="1" applyFill="1" applyBorder="1" applyAlignment="1">
      <alignment horizontal="center" vertical="center"/>
    </xf>
    <xf numFmtId="0" fontId="214" fillId="58" borderId="0" xfId="0" applyFont="1" applyFill="1" applyAlignment="1">
      <alignment horizontal="center" vertical="center"/>
    </xf>
    <xf numFmtId="0" fontId="214" fillId="58" borderId="216" xfId="0" applyFont="1" applyFill="1" applyBorder="1" applyAlignment="1">
      <alignment horizontal="center" vertical="center"/>
    </xf>
    <xf numFmtId="0" fontId="214" fillId="58" borderId="252" xfId="0" applyFont="1" applyFill="1" applyBorder="1" applyAlignment="1">
      <alignment horizontal="center" vertical="center"/>
    </xf>
    <xf numFmtId="0" fontId="236" fillId="64" borderId="204" xfId="0" applyFont="1" applyFill="1" applyBorder="1" applyAlignment="1">
      <alignment horizontal="left" vertical="center"/>
    </xf>
    <xf numFmtId="0" fontId="236" fillId="64" borderId="203" xfId="0" applyFont="1" applyFill="1" applyBorder="1" applyAlignment="1">
      <alignment horizontal="left" vertical="center"/>
    </xf>
    <xf numFmtId="0" fontId="236" fillId="64" borderId="205" xfId="0" applyFont="1" applyFill="1" applyBorder="1" applyAlignment="1">
      <alignment horizontal="left" vertical="center"/>
    </xf>
    <xf numFmtId="0" fontId="238" fillId="64" borderId="46" xfId="0" applyFont="1" applyFill="1" applyBorder="1" applyAlignment="1">
      <alignment horizontal="left"/>
    </xf>
    <xf numFmtId="0" fontId="221" fillId="58" borderId="217" xfId="0" applyFont="1" applyFill="1" applyBorder="1" applyAlignment="1">
      <alignment horizontal="center" vertical="center"/>
    </xf>
    <xf numFmtId="0" fontId="221" fillId="58" borderId="218" xfId="0" applyFont="1" applyFill="1" applyBorder="1" applyAlignment="1">
      <alignment horizontal="center" vertical="center"/>
    </xf>
    <xf numFmtId="0" fontId="221" fillId="58" borderId="219" xfId="0" applyFont="1" applyFill="1" applyBorder="1" applyAlignment="1">
      <alignment horizontal="center" vertical="center"/>
    </xf>
    <xf numFmtId="0" fontId="216" fillId="0" borderId="0" xfId="0" applyFont="1" applyAlignment="1">
      <alignment horizontal="left"/>
    </xf>
    <xf numFmtId="170" fontId="223" fillId="40" borderId="46" xfId="2198" applyFont="1" applyFill="1" applyBorder="1" applyAlignment="1">
      <alignment horizontal="center" vertical="center"/>
    </xf>
    <xf numFmtId="0" fontId="236" fillId="64" borderId="189" xfId="0" applyFont="1" applyFill="1" applyBorder="1" applyAlignment="1">
      <alignment horizontal="left" vertical="center"/>
    </xf>
    <xf numFmtId="0" fontId="236" fillId="64" borderId="190" xfId="0" applyFont="1" applyFill="1" applyBorder="1" applyAlignment="1">
      <alignment horizontal="left" vertical="center"/>
    </xf>
    <xf numFmtId="0" fontId="236" fillId="64" borderId="191" xfId="0" applyFont="1" applyFill="1" applyBorder="1" applyAlignment="1">
      <alignment horizontal="left" vertical="center"/>
    </xf>
    <xf numFmtId="170" fontId="223" fillId="40" borderId="43" xfId="2198" applyFont="1" applyFill="1" applyBorder="1" applyAlignment="1">
      <alignment horizontal="center" vertical="center"/>
    </xf>
    <xf numFmtId="0" fontId="218" fillId="58" borderId="185" xfId="0" applyFont="1" applyFill="1" applyBorder="1" applyAlignment="1">
      <alignment horizontal="center" vertical="center" wrapText="1"/>
    </xf>
    <xf numFmtId="0" fontId="218" fillId="58" borderId="186" xfId="0" applyFont="1" applyFill="1" applyBorder="1" applyAlignment="1">
      <alignment horizontal="center" vertical="center" wrapText="1"/>
    </xf>
    <xf numFmtId="0" fontId="214" fillId="58" borderId="187" xfId="0" applyFont="1" applyFill="1" applyBorder="1" applyAlignment="1">
      <alignment horizontal="center" vertical="center"/>
    </xf>
    <xf numFmtId="0" fontId="214" fillId="58" borderId="188" xfId="0" applyFont="1" applyFill="1" applyBorder="1" applyAlignment="1">
      <alignment horizontal="center" vertical="center"/>
    </xf>
    <xf numFmtId="0" fontId="232" fillId="0" borderId="43" xfId="0" applyFont="1" applyBorder="1" applyAlignment="1">
      <alignment horizontal="left" wrapText="1"/>
    </xf>
    <xf numFmtId="0" fontId="232" fillId="0" borderId="50" xfId="0" applyFont="1" applyBorder="1" applyAlignment="1">
      <alignment horizontal="left" wrapText="1"/>
    </xf>
    <xf numFmtId="0" fontId="241" fillId="0" borderId="50" xfId="0" applyFont="1" applyBorder="1" applyAlignment="1">
      <alignment horizontal="left"/>
    </xf>
    <xf numFmtId="0" fontId="241" fillId="0" borderId="51" xfId="0" applyFont="1" applyBorder="1" applyAlignment="1">
      <alignment horizontal="left"/>
    </xf>
    <xf numFmtId="0" fontId="238" fillId="64" borderId="203" xfId="0" applyFont="1" applyFill="1" applyBorder="1" applyAlignment="1">
      <alignment horizontal="left"/>
    </xf>
    <xf numFmtId="0" fontId="238" fillId="58" borderId="50" xfId="0" applyFont="1" applyFill="1" applyBorder="1" applyAlignment="1">
      <alignment horizontal="left" vertical="center"/>
    </xf>
    <xf numFmtId="0" fontId="236" fillId="70" borderId="204" xfId="0" applyFont="1" applyFill="1" applyBorder="1" applyAlignment="1">
      <alignment horizontal="left" vertical="center"/>
    </xf>
    <xf numFmtId="0" fontId="236" fillId="70" borderId="203" xfId="0" applyFont="1" applyFill="1" applyBorder="1" applyAlignment="1">
      <alignment horizontal="left" vertical="center"/>
    </xf>
    <xf numFmtId="0" fontId="236" fillId="70" borderId="205" xfId="0" applyFont="1" applyFill="1" applyBorder="1" applyAlignment="1">
      <alignment horizontal="left" vertical="center"/>
    </xf>
    <xf numFmtId="0" fontId="240" fillId="63" borderId="50" xfId="0" applyFont="1" applyFill="1" applyBorder="1" applyAlignment="1">
      <alignment horizontal="left"/>
    </xf>
    <xf numFmtId="0" fontId="240" fillId="63" borderId="51" xfId="0" applyFont="1" applyFill="1" applyBorder="1" applyAlignment="1">
      <alignment horizontal="left"/>
    </xf>
    <xf numFmtId="0" fontId="240" fillId="63" borderId="46" xfId="0" applyFont="1" applyFill="1" applyBorder="1" applyAlignment="1">
      <alignment horizontal="left"/>
    </xf>
    <xf numFmtId="0" fontId="240" fillId="63" borderId="47" xfId="0" applyFont="1" applyFill="1" applyBorder="1" applyAlignment="1">
      <alignment horizontal="left"/>
    </xf>
    <xf numFmtId="0" fontId="238" fillId="63" borderId="46" xfId="0" applyFont="1" applyFill="1" applyBorder="1" applyAlignment="1">
      <alignment horizontal="left"/>
    </xf>
    <xf numFmtId="0" fontId="238" fillId="63" borderId="47" xfId="0" applyFont="1" applyFill="1" applyBorder="1" applyAlignment="1">
      <alignment horizontal="left"/>
    </xf>
    <xf numFmtId="0" fontId="232" fillId="0" borderId="46" xfId="0" applyFont="1" applyBorder="1" applyAlignment="1">
      <alignment horizontal="left" wrapText="1"/>
    </xf>
    <xf numFmtId="0" fontId="232" fillId="0" borderId="47" xfId="0" applyFont="1" applyBorder="1" applyAlignment="1">
      <alignment horizontal="left" wrapText="1"/>
    </xf>
    <xf numFmtId="0" fontId="240" fillId="64" borderId="46" xfId="0" applyFont="1" applyFill="1" applyBorder="1" applyAlignment="1">
      <alignment horizontal="left"/>
    </xf>
    <xf numFmtId="0" fontId="240" fillId="64" borderId="47" xfId="0" applyFont="1" applyFill="1" applyBorder="1" applyAlignment="1">
      <alignment horizontal="left"/>
    </xf>
    <xf numFmtId="0" fontId="232" fillId="0" borderId="46" xfId="0" applyFont="1" applyBorder="1" applyAlignment="1">
      <alignment horizontal="left" vertical="center"/>
    </xf>
    <xf numFmtId="0" fontId="240" fillId="0" borderId="168" xfId="0" applyFont="1" applyBorder="1" applyAlignment="1">
      <alignment horizontal="left"/>
    </xf>
    <xf numFmtId="0" fontId="240" fillId="0" borderId="0" xfId="0" applyFont="1" applyAlignment="1">
      <alignment horizontal="left"/>
    </xf>
    <xf numFmtId="0" fontId="240" fillId="0" borderId="216" xfId="0" applyFont="1" applyBorder="1" applyAlignment="1">
      <alignment horizontal="left"/>
    </xf>
    <xf numFmtId="0" fontId="237" fillId="70" borderId="168" xfId="0" applyFont="1" applyFill="1" applyBorder="1" applyAlignment="1">
      <alignment horizontal="left" vertical="center"/>
    </xf>
    <xf numFmtId="0" fontId="237" fillId="70" borderId="0" xfId="0" applyFont="1" applyFill="1" applyAlignment="1">
      <alignment horizontal="left" vertical="center"/>
    </xf>
    <xf numFmtId="0" fontId="237" fillId="70" borderId="216" xfId="0" applyFont="1" applyFill="1" applyBorder="1" applyAlignment="1">
      <alignment horizontal="left" vertical="center"/>
    </xf>
    <xf numFmtId="0" fontId="237" fillId="70" borderId="204" xfId="0" applyFont="1" applyFill="1" applyBorder="1" applyAlignment="1">
      <alignment horizontal="left" vertical="center"/>
    </xf>
    <xf numFmtId="0" fontId="237" fillId="70" borderId="203" xfId="0" applyFont="1" applyFill="1" applyBorder="1" applyAlignment="1">
      <alignment horizontal="left" vertical="center"/>
    </xf>
    <xf numFmtId="0" fontId="237" fillId="70" borderId="205" xfId="0" applyFont="1" applyFill="1" applyBorder="1" applyAlignment="1">
      <alignment horizontal="left" vertical="center"/>
    </xf>
    <xf numFmtId="0" fontId="232" fillId="60" borderId="46" xfId="0" applyFont="1" applyFill="1" applyBorder="1" applyAlignment="1">
      <alignment horizontal="left"/>
    </xf>
    <xf numFmtId="0" fontId="232" fillId="60" borderId="47" xfId="0" applyFont="1" applyFill="1" applyBorder="1" applyAlignment="1">
      <alignment horizontal="left"/>
    </xf>
    <xf numFmtId="0" fontId="232" fillId="0" borderId="216" xfId="0" applyFont="1" applyBorder="1" applyAlignment="1">
      <alignment horizontal="left"/>
    </xf>
    <xf numFmtId="0" fontId="232" fillId="71" borderId="46" xfId="0" applyFont="1" applyFill="1" applyBorder="1" applyAlignment="1">
      <alignment horizontal="left"/>
    </xf>
    <xf numFmtId="0" fontId="232" fillId="71" borderId="47" xfId="0" applyFont="1" applyFill="1" applyBorder="1" applyAlignment="1">
      <alignment horizontal="left"/>
    </xf>
    <xf numFmtId="0" fontId="237" fillId="64" borderId="204" xfId="0" applyFont="1" applyFill="1" applyBorder="1" applyAlignment="1">
      <alignment horizontal="left" vertical="center"/>
    </xf>
    <xf numFmtId="0" fontId="237" fillId="64" borderId="203" xfId="0" applyFont="1" applyFill="1" applyBorder="1" applyAlignment="1">
      <alignment horizontal="left" vertical="center"/>
    </xf>
    <xf numFmtId="0" fontId="237" fillId="64" borderId="205" xfId="0" applyFont="1" applyFill="1" applyBorder="1" applyAlignment="1">
      <alignment horizontal="left" vertical="center"/>
    </xf>
    <xf numFmtId="0" fontId="238" fillId="71" borderId="50" xfId="0" applyFont="1" applyFill="1" applyBorder="1" applyAlignment="1">
      <alignment horizontal="left"/>
    </xf>
    <xf numFmtId="0" fontId="238" fillId="71" borderId="51" xfId="0" applyFont="1" applyFill="1" applyBorder="1" applyAlignment="1">
      <alignment horizontal="left"/>
    </xf>
    <xf numFmtId="0" fontId="238" fillId="71" borderId="46" xfId="0" applyFont="1" applyFill="1" applyBorder="1" applyAlignment="1">
      <alignment horizontal="left"/>
    </xf>
    <xf numFmtId="0" fontId="238" fillId="71" borderId="47" xfId="0" applyFont="1" applyFill="1" applyBorder="1" applyAlignment="1">
      <alignment horizontal="left"/>
    </xf>
    <xf numFmtId="0" fontId="232" fillId="41" borderId="46" xfId="0" applyFont="1" applyFill="1" applyBorder="1" applyAlignment="1">
      <alignment horizontal="left"/>
    </xf>
    <xf numFmtId="0" fontId="232" fillId="41" borderId="47" xfId="0" applyFont="1" applyFill="1" applyBorder="1" applyAlignment="1">
      <alignment horizontal="left"/>
    </xf>
    <xf numFmtId="0" fontId="238" fillId="0" borderId="195" xfId="0" applyFont="1" applyBorder="1" applyAlignment="1">
      <alignment horizontal="left" vertical="center"/>
    </xf>
    <xf numFmtId="0" fontId="238" fillId="0" borderId="193" xfId="0" applyFont="1" applyBorder="1" applyAlignment="1">
      <alignment horizontal="left" vertical="center"/>
    </xf>
    <xf numFmtId="0" fontId="238" fillId="0" borderId="194" xfId="0" applyFont="1" applyBorder="1" applyAlignment="1">
      <alignment horizontal="left" vertical="center"/>
    </xf>
    <xf numFmtId="0" fontId="232" fillId="0" borderId="243" xfId="0" applyFont="1" applyBorder="1" applyAlignment="1">
      <alignment horizontal="left"/>
    </xf>
    <xf numFmtId="0" fontId="232" fillId="63" borderId="50" xfId="0" applyFont="1" applyFill="1" applyBorder="1" applyAlignment="1">
      <alignment horizontal="left"/>
    </xf>
    <xf numFmtId="0" fontId="232" fillId="63" borderId="51" xfId="0" applyFont="1" applyFill="1" applyBorder="1" applyAlignment="1">
      <alignment horizontal="left"/>
    </xf>
    <xf numFmtId="0" fontId="232" fillId="0" borderId="46" xfId="0" applyFont="1" applyBorder="1" applyAlignment="1">
      <alignment horizontal="center"/>
    </xf>
    <xf numFmtId="0" fontId="232" fillId="0" borderId="47" xfId="0" applyFont="1" applyBorder="1" applyAlignment="1">
      <alignment horizontal="center"/>
    </xf>
    <xf numFmtId="0" fontId="237" fillId="63" borderId="46" xfId="0" applyFont="1" applyFill="1" applyBorder="1" applyAlignment="1">
      <alignment horizontal="left"/>
    </xf>
    <xf numFmtId="0" fontId="237" fillId="63" borderId="47" xfId="0" applyFont="1" applyFill="1" applyBorder="1" applyAlignment="1">
      <alignment horizontal="left"/>
    </xf>
    <xf numFmtId="0" fontId="232" fillId="0" borderId="46" xfId="0" applyFont="1" applyBorder="1" applyAlignment="1">
      <alignment horizontal="left" vertical="top" wrapText="1"/>
    </xf>
    <xf numFmtId="0" fontId="232" fillId="0" borderId="47" xfId="0" applyFont="1" applyBorder="1" applyAlignment="1">
      <alignment horizontal="left" vertical="top" wrapText="1"/>
    </xf>
    <xf numFmtId="0" fontId="130" fillId="40" borderId="61" xfId="0" applyFont="1" applyFill="1" applyBorder="1" applyAlignment="1">
      <alignment horizontal="left" vertical="top"/>
    </xf>
    <xf numFmtId="0" fontId="128" fillId="40" borderId="61" xfId="0" applyFont="1" applyFill="1" applyBorder="1" applyAlignment="1">
      <alignment horizontal="left" vertical="top"/>
    </xf>
    <xf numFmtId="0" fontId="128" fillId="40" borderId="63" xfId="0" applyFont="1" applyFill="1" applyBorder="1" applyAlignment="1">
      <alignment horizontal="left" vertical="top"/>
    </xf>
    <xf numFmtId="0" fontId="128" fillId="40" borderId="75" xfId="0" applyFont="1" applyFill="1" applyBorder="1" applyAlignment="1">
      <alignment horizontal="left" vertical="top"/>
    </xf>
    <xf numFmtId="0" fontId="128" fillId="40" borderId="80" xfId="0" applyFont="1" applyFill="1" applyBorder="1" applyAlignment="1">
      <alignment horizontal="left" vertical="top"/>
    </xf>
    <xf numFmtId="0" fontId="128" fillId="40" borderId="63" xfId="1012" applyFont="1" applyFill="1" applyBorder="1" applyAlignment="1">
      <alignment horizontal="left" vertical="top"/>
    </xf>
    <xf numFmtId="0" fontId="128" fillId="40" borderId="75" xfId="1012" applyFont="1" applyFill="1" applyBorder="1" applyAlignment="1">
      <alignment horizontal="left" vertical="top"/>
    </xf>
    <xf numFmtId="0" fontId="128" fillId="40" borderId="61" xfId="1012" applyFont="1" applyFill="1" applyBorder="1" applyAlignment="1">
      <alignment horizontal="left" vertical="top"/>
    </xf>
    <xf numFmtId="0" fontId="130" fillId="40" borderId="61" xfId="1012" applyFont="1" applyFill="1" applyBorder="1" applyAlignment="1">
      <alignment horizontal="left" vertical="top"/>
    </xf>
    <xf numFmtId="0" fontId="128" fillId="40" borderId="80" xfId="1012" applyFont="1" applyFill="1" applyBorder="1" applyAlignment="1">
      <alignment horizontal="left" vertical="top"/>
    </xf>
    <xf numFmtId="0" fontId="115" fillId="0" borderId="61" xfId="0" applyFont="1" applyBorder="1" applyAlignment="1">
      <alignment horizontal="left" vertical="top"/>
    </xf>
    <xf numFmtId="0" fontId="114" fillId="0" borderId="61" xfId="0" applyFont="1" applyBorder="1" applyAlignment="1">
      <alignment horizontal="left" vertical="top"/>
    </xf>
    <xf numFmtId="0" fontId="114" fillId="0" borderId="63" xfId="0" applyFont="1" applyBorder="1" applyAlignment="1">
      <alignment horizontal="left" vertical="top"/>
    </xf>
    <xf numFmtId="0" fontId="114" fillId="0" borderId="75" xfId="0" applyFont="1" applyBorder="1" applyAlignment="1">
      <alignment horizontal="left" vertical="top"/>
    </xf>
    <xf numFmtId="0" fontId="117" fillId="0" borderId="61" xfId="0" applyFont="1" applyBorder="1" applyAlignment="1">
      <alignment horizontal="left" vertical="top"/>
    </xf>
    <xf numFmtId="0" fontId="117" fillId="0" borderId="63" xfId="0" applyFont="1" applyBorder="1" applyAlignment="1">
      <alignment horizontal="left" vertical="top"/>
    </xf>
    <xf numFmtId="0" fontId="117" fillId="0" borderId="75" xfId="0" applyFont="1" applyBorder="1" applyAlignment="1">
      <alignment horizontal="left" vertical="top"/>
    </xf>
    <xf numFmtId="0" fontId="133" fillId="0" borderId="61" xfId="0" applyFont="1" applyBorder="1" applyAlignment="1">
      <alignment horizontal="left" vertical="top"/>
    </xf>
    <xf numFmtId="0" fontId="114" fillId="0" borderId="16" xfId="0" applyFont="1" applyBorder="1" applyAlignment="1">
      <alignment horizontal="left" vertical="top"/>
    </xf>
    <xf numFmtId="0" fontId="115" fillId="0" borderId="16" xfId="0" applyFont="1" applyBorder="1" applyAlignment="1">
      <alignment horizontal="left" vertical="top"/>
    </xf>
    <xf numFmtId="0" fontId="0" fillId="0" borderId="64" xfId="0" applyBorder="1" applyAlignment="1">
      <alignment horizontal="left" vertical="top"/>
    </xf>
    <xf numFmtId="0" fontId="134" fillId="0" borderId="0" xfId="0" applyFont="1" applyAlignment="1">
      <alignment horizontal="center" vertical="center" wrapText="1"/>
    </xf>
    <xf numFmtId="0" fontId="134" fillId="0" borderId="0" xfId="0" applyFont="1" applyAlignment="1">
      <alignment horizontal="left" vertical="center" wrapText="1"/>
    </xf>
    <xf numFmtId="0" fontId="114" fillId="0" borderId="75" xfId="0" applyFont="1" applyBorder="1" applyAlignment="1">
      <alignment horizontal="right" vertical="top"/>
    </xf>
    <xf numFmtId="0" fontId="0" fillId="0" borderId="61" xfId="0" applyBorder="1" applyAlignment="1">
      <alignment horizontal="left" vertical="top"/>
    </xf>
    <xf numFmtId="0" fontId="113" fillId="0" borderId="61" xfId="0" applyFont="1" applyBorder="1" applyAlignment="1">
      <alignment horizontal="left" vertical="top" wrapText="1"/>
    </xf>
    <xf numFmtId="0" fontId="113" fillId="0" borderId="61" xfId="0" applyFont="1" applyBorder="1" applyAlignment="1">
      <alignment horizontal="center" vertical="top" wrapText="1"/>
    </xf>
    <xf numFmtId="0" fontId="114" fillId="0" borderId="61" xfId="0" applyFont="1" applyBorder="1" applyAlignment="1">
      <alignment horizontal="left" vertical="top" wrapText="1"/>
    </xf>
    <xf numFmtId="0" fontId="114" fillId="0" borderId="61" xfId="0" applyFont="1" applyBorder="1" applyAlignment="1">
      <alignment horizontal="center" vertical="top"/>
    </xf>
    <xf numFmtId="0" fontId="114" fillId="0" borderId="63" xfId="0" applyFont="1" applyBorder="1" applyAlignment="1">
      <alignment horizontal="right" vertical="top"/>
    </xf>
    <xf numFmtId="0" fontId="114" fillId="0" borderId="64" xfId="0" applyFont="1" applyBorder="1" applyAlignment="1">
      <alignment horizontal="left" vertical="top"/>
    </xf>
    <xf numFmtId="0" fontId="113" fillId="0" borderId="63" xfId="0" applyFont="1" applyBorder="1" applyAlignment="1">
      <alignment horizontal="left" vertical="top"/>
    </xf>
    <xf numFmtId="0" fontId="204" fillId="0" borderId="0" xfId="0" applyNumberFormat="1" applyFont="1"/>
    <xf numFmtId="7" fontId="135" fillId="40" borderId="210" xfId="115" applyNumberFormat="1" applyFont="1" applyFill="1" applyBorder="1" applyProtection="1">
      <protection hidden="1"/>
    </xf>
  </cellXfs>
  <cellStyles count="42651">
    <cellStyle name="%" xfId="1208" xr:uid="{00000000-0005-0000-0000-000000000000}"/>
    <cellStyle name="??" xfId="1209" xr:uid="{00000000-0005-0000-0000-000001000000}"/>
    <cellStyle name="?? [0.00]_PRODUCT DETAIL Q1" xfId="1210" xr:uid="{00000000-0005-0000-0000-000002000000}"/>
    <cellStyle name="?? [0]" xfId="1211" xr:uid="{00000000-0005-0000-0000-000003000000}"/>
    <cellStyle name="???" xfId="1212" xr:uid="{00000000-0005-0000-0000-000004000000}"/>
    <cellStyle name="???? [0.00]_PRODUCT DETAIL Q1" xfId="1213" xr:uid="{00000000-0005-0000-0000-000005000000}"/>
    <cellStyle name="????_PRODUCT DETAIL Q1" xfId="1214" xr:uid="{00000000-0005-0000-0000-000006000000}"/>
    <cellStyle name="???[0]_Book1" xfId="1215" xr:uid="{00000000-0005-0000-0000-000007000000}"/>
    <cellStyle name="???_95" xfId="1216" xr:uid="{00000000-0005-0000-0000-000008000000}"/>
    <cellStyle name="??_(????)??????" xfId="1217" xr:uid="{00000000-0005-0000-0000-000009000000}"/>
    <cellStyle name="_ALAT-BU-SPP-CIPUTARA" xfId="1218" xr:uid="{00000000-0005-0000-0000-00000A000000}"/>
    <cellStyle name="_ALAT-BU-SPP-CIPUTARA_1" xfId="1219" xr:uid="{00000000-0005-0000-0000-00000B000000}"/>
    <cellStyle name="_ALAT-BU-SPP-CIPUTARA-ok" xfId="1220" xr:uid="{00000000-0005-0000-0000-00000C000000}"/>
    <cellStyle name="_ALAT-BU-SPP-CIPUTARA-ok_1" xfId="1221" xr:uid="{00000000-0005-0000-0000-00000D000000}"/>
    <cellStyle name="_ALAT-BU-SPP-GRIYANIAGA" xfId="1222" xr:uid="{00000000-0005-0000-0000-00000E000000}"/>
    <cellStyle name="_ALAT-BU-SPP-GRIYANIAGA_1" xfId="1223" xr:uid="{00000000-0005-0000-0000-00000F000000}"/>
    <cellStyle name="_Analisa RAP awal N (version 2)r1" xfId="1224" xr:uid="{00000000-0005-0000-0000-000010000000}"/>
    <cellStyle name="_Analisa RAP awal N (version 2)r1_1" xfId="1225" xr:uid="{00000000-0005-0000-0000-000011000000}"/>
    <cellStyle name="_Analisa RAP awal N (version 2)r1_2" xfId="1226" xr:uid="{00000000-0005-0000-0000-000012000000}"/>
    <cellStyle name="_Analisa RAP awal N (version 2)r3" xfId="1227" xr:uid="{00000000-0005-0000-0000-000013000000}"/>
    <cellStyle name="_Analisa RAP awal N (version 2)r3_1" xfId="1228" xr:uid="{00000000-0005-0000-0000-000014000000}"/>
    <cellStyle name="_Analisa RAP awal N (version 2)r3_2" xfId="1229" xr:uid="{00000000-0005-0000-0000-000015000000}"/>
    <cellStyle name="_analisa RAP r1" xfId="1230" xr:uid="{00000000-0005-0000-0000-000016000000}"/>
    <cellStyle name="_analisa RAP r1_1" xfId="1231" xr:uid="{00000000-0005-0000-0000-000017000000}"/>
    <cellStyle name="_Analisa RAP r7" xfId="1232" xr:uid="{00000000-0005-0000-0000-000018000000}"/>
    <cellStyle name="_Analisa RAP r7_1" xfId="1233" xr:uid="{00000000-0005-0000-0000-000019000000}"/>
    <cellStyle name="_BQ HOTEL SUTAN RAJA TENDER" xfId="1234" xr:uid="{00000000-0005-0000-0000-00001A000000}"/>
    <cellStyle name="_BQ+Hit. Lt 10, atap (Dago 27-06-2007 )" xfId="1235" xr:uid="{00000000-0005-0000-0000-00001B000000}"/>
    <cellStyle name="_BQ+Hit. SDA (24072007)" xfId="1236" xr:uid="{00000000-0005-0000-0000-00001C000000}"/>
    <cellStyle name="_BQ-ARS- SDA2" xfId="1237" xr:uid="{00000000-0005-0000-0000-00001D000000}"/>
    <cellStyle name="_Copy of Analisa RAP R11ef" xfId="1238" xr:uid="{00000000-0005-0000-0000-00001E000000}"/>
    <cellStyle name="_Copy of Analisa RAP R11ef_1" xfId="1239" xr:uid="{00000000-0005-0000-0000-00001F000000}"/>
    <cellStyle name="_Copy of Analisa RAP R11ef_2" xfId="1240" xr:uid="{00000000-0005-0000-0000-000020000000}"/>
    <cellStyle name="_Hit. Hotel Sutan Raja Minahasa (MYO)" xfId="1241" xr:uid="{00000000-0005-0000-0000-000021000000}"/>
    <cellStyle name="_Hit. Lantai - 1" xfId="1242" xr:uid="{00000000-0005-0000-0000-000022000000}"/>
    <cellStyle name="_RAB SDA4  24.07.07-Buat P' Agus" xfId="1243" xr:uid="{00000000-0005-0000-0000-000023000000}"/>
    <cellStyle name="_RAB_pertamina" xfId="1244" xr:uid="{00000000-0005-0000-0000-000024000000}"/>
    <cellStyle name="_RAP TAMBAHAN" xfId="1245" xr:uid="{00000000-0005-0000-0000-000025000000}"/>
    <cellStyle name="_RAP TAMBAHAN r6" xfId="1246" xr:uid="{00000000-0005-0000-0000-000026000000}"/>
    <cellStyle name="_RAP TAMBAHAN r6_1" xfId="1247" xr:uid="{00000000-0005-0000-0000-000027000000}"/>
    <cellStyle name="_RAP TAMBAHAN r6_2" xfId="1248" xr:uid="{00000000-0005-0000-0000-000028000000}"/>
    <cellStyle name="_RAP TAMBAHAN_1" xfId="1249" xr:uid="{00000000-0005-0000-0000-000029000000}"/>
    <cellStyle name="_Rc-1-aLT" xfId="1" xr:uid="{00000000-0005-0000-0000-00002A000000}"/>
    <cellStyle name="_RC-wismaIII-DISK" xfId="2" xr:uid="{00000000-0005-0000-0000-00002B000000}"/>
    <cellStyle name="_UIN (NEW)" xfId="1250" xr:uid="{00000000-0005-0000-0000-00002C000000}"/>
    <cellStyle name="_Vol. Bapelkes blok C ( Myo 07.12.07)" xfId="1251" xr:uid="{00000000-0005-0000-0000-00002D000000}"/>
    <cellStyle name="_Vol. Precast" xfId="1252" xr:uid="{00000000-0005-0000-0000-00002E000000}"/>
    <cellStyle name="‚" xfId="3" xr:uid="{00000000-0005-0000-0000-00002F000000}"/>
    <cellStyle name="‚_0.Bidakara RAP" xfId="1253" xr:uid="{00000000-0005-0000-0000-000030000000}"/>
    <cellStyle name="‚_0.Bidakara RAP_Analisa BMG" xfId="1254" xr:uid="{00000000-0005-0000-0000-000031000000}"/>
    <cellStyle name="‚_AHS_MEKANIKAL" xfId="1255" xr:uid="{00000000-0005-0000-0000-000032000000}"/>
    <cellStyle name="‚_ALAT-BU-SPP-CIPUTARA-ok" xfId="1256" xr:uid="{00000000-0005-0000-0000-000033000000}"/>
    <cellStyle name="‚_ALAT-SPP-BU-BPK" xfId="1257" xr:uid="{00000000-0005-0000-0000-000034000000}"/>
    <cellStyle name="‚_ALAT-SPP-BU-BPK_Analisa BMG" xfId="1258" xr:uid="{00000000-0005-0000-0000-000035000000}"/>
    <cellStyle name="‚_ANALISA BPK DG" xfId="1259" xr:uid="{00000000-0005-0000-0000-000036000000}"/>
    <cellStyle name="‚_ANALISA BPK DG_Analisa Bapelkes Full" xfId="1260" xr:uid="{00000000-0005-0000-0000-000037000000}"/>
    <cellStyle name="‚_ANALISA BPK DG_Analisa BMG" xfId="1261" xr:uid="{00000000-0005-0000-0000-000038000000}"/>
    <cellStyle name="‚_ANALISA BPK DG_SKBDN Batam" xfId="1262" xr:uid="{00000000-0005-0000-0000-000039000000}"/>
    <cellStyle name="‚_ANALISA BPK DG_SKBDN Batam_Analisa BMG" xfId="1263" xr:uid="{00000000-0005-0000-0000-00003A000000}"/>
    <cellStyle name="‚_ANALISA RAB" xfId="1264" xr:uid="{00000000-0005-0000-0000-00003B000000}"/>
    <cellStyle name="‚_ANALISA RAB_SKBDN Batam" xfId="1265" xr:uid="{00000000-0005-0000-0000-00003C000000}"/>
    <cellStyle name="‚_Bill of Quantity BPK 03082007" xfId="1266" xr:uid="{00000000-0005-0000-0000-00003D000000}"/>
    <cellStyle name="‚_Bill of Quantity BPK 03082007_Analisa Bapelkes Full" xfId="1267" xr:uid="{00000000-0005-0000-0000-00003E000000}"/>
    <cellStyle name="‚_Bill of Quantity BPK 03082007_Analisa BMG" xfId="1268" xr:uid="{00000000-0005-0000-0000-00003F000000}"/>
    <cellStyle name="‚_BQ+Hit. Lt 10, atap (Dago 27-06-2007 )" xfId="1269" xr:uid="{00000000-0005-0000-0000-000040000000}"/>
    <cellStyle name="‚_Hit SKBDN" xfId="1270" xr:uid="{00000000-0005-0000-0000-000041000000}"/>
    <cellStyle name="‚_Hit. Hotel Sutan Raja Minahasa (MYO)" xfId="1271" xr:uid="{00000000-0005-0000-0000-000042000000}"/>
    <cellStyle name="‚_Hit. Hotel Sutan Raja Minahasa (MYO)_Analisa Bapelkes Full" xfId="1272" xr:uid="{00000000-0005-0000-0000-000043000000}"/>
    <cellStyle name="‚_Hit. Hotel Sutan Raja Minahasa (MYO)_Analisa BMG" xfId="1273" xr:uid="{00000000-0005-0000-0000-000044000000}"/>
    <cellStyle name="‚_Hit. Lantai - 1" xfId="1274" xr:uid="{00000000-0005-0000-0000-000045000000}"/>
    <cellStyle name="‚_RAB Electonic01" xfId="4" xr:uid="{00000000-0005-0000-0000-000046000000}"/>
    <cellStyle name="‚_RAB___R(1)._SERBAGUNA_TW.2" xfId="1275" xr:uid="{00000000-0005-0000-0000-000047000000}"/>
    <cellStyle name="‚_SKBDN Batam" xfId="1276" xr:uid="{00000000-0005-0000-0000-000048000000}"/>
    <cellStyle name="‚_UIN (NEW)" xfId="1277" xr:uid="{00000000-0005-0000-0000-000049000000}"/>
    <cellStyle name="‚_UIN (NEW)_Analisa BMG" xfId="1278" xr:uid="{00000000-0005-0000-0000-00004A000000}"/>
    <cellStyle name="‚_Vol. Bapelkes blok C ( Myo 07.12.07)" xfId="1279" xr:uid="{00000000-0005-0000-0000-00004B000000}"/>
    <cellStyle name="‚_Vol. Precast" xfId="1280" xr:uid="{00000000-0005-0000-0000-00004C000000}"/>
    <cellStyle name="„" xfId="5" xr:uid="{00000000-0005-0000-0000-00004D000000}"/>
    <cellStyle name="„_0.Bidakara RAP" xfId="1281" xr:uid="{00000000-0005-0000-0000-00004E000000}"/>
    <cellStyle name="„_0.Bidakara RAP_Analisa BMG" xfId="1282" xr:uid="{00000000-0005-0000-0000-00004F000000}"/>
    <cellStyle name="„_AHS_MEKANIKAL" xfId="1283" xr:uid="{00000000-0005-0000-0000-000050000000}"/>
    <cellStyle name="„_ALAT-BU-SPP-CIPUTARA-ok" xfId="1284" xr:uid="{00000000-0005-0000-0000-000051000000}"/>
    <cellStyle name="„_ALAT-SPP-BU-BPK" xfId="1285" xr:uid="{00000000-0005-0000-0000-000052000000}"/>
    <cellStyle name="„_ALAT-SPP-BU-BPK_Analisa BMG" xfId="1286" xr:uid="{00000000-0005-0000-0000-000053000000}"/>
    <cellStyle name="„_ANALISA BPK DG" xfId="1287" xr:uid="{00000000-0005-0000-0000-000054000000}"/>
    <cellStyle name="„_ANALISA BPK DG_Analisa Bapelkes Full" xfId="1288" xr:uid="{00000000-0005-0000-0000-000055000000}"/>
    <cellStyle name="„_ANALISA BPK DG_Analisa BMG" xfId="1289" xr:uid="{00000000-0005-0000-0000-000056000000}"/>
    <cellStyle name="„_ANALISA BPK DG_SKBDN Batam" xfId="1290" xr:uid="{00000000-0005-0000-0000-000057000000}"/>
    <cellStyle name="„_ANALISA BPK DG_SKBDN Batam_Analisa BMG" xfId="1291" xr:uid="{00000000-0005-0000-0000-000058000000}"/>
    <cellStyle name="„_ANALISA RAB" xfId="1292" xr:uid="{00000000-0005-0000-0000-000059000000}"/>
    <cellStyle name="„_ANALISA RAB_SKBDN Batam" xfId="1293" xr:uid="{00000000-0005-0000-0000-00005A000000}"/>
    <cellStyle name="„_Bill of Quantity BPK 03082007" xfId="1294" xr:uid="{00000000-0005-0000-0000-00005B000000}"/>
    <cellStyle name="„_Bill of Quantity BPK 03082007_Analisa Bapelkes Full" xfId="1295" xr:uid="{00000000-0005-0000-0000-00005C000000}"/>
    <cellStyle name="„_Bill of Quantity BPK 03082007_Analisa BMG" xfId="1296" xr:uid="{00000000-0005-0000-0000-00005D000000}"/>
    <cellStyle name="„_BQ+Hit. Lt 10, atap (Dago 27-06-2007 )" xfId="1297" xr:uid="{00000000-0005-0000-0000-00005E000000}"/>
    <cellStyle name="„_Hit SKBDN" xfId="1298" xr:uid="{00000000-0005-0000-0000-00005F000000}"/>
    <cellStyle name="„_Hit. Hotel Sutan Raja Minahasa (MYO)" xfId="1299" xr:uid="{00000000-0005-0000-0000-000060000000}"/>
    <cellStyle name="„_Hit. Hotel Sutan Raja Minahasa (MYO)_Analisa Bapelkes Full" xfId="1300" xr:uid="{00000000-0005-0000-0000-000061000000}"/>
    <cellStyle name="„_Hit. Hotel Sutan Raja Minahasa (MYO)_Analisa BMG" xfId="1301" xr:uid="{00000000-0005-0000-0000-000062000000}"/>
    <cellStyle name="„_Hit. Lantai - 1" xfId="1302" xr:uid="{00000000-0005-0000-0000-000063000000}"/>
    <cellStyle name="„_RAB Electonic01" xfId="6" xr:uid="{00000000-0005-0000-0000-000064000000}"/>
    <cellStyle name="„_RAB___R(1)._SERBAGUNA_TW.2" xfId="1303" xr:uid="{00000000-0005-0000-0000-000065000000}"/>
    <cellStyle name="„_SKBDN Batam" xfId="1304" xr:uid="{00000000-0005-0000-0000-000066000000}"/>
    <cellStyle name="„_UIN (NEW)" xfId="1305" xr:uid="{00000000-0005-0000-0000-000067000000}"/>
    <cellStyle name="„_UIN (NEW)_Analisa BMG" xfId="1306" xr:uid="{00000000-0005-0000-0000-000068000000}"/>
    <cellStyle name="„_Vol. Bapelkes blok C ( Myo 07.12.07)" xfId="1307" xr:uid="{00000000-0005-0000-0000-000069000000}"/>
    <cellStyle name="„_Vol. Precast" xfId="1308" xr:uid="{00000000-0005-0000-0000-00006A000000}"/>
    <cellStyle name="–¢’è‹`" xfId="1309" xr:uid="{00000000-0005-0000-0000-00006B000000}"/>
    <cellStyle name="€" xfId="1310" xr:uid="{00000000-0005-0000-0000-00006C000000}"/>
    <cellStyle name="€_AHS_MEKANIKAL" xfId="1311" xr:uid="{00000000-0005-0000-0000-00006D000000}"/>
    <cellStyle name="€_ANALISA BPK DG" xfId="1312" xr:uid="{00000000-0005-0000-0000-00006E000000}"/>
    <cellStyle name="€_ANALISA RAB" xfId="1313" xr:uid="{00000000-0005-0000-0000-00006F000000}"/>
    <cellStyle name="€_Hit SKBDN" xfId="1314" xr:uid="{00000000-0005-0000-0000-000070000000}"/>
    <cellStyle name="€_RAB___R(1)._SERBAGUNA_TW.2" xfId="1315" xr:uid="{00000000-0005-0000-0000-000071000000}"/>
    <cellStyle name="…" xfId="7" xr:uid="{00000000-0005-0000-0000-000072000000}"/>
    <cellStyle name="…_0.Bidakara RAP" xfId="1316" xr:uid="{00000000-0005-0000-0000-000073000000}"/>
    <cellStyle name="…_0.Bidakara RAP_Analisa BMG" xfId="1317" xr:uid="{00000000-0005-0000-0000-000074000000}"/>
    <cellStyle name="…_AHS_MEKANIKAL" xfId="1318" xr:uid="{00000000-0005-0000-0000-000075000000}"/>
    <cellStyle name="…_ALAT-BU-SPP-CIPUTARA-ok" xfId="1319" xr:uid="{00000000-0005-0000-0000-000076000000}"/>
    <cellStyle name="…_ALAT-SPP-BU-BPK" xfId="1320" xr:uid="{00000000-0005-0000-0000-000077000000}"/>
    <cellStyle name="…_ALAT-SPP-BU-BPK_Analisa BMG" xfId="1321" xr:uid="{00000000-0005-0000-0000-000078000000}"/>
    <cellStyle name="…_ANALISA BPK DG" xfId="1322" xr:uid="{00000000-0005-0000-0000-000079000000}"/>
    <cellStyle name="…_ANALISA BPK DG_Analisa Bapelkes Full" xfId="1323" xr:uid="{00000000-0005-0000-0000-00007A000000}"/>
    <cellStyle name="…_ANALISA BPK DG_Analisa BMG" xfId="1324" xr:uid="{00000000-0005-0000-0000-00007B000000}"/>
    <cellStyle name="…_ANALISA BPK DG_SKBDN Batam" xfId="1325" xr:uid="{00000000-0005-0000-0000-00007C000000}"/>
    <cellStyle name="…_ANALISA BPK DG_SKBDN Batam_Analisa BMG" xfId="1326" xr:uid="{00000000-0005-0000-0000-00007D000000}"/>
    <cellStyle name="…_ANALISA RAB" xfId="1327" xr:uid="{00000000-0005-0000-0000-00007E000000}"/>
    <cellStyle name="…_ANALISA RAB_SKBDN Batam" xfId="1328" xr:uid="{00000000-0005-0000-0000-00007F000000}"/>
    <cellStyle name="…_Bill of Quantity BPK 03082007" xfId="1329" xr:uid="{00000000-0005-0000-0000-000080000000}"/>
    <cellStyle name="…_Bill of Quantity BPK 03082007_Analisa Bapelkes Full" xfId="1330" xr:uid="{00000000-0005-0000-0000-000081000000}"/>
    <cellStyle name="…_Bill of Quantity BPK 03082007_Analisa BMG" xfId="1331" xr:uid="{00000000-0005-0000-0000-000082000000}"/>
    <cellStyle name="…_BQ+Hit. Lt 10, atap (Dago 27-06-2007 )" xfId="1332" xr:uid="{00000000-0005-0000-0000-000083000000}"/>
    <cellStyle name="…_Hit SKBDN" xfId="1333" xr:uid="{00000000-0005-0000-0000-000084000000}"/>
    <cellStyle name="…_Hit. Hotel Sutan Raja Minahasa (MYO)" xfId="1334" xr:uid="{00000000-0005-0000-0000-000085000000}"/>
    <cellStyle name="…_Hit. Hotel Sutan Raja Minahasa (MYO)_Analisa Bapelkes Full" xfId="1335" xr:uid="{00000000-0005-0000-0000-000086000000}"/>
    <cellStyle name="…_Hit. Hotel Sutan Raja Minahasa (MYO)_Analisa BMG" xfId="1336" xr:uid="{00000000-0005-0000-0000-000087000000}"/>
    <cellStyle name="…_Hit. Lantai - 1" xfId="1337" xr:uid="{00000000-0005-0000-0000-000088000000}"/>
    <cellStyle name="…_RAB Electonic01" xfId="8" xr:uid="{00000000-0005-0000-0000-000089000000}"/>
    <cellStyle name="…_RAB___R(1)._SERBAGUNA_TW.2" xfId="1338" xr:uid="{00000000-0005-0000-0000-00008A000000}"/>
    <cellStyle name="…_SKBDN Batam" xfId="1339" xr:uid="{00000000-0005-0000-0000-00008B000000}"/>
    <cellStyle name="…_UIN (NEW)" xfId="1340" xr:uid="{00000000-0005-0000-0000-00008C000000}"/>
    <cellStyle name="…_UIN (NEW)_Analisa BMG" xfId="1341" xr:uid="{00000000-0005-0000-0000-00008D000000}"/>
    <cellStyle name="…_Vol. Bapelkes blok C ( Myo 07.12.07)" xfId="1342" xr:uid="{00000000-0005-0000-0000-00008E000000}"/>
    <cellStyle name="…_Vol. Precast" xfId="1343" xr:uid="{00000000-0005-0000-0000-00008F000000}"/>
    <cellStyle name="†" xfId="9" xr:uid="{00000000-0005-0000-0000-000090000000}"/>
    <cellStyle name="†_0.Bidakara RAP" xfId="1344" xr:uid="{00000000-0005-0000-0000-000091000000}"/>
    <cellStyle name="†_0.Bidakara RAP_Analisa BMG" xfId="1345" xr:uid="{00000000-0005-0000-0000-000092000000}"/>
    <cellStyle name="†_AHS_MEKANIKAL" xfId="1346" xr:uid="{00000000-0005-0000-0000-000093000000}"/>
    <cellStyle name="†_ALAT-SPP-BU-BPK" xfId="1347" xr:uid="{00000000-0005-0000-0000-000094000000}"/>
    <cellStyle name="†_ALAT-SPP-BU-BPK_Analisa BMG" xfId="1348" xr:uid="{00000000-0005-0000-0000-000095000000}"/>
    <cellStyle name="†_ANALISA BPK DG" xfId="1349" xr:uid="{00000000-0005-0000-0000-000096000000}"/>
    <cellStyle name="†_ANALISA BPK DG_Analisa Bapelkes Full" xfId="1350" xr:uid="{00000000-0005-0000-0000-000097000000}"/>
    <cellStyle name="†_ANALISA BPK DG_Analisa BMG" xfId="1351" xr:uid="{00000000-0005-0000-0000-000098000000}"/>
    <cellStyle name="†_ANALISA BPK DG_SKBDN Batam" xfId="1352" xr:uid="{00000000-0005-0000-0000-000099000000}"/>
    <cellStyle name="†_ANALISA BPK DG_SKBDN Batam_Analisa BMG" xfId="1353" xr:uid="{00000000-0005-0000-0000-00009A000000}"/>
    <cellStyle name="†_ANALISA RAB" xfId="1354" xr:uid="{00000000-0005-0000-0000-00009B000000}"/>
    <cellStyle name="†_ANALISA RAB_SKBDN Batam" xfId="1355" xr:uid="{00000000-0005-0000-0000-00009C000000}"/>
    <cellStyle name="†_Bill of Quantity BPK 03082007" xfId="1356" xr:uid="{00000000-0005-0000-0000-00009D000000}"/>
    <cellStyle name="†_Bill of Quantity BPK 03082007_Analisa Bapelkes Full" xfId="1357" xr:uid="{00000000-0005-0000-0000-00009E000000}"/>
    <cellStyle name="†_Bill of Quantity BPK 03082007_Analisa BMG" xfId="1358" xr:uid="{00000000-0005-0000-0000-00009F000000}"/>
    <cellStyle name="†_BQ+Hit. Lt 10, atap (Dago 27-06-2007 )" xfId="1359" xr:uid="{00000000-0005-0000-0000-0000A0000000}"/>
    <cellStyle name="†_Hit SKBDN" xfId="1360" xr:uid="{00000000-0005-0000-0000-0000A1000000}"/>
    <cellStyle name="†_Hit. Hotel Sutan Raja Minahasa (MYO)" xfId="1361" xr:uid="{00000000-0005-0000-0000-0000A2000000}"/>
    <cellStyle name="†_Hit. Hotel Sutan Raja Minahasa (MYO)_Analisa Bapelkes Full" xfId="1362" xr:uid="{00000000-0005-0000-0000-0000A3000000}"/>
    <cellStyle name="†_Hit. Hotel Sutan Raja Minahasa (MYO)_Analisa BMG" xfId="1363" xr:uid="{00000000-0005-0000-0000-0000A4000000}"/>
    <cellStyle name="†_Hit. Lantai - 1" xfId="1364" xr:uid="{00000000-0005-0000-0000-0000A5000000}"/>
    <cellStyle name="†_RAB Electonic01" xfId="10" xr:uid="{00000000-0005-0000-0000-0000A6000000}"/>
    <cellStyle name="†_RAB___R(1)._SERBAGUNA_TW.2" xfId="1365" xr:uid="{00000000-0005-0000-0000-0000A7000000}"/>
    <cellStyle name="†_SKBDN Batam" xfId="1366" xr:uid="{00000000-0005-0000-0000-0000A8000000}"/>
    <cellStyle name="†_UIN (NEW)" xfId="1367" xr:uid="{00000000-0005-0000-0000-0000A9000000}"/>
    <cellStyle name="†_UIN (NEW)_Analisa BMG" xfId="1368" xr:uid="{00000000-0005-0000-0000-0000AA000000}"/>
    <cellStyle name="†_Vol. Bapelkes blok C ( Myo 07.12.07)" xfId="1369" xr:uid="{00000000-0005-0000-0000-0000AB000000}"/>
    <cellStyle name="†_Vol. Precast" xfId="1370" xr:uid="{00000000-0005-0000-0000-0000AC000000}"/>
    <cellStyle name="‡" xfId="11" xr:uid="{00000000-0005-0000-0000-0000AD000000}"/>
    <cellStyle name="‡_0.Bidakara RAP" xfId="1371" xr:uid="{00000000-0005-0000-0000-0000AE000000}"/>
    <cellStyle name="‡_0.Bidakara RAP_Analisa BMG" xfId="1372" xr:uid="{00000000-0005-0000-0000-0000AF000000}"/>
    <cellStyle name="‡_AHS_MEKANIKAL" xfId="1373" xr:uid="{00000000-0005-0000-0000-0000B0000000}"/>
    <cellStyle name="‡_ALAT-BU-SPP-CIPUTARA-ok" xfId="1374" xr:uid="{00000000-0005-0000-0000-0000B1000000}"/>
    <cellStyle name="‡_ALAT-SPP-BU-BPK" xfId="1375" xr:uid="{00000000-0005-0000-0000-0000B2000000}"/>
    <cellStyle name="‡_ALAT-SPP-BU-BPK_Analisa BMG" xfId="1376" xr:uid="{00000000-0005-0000-0000-0000B3000000}"/>
    <cellStyle name="‡_ANALISA" xfId="1377" xr:uid="{00000000-0005-0000-0000-0000B4000000}"/>
    <cellStyle name="‡_ANALISA BPK DG" xfId="1378" xr:uid="{00000000-0005-0000-0000-0000B5000000}"/>
    <cellStyle name="‡_ANALISA BPK DG_Analisa Bapelkes Full" xfId="1379" xr:uid="{00000000-0005-0000-0000-0000B6000000}"/>
    <cellStyle name="‡_ANALISA BPK DG_Analisa BMG" xfId="1380" xr:uid="{00000000-0005-0000-0000-0000B7000000}"/>
    <cellStyle name="‡_ANALISA BPK DG_SKBDN Batam" xfId="1381" xr:uid="{00000000-0005-0000-0000-0000B8000000}"/>
    <cellStyle name="‡_ANALISA BPK DG_SKBDN Batam_Analisa BMG" xfId="1382" xr:uid="{00000000-0005-0000-0000-0000B9000000}"/>
    <cellStyle name="‡_ANALISA RAB" xfId="1383" xr:uid="{00000000-0005-0000-0000-0000BA000000}"/>
    <cellStyle name="‡_ANALISA RAB_SKBDN Batam" xfId="1384" xr:uid="{00000000-0005-0000-0000-0000BB000000}"/>
    <cellStyle name="‡_Bill of Quantity BPK 03082007" xfId="1385" xr:uid="{00000000-0005-0000-0000-0000BC000000}"/>
    <cellStyle name="‡_Bill of Quantity BPK 03082007_Analisa Bapelkes Full" xfId="1386" xr:uid="{00000000-0005-0000-0000-0000BD000000}"/>
    <cellStyle name="‡_Bill of Quantity BPK 03082007_Analisa BMG" xfId="1387" xr:uid="{00000000-0005-0000-0000-0000BE000000}"/>
    <cellStyle name="‡_BOOK1" xfId="12" xr:uid="{00000000-0005-0000-0000-0000BF000000}"/>
    <cellStyle name="‡_BOOK1_0.Bidakara RAP" xfId="1388" xr:uid="{00000000-0005-0000-0000-0000C0000000}"/>
    <cellStyle name="‡_BOOK1_AHS_MEKANIKAL" xfId="1389" xr:uid="{00000000-0005-0000-0000-0000C1000000}"/>
    <cellStyle name="‡_BOOK1_ALAT-BU-SPP-CIPUTARA-ok" xfId="1390" xr:uid="{00000000-0005-0000-0000-0000C2000000}"/>
    <cellStyle name="‡_BOOK1_ALAT-SPP-BU-BPK" xfId="1391" xr:uid="{00000000-0005-0000-0000-0000C3000000}"/>
    <cellStyle name="‡_BOOK1_ANALISA BPK DG" xfId="1392" xr:uid="{00000000-0005-0000-0000-0000C4000000}"/>
    <cellStyle name="‡_BOOK1_ANALISA RAB" xfId="1393" xr:uid="{00000000-0005-0000-0000-0000C5000000}"/>
    <cellStyle name="‡_BOOK1_ANALISA RAB_SKBDN Batam" xfId="1394" xr:uid="{00000000-0005-0000-0000-0000C6000000}"/>
    <cellStyle name="‡_BOOK1_Bill of Quantity BPK 03082007" xfId="1395" xr:uid="{00000000-0005-0000-0000-0000C7000000}"/>
    <cellStyle name="‡_BOOK1_BoQ RUANG SERBAGUNArevMK280707" xfId="1396" xr:uid="{00000000-0005-0000-0000-0000C8000000}"/>
    <cellStyle name="‡_BOOK1_BoQ-MEKANIKAL_2007 ~ xx" xfId="1397" xr:uid="{00000000-0005-0000-0000-0000C9000000}"/>
    <cellStyle name="‡_BOOK1_BQ_ELEKTRIKAL_2008BK2" xfId="1398" xr:uid="{00000000-0005-0000-0000-0000CA000000}"/>
    <cellStyle name="‡_BOOK1_BQ_ELEKTRIKAL_2008BK2-qty mam" xfId="1399" xr:uid="{00000000-0005-0000-0000-0000CB000000}"/>
    <cellStyle name="‡_BOOK1_BQ_LAK_DEPKEU_201107_(OPT.1)" xfId="1400" xr:uid="{00000000-0005-0000-0000-0000CC000000}"/>
    <cellStyle name="‡_BOOK1_BQ_LAK_DEPKEU_201107_(OPT.1).xls (lks)" xfId="1401" xr:uid="{00000000-0005-0000-0000-0000CD000000}"/>
    <cellStyle name="‡_BOOK1_BQ_LAK_DEPKEU_201107_(OPT.2)" xfId="1402" xr:uid="{00000000-0005-0000-0000-0000CE000000}"/>
    <cellStyle name="‡_BOOK1_BQ_LAK_DEPKEU_30 Nov 2007 (OPT.2)" xfId="1403" xr:uid="{00000000-0005-0000-0000-0000CF000000}"/>
    <cellStyle name="‡_BOOK1_BQ+Hit. Lt 10, atap (Dago 27-06-2007 )" xfId="1404" xr:uid="{00000000-0005-0000-0000-0000D0000000}"/>
    <cellStyle name="‡_BOOK1_BQ-RUANG SERBAGUNA 28_10_2007" xfId="1405" xr:uid="{00000000-0005-0000-0000-0000D1000000}"/>
    <cellStyle name="‡_BOOK1_EE_MEKANIKAL_2007 ~ xx" xfId="1406" xr:uid="{00000000-0005-0000-0000-0000D2000000}"/>
    <cellStyle name="‡_BOOK1_EE-RUANG SERBAGUNA ~ xxrevMK" xfId="1407" xr:uid="{00000000-0005-0000-0000-0000D3000000}"/>
    <cellStyle name="‡_BOOK1_EE-RUANG SERBAGUNA ~ xxrevMK_AHS_MEKANIKAL" xfId="1408" xr:uid="{00000000-0005-0000-0000-0000D4000000}"/>
    <cellStyle name="‡_BOOK1_Hit SKBDN" xfId="1409" xr:uid="{00000000-0005-0000-0000-0000D5000000}"/>
    <cellStyle name="‡_BOOK1_Hit. Hotel Sutan Raja Minahasa (MYO)" xfId="1410" xr:uid="{00000000-0005-0000-0000-0000D6000000}"/>
    <cellStyle name="‡_BOOK1_Hit. Lantai - 1" xfId="1411" xr:uid="{00000000-0005-0000-0000-0000D7000000}"/>
    <cellStyle name="‡_BOOK1_RAB RUANG SERBAGUNA" xfId="1412" xr:uid="{00000000-0005-0000-0000-0000D8000000}"/>
    <cellStyle name="‡_BOOK1_RAB RUANG SERBAGUNA_AHS_MEKANIKAL" xfId="1413" xr:uid="{00000000-0005-0000-0000-0000D9000000}"/>
    <cellStyle name="‡_BOOK1_RAB___R(1)._SERBAGUNA_TW.2" xfId="1414" xr:uid="{00000000-0005-0000-0000-0000DA000000}"/>
    <cellStyle name="‡_BOOK1_RAB_DUCT_SRBGN_SETJEN_DEPKEU_020707" xfId="1415" xr:uid="{00000000-0005-0000-0000-0000DB000000}"/>
    <cellStyle name="‡_BOOK1_RAB_DUCT_SRBGN_SETJEN_DEPKEU_020707_AHS_MEKANIKAL" xfId="1416" xr:uid="{00000000-0005-0000-0000-0000DC000000}"/>
    <cellStyle name="‡_BOOK1_RAB_ELEKTRIKAL_2007" xfId="1417" xr:uid="{00000000-0005-0000-0000-0000DD000000}"/>
    <cellStyle name="‡_BOOK1_RAB_MEKANIKAL_2007" xfId="1418" xr:uid="{00000000-0005-0000-0000-0000DE000000}"/>
    <cellStyle name="‡_BOOK1_RAB_MEKANIKAL_2007_2" xfId="1419" xr:uid="{00000000-0005-0000-0000-0000DF000000}"/>
    <cellStyle name="‡_BOOK1_SKBDN Batam" xfId="1420" xr:uid="{00000000-0005-0000-0000-0000E0000000}"/>
    <cellStyle name="‡_BOOK1_UIN (NEW)" xfId="1421" xr:uid="{00000000-0005-0000-0000-0000E1000000}"/>
    <cellStyle name="‡_BOOK1_Vol. Bapelkes blok C ( Myo 07.12.07)" xfId="1422" xr:uid="{00000000-0005-0000-0000-0000E2000000}"/>
    <cellStyle name="‡_BOOK1_Vol. Precast" xfId="1423" xr:uid="{00000000-0005-0000-0000-0000E3000000}"/>
    <cellStyle name="‡_BQ+Hit. Lt 10, atap (Dago 27-06-2007 )" xfId="1424" xr:uid="{00000000-0005-0000-0000-0000E4000000}"/>
    <cellStyle name="‡_H BAHAN&amp;UPAH" xfId="1425" xr:uid="{00000000-0005-0000-0000-0000E5000000}"/>
    <cellStyle name="‡_Hit SKBDN" xfId="1426" xr:uid="{00000000-0005-0000-0000-0000E6000000}"/>
    <cellStyle name="‡_Hit. Hotel Sutan Raja Minahasa (MYO)" xfId="1427" xr:uid="{00000000-0005-0000-0000-0000E7000000}"/>
    <cellStyle name="‡_Hit. Hotel Sutan Raja Minahasa (MYO)_Analisa Bapelkes Full" xfId="1428" xr:uid="{00000000-0005-0000-0000-0000E8000000}"/>
    <cellStyle name="‡_Hit. Hotel Sutan Raja Minahasa (MYO)_Analisa BMG" xfId="1429" xr:uid="{00000000-0005-0000-0000-0000E9000000}"/>
    <cellStyle name="‡_Hit. Lantai - 1" xfId="1430" xr:uid="{00000000-0005-0000-0000-0000EA000000}"/>
    <cellStyle name="‡_HS_MEP" xfId="1431" xr:uid="{00000000-0005-0000-0000-0000EB000000}"/>
    <cellStyle name="‡_PLDT" xfId="13" xr:uid="{00000000-0005-0000-0000-0000EC000000}"/>
    <cellStyle name="‡_PLDT_0.Bidakara RAP" xfId="1432" xr:uid="{00000000-0005-0000-0000-0000ED000000}"/>
    <cellStyle name="‡_PLDT_0.Bidakara RAP_Analisa BMG" xfId="1433" xr:uid="{00000000-0005-0000-0000-0000EE000000}"/>
    <cellStyle name="‡_PLDT_AHS_MEKANIKAL" xfId="1434" xr:uid="{00000000-0005-0000-0000-0000EF000000}"/>
    <cellStyle name="‡_PLDT_ALAT-BU-SPP-CIPUTARA-ok" xfId="1435" xr:uid="{00000000-0005-0000-0000-0000F0000000}"/>
    <cellStyle name="‡_PLDT_ALAT-SPP-BU-BPK" xfId="1436" xr:uid="{00000000-0005-0000-0000-0000F1000000}"/>
    <cellStyle name="‡_PLDT_ALAT-SPP-BU-BPK_Analisa BMG" xfId="1437" xr:uid="{00000000-0005-0000-0000-0000F2000000}"/>
    <cellStyle name="‡_PLDT_ANALISA BPK DG" xfId="1438" xr:uid="{00000000-0005-0000-0000-0000F3000000}"/>
    <cellStyle name="‡_PLDT_ANALISA BPK DG_Analisa Bapelkes Full" xfId="1439" xr:uid="{00000000-0005-0000-0000-0000F4000000}"/>
    <cellStyle name="‡_PLDT_ANALISA BPK DG_Analisa BMG" xfId="1440" xr:uid="{00000000-0005-0000-0000-0000F5000000}"/>
    <cellStyle name="‡_PLDT_ANALISA BPK DG_SKBDN Batam" xfId="1441" xr:uid="{00000000-0005-0000-0000-0000F6000000}"/>
    <cellStyle name="‡_PLDT_ANALISA BPK DG_SKBDN Batam_Analisa BMG" xfId="1442" xr:uid="{00000000-0005-0000-0000-0000F7000000}"/>
    <cellStyle name="‡_PLDT_ANALISA RAB" xfId="1443" xr:uid="{00000000-0005-0000-0000-0000F8000000}"/>
    <cellStyle name="‡_PLDT_ANALISA RAB_SKBDN Batam" xfId="1444" xr:uid="{00000000-0005-0000-0000-0000F9000000}"/>
    <cellStyle name="‡_PLDT_Bill of Quantity BPK 03082007" xfId="1445" xr:uid="{00000000-0005-0000-0000-0000FA000000}"/>
    <cellStyle name="‡_PLDT_Bill of Quantity BPK 03082007_Analisa Bapelkes Full" xfId="1446" xr:uid="{00000000-0005-0000-0000-0000FB000000}"/>
    <cellStyle name="‡_PLDT_Bill of Quantity BPK 03082007_Analisa BMG" xfId="1447" xr:uid="{00000000-0005-0000-0000-0000FC000000}"/>
    <cellStyle name="‡_PLDT_BQ+Hit. Lt 10, atap (Dago 27-06-2007 )" xfId="1448" xr:uid="{00000000-0005-0000-0000-0000FD000000}"/>
    <cellStyle name="‡_PLDT_Hit SKBDN" xfId="1449" xr:uid="{00000000-0005-0000-0000-0000FE000000}"/>
    <cellStyle name="‡_PLDT_Hit. Hotel Sutan Raja Minahasa (MYO)" xfId="1450" xr:uid="{00000000-0005-0000-0000-0000FF000000}"/>
    <cellStyle name="‡_PLDT_Hit. Hotel Sutan Raja Minahasa (MYO)_Analisa Bapelkes Full" xfId="1451" xr:uid="{00000000-0005-0000-0000-000000010000}"/>
    <cellStyle name="‡_PLDT_Hit. Hotel Sutan Raja Minahasa (MYO)_Analisa BMG" xfId="1452" xr:uid="{00000000-0005-0000-0000-000001010000}"/>
    <cellStyle name="‡_PLDT_Hit. Lantai - 1" xfId="1453" xr:uid="{00000000-0005-0000-0000-000002010000}"/>
    <cellStyle name="‡_PLDT_RAB Electonic01" xfId="14" xr:uid="{00000000-0005-0000-0000-000003010000}"/>
    <cellStyle name="‡_PLDT_RAB___R(1)._SERBAGUNA_TW.2" xfId="1454" xr:uid="{00000000-0005-0000-0000-000004010000}"/>
    <cellStyle name="‡_PLDT_SKBDN Batam" xfId="1455" xr:uid="{00000000-0005-0000-0000-000005010000}"/>
    <cellStyle name="‡_PLDT_UIN (NEW)" xfId="1456" xr:uid="{00000000-0005-0000-0000-000006010000}"/>
    <cellStyle name="‡_PLDT_UIN (NEW)_Analisa BMG" xfId="1457" xr:uid="{00000000-0005-0000-0000-000007010000}"/>
    <cellStyle name="‡_PLDT_Vol. Bapelkes blok C ( Myo 07.12.07)" xfId="1458" xr:uid="{00000000-0005-0000-0000-000008010000}"/>
    <cellStyle name="‡_PLDT_Vol. Precast" xfId="1459" xr:uid="{00000000-0005-0000-0000-000009010000}"/>
    <cellStyle name="‡_RAB Electonic01" xfId="15" xr:uid="{00000000-0005-0000-0000-00000A010000}"/>
    <cellStyle name="‡_RAB___R(1)._SERBAGUNA_TW.2" xfId="1460" xr:uid="{00000000-0005-0000-0000-00000B010000}"/>
    <cellStyle name="‡_SKBDN Batam" xfId="1461" xr:uid="{00000000-0005-0000-0000-00000C010000}"/>
    <cellStyle name="‡_STA-DRP" xfId="16" xr:uid="{00000000-0005-0000-0000-00000D010000}"/>
    <cellStyle name="‡_STA-DRP_0.Bidakara RAP" xfId="1462" xr:uid="{00000000-0005-0000-0000-00000E010000}"/>
    <cellStyle name="‡_STA-DRP_0.Bidakara RAP_Analisa BMG" xfId="1463" xr:uid="{00000000-0005-0000-0000-00000F010000}"/>
    <cellStyle name="‡_STA-DRP_AHS_MEKANIKAL" xfId="1464" xr:uid="{00000000-0005-0000-0000-000010010000}"/>
    <cellStyle name="‡_STA-DRP_ALAT-BU-SPP-CIPUTARA-ok" xfId="1465" xr:uid="{00000000-0005-0000-0000-000011010000}"/>
    <cellStyle name="‡_STA-DRP_ALAT-SPP-BU-BPK" xfId="1466" xr:uid="{00000000-0005-0000-0000-000012010000}"/>
    <cellStyle name="‡_STA-DRP_ALAT-SPP-BU-BPK_Analisa BMG" xfId="1467" xr:uid="{00000000-0005-0000-0000-000013010000}"/>
    <cellStyle name="‡_STA-DRP_ANALISA" xfId="1468" xr:uid="{00000000-0005-0000-0000-000014010000}"/>
    <cellStyle name="‡_STA-DRP_ANALISA BPK DG" xfId="1469" xr:uid="{00000000-0005-0000-0000-000015010000}"/>
    <cellStyle name="‡_STA-DRP_ANALISA BPK DG_Analisa Bapelkes Full" xfId="1470" xr:uid="{00000000-0005-0000-0000-000016010000}"/>
    <cellStyle name="‡_STA-DRP_ANALISA BPK DG_Analisa BMG" xfId="1471" xr:uid="{00000000-0005-0000-0000-000017010000}"/>
    <cellStyle name="‡_STA-DRP_ANALISA BPK DG_SKBDN Batam" xfId="1472" xr:uid="{00000000-0005-0000-0000-000018010000}"/>
    <cellStyle name="‡_STA-DRP_ANALISA BPK DG_SKBDN Batam_Analisa BMG" xfId="1473" xr:uid="{00000000-0005-0000-0000-000019010000}"/>
    <cellStyle name="‡_STA-DRP_ANALISA RAB" xfId="1474" xr:uid="{00000000-0005-0000-0000-00001A010000}"/>
    <cellStyle name="‡_STA-DRP_ANALISA RAB_SKBDN Batam" xfId="1475" xr:uid="{00000000-0005-0000-0000-00001B010000}"/>
    <cellStyle name="‡_STA-DRP_Bill of Quantity BPK 03082007" xfId="1476" xr:uid="{00000000-0005-0000-0000-00001C010000}"/>
    <cellStyle name="‡_STA-DRP_Bill of Quantity BPK 03082007_Analisa Bapelkes Full" xfId="1477" xr:uid="{00000000-0005-0000-0000-00001D010000}"/>
    <cellStyle name="‡_STA-DRP_Bill of Quantity BPK 03082007_Analisa BMG" xfId="1478" xr:uid="{00000000-0005-0000-0000-00001E010000}"/>
    <cellStyle name="‡_STA-DRP_BOOK1" xfId="17" xr:uid="{00000000-0005-0000-0000-00001F010000}"/>
    <cellStyle name="‡_STA-DRP_BOOK1_0.Bidakara RAP" xfId="1479" xr:uid="{00000000-0005-0000-0000-000020010000}"/>
    <cellStyle name="‡_STA-DRP_BOOK1_AHS_MEKANIKAL" xfId="1480" xr:uid="{00000000-0005-0000-0000-000021010000}"/>
    <cellStyle name="‡_STA-DRP_BOOK1_ALAT-BU-SPP-CIPUTARA-ok" xfId="1481" xr:uid="{00000000-0005-0000-0000-000022010000}"/>
    <cellStyle name="‡_STA-DRP_BOOK1_ALAT-SPP-BU-BPK" xfId="1482" xr:uid="{00000000-0005-0000-0000-000023010000}"/>
    <cellStyle name="‡_STA-DRP_BOOK1_ANALISA BPK DG" xfId="1483" xr:uid="{00000000-0005-0000-0000-000024010000}"/>
    <cellStyle name="‡_STA-DRP_BOOK1_ANALISA RAB" xfId="1484" xr:uid="{00000000-0005-0000-0000-000025010000}"/>
    <cellStyle name="‡_STA-DRP_BOOK1_ANALISA RAB_SKBDN Batam" xfId="1485" xr:uid="{00000000-0005-0000-0000-000026010000}"/>
    <cellStyle name="‡_STA-DRP_BOOK1_Bill of Quantity BPK 03082007" xfId="1486" xr:uid="{00000000-0005-0000-0000-000027010000}"/>
    <cellStyle name="‡_STA-DRP_BOOK1_BoQ RUANG SERBAGUNArevMK280707" xfId="1487" xr:uid="{00000000-0005-0000-0000-000028010000}"/>
    <cellStyle name="‡_STA-DRP_BOOK1_BoQ-MEKANIKAL_2007 ~ xx" xfId="1488" xr:uid="{00000000-0005-0000-0000-000029010000}"/>
    <cellStyle name="‡_STA-DRP_BOOK1_BQ_ELEKTRIKAL_2008BK2" xfId="1489" xr:uid="{00000000-0005-0000-0000-00002A010000}"/>
    <cellStyle name="‡_STA-DRP_BOOK1_BQ_ELEKTRIKAL_2008BK2-qty mam" xfId="1490" xr:uid="{00000000-0005-0000-0000-00002B010000}"/>
    <cellStyle name="‡_STA-DRP_BOOK1_BQ_LAK_DEPKEU_201107_(OPT.1)" xfId="1491" xr:uid="{00000000-0005-0000-0000-00002C010000}"/>
    <cellStyle name="‡_STA-DRP_BOOK1_BQ_LAK_DEPKEU_201107_(OPT.1).xls (lks)" xfId="1492" xr:uid="{00000000-0005-0000-0000-00002D010000}"/>
    <cellStyle name="‡_STA-DRP_BOOK1_BQ_LAK_DEPKEU_201107_(OPT.2)" xfId="1493" xr:uid="{00000000-0005-0000-0000-00002E010000}"/>
    <cellStyle name="‡_STA-DRP_BOOK1_BQ_LAK_DEPKEU_30 Nov 2007 (OPT.2)" xfId="1494" xr:uid="{00000000-0005-0000-0000-00002F010000}"/>
    <cellStyle name="‡_STA-DRP_BOOK1_BQ+Hit. Lt 10, atap (Dago 27-06-2007 )" xfId="1495" xr:uid="{00000000-0005-0000-0000-000030010000}"/>
    <cellStyle name="‡_STA-DRP_BOOK1_BQ-RUANG SERBAGUNA 28_10_2007" xfId="1496" xr:uid="{00000000-0005-0000-0000-000031010000}"/>
    <cellStyle name="‡_STA-DRP_BOOK1_EE_MEKANIKAL_2007 ~ xx" xfId="1497" xr:uid="{00000000-0005-0000-0000-000032010000}"/>
    <cellStyle name="‡_STA-DRP_BOOK1_EE-RUANG SERBAGUNA ~ xxrevMK" xfId="1498" xr:uid="{00000000-0005-0000-0000-000033010000}"/>
    <cellStyle name="‡_STA-DRP_BOOK1_EE-RUANG SERBAGUNA ~ xxrevMK_AHS_MEKANIKAL" xfId="1499" xr:uid="{00000000-0005-0000-0000-000034010000}"/>
    <cellStyle name="‡_STA-DRP_BOOK1_Hit SKBDN" xfId="1500" xr:uid="{00000000-0005-0000-0000-000035010000}"/>
    <cellStyle name="‡_STA-DRP_BOOK1_Hit. Hotel Sutan Raja Minahasa (MYO)" xfId="1501" xr:uid="{00000000-0005-0000-0000-000036010000}"/>
    <cellStyle name="‡_STA-DRP_BOOK1_Hit. Lantai - 1" xfId="1502" xr:uid="{00000000-0005-0000-0000-000037010000}"/>
    <cellStyle name="‡_STA-DRP_BOOK1_RAB RUANG SERBAGUNA" xfId="1503" xr:uid="{00000000-0005-0000-0000-000038010000}"/>
    <cellStyle name="‡_STA-DRP_BOOK1_RAB RUANG SERBAGUNA_AHS_MEKANIKAL" xfId="1504" xr:uid="{00000000-0005-0000-0000-000039010000}"/>
    <cellStyle name="‡_STA-DRP_BOOK1_RAB___R(1)._SERBAGUNA_TW.2" xfId="1505" xr:uid="{00000000-0005-0000-0000-00003A010000}"/>
    <cellStyle name="‡_STA-DRP_BOOK1_RAB_DUCT_SRBGN_SETJEN_DEPKEU_020707" xfId="1506" xr:uid="{00000000-0005-0000-0000-00003B010000}"/>
    <cellStyle name="‡_STA-DRP_BOOK1_RAB_DUCT_SRBGN_SETJEN_DEPKEU_020707_AHS_MEKANIKAL" xfId="1507" xr:uid="{00000000-0005-0000-0000-00003C010000}"/>
    <cellStyle name="‡_STA-DRP_BOOK1_RAB_ELEKTRIKAL_2007" xfId="1508" xr:uid="{00000000-0005-0000-0000-00003D010000}"/>
    <cellStyle name="‡_STA-DRP_BOOK1_RAB_MEKANIKAL_2007" xfId="1509" xr:uid="{00000000-0005-0000-0000-00003E010000}"/>
    <cellStyle name="‡_STA-DRP_BOOK1_RAB_MEKANIKAL_2007_2" xfId="1510" xr:uid="{00000000-0005-0000-0000-00003F010000}"/>
    <cellStyle name="‡_STA-DRP_BOOK1_SKBDN Batam" xfId="1511" xr:uid="{00000000-0005-0000-0000-000040010000}"/>
    <cellStyle name="‡_STA-DRP_BOOK1_UIN (NEW)" xfId="1512" xr:uid="{00000000-0005-0000-0000-000041010000}"/>
    <cellStyle name="‡_STA-DRP_BOOK1_Vol. Bapelkes blok C ( Myo 07.12.07)" xfId="1513" xr:uid="{00000000-0005-0000-0000-000042010000}"/>
    <cellStyle name="‡_STA-DRP_BOOK1_Vol. Precast" xfId="1514" xr:uid="{00000000-0005-0000-0000-000043010000}"/>
    <cellStyle name="‡_STA-DRP_BQ+Hit. Lt 10, atap (Dago 27-06-2007 )" xfId="1515" xr:uid="{00000000-0005-0000-0000-000044010000}"/>
    <cellStyle name="‡_STA-DRP_H BAHAN&amp;UPAH" xfId="1516" xr:uid="{00000000-0005-0000-0000-000045010000}"/>
    <cellStyle name="‡_STA-DRP_Hit SKBDN" xfId="1517" xr:uid="{00000000-0005-0000-0000-000046010000}"/>
    <cellStyle name="‡_STA-DRP_Hit. Hotel Sutan Raja Minahasa (MYO)" xfId="1518" xr:uid="{00000000-0005-0000-0000-000047010000}"/>
    <cellStyle name="‡_STA-DRP_Hit. Hotel Sutan Raja Minahasa (MYO)_Analisa Bapelkes Full" xfId="1519" xr:uid="{00000000-0005-0000-0000-000048010000}"/>
    <cellStyle name="‡_STA-DRP_Hit. Hotel Sutan Raja Minahasa (MYO)_Analisa BMG" xfId="1520" xr:uid="{00000000-0005-0000-0000-000049010000}"/>
    <cellStyle name="‡_STA-DRP_Hit. Lantai - 1" xfId="1521" xr:uid="{00000000-0005-0000-0000-00004A010000}"/>
    <cellStyle name="‡_STA-DRP_HS_MEP" xfId="1522" xr:uid="{00000000-0005-0000-0000-00004B010000}"/>
    <cellStyle name="‡_STA-DRP_RAB___R(1)._SERBAGUNA_TW.2" xfId="1523" xr:uid="{00000000-0005-0000-0000-00004C010000}"/>
    <cellStyle name="‡_STA-DRP_SKBDN Batam" xfId="1524" xr:uid="{00000000-0005-0000-0000-00004D010000}"/>
    <cellStyle name="‡_STA-DRP_UIN (NEW)" xfId="1525" xr:uid="{00000000-0005-0000-0000-00004E010000}"/>
    <cellStyle name="‡_STA-DRP_UIN (NEW)_Analisa BMG" xfId="1526" xr:uid="{00000000-0005-0000-0000-00004F010000}"/>
    <cellStyle name="‡_STA-DRP_Vol. Bapelkes blok C ( Myo 07.12.07)" xfId="1527" xr:uid="{00000000-0005-0000-0000-000050010000}"/>
    <cellStyle name="‡_STA-DRP_Vol. Precast" xfId="1528" xr:uid="{00000000-0005-0000-0000-000051010000}"/>
    <cellStyle name="‡_UIN (NEW)" xfId="1529" xr:uid="{00000000-0005-0000-0000-000052010000}"/>
    <cellStyle name="‡_UIN (NEW)_Analisa BMG" xfId="1530" xr:uid="{00000000-0005-0000-0000-000053010000}"/>
    <cellStyle name="‡_Vol. Bapelkes blok C ( Myo 07.12.07)" xfId="1531" xr:uid="{00000000-0005-0000-0000-000054010000}"/>
    <cellStyle name="‡_Vol. Precast" xfId="1532" xr:uid="{00000000-0005-0000-0000-000055010000}"/>
    <cellStyle name="•W?_Approv.ppt" xfId="1533" xr:uid="{00000000-0005-0000-0000-000056010000}"/>
    <cellStyle name="•W€_App-orig" xfId="1534" xr:uid="{00000000-0005-0000-0000-000057010000}"/>
    <cellStyle name="•W_Approv.ppt" xfId="1535" xr:uid="{00000000-0005-0000-0000-000058010000}"/>
    <cellStyle name="" xfId="18" xr:uid="{00000000-0005-0000-0000-000059010000}"/>
    <cellStyle name="" xfId="19" xr:uid="{00000000-0005-0000-0000-00005A010000}"/>
    <cellStyle name="_0.Bidakara RAP" xfId="1536" xr:uid="{00000000-0005-0000-0000-00005B010000}"/>
    <cellStyle name="_0.Bidakara RAP" xfId="1537" xr:uid="{00000000-0005-0000-0000-00005C010000}"/>
    <cellStyle name="_0.Bidakara RAP_Analisa BMG" xfId="1538" xr:uid="{00000000-0005-0000-0000-00005D010000}"/>
    <cellStyle name="_0.Bidakara RAP_Analisa BMG" xfId="1539" xr:uid="{00000000-0005-0000-0000-00005E010000}"/>
    <cellStyle name="_AHS_MEKANIKAL" xfId="1540" xr:uid="{00000000-0005-0000-0000-00005F010000}"/>
    <cellStyle name="_AHS_MEKANIKAL" xfId="1541" xr:uid="{00000000-0005-0000-0000-000060010000}"/>
    <cellStyle name="_ALAT-BU-SPP-CIPUTARA-ok" xfId="1542" xr:uid="{00000000-0005-0000-0000-000061010000}"/>
    <cellStyle name="_ALAT-BU-SPP-CIPUTARA-ok" xfId="1543" xr:uid="{00000000-0005-0000-0000-000062010000}"/>
    <cellStyle name="_ALAT-SPP-BU-BPK" xfId="1544" xr:uid="{00000000-0005-0000-0000-000063010000}"/>
    <cellStyle name="_ALAT-SPP-BU-BPK" xfId="1545" xr:uid="{00000000-0005-0000-0000-000064010000}"/>
    <cellStyle name="_ALAT-SPP-BU-BPK_Analisa BMG" xfId="1546" xr:uid="{00000000-0005-0000-0000-000065010000}"/>
    <cellStyle name="_ALAT-SPP-BU-BPK_Analisa BMG" xfId="1547" xr:uid="{00000000-0005-0000-0000-000066010000}"/>
    <cellStyle name="_ANALISA BPK DG" xfId="1548" xr:uid="{00000000-0005-0000-0000-000067010000}"/>
    <cellStyle name="_ANALISA BPK DG" xfId="1549" xr:uid="{00000000-0005-0000-0000-000068010000}"/>
    <cellStyle name="_ANALISA BPK DG_Analisa Bapelkes Full" xfId="1550" xr:uid="{00000000-0005-0000-0000-000069010000}"/>
    <cellStyle name="_ANALISA BPK DG_Analisa Bapelkes Full" xfId="1551" xr:uid="{00000000-0005-0000-0000-00006A010000}"/>
    <cellStyle name="_ANALISA BPK DG_Analisa BMG" xfId="1552" xr:uid="{00000000-0005-0000-0000-00006B010000}"/>
    <cellStyle name="_ANALISA BPK DG_Analisa BMG" xfId="1553" xr:uid="{00000000-0005-0000-0000-00006C010000}"/>
    <cellStyle name="_ANALISA BPK DG_SKBDN Batam" xfId="1554" xr:uid="{00000000-0005-0000-0000-00006D010000}"/>
    <cellStyle name="_ANALISA BPK DG_SKBDN Batam" xfId="1555" xr:uid="{00000000-0005-0000-0000-00006E010000}"/>
    <cellStyle name="_ANALISA BPK DG_SKBDN Batam_Analisa BMG" xfId="1556" xr:uid="{00000000-0005-0000-0000-00006F010000}"/>
    <cellStyle name="_ANALISA BPK DG_SKBDN Batam_Analisa BMG" xfId="1557" xr:uid="{00000000-0005-0000-0000-000070010000}"/>
    <cellStyle name="_ANALISA RAB" xfId="1558" xr:uid="{00000000-0005-0000-0000-000071010000}"/>
    <cellStyle name="_ANALISA RAB" xfId="1559" xr:uid="{00000000-0005-0000-0000-000072010000}"/>
    <cellStyle name="_ANALISA RAB_SKBDN Batam" xfId="1560" xr:uid="{00000000-0005-0000-0000-000073010000}"/>
    <cellStyle name="_ANALISA RAB_SKBDN Batam" xfId="1561" xr:uid="{00000000-0005-0000-0000-000074010000}"/>
    <cellStyle name="_Bill of Quantity BPK 03082007" xfId="1562" xr:uid="{00000000-0005-0000-0000-000075010000}"/>
    <cellStyle name="_Bill of Quantity BPK 03082007" xfId="1563" xr:uid="{00000000-0005-0000-0000-000076010000}"/>
    <cellStyle name="_Bill of Quantity BPK 03082007_Analisa Bapelkes Full" xfId="1564" xr:uid="{00000000-0005-0000-0000-000077010000}"/>
    <cellStyle name="_Bill of Quantity BPK 03082007_Analisa Bapelkes Full" xfId="1565" xr:uid="{00000000-0005-0000-0000-000078010000}"/>
    <cellStyle name="_Bill of Quantity BPK 03082007_Analisa BMG" xfId="1566" xr:uid="{00000000-0005-0000-0000-000079010000}"/>
    <cellStyle name="_Bill of Quantity BPK 03082007_Analisa BMG" xfId="1567" xr:uid="{00000000-0005-0000-0000-00007A010000}"/>
    <cellStyle name="_BQ+Hit. Lt 10, atap (Dago 27-06-2007 )" xfId="1568" xr:uid="{00000000-0005-0000-0000-00007B010000}"/>
    <cellStyle name="_BQ+Hit. Lt 10, atap (Dago 27-06-2007 )" xfId="1569" xr:uid="{00000000-0005-0000-0000-00007C010000}"/>
    <cellStyle name="_Hit SKBDN" xfId="1570" xr:uid="{00000000-0005-0000-0000-00007D010000}"/>
    <cellStyle name="_Hit SKBDN" xfId="1571" xr:uid="{00000000-0005-0000-0000-00007E010000}"/>
    <cellStyle name="_Hit. Hotel Sutan Raja Minahasa (MYO)" xfId="1572" xr:uid="{00000000-0005-0000-0000-00007F010000}"/>
    <cellStyle name="_Hit. Hotel Sutan Raja Minahasa (MYO)" xfId="1573" xr:uid="{00000000-0005-0000-0000-000080010000}"/>
    <cellStyle name="_Hit. Hotel Sutan Raja Minahasa (MYO)_Analisa Bapelkes Full" xfId="1574" xr:uid="{00000000-0005-0000-0000-000081010000}"/>
    <cellStyle name="_Hit. Hotel Sutan Raja Minahasa (MYO)_Analisa Bapelkes Full" xfId="1575" xr:uid="{00000000-0005-0000-0000-000082010000}"/>
    <cellStyle name="_Hit. Hotel Sutan Raja Minahasa (MYO)_Analisa BMG" xfId="1576" xr:uid="{00000000-0005-0000-0000-000083010000}"/>
    <cellStyle name="_Hit. Hotel Sutan Raja Minahasa (MYO)_Analisa BMG" xfId="1577" xr:uid="{00000000-0005-0000-0000-000084010000}"/>
    <cellStyle name="_Hit. Lantai - 1" xfId="1578" xr:uid="{00000000-0005-0000-0000-000085010000}"/>
    <cellStyle name="_Hit. Lantai - 1" xfId="1579" xr:uid="{00000000-0005-0000-0000-000086010000}"/>
    <cellStyle name="_RAB Electonic01" xfId="20" xr:uid="{00000000-0005-0000-0000-000087010000}"/>
    <cellStyle name="_RAB Electonic01" xfId="21" xr:uid="{00000000-0005-0000-0000-000088010000}"/>
    <cellStyle name="_RAB___R(1)._SERBAGUNA_TW.2" xfId="1580" xr:uid="{00000000-0005-0000-0000-000089010000}"/>
    <cellStyle name="_RAB___R(1)._SERBAGUNA_TW.2" xfId="1581" xr:uid="{00000000-0005-0000-0000-00008A010000}"/>
    <cellStyle name="_SKBDN Batam" xfId="1582" xr:uid="{00000000-0005-0000-0000-00008B010000}"/>
    <cellStyle name="_SKBDN Batam" xfId="1583" xr:uid="{00000000-0005-0000-0000-00008C010000}"/>
    <cellStyle name="_UIN (NEW)" xfId="1584" xr:uid="{00000000-0005-0000-0000-00008D010000}"/>
    <cellStyle name="_UIN (NEW)" xfId="1585" xr:uid="{00000000-0005-0000-0000-00008E010000}"/>
    <cellStyle name="_UIN (NEW)_Analisa BMG" xfId="1586" xr:uid="{00000000-0005-0000-0000-00008F010000}"/>
    <cellStyle name="_UIN (NEW)_Analisa BMG" xfId="1587" xr:uid="{00000000-0005-0000-0000-000090010000}"/>
    <cellStyle name="_Vol. Bapelkes blok C ( Myo 07.12.07)" xfId="1588" xr:uid="{00000000-0005-0000-0000-000091010000}"/>
    <cellStyle name="_Vol. Bapelkes blok C ( Myo 07.12.07)" xfId="1589" xr:uid="{00000000-0005-0000-0000-000092010000}"/>
    <cellStyle name="_Vol. Precast" xfId="1590" xr:uid="{00000000-0005-0000-0000-000093010000}"/>
    <cellStyle name="_Vol. Precast" xfId="1591" xr:uid="{00000000-0005-0000-0000-000094010000}"/>
    <cellStyle name="0 Km" xfId="1592" xr:uid="{00000000-0005-0000-0000-000095010000}"/>
    <cellStyle name="0,0_x000d__x000a_NA_x000d__x000a_" xfId="22" xr:uid="{00000000-0005-0000-0000-000096010000}"/>
    <cellStyle name="¹éºÐÀ²_±âÅ¸" xfId="23" xr:uid="{00000000-0005-0000-0000-000097010000}"/>
    <cellStyle name="20% - Accent1 10" xfId="1593" xr:uid="{00000000-0005-0000-0000-000098010000}"/>
    <cellStyle name="20% - Accent1 11" xfId="1594" xr:uid="{00000000-0005-0000-0000-000099010000}"/>
    <cellStyle name="20% - Accent1 12" xfId="1595" xr:uid="{00000000-0005-0000-0000-00009A010000}"/>
    <cellStyle name="20% - Accent1 13" xfId="1596" xr:uid="{00000000-0005-0000-0000-00009B010000}"/>
    <cellStyle name="20% - Accent1 2" xfId="24" xr:uid="{00000000-0005-0000-0000-00009C010000}"/>
    <cellStyle name="20% - Accent1 3" xfId="1597" xr:uid="{00000000-0005-0000-0000-00009D010000}"/>
    <cellStyle name="20% - Accent1 4" xfId="1598" xr:uid="{00000000-0005-0000-0000-00009E010000}"/>
    <cellStyle name="20% - Accent1 5" xfId="1599" xr:uid="{00000000-0005-0000-0000-00009F010000}"/>
    <cellStyle name="20% - Accent1 6" xfId="1600" xr:uid="{00000000-0005-0000-0000-0000A0010000}"/>
    <cellStyle name="20% - Accent1 7" xfId="1601" xr:uid="{00000000-0005-0000-0000-0000A1010000}"/>
    <cellStyle name="20% - Accent1 8" xfId="1602" xr:uid="{00000000-0005-0000-0000-0000A2010000}"/>
    <cellStyle name="20% - Accent1 9" xfId="1603" xr:uid="{00000000-0005-0000-0000-0000A3010000}"/>
    <cellStyle name="20% - Accent2 10" xfId="1604" xr:uid="{00000000-0005-0000-0000-0000A4010000}"/>
    <cellStyle name="20% - Accent2 11" xfId="1605" xr:uid="{00000000-0005-0000-0000-0000A5010000}"/>
    <cellStyle name="20% - Accent2 12" xfId="1606" xr:uid="{00000000-0005-0000-0000-0000A6010000}"/>
    <cellStyle name="20% - Accent2 13" xfId="1607" xr:uid="{00000000-0005-0000-0000-0000A7010000}"/>
    <cellStyle name="20% - Accent2 2" xfId="25" xr:uid="{00000000-0005-0000-0000-0000A8010000}"/>
    <cellStyle name="20% - Accent2 3" xfId="1608" xr:uid="{00000000-0005-0000-0000-0000A9010000}"/>
    <cellStyle name="20% - Accent2 4" xfId="1609" xr:uid="{00000000-0005-0000-0000-0000AA010000}"/>
    <cellStyle name="20% - Accent2 5" xfId="1610" xr:uid="{00000000-0005-0000-0000-0000AB010000}"/>
    <cellStyle name="20% - Accent2 6" xfId="1611" xr:uid="{00000000-0005-0000-0000-0000AC010000}"/>
    <cellStyle name="20% - Accent2 7" xfId="1612" xr:uid="{00000000-0005-0000-0000-0000AD010000}"/>
    <cellStyle name="20% - Accent2 8" xfId="1613" xr:uid="{00000000-0005-0000-0000-0000AE010000}"/>
    <cellStyle name="20% - Accent2 9" xfId="1614" xr:uid="{00000000-0005-0000-0000-0000AF010000}"/>
    <cellStyle name="20% - Accent3 10" xfId="1615" xr:uid="{00000000-0005-0000-0000-0000B0010000}"/>
    <cellStyle name="20% - Accent3 11" xfId="1616" xr:uid="{00000000-0005-0000-0000-0000B1010000}"/>
    <cellStyle name="20% - Accent3 12" xfId="1617" xr:uid="{00000000-0005-0000-0000-0000B2010000}"/>
    <cellStyle name="20% - Accent3 13" xfId="1618" xr:uid="{00000000-0005-0000-0000-0000B3010000}"/>
    <cellStyle name="20% - Accent3 2" xfId="26" xr:uid="{00000000-0005-0000-0000-0000B4010000}"/>
    <cellStyle name="20% - Accent3 3" xfId="1619" xr:uid="{00000000-0005-0000-0000-0000B5010000}"/>
    <cellStyle name="20% - Accent3 4" xfId="1620" xr:uid="{00000000-0005-0000-0000-0000B6010000}"/>
    <cellStyle name="20% - Accent3 5" xfId="1621" xr:uid="{00000000-0005-0000-0000-0000B7010000}"/>
    <cellStyle name="20% - Accent3 6" xfId="1622" xr:uid="{00000000-0005-0000-0000-0000B8010000}"/>
    <cellStyle name="20% - Accent3 7" xfId="1623" xr:uid="{00000000-0005-0000-0000-0000B9010000}"/>
    <cellStyle name="20% - Accent3 8" xfId="1624" xr:uid="{00000000-0005-0000-0000-0000BA010000}"/>
    <cellStyle name="20% - Accent3 9" xfId="1625" xr:uid="{00000000-0005-0000-0000-0000BB010000}"/>
    <cellStyle name="20% - Accent4 10" xfId="1626" xr:uid="{00000000-0005-0000-0000-0000BC010000}"/>
    <cellStyle name="20% - Accent4 11" xfId="1627" xr:uid="{00000000-0005-0000-0000-0000BD010000}"/>
    <cellStyle name="20% - Accent4 12" xfId="1628" xr:uid="{00000000-0005-0000-0000-0000BE010000}"/>
    <cellStyle name="20% - Accent4 13" xfId="1629" xr:uid="{00000000-0005-0000-0000-0000BF010000}"/>
    <cellStyle name="20% - Accent4 2" xfId="27" xr:uid="{00000000-0005-0000-0000-0000C0010000}"/>
    <cellStyle name="20% - Accent4 3" xfId="1630" xr:uid="{00000000-0005-0000-0000-0000C1010000}"/>
    <cellStyle name="20% - Accent4 4" xfId="1631" xr:uid="{00000000-0005-0000-0000-0000C2010000}"/>
    <cellStyle name="20% - Accent4 5" xfId="1632" xr:uid="{00000000-0005-0000-0000-0000C3010000}"/>
    <cellStyle name="20% - Accent4 6" xfId="1633" xr:uid="{00000000-0005-0000-0000-0000C4010000}"/>
    <cellStyle name="20% - Accent4 7" xfId="1634" xr:uid="{00000000-0005-0000-0000-0000C5010000}"/>
    <cellStyle name="20% - Accent4 8" xfId="1635" xr:uid="{00000000-0005-0000-0000-0000C6010000}"/>
    <cellStyle name="20% - Accent4 9" xfId="1636" xr:uid="{00000000-0005-0000-0000-0000C7010000}"/>
    <cellStyle name="20% - Accent5 10" xfId="1637" xr:uid="{00000000-0005-0000-0000-0000C8010000}"/>
    <cellStyle name="20% - Accent5 11" xfId="1638" xr:uid="{00000000-0005-0000-0000-0000C9010000}"/>
    <cellStyle name="20% - Accent5 12" xfId="1639" xr:uid="{00000000-0005-0000-0000-0000CA010000}"/>
    <cellStyle name="20% - Accent5 13" xfId="1640" xr:uid="{00000000-0005-0000-0000-0000CB010000}"/>
    <cellStyle name="20% - Accent5 2" xfId="28" xr:uid="{00000000-0005-0000-0000-0000CC010000}"/>
    <cellStyle name="20% - Accent5 3" xfId="1641" xr:uid="{00000000-0005-0000-0000-0000CD010000}"/>
    <cellStyle name="20% - Accent5 4" xfId="1642" xr:uid="{00000000-0005-0000-0000-0000CE010000}"/>
    <cellStyle name="20% - Accent5 5" xfId="1643" xr:uid="{00000000-0005-0000-0000-0000CF010000}"/>
    <cellStyle name="20% - Accent5 6" xfId="1644" xr:uid="{00000000-0005-0000-0000-0000D0010000}"/>
    <cellStyle name="20% - Accent5 7" xfId="1645" xr:uid="{00000000-0005-0000-0000-0000D1010000}"/>
    <cellStyle name="20% - Accent5 8" xfId="1646" xr:uid="{00000000-0005-0000-0000-0000D2010000}"/>
    <cellStyle name="20% - Accent5 9" xfId="1647" xr:uid="{00000000-0005-0000-0000-0000D3010000}"/>
    <cellStyle name="20% - Accent6 10" xfId="1648" xr:uid="{00000000-0005-0000-0000-0000D4010000}"/>
    <cellStyle name="20% - Accent6 11" xfId="1649" xr:uid="{00000000-0005-0000-0000-0000D5010000}"/>
    <cellStyle name="20% - Accent6 12" xfId="1650" xr:uid="{00000000-0005-0000-0000-0000D6010000}"/>
    <cellStyle name="20% - Accent6 13" xfId="1651" xr:uid="{00000000-0005-0000-0000-0000D7010000}"/>
    <cellStyle name="20% - Accent6 2" xfId="29" xr:uid="{00000000-0005-0000-0000-0000D8010000}"/>
    <cellStyle name="20% - Accent6 3" xfId="1652" xr:uid="{00000000-0005-0000-0000-0000D9010000}"/>
    <cellStyle name="20% - Accent6 4" xfId="1653" xr:uid="{00000000-0005-0000-0000-0000DA010000}"/>
    <cellStyle name="20% - Accent6 5" xfId="1654" xr:uid="{00000000-0005-0000-0000-0000DB010000}"/>
    <cellStyle name="20% - Accent6 6" xfId="1655" xr:uid="{00000000-0005-0000-0000-0000DC010000}"/>
    <cellStyle name="20% - Accent6 7" xfId="1656" xr:uid="{00000000-0005-0000-0000-0000DD010000}"/>
    <cellStyle name="20% - Accent6 8" xfId="1657" xr:uid="{00000000-0005-0000-0000-0000DE010000}"/>
    <cellStyle name="20% - Accent6 9" xfId="1658" xr:uid="{00000000-0005-0000-0000-0000DF010000}"/>
    <cellStyle name="20% - Aksen1" xfId="30" xr:uid="{00000000-0005-0000-0000-0000E0010000}"/>
    <cellStyle name="20% - Aksen2" xfId="31" xr:uid="{00000000-0005-0000-0000-0000E1010000}"/>
    <cellStyle name="20% - Aksen3" xfId="32" xr:uid="{00000000-0005-0000-0000-0000E2010000}"/>
    <cellStyle name="20% - Aksen4" xfId="33" xr:uid="{00000000-0005-0000-0000-0000E3010000}"/>
    <cellStyle name="20% - Aksen5" xfId="34" xr:uid="{00000000-0005-0000-0000-0000E4010000}"/>
    <cellStyle name="20% - Aksen6" xfId="35" xr:uid="{00000000-0005-0000-0000-0000E5010000}"/>
    <cellStyle name="40% - Accent1 10" xfId="1659" xr:uid="{00000000-0005-0000-0000-0000E6010000}"/>
    <cellStyle name="40% - Accent1 11" xfId="1660" xr:uid="{00000000-0005-0000-0000-0000E7010000}"/>
    <cellStyle name="40% - Accent1 12" xfId="1661" xr:uid="{00000000-0005-0000-0000-0000E8010000}"/>
    <cellStyle name="40% - Accent1 13" xfId="1662" xr:uid="{00000000-0005-0000-0000-0000E9010000}"/>
    <cellStyle name="40% - Accent1 2" xfId="36" xr:uid="{00000000-0005-0000-0000-0000EA010000}"/>
    <cellStyle name="40% - Accent1 3" xfId="1663" xr:uid="{00000000-0005-0000-0000-0000EB010000}"/>
    <cellStyle name="40% - Accent1 4" xfId="1664" xr:uid="{00000000-0005-0000-0000-0000EC010000}"/>
    <cellStyle name="40% - Accent1 5" xfId="1665" xr:uid="{00000000-0005-0000-0000-0000ED010000}"/>
    <cellStyle name="40% - Accent1 6" xfId="1666" xr:uid="{00000000-0005-0000-0000-0000EE010000}"/>
    <cellStyle name="40% - Accent1 7" xfId="1667" xr:uid="{00000000-0005-0000-0000-0000EF010000}"/>
    <cellStyle name="40% - Accent1 8" xfId="1668" xr:uid="{00000000-0005-0000-0000-0000F0010000}"/>
    <cellStyle name="40% - Accent1 9" xfId="1669" xr:uid="{00000000-0005-0000-0000-0000F1010000}"/>
    <cellStyle name="40% - Accent2 10" xfId="1670" xr:uid="{00000000-0005-0000-0000-0000F2010000}"/>
    <cellStyle name="40% - Accent2 11" xfId="1671" xr:uid="{00000000-0005-0000-0000-0000F3010000}"/>
    <cellStyle name="40% - Accent2 12" xfId="1672" xr:uid="{00000000-0005-0000-0000-0000F4010000}"/>
    <cellStyle name="40% - Accent2 13" xfId="1673" xr:uid="{00000000-0005-0000-0000-0000F5010000}"/>
    <cellStyle name="40% - Accent2 2" xfId="37" xr:uid="{00000000-0005-0000-0000-0000F6010000}"/>
    <cellStyle name="40% - Accent2 3" xfId="1674" xr:uid="{00000000-0005-0000-0000-0000F7010000}"/>
    <cellStyle name="40% - Accent2 4" xfId="1675" xr:uid="{00000000-0005-0000-0000-0000F8010000}"/>
    <cellStyle name="40% - Accent2 5" xfId="1676" xr:uid="{00000000-0005-0000-0000-0000F9010000}"/>
    <cellStyle name="40% - Accent2 6" xfId="1677" xr:uid="{00000000-0005-0000-0000-0000FA010000}"/>
    <cellStyle name="40% - Accent2 7" xfId="1678" xr:uid="{00000000-0005-0000-0000-0000FB010000}"/>
    <cellStyle name="40% - Accent2 8" xfId="1679" xr:uid="{00000000-0005-0000-0000-0000FC010000}"/>
    <cellStyle name="40% - Accent2 9" xfId="1680" xr:uid="{00000000-0005-0000-0000-0000FD010000}"/>
    <cellStyle name="40% - Accent3 10" xfId="1681" xr:uid="{00000000-0005-0000-0000-0000FE010000}"/>
    <cellStyle name="40% - Accent3 11" xfId="1682" xr:uid="{00000000-0005-0000-0000-0000FF010000}"/>
    <cellStyle name="40% - Accent3 12" xfId="1683" xr:uid="{00000000-0005-0000-0000-000000020000}"/>
    <cellStyle name="40% - Accent3 13" xfId="1684" xr:uid="{00000000-0005-0000-0000-000001020000}"/>
    <cellStyle name="40% - Accent3 2" xfId="38" xr:uid="{00000000-0005-0000-0000-000002020000}"/>
    <cellStyle name="40% - Accent3 3" xfId="1685" xr:uid="{00000000-0005-0000-0000-000003020000}"/>
    <cellStyle name="40% - Accent3 4" xfId="1686" xr:uid="{00000000-0005-0000-0000-000004020000}"/>
    <cellStyle name="40% - Accent3 5" xfId="1687" xr:uid="{00000000-0005-0000-0000-000005020000}"/>
    <cellStyle name="40% - Accent3 6" xfId="1688" xr:uid="{00000000-0005-0000-0000-000006020000}"/>
    <cellStyle name="40% - Accent3 7" xfId="1689" xr:uid="{00000000-0005-0000-0000-000007020000}"/>
    <cellStyle name="40% - Accent3 8" xfId="1690" xr:uid="{00000000-0005-0000-0000-000008020000}"/>
    <cellStyle name="40% - Accent3 9" xfId="1691" xr:uid="{00000000-0005-0000-0000-000009020000}"/>
    <cellStyle name="40% - Accent4 10" xfId="1692" xr:uid="{00000000-0005-0000-0000-00000A020000}"/>
    <cellStyle name="40% - Accent4 11" xfId="1693" xr:uid="{00000000-0005-0000-0000-00000B020000}"/>
    <cellStyle name="40% - Accent4 12" xfId="1694" xr:uid="{00000000-0005-0000-0000-00000C020000}"/>
    <cellStyle name="40% - Accent4 13" xfId="1695" xr:uid="{00000000-0005-0000-0000-00000D020000}"/>
    <cellStyle name="40% - Accent4 2" xfId="39" xr:uid="{00000000-0005-0000-0000-00000E020000}"/>
    <cellStyle name="40% - Accent4 3" xfId="1696" xr:uid="{00000000-0005-0000-0000-00000F020000}"/>
    <cellStyle name="40% - Accent4 4" xfId="1697" xr:uid="{00000000-0005-0000-0000-000010020000}"/>
    <cellStyle name="40% - Accent4 5" xfId="1698" xr:uid="{00000000-0005-0000-0000-000011020000}"/>
    <cellStyle name="40% - Accent4 6" xfId="1699" xr:uid="{00000000-0005-0000-0000-000012020000}"/>
    <cellStyle name="40% - Accent4 7" xfId="1700" xr:uid="{00000000-0005-0000-0000-000013020000}"/>
    <cellStyle name="40% - Accent4 8" xfId="1701" xr:uid="{00000000-0005-0000-0000-000014020000}"/>
    <cellStyle name="40% - Accent4 9" xfId="1702" xr:uid="{00000000-0005-0000-0000-000015020000}"/>
    <cellStyle name="40% - Accent5 10" xfId="1703" xr:uid="{00000000-0005-0000-0000-000016020000}"/>
    <cellStyle name="40% - Accent5 11" xfId="1704" xr:uid="{00000000-0005-0000-0000-000017020000}"/>
    <cellStyle name="40% - Accent5 12" xfId="1705" xr:uid="{00000000-0005-0000-0000-000018020000}"/>
    <cellStyle name="40% - Accent5 13" xfId="1706" xr:uid="{00000000-0005-0000-0000-000019020000}"/>
    <cellStyle name="40% - Accent5 2" xfId="40" xr:uid="{00000000-0005-0000-0000-00001A020000}"/>
    <cellStyle name="40% - Accent5 3" xfId="1707" xr:uid="{00000000-0005-0000-0000-00001B020000}"/>
    <cellStyle name="40% - Accent5 4" xfId="1708" xr:uid="{00000000-0005-0000-0000-00001C020000}"/>
    <cellStyle name="40% - Accent5 5" xfId="1709" xr:uid="{00000000-0005-0000-0000-00001D020000}"/>
    <cellStyle name="40% - Accent5 6" xfId="1710" xr:uid="{00000000-0005-0000-0000-00001E020000}"/>
    <cellStyle name="40% - Accent5 7" xfId="1711" xr:uid="{00000000-0005-0000-0000-00001F020000}"/>
    <cellStyle name="40% - Accent5 8" xfId="1712" xr:uid="{00000000-0005-0000-0000-000020020000}"/>
    <cellStyle name="40% - Accent5 9" xfId="1713" xr:uid="{00000000-0005-0000-0000-000021020000}"/>
    <cellStyle name="40% - Accent6 10" xfId="1714" xr:uid="{00000000-0005-0000-0000-000022020000}"/>
    <cellStyle name="40% - Accent6 11" xfId="1715" xr:uid="{00000000-0005-0000-0000-000023020000}"/>
    <cellStyle name="40% - Accent6 12" xfId="1716" xr:uid="{00000000-0005-0000-0000-000024020000}"/>
    <cellStyle name="40% - Accent6 13" xfId="1717" xr:uid="{00000000-0005-0000-0000-000025020000}"/>
    <cellStyle name="40% - Accent6 2" xfId="41" xr:uid="{00000000-0005-0000-0000-000026020000}"/>
    <cellStyle name="40% - Accent6 3" xfId="1718" xr:uid="{00000000-0005-0000-0000-000027020000}"/>
    <cellStyle name="40% - Accent6 4" xfId="1719" xr:uid="{00000000-0005-0000-0000-000028020000}"/>
    <cellStyle name="40% - Accent6 5" xfId="1720" xr:uid="{00000000-0005-0000-0000-000029020000}"/>
    <cellStyle name="40% - Accent6 6" xfId="1721" xr:uid="{00000000-0005-0000-0000-00002A020000}"/>
    <cellStyle name="40% - Accent6 7" xfId="1722" xr:uid="{00000000-0005-0000-0000-00002B020000}"/>
    <cellStyle name="40% - Accent6 8" xfId="1723" xr:uid="{00000000-0005-0000-0000-00002C020000}"/>
    <cellStyle name="40% - Accent6 9" xfId="1724" xr:uid="{00000000-0005-0000-0000-00002D020000}"/>
    <cellStyle name="40% - Aksen1" xfId="42" xr:uid="{00000000-0005-0000-0000-00002E020000}"/>
    <cellStyle name="40% - Aksen2" xfId="43" xr:uid="{00000000-0005-0000-0000-00002F020000}"/>
    <cellStyle name="40% - Aksen3" xfId="44" xr:uid="{00000000-0005-0000-0000-000030020000}"/>
    <cellStyle name="40% - Aksen4" xfId="45" xr:uid="{00000000-0005-0000-0000-000031020000}"/>
    <cellStyle name="40% - Aksen5" xfId="46" xr:uid="{00000000-0005-0000-0000-000032020000}"/>
    <cellStyle name="40% - Aksen6" xfId="47" xr:uid="{00000000-0005-0000-0000-000033020000}"/>
    <cellStyle name="60% - Accent1 10" xfId="1725" xr:uid="{00000000-0005-0000-0000-000034020000}"/>
    <cellStyle name="60% - Accent1 11" xfId="1726" xr:uid="{00000000-0005-0000-0000-000035020000}"/>
    <cellStyle name="60% - Accent1 12" xfId="1727" xr:uid="{00000000-0005-0000-0000-000036020000}"/>
    <cellStyle name="60% - Accent1 13" xfId="1728" xr:uid="{00000000-0005-0000-0000-000037020000}"/>
    <cellStyle name="60% - Accent1 2" xfId="48" xr:uid="{00000000-0005-0000-0000-000038020000}"/>
    <cellStyle name="60% - Accent1 2 2" xfId="1729" xr:uid="{00000000-0005-0000-0000-000039020000}"/>
    <cellStyle name="60% - Accent1 3" xfId="1730" xr:uid="{00000000-0005-0000-0000-00003A020000}"/>
    <cellStyle name="60% - Accent1 4" xfId="1731" xr:uid="{00000000-0005-0000-0000-00003B020000}"/>
    <cellStyle name="60% - Accent1 5" xfId="1732" xr:uid="{00000000-0005-0000-0000-00003C020000}"/>
    <cellStyle name="60% - Accent1 6" xfId="1733" xr:uid="{00000000-0005-0000-0000-00003D020000}"/>
    <cellStyle name="60% - Accent1 7" xfId="1734" xr:uid="{00000000-0005-0000-0000-00003E020000}"/>
    <cellStyle name="60% - Accent1 8" xfId="1735" xr:uid="{00000000-0005-0000-0000-00003F020000}"/>
    <cellStyle name="60% - Accent1 9" xfId="1736" xr:uid="{00000000-0005-0000-0000-000040020000}"/>
    <cellStyle name="60% - Accent2 10" xfId="1737" xr:uid="{00000000-0005-0000-0000-000041020000}"/>
    <cellStyle name="60% - Accent2 11" xfId="1738" xr:uid="{00000000-0005-0000-0000-000042020000}"/>
    <cellStyle name="60% - Accent2 12" xfId="1739" xr:uid="{00000000-0005-0000-0000-000043020000}"/>
    <cellStyle name="60% - Accent2 13" xfId="1740" xr:uid="{00000000-0005-0000-0000-000044020000}"/>
    <cellStyle name="60% - Accent2 2" xfId="49" xr:uid="{00000000-0005-0000-0000-000045020000}"/>
    <cellStyle name="60% - Accent2 3" xfId="1741" xr:uid="{00000000-0005-0000-0000-000046020000}"/>
    <cellStyle name="60% - Accent2 4" xfId="1742" xr:uid="{00000000-0005-0000-0000-000047020000}"/>
    <cellStyle name="60% - Accent2 5" xfId="1743" xr:uid="{00000000-0005-0000-0000-000048020000}"/>
    <cellStyle name="60% - Accent2 6" xfId="1744" xr:uid="{00000000-0005-0000-0000-000049020000}"/>
    <cellStyle name="60% - Accent2 7" xfId="1745" xr:uid="{00000000-0005-0000-0000-00004A020000}"/>
    <cellStyle name="60% - Accent2 8" xfId="1746" xr:uid="{00000000-0005-0000-0000-00004B020000}"/>
    <cellStyle name="60% - Accent2 9" xfId="1747" xr:uid="{00000000-0005-0000-0000-00004C020000}"/>
    <cellStyle name="60% - Accent3 10" xfId="1748" xr:uid="{00000000-0005-0000-0000-00004D020000}"/>
    <cellStyle name="60% - Accent3 11" xfId="1749" xr:uid="{00000000-0005-0000-0000-00004E020000}"/>
    <cellStyle name="60% - Accent3 12" xfId="1750" xr:uid="{00000000-0005-0000-0000-00004F020000}"/>
    <cellStyle name="60% - Accent3 13" xfId="1751" xr:uid="{00000000-0005-0000-0000-000050020000}"/>
    <cellStyle name="60% - Accent3 2" xfId="50" xr:uid="{00000000-0005-0000-0000-000051020000}"/>
    <cellStyle name="60% - Accent3 3" xfId="1752" xr:uid="{00000000-0005-0000-0000-000052020000}"/>
    <cellStyle name="60% - Accent3 4" xfId="1753" xr:uid="{00000000-0005-0000-0000-000053020000}"/>
    <cellStyle name="60% - Accent3 5" xfId="1754" xr:uid="{00000000-0005-0000-0000-000054020000}"/>
    <cellStyle name="60% - Accent3 6" xfId="1755" xr:uid="{00000000-0005-0000-0000-000055020000}"/>
    <cellStyle name="60% - Accent3 7" xfId="1756" xr:uid="{00000000-0005-0000-0000-000056020000}"/>
    <cellStyle name="60% - Accent3 8" xfId="1757" xr:uid="{00000000-0005-0000-0000-000057020000}"/>
    <cellStyle name="60% - Accent3 9" xfId="1758" xr:uid="{00000000-0005-0000-0000-000058020000}"/>
    <cellStyle name="60% - Accent4 10" xfId="1759" xr:uid="{00000000-0005-0000-0000-000059020000}"/>
    <cellStyle name="60% - Accent4 11" xfId="1760" xr:uid="{00000000-0005-0000-0000-00005A020000}"/>
    <cellStyle name="60% - Accent4 12" xfId="1761" xr:uid="{00000000-0005-0000-0000-00005B020000}"/>
    <cellStyle name="60% - Accent4 13" xfId="1762" xr:uid="{00000000-0005-0000-0000-00005C020000}"/>
    <cellStyle name="60% - Accent4 2" xfId="51" xr:uid="{00000000-0005-0000-0000-00005D020000}"/>
    <cellStyle name="60% - Accent4 3" xfId="1763" xr:uid="{00000000-0005-0000-0000-00005E020000}"/>
    <cellStyle name="60% - Accent4 4" xfId="1764" xr:uid="{00000000-0005-0000-0000-00005F020000}"/>
    <cellStyle name="60% - Accent4 5" xfId="1765" xr:uid="{00000000-0005-0000-0000-000060020000}"/>
    <cellStyle name="60% - Accent4 6" xfId="1766" xr:uid="{00000000-0005-0000-0000-000061020000}"/>
    <cellStyle name="60% - Accent4 7" xfId="1767" xr:uid="{00000000-0005-0000-0000-000062020000}"/>
    <cellStyle name="60% - Accent4 8" xfId="1768" xr:uid="{00000000-0005-0000-0000-000063020000}"/>
    <cellStyle name="60% - Accent4 9" xfId="1769" xr:uid="{00000000-0005-0000-0000-000064020000}"/>
    <cellStyle name="60% - Accent5 10" xfId="1770" xr:uid="{00000000-0005-0000-0000-000065020000}"/>
    <cellStyle name="60% - Accent5 11" xfId="1771" xr:uid="{00000000-0005-0000-0000-000066020000}"/>
    <cellStyle name="60% - Accent5 12" xfId="1772" xr:uid="{00000000-0005-0000-0000-000067020000}"/>
    <cellStyle name="60% - Accent5 13" xfId="1773" xr:uid="{00000000-0005-0000-0000-000068020000}"/>
    <cellStyle name="60% - Accent5 2" xfId="52" xr:uid="{00000000-0005-0000-0000-000069020000}"/>
    <cellStyle name="60% - Accent5 2 2" xfId="1774" xr:uid="{00000000-0005-0000-0000-00006A020000}"/>
    <cellStyle name="60% - Accent5 3" xfId="1775" xr:uid="{00000000-0005-0000-0000-00006B020000}"/>
    <cellStyle name="60% - Accent5 4" xfId="1776" xr:uid="{00000000-0005-0000-0000-00006C020000}"/>
    <cellStyle name="60% - Accent5 5" xfId="1777" xr:uid="{00000000-0005-0000-0000-00006D020000}"/>
    <cellStyle name="60% - Accent5 6" xfId="1778" xr:uid="{00000000-0005-0000-0000-00006E020000}"/>
    <cellStyle name="60% - Accent5 7" xfId="1779" xr:uid="{00000000-0005-0000-0000-00006F020000}"/>
    <cellStyle name="60% - Accent5 8" xfId="1780" xr:uid="{00000000-0005-0000-0000-000070020000}"/>
    <cellStyle name="60% - Accent5 9" xfId="1781" xr:uid="{00000000-0005-0000-0000-000071020000}"/>
    <cellStyle name="60% - Accent6 10" xfId="1782" xr:uid="{00000000-0005-0000-0000-000072020000}"/>
    <cellStyle name="60% - Accent6 11" xfId="1783" xr:uid="{00000000-0005-0000-0000-000073020000}"/>
    <cellStyle name="60% - Accent6 12" xfId="1784" xr:uid="{00000000-0005-0000-0000-000074020000}"/>
    <cellStyle name="60% - Accent6 13" xfId="1785" xr:uid="{00000000-0005-0000-0000-000075020000}"/>
    <cellStyle name="60% - Accent6 2" xfId="53" xr:uid="{00000000-0005-0000-0000-000076020000}"/>
    <cellStyle name="60% - Accent6 3" xfId="1786" xr:uid="{00000000-0005-0000-0000-000077020000}"/>
    <cellStyle name="60% - Accent6 4" xfId="1787" xr:uid="{00000000-0005-0000-0000-000078020000}"/>
    <cellStyle name="60% - Accent6 5" xfId="1788" xr:uid="{00000000-0005-0000-0000-000079020000}"/>
    <cellStyle name="60% - Accent6 6" xfId="1789" xr:uid="{00000000-0005-0000-0000-00007A020000}"/>
    <cellStyle name="60% - Accent6 7" xfId="1790" xr:uid="{00000000-0005-0000-0000-00007B020000}"/>
    <cellStyle name="60% - Accent6 8" xfId="1791" xr:uid="{00000000-0005-0000-0000-00007C020000}"/>
    <cellStyle name="60% - Accent6 9" xfId="1792" xr:uid="{00000000-0005-0000-0000-00007D020000}"/>
    <cellStyle name="60% - Aksen1" xfId="54" xr:uid="{00000000-0005-0000-0000-00007E020000}"/>
    <cellStyle name="60% - Aksen2" xfId="55" xr:uid="{00000000-0005-0000-0000-00007F020000}"/>
    <cellStyle name="60% - Aksen3" xfId="56" xr:uid="{00000000-0005-0000-0000-000080020000}"/>
    <cellStyle name="60% - Aksen4" xfId="57" xr:uid="{00000000-0005-0000-0000-000081020000}"/>
    <cellStyle name="60% - Aksen5" xfId="58" xr:uid="{00000000-0005-0000-0000-000082020000}"/>
    <cellStyle name="60% - Aksen6" xfId="59" xr:uid="{00000000-0005-0000-0000-000083020000}"/>
    <cellStyle name="a" xfId="60" xr:uid="{00000000-0005-0000-0000-000084020000}"/>
    <cellStyle name="a 2" xfId="61" xr:uid="{00000000-0005-0000-0000-000085020000}"/>
    <cellStyle name="a 3" xfId="62" xr:uid="{00000000-0005-0000-0000-000086020000}"/>
    <cellStyle name="a 4" xfId="63" xr:uid="{00000000-0005-0000-0000-000087020000}"/>
    <cellStyle name="a 5" xfId="64" xr:uid="{00000000-0005-0000-0000-000088020000}"/>
    <cellStyle name="a 6" xfId="65" xr:uid="{00000000-0005-0000-0000-000089020000}"/>
    <cellStyle name="a_2 - RAB-PAJAK MEDAN - 2009 (ME) - r2 -PP" xfId="66" xr:uid="{00000000-0005-0000-0000-00008A020000}"/>
    <cellStyle name="a_AC" xfId="1793" xr:uid="{00000000-0005-0000-0000-00008B020000}"/>
    <cellStyle name="a_Analisa ARSITEK" xfId="1794" xr:uid="{00000000-0005-0000-0000-00008C020000}"/>
    <cellStyle name="a_Analisa_RAPK_SAMPOERNA" xfId="67" xr:uid="{00000000-0005-0000-0000-00008D020000}"/>
    <cellStyle name="a_Backup of JGC Cilandak-EE WD R1" xfId="1795" xr:uid="{00000000-0005-0000-0000-00008E020000}"/>
    <cellStyle name="a_Boq" xfId="1796" xr:uid="{00000000-0005-0000-0000-00008F020000}"/>
    <cellStyle name="a_BTL_komering_ICB-01rev130907" xfId="1797" xr:uid="{00000000-0005-0000-0000-000090020000}"/>
    <cellStyle name="a_BTL_Salemba_18_nop 2005  basement for prelim (version 2)" xfId="68" xr:uid="{00000000-0005-0000-0000-000091020000}"/>
    <cellStyle name="a_EE ARSITEKTUR" xfId="1798" xr:uid="{00000000-0005-0000-0000-000092020000}"/>
    <cellStyle name="a_EE ARSITEKTUR REV JUN xls" xfId="1799" xr:uid="{00000000-0005-0000-0000-000093020000}"/>
    <cellStyle name="a_EE PARIPURNA DPRD SUMUTREV" xfId="1800" xr:uid="{00000000-0005-0000-0000-000094020000}"/>
    <cellStyle name="a_EE STRUKTUR" xfId="1801" xr:uid="{00000000-0005-0000-0000-000095020000}"/>
    <cellStyle name="a_EE-SARANA PENUNJANG" xfId="1802" xr:uid="{00000000-0005-0000-0000-000096020000}"/>
    <cellStyle name="a_FINALISASI MARUDA" xfId="69" xr:uid="{00000000-0005-0000-0000-000097020000}"/>
    <cellStyle name="a_H.BAHAN ME" xfId="1803" xr:uid="{00000000-0005-0000-0000-000098020000}"/>
    <cellStyle name="a_INDOSAT BANDUNG-EE TAHAP 1" xfId="1804" xr:uid="{00000000-0005-0000-0000-000099020000}"/>
    <cellStyle name="a_JGC Cilandak- RAB WD R-1" xfId="1805" xr:uid="{00000000-0005-0000-0000-00009A020000}"/>
    <cellStyle name="a_JGC Cilandak- RAB WD R-2" xfId="1806" xr:uid="{00000000-0005-0000-0000-00009B020000}"/>
    <cellStyle name="a_JGC Cilandak- RAB WD R-3" xfId="1807" xr:uid="{00000000-0005-0000-0000-00009C020000}"/>
    <cellStyle name="a_LAPIRAN KLARIFIKASI" xfId="1808" xr:uid="{00000000-0005-0000-0000-00009D020000}"/>
    <cellStyle name="a_Lintas  Bandung - EE" xfId="1809" xr:uid="{00000000-0005-0000-0000-00009E020000}"/>
    <cellStyle name="a_Lintasarta fin" xfId="1810" xr:uid="{00000000-0005-0000-0000-00009F020000}"/>
    <cellStyle name="a_ME EE WD REV" xfId="1811" xr:uid="{00000000-0005-0000-0000-0000A0020000}"/>
    <cellStyle name="a_ME-BQ" xfId="1812" xr:uid="{00000000-0005-0000-0000-0000A1020000}"/>
    <cellStyle name="a_NS.A" xfId="1813" xr:uid="{00000000-0005-0000-0000-0000A2020000}"/>
    <cellStyle name="a_NS.POMPA" xfId="1814" xr:uid="{00000000-0005-0000-0000-0000A3020000}"/>
    <cellStyle name="a_rab_raja_plasa_baturaja" xfId="1815" xr:uid="{00000000-0005-0000-0000-0000A4020000}"/>
    <cellStyle name="a_RAPK FINAL DVO Pipe Rack" xfId="1816" xr:uid="{00000000-0005-0000-0000-0000A5020000}"/>
    <cellStyle name="a_REAL COST   SEKOLAH - RHESA-06  (18-12-06) FINAL VERSI - 3" xfId="70" xr:uid="{00000000-0005-0000-0000-0000A6020000}"/>
    <cellStyle name="a_S A." xfId="1817" xr:uid="{00000000-0005-0000-0000-0000A7020000}"/>
    <cellStyle name="a_Struktur Arsitektur - BQ" xfId="1818" xr:uid="{00000000-0005-0000-0000-0000A8020000}"/>
    <cellStyle name="a_URAIAN" xfId="1819" xr:uid="{00000000-0005-0000-0000-0000A9020000}"/>
    <cellStyle name="A4 Small 210 x 297 mm" xfId="71" xr:uid="{00000000-0005-0000-0000-0000AA020000}"/>
    <cellStyle name="acc-0" xfId="72" xr:uid="{00000000-0005-0000-0000-0000AB020000}"/>
    <cellStyle name="acc-2" xfId="73" xr:uid="{00000000-0005-0000-0000-0000AC020000}"/>
    <cellStyle name="Accent1 - 20%" xfId="1820" xr:uid="{00000000-0005-0000-0000-0000AD020000}"/>
    <cellStyle name="Accent1 - 40%" xfId="1821" xr:uid="{00000000-0005-0000-0000-0000AE020000}"/>
    <cellStyle name="Accent1 - 60%" xfId="1822" xr:uid="{00000000-0005-0000-0000-0000AF020000}"/>
    <cellStyle name="Accent1 10" xfId="1823" xr:uid="{00000000-0005-0000-0000-0000B0020000}"/>
    <cellStyle name="Accent1 11" xfId="1824" xr:uid="{00000000-0005-0000-0000-0000B1020000}"/>
    <cellStyle name="Accent1 12" xfId="1825" xr:uid="{00000000-0005-0000-0000-0000B2020000}"/>
    <cellStyle name="Accent1 13" xfId="1826" xr:uid="{00000000-0005-0000-0000-0000B3020000}"/>
    <cellStyle name="Accent1 2" xfId="74" xr:uid="{00000000-0005-0000-0000-0000B4020000}"/>
    <cellStyle name="Accent1 2 2" xfId="1827" xr:uid="{00000000-0005-0000-0000-0000B5020000}"/>
    <cellStyle name="Accent1 3" xfId="1828" xr:uid="{00000000-0005-0000-0000-0000B6020000}"/>
    <cellStyle name="Accent1 4" xfId="1829" xr:uid="{00000000-0005-0000-0000-0000B7020000}"/>
    <cellStyle name="Accent1 5" xfId="1830" xr:uid="{00000000-0005-0000-0000-0000B8020000}"/>
    <cellStyle name="Accent1 6" xfId="1831" xr:uid="{00000000-0005-0000-0000-0000B9020000}"/>
    <cellStyle name="Accent1 7" xfId="1832" xr:uid="{00000000-0005-0000-0000-0000BA020000}"/>
    <cellStyle name="Accent1 8" xfId="1833" xr:uid="{00000000-0005-0000-0000-0000BB020000}"/>
    <cellStyle name="Accent1 9" xfId="1834" xr:uid="{00000000-0005-0000-0000-0000BC020000}"/>
    <cellStyle name="Accent2 - 20%" xfId="1835" xr:uid="{00000000-0005-0000-0000-0000BD020000}"/>
    <cellStyle name="Accent2 - 40%" xfId="1836" xr:uid="{00000000-0005-0000-0000-0000BE020000}"/>
    <cellStyle name="Accent2 - 60%" xfId="1837" xr:uid="{00000000-0005-0000-0000-0000BF020000}"/>
    <cellStyle name="Accent2 10" xfId="1838" xr:uid="{00000000-0005-0000-0000-0000C0020000}"/>
    <cellStyle name="Accent2 11" xfId="1839" xr:uid="{00000000-0005-0000-0000-0000C1020000}"/>
    <cellStyle name="Accent2 12" xfId="1840" xr:uid="{00000000-0005-0000-0000-0000C2020000}"/>
    <cellStyle name="Accent2 13" xfId="1841" xr:uid="{00000000-0005-0000-0000-0000C3020000}"/>
    <cellStyle name="Accent2 2" xfId="75" xr:uid="{00000000-0005-0000-0000-0000C4020000}"/>
    <cellStyle name="Accent2 3" xfId="1842" xr:uid="{00000000-0005-0000-0000-0000C5020000}"/>
    <cellStyle name="Accent2 4" xfId="1843" xr:uid="{00000000-0005-0000-0000-0000C6020000}"/>
    <cellStyle name="Accent2 5" xfId="1844" xr:uid="{00000000-0005-0000-0000-0000C7020000}"/>
    <cellStyle name="Accent2 6" xfId="1845" xr:uid="{00000000-0005-0000-0000-0000C8020000}"/>
    <cellStyle name="Accent2 7" xfId="1846" xr:uid="{00000000-0005-0000-0000-0000C9020000}"/>
    <cellStyle name="Accent2 8" xfId="1847" xr:uid="{00000000-0005-0000-0000-0000CA020000}"/>
    <cellStyle name="Accent2 9" xfId="1848" xr:uid="{00000000-0005-0000-0000-0000CB020000}"/>
    <cellStyle name="Accent3 - 20%" xfId="1849" xr:uid="{00000000-0005-0000-0000-0000CC020000}"/>
    <cellStyle name="Accent3 - 40%" xfId="1850" xr:uid="{00000000-0005-0000-0000-0000CD020000}"/>
    <cellStyle name="Accent3 - 60%" xfId="1851" xr:uid="{00000000-0005-0000-0000-0000CE020000}"/>
    <cellStyle name="Accent3 10" xfId="1852" xr:uid="{00000000-0005-0000-0000-0000CF020000}"/>
    <cellStyle name="Accent3 11" xfId="1853" xr:uid="{00000000-0005-0000-0000-0000D0020000}"/>
    <cellStyle name="Accent3 12" xfId="1854" xr:uid="{00000000-0005-0000-0000-0000D1020000}"/>
    <cellStyle name="Accent3 13" xfId="1855" xr:uid="{00000000-0005-0000-0000-0000D2020000}"/>
    <cellStyle name="Accent3 2" xfId="76" xr:uid="{00000000-0005-0000-0000-0000D3020000}"/>
    <cellStyle name="Accent3 3" xfId="1856" xr:uid="{00000000-0005-0000-0000-0000D4020000}"/>
    <cellStyle name="Accent3 4" xfId="1857" xr:uid="{00000000-0005-0000-0000-0000D5020000}"/>
    <cellStyle name="Accent3 5" xfId="1858" xr:uid="{00000000-0005-0000-0000-0000D6020000}"/>
    <cellStyle name="Accent3 6" xfId="1859" xr:uid="{00000000-0005-0000-0000-0000D7020000}"/>
    <cellStyle name="Accent3 7" xfId="1860" xr:uid="{00000000-0005-0000-0000-0000D8020000}"/>
    <cellStyle name="Accent3 8" xfId="1861" xr:uid="{00000000-0005-0000-0000-0000D9020000}"/>
    <cellStyle name="Accent3 9" xfId="1862" xr:uid="{00000000-0005-0000-0000-0000DA020000}"/>
    <cellStyle name="Accent4 - 20%" xfId="1863" xr:uid="{00000000-0005-0000-0000-0000DB020000}"/>
    <cellStyle name="Accent4 - 40%" xfId="1864" xr:uid="{00000000-0005-0000-0000-0000DC020000}"/>
    <cellStyle name="Accent4 - 60%" xfId="1865" xr:uid="{00000000-0005-0000-0000-0000DD020000}"/>
    <cellStyle name="Accent4 10" xfId="1866" xr:uid="{00000000-0005-0000-0000-0000DE020000}"/>
    <cellStyle name="Accent4 11" xfId="1867" xr:uid="{00000000-0005-0000-0000-0000DF020000}"/>
    <cellStyle name="Accent4 12" xfId="1868" xr:uid="{00000000-0005-0000-0000-0000E0020000}"/>
    <cellStyle name="Accent4 13" xfId="1869" xr:uid="{00000000-0005-0000-0000-0000E1020000}"/>
    <cellStyle name="Accent4 2" xfId="77" xr:uid="{00000000-0005-0000-0000-0000E2020000}"/>
    <cellStyle name="Accent4 3" xfId="1870" xr:uid="{00000000-0005-0000-0000-0000E3020000}"/>
    <cellStyle name="Accent4 4" xfId="1871" xr:uid="{00000000-0005-0000-0000-0000E4020000}"/>
    <cellStyle name="Accent4 5" xfId="1872" xr:uid="{00000000-0005-0000-0000-0000E5020000}"/>
    <cellStyle name="Accent4 6" xfId="1873" xr:uid="{00000000-0005-0000-0000-0000E6020000}"/>
    <cellStyle name="Accent4 7" xfId="1874" xr:uid="{00000000-0005-0000-0000-0000E7020000}"/>
    <cellStyle name="Accent4 8" xfId="1875" xr:uid="{00000000-0005-0000-0000-0000E8020000}"/>
    <cellStyle name="Accent4 9" xfId="1876" xr:uid="{00000000-0005-0000-0000-0000E9020000}"/>
    <cellStyle name="Accent5 - 20%" xfId="1877" xr:uid="{00000000-0005-0000-0000-0000EA020000}"/>
    <cellStyle name="Accent5 - 40%" xfId="1878" xr:uid="{00000000-0005-0000-0000-0000EB020000}"/>
    <cellStyle name="Accent5 - 60%" xfId="1879" xr:uid="{00000000-0005-0000-0000-0000EC020000}"/>
    <cellStyle name="Accent5 10" xfId="1880" xr:uid="{00000000-0005-0000-0000-0000ED020000}"/>
    <cellStyle name="Accent5 11" xfId="1881" xr:uid="{00000000-0005-0000-0000-0000EE020000}"/>
    <cellStyle name="Accent5 12" xfId="1882" xr:uid="{00000000-0005-0000-0000-0000EF020000}"/>
    <cellStyle name="Accent5 13" xfId="1883" xr:uid="{00000000-0005-0000-0000-0000F0020000}"/>
    <cellStyle name="Accent5 2" xfId="78" xr:uid="{00000000-0005-0000-0000-0000F1020000}"/>
    <cellStyle name="Accent5 2 2" xfId="1884" xr:uid="{00000000-0005-0000-0000-0000F2020000}"/>
    <cellStyle name="Accent5 2 3" xfId="1885" xr:uid="{00000000-0005-0000-0000-0000F3020000}"/>
    <cellStyle name="Accent5 3" xfId="1886" xr:uid="{00000000-0005-0000-0000-0000F4020000}"/>
    <cellStyle name="Accent5 4" xfId="1887" xr:uid="{00000000-0005-0000-0000-0000F5020000}"/>
    <cellStyle name="Accent5 5" xfId="1888" xr:uid="{00000000-0005-0000-0000-0000F6020000}"/>
    <cellStyle name="Accent5 6" xfId="1889" xr:uid="{00000000-0005-0000-0000-0000F7020000}"/>
    <cellStyle name="Accent5 7" xfId="1890" xr:uid="{00000000-0005-0000-0000-0000F8020000}"/>
    <cellStyle name="Accent5 8" xfId="1891" xr:uid="{00000000-0005-0000-0000-0000F9020000}"/>
    <cellStyle name="Accent5 9" xfId="1892" xr:uid="{00000000-0005-0000-0000-0000FA020000}"/>
    <cellStyle name="Accent6 - 20%" xfId="1893" xr:uid="{00000000-0005-0000-0000-0000FB020000}"/>
    <cellStyle name="Accent6 - 40%" xfId="1894" xr:uid="{00000000-0005-0000-0000-0000FC020000}"/>
    <cellStyle name="Accent6 - 60%" xfId="1895" xr:uid="{00000000-0005-0000-0000-0000FD020000}"/>
    <cellStyle name="Accent6 10" xfId="1896" xr:uid="{00000000-0005-0000-0000-0000FE020000}"/>
    <cellStyle name="Accent6 11" xfId="1897" xr:uid="{00000000-0005-0000-0000-0000FF020000}"/>
    <cellStyle name="Accent6 12" xfId="1898" xr:uid="{00000000-0005-0000-0000-000000030000}"/>
    <cellStyle name="Accent6 13" xfId="1899" xr:uid="{00000000-0005-0000-0000-000001030000}"/>
    <cellStyle name="Accent6 2" xfId="79" xr:uid="{00000000-0005-0000-0000-000002030000}"/>
    <cellStyle name="Accent6 3" xfId="1900" xr:uid="{00000000-0005-0000-0000-000003030000}"/>
    <cellStyle name="Accent6 4" xfId="1901" xr:uid="{00000000-0005-0000-0000-000004030000}"/>
    <cellStyle name="Accent6 5" xfId="1902" xr:uid="{00000000-0005-0000-0000-000005030000}"/>
    <cellStyle name="Accent6 6" xfId="1903" xr:uid="{00000000-0005-0000-0000-000006030000}"/>
    <cellStyle name="Accent6 7" xfId="1904" xr:uid="{00000000-0005-0000-0000-000007030000}"/>
    <cellStyle name="Accent6 8" xfId="1905" xr:uid="{00000000-0005-0000-0000-000008030000}"/>
    <cellStyle name="Accent6 9" xfId="1906" xr:uid="{00000000-0005-0000-0000-000009030000}"/>
    <cellStyle name="adidia" xfId="1907" xr:uid="{00000000-0005-0000-0000-00000A030000}"/>
    <cellStyle name="ÅëÈ­ [0]_±âÅ¸" xfId="80" xr:uid="{00000000-0005-0000-0000-00000B030000}"/>
    <cellStyle name="AeE­ [0]_INQUIRY ¿μ¾÷AßAø " xfId="1908" xr:uid="{00000000-0005-0000-0000-00000C030000}"/>
    <cellStyle name="ÅëÈ­_±âÅ¸" xfId="81" xr:uid="{00000000-0005-0000-0000-00000D030000}"/>
    <cellStyle name="AeE­_INQUIRY ¿µ¾÷AßAø " xfId="1909" xr:uid="{00000000-0005-0000-0000-00000E030000}"/>
    <cellStyle name="Aksen1" xfId="82" xr:uid="{00000000-0005-0000-0000-00000F030000}"/>
    <cellStyle name="Aksen2" xfId="83" xr:uid="{00000000-0005-0000-0000-000010030000}"/>
    <cellStyle name="Aksen3" xfId="84" xr:uid="{00000000-0005-0000-0000-000011030000}"/>
    <cellStyle name="Aksen4" xfId="85" xr:uid="{00000000-0005-0000-0000-000012030000}"/>
    <cellStyle name="Aksen5" xfId="86" xr:uid="{00000000-0005-0000-0000-000013030000}"/>
    <cellStyle name="Aksen6" xfId="87" xr:uid="{00000000-0005-0000-0000-000014030000}"/>
    <cellStyle name="args.style" xfId="88" xr:uid="{00000000-0005-0000-0000-000015030000}"/>
    <cellStyle name="Arial10" xfId="89" xr:uid="{00000000-0005-0000-0000-000016030000}"/>
    <cellStyle name="Arial10 2" xfId="90" xr:uid="{00000000-0005-0000-0000-000017030000}"/>
    <cellStyle name="Arial10 3" xfId="91" xr:uid="{00000000-0005-0000-0000-000018030000}"/>
    <cellStyle name="Arial10 4" xfId="92" xr:uid="{00000000-0005-0000-0000-000019030000}"/>
    <cellStyle name="Arial10 5" xfId="93" xr:uid="{00000000-0005-0000-0000-00001A030000}"/>
    <cellStyle name="Arial10 6" xfId="94" xr:uid="{00000000-0005-0000-0000-00001B030000}"/>
    <cellStyle name="Arial10 7" xfId="95" xr:uid="{00000000-0005-0000-0000-00001C030000}"/>
    <cellStyle name="Arial10_2 - RAB-PAJAK MEDAN - 2009 (ME) - r2 -PP" xfId="96" xr:uid="{00000000-0005-0000-0000-00001D030000}"/>
    <cellStyle name="ARKONIN" xfId="1910" xr:uid="{00000000-0005-0000-0000-00001E030000}"/>
    <cellStyle name="ÄÞ¸¶ [0]_±âÅ¸" xfId="97" xr:uid="{00000000-0005-0000-0000-00001F030000}"/>
    <cellStyle name="AÞ¸¶ [0]_INQUIRY ¿?¾÷AßAø " xfId="1911" xr:uid="{00000000-0005-0000-0000-000020030000}"/>
    <cellStyle name="ÄÞ¸¶_±âÅ¸" xfId="98" xr:uid="{00000000-0005-0000-0000-000021030000}"/>
    <cellStyle name="AÞ¸¶_INQUIRY ¿?¾÷AßAø " xfId="1912" xr:uid="{00000000-0005-0000-0000-000022030000}"/>
    <cellStyle name="Bad 10" xfId="1913" xr:uid="{00000000-0005-0000-0000-000023030000}"/>
    <cellStyle name="Bad 11" xfId="1914" xr:uid="{00000000-0005-0000-0000-000024030000}"/>
    <cellStyle name="Bad 12" xfId="1915" xr:uid="{00000000-0005-0000-0000-000025030000}"/>
    <cellStyle name="Bad 13" xfId="1916" xr:uid="{00000000-0005-0000-0000-000026030000}"/>
    <cellStyle name="Bad 2" xfId="99" xr:uid="{00000000-0005-0000-0000-000027030000}"/>
    <cellStyle name="Bad 3" xfId="1917" xr:uid="{00000000-0005-0000-0000-000028030000}"/>
    <cellStyle name="Bad 4" xfId="1918" xr:uid="{00000000-0005-0000-0000-000029030000}"/>
    <cellStyle name="Bad 5" xfId="1919" xr:uid="{00000000-0005-0000-0000-00002A030000}"/>
    <cellStyle name="Bad 6" xfId="1920" xr:uid="{00000000-0005-0000-0000-00002B030000}"/>
    <cellStyle name="Bad 7" xfId="1921" xr:uid="{00000000-0005-0000-0000-00002C030000}"/>
    <cellStyle name="Bad 8" xfId="1922" xr:uid="{00000000-0005-0000-0000-00002D030000}"/>
    <cellStyle name="Bad 9" xfId="1923" xr:uid="{00000000-0005-0000-0000-00002E030000}"/>
    <cellStyle name="Baik" xfId="100" xr:uid="{00000000-0005-0000-0000-00002F030000}"/>
    <cellStyle name="Body" xfId="101" xr:uid="{00000000-0005-0000-0000-000030030000}"/>
    <cellStyle name="bol" xfId="1924" xr:uid="{00000000-0005-0000-0000-000031030000}"/>
    <cellStyle name="Bol 1" xfId="1925" xr:uid="{00000000-0005-0000-0000-000032030000}"/>
    <cellStyle name="bol_RAB - E - 070909 " xfId="1926" xr:uid="{00000000-0005-0000-0000-000033030000}"/>
    <cellStyle name="bol1" xfId="1927" xr:uid="{00000000-0005-0000-0000-000034030000}"/>
    <cellStyle name="Border" xfId="1928" xr:uid="{00000000-0005-0000-0000-000035030000}"/>
    <cellStyle name="bottom" xfId="102" xr:uid="{00000000-0005-0000-0000-000036030000}"/>
    <cellStyle name="Buruk" xfId="103" xr:uid="{00000000-0005-0000-0000-000037030000}"/>
    <cellStyle name="c" xfId="1929" xr:uid="{00000000-0005-0000-0000-000038030000}"/>
    <cellStyle name="C?AØ_¿?¾÷CoE² " xfId="1930" xr:uid="{00000000-0005-0000-0000-000039030000}"/>
    <cellStyle name="Ç¥ÁØ_¿¬°£´©°è¿¹»ó" xfId="104" xr:uid="{00000000-0005-0000-0000-00003A030000}"/>
    <cellStyle name="C￥AØ_¿μ¾÷CoE² " xfId="1931" xr:uid="{00000000-0005-0000-0000-00003B030000}"/>
    <cellStyle name="Calc Currency (0)" xfId="105" xr:uid="{00000000-0005-0000-0000-00003C030000}"/>
    <cellStyle name="Calc Currency (0) 2" xfId="106" xr:uid="{00000000-0005-0000-0000-00003D030000}"/>
    <cellStyle name="Calculation 10" xfId="1932" xr:uid="{00000000-0005-0000-0000-00003E030000}"/>
    <cellStyle name="Calculation 10 10" xfId="1933" xr:uid="{00000000-0005-0000-0000-00003F030000}"/>
    <cellStyle name="Calculation 10 11" xfId="1934" xr:uid="{00000000-0005-0000-0000-000040030000}"/>
    <cellStyle name="Calculation 10 12" xfId="1935" xr:uid="{00000000-0005-0000-0000-000041030000}"/>
    <cellStyle name="Calculation 10 13" xfId="1936" xr:uid="{00000000-0005-0000-0000-000042030000}"/>
    <cellStyle name="Calculation 10 14" xfId="1937" xr:uid="{00000000-0005-0000-0000-000043030000}"/>
    <cellStyle name="Calculation 10 15" xfId="1938" xr:uid="{00000000-0005-0000-0000-000044030000}"/>
    <cellStyle name="Calculation 10 16" xfId="1939" xr:uid="{00000000-0005-0000-0000-000045030000}"/>
    <cellStyle name="Calculation 10 2" xfId="1940" xr:uid="{00000000-0005-0000-0000-000046030000}"/>
    <cellStyle name="Calculation 10 3" xfId="1941" xr:uid="{00000000-0005-0000-0000-000047030000}"/>
    <cellStyle name="Calculation 10 4" xfId="1942" xr:uid="{00000000-0005-0000-0000-000048030000}"/>
    <cellStyle name="Calculation 10 5" xfId="1943" xr:uid="{00000000-0005-0000-0000-000049030000}"/>
    <cellStyle name="Calculation 10 6" xfId="1944" xr:uid="{00000000-0005-0000-0000-00004A030000}"/>
    <cellStyle name="Calculation 10 7" xfId="1945" xr:uid="{00000000-0005-0000-0000-00004B030000}"/>
    <cellStyle name="Calculation 10 8" xfId="1946" xr:uid="{00000000-0005-0000-0000-00004C030000}"/>
    <cellStyle name="Calculation 10 9" xfId="1947" xr:uid="{00000000-0005-0000-0000-00004D030000}"/>
    <cellStyle name="Calculation 11" xfId="1948" xr:uid="{00000000-0005-0000-0000-00004E030000}"/>
    <cellStyle name="Calculation 11 10" xfId="1949" xr:uid="{00000000-0005-0000-0000-00004F030000}"/>
    <cellStyle name="Calculation 11 11" xfId="1950" xr:uid="{00000000-0005-0000-0000-000050030000}"/>
    <cellStyle name="Calculation 11 12" xfId="1951" xr:uid="{00000000-0005-0000-0000-000051030000}"/>
    <cellStyle name="Calculation 11 13" xfId="1952" xr:uid="{00000000-0005-0000-0000-000052030000}"/>
    <cellStyle name="Calculation 11 14" xfId="1953" xr:uid="{00000000-0005-0000-0000-000053030000}"/>
    <cellStyle name="Calculation 11 15" xfId="1954" xr:uid="{00000000-0005-0000-0000-000054030000}"/>
    <cellStyle name="Calculation 11 16" xfId="1955" xr:uid="{00000000-0005-0000-0000-000055030000}"/>
    <cellStyle name="Calculation 11 2" xfId="1956" xr:uid="{00000000-0005-0000-0000-000056030000}"/>
    <cellStyle name="Calculation 11 3" xfId="1957" xr:uid="{00000000-0005-0000-0000-000057030000}"/>
    <cellStyle name="Calculation 11 4" xfId="1958" xr:uid="{00000000-0005-0000-0000-000058030000}"/>
    <cellStyle name="Calculation 11 5" xfId="1959" xr:uid="{00000000-0005-0000-0000-000059030000}"/>
    <cellStyle name="Calculation 11 6" xfId="1960" xr:uid="{00000000-0005-0000-0000-00005A030000}"/>
    <cellStyle name="Calculation 11 7" xfId="1961" xr:uid="{00000000-0005-0000-0000-00005B030000}"/>
    <cellStyle name="Calculation 11 8" xfId="1962" xr:uid="{00000000-0005-0000-0000-00005C030000}"/>
    <cellStyle name="Calculation 11 9" xfId="1963" xr:uid="{00000000-0005-0000-0000-00005D030000}"/>
    <cellStyle name="Calculation 12" xfId="1964" xr:uid="{00000000-0005-0000-0000-00005E030000}"/>
    <cellStyle name="Calculation 12 10" xfId="1965" xr:uid="{00000000-0005-0000-0000-00005F030000}"/>
    <cellStyle name="Calculation 12 11" xfId="1966" xr:uid="{00000000-0005-0000-0000-000060030000}"/>
    <cellStyle name="Calculation 12 12" xfId="1967" xr:uid="{00000000-0005-0000-0000-000061030000}"/>
    <cellStyle name="Calculation 12 13" xfId="1968" xr:uid="{00000000-0005-0000-0000-000062030000}"/>
    <cellStyle name="Calculation 12 14" xfId="1969" xr:uid="{00000000-0005-0000-0000-000063030000}"/>
    <cellStyle name="Calculation 12 15" xfId="1970" xr:uid="{00000000-0005-0000-0000-000064030000}"/>
    <cellStyle name="Calculation 12 16" xfId="1971" xr:uid="{00000000-0005-0000-0000-000065030000}"/>
    <cellStyle name="Calculation 12 2" xfId="1972" xr:uid="{00000000-0005-0000-0000-000066030000}"/>
    <cellStyle name="Calculation 12 3" xfId="1973" xr:uid="{00000000-0005-0000-0000-000067030000}"/>
    <cellStyle name="Calculation 12 4" xfId="1974" xr:uid="{00000000-0005-0000-0000-000068030000}"/>
    <cellStyle name="Calculation 12 5" xfId="1975" xr:uid="{00000000-0005-0000-0000-000069030000}"/>
    <cellStyle name="Calculation 12 6" xfId="1976" xr:uid="{00000000-0005-0000-0000-00006A030000}"/>
    <cellStyle name="Calculation 12 7" xfId="1977" xr:uid="{00000000-0005-0000-0000-00006B030000}"/>
    <cellStyle name="Calculation 12 8" xfId="1978" xr:uid="{00000000-0005-0000-0000-00006C030000}"/>
    <cellStyle name="Calculation 12 9" xfId="1979" xr:uid="{00000000-0005-0000-0000-00006D030000}"/>
    <cellStyle name="Calculation 13" xfId="1980" xr:uid="{00000000-0005-0000-0000-00006E030000}"/>
    <cellStyle name="Calculation 13 10" xfId="1981" xr:uid="{00000000-0005-0000-0000-00006F030000}"/>
    <cellStyle name="Calculation 13 11" xfId="1982" xr:uid="{00000000-0005-0000-0000-000070030000}"/>
    <cellStyle name="Calculation 13 12" xfId="1983" xr:uid="{00000000-0005-0000-0000-000071030000}"/>
    <cellStyle name="Calculation 13 13" xfId="1984" xr:uid="{00000000-0005-0000-0000-000072030000}"/>
    <cellStyle name="Calculation 13 14" xfId="1985" xr:uid="{00000000-0005-0000-0000-000073030000}"/>
    <cellStyle name="Calculation 13 15" xfId="1986" xr:uid="{00000000-0005-0000-0000-000074030000}"/>
    <cellStyle name="Calculation 13 16" xfId="1987" xr:uid="{00000000-0005-0000-0000-000075030000}"/>
    <cellStyle name="Calculation 13 2" xfId="1988" xr:uid="{00000000-0005-0000-0000-000076030000}"/>
    <cellStyle name="Calculation 13 3" xfId="1989" xr:uid="{00000000-0005-0000-0000-000077030000}"/>
    <cellStyle name="Calculation 13 4" xfId="1990" xr:uid="{00000000-0005-0000-0000-000078030000}"/>
    <cellStyle name="Calculation 13 5" xfId="1991" xr:uid="{00000000-0005-0000-0000-000079030000}"/>
    <cellStyle name="Calculation 13 6" xfId="1992" xr:uid="{00000000-0005-0000-0000-00007A030000}"/>
    <cellStyle name="Calculation 13 7" xfId="1993" xr:uid="{00000000-0005-0000-0000-00007B030000}"/>
    <cellStyle name="Calculation 13 8" xfId="1994" xr:uid="{00000000-0005-0000-0000-00007C030000}"/>
    <cellStyle name="Calculation 13 9" xfId="1995" xr:uid="{00000000-0005-0000-0000-00007D030000}"/>
    <cellStyle name="Calculation 2" xfId="107" xr:uid="{00000000-0005-0000-0000-00007E030000}"/>
    <cellStyle name="Calculation 2 10" xfId="1996" xr:uid="{00000000-0005-0000-0000-00007F030000}"/>
    <cellStyle name="Calculation 2 11" xfId="1997" xr:uid="{00000000-0005-0000-0000-000080030000}"/>
    <cellStyle name="Calculation 2 12" xfId="1998" xr:uid="{00000000-0005-0000-0000-000081030000}"/>
    <cellStyle name="Calculation 2 13" xfId="1999" xr:uid="{00000000-0005-0000-0000-000082030000}"/>
    <cellStyle name="Calculation 2 14" xfId="2000" xr:uid="{00000000-0005-0000-0000-000083030000}"/>
    <cellStyle name="Calculation 2 15" xfId="2001" xr:uid="{00000000-0005-0000-0000-000084030000}"/>
    <cellStyle name="Calculation 2 16" xfId="2002" xr:uid="{00000000-0005-0000-0000-000085030000}"/>
    <cellStyle name="Calculation 2 2" xfId="2003" xr:uid="{00000000-0005-0000-0000-000086030000}"/>
    <cellStyle name="Calculation 2 3" xfId="2004" xr:uid="{00000000-0005-0000-0000-000087030000}"/>
    <cellStyle name="Calculation 2 4" xfId="2005" xr:uid="{00000000-0005-0000-0000-000088030000}"/>
    <cellStyle name="Calculation 2 5" xfId="2006" xr:uid="{00000000-0005-0000-0000-000089030000}"/>
    <cellStyle name="Calculation 2 6" xfId="2007" xr:uid="{00000000-0005-0000-0000-00008A030000}"/>
    <cellStyle name="Calculation 2 7" xfId="2008" xr:uid="{00000000-0005-0000-0000-00008B030000}"/>
    <cellStyle name="Calculation 2 8" xfId="2009" xr:uid="{00000000-0005-0000-0000-00008C030000}"/>
    <cellStyle name="Calculation 2 9" xfId="2010" xr:uid="{00000000-0005-0000-0000-00008D030000}"/>
    <cellStyle name="Calculation 3" xfId="2011" xr:uid="{00000000-0005-0000-0000-00008E030000}"/>
    <cellStyle name="Calculation 3 10" xfId="2012" xr:uid="{00000000-0005-0000-0000-00008F030000}"/>
    <cellStyle name="Calculation 3 11" xfId="2013" xr:uid="{00000000-0005-0000-0000-000090030000}"/>
    <cellStyle name="Calculation 3 12" xfId="2014" xr:uid="{00000000-0005-0000-0000-000091030000}"/>
    <cellStyle name="Calculation 3 13" xfId="2015" xr:uid="{00000000-0005-0000-0000-000092030000}"/>
    <cellStyle name="Calculation 3 14" xfId="2016" xr:uid="{00000000-0005-0000-0000-000093030000}"/>
    <cellStyle name="Calculation 3 15" xfId="2017" xr:uid="{00000000-0005-0000-0000-000094030000}"/>
    <cellStyle name="Calculation 3 16" xfId="2018" xr:uid="{00000000-0005-0000-0000-000095030000}"/>
    <cellStyle name="Calculation 3 2" xfId="2019" xr:uid="{00000000-0005-0000-0000-000096030000}"/>
    <cellStyle name="Calculation 3 3" xfId="2020" xr:uid="{00000000-0005-0000-0000-000097030000}"/>
    <cellStyle name="Calculation 3 4" xfId="2021" xr:uid="{00000000-0005-0000-0000-000098030000}"/>
    <cellStyle name="Calculation 3 5" xfId="2022" xr:uid="{00000000-0005-0000-0000-000099030000}"/>
    <cellStyle name="Calculation 3 6" xfId="2023" xr:uid="{00000000-0005-0000-0000-00009A030000}"/>
    <cellStyle name="Calculation 3 7" xfId="2024" xr:uid="{00000000-0005-0000-0000-00009B030000}"/>
    <cellStyle name="Calculation 3 8" xfId="2025" xr:uid="{00000000-0005-0000-0000-00009C030000}"/>
    <cellStyle name="Calculation 3 9" xfId="2026" xr:uid="{00000000-0005-0000-0000-00009D030000}"/>
    <cellStyle name="Calculation 4" xfId="2027" xr:uid="{00000000-0005-0000-0000-00009E030000}"/>
    <cellStyle name="Calculation 4 10" xfId="2028" xr:uid="{00000000-0005-0000-0000-00009F030000}"/>
    <cellStyle name="Calculation 4 11" xfId="2029" xr:uid="{00000000-0005-0000-0000-0000A0030000}"/>
    <cellStyle name="Calculation 4 12" xfId="2030" xr:uid="{00000000-0005-0000-0000-0000A1030000}"/>
    <cellStyle name="Calculation 4 13" xfId="2031" xr:uid="{00000000-0005-0000-0000-0000A2030000}"/>
    <cellStyle name="Calculation 4 14" xfId="2032" xr:uid="{00000000-0005-0000-0000-0000A3030000}"/>
    <cellStyle name="Calculation 4 15" xfId="2033" xr:uid="{00000000-0005-0000-0000-0000A4030000}"/>
    <cellStyle name="Calculation 4 16" xfId="2034" xr:uid="{00000000-0005-0000-0000-0000A5030000}"/>
    <cellStyle name="Calculation 4 2" xfId="2035" xr:uid="{00000000-0005-0000-0000-0000A6030000}"/>
    <cellStyle name="Calculation 4 3" xfId="2036" xr:uid="{00000000-0005-0000-0000-0000A7030000}"/>
    <cellStyle name="Calculation 4 4" xfId="2037" xr:uid="{00000000-0005-0000-0000-0000A8030000}"/>
    <cellStyle name="Calculation 4 5" xfId="2038" xr:uid="{00000000-0005-0000-0000-0000A9030000}"/>
    <cellStyle name="Calculation 4 6" xfId="2039" xr:uid="{00000000-0005-0000-0000-0000AA030000}"/>
    <cellStyle name="Calculation 4 7" xfId="2040" xr:uid="{00000000-0005-0000-0000-0000AB030000}"/>
    <cellStyle name="Calculation 4 8" xfId="2041" xr:uid="{00000000-0005-0000-0000-0000AC030000}"/>
    <cellStyle name="Calculation 4 9" xfId="2042" xr:uid="{00000000-0005-0000-0000-0000AD030000}"/>
    <cellStyle name="Calculation 5" xfId="2043" xr:uid="{00000000-0005-0000-0000-0000AE030000}"/>
    <cellStyle name="Calculation 5 10" xfId="2044" xr:uid="{00000000-0005-0000-0000-0000AF030000}"/>
    <cellStyle name="Calculation 5 11" xfId="2045" xr:uid="{00000000-0005-0000-0000-0000B0030000}"/>
    <cellStyle name="Calculation 5 12" xfId="2046" xr:uid="{00000000-0005-0000-0000-0000B1030000}"/>
    <cellStyle name="Calculation 5 13" xfId="2047" xr:uid="{00000000-0005-0000-0000-0000B2030000}"/>
    <cellStyle name="Calculation 5 14" xfId="2048" xr:uid="{00000000-0005-0000-0000-0000B3030000}"/>
    <cellStyle name="Calculation 5 15" xfId="2049" xr:uid="{00000000-0005-0000-0000-0000B4030000}"/>
    <cellStyle name="Calculation 5 16" xfId="2050" xr:uid="{00000000-0005-0000-0000-0000B5030000}"/>
    <cellStyle name="Calculation 5 2" xfId="2051" xr:uid="{00000000-0005-0000-0000-0000B6030000}"/>
    <cellStyle name="Calculation 5 3" xfId="2052" xr:uid="{00000000-0005-0000-0000-0000B7030000}"/>
    <cellStyle name="Calculation 5 4" xfId="2053" xr:uid="{00000000-0005-0000-0000-0000B8030000}"/>
    <cellStyle name="Calculation 5 5" xfId="2054" xr:uid="{00000000-0005-0000-0000-0000B9030000}"/>
    <cellStyle name="Calculation 5 6" xfId="2055" xr:uid="{00000000-0005-0000-0000-0000BA030000}"/>
    <cellStyle name="Calculation 5 7" xfId="2056" xr:uid="{00000000-0005-0000-0000-0000BB030000}"/>
    <cellStyle name="Calculation 5 8" xfId="2057" xr:uid="{00000000-0005-0000-0000-0000BC030000}"/>
    <cellStyle name="Calculation 5 9" xfId="2058" xr:uid="{00000000-0005-0000-0000-0000BD030000}"/>
    <cellStyle name="Calculation 6" xfId="2059" xr:uid="{00000000-0005-0000-0000-0000BE030000}"/>
    <cellStyle name="Calculation 6 10" xfId="2060" xr:uid="{00000000-0005-0000-0000-0000BF030000}"/>
    <cellStyle name="Calculation 6 11" xfId="2061" xr:uid="{00000000-0005-0000-0000-0000C0030000}"/>
    <cellStyle name="Calculation 6 12" xfId="2062" xr:uid="{00000000-0005-0000-0000-0000C1030000}"/>
    <cellStyle name="Calculation 6 13" xfId="2063" xr:uid="{00000000-0005-0000-0000-0000C2030000}"/>
    <cellStyle name="Calculation 6 14" xfId="2064" xr:uid="{00000000-0005-0000-0000-0000C3030000}"/>
    <cellStyle name="Calculation 6 15" xfId="2065" xr:uid="{00000000-0005-0000-0000-0000C4030000}"/>
    <cellStyle name="Calculation 6 16" xfId="2066" xr:uid="{00000000-0005-0000-0000-0000C5030000}"/>
    <cellStyle name="Calculation 6 2" xfId="2067" xr:uid="{00000000-0005-0000-0000-0000C6030000}"/>
    <cellStyle name="Calculation 6 3" xfId="2068" xr:uid="{00000000-0005-0000-0000-0000C7030000}"/>
    <cellStyle name="Calculation 6 4" xfId="2069" xr:uid="{00000000-0005-0000-0000-0000C8030000}"/>
    <cellStyle name="Calculation 6 5" xfId="2070" xr:uid="{00000000-0005-0000-0000-0000C9030000}"/>
    <cellStyle name="Calculation 6 6" xfId="2071" xr:uid="{00000000-0005-0000-0000-0000CA030000}"/>
    <cellStyle name="Calculation 6 7" xfId="2072" xr:uid="{00000000-0005-0000-0000-0000CB030000}"/>
    <cellStyle name="Calculation 6 8" xfId="2073" xr:uid="{00000000-0005-0000-0000-0000CC030000}"/>
    <cellStyle name="Calculation 6 9" xfId="2074" xr:uid="{00000000-0005-0000-0000-0000CD030000}"/>
    <cellStyle name="Calculation 7" xfId="2075" xr:uid="{00000000-0005-0000-0000-0000CE030000}"/>
    <cellStyle name="Calculation 7 10" xfId="2076" xr:uid="{00000000-0005-0000-0000-0000CF030000}"/>
    <cellStyle name="Calculation 7 11" xfId="2077" xr:uid="{00000000-0005-0000-0000-0000D0030000}"/>
    <cellStyle name="Calculation 7 12" xfId="2078" xr:uid="{00000000-0005-0000-0000-0000D1030000}"/>
    <cellStyle name="Calculation 7 13" xfId="2079" xr:uid="{00000000-0005-0000-0000-0000D2030000}"/>
    <cellStyle name="Calculation 7 14" xfId="2080" xr:uid="{00000000-0005-0000-0000-0000D3030000}"/>
    <cellStyle name="Calculation 7 15" xfId="2081" xr:uid="{00000000-0005-0000-0000-0000D4030000}"/>
    <cellStyle name="Calculation 7 16" xfId="2082" xr:uid="{00000000-0005-0000-0000-0000D5030000}"/>
    <cellStyle name="Calculation 7 2" xfId="2083" xr:uid="{00000000-0005-0000-0000-0000D6030000}"/>
    <cellStyle name="Calculation 7 3" xfId="2084" xr:uid="{00000000-0005-0000-0000-0000D7030000}"/>
    <cellStyle name="Calculation 7 4" xfId="2085" xr:uid="{00000000-0005-0000-0000-0000D8030000}"/>
    <cellStyle name="Calculation 7 5" xfId="2086" xr:uid="{00000000-0005-0000-0000-0000D9030000}"/>
    <cellStyle name="Calculation 7 6" xfId="2087" xr:uid="{00000000-0005-0000-0000-0000DA030000}"/>
    <cellStyle name="Calculation 7 7" xfId="2088" xr:uid="{00000000-0005-0000-0000-0000DB030000}"/>
    <cellStyle name="Calculation 7 8" xfId="2089" xr:uid="{00000000-0005-0000-0000-0000DC030000}"/>
    <cellStyle name="Calculation 7 9" xfId="2090" xr:uid="{00000000-0005-0000-0000-0000DD030000}"/>
    <cellStyle name="Calculation 8" xfId="2091" xr:uid="{00000000-0005-0000-0000-0000DE030000}"/>
    <cellStyle name="Calculation 8 10" xfId="2092" xr:uid="{00000000-0005-0000-0000-0000DF030000}"/>
    <cellStyle name="Calculation 8 11" xfId="2093" xr:uid="{00000000-0005-0000-0000-0000E0030000}"/>
    <cellStyle name="Calculation 8 12" xfId="2094" xr:uid="{00000000-0005-0000-0000-0000E1030000}"/>
    <cellStyle name="Calculation 8 13" xfId="2095" xr:uid="{00000000-0005-0000-0000-0000E2030000}"/>
    <cellStyle name="Calculation 8 14" xfId="2096" xr:uid="{00000000-0005-0000-0000-0000E3030000}"/>
    <cellStyle name="Calculation 8 15" xfId="2097" xr:uid="{00000000-0005-0000-0000-0000E4030000}"/>
    <cellStyle name="Calculation 8 16" xfId="2098" xr:uid="{00000000-0005-0000-0000-0000E5030000}"/>
    <cellStyle name="Calculation 8 2" xfId="2099" xr:uid="{00000000-0005-0000-0000-0000E6030000}"/>
    <cellStyle name="Calculation 8 3" xfId="2100" xr:uid="{00000000-0005-0000-0000-0000E7030000}"/>
    <cellStyle name="Calculation 8 4" xfId="2101" xr:uid="{00000000-0005-0000-0000-0000E8030000}"/>
    <cellStyle name="Calculation 8 5" xfId="2102" xr:uid="{00000000-0005-0000-0000-0000E9030000}"/>
    <cellStyle name="Calculation 8 6" xfId="2103" xr:uid="{00000000-0005-0000-0000-0000EA030000}"/>
    <cellStyle name="Calculation 8 7" xfId="2104" xr:uid="{00000000-0005-0000-0000-0000EB030000}"/>
    <cellStyle name="Calculation 8 8" xfId="2105" xr:uid="{00000000-0005-0000-0000-0000EC030000}"/>
    <cellStyle name="Calculation 8 9" xfId="2106" xr:uid="{00000000-0005-0000-0000-0000ED030000}"/>
    <cellStyle name="Calculation 9" xfId="2107" xr:uid="{00000000-0005-0000-0000-0000EE030000}"/>
    <cellStyle name="Calculation 9 10" xfId="2108" xr:uid="{00000000-0005-0000-0000-0000EF030000}"/>
    <cellStyle name="Calculation 9 11" xfId="2109" xr:uid="{00000000-0005-0000-0000-0000F0030000}"/>
    <cellStyle name="Calculation 9 12" xfId="2110" xr:uid="{00000000-0005-0000-0000-0000F1030000}"/>
    <cellStyle name="Calculation 9 13" xfId="2111" xr:uid="{00000000-0005-0000-0000-0000F2030000}"/>
    <cellStyle name="Calculation 9 14" xfId="2112" xr:uid="{00000000-0005-0000-0000-0000F3030000}"/>
    <cellStyle name="Calculation 9 15" xfId="2113" xr:uid="{00000000-0005-0000-0000-0000F4030000}"/>
    <cellStyle name="Calculation 9 16" xfId="2114" xr:uid="{00000000-0005-0000-0000-0000F5030000}"/>
    <cellStyle name="Calculation 9 2" xfId="2115" xr:uid="{00000000-0005-0000-0000-0000F6030000}"/>
    <cellStyle name="Calculation 9 3" xfId="2116" xr:uid="{00000000-0005-0000-0000-0000F7030000}"/>
    <cellStyle name="Calculation 9 4" xfId="2117" xr:uid="{00000000-0005-0000-0000-0000F8030000}"/>
    <cellStyle name="Calculation 9 5" xfId="2118" xr:uid="{00000000-0005-0000-0000-0000F9030000}"/>
    <cellStyle name="Calculation 9 6" xfId="2119" xr:uid="{00000000-0005-0000-0000-0000FA030000}"/>
    <cellStyle name="Calculation 9 7" xfId="2120" xr:uid="{00000000-0005-0000-0000-0000FB030000}"/>
    <cellStyle name="Calculation 9 8" xfId="2121" xr:uid="{00000000-0005-0000-0000-0000FC030000}"/>
    <cellStyle name="Calculation 9 9" xfId="2122" xr:uid="{00000000-0005-0000-0000-0000FD030000}"/>
    <cellStyle name="Catatan" xfId="108" xr:uid="{00000000-0005-0000-0000-0000FE030000}"/>
    <cellStyle name="Catatan 2" xfId="109" xr:uid="{00000000-0005-0000-0000-0000FF030000}"/>
    <cellStyle name="Catatan 3" xfId="110" xr:uid="{00000000-0005-0000-0000-000000040000}"/>
    <cellStyle name="Catatan 4" xfId="111" xr:uid="{00000000-0005-0000-0000-000001040000}"/>
    <cellStyle name="Catatan 5" xfId="112" xr:uid="{00000000-0005-0000-0000-000002040000}"/>
    <cellStyle name="Cek Sel" xfId="113" xr:uid="{00000000-0005-0000-0000-000003040000}"/>
    <cellStyle name="Check Cell 10" xfId="2123" xr:uid="{00000000-0005-0000-0000-000004040000}"/>
    <cellStyle name="Check Cell 11" xfId="2124" xr:uid="{00000000-0005-0000-0000-000005040000}"/>
    <cellStyle name="Check Cell 12" xfId="2125" xr:uid="{00000000-0005-0000-0000-000006040000}"/>
    <cellStyle name="Check Cell 13" xfId="2126" xr:uid="{00000000-0005-0000-0000-000007040000}"/>
    <cellStyle name="Check Cell 2" xfId="114" xr:uid="{00000000-0005-0000-0000-000008040000}"/>
    <cellStyle name="Check Cell 3" xfId="2127" xr:uid="{00000000-0005-0000-0000-000009040000}"/>
    <cellStyle name="Check Cell 4" xfId="2128" xr:uid="{00000000-0005-0000-0000-00000A040000}"/>
    <cellStyle name="Check Cell 5" xfId="2129" xr:uid="{00000000-0005-0000-0000-00000B040000}"/>
    <cellStyle name="Check Cell 6" xfId="2130" xr:uid="{00000000-0005-0000-0000-00000C040000}"/>
    <cellStyle name="Check Cell 7" xfId="2131" xr:uid="{00000000-0005-0000-0000-00000D040000}"/>
    <cellStyle name="Check Cell 8" xfId="2132" xr:uid="{00000000-0005-0000-0000-00000E040000}"/>
    <cellStyle name="Check Cell 9" xfId="2133" xr:uid="{00000000-0005-0000-0000-00000F040000}"/>
    <cellStyle name="Comma" xfId="115" builtinId="3"/>
    <cellStyle name="Comma  - Style1" xfId="116" xr:uid="{00000000-0005-0000-0000-000011040000}"/>
    <cellStyle name="Comma  - Style1 2" xfId="117" xr:uid="{00000000-0005-0000-0000-000012040000}"/>
    <cellStyle name="Comma  - Style1 3" xfId="118" xr:uid="{00000000-0005-0000-0000-000013040000}"/>
    <cellStyle name="Comma  - Style1 4" xfId="119" xr:uid="{00000000-0005-0000-0000-000014040000}"/>
    <cellStyle name="Comma  - Style1 5" xfId="120" xr:uid="{00000000-0005-0000-0000-000015040000}"/>
    <cellStyle name="Comma  - Style1 6" xfId="121" xr:uid="{00000000-0005-0000-0000-000016040000}"/>
    <cellStyle name="Comma  - Style1 7" xfId="122" xr:uid="{00000000-0005-0000-0000-000017040000}"/>
    <cellStyle name="Comma  - Style1_2 - RAB-PAJAK MEDAN - 2009 (ME) - r2 -PP" xfId="123" xr:uid="{00000000-0005-0000-0000-000018040000}"/>
    <cellStyle name="Comma  - Style2" xfId="124" xr:uid="{00000000-0005-0000-0000-000019040000}"/>
    <cellStyle name="Comma  - Style2 2" xfId="125" xr:uid="{00000000-0005-0000-0000-00001A040000}"/>
    <cellStyle name="Comma  - Style2 3" xfId="126" xr:uid="{00000000-0005-0000-0000-00001B040000}"/>
    <cellStyle name="Comma  - Style2 4" xfId="127" xr:uid="{00000000-0005-0000-0000-00001C040000}"/>
    <cellStyle name="Comma  - Style2 5" xfId="128" xr:uid="{00000000-0005-0000-0000-00001D040000}"/>
    <cellStyle name="Comma  - Style2 6" xfId="129" xr:uid="{00000000-0005-0000-0000-00001E040000}"/>
    <cellStyle name="Comma  - Style2 7" xfId="130" xr:uid="{00000000-0005-0000-0000-00001F040000}"/>
    <cellStyle name="Comma  - Style2_2 - RAB-PAJAK MEDAN - 2009 (ME) - r2 -PP" xfId="131" xr:uid="{00000000-0005-0000-0000-000020040000}"/>
    <cellStyle name="Comma  - Style3" xfId="132" xr:uid="{00000000-0005-0000-0000-000021040000}"/>
    <cellStyle name="Comma  - Style3 2" xfId="133" xr:uid="{00000000-0005-0000-0000-000022040000}"/>
    <cellStyle name="Comma  - Style3 3" xfId="134" xr:uid="{00000000-0005-0000-0000-000023040000}"/>
    <cellStyle name="Comma  - Style3 4" xfId="135" xr:uid="{00000000-0005-0000-0000-000024040000}"/>
    <cellStyle name="Comma  - Style3 5" xfId="136" xr:uid="{00000000-0005-0000-0000-000025040000}"/>
    <cellStyle name="Comma  - Style3 6" xfId="137" xr:uid="{00000000-0005-0000-0000-000026040000}"/>
    <cellStyle name="Comma  - Style3 7" xfId="138" xr:uid="{00000000-0005-0000-0000-000027040000}"/>
    <cellStyle name="Comma  - Style3_2 - RAB-PAJAK MEDAN - 2009 (ME) - r2 -PP" xfId="139" xr:uid="{00000000-0005-0000-0000-000028040000}"/>
    <cellStyle name="Comma  - Style4" xfId="140" xr:uid="{00000000-0005-0000-0000-000029040000}"/>
    <cellStyle name="Comma  - Style4 2" xfId="141" xr:uid="{00000000-0005-0000-0000-00002A040000}"/>
    <cellStyle name="Comma  - Style4 3" xfId="142" xr:uid="{00000000-0005-0000-0000-00002B040000}"/>
    <cellStyle name="Comma  - Style4 4" xfId="143" xr:uid="{00000000-0005-0000-0000-00002C040000}"/>
    <cellStyle name="Comma  - Style4 5" xfId="144" xr:uid="{00000000-0005-0000-0000-00002D040000}"/>
    <cellStyle name="Comma  - Style4 6" xfId="145" xr:uid="{00000000-0005-0000-0000-00002E040000}"/>
    <cellStyle name="Comma  - Style4 7" xfId="146" xr:uid="{00000000-0005-0000-0000-00002F040000}"/>
    <cellStyle name="Comma  - Style4_2 - RAB-PAJAK MEDAN - 2009 (ME) - r2 -PP" xfId="147" xr:uid="{00000000-0005-0000-0000-000030040000}"/>
    <cellStyle name="Comma  - Style5" xfId="148" xr:uid="{00000000-0005-0000-0000-000031040000}"/>
    <cellStyle name="Comma  - Style5 2" xfId="149" xr:uid="{00000000-0005-0000-0000-000032040000}"/>
    <cellStyle name="Comma  - Style5 3" xfId="150" xr:uid="{00000000-0005-0000-0000-000033040000}"/>
    <cellStyle name="Comma  - Style5 4" xfId="151" xr:uid="{00000000-0005-0000-0000-000034040000}"/>
    <cellStyle name="Comma  - Style5 5" xfId="152" xr:uid="{00000000-0005-0000-0000-000035040000}"/>
    <cellStyle name="Comma  - Style5 6" xfId="153" xr:uid="{00000000-0005-0000-0000-000036040000}"/>
    <cellStyle name="Comma  - Style5 7" xfId="154" xr:uid="{00000000-0005-0000-0000-000037040000}"/>
    <cellStyle name="Comma  - Style5_2 - RAB-PAJAK MEDAN - 2009 (ME) - r2 -PP" xfId="155" xr:uid="{00000000-0005-0000-0000-000038040000}"/>
    <cellStyle name="Comma  - Style6" xfId="156" xr:uid="{00000000-0005-0000-0000-000039040000}"/>
    <cellStyle name="Comma  - Style6 2" xfId="157" xr:uid="{00000000-0005-0000-0000-00003A040000}"/>
    <cellStyle name="Comma  - Style6 3" xfId="158" xr:uid="{00000000-0005-0000-0000-00003B040000}"/>
    <cellStyle name="Comma  - Style6 4" xfId="159" xr:uid="{00000000-0005-0000-0000-00003C040000}"/>
    <cellStyle name="Comma  - Style6 5" xfId="160" xr:uid="{00000000-0005-0000-0000-00003D040000}"/>
    <cellStyle name="Comma  - Style6 6" xfId="161" xr:uid="{00000000-0005-0000-0000-00003E040000}"/>
    <cellStyle name="Comma  - Style6 7" xfId="162" xr:uid="{00000000-0005-0000-0000-00003F040000}"/>
    <cellStyle name="Comma  - Style6_2 - RAB-PAJAK MEDAN - 2009 (ME) - r2 -PP" xfId="163" xr:uid="{00000000-0005-0000-0000-000040040000}"/>
    <cellStyle name="Comma  - Style7" xfId="164" xr:uid="{00000000-0005-0000-0000-000041040000}"/>
    <cellStyle name="Comma  - Style7 2" xfId="165" xr:uid="{00000000-0005-0000-0000-000042040000}"/>
    <cellStyle name="Comma  - Style7 3" xfId="166" xr:uid="{00000000-0005-0000-0000-000043040000}"/>
    <cellStyle name="Comma  - Style7 4" xfId="167" xr:uid="{00000000-0005-0000-0000-000044040000}"/>
    <cellStyle name="Comma  - Style7 5" xfId="168" xr:uid="{00000000-0005-0000-0000-000045040000}"/>
    <cellStyle name="Comma  - Style7 6" xfId="169" xr:uid="{00000000-0005-0000-0000-000046040000}"/>
    <cellStyle name="Comma  - Style7 7" xfId="170" xr:uid="{00000000-0005-0000-0000-000047040000}"/>
    <cellStyle name="Comma  - Style7_2 - RAB-PAJAK MEDAN - 2009 (ME) - r2 -PP" xfId="171" xr:uid="{00000000-0005-0000-0000-000048040000}"/>
    <cellStyle name="Comma  - Style8" xfId="172" xr:uid="{00000000-0005-0000-0000-000049040000}"/>
    <cellStyle name="Comma  - Style8 2" xfId="173" xr:uid="{00000000-0005-0000-0000-00004A040000}"/>
    <cellStyle name="Comma  - Style8 3" xfId="174" xr:uid="{00000000-0005-0000-0000-00004B040000}"/>
    <cellStyle name="Comma  - Style8 4" xfId="175" xr:uid="{00000000-0005-0000-0000-00004C040000}"/>
    <cellStyle name="Comma  - Style8 5" xfId="176" xr:uid="{00000000-0005-0000-0000-00004D040000}"/>
    <cellStyle name="Comma  - Style8 6" xfId="177" xr:uid="{00000000-0005-0000-0000-00004E040000}"/>
    <cellStyle name="Comma  - Style8 7" xfId="178" xr:uid="{00000000-0005-0000-0000-00004F040000}"/>
    <cellStyle name="Comma  - Style8_2 - RAB-PAJAK MEDAN - 2009 (ME) - r2 -PP" xfId="179" xr:uid="{00000000-0005-0000-0000-000050040000}"/>
    <cellStyle name="Comma [0]" xfId="180" builtinId="6"/>
    <cellStyle name="Comma [0] 10" xfId="181" xr:uid="{00000000-0005-0000-0000-000052040000}"/>
    <cellStyle name="Comma [0] 10 2" xfId="182" xr:uid="{00000000-0005-0000-0000-000053040000}"/>
    <cellStyle name="Comma [0] 10 2 2" xfId="1205" xr:uid="{00000000-0005-0000-0000-000054040000}"/>
    <cellStyle name="Comma [0] 10 3" xfId="183" xr:uid="{00000000-0005-0000-0000-000055040000}"/>
    <cellStyle name="Comma [0] 10 3 2" xfId="184" xr:uid="{00000000-0005-0000-0000-000056040000}"/>
    <cellStyle name="Comma [0] 10 4" xfId="2134" xr:uid="{00000000-0005-0000-0000-000057040000}"/>
    <cellStyle name="Comma [0] 10 5" xfId="42617" xr:uid="{00000000-0005-0000-0000-000058040000}"/>
    <cellStyle name="Comma [0] 11" xfId="185" xr:uid="{00000000-0005-0000-0000-000059040000}"/>
    <cellStyle name="Comma [0] 11 2" xfId="186" xr:uid="{00000000-0005-0000-0000-00005A040000}"/>
    <cellStyle name="Comma [0] 11 2 2" xfId="2135" xr:uid="{00000000-0005-0000-0000-00005B040000}"/>
    <cellStyle name="Comma [0] 11 3" xfId="187" xr:uid="{00000000-0005-0000-0000-00005C040000}"/>
    <cellStyle name="Comma [0] 12" xfId="188" xr:uid="{00000000-0005-0000-0000-00005D040000}"/>
    <cellStyle name="Comma [0] 12 2" xfId="189" xr:uid="{00000000-0005-0000-0000-00005E040000}"/>
    <cellStyle name="Comma [0] 13" xfId="190" xr:uid="{00000000-0005-0000-0000-00005F040000}"/>
    <cellStyle name="Comma [0] 13 2" xfId="191" xr:uid="{00000000-0005-0000-0000-000060040000}"/>
    <cellStyle name="Comma [0] 14" xfId="192" xr:uid="{00000000-0005-0000-0000-000061040000}"/>
    <cellStyle name="Comma [0] 15" xfId="193" xr:uid="{00000000-0005-0000-0000-000062040000}"/>
    <cellStyle name="Comma [0] 16" xfId="194" xr:uid="{00000000-0005-0000-0000-000063040000}"/>
    <cellStyle name="Comma [0] 17" xfId="195" xr:uid="{00000000-0005-0000-0000-000064040000}"/>
    <cellStyle name="Comma [0] 17 2" xfId="2136" xr:uid="{00000000-0005-0000-0000-000065040000}"/>
    <cellStyle name="Comma [0] 17 3" xfId="42618" xr:uid="{00000000-0005-0000-0000-000066040000}"/>
    <cellStyle name="Comma [0] 18" xfId="196" xr:uid="{00000000-0005-0000-0000-000067040000}"/>
    <cellStyle name="Comma [0] 18 2" xfId="2137" xr:uid="{00000000-0005-0000-0000-000068040000}"/>
    <cellStyle name="Comma [0] 19" xfId="197" xr:uid="{00000000-0005-0000-0000-000069040000}"/>
    <cellStyle name="Comma [0] 2" xfId="198" xr:uid="{00000000-0005-0000-0000-00006A040000}"/>
    <cellStyle name="Comma [0] 2 10" xfId="2138" xr:uid="{00000000-0005-0000-0000-00006B040000}"/>
    <cellStyle name="Comma [0] 2 10 2" xfId="2139" xr:uid="{00000000-0005-0000-0000-00006C040000}"/>
    <cellStyle name="Comma [0] 2 10 3" xfId="2140" xr:uid="{00000000-0005-0000-0000-00006D040000}"/>
    <cellStyle name="Comma [0] 2 11" xfId="2141" xr:uid="{00000000-0005-0000-0000-00006E040000}"/>
    <cellStyle name="Comma [0] 2 12" xfId="2142" xr:uid="{00000000-0005-0000-0000-00006F040000}"/>
    <cellStyle name="Comma [0] 2 13" xfId="2143" xr:uid="{00000000-0005-0000-0000-000070040000}"/>
    <cellStyle name="Comma [0] 2 14" xfId="2144" xr:uid="{00000000-0005-0000-0000-000071040000}"/>
    <cellStyle name="Comma [0] 2 15" xfId="2145" xr:uid="{00000000-0005-0000-0000-000072040000}"/>
    <cellStyle name="Comma [0] 2 16" xfId="2146" xr:uid="{00000000-0005-0000-0000-000073040000}"/>
    <cellStyle name="Comma [0] 2 17" xfId="2147" xr:uid="{00000000-0005-0000-0000-000074040000}"/>
    <cellStyle name="Comma [0] 2 18" xfId="2148" xr:uid="{00000000-0005-0000-0000-000075040000}"/>
    <cellStyle name="Comma [0] 2 19" xfId="2149" xr:uid="{00000000-0005-0000-0000-000076040000}"/>
    <cellStyle name="Comma [0] 2 2" xfId="199" xr:uid="{00000000-0005-0000-0000-000077040000}"/>
    <cellStyle name="Comma [0] 2 2 10" xfId="2150" xr:uid="{00000000-0005-0000-0000-000078040000}"/>
    <cellStyle name="Comma [0] 2 2 11" xfId="2151" xr:uid="{00000000-0005-0000-0000-000079040000}"/>
    <cellStyle name="Comma [0] 2 2 2" xfId="200" xr:uid="{00000000-0005-0000-0000-00007A040000}"/>
    <cellStyle name="Comma [0] 2 2 2 2" xfId="201" xr:uid="{00000000-0005-0000-0000-00007B040000}"/>
    <cellStyle name="Comma [0] 2 2 3" xfId="202" xr:uid="{00000000-0005-0000-0000-00007C040000}"/>
    <cellStyle name="Comma [0] 2 2 3 2" xfId="203" xr:uid="{00000000-0005-0000-0000-00007D040000}"/>
    <cellStyle name="Comma [0] 2 2 4" xfId="204" xr:uid="{00000000-0005-0000-0000-00007E040000}"/>
    <cellStyle name="Comma [0] 2 2 5" xfId="205" xr:uid="{00000000-0005-0000-0000-00007F040000}"/>
    <cellStyle name="Comma [0] 2 2 6" xfId="206" xr:uid="{00000000-0005-0000-0000-000080040000}"/>
    <cellStyle name="Comma [0] 2 2 7" xfId="207" xr:uid="{00000000-0005-0000-0000-000081040000}"/>
    <cellStyle name="Comma [0] 2 2 8" xfId="2152" xr:uid="{00000000-0005-0000-0000-000082040000}"/>
    <cellStyle name="Comma [0] 2 2 9" xfId="2153" xr:uid="{00000000-0005-0000-0000-000083040000}"/>
    <cellStyle name="Comma [0] 2 2_ANALISA 2008" xfId="2154" xr:uid="{00000000-0005-0000-0000-000084040000}"/>
    <cellStyle name="Comma [0] 2 20" xfId="2155" xr:uid="{00000000-0005-0000-0000-000085040000}"/>
    <cellStyle name="Comma [0] 2 3" xfId="208" xr:uid="{00000000-0005-0000-0000-000086040000}"/>
    <cellStyle name="Comma [0] 2 3 2" xfId="209" xr:uid="{00000000-0005-0000-0000-000087040000}"/>
    <cellStyle name="Comma [0] 2 3 3" xfId="210" xr:uid="{00000000-0005-0000-0000-000088040000}"/>
    <cellStyle name="Comma [0] 2 3 3 2" xfId="42619" xr:uid="{00000000-0005-0000-0000-000089040000}"/>
    <cellStyle name="Comma [0] 2 3 4" xfId="211" xr:uid="{00000000-0005-0000-0000-00008A040000}"/>
    <cellStyle name="Comma [0] 2 3 5" xfId="212" xr:uid="{00000000-0005-0000-0000-00008B040000}"/>
    <cellStyle name="Comma [0] 2 3 6" xfId="213" xr:uid="{00000000-0005-0000-0000-00008C040000}"/>
    <cellStyle name="Comma [0] 2 3 7" xfId="214" xr:uid="{00000000-0005-0000-0000-00008D040000}"/>
    <cellStyle name="Comma [0] 2 3_RAB  POWER HOUSE STAI 07-11-09" xfId="215" xr:uid="{00000000-0005-0000-0000-00008E040000}"/>
    <cellStyle name="Comma [0] 2 4" xfId="216" xr:uid="{00000000-0005-0000-0000-00008F040000}"/>
    <cellStyle name="Comma [0] 2 4 2" xfId="217" xr:uid="{00000000-0005-0000-0000-000090040000}"/>
    <cellStyle name="Comma [0] 2 5" xfId="218" xr:uid="{00000000-0005-0000-0000-000091040000}"/>
    <cellStyle name="Comma [0] 2 6" xfId="219" xr:uid="{00000000-0005-0000-0000-000092040000}"/>
    <cellStyle name="Comma [0] 2 7" xfId="220" xr:uid="{00000000-0005-0000-0000-000093040000}"/>
    <cellStyle name="Comma [0] 2 8" xfId="221" xr:uid="{00000000-0005-0000-0000-000094040000}"/>
    <cellStyle name="Comma [0] 2 9" xfId="2156" xr:uid="{00000000-0005-0000-0000-000095040000}"/>
    <cellStyle name="Comma [0] 2_CV.AJ" xfId="222" xr:uid="{00000000-0005-0000-0000-000096040000}"/>
    <cellStyle name="Comma [0] 20" xfId="223" xr:uid="{00000000-0005-0000-0000-000097040000}"/>
    <cellStyle name="Comma [0] 20 2" xfId="224" xr:uid="{00000000-0005-0000-0000-000098040000}"/>
    <cellStyle name="Comma [0] 20 2 2" xfId="225" xr:uid="{00000000-0005-0000-0000-000099040000}"/>
    <cellStyle name="Comma [0] 21" xfId="226" xr:uid="{00000000-0005-0000-0000-00009A040000}"/>
    <cellStyle name="Comma [0] 21 2" xfId="227" xr:uid="{00000000-0005-0000-0000-00009B040000}"/>
    <cellStyle name="Comma [0] 21 3" xfId="228" xr:uid="{00000000-0005-0000-0000-00009C040000}"/>
    <cellStyle name="Comma [0] 22" xfId="229" xr:uid="{00000000-0005-0000-0000-00009D040000}"/>
    <cellStyle name="Comma [0] 22 2" xfId="230" xr:uid="{00000000-0005-0000-0000-00009E040000}"/>
    <cellStyle name="Comma [0] 23" xfId="2157" xr:uid="{00000000-0005-0000-0000-00009F040000}"/>
    <cellStyle name="Comma [0] 24" xfId="2158" xr:uid="{00000000-0005-0000-0000-0000A0040000}"/>
    <cellStyle name="Comma [0] 25" xfId="2159" xr:uid="{00000000-0005-0000-0000-0000A1040000}"/>
    <cellStyle name="Comma [0] 3" xfId="231" xr:uid="{00000000-0005-0000-0000-0000A2040000}"/>
    <cellStyle name="Comma [0] 3 10" xfId="232" xr:uid="{00000000-0005-0000-0000-0000A3040000}"/>
    <cellStyle name="Comma [0] 3 11" xfId="233" xr:uid="{00000000-0005-0000-0000-0000A4040000}"/>
    <cellStyle name="Comma [0] 3 12" xfId="234" xr:uid="{00000000-0005-0000-0000-0000A5040000}"/>
    <cellStyle name="Comma [0] 3 2" xfId="235" xr:uid="{00000000-0005-0000-0000-0000A6040000}"/>
    <cellStyle name="Comma [0] 3 2 10" xfId="236" xr:uid="{00000000-0005-0000-0000-0000A7040000}"/>
    <cellStyle name="Comma [0] 3 2 2" xfId="237" xr:uid="{00000000-0005-0000-0000-0000A8040000}"/>
    <cellStyle name="Comma [0] 3 2 2 2" xfId="238" xr:uid="{00000000-0005-0000-0000-0000A9040000}"/>
    <cellStyle name="Comma [0] 3 2 2 2 2" xfId="239" xr:uid="{00000000-0005-0000-0000-0000AA040000}"/>
    <cellStyle name="Comma [0] 3 2 2 2 3" xfId="240" xr:uid="{00000000-0005-0000-0000-0000AB040000}"/>
    <cellStyle name="Comma [0] 3 2 2 2 4" xfId="241" xr:uid="{00000000-0005-0000-0000-0000AC040000}"/>
    <cellStyle name="Comma [0] 3 2 2 3" xfId="242" xr:uid="{00000000-0005-0000-0000-0000AD040000}"/>
    <cellStyle name="Comma [0] 3 2 2 4" xfId="243" xr:uid="{00000000-0005-0000-0000-0000AE040000}"/>
    <cellStyle name="Comma [0] 3 2 2 5" xfId="244" xr:uid="{00000000-0005-0000-0000-0000AF040000}"/>
    <cellStyle name="Comma [0] 3 2 2_1-BOQ." xfId="245" xr:uid="{00000000-0005-0000-0000-0000B0040000}"/>
    <cellStyle name="Comma [0] 3 2 3" xfId="246" xr:uid="{00000000-0005-0000-0000-0000B1040000}"/>
    <cellStyle name="Comma [0] 3 2 3 2" xfId="247" xr:uid="{00000000-0005-0000-0000-0000B2040000}"/>
    <cellStyle name="Comma [0] 3 2 3 3" xfId="248" xr:uid="{00000000-0005-0000-0000-0000B3040000}"/>
    <cellStyle name="Comma [0] 3 2 3 4" xfId="249" xr:uid="{00000000-0005-0000-0000-0000B4040000}"/>
    <cellStyle name="Comma [0] 3 2 4" xfId="250" xr:uid="{00000000-0005-0000-0000-0000B5040000}"/>
    <cellStyle name="Comma [0] 3 2 5" xfId="251" xr:uid="{00000000-0005-0000-0000-0000B6040000}"/>
    <cellStyle name="Comma [0] 3 2 6" xfId="252" xr:uid="{00000000-0005-0000-0000-0000B7040000}"/>
    <cellStyle name="Comma [0] 3 2 7" xfId="253" xr:uid="{00000000-0005-0000-0000-0000B8040000}"/>
    <cellStyle name="Comma [0] 3 2 8" xfId="254" xr:uid="{00000000-0005-0000-0000-0000B9040000}"/>
    <cellStyle name="Comma [0] 3 2 9" xfId="255" xr:uid="{00000000-0005-0000-0000-0000BA040000}"/>
    <cellStyle name="Comma [0] 3 2_1-BOQ" xfId="256" xr:uid="{00000000-0005-0000-0000-0000BB040000}"/>
    <cellStyle name="Comma [0] 3 3" xfId="257" xr:uid="{00000000-0005-0000-0000-0000BC040000}"/>
    <cellStyle name="Comma [0] 3 3 2" xfId="258" xr:uid="{00000000-0005-0000-0000-0000BD040000}"/>
    <cellStyle name="Comma [0] 3 3 3" xfId="259" xr:uid="{00000000-0005-0000-0000-0000BE040000}"/>
    <cellStyle name="Comma [0] 3 3 4" xfId="260" xr:uid="{00000000-0005-0000-0000-0000BF040000}"/>
    <cellStyle name="Comma [0] 3 4" xfId="261" xr:uid="{00000000-0005-0000-0000-0000C0040000}"/>
    <cellStyle name="Comma [0] 3 4 2" xfId="262" xr:uid="{00000000-0005-0000-0000-0000C1040000}"/>
    <cellStyle name="Comma [0] 3 4 3" xfId="263" xr:uid="{00000000-0005-0000-0000-0000C2040000}"/>
    <cellStyle name="Comma [0] 3 4 4" xfId="264" xr:uid="{00000000-0005-0000-0000-0000C3040000}"/>
    <cellStyle name="Comma [0] 3 5" xfId="265" xr:uid="{00000000-0005-0000-0000-0000C4040000}"/>
    <cellStyle name="Comma [0] 3 5 2" xfId="266" xr:uid="{00000000-0005-0000-0000-0000C5040000}"/>
    <cellStyle name="Comma [0] 3 5 3" xfId="267" xr:uid="{00000000-0005-0000-0000-0000C6040000}"/>
    <cellStyle name="Comma [0] 3 5 4" xfId="268" xr:uid="{00000000-0005-0000-0000-0000C7040000}"/>
    <cellStyle name="Comma [0] 3 6" xfId="269" xr:uid="{00000000-0005-0000-0000-0000C8040000}"/>
    <cellStyle name="Comma [0] 3 7" xfId="270" xr:uid="{00000000-0005-0000-0000-0000C9040000}"/>
    <cellStyle name="Comma [0] 3 8" xfId="271" xr:uid="{00000000-0005-0000-0000-0000CA040000}"/>
    <cellStyle name="Comma [0] 3 9" xfId="272" xr:uid="{00000000-0005-0000-0000-0000CB040000}"/>
    <cellStyle name="Comma [0] 3_POSKESDES Ds. Lhok Keutapang Tangse" xfId="273" xr:uid="{00000000-0005-0000-0000-0000CC040000}"/>
    <cellStyle name="Comma [0] 4" xfId="274" xr:uid="{00000000-0005-0000-0000-0000CD040000}"/>
    <cellStyle name="Comma [0] 4 2" xfId="275" xr:uid="{00000000-0005-0000-0000-0000CE040000}"/>
    <cellStyle name="Comma [0] 4 2 2" xfId="2160" xr:uid="{00000000-0005-0000-0000-0000CF040000}"/>
    <cellStyle name="Comma [0] 4 2 3" xfId="2161" xr:uid="{00000000-0005-0000-0000-0000D0040000}"/>
    <cellStyle name="Comma [0] 4 2 4" xfId="2162" xr:uid="{00000000-0005-0000-0000-0000D1040000}"/>
    <cellStyle name="Comma [0] 4 2 5" xfId="2163" xr:uid="{00000000-0005-0000-0000-0000D2040000}"/>
    <cellStyle name="Comma [0] 4 2 6" xfId="2164" xr:uid="{00000000-0005-0000-0000-0000D3040000}"/>
    <cellStyle name="Comma [0] 4 2 7" xfId="2165" xr:uid="{00000000-0005-0000-0000-0000D4040000}"/>
    <cellStyle name="Comma [0] 4 3" xfId="276" xr:uid="{00000000-0005-0000-0000-0000D5040000}"/>
    <cellStyle name="Comma [0] 4 3 2" xfId="2166" xr:uid="{00000000-0005-0000-0000-0000D6040000}"/>
    <cellStyle name="Comma [0] 4 3 2 2" xfId="2167" xr:uid="{00000000-0005-0000-0000-0000D7040000}"/>
    <cellStyle name="Comma [0] 4 3 2 3" xfId="2168" xr:uid="{00000000-0005-0000-0000-0000D8040000}"/>
    <cellStyle name="Comma [0] 4 3 3" xfId="2169" xr:uid="{00000000-0005-0000-0000-0000D9040000}"/>
    <cellStyle name="Comma [0] 4 3 4" xfId="2170" xr:uid="{00000000-0005-0000-0000-0000DA040000}"/>
    <cellStyle name="Comma [0] 4 4" xfId="277" xr:uid="{00000000-0005-0000-0000-0000DB040000}"/>
    <cellStyle name="Comma [0] 4 5" xfId="2171" xr:uid="{00000000-0005-0000-0000-0000DC040000}"/>
    <cellStyle name="Comma [0] 4 6" xfId="2172" xr:uid="{00000000-0005-0000-0000-0000DD040000}"/>
    <cellStyle name="Comma [0] 4 7" xfId="2173" xr:uid="{00000000-0005-0000-0000-0000DE040000}"/>
    <cellStyle name="Comma [0] 4 8" xfId="2174" xr:uid="{00000000-0005-0000-0000-0000DF040000}"/>
    <cellStyle name="Comma [0] 5" xfId="278" xr:uid="{00000000-0005-0000-0000-0000E0040000}"/>
    <cellStyle name="Comma [0] 5 2" xfId="279" xr:uid="{00000000-0005-0000-0000-0000E1040000}"/>
    <cellStyle name="Comma [0] 5 2 2" xfId="2175" xr:uid="{00000000-0005-0000-0000-0000E2040000}"/>
    <cellStyle name="Comma [0] 5 2 3" xfId="2176" xr:uid="{00000000-0005-0000-0000-0000E3040000}"/>
    <cellStyle name="Comma [0] 5 2 4" xfId="2177" xr:uid="{00000000-0005-0000-0000-0000E4040000}"/>
    <cellStyle name="Comma [0] 5 3" xfId="280" xr:uid="{00000000-0005-0000-0000-0000E5040000}"/>
    <cellStyle name="Comma [0] 5 4" xfId="281" xr:uid="{00000000-0005-0000-0000-0000E6040000}"/>
    <cellStyle name="Comma [0] 5 5" xfId="282" xr:uid="{00000000-0005-0000-0000-0000E7040000}"/>
    <cellStyle name="Comma [0] 5 6" xfId="2178" xr:uid="{00000000-0005-0000-0000-0000E8040000}"/>
    <cellStyle name="Comma [0] 6" xfId="283" xr:uid="{00000000-0005-0000-0000-0000E9040000}"/>
    <cellStyle name="Comma [0] 6 2" xfId="284" xr:uid="{00000000-0005-0000-0000-0000EA040000}"/>
    <cellStyle name="Comma [0] 6 2 2" xfId="2179" xr:uid="{00000000-0005-0000-0000-0000EB040000}"/>
    <cellStyle name="Comma [0] 6 2 2 2" xfId="2180" xr:uid="{00000000-0005-0000-0000-0000EC040000}"/>
    <cellStyle name="Comma [0] 6 3" xfId="285" xr:uid="{00000000-0005-0000-0000-0000ED040000}"/>
    <cellStyle name="Comma [0] 6 3 2" xfId="2181" xr:uid="{00000000-0005-0000-0000-0000EE040000}"/>
    <cellStyle name="Comma [0] 6 3 3" xfId="2182" xr:uid="{00000000-0005-0000-0000-0000EF040000}"/>
    <cellStyle name="Comma [0] 6 4" xfId="286" xr:uid="{00000000-0005-0000-0000-0000F0040000}"/>
    <cellStyle name="Comma [0] 6 5" xfId="2183" xr:uid="{00000000-0005-0000-0000-0000F1040000}"/>
    <cellStyle name="Comma [0] 6 6" xfId="2184" xr:uid="{00000000-0005-0000-0000-0000F2040000}"/>
    <cellStyle name="Comma [0] 6 7" xfId="2185" xr:uid="{00000000-0005-0000-0000-0000F3040000}"/>
    <cellStyle name="Comma [0] 6 8" xfId="2186" xr:uid="{00000000-0005-0000-0000-0000F4040000}"/>
    <cellStyle name="Comma [0] 7" xfId="287" xr:uid="{00000000-0005-0000-0000-0000F5040000}"/>
    <cellStyle name="Comma [0] 7 2" xfId="288" xr:uid="{00000000-0005-0000-0000-0000F6040000}"/>
    <cellStyle name="Comma [0] 7 3" xfId="289" xr:uid="{00000000-0005-0000-0000-0000F7040000}"/>
    <cellStyle name="Comma [0] 7 4" xfId="290" xr:uid="{00000000-0005-0000-0000-0000F8040000}"/>
    <cellStyle name="Comma [0] 8" xfId="291" xr:uid="{00000000-0005-0000-0000-0000F9040000}"/>
    <cellStyle name="Comma [0] 8 2" xfId="2187" xr:uid="{00000000-0005-0000-0000-0000FA040000}"/>
    <cellStyle name="Comma [0] 8 3" xfId="2188" xr:uid="{00000000-0005-0000-0000-0000FB040000}"/>
    <cellStyle name="Comma [0] 8 4" xfId="2189" xr:uid="{00000000-0005-0000-0000-0000FC040000}"/>
    <cellStyle name="Comma [0] 8 5" xfId="2190" xr:uid="{00000000-0005-0000-0000-0000FD040000}"/>
    <cellStyle name="Comma [0] 8 6" xfId="2191" xr:uid="{00000000-0005-0000-0000-0000FE040000}"/>
    <cellStyle name="Comma [0] 9" xfId="292" xr:uid="{00000000-0005-0000-0000-0000FF040000}"/>
    <cellStyle name="Comma [0] 9 2" xfId="293" xr:uid="{00000000-0005-0000-0000-000000050000}"/>
    <cellStyle name="Comma [0] 9 3" xfId="42620" xr:uid="{00000000-0005-0000-0000-000001050000}"/>
    <cellStyle name="Comma [0]_Analisa Harga Satuan (version 2)" xfId="42648" xr:uid="{00000000-0005-0000-0000-000002050000}"/>
    <cellStyle name="Comma [2]" xfId="294" xr:uid="{00000000-0005-0000-0000-000003050000}"/>
    <cellStyle name="Comma [2] 2" xfId="2192" xr:uid="{00000000-0005-0000-0000-000004050000}"/>
    <cellStyle name="Comma [2] 3" xfId="2193" xr:uid="{00000000-0005-0000-0000-000005050000}"/>
    <cellStyle name="Comma [2] 4" xfId="2194" xr:uid="{00000000-0005-0000-0000-000006050000}"/>
    <cellStyle name="Comma [2] 5" xfId="2195" xr:uid="{00000000-0005-0000-0000-000007050000}"/>
    <cellStyle name="Comma [2] 6" xfId="2196" xr:uid="{00000000-0005-0000-0000-000008050000}"/>
    <cellStyle name="Comma [3]" xfId="295" xr:uid="{00000000-0005-0000-0000-000009050000}"/>
    <cellStyle name="Comma 0" xfId="296" xr:uid="{00000000-0005-0000-0000-00000A050000}"/>
    <cellStyle name="Comma 10" xfId="297" xr:uid="{00000000-0005-0000-0000-00000B050000}"/>
    <cellStyle name="Comma 10 2" xfId="298" xr:uid="{00000000-0005-0000-0000-00000C050000}"/>
    <cellStyle name="Comma 10 2 2" xfId="2197" xr:uid="{00000000-0005-0000-0000-00000D050000}"/>
    <cellStyle name="Comma 10 2 2 2" xfId="42621" xr:uid="{00000000-0005-0000-0000-00000E050000}"/>
    <cellStyle name="Comma 10 3" xfId="299" xr:uid="{00000000-0005-0000-0000-00000F050000}"/>
    <cellStyle name="Comma 10 4" xfId="2198" xr:uid="{00000000-0005-0000-0000-000010050000}"/>
    <cellStyle name="Comma 11" xfId="300" xr:uid="{00000000-0005-0000-0000-000011050000}"/>
    <cellStyle name="Comma 11 2" xfId="301" xr:uid="{00000000-0005-0000-0000-000012050000}"/>
    <cellStyle name="Comma 11 3" xfId="302" xr:uid="{00000000-0005-0000-0000-000013050000}"/>
    <cellStyle name="Comma 11 3 2" xfId="303" xr:uid="{00000000-0005-0000-0000-000014050000}"/>
    <cellStyle name="Comma 11_METODOLOGI" xfId="2199" xr:uid="{00000000-0005-0000-0000-000015050000}"/>
    <cellStyle name="Comma 12" xfId="304" xr:uid="{00000000-0005-0000-0000-000016050000}"/>
    <cellStyle name="Comma 12 2" xfId="305" xr:uid="{00000000-0005-0000-0000-000017050000}"/>
    <cellStyle name="Comma 12 3" xfId="306" xr:uid="{00000000-0005-0000-0000-000018050000}"/>
    <cellStyle name="Comma 12 4" xfId="307" xr:uid="{00000000-0005-0000-0000-000019050000}"/>
    <cellStyle name="Comma 12 4 2" xfId="308" xr:uid="{00000000-0005-0000-0000-00001A050000}"/>
    <cellStyle name="Comma 13" xfId="309" xr:uid="{00000000-0005-0000-0000-00001B050000}"/>
    <cellStyle name="Comma 13 10" xfId="2200" xr:uid="{00000000-0005-0000-0000-00001C050000}"/>
    <cellStyle name="Comma 13 11" xfId="2201" xr:uid="{00000000-0005-0000-0000-00001D050000}"/>
    <cellStyle name="Comma 13 12" xfId="2202" xr:uid="{00000000-0005-0000-0000-00001E050000}"/>
    <cellStyle name="Comma 13 13" xfId="2203" xr:uid="{00000000-0005-0000-0000-00001F050000}"/>
    <cellStyle name="Comma 13 14" xfId="2204" xr:uid="{00000000-0005-0000-0000-000020050000}"/>
    <cellStyle name="Comma 13 15" xfId="2205" xr:uid="{00000000-0005-0000-0000-000021050000}"/>
    <cellStyle name="Comma 13 16" xfId="2206" xr:uid="{00000000-0005-0000-0000-000022050000}"/>
    <cellStyle name="Comma 13 17" xfId="2207" xr:uid="{00000000-0005-0000-0000-000023050000}"/>
    <cellStyle name="Comma 13 18" xfId="2208" xr:uid="{00000000-0005-0000-0000-000024050000}"/>
    <cellStyle name="Comma 13 2" xfId="310" xr:uid="{00000000-0005-0000-0000-000025050000}"/>
    <cellStyle name="Comma 13 3" xfId="2209" xr:uid="{00000000-0005-0000-0000-000026050000}"/>
    <cellStyle name="Comma 13 4" xfId="2210" xr:uid="{00000000-0005-0000-0000-000027050000}"/>
    <cellStyle name="Comma 13 5" xfId="2211" xr:uid="{00000000-0005-0000-0000-000028050000}"/>
    <cellStyle name="Comma 13 6" xfId="2212" xr:uid="{00000000-0005-0000-0000-000029050000}"/>
    <cellStyle name="Comma 13 7" xfId="2213" xr:uid="{00000000-0005-0000-0000-00002A050000}"/>
    <cellStyle name="Comma 13 8" xfId="2214" xr:uid="{00000000-0005-0000-0000-00002B050000}"/>
    <cellStyle name="Comma 13 9" xfId="2215" xr:uid="{00000000-0005-0000-0000-00002C050000}"/>
    <cellStyle name="Comma 14" xfId="311" xr:uid="{00000000-0005-0000-0000-00002D050000}"/>
    <cellStyle name="Comma 14 10" xfId="2216" xr:uid="{00000000-0005-0000-0000-00002E050000}"/>
    <cellStyle name="Comma 14 11" xfId="2217" xr:uid="{00000000-0005-0000-0000-00002F050000}"/>
    <cellStyle name="Comma 14 12" xfId="2218" xr:uid="{00000000-0005-0000-0000-000030050000}"/>
    <cellStyle name="Comma 14 13" xfId="2219" xr:uid="{00000000-0005-0000-0000-000031050000}"/>
    <cellStyle name="Comma 14 14" xfId="2220" xr:uid="{00000000-0005-0000-0000-000032050000}"/>
    <cellStyle name="Comma 14 15" xfId="2221" xr:uid="{00000000-0005-0000-0000-000033050000}"/>
    <cellStyle name="Comma 14 16" xfId="2222" xr:uid="{00000000-0005-0000-0000-000034050000}"/>
    <cellStyle name="Comma 14 17" xfId="2223" xr:uid="{00000000-0005-0000-0000-000035050000}"/>
    <cellStyle name="Comma 14 18" xfId="2224" xr:uid="{00000000-0005-0000-0000-000036050000}"/>
    <cellStyle name="Comma 14 19" xfId="2225" xr:uid="{00000000-0005-0000-0000-000037050000}"/>
    <cellStyle name="Comma 14 2" xfId="312" xr:uid="{00000000-0005-0000-0000-000038050000}"/>
    <cellStyle name="Comma 14 3" xfId="2226" xr:uid="{00000000-0005-0000-0000-000039050000}"/>
    <cellStyle name="Comma 14 4" xfId="2227" xr:uid="{00000000-0005-0000-0000-00003A050000}"/>
    <cellStyle name="Comma 14 5" xfId="2228" xr:uid="{00000000-0005-0000-0000-00003B050000}"/>
    <cellStyle name="Comma 14 6" xfId="2229" xr:uid="{00000000-0005-0000-0000-00003C050000}"/>
    <cellStyle name="Comma 14 7" xfId="2230" xr:uid="{00000000-0005-0000-0000-00003D050000}"/>
    <cellStyle name="Comma 14 8" xfId="2231" xr:uid="{00000000-0005-0000-0000-00003E050000}"/>
    <cellStyle name="Comma 14 9" xfId="2232" xr:uid="{00000000-0005-0000-0000-00003F050000}"/>
    <cellStyle name="Comma 15" xfId="313" xr:uid="{00000000-0005-0000-0000-000040050000}"/>
    <cellStyle name="Comma 15 2" xfId="2233" xr:uid="{00000000-0005-0000-0000-000041050000}"/>
    <cellStyle name="Comma 15 3" xfId="2234" xr:uid="{00000000-0005-0000-0000-000042050000}"/>
    <cellStyle name="Comma 15 3 2" xfId="2235" xr:uid="{00000000-0005-0000-0000-000043050000}"/>
    <cellStyle name="Comma 16" xfId="314" xr:uid="{00000000-0005-0000-0000-000044050000}"/>
    <cellStyle name="Comma 16 2" xfId="2236" xr:uid="{00000000-0005-0000-0000-000045050000}"/>
    <cellStyle name="Comma 16 3" xfId="2237" xr:uid="{00000000-0005-0000-0000-000046050000}"/>
    <cellStyle name="Comma 17" xfId="315" xr:uid="{00000000-0005-0000-0000-000047050000}"/>
    <cellStyle name="Comma 17 2" xfId="316" xr:uid="{00000000-0005-0000-0000-000048050000}"/>
    <cellStyle name="Comma 17 2 2" xfId="317" xr:uid="{00000000-0005-0000-0000-000049050000}"/>
    <cellStyle name="Comma 17 3" xfId="318" xr:uid="{00000000-0005-0000-0000-00004A050000}"/>
    <cellStyle name="Comma 17 3 2" xfId="319" xr:uid="{00000000-0005-0000-0000-00004B050000}"/>
    <cellStyle name="Comma 17 4" xfId="320" xr:uid="{00000000-0005-0000-0000-00004C050000}"/>
    <cellStyle name="Comma 17 4 2" xfId="321" xr:uid="{00000000-0005-0000-0000-00004D050000}"/>
    <cellStyle name="Comma 17 5" xfId="322" xr:uid="{00000000-0005-0000-0000-00004E050000}"/>
    <cellStyle name="Comma 17 5 2" xfId="323" xr:uid="{00000000-0005-0000-0000-00004F050000}"/>
    <cellStyle name="Comma 17 6" xfId="324" xr:uid="{00000000-0005-0000-0000-000050050000}"/>
    <cellStyle name="Comma 17 7" xfId="325" xr:uid="{00000000-0005-0000-0000-000051050000}"/>
    <cellStyle name="Comma 17 7 2" xfId="326" xr:uid="{00000000-0005-0000-0000-000052050000}"/>
    <cellStyle name="Comma 18" xfId="327" xr:uid="{00000000-0005-0000-0000-000053050000}"/>
    <cellStyle name="Comma 18 10" xfId="2238" xr:uid="{00000000-0005-0000-0000-000054050000}"/>
    <cellStyle name="Comma 18 11" xfId="2239" xr:uid="{00000000-0005-0000-0000-000055050000}"/>
    <cellStyle name="Comma 18 12" xfId="2240" xr:uid="{00000000-0005-0000-0000-000056050000}"/>
    <cellStyle name="Comma 18 13" xfId="2241" xr:uid="{00000000-0005-0000-0000-000057050000}"/>
    <cellStyle name="Comma 18 14" xfId="2242" xr:uid="{00000000-0005-0000-0000-000058050000}"/>
    <cellStyle name="Comma 18 15" xfId="2243" xr:uid="{00000000-0005-0000-0000-000059050000}"/>
    <cellStyle name="Comma 18 16" xfId="2244" xr:uid="{00000000-0005-0000-0000-00005A050000}"/>
    <cellStyle name="Comma 18 17" xfId="2245" xr:uid="{00000000-0005-0000-0000-00005B050000}"/>
    <cellStyle name="Comma 18 18" xfId="2246" xr:uid="{00000000-0005-0000-0000-00005C050000}"/>
    <cellStyle name="Comma 18 2" xfId="328" xr:uid="{00000000-0005-0000-0000-00005D050000}"/>
    <cellStyle name="Comma 18 3" xfId="2247" xr:uid="{00000000-0005-0000-0000-00005E050000}"/>
    <cellStyle name="Comma 18 4" xfId="2248" xr:uid="{00000000-0005-0000-0000-00005F050000}"/>
    <cellStyle name="Comma 18 5" xfId="2249" xr:uid="{00000000-0005-0000-0000-000060050000}"/>
    <cellStyle name="Comma 18 6" xfId="2250" xr:uid="{00000000-0005-0000-0000-000061050000}"/>
    <cellStyle name="Comma 18 7" xfId="2251" xr:uid="{00000000-0005-0000-0000-000062050000}"/>
    <cellStyle name="Comma 18 8" xfId="2252" xr:uid="{00000000-0005-0000-0000-000063050000}"/>
    <cellStyle name="Comma 18 9" xfId="2253" xr:uid="{00000000-0005-0000-0000-000064050000}"/>
    <cellStyle name="Comma 19" xfId="329" xr:uid="{00000000-0005-0000-0000-000065050000}"/>
    <cellStyle name="Comma 19 2" xfId="2254" xr:uid="{00000000-0005-0000-0000-000066050000}"/>
    <cellStyle name="Comma 19 3" xfId="2255" xr:uid="{00000000-0005-0000-0000-000067050000}"/>
    <cellStyle name="Comma 2" xfId="330" xr:uid="{00000000-0005-0000-0000-000068050000}"/>
    <cellStyle name="Comma 2 10" xfId="331" xr:uid="{00000000-0005-0000-0000-000069050000}"/>
    <cellStyle name="Comma 2 10 2" xfId="2256" xr:uid="{00000000-0005-0000-0000-00006A050000}"/>
    <cellStyle name="Comma 2 10 2 2" xfId="2257" xr:uid="{00000000-0005-0000-0000-00006B050000}"/>
    <cellStyle name="Comma 2 11" xfId="2258" xr:uid="{00000000-0005-0000-0000-00006C050000}"/>
    <cellStyle name="Comma 2 13" xfId="2259" xr:uid="{00000000-0005-0000-0000-00006D050000}"/>
    <cellStyle name="Comma 2 14" xfId="2260" xr:uid="{00000000-0005-0000-0000-00006E050000}"/>
    <cellStyle name="Comma 2 15" xfId="2261" xr:uid="{00000000-0005-0000-0000-00006F050000}"/>
    <cellStyle name="Comma 2 16" xfId="2262" xr:uid="{00000000-0005-0000-0000-000070050000}"/>
    <cellStyle name="Comma 2 2" xfId="332" xr:uid="{00000000-0005-0000-0000-000071050000}"/>
    <cellStyle name="Comma 2 2 10" xfId="333" xr:uid="{00000000-0005-0000-0000-000072050000}"/>
    <cellStyle name="Comma 2 2 11" xfId="334" xr:uid="{00000000-0005-0000-0000-000073050000}"/>
    <cellStyle name="Comma 2 2 12" xfId="335" xr:uid="{00000000-0005-0000-0000-000074050000}"/>
    <cellStyle name="Comma 2 2 13" xfId="336" xr:uid="{00000000-0005-0000-0000-000075050000}"/>
    <cellStyle name="Comma 2 2 2" xfId="337" xr:uid="{00000000-0005-0000-0000-000076050000}"/>
    <cellStyle name="Comma 2 2 2 2" xfId="338" xr:uid="{00000000-0005-0000-0000-000077050000}"/>
    <cellStyle name="Comma 2 2 2 3" xfId="2263" xr:uid="{00000000-0005-0000-0000-000078050000}"/>
    <cellStyle name="Comma 2 2 3" xfId="339" xr:uid="{00000000-0005-0000-0000-000079050000}"/>
    <cellStyle name="Comma 2 2 3 2" xfId="340" xr:uid="{00000000-0005-0000-0000-00007A050000}"/>
    <cellStyle name="Comma 2 2 4" xfId="341" xr:uid="{00000000-0005-0000-0000-00007B050000}"/>
    <cellStyle name="Comma 2 2 4 2" xfId="342" xr:uid="{00000000-0005-0000-0000-00007C050000}"/>
    <cellStyle name="Comma 2 2 5" xfId="343" xr:uid="{00000000-0005-0000-0000-00007D050000}"/>
    <cellStyle name="Comma 2 2 6" xfId="344" xr:uid="{00000000-0005-0000-0000-00007E050000}"/>
    <cellStyle name="Comma 2 2 7" xfId="345" xr:uid="{00000000-0005-0000-0000-00007F050000}"/>
    <cellStyle name="Comma 2 2 8" xfId="346" xr:uid="{00000000-0005-0000-0000-000080050000}"/>
    <cellStyle name="Comma 2 2 9" xfId="347" xr:uid="{00000000-0005-0000-0000-000081050000}"/>
    <cellStyle name="Comma 2 2_PEN. RSU SMD'10" xfId="2264" xr:uid="{00000000-0005-0000-0000-000082050000}"/>
    <cellStyle name="Comma 2 23" xfId="2265" xr:uid="{00000000-0005-0000-0000-000083050000}"/>
    <cellStyle name="Comma 2 3" xfId="348" xr:uid="{00000000-0005-0000-0000-000084050000}"/>
    <cellStyle name="Comma 2 3 2" xfId="349" xr:uid="{00000000-0005-0000-0000-000085050000}"/>
    <cellStyle name="Comma 2 3 2 2" xfId="350" xr:uid="{00000000-0005-0000-0000-000086050000}"/>
    <cellStyle name="Comma 2 3 2 3" xfId="351" xr:uid="{00000000-0005-0000-0000-000087050000}"/>
    <cellStyle name="Comma 2 3 2 4" xfId="352" xr:uid="{00000000-0005-0000-0000-000088050000}"/>
    <cellStyle name="Comma 2 3 2 5" xfId="42622" xr:uid="{00000000-0005-0000-0000-000089050000}"/>
    <cellStyle name="Comma 2 3 3" xfId="353" xr:uid="{00000000-0005-0000-0000-00008A050000}"/>
    <cellStyle name="Comma 2 3 4" xfId="354" xr:uid="{00000000-0005-0000-0000-00008B050000}"/>
    <cellStyle name="Comma 2 3 5" xfId="355" xr:uid="{00000000-0005-0000-0000-00008C050000}"/>
    <cellStyle name="Comma 2 3 6" xfId="356" xr:uid="{00000000-0005-0000-0000-00008D050000}"/>
    <cellStyle name="Comma 2 3 7" xfId="357" xr:uid="{00000000-0005-0000-0000-00008E050000}"/>
    <cellStyle name="Comma 2 4" xfId="358" xr:uid="{00000000-0005-0000-0000-00008F050000}"/>
    <cellStyle name="Comma 2 4 2" xfId="359" xr:uid="{00000000-0005-0000-0000-000090050000}"/>
    <cellStyle name="Comma 2 4 3" xfId="360" xr:uid="{00000000-0005-0000-0000-000091050000}"/>
    <cellStyle name="Comma 2 4 4" xfId="361" xr:uid="{00000000-0005-0000-0000-000092050000}"/>
    <cellStyle name="Comma 2 4 5" xfId="362" xr:uid="{00000000-0005-0000-0000-000093050000}"/>
    <cellStyle name="Comma 2 5" xfId="363" xr:uid="{00000000-0005-0000-0000-000094050000}"/>
    <cellStyle name="Comma 2 5 2" xfId="364" xr:uid="{00000000-0005-0000-0000-000095050000}"/>
    <cellStyle name="Comma 2 5 3" xfId="365" xr:uid="{00000000-0005-0000-0000-000096050000}"/>
    <cellStyle name="Comma 2 5 3 2" xfId="366" xr:uid="{00000000-0005-0000-0000-000097050000}"/>
    <cellStyle name="Comma 2 6" xfId="367" xr:uid="{00000000-0005-0000-0000-000098050000}"/>
    <cellStyle name="Comma 2 6 2" xfId="368" xr:uid="{00000000-0005-0000-0000-000099050000}"/>
    <cellStyle name="Comma 2 6 2 2" xfId="2266" xr:uid="{00000000-0005-0000-0000-00009A050000}"/>
    <cellStyle name="Comma 2 7" xfId="369" xr:uid="{00000000-0005-0000-0000-00009B050000}"/>
    <cellStyle name="Comma 2 8" xfId="370" xr:uid="{00000000-0005-0000-0000-00009C050000}"/>
    <cellStyle name="Comma 2 8 2" xfId="42623" xr:uid="{00000000-0005-0000-0000-00009D050000}"/>
    <cellStyle name="Comma 2 9" xfId="2267" xr:uid="{00000000-0005-0000-0000-00009E050000}"/>
    <cellStyle name="Comma 2 9 2" xfId="2268" xr:uid="{00000000-0005-0000-0000-00009F050000}"/>
    <cellStyle name="Comma 2_Cost Plan Grand Kartini_R5a" xfId="2269" xr:uid="{00000000-0005-0000-0000-0000A0050000}"/>
    <cellStyle name="Comma 20" xfId="371" xr:uid="{00000000-0005-0000-0000-0000A1050000}"/>
    <cellStyle name="Comma 20 2" xfId="372" xr:uid="{00000000-0005-0000-0000-0000A2050000}"/>
    <cellStyle name="Comma 20 2 2" xfId="373" xr:uid="{00000000-0005-0000-0000-0000A3050000}"/>
    <cellStyle name="Comma 20 3" xfId="374" xr:uid="{00000000-0005-0000-0000-0000A4050000}"/>
    <cellStyle name="Comma 20 3 2" xfId="375" xr:uid="{00000000-0005-0000-0000-0000A5050000}"/>
    <cellStyle name="Comma 20 4" xfId="376" xr:uid="{00000000-0005-0000-0000-0000A6050000}"/>
    <cellStyle name="Comma 20 4 2" xfId="377" xr:uid="{00000000-0005-0000-0000-0000A7050000}"/>
    <cellStyle name="Comma 20 5" xfId="378" xr:uid="{00000000-0005-0000-0000-0000A8050000}"/>
    <cellStyle name="Comma 20 5 2" xfId="379" xr:uid="{00000000-0005-0000-0000-0000A9050000}"/>
    <cellStyle name="Comma 20 6" xfId="380" xr:uid="{00000000-0005-0000-0000-0000AA050000}"/>
    <cellStyle name="Comma 20 7" xfId="381" xr:uid="{00000000-0005-0000-0000-0000AB050000}"/>
    <cellStyle name="Comma 20 7 2" xfId="382" xr:uid="{00000000-0005-0000-0000-0000AC050000}"/>
    <cellStyle name="Comma 20 8" xfId="383" xr:uid="{00000000-0005-0000-0000-0000AD050000}"/>
    <cellStyle name="Comma 21" xfId="384" xr:uid="{00000000-0005-0000-0000-0000AE050000}"/>
    <cellStyle name="Comma 21 2" xfId="2270" xr:uid="{00000000-0005-0000-0000-0000AF050000}"/>
    <cellStyle name="Comma 21 3" xfId="2271" xr:uid="{00000000-0005-0000-0000-0000B0050000}"/>
    <cellStyle name="Comma 22" xfId="385" xr:uid="{00000000-0005-0000-0000-0000B1050000}"/>
    <cellStyle name="Comma 23" xfId="386" xr:uid="{00000000-0005-0000-0000-0000B2050000}"/>
    <cellStyle name="Comma 23 2" xfId="2272" xr:uid="{00000000-0005-0000-0000-0000B3050000}"/>
    <cellStyle name="Comma 23 3" xfId="2273" xr:uid="{00000000-0005-0000-0000-0000B4050000}"/>
    <cellStyle name="Comma 24" xfId="387" xr:uid="{00000000-0005-0000-0000-0000B5050000}"/>
    <cellStyle name="Comma 24 2" xfId="2274" xr:uid="{00000000-0005-0000-0000-0000B6050000}"/>
    <cellStyle name="Comma 24 3" xfId="2275" xr:uid="{00000000-0005-0000-0000-0000B7050000}"/>
    <cellStyle name="Comma 25" xfId="388" xr:uid="{00000000-0005-0000-0000-0000B8050000}"/>
    <cellStyle name="Comma 26" xfId="389" xr:uid="{00000000-0005-0000-0000-0000B9050000}"/>
    <cellStyle name="Comma 26 2" xfId="1207" xr:uid="{00000000-0005-0000-0000-0000BA050000}"/>
    <cellStyle name="Comma 26 3" xfId="42624" xr:uid="{00000000-0005-0000-0000-0000BB050000}"/>
    <cellStyle name="Comma 27" xfId="390" xr:uid="{00000000-0005-0000-0000-0000BC050000}"/>
    <cellStyle name="Comma 28" xfId="391" xr:uid="{00000000-0005-0000-0000-0000BD050000}"/>
    <cellStyle name="Comma 29" xfId="392" xr:uid="{00000000-0005-0000-0000-0000BE050000}"/>
    <cellStyle name="Comma 3" xfId="393" xr:uid="{00000000-0005-0000-0000-0000BF050000}"/>
    <cellStyle name="Comma 3 10" xfId="394" xr:uid="{00000000-0005-0000-0000-0000C0050000}"/>
    <cellStyle name="Comma 3 11" xfId="395" xr:uid="{00000000-0005-0000-0000-0000C1050000}"/>
    <cellStyle name="Comma 3 12" xfId="396" xr:uid="{00000000-0005-0000-0000-0000C2050000}"/>
    <cellStyle name="Comma 3 13" xfId="397" xr:uid="{00000000-0005-0000-0000-0000C3050000}"/>
    <cellStyle name="Comma 3 14" xfId="398" xr:uid="{00000000-0005-0000-0000-0000C4050000}"/>
    <cellStyle name="Comma 3 15" xfId="2276" xr:uid="{00000000-0005-0000-0000-0000C5050000}"/>
    <cellStyle name="Comma 3 16" xfId="2277" xr:uid="{00000000-0005-0000-0000-0000C6050000}"/>
    <cellStyle name="Comma 3 17" xfId="2278" xr:uid="{00000000-0005-0000-0000-0000C7050000}"/>
    <cellStyle name="Comma 3 18" xfId="2279" xr:uid="{00000000-0005-0000-0000-0000C8050000}"/>
    <cellStyle name="Comma 3 19" xfId="2280" xr:uid="{00000000-0005-0000-0000-0000C9050000}"/>
    <cellStyle name="Comma 3 2" xfId="399" xr:uid="{00000000-0005-0000-0000-0000CA050000}"/>
    <cellStyle name="Comma 3 2 10" xfId="2281" xr:uid="{00000000-0005-0000-0000-0000CB050000}"/>
    <cellStyle name="Comma 3 2 11" xfId="2282" xr:uid="{00000000-0005-0000-0000-0000CC050000}"/>
    <cellStyle name="Comma 3 2 12" xfId="2283" xr:uid="{00000000-0005-0000-0000-0000CD050000}"/>
    <cellStyle name="Comma 3 2 13" xfId="2284" xr:uid="{00000000-0005-0000-0000-0000CE050000}"/>
    <cellStyle name="Comma 3 2 2" xfId="400" xr:uid="{00000000-0005-0000-0000-0000CF050000}"/>
    <cellStyle name="Comma 3 2 2 2" xfId="2285" xr:uid="{00000000-0005-0000-0000-0000D0050000}"/>
    <cellStyle name="Comma 3 2 3" xfId="401" xr:uid="{00000000-0005-0000-0000-0000D1050000}"/>
    <cellStyle name="Comma 3 2 4" xfId="402" xr:uid="{00000000-0005-0000-0000-0000D2050000}"/>
    <cellStyle name="Comma 3 2 5" xfId="2286" xr:uid="{00000000-0005-0000-0000-0000D3050000}"/>
    <cellStyle name="Comma 3 2 6" xfId="2287" xr:uid="{00000000-0005-0000-0000-0000D4050000}"/>
    <cellStyle name="Comma 3 2 7" xfId="2288" xr:uid="{00000000-0005-0000-0000-0000D5050000}"/>
    <cellStyle name="Comma 3 2 8" xfId="2289" xr:uid="{00000000-0005-0000-0000-0000D6050000}"/>
    <cellStyle name="Comma 3 2 9" xfId="2290" xr:uid="{00000000-0005-0000-0000-0000D7050000}"/>
    <cellStyle name="Comma 3 2_AN-2" xfId="2291" xr:uid="{00000000-0005-0000-0000-0000D8050000}"/>
    <cellStyle name="Comma 3 20" xfId="2292" xr:uid="{00000000-0005-0000-0000-0000D9050000}"/>
    <cellStyle name="Comma 3 21" xfId="2293" xr:uid="{00000000-0005-0000-0000-0000DA050000}"/>
    <cellStyle name="Comma 3 3" xfId="403" xr:uid="{00000000-0005-0000-0000-0000DB050000}"/>
    <cellStyle name="Comma 3 3 2" xfId="404" xr:uid="{00000000-0005-0000-0000-0000DC050000}"/>
    <cellStyle name="Comma 3 3 3" xfId="405" xr:uid="{00000000-0005-0000-0000-0000DD050000}"/>
    <cellStyle name="Comma 3 3 4" xfId="406" xr:uid="{00000000-0005-0000-0000-0000DE050000}"/>
    <cellStyle name="Comma 3 4" xfId="407" xr:uid="{00000000-0005-0000-0000-0000DF050000}"/>
    <cellStyle name="Comma 3 4 2" xfId="408" xr:uid="{00000000-0005-0000-0000-0000E0050000}"/>
    <cellStyle name="Comma 3 4 3" xfId="409" xr:uid="{00000000-0005-0000-0000-0000E1050000}"/>
    <cellStyle name="Comma 3 4 4" xfId="410" xr:uid="{00000000-0005-0000-0000-0000E2050000}"/>
    <cellStyle name="Comma 3 5" xfId="411" xr:uid="{00000000-0005-0000-0000-0000E3050000}"/>
    <cellStyle name="Comma 3 5 2" xfId="412" xr:uid="{00000000-0005-0000-0000-0000E4050000}"/>
    <cellStyle name="Comma 3 5 3" xfId="413" xr:uid="{00000000-0005-0000-0000-0000E5050000}"/>
    <cellStyle name="Comma 3 5 4" xfId="414" xr:uid="{00000000-0005-0000-0000-0000E6050000}"/>
    <cellStyle name="Comma 3 6" xfId="415" xr:uid="{00000000-0005-0000-0000-0000E7050000}"/>
    <cellStyle name="Comma 3 6 2" xfId="416" xr:uid="{00000000-0005-0000-0000-0000E8050000}"/>
    <cellStyle name="Comma 3 6 3" xfId="417" xr:uid="{00000000-0005-0000-0000-0000E9050000}"/>
    <cellStyle name="Comma 3 6 4" xfId="418" xr:uid="{00000000-0005-0000-0000-0000EA050000}"/>
    <cellStyle name="Comma 3 7" xfId="419" xr:uid="{00000000-0005-0000-0000-0000EB050000}"/>
    <cellStyle name="Comma 3 7 2" xfId="420" xr:uid="{00000000-0005-0000-0000-0000EC050000}"/>
    <cellStyle name="Comma 3 7 3" xfId="421" xr:uid="{00000000-0005-0000-0000-0000ED050000}"/>
    <cellStyle name="Comma 3 7 4" xfId="422" xr:uid="{00000000-0005-0000-0000-0000EE050000}"/>
    <cellStyle name="Comma 3 8" xfId="423" xr:uid="{00000000-0005-0000-0000-0000EF050000}"/>
    <cellStyle name="Comma 3 8 2" xfId="424" xr:uid="{00000000-0005-0000-0000-0000F0050000}"/>
    <cellStyle name="Comma 3 8 3" xfId="425" xr:uid="{00000000-0005-0000-0000-0000F1050000}"/>
    <cellStyle name="Comma 3 8 4" xfId="426" xr:uid="{00000000-0005-0000-0000-0000F2050000}"/>
    <cellStyle name="Comma 3 9" xfId="427" xr:uid="{00000000-0005-0000-0000-0000F3050000}"/>
    <cellStyle name="Comma 3 9 2" xfId="428" xr:uid="{00000000-0005-0000-0000-0000F4050000}"/>
    <cellStyle name="Comma 3 9 3" xfId="429" xr:uid="{00000000-0005-0000-0000-0000F5050000}"/>
    <cellStyle name="Comma 3 9 4" xfId="430" xr:uid="{00000000-0005-0000-0000-0000F6050000}"/>
    <cellStyle name="Comma 3_AN-2" xfId="2294" xr:uid="{00000000-0005-0000-0000-0000F7050000}"/>
    <cellStyle name="Comma 30" xfId="431" xr:uid="{00000000-0005-0000-0000-0000F8050000}"/>
    <cellStyle name="Comma 31" xfId="432" xr:uid="{00000000-0005-0000-0000-0000F9050000}"/>
    <cellStyle name="Comma 31 2" xfId="2295" xr:uid="{00000000-0005-0000-0000-0000FA050000}"/>
    <cellStyle name="Comma 31 2 2" xfId="2296" xr:uid="{00000000-0005-0000-0000-0000FB050000}"/>
    <cellStyle name="Comma 31 2 3" xfId="2297" xr:uid="{00000000-0005-0000-0000-0000FC050000}"/>
    <cellStyle name="Comma 31 3" xfId="2298" xr:uid="{00000000-0005-0000-0000-0000FD050000}"/>
    <cellStyle name="Comma 31 4" xfId="2299" xr:uid="{00000000-0005-0000-0000-0000FE050000}"/>
    <cellStyle name="Comma 31 5" xfId="2300" xr:uid="{00000000-0005-0000-0000-0000FF050000}"/>
    <cellStyle name="Comma 31 6" xfId="2301" xr:uid="{00000000-0005-0000-0000-000000060000}"/>
    <cellStyle name="Comma 32" xfId="433" xr:uid="{00000000-0005-0000-0000-000001060000}"/>
    <cellStyle name="Comma 33" xfId="434" xr:uid="{00000000-0005-0000-0000-000002060000}"/>
    <cellStyle name="Comma 34" xfId="435" xr:uid="{00000000-0005-0000-0000-000003060000}"/>
    <cellStyle name="Comma 35" xfId="436" xr:uid="{00000000-0005-0000-0000-000004060000}"/>
    <cellStyle name="Comma 36" xfId="437" xr:uid="{00000000-0005-0000-0000-000005060000}"/>
    <cellStyle name="Comma 37" xfId="438" xr:uid="{00000000-0005-0000-0000-000006060000}"/>
    <cellStyle name="Comma 38" xfId="439" xr:uid="{00000000-0005-0000-0000-000007060000}"/>
    <cellStyle name="Comma 39" xfId="440" xr:uid="{00000000-0005-0000-0000-000008060000}"/>
    <cellStyle name="Comma 4" xfId="441" xr:uid="{00000000-0005-0000-0000-000009060000}"/>
    <cellStyle name="Comma 4 10" xfId="442" xr:uid="{00000000-0005-0000-0000-00000A060000}"/>
    <cellStyle name="Comma 4 11" xfId="443" xr:uid="{00000000-0005-0000-0000-00000B060000}"/>
    <cellStyle name="Comma 4 12" xfId="444" xr:uid="{00000000-0005-0000-0000-00000C060000}"/>
    <cellStyle name="Comma 4 13" xfId="445" xr:uid="{00000000-0005-0000-0000-00000D060000}"/>
    <cellStyle name="Comma 4 14" xfId="2302" xr:uid="{00000000-0005-0000-0000-00000E060000}"/>
    <cellStyle name="Comma 4 15" xfId="2303" xr:uid="{00000000-0005-0000-0000-00000F060000}"/>
    <cellStyle name="Comma 4 16" xfId="2304" xr:uid="{00000000-0005-0000-0000-000010060000}"/>
    <cellStyle name="Comma 4 17" xfId="2305" xr:uid="{00000000-0005-0000-0000-000011060000}"/>
    <cellStyle name="Comma 4 18" xfId="2306" xr:uid="{00000000-0005-0000-0000-000012060000}"/>
    <cellStyle name="Comma 4 19" xfId="2307" xr:uid="{00000000-0005-0000-0000-000013060000}"/>
    <cellStyle name="Comma 4 2" xfId="446" xr:uid="{00000000-0005-0000-0000-000014060000}"/>
    <cellStyle name="Comma 4 2 10" xfId="447" xr:uid="{00000000-0005-0000-0000-000015060000}"/>
    <cellStyle name="Comma 4 2 2" xfId="448" xr:uid="{00000000-0005-0000-0000-000016060000}"/>
    <cellStyle name="Comma 4 2 2 2" xfId="449" xr:uid="{00000000-0005-0000-0000-000017060000}"/>
    <cellStyle name="Comma 4 2 2 2 2" xfId="450" xr:uid="{00000000-0005-0000-0000-000018060000}"/>
    <cellStyle name="Comma 4 2 2 2 3" xfId="451" xr:uid="{00000000-0005-0000-0000-000019060000}"/>
    <cellStyle name="Comma 4 2 2 2 4" xfId="452" xr:uid="{00000000-0005-0000-0000-00001A060000}"/>
    <cellStyle name="Comma 4 2 2 2 5" xfId="453" xr:uid="{00000000-0005-0000-0000-00001B060000}"/>
    <cellStyle name="Comma 4 2 2 3" xfId="454" xr:uid="{00000000-0005-0000-0000-00001C060000}"/>
    <cellStyle name="Comma 4 2 2 4" xfId="455" xr:uid="{00000000-0005-0000-0000-00001D060000}"/>
    <cellStyle name="Comma 4 2 2 5" xfId="456" xr:uid="{00000000-0005-0000-0000-00001E060000}"/>
    <cellStyle name="Comma 4 2 2 6" xfId="457" xr:uid="{00000000-0005-0000-0000-00001F060000}"/>
    <cellStyle name="Comma 4 2 2_1-BOQ." xfId="458" xr:uid="{00000000-0005-0000-0000-000020060000}"/>
    <cellStyle name="Comma 4 2 3" xfId="459" xr:uid="{00000000-0005-0000-0000-000021060000}"/>
    <cellStyle name="Comma 4 2 3 2" xfId="460" xr:uid="{00000000-0005-0000-0000-000022060000}"/>
    <cellStyle name="Comma 4 2 3 3" xfId="461" xr:uid="{00000000-0005-0000-0000-000023060000}"/>
    <cellStyle name="Comma 4 2 3 4" xfId="462" xr:uid="{00000000-0005-0000-0000-000024060000}"/>
    <cellStyle name="Comma 4 2 4" xfId="463" xr:uid="{00000000-0005-0000-0000-000025060000}"/>
    <cellStyle name="Comma 4 2 5" xfId="464" xr:uid="{00000000-0005-0000-0000-000026060000}"/>
    <cellStyle name="Comma 4 2 6" xfId="465" xr:uid="{00000000-0005-0000-0000-000027060000}"/>
    <cellStyle name="Comma 4 2 7" xfId="466" xr:uid="{00000000-0005-0000-0000-000028060000}"/>
    <cellStyle name="Comma 4 2 8" xfId="467" xr:uid="{00000000-0005-0000-0000-000029060000}"/>
    <cellStyle name="Comma 4 2 9" xfId="468" xr:uid="{00000000-0005-0000-0000-00002A060000}"/>
    <cellStyle name="Comma 4 2_1-BOQ" xfId="469" xr:uid="{00000000-0005-0000-0000-00002B060000}"/>
    <cellStyle name="Comma 4 20" xfId="2308" xr:uid="{00000000-0005-0000-0000-00002C060000}"/>
    <cellStyle name="Comma 4 21" xfId="2309" xr:uid="{00000000-0005-0000-0000-00002D060000}"/>
    <cellStyle name="Comma 4 3" xfId="470" xr:uid="{00000000-0005-0000-0000-00002E060000}"/>
    <cellStyle name="Comma 4 3 2" xfId="471" xr:uid="{00000000-0005-0000-0000-00002F060000}"/>
    <cellStyle name="Comma 4 3 2 2" xfId="2310" xr:uid="{00000000-0005-0000-0000-000030060000}"/>
    <cellStyle name="Comma 4 3 2 3" xfId="2311" xr:uid="{00000000-0005-0000-0000-000031060000}"/>
    <cellStyle name="Comma 4 3 3" xfId="472" xr:uid="{00000000-0005-0000-0000-000032060000}"/>
    <cellStyle name="Comma 4 3 4" xfId="473" xr:uid="{00000000-0005-0000-0000-000033060000}"/>
    <cellStyle name="Comma 4 3 5" xfId="474" xr:uid="{00000000-0005-0000-0000-000034060000}"/>
    <cellStyle name="Comma 4 4" xfId="475" xr:uid="{00000000-0005-0000-0000-000035060000}"/>
    <cellStyle name="Comma 4 4 10" xfId="2312" xr:uid="{00000000-0005-0000-0000-000036060000}"/>
    <cellStyle name="Comma 4 4 11" xfId="2313" xr:uid="{00000000-0005-0000-0000-000037060000}"/>
    <cellStyle name="Comma 4 4 12" xfId="2314" xr:uid="{00000000-0005-0000-0000-000038060000}"/>
    <cellStyle name="Comma 4 4 13" xfId="2315" xr:uid="{00000000-0005-0000-0000-000039060000}"/>
    <cellStyle name="Comma 4 4 14" xfId="2316" xr:uid="{00000000-0005-0000-0000-00003A060000}"/>
    <cellStyle name="Comma 4 4 15" xfId="2317" xr:uid="{00000000-0005-0000-0000-00003B060000}"/>
    <cellStyle name="Comma 4 4 16" xfId="2318" xr:uid="{00000000-0005-0000-0000-00003C060000}"/>
    <cellStyle name="Comma 4 4 17" xfId="2319" xr:uid="{00000000-0005-0000-0000-00003D060000}"/>
    <cellStyle name="Comma 4 4 18" xfId="2320" xr:uid="{00000000-0005-0000-0000-00003E060000}"/>
    <cellStyle name="Comma 4 4 19" xfId="2321" xr:uid="{00000000-0005-0000-0000-00003F060000}"/>
    <cellStyle name="Comma 4 4 2" xfId="476" xr:uid="{00000000-0005-0000-0000-000040060000}"/>
    <cellStyle name="Comma 4 4 3" xfId="477" xr:uid="{00000000-0005-0000-0000-000041060000}"/>
    <cellStyle name="Comma 4 4 4" xfId="478" xr:uid="{00000000-0005-0000-0000-000042060000}"/>
    <cellStyle name="Comma 4 4 5" xfId="2322" xr:uid="{00000000-0005-0000-0000-000043060000}"/>
    <cellStyle name="Comma 4 4 6" xfId="2323" xr:uid="{00000000-0005-0000-0000-000044060000}"/>
    <cellStyle name="Comma 4 4 7" xfId="2324" xr:uid="{00000000-0005-0000-0000-000045060000}"/>
    <cellStyle name="Comma 4 4 8" xfId="2325" xr:uid="{00000000-0005-0000-0000-000046060000}"/>
    <cellStyle name="Comma 4 4 9" xfId="2326" xr:uid="{00000000-0005-0000-0000-000047060000}"/>
    <cellStyle name="Comma 4 5" xfId="479" xr:uid="{00000000-0005-0000-0000-000048060000}"/>
    <cellStyle name="Comma 4 5 10" xfId="2327" xr:uid="{00000000-0005-0000-0000-000049060000}"/>
    <cellStyle name="Comma 4 5 11" xfId="2328" xr:uid="{00000000-0005-0000-0000-00004A060000}"/>
    <cellStyle name="Comma 4 5 12" xfId="2329" xr:uid="{00000000-0005-0000-0000-00004B060000}"/>
    <cellStyle name="Comma 4 5 13" xfId="2330" xr:uid="{00000000-0005-0000-0000-00004C060000}"/>
    <cellStyle name="Comma 4 5 14" xfId="2331" xr:uid="{00000000-0005-0000-0000-00004D060000}"/>
    <cellStyle name="Comma 4 5 15" xfId="2332" xr:uid="{00000000-0005-0000-0000-00004E060000}"/>
    <cellStyle name="Comma 4 5 16" xfId="2333" xr:uid="{00000000-0005-0000-0000-00004F060000}"/>
    <cellStyle name="Comma 4 5 17" xfId="2334" xr:uid="{00000000-0005-0000-0000-000050060000}"/>
    <cellStyle name="Comma 4 5 18" xfId="2335" xr:uid="{00000000-0005-0000-0000-000051060000}"/>
    <cellStyle name="Comma 4 5 19" xfId="2336" xr:uid="{00000000-0005-0000-0000-000052060000}"/>
    <cellStyle name="Comma 4 5 2" xfId="2337" xr:uid="{00000000-0005-0000-0000-000053060000}"/>
    <cellStyle name="Comma 4 5 3" xfId="2338" xr:uid="{00000000-0005-0000-0000-000054060000}"/>
    <cellStyle name="Comma 4 5 4" xfId="2339" xr:uid="{00000000-0005-0000-0000-000055060000}"/>
    <cellStyle name="Comma 4 5 5" xfId="2340" xr:uid="{00000000-0005-0000-0000-000056060000}"/>
    <cellStyle name="Comma 4 5 6" xfId="2341" xr:uid="{00000000-0005-0000-0000-000057060000}"/>
    <cellStyle name="Comma 4 5 7" xfId="2342" xr:uid="{00000000-0005-0000-0000-000058060000}"/>
    <cellStyle name="Comma 4 5 8" xfId="2343" xr:uid="{00000000-0005-0000-0000-000059060000}"/>
    <cellStyle name="Comma 4 5 9" xfId="2344" xr:uid="{00000000-0005-0000-0000-00005A060000}"/>
    <cellStyle name="Comma 4 6" xfId="480" xr:uid="{00000000-0005-0000-0000-00005B060000}"/>
    <cellStyle name="Comma 4 6 10" xfId="2345" xr:uid="{00000000-0005-0000-0000-00005C060000}"/>
    <cellStyle name="Comma 4 6 11" xfId="2346" xr:uid="{00000000-0005-0000-0000-00005D060000}"/>
    <cellStyle name="Comma 4 6 12" xfId="2347" xr:uid="{00000000-0005-0000-0000-00005E060000}"/>
    <cellStyle name="Comma 4 6 13" xfId="2348" xr:uid="{00000000-0005-0000-0000-00005F060000}"/>
    <cellStyle name="Comma 4 6 14" xfId="2349" xr:uid="{00000000-0005-0000-0000-000060060000}"/>
    <cellStyle name="Comma 4 6 15" xfId="2350" xr:uid="{00000000-0005-0000-0000-000061060000}"/>
    <cellStyle name="Comma 4 6 16" xfId="2351" xr:uid="{00000000-0005-0000-0000-000062060000}"/>
    <cellStyle name="Comma 4 6 17" xfId="2352" xr:uid="{00000000-0005-0000-0000-000063060000}"/>
    <cellStyle name="Comma 4 6 18" xfId="2353" xr:uid="{00000000-0005-0000-0000-000064060000}"/>
    <cellStyle name="Comma 4 6 2" xfId="2354" xr:uid="{00000000-0005-0000-0000-000065060000}"/>
    <cellStyle name="Comma 4 6 3" xfId="2355" xr:uid="{00000000-0005-0000-0000-000066060000}"/>
    <cellStyle name="Comma 4 6 4" xfId="2356" xr:uid="{00000000-0005-0000-0000-000067060000}"/>
    <cellStyle name="Comma 4 6 5" xfId="2357" xr:uid="{00000000-0005-0000-0000-000068060000}"/>
    <cellStyle name="Comma 4 6 6" xfId="2358" xr:uid="{00000000-0005-0000-0000-000069060000}"/>
    <cellStyle name="Comma 4 6 7" xfId="2359" xr:uid="{00000000-0005-0000-0000-00006A060000}"/>
    <cellStyle name="Comma 4 6 8" xfId="2360" xr:uid="{00000000-0005-0000-0000-00006B060000}"/>
    <cellStyle name="Comma 4 6 9" xfId="2361" xr:uid="{00000000-0005-0000-0000-00006C060000}"/>
    <cellStyle name="Comma 4 7" xfId="481" xr:uid="{00000000-0005-0000-0000-00006D060000}"/>
    <cellStyle name="Comma 4 8" xfId="482" xr:uid="{00000000-0005-0000-0000-00006E060000}"/>
    <cellStyle name="Comma 4 9" xfId="483" xr:uid="{00000000-0005-0000-0000-00006F060000}"/>
    <cellStyle name="Comma 4_POSKESDES Ds. Lhok Keutapang Tangse" xfId="484" xr:uid="{00000000-0005-0000-0000-000070060000}"/>
    <cellStyle name="Comma 40" xfId="485" xr:uid="{00000000-0005-0000-0000-000071060000}"/>
    <cellStyle name="Comma 41" xfId="486" xr:uid="{00000000-0005-0000-0000-000072060000}"/>
    <cellStyle name="Comma 42" xfId="487" xr:uid="{00000000-0005-0000-0000-000073060000}"/>
    <cellStyle name="Comma 43" xfId="488" xr:uid="{00000000-0005-0000-0000-000074060000}"/>
    <cellStyle name="Comma 44" xfId="489" xr:uid="{00000000-0005-0000-0000-000075060000}"/>
    <cellStyle name="Comma 45" xfId="490" xr:uid="{00000000-0005-0000-0000-000076060000}"/>
    <cellStyle name="Comma 46" xfId="491" xr:uid="{00000000-0005-0000-0000-000077060000}"/>
    <cellStyle name="Comma 47" xfId="492" xr:uid="{00000000-0005-0000-0000-000078060000}"/>
    <cellStyle name="Comma 48" xfId="493" xr:uid="{00000000-0005-0000-0000-000079060000}"/>
    <cellStyle name="Comma 49" xfId="494" xr:uid="{00000000-0005-0000-0000-00007A060000}"/>
    <cellStyle name="Comma 5" xfId="495" xr:uid="{00000000-0005-0000-0000-00007B060000}"/>
    <cellStyle name="Comma 5 10" xfId="2362" xr:uid="{00000000-0005-0000-0000-00007C060000}"/>
    <cellStyle name="Comma 5 10 2" xfId="2363" xr:uid="{00000000-0005-0000-0000-00007D060000}"/>
    <cellStyle name="Comma 5 11" xfId="2364" xr:uid="{00000000-0005-0000-0000-00007E060000}"/>
    <cellStyle name="Comma 5 12" xfId="2365" xr:uid="{00000000-0005-0000-0000-00007F060000}"/>
    <cellStyle name="Comma 5 13" xfId="2366" xr:uid="{00000000-0005-0000-0000-000080060000}"/>
    <cellStyle name="Comma 5 14" xfId="2367" xr:uid="{00000000-0005-0000-0000-000081060000}"/>
    <cellStyle name="Comma 5 2" xfId="496" xr:uid="{00000000-0005-0000-0000-000082060000}"/>
    <cellStyle name="Comma 5 2 10" xfId="2368" xr:uid="{00000000-0005-0000-0000-000083060000}"/>
    <cellStyle name="Comma 5 2 2" xfId="497" xr:uid="{00000000-0005-0000-0000-000084060000}"/>
    <cellStyle name="Comma 5 2 2 2" xfId="2369" xr:uid="{00000000-0005-0000-0000-000085060000}"/>
    <cellStyle name="Comma 5 2 2 2 2" xfId="2370" xr:uid="{00000000-0005-0000-0000-000086060000}"/>
    <cellStyle name="Comma 5 2 2 2 3" xfId="2371" xr:uid="{00000000-0005-0000-0000-000087060000}"/>
    <cellStyle name="Comma 5 2 2 2 4" xfId="2372" xr:uid="{00000000-0005-0000-0000-000088060000}"/>
    <cellStyle name="Comma 5 2 2 2 5" xfId="2373" xr:uid="{00000000-0005-0000-0000-000089060000}"/>
    <cellStyle name="Comma 5 2 2 3" xfId="2374" xr:uid="{00000000-0005-0000-0000-00008A060000}"/>
    <cellStyle name="Comma 5 2 2 4" xfId="2375" xr:uid="{00000000-0005-0000-0000-00008B060000}"/>
    <cellStyle name="Comma 5 2 2 5" xfId="2376" xr:uid="{00000000-0005-0000-0000-00008C060000}"/>
    <cellStyle name="Comma 5 2 2 6" xfId="2377" xr:uid="{00000000-0005-0000-0000-00008D060000}"/>
    <cellStyle name="Comma 5 2 2 7" xfId="2378" xr:uid="{00000000-0005-0000-0000-00008E060000}"/>
    <cellStyle name="Comma 5 2 2 8" xfId="2379" xr:uid="{00000000-0005-0000-0000-00008F060000}"/>
    <cellStyle name="Comma 5 2 3" xfId="498" xr:uid="{00000000-0005-0000-0000-000090060000}"/>
    <cellStyle name="Comma 5 2 3 2" xfId="2380" xr:uid="{00000000-0005-0000-0000-000091060000}"/>
    <cellStyle name="Comma 5 2 3 2 2" xfId="2381" xr:uid="{00000000-0005-0000-0000-000092060000}"/>
    <cellStyle name="Comma 5 2 3 2 3" xfId="2382" xr:uid="{00000000-0005-0000-0000-000093060000}"/>
    <cellStyle name="Comma 5 2 3 2 4" xfId="2383" xr:uid="{00000000-0005-0000-0000-000094060000}"/>
    <cellStyle name="Comma 5 2 3 2 5" xfId="2384" xr:uid="{00000000-0005-0000-0000-000095060000}"/>
    <cellStyle name="Comma 5 2 3 3" xfId="2385" xr:uid="{00000000-0005-0000-0000-000096060000}"/>
    <cellStyle name="Comma 5 2 3 4" xfId="2386" xr:uid="{00000000-0005-0000-0000-000097060000}"/>
    <cellStyle name="Comma 5 2 3 5" xfId="2387" xr:uid="{00000000-0005-0000-0000-000098060000}"/>
    <cellStyle name="Comma 5 2 3 6" xfId="2388" xr:uid="{00000000-0005-0000-0000-000099060000}"/>
    <cellStyle name="Comma 5 2 3 7" xfId="2389" xr:uid="{00000000-0005-0000-0000-00009A060000}"/>
    <cellStyle name="Comma 5 2 3 8" xfId="2390" xr:uid="{00000000-0005-0000-0000-00009B060000}"/>
    <cellStyle name="Comma 5 2 4" xfId="499" xr:uid="{00000000-0005-0000-0000-00009C060000}"/>
    <cellStyle name="Comma 5 2 4 2" xfId="2391" xr:uid="{00000000-0005-0000-0000-00009D060000}"/>
    <cellStyle name="Comma 5 2 4 3" xfId="2392" xr:uid="{00000000-0005-0000-0000-00009E060000}"/>
    <cellStyle name="Comma 5 2 4 4" xfId="2393" xr:uid="{00000000-0005-0000-0000-00009F060000}"/>
    <cellStyle name="Comma 5 2 4 5" xfId="2394" xr:uid="{00000000-0005-0000-0000-0000A0060000}"/>
    <cellStyle name="Comma 5 2 5" xfId="2395" xr:uid="{00000000-0005-0000-0000-0000A1060000}"/>
    <cellStyle name="Comma 5 2 6" xfId="2396" xr:uid="{00000000-0005-0000-0000-0000A2060000}"/>
    <cellStyle name="Comma 5 2 7" xfId="2397" xr:uid="{00000000-0005-0000-0000-0000A3060000}"/>
    <cellStyle name="Comma 5 2 8" xfId="2398" xr:uid="{00000000-0005-0000-0000-0000A4060000}"/>
    <cellStyle name="Comma 5 2 9" xfId="2399" xr:uid="{00000000-0005-0000-0000-0000A5060000}"/>
    <cellStyle name="Comma 5 3" xfId="500" xr:uid="{00000000-0005-0000-0000-0000A6060000}"/>
    <cellStyle name="Comma 5 3 2" xfId="501" xr:uid="{00000000-0005-0000-0000-0000A7060000}"/>
    <cellStyle name="Comma 5 3 2 2" xfId="2400" xr:uid="{00000000-0005-0000-0000-0000A8060000}"/>
    <cellStyle name="Comma 5 3 2 3" xfId="2401" xr:uid="{00000000-0005-0000-0000-0000A9060000}"/>
    <cellStyle name="Comma 5 3 2 4" xfId="2402" xr:uid="{00000000-0005-0000-0000-0000AA060000}"/>
    <cellStyle name="Comma 5 3 2 5" xfId="2403" xr:uid="{00000000-0005-0000-0000-0000AB060000}"/>
    <cellStyle name="Comma 5 3 3" xfId="502" xr:uid="{00000000-0005-0000-0000-0000AC060000}"/>
    <cellStyle name="Comma 5 3 4" xfId="503" xr:uid="{00000000-0005-0000-0000-0000AD060000}"/>
    <cellStyle name="Comma 5 3 5" xfId="2404" xr:uid="{00000000-0005-0000-0000-0000AE060000}"/>
    <cellStyle name="Comma 5 3 6" xfId="2405" xr:uid="{00000000-0005-0000-0000-0000AF060000}"/>
    <cellStyle name="Comma 5 3 7" xfId="2406" xr:uid="{00000000-0005-0000-0000-0000B0060000}"/>
    <cellStyle name="Comma 5 3 8" xfId="2407" xr:uid="{00000000-0005-0000-0000-0000B1060000}"/>
    <cellStyle name="Comma 5 4" xfId="504" xr:uid="{00000000-0005-0000-0000-0000B2060000}"/>
    <cellStyle name="Comma 5 4 2" xfId="2408" xr:uid="{00000000-0005-0000-0000-0000B3060000}"/>
    <cellStyle name="Comma 5 4 2 2" xfId="2409" xr:uid="{00000000-0005-0000-0000-0000B4060000}"/>
    <cellStyle name="Comma 5 4 2 3" xfId="2410" xr:uid="{00000000-0005-0000-0000-0000B5060000}"/>
    <cellStyle name="Comma 5 4 2 4" xfId="2411" xr:uid="{00000000-0005-0000-0000-0000B6060000}"/>
    <cellStyle name="Comma 5 4 2 5" xfId="2412" xr:uid="{00000000-0005-0000-0000-0000B7060000}"/>
    <cellStyle name="Comma 5 4 3" xfId="2413" xr:uid="{00000000-0005-0000-0000-0000B8060000}"/>
    <cellStyle name="Comma 5 4 4" xfId="2414" xr:uid="{00000000-0005-0000-0000-0000B9060000}"/>
    <cellStyle name="Comma 5 4 5" xfId="2415" xr:uid="{00000000-0005-0000-0000-0000BA060000}"/>
    <cellStyle name="Comma 5 4 6" xfId="2416" xr:uid="{00000000-0005-0000-0000-0000BB060000}"/>
    <cellStyle name="Comma 5 4 7" xfId="2417" xr:uid="{00000000-0005-0000-0000-0000BC060000}"/>
    <cellStyle name="Comma 5 4 8" xfId="2418" xr:uid="{00000000-0005-0000-0000-0000BD060000}"/>
    <cellStyle name="Comma 5 5" xfId="505" xr:uid="{00000000-0005-0000-0000-0000BE060000}"/>
    <cellStyle name="Comma 5 5 2" xfId="2419" xr:uid="{00000000-0005-0000-0000-0000BF060000}"/>
    <cellStyle name="Comma 5 5 3" xfId="2420" xr:uid="{00000000-0005-0000-0000-0000C0060000}"/>
    <cellStyle name="Comma 5 5 4" xfId="2421" xr:uid="{00000000-0005-0000-0000-0000C1060000}"/>
    <cellStyle name="Comma 5 5 5" xfId="2422" xr:uid="{00000000-0005-0000-0000-0000C2060000}"/>
    <cellStyle name="Comma 5 6" xfId="506" xr:uid="{00000000-0005-0000-0000-0000C3060000}"/>
    <cellStyle name="Comma 5 7" xfId="507" xr:uid="{00000000-0005-0000-0000-0000C4060000}"/>
    <cellStyle name="Comma 5 8" xfId="2423" xr:uid="{00000000-0005-0000-0000-0000C5060000}"/>
    <cellStyle name="Comma 5 9" xfId="2424" xr:uid="{00000000-0005-0000-0000-0000C6060000}"/>
    <cellStyle name="Comma 50" xfId="508" xr:uid="{00000000-0005-0000-0000-0000C7060000}"/>
    <cellStyle name="Comma 51" xfId="509" xr:uid="{00000000-0005-0000-0000-0000C8060000}"/>
    <cellStyle name="Comma 52" xfId="510" xr:uid="{00000000-0005-0000-0000-0000C9060000}"/>
    <cellStyle name="Comma 53" xfId="511" xr:uid="{00000000-0005-0000-0000-0000CA060000}"/>
    <cellStyle name="Comma 54" xfId="512" xr:uid="{00000000-0005-0000-0000-0000CB060000}"/>
    <cellStyle name="Comma 55" xfId="513" xr:uid="{00000000-0005-0000-0000-0000CC060000}"/>
    <cellStyle name="Comma 56" xfId="514" xr:uid="{00000000-0005-0000-0000-0000CD060000}"/>
    <cellStyle name="Comma 57" xfId="515" xr:uid="{00000000-0005-0000-0000-0000CE060000}"/>
    <cellStyle name="Comma 58" xfId="516" xr:uid="{00000000-0005-0000-0000-0000CF060000}"/>
    <cellStyle name="Comma 59" xfId="517" xr:uid="{00000000-0005-0000-0000-0000D0060000}"/>
    <cellStyle name="Comma 6" xfId="518" xr:uid="{00000000-0005-0000-0000-0000D1060000}"/>
    <cellStyle name="Comma 6 2" xfId="519" xr:uid="{00000000-0005-0000-0000-0000D2060000}"/>
    <cellStyle name="Comma 6 2 2" xfId="520" xr:uid="{00000000-0005-0000-0000-0000D3060000}"/>
    <cellStyle name="Comma 6 3" xfId="521" xr:uid="{00000000-0005-0000-0000-0000D4060000}"/>
    <cellStyle name="Comma 6 4" xfId="522" xr:uid="{00000000-0005-0000-0000-0000D5060000}"/>
    <cellStyle name="Comma 6 5" xfId="523" xr:uid="{00000000-0005-0000-0000-0000D6060000}"/>
    <cellStyle name="Comma 6 6" xfId="524" xr:uid="{00000000-0005-0000-0000-0000D7060000}"/>
    <cellStyle name="Comma 6 7" xfId="525" xr:uid="{00000000-0005-0000-0000-0000D8060000}"/>
    <cellStyle name="Comma 60" xfId="526" xr:uid="{00000000-0005-0000-0000-0000D9060000}"/>
    <cellStyle name="Comma 61" xfId="527" xr:uid="{00000000-0005-0000-0000-0000DA060000}"/>
    <cellStyle name="Comma 62" xfId="528" xr:uid="{00000000-0005-0000-0000-0000DB060000}"/>
    <cellStyle name="Comma 63" xfId="529" xr:uid="{00000000-0005-0000-0000-0000DC060000}"/>
    <cellStyle name="Comma 64" xfId="530" xr:uid="{00000000-0005-0000-0000-0000DD060000}"/>
    <cellStyle name="Comma 65" xfId="531" xr:uid="{00000000-0005-0000-0000-0000DE060000}"/>
    <cellStyle name="Comma 66" xfId="532" xr:uid="{00000000-0005-0000-0000-0000DF060000}"/>
    <cellStyle name="Comma 67" xfId="533" xr:uid="{00000000-0005-0000-0000-0000E0060000}"/>
    <cellStyle name="Comma 68" xfId="534" xr:uid="{00000000-0005-0000-0000-0000E1060000}"/>
    <cellStyle name="Comma 69" xfId="535" xr:uid="{00000000-0005-0000-0000-0000E2060000}"/>
    <cellStyle name="Comma 7" xfId="536" xr:uid="{00000000-0005-0000-0000-0000E3060000}"/>
    <cellStyle name="Comma 7 10" xfId="2425" xr:uid="{00000000-0005-0000-0000-0000E4060000}"/>
    <cellStyle name="Comma 7 11" xfId="2426" xr:uid="{00000000-0005-0000-0000-0000E5060000}"/>
    <cellStyle name="Comma 7 2" xfId="537" xr:uid="{00000000-0005-0000-0000-0000E6060000}"/>
    <cellStyle name="Comma 7 2 10" xfId="2427" xr:uid="{00000000-0005-0000-0000-0000E7060000}"/>
    <cellStyle name="Comma 7 2 2" xfId="538" xr:uid="{00000000-0005-0000-0000-0000E8060000}"/>
    <cellStyle name="Comma 7 2 2 2" xfId="2428" xr:uid="{00000000-0005-0000-0000-0000E9060000}"/>
    <cellStyle name="Comma 7 2 2 2 2" xfId="2429" xr:uid="{00000000-0005-0000-0000-0000EA060000}"/>
    <cellStyle name="Comma 7 2 2 2 3" xfId="2430" xr:uid="{00000000-0005-0000-0000-0000EB060000}"/>
    <cellStyle name="Comma 7 2 2 2 4" xfId="2431" xr:uid="{00000000-0005-0000-0000-0000EC060000}"/>
    <cellStyle name="Comma 7 2 2 2 5" xfId="2432" xr:uid="{00000000-0005-0000-0000-0000ED060000}"/>
    <cellStyle name="Comma 7 2 2 3" xfId="2433" xr:uid="{00000000-0005-0000-0000-0000EE060000}"/>
    <cellStyle name="Comma 7 2 2 4" xfId="2434" xr:uid="{00000000-0005-0000-0000-0000EF060000}"/>
    <cellStyle name="Comma 7 2 2 5" xfId="2435" xr:uid="{00000000-0005-0000-0000-0000F0060000}"/>
    <cellStyle name="Comma 7 2 2 6" xfId="2436" xr:uid="{00000000-0005-0000-0000-0000F1060000}"/>
    <cellStyle name="Comma 7 2 2 7" xfId="2437" xr:uid="{00000000-0005-0000-0000-0000F2060000}"/>
    <cellStyle name="Comma 7 2 2 8" xfId="2438" xr:uid="{00000000-0005-0000-0000-0000F3060000}"/>
    <cellStyle name="Comma 7 2 3" xfId="539" xr:uid="{00000000-0005-0000-0000-0000F4060000}"/>
    <cellStyle name="Comma 7 2 3 2" xfId="2439" xr:uid="{00000000-0005-0000-0000-0000F5060000}"/>
    <cellStyle name="Comma 7 2 3 2 2" xfId="2440" xr:uid="{00000000-0005-0000-0000-0000F6060000}"/>
    <cellStyle name="Comma 7 2 3 2 3" xfId="2441" xr:uid="{00000000-0005-0000-0000-0000F7060000}"/>
    <cellStyle name="Comma 7 2 3 2 4" xfId="2442" xr:uid="{00000000-0005-0000-0000-0000F8060000}"/>
    <cellStyle name="Comma 7 2 3 2 5" xfId="2443" xr:uid="{00000000-0005-0000-0000-0000F9060000}"/>
    <cellStyle name="Comma 7 2 3 3" xfId="2444" xr:uid="{00000000-0005-0000-0000-0000FA060000}"/>
    <cellStyle name="Comma 7 2 3 4" xfId="2445" xr:uid="{00000000-0005-0000-0000-0000FB060000}"/>
    <cellStyle name="Comma 7 2 3 5" xfId="2446" xr:uid="{00000000-0005-0000-0000-0000FC060000}"/>
    <cellStyle name="Comma 7 2 3 6" xfId="2447" xr:uid="{00000000-0005-0000-0000-0000FD060000}"/>
    <cellStyle name="Comma 7 2 3 7" xfId="2448" xr:uid="{00000000-0005-0000-0000-0000FE060000}"/>
    <cellStyle name="Comma 7 2 3 8" xfId="2449" xr:uid="{00000000-0005-0000-0000-0000FF060000}"/>
    <cellStyle name="Comma 7 2 4" xfId="540" xr:uid="{00000000-0005-0000-0000-000000070000}"/>
    <cellStyle name="Comma 7 2 4 2" xfId="2450" xr:uid="{00000000-0005-0000-0000-000001070000}"/>
    <cellStyle name="Comma 7 2 4 3" xfId="2451" xr:uid="{00000000-0005-0000-0000-000002070000}"/>
    <cellStyle name="Comma 7 2 4 4" xfId="2452" xr:uid="{00000000-0005-0000-0000-000003070000}"/>
    <cellStyle name="Comma 7 2 4 5" xfId="2453" xr:uid="{00000000-0005-0000-0000-000004070000}"/>
    <cellStyle name="Comma 7 2 5" xfId="2454" xr:uid="{00000000-0005-0000-0000-000005070000}"/>
    <cellStyle name="Comma 7 2 6" xfId="2455" xr:uid="{00000000-0005-0000-0000-000006070000}"/>
    <cellStyle name="Comma 7 2 7" xfId="2456" xr:uid="{00000000-0005-0000-0000-000007070000}"/>
    <cellStyle name="Comma 7 2 8" xfId="2457" xr:uid="{00000000-0005-0000-0000-000008070000}"/>
    <cellStyle name="Comma 7 2 9" xfId="2458" xr:uid="{00000000-0005-0000-0000-000009070000}"/>
    <cellStyle name="Comma 7 3" xfId="541" xr:uid="{00000000-0005-0000-0000-00000A070000}"/>
    <cellStyle name="Comma 7 3 2" xfId="2459" xr:uid="{00000000-0005-0000-0000-00000B070000}"/>
    <cellStyle name="Comma 7 3 2 2" xfId="2460" xr:uid="{00000000-0005-0000-0000-00000C070000}"/>
    <cellStyle name="Comma 7 3 2 3" xfId="2461" xr:uid="{00000000-0005-0000-0000-00000D070000}"/>
    <cellStyle name="Comma 7 3 2 4" xfId="2462" xr:uid="{00000000-0005-0000-0000-00000E070000}"/>
    <cellStyle name="Comma 7 3 2 5" xfId="2463" xr:uid="{00000000-0005-0000-0000-00000F070000}"/>
    <cellStyle name="Comma 7 3 3" xfId="2464" xr:uid="{00000000-0005-0000-0000-000010070000}"/>
    <cellStyle name="Comma 7 3 4" xfId="2465" xr:uid="{00000000-0005-0000-0000-000011070000}"/>
    <cellStyle name="Comma 7 3 5" xfId="2466" xr:uid="{00000000-0005-0000-0000-000012070000}"/>
    <cellStyle name="Comma 7 3 6" xfId="2467" xr:uid="{00000000-0005-0000-0000-000013070000}"/>
    <cellStyle name="Comma 7 3 7" xfId="2468" xr:uid="{00000000-0005-0000-0000-000014070000}"/>
    <cellStyle name="Comma 7 3 8" xfId="2469" xr:uid="{00000000-0005-0000-0000-000015070000}"/>
    <cellStyle name="Comma 7 4" xfId="542" xr:uid="{00000000-0005-0000-0000-000016070000}"/>
    <cellStyle name="Comma 7 4 2" xfId="2470" xr:uid="{00000000-0005-0000-0000-000017070000}"/>
    <cellStyle name="Comma 7 4 2 2" xfId="2471" xr:uid="{00000000-0005-0000-0000-000018070000}"/>
    <cellStyle name="Comma 7 4 2 3" xfId="2472" xr:uid="{00000000-0005-0000-0000-000019070000}"/>
    <cellStyle name="Comma 7 4 2 4" xfId="2473" xr:uid="{00000000-0005-0000-0000-00001A070000}"/>
    <cellStyle name="Comma 7 4 2 5" xfId="2474" xr:uid="{00000000-0005-0000-0000-00001B070000}"/>
    <cellStyle name="Comma 7 4 3" xfId="2475" xr:uid="{00000000-0005-0000-0000-00001C070000}"/>
    <cellStyle name="Comma 7 4 4" xfId="2476" xr:uid="{00000000-0005-0000-0000-00001D070000}"/>
    <cellStyle name="Comma 7 4 5" xfId="2477" xr:uid="{00000000-0005-0000-0000-00001E070000}"/>
    <cellStyle name="Comma 7 4 6" xfId="2478" xr:uid="{00000000-0005-0000-0000-00001F070000}"/>
    <cellStyle name="Comma 7 4 7" xfId="2479" xr:uid="{00000000-0005-0000-0000-000020070000}"/>
    <cellStyle name="Comma 7 4 8" xfId="2480" xr:uid="{00000000-0005-0000-0000-000021070000}"/>
    <cellStyle name="Comma 7 5" xfId="543" xr:uid="{00000000-0005-0000-0000-000022070000}"/>
    <cellStyle name="Comma 7 5 2" xfId="2481" xr:uid="{00000000-0005-0000-0000-000023070000}"/>
    <cellStyle name="Comma 7 5 3" xfId="2482" xr:uid="{00000000-0005-0000-0000-000024070000}"/>
    <cellStyle name="Comma 7 5 4" xfId="2483" xr:uid="{00000000-0005-0000-0000-000025070000}"/>
    <cellStyle name="Comma 7 5 5" xfId="2484" xr:uid="{00000000-0005-0000-0000-000026070000}"/>
    <cellStyle name="Comma 7 6" xfId="544" xr:uid="{00000000-0005-0000-0000-000027070000}"/>
    <cellStyle name="Comma 7 7" xfId="545" xr:uid="{00000000-0005-0000-0000-000028070000}"/>
    <cellStyle name="Comma 7 8" xfId="546" xr:uid="{00000000-0005-0000-0000-000029070000}"/>
    <cellStyle name="Comma 7 9" xfId="2485" xr:uid="{00000000-0005-0000-0000-00002A070000}"/>
    <cellStyle name="Comma 70" xfId="547" xr:uid="{00000000-0005-0000-0000-00002B070000}"/>
    <cellStyle name="Comma 71" xfId="548" xr:uid="{00000000-0005-0000-0000-00002C070000}"/>
    <cellStyle name="Comma 72" xfId="549" xr:uid="{00000000-0005-0000-0000-00002D070000}"/>
    <cellStyle name="Comma 73" xfId="2486" xr:uid="{00000000-0005-0000-0000-00002E070000}"/>
    <cellStyle name="Comma 74" xfId="42615" xr:uid="{00000000-0005-0000-0000-00002F070000}"/>
    <cellStyle name="Comma 75" xfId="42647" xr:uid="{00000000-0005-0000-0000-000030070000}"/>
    <cellStyle name="Comma 8" xfId="550" xr:uid="{00000000-0005-0000-0000-000031070000}"/>
    <cellStyle name="Comma 8 2" xfId="551" xr:uid="{00000000-0005-0000-0000-000032070000}"/>
    <cellStyle name="Comma 8 3" xfId="552" xr:uid="{00000000-0005-0000-0000-000033070000}"/>
    <cellStyle name="Comma 8 4" xfId="553" xr:uid="{00000000-0005-0000-0000-000034070000}"/>
    <cellStyle name="Comma 9" xfId="554" xr:uid="{00000000-0005-0000-0000-000035070000}"/>
    <cellStyle name="Comma 9 2" xfId="555" xr:uid="{00000000-0005-0000-0000-000036070000}"/>
    <cellStyle name="Comma 9 2 2" xfId="2487" xr:uid="{00000000-0005-0000-0000-000037070000}"/>
    <cellStyle name="Comma 9 3" xfId="2488" xr:uid="{00000000-0005-0000-0000-000038070000}"/>
    <cellStyle name="Comma 9 4" xfId="2489" xr:uid="{00000000-0005-0000-0000-000039070000}"/>
    <cellStyle name="Comma 9 5" xfId="2490" xr:uid="{00000000-0005-0000-0000-00003A070000}"/>
    <cellStyle name="Comma 9 6" xfId="2491" xr:uid="{00000000-0005-0000-0000-00003B070000}"/>
    <cellStyle name="Comma 9 6 2" xfId="2492" xr:uid="{00000000-0005-0000-0000-00003C070000}"/>
    <cellStyle name="Comma 9 7" xfId="2493" xr:uid="{00000000-0005-0000-0000-00003D070000}"/>
    <cellStyle name="Comma 9_PEN. RSU SMD'10" xfId="2494" xr:uid="{00000000-0005-0000-0000-00003E070000}"/>
    <cellStyle name="Comma0" xfId="556" xr:uid="{00000000-0005-0000-0000-00003F070000}"/>
    <cellStyle name="Comma0 2" xfId="557" xr:uid="{00000000-0005-0000-0000-000040070000}"/>
    <cellStyle name="Comma0 2 2" xfId="558" xr:uid="{00000000-0005-0000-0000-000041070000}"/>
    <cellStyle name="Comma0 2 3" xfId="559" xr:uid="{00000000-0005-0000-0000-000042070000}"/>
    <cellStyle name="Comma0 2 4" xfId="560" xr:uid="{00000000-0005-0000-0000-000043070000}"/>
    <cellStyle name="Comma0 2 5" xfId="561" xr:uid="{00000000-0005-0000-0000-000044070000}"/>
    <cellStyle name="Comma0 3" xfId="562" xr:uid="{00000000-0005-0000-0000-000045070000}"/>
    <cellStyle name="Comma0 3 2" xfId="563" xr:uid="{00000000-0005-0000-0000-000046070000}"/>
    <cellStyle name="Comma0 3 3" xfId="564" xr:uid="{00000000-0005-0000-0000-000047070000}"/>
    <cellStyle name="Comma0 3 4" xfId="565" xr:uid="{00000000-0005-0000-0000-000048070000}"/>
    <cellStyle name="Comma0 3 5" xfId="566" xr:uid="{00000000-0005-0000-0000-000049070000}"/>
    <cellStyle name="Comma0 4" xfId="567" xr:uid="{00000000-0005-0000-0000-00004A070000}"/>
    <cellStyle name="Comma0 5" xfId="568" xr:uid="{00000000-0005-0000-0000-00004B070000}"/>
    <cellStyle name="Comma0 6" xfId="569" xr:uid="{00000000-0005-0000-0000-00004C070000}"/>
    <cellStyle name="Comma0 7" xfId="570" xr:uid="{00000000-0005-0000-0000-00004D070000}"/>
    <cellStyle name="Comma0 8" xfId="571" xr:uid="{00000000-0005-0000-0000-00004E070000}"/>
    <cellStyle name="Comma0 9" xfId="572" xr:uid="{00000000-0005-0000-0000-00004F070000}"/>
    <cellStyle name="Copied" xfId="573" xr:uid="{00000000-0005-0000-0000-000050070000}"/>
    <cellStyle name="CSI" xfId="2495" xr:uid="{00000000-0005-0000-0000-000051070000}"/>
    <cellStyle name="Ctrrency [0]_pldt_3_BOOK1" xfId="574" xr:uid="{00000000-0005-0000-0000-000052070000}"/>
    <cellStyle name="Currency [0] 2" xfId="575" xr:uid="{00000000-0005-0000-0000-000053070000}"/>
    <cellStyle name="Currency [0] 2 2" xfId="576" xr:uid="{00000000-0005-0000-0000-000054070000}"/>
    <cellStyle name="Currency [0] 2 3" xfId="577" xr:uid="{00000000-0005-0000-0000-000055070000}"/>
    <cellStyle name="Currency [0] 2 4" xfId="578" xr:uid="{00000000-0005-0000-0000-000056070000}"/>
    <cellStyle name="Currency [0] 2 5" xfId="2496" xr:uid="{00000000-0005-0000-0000-000057070000}"/>
    <cellStyle name="Currency [0] 2 6" xfId="42625" xr:uid="{00000000-0005-0000-0000-000058070000}"/>
    <cellStyle name="Currency [0] 3" xfId="579" xr:uid="{00000000-0005-0000-0000-000059070000}"/>
    <cellStyle name="Currency [0] 4" xfId="580" xr:uid="{00000000-0005-0000-0000-00005A070000}"/>
    <cellStyle name="Currency [0] 4 2" xfId="581" xr:uid="{00000000-0005-0000-0000-00005B070000}"/>
    <cellStyle name="Currency [0] 4 3" xfId="582" xr:uid="{00000000-0005-0000-0000-00005C070000}"/>
    <cellStyle name="Currency [0] 4 3 2" xfId="583" xr:uid="{00000000-0005-0000-0000-00005D070000}"/>
    <cellStyle name="Currency [0] 5" xfId="584" xr:uid="{00000000-0005-0000-0000-00005E070000}"/>
    <cellStyle name="Currency [0] 6" xfId="585" xr:uid="{00000000-0005-0000-0000-00005F070000}"/>
    <cellStyle name="Currency [0] 6 2" xfId="586" xr:uid="{00000000-0005-0000-0000-000060070000}"/>
    <cellStyle name="Currency [0] 6 2 2" xfId="587" xr:uid="{00000000-0005-0000-0000-000061070000}"/>
    <cellStyle name="Currency [1]" xfId="2497" xr:uid="{00000000-0005-0000-0000-000062070000}"/>
    <cellStyle name="Currency [2]" xfId="2498" xr:uid="{00000000-0005-0000-0000-000063070000}"/>
    <cellStyle name="Currency 2" xfId="588" xr:uid="{00000000-0005-0000-0000-000064070000}"/>
    <cellStyle name="Currency 2 2" xfId="589" xr:uid="{00000000-0005-0000-0000-000065070000}"/>
    <cellStyle name="Currency 2 3" xfId="590" xr:uid="{00000000-0005-0000-0000-000066070000}"/>
    <cellStyle name="Currency 2 4" xfId="591" xr:uid="{00000000-0005-0000-0000-000067070000}"/>
    <cellStyle name="Currency 3" xfId="592" xr:uid="{00000000-0005-0000-0000-000068070000}"/>
    <cellStyle name="Currency 3 2" xfId="593" xr:uid="{00000000-0005-0000-0000-000069070000}"/>
    <cellStyle name="Currency 3 3" xfId="594" xr:uid="{00000000-0005-0000-0000-00006A070000}"/>
    <cellStyle name="Currency 3 4" xfId="595" xr:uid="{00000000-0005-0000-0000-00006B070000}"/>
    <cellStyle name="Currency 4" xfId="2499" xr:uid="{00000000-0005-0000-0000-00006C070000}"/>
    <cellStyle name="Currency 5" xfId="2500" xr:uid="{00000000-0005-0000-0000-00006D070000}"/>
    <cellStyle name="Currency 6" xfId="2501" xr:uid="{00000000-0005-0000-0000-00006E070000}"/>
    <cellStyle name="Currency 7" xfId="2502" xr:uid="{00000000-0005-0000-0000-00006F070000}"/>
    <cellStyle name="Currency 8" xfId="2503" xr:uid="{00000000-0005-0000-0000-000070070000}"/>
    <cellStyle name="Currency0" xfId="596" xr:uid="{00000000-0005-0000-0000-000071070000}"/>
    <cellStyle name="Currency0 2" xfId="597" xr:uid="{00000000-0005-0000-0000-000072070000}"/>
    <cellStyle name="Currency0 2 2" xfId="598" xr:uid="{00000000-0005-0000-0000-000073070000}"/>
    <cellStyle name="Currency0 2 3" xfId="599" xr:uid="{00000000-0005-0000-0000-000074070000}"/>
    <cellStyle name="Currency0 2 4" xfId="600" xr:uid="{00000000-0005-0000-0000-000075070000}"/>
    <cellStyle name="Currency0 2 5" xfId="601" xr:uid="{00000000-0005-0000-0000-000076070000}"/>
    <cellStyle name="Currency0 3" xfId="602" xr:uid="{00000000-0005-0000-0000-000077070000}"/>
    <cellStyle name="Currency0 3 2" xfId="603" xr:uid="{00000000-0005-0000-0000-000078070000}"/>
    <cellStyle name="Currency0 3 3" xfId="604" xr:uid="{00000000-0005-0000-0000-000079070000}"/>
    <cellStyle name="Currency0 3 4" xfId="605" xr:uid="{00000000-0005-0000-0000-00007A070000}"/>
    <cellStyle name="Currency0 3 5" xfId="606" xr:uid="{00000000-0005-0000-0000-00007B070000}"/>
    <cellStyle name="Currency0 4" xfId="607" xr:uid="{00000000-0005-0000-0000-00007C070000}"/>
    <cellStyle name="Currency0 5" xfId="608" xr:uid="{00000000-0005-0000-0000-00007D070000}"/>
    <cellStyle name="Currency0 6" xfId="609" xr:uid="{00000000-0005-0000-0000-00007E070000}"/>
    <cellStyle name="Currency0 7" xfId="610" xr:uid="{00000000-0005-0000-0000-00007F070000}"/>
    <cellStyle name="Currency0 8" xfId="611" xr:uid="{00000000-0005-0000-0000-000080070000}"/>
    <cellStyle name="Currency0 9" xfId="612" xr:uid="{00000000-0005-0000-0000-000081070000}"/>
    <cellStyle name="Custom - Style8" xfId="613" xr:uid="{00000000-0005-0000-0000-000082070000}"/>
    <cellStyle name="Data   - Style2" xfId="614" xr:uid="{00000000-0005-0000-0000-000083070000}"/>
    <cellStyle name="Data   - Style2 10" xfId="2504" xr:uid="{00000000-0005-0000-0000-000084070000}"/>
    <cellStyle name="Data   - Style2 11" xfId="2505" xr:uid="{00000000-0005-0000-0000-000085070000}"/>
    <cellStyle name="Data   - Style2 12" xfId="2506" xr:uid="{00000000-0005-0000-0000-000086070000}"/>
    <cellStyle name="Data   - Style2 13" xfId="2507" xr:uid="{00000000-0005-0000-0000-000087070000}"/>
    <cellStyle name="Data   - Style2 14" xfId="2508" xr:uid="{00000000-0005-0000-0000-000088070000}"/>
    <cellStyle name="Data   - Style2 15" xfId="2509" xr:uid="{00000000-0005-0000-0000-000089070000}"/>
    <cellStyle name="Data   - Style2 16" xfId="2510" xr:uid="{00000000-0005-0000-0000-00008A070000}"/>
    <cellStyle name="Data   - Style2 2" xfId="2511" xr:uid="{00000000-0005-0000-0000-00008B070000}"/>
    <cellStyle name="Data   - Style2 3" xfId="2512" xr:uid="{00000000-0005-0000-0000-00008C070000}"/>
    <cellStyle name="Data   - Style2 4" xfId="2513" xr:uid="{00000000-0005-0000-0000-00008D070000}"/>
    <cellStyle name="Data   - Style2 5" xfId="2514" xr:uid="{00000000-0005-0000-0000-00008E070000}"/>
    <cellStyle name="Data   - Style2 6" xfId="2515" xr:uid="{00000000-0005-0000-0000-00008F070000}"/>
    <cellStyle name="Data   - Style2 7" xfId="2516" xr:uid="{00000000-0005-0000-0000-000090070000}"/>
    <cellStyle name="Data   - Style2 8" xfId="2517" xr:uid="{00000000-0005-0000-0000-000091070000}"/>
    <cellStyle name="Data   - Style2 9" xfId="2518" xr:uid="{00000000-0005-0000-0000-000092070000}"/>
    <cellStyle name="Date" xfId="615" xr:uid="{00000000-0005-0000-0000-000093070000}"/>
    <cellStyle name="Date [d-mmm-yy]" xfId="2519" xr:uid="{00000000-0005-0000-0000-000094070000}"/>
    <cellStyle name="Date [mm-d-yy]" xfId="2520" xr:uid="{00000000-0005-0000-0000-000095070000}"/>
    <cellStyle name="Date [mm-d-yyyy]" xfId="2521" xr:uid="{00000000-0005-0000-0000-000096070000}"/>
    <cellStyle name="Date [mmm-yy]" xfId="2522" xr:uid="{00000000-0005-0000-0000-000097070000}"/>
    <cellStyle name="Date 10" xfId="616" xr:uid="{00000000-0005-0000-0000-000098070000}"/>
    <cellStyle name="Date 11" xfId="617" xr:uid="{00000000-0005-0000-0000-000099070000}"/>
    <cellStyle name="Date 12" xfId="618" xr:uid="{00000000-0005-0000-0000-00009A070000}"/>
    <cellStyle name="DATE 13" xfId="619" xr:uid="{00000000-0005-0000-0000-00009B070000}"/>
    <cellStyle name="DATE 14" xfId="620" xr:uid="{00000000-0005-0000-0000-00009C070000}"/>
    <cellStyle name="DATE 15" xfId="621" xr:uid="{00000000-0005-0000-0000-00009D070000}"/>
    <cellStyle name="DATE 16" xfId="622" xr:uid="{00000000-0005-0000-0000-00009E070000}"/>
    <cellStyle name="Date 17" xfId="623" xr:uid="{00000000-0005-0000-0000-00009F070000}"/>
    <cellStyle name="Date 18" xfId="624" xr:uid="{00000000-0005-0000-0000-0000A0070000}"/>
    <cellStyle name="Date 19" xfId="625" xr:uid="{00000000-0005-0000-0000-0000A1070000}"/>
    <cellStyle name="Date 2" xfId="626" xr:uid="{00000000-0005-0000-0000-0000A2070000}"/>
    <cellStyle name="DATE 2 2" xfId="627" xr:uid="{00000000-0005-0000-0000-0000A3070000}"/>
    <cellStyle name="Date 2 3" xfId="628" xr:uid="{00000000-0005-0000-0000-0000A4070000}"/>
    <cellStyle name="Date 2 4" xfId="629" xr:uid="{00000000-0005-0000-0000-0000A5070000}"/>
    <cellStyle name="Date 2 5" xfId="630" xr:uid="{00000000-0005-0000-0000-0000A6070000}"/>
    <cellStyle name="Date 3" xfId="631" xr:uid="{00000000-0005-0000-0000-0000A7070000}"/>
    <cellStyle name="DATE 3 2" xfId="632" xr:uid="{00000000-0005-0000-0000-0000A8070000}"/>
    <cellStyle name="Date 3 3" xfId="633" xr:uid="{00000000-0005-0000-0000-0000A9070000}"/>
    <cellStyle name="Date 3 4" xfId="634" xr:uid="{00000000-0005-0000-0000-0000AA070000}"/>
    <cellStyle name="Date 3 5" xfId="635" xr:uid="{00000000-0005-0000-0000-0000AB070000}"/>
    <cellStyle name="Date 4" xfId="636" xr:uid="{00000000-0005-0000-0000-0000AC070000}"/>
    <cellStyle name="DATE 4 2" xfId="637" xr:uid="{00000000-0005-0000-0000-0000AD070000}"/>
    <cellStyle name="DATE 5" xfId="638" xr:uid="{00000000-0005-0000-0000-0000AE070000}"/>
    <cellStyle name="DATE 6" xfId="639" xr:uid="{00000000-0005-0000-0000-0000AF070000}"/>
    <cellStyle name="DATE 7" xfId="640" xr:uid="{00000000-0005-0000-0000-0000B0070000}"/>
    <cellStyle name="DATE 8" xfId="641" xr:uid="{00000000-0005-0000-0000-0000B1070000}"/>
    <cellStyle name="Date 9" xfId="642" xr:uid="{00000000-0005-0000-0000-0000B2070000}"/>
    <cellStyle name="DATE_2 - RAB-PAJAK MEDAN - 2009 (ME) - r2 -PP" xfId="643" xr:uid="{00000000-0005-0000-0000-0000B3070000}"/>
    <cellStyle name="date1" xfId="644" xr:uid="{00000000-0005-0000-0000-0000B4070000}"/>
    <cellStyle name="date1 2" xfId="645" xr:uid="{00000000-0005-0000-0000-0000B5070000}"/>
    <cellStyle name="date1 3" xfId="646" xr:uid="{00000000-0005-0000-0000-0000B6070000}"/>
    <cellStyle name="date1 4" xfId="647" xr:uid="{00000000-0005-0000-0000-0000B7070000}"/>
    <cellStyle name="date1 5" xfId="648" xr:uid="{00000000-0005-0000-0000-0000B8070000}"/>
    <cellStyle name="date1 6" xfId="649" xr:uid="{00000000-0005-0000-0000-0000B9070000}"/>
    <cellStyle name="date1_2 - RAB-PAJAK MEDAN - 2009 (ME) - r2 -PP" xfId="650" xr:uid="{00000000-0005-0000-0000-0000BA070000}"/>
    <cellStyle name="Description" xfId="651" xr:uid="{00000000-0005-0000-0000-0000BB070000}"/>
    <cellStyle name="Description 2" xfId="652" xr:uid="{00000000-0005-0000-0000-0000BC070000}"/>
    <cellStyle name="Description 3" xfId="653" xr:uid="{00000000-0005-0000-0000-0000BD070000}"/>
    <cellStyle name="Description 4" xfId="654" xr:uid="{00000000-0005-0000-0000-0000BE070000}"/>
    <cellStyle name="Description 5" xfId="655" xr:uid="{00000000-0005-0000-0000-0000BF070000}"/>
    <cellStyle name="Description 6" xfId="656" xr:uid="{00000000-0005-0000-0000-0000C0070000}"/>
    <cellStyle name="Description_2 - RAB-PAJAK MEDAN - 2009 (ME) - r2 -PP" xfId="657" xr:uid="{00000000-0005-0000-0000-0000C1070000}"/>
    <cellStyle name="Dezimal [0]_Central Install 6-up" xfId="2523" xr:uid="{00000000-0005-0000-0000-0000C2070000}"/>
    <cellStyle name="Dezimal_Central Install 6-up" xfId="2524" xr:uid="{00000000-0005-0000-0000-0000C3070000}"/>
    <cellStyle name="DUA" xfId="658" xr:uid="{00000000-0005-0000-0000-0000C4070000}"/>
    <cellStyle name="DUA 2" xfId="659" xr:uid="{00000000-0005-0000-0000-0000C5070000}"/>
    <cellStyle name="DUA 3" xfId="660" xr:uid="{00000000-0005-0000-0000-0000C6070000}"/>
    <cellStyle name="Emphasis 1" xfId="661" xr:uid="{00000000-0005-0000-0000-0000C7070000}"/>
    <cellStyle name="Emphasis 2" xfId="662" xr:uid="{00000000-0005-0000-0000-0000C8070000}"/>
    <cellStyle name="Emphasis 3" xfId="663" xr:uid="{00000000-0005-0000-0000-0000C9070000}"/>
    <cellStyle name="Entered" xfId="664" xr:uid="{00000000-0005-0000-0000-0000CA070000}"/>
    <cellStyle name="Euro" xfId="665" xr:uid="{00000000-0005-0000-0000-0000CB070000}"/>
    <cellStyle name="Euro 10" xfId="2525" xr:uid="{00000000-0005-0000-0000-0000CC070000}"/>
    <cellStyle name="Euro 11" xfId="2526" xr:uid="{00000000-0005-0000-0000-0000CD070000}"/>
    <cellStyle name="Euro 2" xfId="666" xr:uid="{00000000-0005-0000-0000-0000CE070000}"/>
    <cellStyle name="Euro 3" xfId="667" xr:uid="{00000000-0005-0000-0000-0000CF070000}"/>
    <cellStyle name="Euro 4" xfId="2527" xr:uid="{00000000-0005-0000-0000-0000D0070000}"/>
    <cellStyle name="Euro 5" xfId="2528" xr:uid="{00000000-0005-0000-0000-0000D1070000}"/>
    <cellStyle name="Euro 6" xfId="2529" xr:uid="{00000000-0005-0000-0000-0000D2070000}"/>
    <cellStyle name="Euro 7" xfId="2530" xr:uid="{00000000-0005-0000-0000-0000D3070000}"/>
    <cellStyle name="Euro 8" xfId="2531" xr:uid="{00000000-0005-0000-0000-0000D4070000}"/>
    <cellStyle name="Euro 9" xfId="2532" xr:uid="{00000000-0005-0000-0000-0000D5070000}"/>
    <cellStyle name="Euro_NS.A" xfId="2533" xr:uid="{00000000-0005-0000-0000-0000D6070000}"/>
    <cellStyle name="Excel Built-in Normal" xfId="2534" xr:uid="{00000000-0005-0000-0000-0000D7070000}"/>
    <cellStyle name="Explanatory Text 10" xfId="2535" xr:uid="{00000000-0005-0000-0000-0000D8070000}"/>
    <cellStyle name="Explanatory Text 11" xfId="2536" xr:uid="{00000000-0005-0000-0000-0000D9070000}"/>
    <cellStyle name="Explanatory Text 12" xfId="2537" xr:uid="{00000000-0005-0000-0000-0000DA070000}"/>
    <cellStyle name="Explanatory Text 13" xfId="2538" xr:uid="{00000000-0005-0000-0000-0000DB070000}"/>
    <cellStyle name="Explanatory Text 2" xfId="668" xr:uid="{00000000-0005-0000-0000-0000DC070000}"/>
    <cellStyle name="Explanatory Text 3" xfId="2539" xr:uid="{00000000-0005-0000-0000-0000DD070000}"/>
    <cellStyle name="Explanatory Text 4" xfId="2540" xr:uid="{00000000-0005-0000-0000-0000DE070000}"/>
    <cellStyle name="Explanatory Text 5" xfId="2541" xr:uid="{00000000-0005-0000-0000-0000DF070000}"/>
    <cellStyle name="Explanatory Text 6" xfId="2542" xr:uid="{00000000-0005-0000-0000-0000E0070000}"/>
    <cellStyle name="Explanatory Text 7" xfId="2543" xr:uid="{00000000-0005-0000-0000-0000E1070000}"/>
    <cellStyle name="Explanatory Text 8" xfId="2544" xr:uid="{00000000-0005-0000-0000-0000E2070000}"/>
    <cellStyle name="Explanatory Text 9" xfId="2545" xr:uid="{00000000-0005-0000-0000-0000E3070000}"/>
    <cellStyle name="ƒ" xfId="669" xr:uid="{00000000-0005-0000-0000-0000E4070000}"/>
    <cellStyle name="ƒ_0.Bidakara RAP" xfId="2546" xr:uid="{00000000-0005-0000-0000-0000E5070000}"/>
    <cellStyle name="ƒ_0.Bidakara RAP_Analisa BMG" xfId="2547" xr:uid="{00000000-0005-0000-0000-0000E6070000}"/>
    <cellStyle name="ƒ_AHS_MEKANIKAL" xfId="2548" xr:uid="{00000000-0005-0000-0000-0000E7070000}"/>
    <cellStyle name="ƒ_ALAT-BU-SPP-CIPUTARA-ok" xfId="2549" xr:uid="{00000000-0005-0000-0000-0000E8070000}"/>
    <cellStyle name="ƒ_ALAT-SPP-BU-BPK" xfId="2550" xr:uid="{00000000-0005-0000-0000-0000E9070000}"/>
    <cellStyle name="ƒ_ALAT-SPP-BU-BPK_Analisa BMG" xfId="2551" xr:uid="{00000000-0005-0000-0000-0000EA070000}"/>
    <cellStyle name="ƒ_ANALISA BPK DG" xfId="2552" xr:uid="{00000000-0005-0000-0000-0000EB070000}"/>
    <cellStyle name="ƒ_ANALISA BPK DG_Analisa Bapelkes Full" xfId="2553" xr:uid="{00000000-0005-0000-0000-0000EC070000}"/>
    <cellStyle name="ƒ_ANALISA BPK DG_Analisa BMG" xfId="2554" xr:uid="{00000000-0005-0000-0000-0000ED070000}"/>
    <cellStyle name="ƒ_ANALISA BPK DG_SKBDN Batam" xfId="2555" xr:uid="{00000000-0005-0000-0000-0000EE070000}"/>
    <cellStyle name="ƒ_ANALISA BPK DG_SKBDN Batam_Analisa BMG" xfId="2556" xr:uid="{00000000-0005-0000-0000-0000EF070000}"/>
    <cellStyle name="ƒ_ANALISA RAB" xfId="2557" xr:uid="{00000000-0005-0000-0000-0000F0070000}"/>
    <cellStyle name="ƒ_ANALISA RAB_SKBDN Batam" xfId="2558" xr:uid="{00000000-0005-0000-0000-0000F1070000}"/>
    <cellStyle name="ƒ_Bill of Quantity BPK 03082007" xfId="2559" xr:uid="{00000000-0005-0000-0000-0000F2070000}"/>
    <cellStyle name="ƒ_Bill of Quantity BPK 03082007_Analisa Bapelkes Full" xfId="2560" xr:uid="{00000000-0005-0000-0000-0000F3070000}"/>
    <cellStyle name="ƒ_Bill of Quantity BPK 03082007_Analisa BMG" xfId="2561" xr:uid="{00000000-0005-0000-0000-0000F4070000}"/>
    <cellStyle name="ƒ_BQ+Hit. Lt 10, atap (Dago 27-06-2007 )" xfId="2562" xr:uid="{00000000-0005-0000-0000-0000F5070000}"/>
    <cellStyle name="ƒ_Hit SKBDN" xfId="2563" xr:uid="{00000000-0005-0000-0000-0000F6070000}"/>
    <cellStyle name="ƒ_Hit. Hotel Sutan Raja Minahasa (MYO)" xfId="2564" xr:uid="{00000000-0005-0000-0000-0000F7070000}"/>
    <cellStyle name="ƒ_Hit. Hotel Sutan Raja Minahasa (MYO)_Analisa Bapelkes Full" xfId="2565" xr:uid="{00000000-0005-0000-0000-0000F8070000}"/>
    <cellStyle name="ƒ_Hit. Hotel Sutan Raja Minahasa (MYO)_Analisa BMG" xfId="2566" xr:uid="{00000000-0005-0000-0000-0000F9070000}"/>
    <cellStyle name="ƒ_Hit. Lantai - 1" xfId="2567" xr:uid="{00000000-0005-0000-0000-0000FA070000}"/>
    <cellStyle name="ƒ_RAB Electonic01" xfId="670" xr:uid="{00000000-0005-0000-0000-0000FB070000}"/>
    <cellStyle name="ƒ_RAB___R(1)._SERBAGUNA_TW.2" xfId="2568" xr:uid="{00000000-0005-0000-0000-0000FC070000}"/>
    <cellStyle name="ƒ_SKBDN Batam" xfId="2569" xr:uid="{00000000-0005-0000-0000-0000FD070000}"/>
    <cellStyle name="ƒ_UIN (NEW)" xfId="2570" xr:uid="{00000000-0005-0000-0000-0000FE070000}"/>
    <cellStyle name="ƒ_UIN (NEW)_Analisa BMG" xfId="2571" xr:uid="{00000000-0005-0000-0000-0000FF070000}"/>
    <cellStyle name="ƒ_Vol. Bapelkes blok C ( Myo 07.12.07)" xfId="2572" xr:uid="{00000000-0005-0000-0000-000000080000}"/>
    <cellStyle name="ƒ_Vol. Precast" xfId="2573" xr:uid="{00000000-0005-0000-0000-000001080000}"/>
    <cellStyle name="F2" xfId="671" xr:uid="{00000000-0005-0000-0000-000002080000}"/>
    <cellStyle name="F2 10" xfId="2574" xr:uid="{00000000-0005-0000-0000-000003080000}"/>
    <cellStyle name="F2 2" xfId="2575" xr:uid="{00000000-0005-0000-0000-000004080000}"/>
    <cellStyle name="F2 3" xfId="2576" xr:uid="{00000000-0005-0000-0000-000005080000}"/>
    <cellStyle name="F2 4" xfId="2577" xr:uid="{00000000-0005-0000-0000-000006080000}"/>
    <cellStyle name="F2 5" xfId="2578" xr:uid="{00000000-0005-0000-0000-000007080000}"/>
    <cellStyle name="F2 6" xfId="2579" xr:uid="{00000000-0005-0000-0000-000008080000}"/>
    <cellStyle name="F2 7" xfId="2580" xr:uid="{00000000-0005-0000-0000-000009080000}"/>
    <cellStyle name="F2 8" xfId="2581" xr:uid="{00000000-0005-0000-0000-00000A080000}"/>
    <cellStyle name="F2 9" xfId="2582" xr:uid="{00000000-0005-0000-0000-00000B080000}"/>
    <cellStyle name="F3" xfId="672" xr:uid="{00000000-0005-0000-0000-00000C080000}"/>
    <cellStyle name="F3 10" xfId="2583" xr:uid="{00000000-0005-0000-0000-00000D080000}"/>
    <cellStyle name="F3 2" xfId="2584" xr:uid="{00000000-0005-0000-0000-00000E080000}"/>
    <cellStyle name="F3 3" xfId="2585" xr:uid="{00000000-0005-0000-0000-00000F080000}"/>
    <cellStyle name="F3 4" xfId="2586" xr:uid="{00000000-0005-0000-0000-000010080000}"/>
    <cellStyle name="F3 5" xfId="2587" xr:uid="{00000000-0005-0000-0000-000011080000}"/>
    <cellStyle name="F3 6" xfId="2588" xr:uid="{00000000-0005-0000-0000-000012080000}"/>
    <cellStyle name="F3 7" xfId="2589" xr:uid="{00000000-0005-0000-0000-000013080000}"/>
    <cellStyle name="F3 8" xfId="2590" xr:uid="{00000000-0005-0000-0000-000014080000}"/>
    <cellStyle name="F3 9" xfId="2591" xr:uid="{00000000-0005-0000-0000-000015080000}"/>
    <cellStyle name="F4" xfId="673" xr:uid="{00000000-0005-0000-0000-000016080000}"/>
    <cellStyle name="F4 10" xfId="2592" xr:uid="{00000000-0005-0000-0000-000017080000}"/>
    <cellStyle name="F4 2" xfId="2593" xr:uid="{00000000-0005-0000-0000-000018080000}"/>
    <cellStyle name="F4 3" xfId="2594" xr:uid="{00000000-0005-0000-0000-000019080000}"/>
    <cellStyle name="F4 4" xfId="2595" xr:uid="{00000000-0005-0000-0000-00001A080000}"/>
    <cellStyle name="F4 5" xfId="2596" xr:uid="{00000000-0005-0000-0000-00001B080000}"/>
    <cellStyle name="F4 6" xfId="2597" xr:uid="{00000000-0005-0000-0000-00001C080000}"/>
    <cellStyle name="F4 7" xfId="2598" xr:uid="{00000000-0005-0000-0000-00001D080000}"/>
    <cellStyle name="F4 8" xfId="2599" xr:uid="{00000000-0005-0000-0000-00001E080000}"/>
    <cellStyle name="F4 9" xfId="2600" xr:uid="{00000000-0005-0000-0000-00001F080000}"/>
    <cellStyle name="F5" xfId="674" xr:uid="{00000000-0005-0000-0000-000020080000}"/>
    <cellStyle name="F5 10" xfId="2601" xr:uid="{00000000-0005-0000-0000-000021080000}"/>
    <cellStyle name="F5 2" xfId="2602" xr:uid="{00000000-0005-0000-0000-000022080000}"/>
    <cellStyle name="F5 3" xfId="2603" xr:uid="{00000000-0005-0000-0000-000023080000}"/>
    <cellStyle name="F5 4" xfId="2604" xr:uid="{00000000-0005-0000-0000-000024080000}"/>
    <cellStyle name="F5 5" xfId="2605" xr:uid="{00000000-0005-0000-0000-000025080000}"/>
    <cellStyle name="F5 6" xfId="2606" xr:uid="{00000000-0005-0000-0000-000026080000}"/>
    <cellStyle name="F5 7" xfId="2607" xr:uid="{00000000-0005-0000-0000-000027080000}"/>
    <cellStyle name="F5 8" xfId="2608" xr:uid="{00000000-0005-0000-0000-000028080000}"/>
    <cellStyle name="F5 9" xfId="2609" xr:uid="{00000000-0005-0000-0000-000029080000}"/>
    <cellStyle name="F6" xfId="675" xr:uid="{00000000-0005-0000-0000-00002A080000}"/>
    <cellStyle name="F6 10" xfId="2610" xr:uid="{00000000-0005-0000-0000-00002B080000}"/>
    <cellStyle name="F6 2" xfId="2611" xr:uid="{00000000-0005-0000-0000-00002C080000}"/>
    <cellStyle name="F6 3" xfId="2612" xr:uid="{00000000-0005-0000-0000-00002D080000}"/>
    <cellStyle name="F6 4" xfId="2613" xr:uid="{00000000-0005-0000-0000-00002E080000}"/>
    <cellStyle name="F6 5" xfId="2614" xr:uid="{00000000-0005-0000-0000-00002F080000}"/>
    <cellStyle name="F6 6" xfId="2615" xr:uid="{00000000-0005-0000-0000-000030080000}"/>
    <cellStyle name="F6 7" xfId="2616" xr:uid="{00000000-0005-0000-0000-000031080000}"/>
    <cellStyle name="F6 8" xfId="2617" xr:uid="{00000000-0005-0000-0000-000032080000}"/>
    <cellStyle name="F6 9" xfId="2618" xr:uid="{00000000-0005-0000-0000-000033080000}"/>
    <cellStyle name="F7" xfId="676" xr:uid="{00000000-0005-0000-0000-000034080000}"/>
    <cellStyle name="F7 10" xfId="2619" xr:uid="{00000000-0005-0000-0000-000035080000}"/>
    <cellStyle name="F7 2" xfId="2620" xr:uid="{00000000-0005-0000-0000-000036080000}"/>
    <cellStyle name="F7 3" xfId="2621" xr:uid="{00000000-0005-0000-0000-000037080000}"/>
    <cellStyle name="F7 4" xfId="2622" xr:uid="{00000000-0005-0000-0000-000038080000}"/>
    <cellStyle name="F7 5" xfId="2623" xr:uid="{00000000-0005-0000-0000-000039080000}"/>
    <cellStyle name="F7 6" xfId="2624" xr:uid="{00000000-0005-0000-0000-00003A080000}"/>
    <cellStyle name="F7 7" xfId="2625" xr:uid="{00000000-0005-0000-0000-00003B080000}"/>
    <cellStyle name="F7 8" xfId="2626" xr:uid="{00000000-0005-0000-0000-00003C080000}"/>
    <cellStyle name="F7 9" xfId="2627" xr:uid="{00000000-0005-0000-0000-00003D080000}"/>
    <cellStyle name="F8" xfId="677" xr:uid="{00000000-0005-0000-0000-00003E080000}"/>
    <cellStyle name="F8 10" xfId="2628" xr:uid="{00000000-0005-0000-0000-00003F080000}"/>
    <cellStyle name="F8 2" xfId="2629" xr:uid="{00000000-0005-0000-0000-000040080000}"/>
    <cellStyle name="F8 3" xfId="2630" xr:uid="{00000000-0005-0000-0000-000041080000}"/>
    <cellStyle name="F8 4" xfId="2631" xr:uid="{00000000-0005-0000-0000-000042080000}"/>
    <cellStyle name="F8 5" xfId="2632" xr:uid="{00000000-0005-0000-0000-000043080000}"/>
    <cellStyle name="F8 6" xfId="2633" xr:uid="{00000000-0005-0000-0000-000044080000}"/>
    <cellStyle name="F8 7" xfId="2634" xr:uid="{00000000-0005-0000-0000-000045080000}"/>
    <cellStyle name="F8 8" xfId="2635" xr:uid="{00000000-0005-0000-0000-000046080000}"/>
    <cellStyle name="F8 9" xfId="2636" xr:uid="{00000000-0005-0000-0000-000047080000}"/>
    <cellStyle name="Fixed" xfId="678" xr:uid="{00000000-0005-0000-0000-000048080000}"/>
    <cellStyle name="Fixed [0]" xfId="2637" xr:uid="{00000000-0005-0000-0000-000049080000}"/>
    <cellStyle name="Fixed 10" xfId="679" xr:uid="{00000000-0005-0000-0000-00004A080000}"/>
    <cellStyle name="Fixed 11" xfId="680" xr:uid="{00000000-0005-0000-0000-00004B080000}"/>
    <cellStyle name="Fixed 2" xfId="681" xr:uid="{00000000-0005-0000-0000-00004C080000}"/>
    <cellStyle name="Fixed 2 2" xfId="682" xr:uid="{00000000-0005-0000-0000-00004D080000}"/>
    <cellStyle name="Fixed 2 3" xfId="683" xr:uid="{00000000-0005-0000-0000-00004E080000}"/>
    <cellStyle name="Fixed 2 4" xfId="684" xr:uid="{00000000-0005-0000-0000-00004F080000}"/>
    <cellStyle name="Fixed 2 5" xfId="685" xr:uid="{00000000-0005-0000-0000-000050080000}"/>
    <cellStyle name="Fixed 3" xfId="686" xr:uid="{00000000-0005-0000-0000-000051080000}"/>
    <cellStyle name="Fixed 3 2" xfId="687" xr:uid="{00000000-0005-0000-0000-000052080000}"/>
    <cellStyle name="Fixed 3 3" xfId="688" xr:uid="{00000000-0005-0000-0000-000053080000}"/>
    <cellStyle name="Fixed 3 4" xfId="689" xr:uid="{00000000-0005-0000-0000-000054080000}"/>
    <cellStyle name="Fixed 3 5" xfId="690" xr:uid="{00000000-0005-0000-0000-000055080000}"/>
    <cellStyle name="Fixed 4" xfId="691" xr:uid="{00000000-0005-0000-0000-000056080000}"/>
    <cellStyle name="Fixed 4 2" xfId="692" xr:uid="{00000000-0005-0000-0000-000057080000}"/>
    <cellStyle name="Fixed 5" xfId="693" xr:uid="{00000000-0005-0000-0000-000058080000}"/>
    <cellStyle name="Fixed 6" xfId="694" xr:uid="{00000000-0005-0000-0000-000059080000}"/>
    <cellStyle name="Fixed 7" xfId="695" xr:uid="{00000000-0005-0000-0000-00005A080000}"/>
    <cellStyle name="Fixed 8" xfId="696" xr:uid="{00000000-0005-0000-0000-00005B080000}"/>
    <cellStyle name="Fixed 9" xfId="697" xr:uid="{00000000-0005-0000-0000-00005C080000}"/>
    <cellStyle name="Fixed_2 - RAB-PAJAK MEDAN - 2009 (ME) - r2 -PP" xfId="698" xr:uid="{00000000-0005-0000-0000-00005D080000}"/>
    <cellStyle name="Foottitle" xfId="2638" xr:uid="{00000000-0005-0000-0000-00005E080000}"/>
    <cellStyle name="Good 10" xfId="2639" xr:uid="{00000000-0005-0000-0000-00005F080000}"/>
    <cellStyle name="Good 11" xfId="2640" xr:uid="{00000000-0005-0000-0000-000060080000}"/>
    <cellStyle name="Good 12" xfId="2641" xr:uid="{00000000-0005-0000-0000-000061080000}"/>
    <cellStyle name="Good 13" xfId="2642" xr:uid="{00000000-0005-0000-0000-000062080000}"/>
    <cellStyle name="Good 2" xfId="699" xr:uid="{00000000-0005-0000-0000-000063080000}"/>
    <cellStyle name="Good 3" xfId="2643" xr:uid="{00000000-0005-0000-0000-000064080000}"/>
    <cellStyle name="Good 4" xfId="2644" xr:uid="{00000000-0005-0000-0000-000065080000}"/>
    <cellStyle name="Good 5" xfId="2645" xr:uid="{00000000-0005-0000-0000-000066080000}"/>
    <cellStyle name="Good 6" xfId="2646" xr:uid="{00000000-0005-0000-0000-000067080000}"/>
    <cellStyle name="Good 7" xfId="2647" xr:uid="{00000000-0005-0000-0000-000068080000}"/>
    <cellStyle name="Good 8" xfId="2648" xr:uid="{00000000-0005-0000-0000-000069080000}"/>
    <cellStyle name="Good 9" xfId="2649" xr:uid="{00000000-0005-0000-0000-00006A080000}"/>
    <cellStyle name="Grey" xfId="700" xr:uid="{00000000-0005-0000-0000-00006B080000}"/>
    <cellStyle name="GTT%" xfId="701" xr:uid="{00000000-0005-0000-0000-00006C080000}"/>
    <cellStyle name="GTT% 2" xfId="702" xr:uid="{00000000-0005-0000-0000-00006D080000}"/>
    <cellStyle name="GTT% 3" xfId="703" xr:uid="{00000000-0005-0000-0000-00006E080000}"/>
    <cellStyle name="GTT% 4" xfId="704" xr:uid="{00000000-0005-0000-0000-00006F080000}"/>
    <cellStyle name="GTT% 5" xfId="705" xr:uid="{00000000-0005-0000-0000-000070080000}"/>
    <cellStyle name="GTT% 6" xfId="706" xr:uid="{00000000-0005-0000-0000-000071080000}"/>
    <cellStyle name="GTT%_2 - RAB-PAJAK MEDAN - 2009 (ME) - r2 -PP" xfId="707" xr:uid="{00000000-0005-0000-0000-000072080000}"/>
    <cellStyle name="header" xfId="2650" xr:uid="{00000000-0005-0000-0000-000073080000}"/>
    <cellStyle name="Header - Style1" xfId="708" xr:uid="{00000000-0005-0000-0000-000074080000}"/>
    <cellStyle name="Header - Style1 10" xfId="2651" xr:uid="{00000000-0005-0000-0000-000075080000}"/>
    <cellStyle name="Header - Style1 2" xfId="2652" xr:uid="{00000000-0005-0000-0000-000076080000}"/>
    <cellStyle name="Header - Style1 3" xfId="2653" xr:uid="{00000000-0005-0000-0000-000077080000}"/>
    <cellStyle name="Header - Style1 4" xfId="2654" xr:uid="{00000000-0005-0000-0000-000078080000}"/>
    <cellStyle name="Header - Style1 5" xfId="2655" xr:uid="{00000000-0005-0000-0000-000079080000}"/>
    <cellStyle name="Header - Style1 6" xfId="2656" xr:uid="{00000000-0005-0000-0000-00007A080000}"/>
    <cellStyle name="Header - Style1 7" xfId="2657" xr:uid="{00000000-0005-0000-0000-00007B080000}"/>
    <cellStyle name="Header - Style1 8" xfId="2658" xr:uid="{00000000-0005-0000-0000-00007C080000}"/>
    <cellStyle name="Header - Style1 9" xfId="2659" xr:uid="{00000000-0005-0000-0000-00007D080000}"/>
    <cellStyle name="Header1" xfId="709" xr:uid="{00000000-0005-0000-0000-00007E080000}"/>
    <cellStyle name="Header1 10" xfId="2660" xr:uid="{00000000-0005-0000-0000-00007F080000}"/>
    <cellStyle name="Header1 11" xfId="2661" xr:uid="{00000000-0005-0000-0000-000080080000}"/>
    <cellStyle name="Header1 12" xfId="2662" xr:uid="{00000000-0005-0000-0000-000081080000}"/>
    <cellStyle name="Header1 13" xfId="2663" xr:uid="{00000000-0005-0000-0000-000082080000}"/>
    <cellStyle name="Header1 14" xfId="2664" xr:uid="{00000000-0005-0000-0000-000083080000}"/>
    <cellStyle name="Header1 15" xfId="2665" xr:uid="{00000000-0005-0000-0000-000084080000}"/>
    <cellStyle name="Header1 16" xfId="2666" xr:uid="{00000000-0005-0000-0000-000085080000}"/>
    <cellStyle name="Header1 17" xfId="2667" xr:uid="{00000000-0005-0000-0000-000086080000}"/>
    <cellStyle name="Header1 18" xfId="2668" xr:uid="{00000000-0005-0000-0000-000087080000}"/>
    <cellStyle name="Header1 2" xfId="2669" xr:uid="{00000000-0005-0000-0000-000088080000}"/>
    <cellStyle name="Header1 3" xfId="2670" xr:uid="{00000000-0005-0000-0000-000089080000}"/>
    <cellStyle name="Header1 4" xfId="2671" xr:uid="{00000000-0005-0000-0000-00008A080000}"/>
    <cellStyle name="Header1 5" xfId="2672" xr:uid="{00000000-0005-0000-0000-00008B080000}"/>
    <cellStyle name="Header1 6" xfId="2673" xr:uid="{00000000-0005-0000-0000-00008C080000}"/>
    <cellStyle name="Header1 7" xfId="2674" xr:uid="{00000000-0005-0000-0000-00008D080000}"/>
    <cellStyle name="Header1 8" xfId="2675" xr:uid="{00000000-0005-0000-0000-00008E080000}"/>
    <cellStyle name="Header1 9" xfId="2676" xr:uid="{00000000-0005-0000-0000-00008F080000}"/>
    <cellStyle name="Header2" xfId="710" xr:uid="{00000000-0005-0000-0000-000090080000}"/>
    <cellStyle name="Header2 10" xfId="2677" xr:uid="{00000000-0005-0000-0000-000091080000}"/>
    <cellStyle name="Header2 11" xfId="2678" xr:uid="{00000000-0005-0000-0000-000092080000}"/>
    <cellStyle name="Header2 12" xfId="2679" xr:uid="{00000000-0005-0000-0000-000093080000}"/>
    <cellStyle name="Header2 2" xfId="711" xr:uid="{00000000-0005-0000-0000-000094080000}"/>
    <cellStyle name="Header2 2 2" xfId="2680" xr:uid="{00000000-0005-0000-0000-000095080000}"/>
    <cellStyle name="Header2 2 3" xfId="2681" xr:uid="{00000000-0005-0000-0000-000096080000}"/>
    <cellStyle name="Header2 2 4" xfId="2682" xr:uid="{00000000-0005-0000-0000-000097080000}"/>
    <cellStyle name="Header2 2 5" xfId="2683" xr:uid="{00000000-0005-0000-0000-000098080000}"/>
    <cellStyle name="Header2 2 6" xfId="2684" xr:uid="{00000000-0005-0000-0000-000099080000}"/>
    <cellStyle name="Header2 2 7" xfId="2685" xr:uid="{00000000-0005-0000-0000-00009A080000}"/>
    <cellStyle name="Header2 2 8" xfId="2686" xr:uid="{00000000-0005-0000-0000-00009B080000}"/>
    <cellStyle name="Header2 2 9" xfId="2687" xr:uid="{00000000-0005-0000-0000-00009C080000}"/>
    <cellStyle name="Header2 3" xfId="712" xr:uid="{00000000-0005-0000-0000-00009D080000}"/>
    <cellStyle name="Header2 3 2" xfId="2688" xr:uid="{00000000-0005-0000-0000-00009E080000}"/>
    <cellStyle name="Header2 3 3" xfId="2689" xr:uid="{00000000-0005-0000-0000-00009F080000}"/>
    <cellStyle name="Header2 3 4" xfId="2690" xr:uid="{00000000-0005-0000-0000-0000A0080000}"/>
    <cellStyle name="Header2 3 5" xfId="2691" xr:uid="{00000000-0005-0000-0000-0000A1080000}"/>
    <cellStyle name="Header2 3 6" xfId="2692" xr:uid="{00000000-0005-0000-0000-0000A2080000}"/>
    <cellStyle name="Header2 3 7" xfId="2693" xr:uid="{00000000-0005-0000-0000-0000A3080000}"/>
    <cellStyle name="Header2 3 8" xfId="2694" xr:uid="{00000000-0005-0000-0000-0000A4080000}"/>
    <cellStyle name="Header2 3 9" xfId="2695" xr:uid="{00000000-0005-0000-0000-0000A5080000}"/>
    <cellStyle name="Header2 4" xfId="2696" xr:uid="{00000000-0005-0000-0000-0000A6080000}"/>
    <cellStyle name="Header2 5" xfId="2697" xr:uid="{00000000-0005-0000-0000-0000A7080000}"/>
    <cellStyle name="Header2 6" xfId="2698" xr:uid="{00000000-0005-0000-0000-0000A8080000}"/>
    <cellStyle name="Header2 7" xfId="2699" xr:uid="{00000000-0005-0000-0000-0000A9080000}"/>
    <cellStyle name="Header2 8" xfId="2700" xr:uid="{00000000-0005-0000-0000-0000AA080000}"/>
    <cellStyle name="Header2 9" xfId="2701" xr:uid="{00000000-0005-0000-0000-0000AB080000}"/>
    <cellStyle name="Heading" xfId="713" xr:uid="{00000000-0005-0000-0000-0000AC080000}"/>
    <cellStyle name="Heading 1 10" xfId="2702" xr:uid="{00000000-0005-0000-0000-0000AD080000}"/>
    <cellStyle name="Heading 1 11" xfId="2703" xr:uid="{00000000-0005-0000-0000-0000AE080000}"/>
    <cellStyle name="Heading 1 12" xfId="2704" xr:uid="{00000000-0005-0000-0000-0000AF080000}"/>
    <cellStyle name="Heading 1 13" xfId="2705" xr:uid="{00000000-0005-0000-0000-0000B0080000}"/>
    <cellStyle name="Heading 1 2" xfId="714" xr:uid="{00000000-0005-0000-0000-0000B1080000}"/>
    <cellStyle name="Heading 1 2 10" xfId="2706" xr:uid="{00000000-0005-0000-0000-0000B2080000}"/>
    <cellStyle name="Heading 1 2 2" xfId="715" xr:uid="{00000000-0005-0000-0000-0000B3080000}"/>
    <cellStyle name="Heading 1 2 3" xfId="716" xr:uid="{00000000-0005-0000-0000-0000B4080000}"/>
    <cellStyle name="Heading 1 2 4" xfId="2707" xr:uid="{00000000-0005-0000-0000-0000B5080000}"/>
    <cellStyle name="Heading 1 2 5" xfId="2708" xr:uid="{00000000-0005-0000-0000-0000B6080000}"/>
    <cellStyle name="Heading 1 2 6" xfId="2709" xr:uid="{00000000-0005-0000-0000-0000B7080000}"/>
    <cellStyle name="Heading 1 2 7" xfId="2710" xr:uid="{00000000-0005-0000-0000-0000B8080000}"/>
    <cellStyle name="Heading 1 2 8" xfId="2711" xr:uid="{00000000-0005-0000-0000-0000B9080000}"/>
    <cellStyle name="Heading 1 2 9" xfId="2712" xr:uid="{00000000-0005-0000-0000-0000BA080000}"/>
    <cellStyle name="Heading 1 3" xfId="717" xr:uid="{00000000-0005-0000-0000-0000BB080000}"/>
    <cellStyle name="Heading 1 4" xfId="718" xr:uid="{00000000-0005-0000-0000-0000BC080000}"/>
    <cellStyle name="Heading 1 5" xfId="719" xr:uid="{00000000-0005-0000-0000-0000BD080000}"/>
    <cellStyle name="Heading 1 6" xfId="720" xr:uid="{00000000-0005-0000-0000-0000BE080000}"/>
    <cellStyle name="Heading 1 7" xfId="721" xr:uid="{00000000-0005-0000-0000-0000BF080000}"/>
    <cellStyle name="Heading 1 8" xfId="722" xr:uid="{00000000-0005-0000-0000-0000C0080000}"/>
    <cellStyle name="Heading 1 9" xfId="723" xr:uid="{00000000-0005-0000-0000-0000C1080000}"/>
    <cellStyle name="Heading 2 10" xfId="2713" xr:uid="{00000000-0005-0000-0000-0000C2080000}"/>
    <cellStyle name="Heading 2 11" xfId="2714" xr:uid="{00000000-0005-0000-0000-0000C3080000}"/>
    <cellStyle name="Heading 2 12" xfId="2715" xr:uid="{00000000-0005-0000-0000-0000C4080000}"/>
    <cellStyle name="Heading 2 13" xfId="2716" xr:uid="{00000000-0005-0000-0000-0000C5080000}"/>
    <cellStyle name="Heading 2 2" xfId="724" xr:uid="{00000000-0005-0000-0000-0000C6080000}"/>
    <cellStyle name="Heading 2 2 10" xfId="2717" xr:uid="{00000000-0005-0000-0000-0000C7080000}"/>
    <cellStyle name="Heading 2 2 2" xfId="725" xr:uid="{00000000-0005-0000-0000-0000C8080000}"/>
    <cellStyle name="Heading 2 2 3" xfId="726" xr:uid="{00000000-0005-0000-0000-0000C9080000}"/>
    <cellStyle name="Heading 2 2 4" xfId="2718" xr:uid="{00000000-0005-0000-0000-0000CA080000}"/>
    <cellStyle name="Heading 2 2 5" xfId="2719" xr:uid="{00000000-0005-0000-0000-0000CB080000}"/>
    <cellStyle name="Heading 2 2 6" xfId="2720" xr:uid="{00000000-0005-0000-0000-0000CC080000}"/>
    <cellStyle name="Heading 2 2 7" xfId="2721" xr:uid="{00000000-0005-0000-0000-0000CD080000}"/>
    <cellStyle name="Heading 2 2 8" xfId="2722" xr:uid="{00000000-0005-0000-0000-0000CE080000}"/>
    <cellStyle name="Heading 2 2 9" xfId="2723" xr:uid="{00000000-0005-0000-0000-0000CF080000}"/>
    <cellStyle name="Heading 2 3" xfId="727" xr:uid="{00000000-0005-0000-0000-0000D0080000}"/>
    <cellStyle name="Heading 2 4" xfId="728" xr:uid="{00000000-0005-0000-0000-0000D1080000}"/>
    <cellStyle name="Heading 2 5" xfId="729" xr:uid="{00000000-0005-0000-0000-0000D2080000}"/>
    <cellStyle name="Heading 2 6" xfId="730" xr:uid="{00000000-0005-0000-0000-0000D3080000}"/>
    <cellStyle name="Heading 2 7" xfId="731" xr:uid="{00000000-0005-0000-0000-0000D4080000}"/>
    <cellStyle name="Heading 2 8" xfId="732" xr:uid="{00000000-0005-0000-0000-0000D5080000}"/>
    <cellStyle name="Heading 2 9" xfId="733" xr:uid="{00000000-0005-0000-0000-0000D6080000}"/>
    <cellStyle name="Heading 3 10" xfId="2724" xr:uid="{00000000-0005-0000-0000-0000D7080000}"/>
    <cellStyle name="Heading 3 11" xfId="2725" xr:uid="{00000000-0005-0000-0000-0000D8080000}"/>
    <cellStyle name="Heading 3 12" xfId="2726" xr:uid="{00000000-0005-0000-0000-0000D9080000}"/>
    <cellStyle name="Heading 3 13" xfId="2727" xr:uid="{00000000-0005-0000-0000-0000DA080000}"/>
    <cellStyle name="Heading 3 2" xfId="734" xr:uid="{00000000-0005-0000-0000-0000DB080000}"/>
    <cellStyle name="Heading 3 3" xfId="2728" xr:uid="{00000000-0005-0000-0000-0000DC080000}"/>
    <cellStyle name="Heading 3 4" xfId="2729" xr:uid="{00000000-0005-0000-0000-0000DD080000}"/>
    <cellStyle name="Heading 3 5" xfId="2730" xr:uid="{00000000-0005-0000-0000-0000DE080000}"/>
    <cellStyle name="Heading 3 6" xfId="2731" xr:uid="{00000000-0005-0000-0000-0000DF080000}"/>
    <cellStyle name="Heading 3 7" xfId="2732" xr:uid="{00000000-0005-0000-0000-0000E0080000}"/>
    <cellStyle name="Heading 3 8" xfId="2733" xr:uid="{00000000-0005-0000-0000-0000E1080000}"/>
    <cellStyle name="Heading 3 9" xfId="2734" xr:uid="{00000000-0005-0000-0000-0000E2080000}"/>
    <cellStyle name="Heading 4 10" xfId="2735" xr:uid="{00000000-0005-0000-0000-0000E3080000}"/>
    <cellStyle name="Heading 4 11" xfId="2736" xr:uid="{00000000-0005-0000-0000-0000E4080000}"/>
    <cellStyle name="Heading 4 12" xfId="2737" xr:uid="{00000000-0005-0000-0000-0000E5080000}"/>
    <cellStyle name="Heading 4 13" xfId="2738" xr:uid="{00000000-0005-0000-0000-0000E6080000}"/>
    <cellStyle name="Heading 4 2" xfId="735" xr:uid="{00000000-0005-0000-0000-0000E7080000}"/>
    <cellStyle name="Heading 4 3" xfId="2739" xr:uid="{00000000-0005-0000-0000-0000E8080000}"/>
    <cellStyle name="Heading 4 4" xfId="2740" xr:uid="{00000000-0005-0000-0000-0000E9080000}"/>
    <cellStyle name="Heading 4 5" xfId="2741" xr:uid="{00000000-0005-0000-0000-0000EA080000}"/>
    <cellStyle name="Heading 4 6" xfId="2742" xr:uid="{00000000-0005-0000-0000-0000EB080000}"/>
    <cellStyle name="Heading 4 7" xfId="2743" xr:uid="{00000000-0005-0000-0000-0000EC080000}"/>
    <cellStyle name="Heading 4 8" xfId="2744" xr:uid="{00000000-0005-0000-0000-0000ED080000}"/>
    <cellStyle name="Heading 4 9" xfId="2745" xr:uid="{00000000-0005-0000-0000-0000EE080000}"/>
    <cellStyle name="Heading 5" xfId="2746" xr:uid="{00000000-0005-0000-0000-0000EF080000}"/>
    <cellStyle name="Heading 6" xfId="2747" xr:uid="{00000000-0005-0000-0000-0000F0080000}"/>
    <cellStyle name="Heading1" xfId="736" xr:uid="{00000000-0005-0000-0000-0000F1080000}"/>
    <cellStyle name="Heading1 1" xfId="2748" xr:uid="{00000000-0005-0000-0000-0000F2080000}"/>
    <cellStyle name="Heading1 10" xfId="2749" xr:uid="{00000000-0005-0000-0000-0000F3080000}"/>
    <cellStyle name="Heading1 2" xfId="737" xr:uid="{00000000-0005-0000-0000-0000F4080000}"/>
    <cellStyle name="Heading1 3" xfId="2750" xr:uid="{00000000-0005-0000-0000-0000F5080000}"/>
    <cellStyle name="Heading1 4" xfId="2751" xr:uid="{00000000-0005-0000-0000-0000F6080000}"/>
    <cellStyle name="Heading1 5" xfId="2752" xr:uid="{00000000-0005-0000-0000-0000F7080000}"/>
    <cellStyle name="Heading1 6" xfId="2753" xr:uid="{00000000-0005-0000-0000-0000F8080000}"/>
    <cellStyle name="Heading1 7" xfId="2754" xr:uid="{00000000-0005-0000-0000-0000F9080000}"/>
    <cellStyle name="Heading1 8" xfId="2755" xr:uid="{00000000-0005-0000-0000-0000FA080000}"/>
    <cellStyle name="Heading1 9" xfId="2756" xr:uid="{00000000-0005-0000-0000-0000FB080000}"/>
    <cellStyle name="Heading2" xfId="738" xr:uid="{00000000-0005-0000-0000-0000FC080000}"/>
    <cellStyle name="Heading2 10" xfId="2757" xr:uid="{00000000-0005-0000-0000-0000FD080000}"/>
    <cellStyle name="Heading2 2" xfId="739" xr:uid="{00000000-0005-0000-0000-0000FE080000}"/>
    <cellStyle name="Heading2 3" xfId="2758" xr:uid="{00000000-0005-0000-0000-0000FF080000}"/>
    <cellStyle name="Heading2 4" xfId="2759" xr:uid="{00000000-0005-0000-0000-000000090000}"/>
    <cellStyle name="Heading2 5" xfId="2760" xr:uid="{00000000-0005-0000-0000-000001090000}"/>
    <cellStyle name="Heading2 6" xfId="2761" xr:uid="{00000000-0005-0000-0000-000002090000}"/>
    <cellStyle name="Heading2 7" xfId="2762" xr:uid="{00000000-0005-0000-0000-000003090000}"/>
    <cellStyle name="Heading2 8" xfId="2763" xr:uid="{00000000-0005-0000-0000-000004090000}"/>
    <cellStyle name="Heading2 9" xfId="2764" xr:uid="{00000000-0005-0000-0000-000005090000}"/>
    <cellStyle name="HEADINGS" xfId="740" xr:uid="{00000000-0005-0000-0000-000006090000}"/>
    <cellStyle name="HEADINGSTOP" xfId="741" xr:uid="{00000000-0005-0000-0000-000007090000}"/>
    <cellStyle name="Hyperlink 2" xfId="2765" xr:uid="{00000000-0005-0000-0000-000008090000}"/>
    <cellStyle name="Hyperlink 3" xfId="2766" xr:uid="{00000000-0005-0000-0000-000009090000}"/>
    <cellStyle name="Hyperlink 4" xfId="2767" xr:uid="{00000000-0005-0000-0000-00000A090000}"/>
    <cellStyle name="ing" xfId="2768" xr:uid="{00000000-0005-0000-0000-00000B090000}"/>
    <cellStyle name="Input [yellow]" xfId="742" xr:uid="{00000000-0005-0000-0000-00000C090000}"/>
    <cellStyle name="Input [yellow] 2" xfId="2769" xr:uid="{00000000-0005-0000-0000-00000D090000}"/>
    <cellStyle name="Input [yellow] 2 10" xfId="2770" xr:uid="{00000000-0005-0000-0000-00000E090000}"/>
    <cellStyle name="Input [yellow] 2 2" xfId="2771" xr:uid="{00000000-0005-0000-0000-00000F090000}"/>
    <cellStyle name="Input [yellow] 2 2 2" xfId="2772" xr:uid="{00000000-0005-0000-0000-000010090000}"/>
    <cellStyle name="Input [yellow] 2 2 2 2" xfId="2773" xr:uid="{00000000-0005-0000-0000-000011090000}"/>
    <cellStyle name="Input [yellow] 2 2 2 3" xfId="2774" xr:uid="{00000000-0005-0000-0000-000012090000}"/>
    <cellStyle name="Input [yellow] 2 2 2 4" xfId="2775" xr:uid="{00000000-0005-0000-0000-000013090000}"/>
    <cellStyle name="Input [yellow] 2 2 2 5" xfId="2776" xr:uid="{00000000-0005-0000-0000-000014090000}"/>
    <cellStyle name="Input [yellow] 2 2 3" xfId="2777" xr:uid="{00000000-0005-0000-0000-000015090000}"/>
    <cellStyle name="Input [yellow] 2 2 4" xfId="2778" xr:uid="{00000000-0005-0000-0000-000016090000}"/>
    <cellStyle name="Input [yellow] 2 2 5" xfId="2779" xr:uid="{00000000-0005-0000-0000-000017090000}"/>
    <cellStyle name="Input [yellow] 2 2 6" xfId="2780" xr:uid="{00000000-0005-0000-0000-000018090000}"/>
    <cellStyle name="Input [yellow] 2 2 7" xfId="2781" xr:uid="{00000000-0005-0000-0000-000019090000}"/>
    <cellStyle name="Input [yellow] 2 2 8" xfId="2782" xr:uid="{00000000-0005-0000-0000-00001A090000}"/>
    <cellStyle name="Input [yellow] 2 3" xfId="2783" xr:uid="{00000000-0005-0000-0000-00001B090000}"/>
    <cellStyle name="Input [yellow] 2 3 2" xfId="2784" xr:uid="{00000000-0005-0000-0000-00001C090000}"/>
    <cellStyle name="Input [yellow] 2 3 2 2" xfId="2785" xr:uid="{00000000-0005-0000-0000-00001D090000}"/>
    <cellStyle name="Input [yellow] 2 3 2 3" xfId="2786" xr:uid="{00000000-0005-0000-0000-00001E090000}"/>
    <cellStyle name="Input [yellow] 2 3 2 4" xfId="2787" xr:uid="{00000000-0005-0000-0000-00001F090000}"/>
    <cellStyle name="Input [yellow] 2 3 2 5" xfId="2788" xr:uid="{00000000-0005-0000-0000-000020090000}"/>
    <cellStyle name="Input [yellow] 2 3 3" xfId="2789" xr:uid="{00000000-0005-0000-0000-000021090000}"/>
    <cellStyle name="Input [yellow] 2 3 4" xfId="2790" xr:uid="{00000000-0005-0000-0000-000022090000}"/>
    <cellStyle name="Input [yellow] 2 3 5" xfId="2791" xr:uid="{00000000-0005-0000-0000-000023090000}"/>
    <cellStyle name="Input [yellow] 2 3 6" xfId="2792" xr:uid="{00000000-0005-0000-0000-000024090000}"/>
    <cellStyle name="Input [yellow] 2 3 7" xfId="2793" xr:uid="{00000000-0005-0000-0000-000025090000}"/>
    <cellStyle name="Input [yellow] 2 3 8" xfId="2794" xr:uid="{00000000-0005-0000-0000-000026090000}"/>
    <cellStyle name="Input [yellow] 2 4" xfId="2795" xr:uid="{00000000-0005-0000-0000-000027090000}"/>
    <cellStyle name="Input [yellow] 2 4 2" xfId="2796" xr:uid="{00000000-0005-0000-0000-000028090000}"/>
    <cellStyle name="Input [yellow] 2 4 3" xfId="2797" xr:uid="{00000000-0005-0000-0000-000029090000}"/>
    <cellStyle name="Input [yellow] 2 4 4" xfId="2798" xr:uid="{00000000-0005-0000-0000-00002A090000}"/>
    <cellStyle name="Input [yellow] 2 4 5" xfId="2799" xr:uid="{00000000-0005-0000-0000-00002B090000}"/>
    <cellStyle name="Input [yellow] 2 5" xfId="2800" xr:uid="{00000000-0005-0000-0000-00002C090000}"/>
    <cellStyle name="Input [yellow] 2 6" xfId="2801" xr:uid="{00000000-0005-0000-0000-00002D090000}"/>
    <cellStyle name="Input [yellow] 2 7" xfId="2802" xr:uid="{00000000-0005-0000-0000-00002E090000}"/>
    <cellStyle name="Input [yellow] 2 8" xfId="2803" xr:uid="{00000000-0005-0000-0000-00002F090000}"/>
    <cellStyle name="Input [yellow] 2 9" xfId="2804" xr:uid="{00000000-0005-0000-0000-000030090000}"/>
    <cellStyle name="Input [yellow] 3" xfId="2805" xr:uid="{00000000-0005-0000-0000-000031090000}"/>
    <cellStyle name="Input [yellow] 3 2" xfId="2806" xr:uid="{00000000-0005-0000-0000-000032090000}"/>
    <cellStyle name="Input [yellow] 3 2 2" xfId="2807" xr:uid="{00000000-0005-0000-0000-000033090000}"/>
    <cellStyle name="Input [yellow] 3 2 3" xfId="2808" xr:uid="{00000000-0005-0000-0000-000034090000}"/>
    <cellStyle name="Input [yellow] 3 2 4" xfId="2809" xr:uid="{00000000-0005-0000-0000-000035090000}"/>
    <cellStyle name="Input [yellow] 3 2 5" xfId="2810" xr:uid="{00000000-0005-0000-0000-000036090000}"/>
    <cellStyle name="Input [yellow] 3 3" xfId="2811" xr:uid="{00000000-0005-0000-0000-000037090000}"/>
    <cellStyle name="Input [yellow] 3 4" xfId="2812" xr:uid="{00000000-0005-0000-0000-000038090000}"/>
    <cellStyle name="Input [yellow] 3 5" xfId="2813" xr:uid="{00000000-0005-0000-0000-000039090000}"/>
    <cellStyle name="Input [yellow] 3 6" xfId="2814" xr:uid="{00000000-0005-0000-0000-00003A090000}"/>
    <cellStyle name="Input [yellow] 3 7" xfId="2815" xr:uid="{00000000-0005-0000-0000-00003B090000}"/>
    <cellStyle name="Input [yellow] 3 8" xfId="2816" xr:uid="{00000000-0005-0000-0000-00003C090000}"/>
    <cellStyle name="Input [yellow] 4" xfId="2817" xr:uid="{00000000-0005-0000-0000-00003D090000}"/>
    <cellStyle name="Input [yellow] 5" xfId="2818" xr:uid="{00000000-0005-0000-0000-00003E090000}"/>
    <cellStyle name="Input [yellow] 6" xfId="2819" xr:uid="{00000000-0005-0000-0000-00003F090000}"/>
    <cellStyle name="Input 10" xfId="2820" xr:uid="{00000000-0005-0000-0000-000040090000}"/>
    <cellStyle name="Input 10 10" xfId="2821" xr:uid="{00000000-0005-0000-0000-000041090000}"/>
    <cellStyle name="Input 10 11" xfId="2822" xr:uid="{00000000-0005-0000-0000-000042090000}"/>
    <cellStyle name="Input 10 12" xfId="2823" xr:uid="{00000000-0005-0000-0000-000043090000}"/>
    <cellStyle name="Input 10 13" xfId="2824" xr:uid="{00000000-0005-0000-0000-000044090000}"/>
    <cellStyle name="Input 10 14" xfId="2825" xr:uid="{00000000-0005-0000-0000-000045090000}"/>
    <cellStyle name="Input 10 15" xfId="2826" xr:uid="{00000000-0005-0000-0000-000046090000}"/>
    <cellStyle name="Input 10 16" xfId="2827" xr:uid="{00000000-0005-0000-0000-000047090000}"/>
    <cellStyle name="Input 10 2" xfId="2828" xr:uid="{00000000-0005-0000-0000-000048090000}"/>
    <cellStyle name="Input 10 3" xfId="2829" xr:uid="{00000000-0005-0000-0000-000049090000}"/>
    <cellStyle name="Input 10 4" xfId="2830" xr:uid="{00000000-0005-0000-0000-00004A090000}"/>
    <cellStyle name="Input 10 5" xfId="2831" xr:uid="{00000000-0005-0000-0000-00004B090000}"/>
    <cellStyle name="Input 10 6" xfId="2832" xr:uid="{00000000-0005-0000-0000-00004C090000}"/>
    <cellStyle name="Input 10 7" xfId="2833" xr:uid="{00000000-0005-0000-0000-00004D090000}"/>
    <cellStyle name="Input 10 8" xfId="2834" xr:uid="{00000000-0005-0000-0000-00004E090000}"/>
    <cellStyle name="Input 10 9" xfId="2835" xr:uid="{00000000-0005-0000-0000-00004F090000}"/>
    <cellStyle name="Input 11" xfId="2836" xr:uid="{00000000-0005-0000-0000-000050090000}"/>
    <cellStyle name="Input 11 10" xfId="2837" xr:uid="{00000000-0005-0000-0000-000051090000}"/>
    <cellStyle name="Input 11 11" xfId="2838" xr:uid="{00000000-0005-0000-0000-000052090000}"/>
    <cellStyle name="Input 11 12" xfId="2839" xr:uid="{00000000-0005-0000-0000-000053090000}"/>
    <cellStyle name="Input 11 13" xfId="2840" xr:uid="{00000000-0005-0000-0000-000054090000}"/>
    <cellStyle name="Input 11 14" xfId="2841" xr:uid="{00000000-0005-0000-0000-000055090000}"/>
    <cellStyle name="Input 11 15" xfId="2842" xr:uid="{00000000-0005-0000-0000-000056090000}"/>
    <cellStyle name="Input 11 16" xfId="2843" xr:uid="{00000000-0005-0000-0000-000057090000}"/>
    <cellStyle name="Input 11 2" xfId="2844" xr:uid="{00000000-0005-0000-0000-000058090000}"/>
    <cellStyle name="Input 11 3" xfId="2845" xr:uid="{00000000-0005-0000-0000-000059090000}"/>
    <cellStyle name="Input 11 4" xfId="2846" xr:uid="{00000000-0005-0000-0000-00005A090000}"/>
    <cellStyle name="Input 11 5" xfId="2847" xr:uid="{00000000-0005-0000-0000-00005B090000}"/>
    <cellStyle name="Input 11 6" xfId="2848" xr:uid="{00000000-0005-0000-0000-00005C090000}"/>
    <cellStyle name="Input 11 7" xfId="2849" xr:uid="{00000000-0005-0000-0000-00005D090000}"/>
    <cellStyle name="Input 11 8" xfId="2850" xr:uid="{00000000-0005-0000-0000-00005E090000}"/>
    <cellStyle name="Input 11 9" xfId="2851" xr:uid="{00000000-0005-0000-0000-00005F090000}"/>
    <cellStyle name="Input 12" xfId="2852" xr:uid="{00000000-0005-0000-0000-000060090000}"/>
    <cellStyle name="Input 12 10" xfId="2853" xr:uid="{00000000-0005-0000-0000-000061090000}"/>
    <cellStyle name="Input 12 11" xfId="2854" xr:uid="{00000000-0005-0000-0000-000062090000}"/>
    <cellStyle name="Input 12 12" xfId="2855" xr:uid="{00000000-0005-0000-0000-000063090000}"/>
    <cellStyle name="Input 12 13" xfId="2856" xr:uid="{00000000-0005-0000-0000-000064090000}"/>
    <cellStyle name="Input 12 14" xfId="2857" xr:uid="{00000000-0005-0000-0000-000065090000}"/>
    <cellStyle name="Input 12 15" xfId="2858" xr:uid="{00000000-0005-0000-0000-000066090000}"/>
    <cellStyle name="Input 12 16" xfId="2859" xr:uid="{00000000-0005-0000-0000-000067090000}"/>
    <cellStyle name="Input 12 2" xfId="2860" xr:uid="{00000000-0005-0000-0000-000068090000}"/>
    <cellStyle name="Input 12 3" xfId="2861" xr:uid="{00000000-0005-0000-0000-000069090000}"/>
    <cellStyle name="Input 12 4" xfId="2862" xr:uid="{00000000-0005-0000-0000-00006A090000}"/>
    <cellStyle name="Input 12 5" xfId="2863" xr:uid="{00000000-0005-0000-0000-00006B090000}"/>
    <cellStyle name="Input 12 6" xfId="2864" xr:uid="{00000000-0005-0000-0000-00006C090000}"/>
    <cellStyle name="Input 12 7" xfId="2865" xr:uid="{00000000-0005-0000-0000-00006D090000}"/>
    <cellStyle name="Input 12 8" xfId="2866" xr:uid="{00000000-0005-0000-0000-00006E090000}"/>
    <cellStyle name="Input 12 9" xfId="2867" xr:uid="{00000000-0005-0000-0000-00006F090000}"/>
    <cellStyle name="Input 13" xfId="2868" xr:uid="{00000000-0005-0000-0000-000070090000}"/>
    <cellStyle name="Input 13 10" xfId="2869" xr:uid="{00000000-0005-0000-0000-000071090000}"/>
    <cellStyle name="Input 13 11" xfId="2870" xr:uid="{00000000-0005-0000-0000-000072090000}"/>
    <cellStyle name="Input 13 12" xfId="2871" xr:uid="{00000000-0005-0000-0000-000073090000}"/>
    <cellStyle name="Input 13 13" xfId="2872" xr:uid="{00000000-0005-0000-0000-000074090000}"/>
    <cellStyle name="Input 13 14" xfId="2873" xr:uid="{00000000-0005-0000-0000-000075090000}"/>
    <cellStyle name="Input 13 15" xfId="2874" xr:uid="{00000000-0005-0000-0000-000076090000}"/>
    <cellStyle name="Input 13 16" xfId="2875" xr:uid="{00000000-0005-0000-0000-000077090000}"/>
    <cellStyle name="Input 13 2" xfId="2876" xr:uid="{00000000-0005-0000-0000-000078090000}"/>
    <cellStyle name="Input 13 3" xfId="2877" xr:uid="{00000000-0005-0000-0000-000079090000}"/>
    <cellStyle name="Input 13 4" xfId="2878" xr:uid="{00000000-0005-0000-0000-00007A090000}"/>
    <cellStyle name="Input 13 5" xfId="2879" xr:uid="{00000000-0005-0000-0000-00007B090000}"/>
    <cellStyle name="Input 13 6" xfId="2880" xr:uid="{00000000-0005-0000-0000-00007C090000}"/>
    <cellStyle name="Input 13 7" xfId="2881" xr:uid="{00000000-0005-0000-0000-00007D090000}"/>
    <cellStyle name="Input 13 8" xfId="2882" xr:uid="{00000000-0005-0000-0000-00007E090000}"/>
    <cellStyle name="Input 13 9" xfId="2883" xr:uid="{00000000-0005-0000-0000-00007F090000}"/>
    <cellStyle name="Input 2" xfId="743" xr:uid="{00000000-0005-0000-0000-000080090000}"/>
    <cellStyle name="Input 2 10" xfId="2884" xr:uid="{00000000-0005-0000-0000-000081090000}"/>
    <cellStyle name="Input 2 11" xfId="2885" xr:uid="{00000000-0005-0000-0000-000082090000}"/>
    <cellStyle name="Input 2 12" xfId="2886" xr:uid="{00000000-0005-0000-0000-000083090000}"/>
    <cellStyle name="Input 2 13" xfId="2887" xr:uid="{00000000-0005-0000-0000-000084090000}"/>
    <cellStyle name="Input 2 14" xfId="2888" xr:uid="{00000000-0005-0000-0000-000085090000}"/>
    <cellStyle name="Input 2 15" xfId="2889" xr:uid="{00000000-0005-0000-0000-000086090000}"/>
    <cellStyle name="Input 2 16" xfId="2890" xr:uid="{00000000-0005-0000-0000-000087090000}"/>
    <cellStyle name="Input 2 2" xfId="2891" xr:uid="{00000000-0005-0000-0000-000088090000}"/>
    <cellStyle name="Input 2 3" xfId="2892" xr:uid="{00000000-0005-0000-0000-000089090000}"/>
    <cellStyle name="Input 2 4" xfId="2893" xr:uid="{00000000-0005-0000-0000-00008A090000}"/>
    <cellStyle name="Input 2 5" xfId="2894" xr:uid="{00000000-0005-0000-0000-00008B090000}"/>
    <cellStyle name="Input 2 6" xfId="2895" xr:uid="{00000000-0005-0000-0000-00008C090000}"/>
    <cellStyle name="Input 2 7" xfId="2896" xr:uid="{00000000-0005-0000-0000-00008D090000}"/>
    <cellStyle name="Input 2 8" xfId="2897" xr:uid="{00000000-0005-0000-0000-00008E090000}"/>
    <cellStyle name="Input 2 9" xfId="2898" xr:uid="{00000000-0005-0000-0000-00008F090000}"/>
    <cellStyle name="Input 3" xfId="744" xr:uid="{00000000-0005-0000-0000-000090090000}"/>
    <cellStyle name="Input 3 10" xfId="2899" xr:uid="{00000000-0005-0000-0000-000091090000}"/>
    <cellStyle name="Input 3 11" xfId="2900" xr:uid="{00000000-0005-0000-0000-000092090000}"/>
    <cellStyle name="Input 3 12" xfId="2901" xr:uid="{00000000-0005-0000-0000-000093090000}"/>
    <cellStyle name="Input 3 13" xfId="2902" xr:uid="{00000000-0005-0000-0000-000094090000}"/>
    <cellStyle name="Input 3 14" xfId="2903" xr:uid="{00000000-0005-0000-0000-000095090000}"/>
    <cellStyle name="Input 3 15" xfId="2904" xr:uid="{00000000-0005-0000-0000-000096090000}"/>
    <cellStyle name="Input 3 16" xfId="2905" xr:uid="{00000000-0005-0000-0000-000097090000}"/>
    <cellStyle name="Input 3 2" xfId="2906" xr:uid="{00000000-0005-0000-0000-000098090000}"/>
    <cellStyle name="Input 3 3" xfId="2907" xr:uid="{00000000-0005-0000-0000-000099090000}"/>
    <cellStyle name="Input 3 4" xfId="2908" xr:uid="{00000000-0005-0000-0000-00009A090000}"/>
    <cellStyle name="Input 3 5" xfId="2909" xr:uid="{00000000-0005-0000-0000-00009B090000}"/>
    <cellStyle name="Input 3 6" xfId="2910" xr:uid="{00000000-0005-0000-0000-00009C090000}"/>
    <cellStyle name="Input 3 7" xfId="2911" xr:uid="{00000000-0005-0000-0000-00009D090000}"/>
    <cellStyle name="Input 3 8" xfId="2912" xr:uid="{00000000-0005-0000-0000-00009E090000}"/>
    <cellStyle name="Input 3 9" xfId="2913" xr:uid="{00000000-0005-0000-0000-00009F090000}"/>
    <cellStyle name="Input 4" xfId="745" xr:uid="{00000000-0005-0000-0000-0000A0090000}"/>
    <cellStyle name="Input 4 10" xfId="2914" xr:uid="{00000000-0005-0000-0000-0000A1090000}"/>
    <cellStyle name="Input 4 11" xfId="2915" xr:uid="{00000000-0005-0000-0000-0000A2090000}"/>
    <cellStyle name="Input 4 12" xfId="2916" xr:uid="{00000000-0005-0000-0000-0000A3090000}"/>
    <cellStyle name="Input 4 13" xfId="2917" xr:uid="{00000000-0005-0000-0000-0000A4090000}"/>
    <cellStyle name="Input 4 14" xfId="2918" xr:uid="{00000000-0005-0000-0000-0000A5090000}"/>
    <cellStyle name="Input 4 15" xfId="2919" xr:uid="{00000000-0005-0000-0000-0000A6090000}"/>
    <cellStyle name="Input 4 16" xfId="2920" xr:uid="{00000000-0005-0000-0000-0000A7090000}"/>
    <cellStyle name="Input 4 2" xfId="2921" xr:uid="{00000000-0005-0000-0000-0000A8090000}"/>
    <cellStyle name="Input 4 3" xfId="2922" xr:uid="{00000000-0005-0000-0000-0000A9090000}"/>
    <cellStyle name="Input 4 4" xfId="2923" xr:uid="{00000000-0005-0000-0000-0000AA090000}"/>
    <cellStyle name="Input 4 5" xfId="2924" xr:uid="{00000000-0005-0000-0000-0000AB090000}"/>
    <cellStyle name="Input 4 6" xfId="2925" xr:uid="{00000000-0005-0000-0000-0000AC090000}"/>
    <cellStyle name="Input 4 7" xfId="2926" xr:uid="{00000000-0005-0000-0000-0000AD090000}"/>
    <cellStyle name="Input 4 8" xfId="2927" xr:uid="{00000000-0005-0000-0000-0000AE090000}"/>
    <cellStyle name="Input 4 9" xfId="2928" xr:uid="{00000000-0005-0000-0000-0000AF090000}"/>
    <cellStyle name="Input 5" xfId="2929" xr:uid="{00000000-0005-0000-0000-0000B0090000}"/>
    <cellStyle name="Input 5 10" xfId="2930" xr:uid="{00000000-0005-0000-0000-0000B1090000}"/>
    <cellStyle name="Input 5 11" xfId="2931" xr:uid="{00000000-0005-0000-0000-0000B2090000}"/>
    <cellStyle name="Input 5 12" xfId="2932" xr:uid="{00000000-0005-0000-0000-0000B3090000}"/>
    <cellStyle name="Input 5 13" xfId="2933" xr:uid="{00000000-0005-0000-0000-0000B4090000}"/>
    <cellStyle name="Input 5 14" xfId="2934" xr:uid="{00000000-0005-0000-0000-0000B5090000}"/>
    <cellStyle name="Input 5 15" xfId="2935" xr:uid="{00000000-0005-0000-0000-0000B6090000}"/>
    <cellStyle name="Input 5 16" xfId="2936" xr:uid="{00000000-0005-0000-0000-0000B7090000}"/>
    <cellStyle name="Input 5 2" xfId="2937" xr:uid="{00000000-0005-0000-0000-0000B8090000}"/>
    <cellStyle name="Input 5 3" xfId="2938" xr:uid="{00000000-0005-0000-0000-0000B9090000}"/>
    <cellStyle name="Input 5 4" xfId="2939" xr:uid="{00000000-0005-0000-0000-0000BA090000}"/>
    <cellStyle name="Input 5 5" xfId="2940" xr:uid="{00000000-0005-0000-0000-0000BB090000}"/>
    <cellStyle name="Input 5 6" xfId="2941" xr:uid="{00000000-0005-0000-0000-0000BC090000}"/>
    <cellStyle name="Input 5 7" xfId="2942" xr:uid="{00000000-0005-0000-0000-0000BD090000}"/>
    <cellStyle name="Input 5 8" xfId="2943" xr:uid="{00000000-0005-0000-0000-0000BE090000}"/>
    <cellStyle name="Input 5 9" xfId="2944" xr:uid="{00000000-0005-0000-0000-0000BF090000}"/>
    <cellStyle name="Input 6" xfId="2945" xr:uid="{00000000-0005-0000-0000-0000C0090000}"/>
    <cellStyle name="Input 6 10" xfId="2946" xr:uid="{00000000-0005-0000-0000-0000C1090000}"/>
    <cellStyle name="Input 6 11" xfId="2947" xr:uid="{00000000-0005-0000-0000-0000C2090000}"/>
    <cellStyle name="Input 6 12" xfId="2948" xr:uid="{00000000-0005-0000-0000-0000C3090000}"/>
    <cellStyle name="Input 6 13" xfId="2949" xr:uid="{00000000-0005-0000-0000-0000C4090000}"/>
    <cellStyle name="Input 6 14" xfId="2950" xr:uid="{00000000-0005-0000-0000-0000C5090000}"/>
    <cellStyle name="Input 6 15" xfId="2951" xr:uid="{00000000-0005-0000-0000-0000C6090000}"/>
    <cellStyle name="Input 6 16" xfId="2952" xr:uid="{00000000-0005-0000-0000-0000C7090000}"/>
    <cellStyle name="Input 6 2" xfId="2953" xr:uid="{00000000-0005-0000-0000-0000C8090000}"/>
    <cellStyle name="Input 6 3" xfId="2954" xr:uid="{00000000-0005-0000-0000-0000C9090000}"/>
    <cellStyle name="Input 6 4" xfId="2955" xr:uid="{00000000-0005-0000-0000-0000CA090000}"/>
    <cellStyle name="Input 6 5" xfId="2956" xr:uid="{00000000-0005-0000-0000-0000CB090000}"/>
    <cellStyle name="Input 6 6" xfId="2957" xr:uid="{00000000-0005-0000-0000-0000CC090000}"/>
    <cellStyle name="Input 6 7" xfId="2958" xr:uid="{00000000-0005-0000-0000-0000CD090000}"/>
    <cellStyle name="Input 6 8" xfId="2959" xr:uid="{00000000-0005-0000-0000-0000CE090000}"/>
    <cellStyle name="Input 6 9" xfId="2960" xr:uid="{00000000-0005-0000-0000-0000CF090000}"/>
    <cellStyle name="Input 7" xfId="2961" xr:uid="{00000000-0005-0000-0000-0000D0090000}"/>
    <cellStyle name="Input 7 10" xfId="2962" xr:uid="{00000000-0005-0000-0000-0000D1090000}"/>
    <cellStyle name="Input 7 11" xfId="2963" xr:uid="{00000000-0005-0000-0000-0000D2090000}"/>
    <cellStyle name="Input 7 12" xfId="2964" xr:uid="{00000000-0005-0000-0000-0000D3090000}"/>
    <cellStyle name="Input 7 13" xfId="2965" xr:uid="{00000000-0005-0000-0000-0000D4090000}"/>
    <cellStyle name="Input 7 14" xfId="2966" xr:uid="{00000000-0005-0000-0000-0000D5090000}"/>
    <cellStyle name="Input 7 15" xfId="2967" xr:uid="{00000000-0005-0000-0000-0000D6090000}"/>
    <cellStyle name="Input 7 16" xfId="2968" xr:uid="{00000000-0005-0000-0000-0000D7090000}"/>
    <cellStyle name="Input 7 2" xfId="2969" xr:uid="{00000000-0005-0000-0000-0000D8090000}"/>
    <cellStyle name="Input 7 3" xfId="2970" xr:uid="{00000000-0005-0000-0000-0000D9090000}"/>
    <cellStyle name="Input 7 4" xfId="2971" xr:uid="{00000000-0005-0000-0000-0000DA090000}"/>
    <cellStyle name="Input 7 5" xfId="2972" xr:uid="{00000000-0005-0000-0000-0000DB090000}"/>
    <cellStyle name="Input 7 6" xfId="2973" xr:uid="{00000000-0005-0000-0000-0000DC090000}"/>
    <cellStyle name="Input 7 7" xfId="2974" xr:uid="{00000000-0005-0000-0000-0000DD090000}"/>
    <cellStyle name="Input 7 8" xfId="2975" xr:uid="{00000000-0005-0000-0000-0000DE090000}"/>
    <cellStyle name="Input 7 9" xfId="2976" xr:uid="{00000000-0005-0000-0000-0000DF090000}"/>
    <cellStyle name="Input 8" xfId="2977" xr:uid="{00000000-0005-0000-0000-0000E0090000}"/>
    <cellStyle name="Input 8 10" xfId="2978" xr:uid="{00000000-0005-0000-0000-0000E1090000}"/>
    <cellStyle name="Input 8 11" xfId="2979" xr:uid="{00000000-0005-0000-0000-0000E2090000}"/>
    <cellStyle name="Input 8 12" xfId="2980" xr:uid="{00000000-0005-0000-0000-0000E3090000}"/>
    <cellStyle name="Input 8 13" xfId="2981" xr:uid="{00000000-0005-0000-0000-0000E4090000}"/>
    <cellStyle name="Input 8 14" xfId="2982" xr:uid="{00000000-0005-0000-0000-0000E5090000}"/>
    <cellStyle name="Input 8 15" xfId="2983" xr:uid="{00000000-0005-0000-0000-0000E6090000}"/>
    <cellStyle name="Input 8 16" xfId="2984" xr:uid="{00000000-0005-0000-0000-0000E7090000}"/>
    <cellStyle name="Input 8 2" xfId="2985" xr:uid="{00000000-0005-0000-0000-0000E8090000}"/>
    <cellStyle name="Input 8 3" xfId="2986" xr:uid="{00000000-0005-0000-0000-0000E9090000}"/>
    <cellStyle name="Input 8 4" xfId="2987" xr:uid="{00000000-0005-0000-0000-0000EA090000}"/>
    <cellStyle name="Input 8 5" xfId="2988" xr:uid="{00000000-0005-0000-0000-0000EB090000}"/>
    <cellStyle name="Input 8 6" xfId="2989" xr:uid="{00000000-0005-0000-0000-0000EC090000}"/>
    <cellStyle name="Input 8 7" xfId="2990" xr:uid="{00000000-0005-0000-0000-0000ED090000}"/>
    <cellStyle name="Input 8 8" xfId="2991" xr:uid="{00000000-0005-0000-0000-0000EE090000}"/>
    <cellStyle name="Input 8 9" xfId="2992" xr:uid="{00000000-0005-0000-0000-0000EF090000}"/>
    <cellStyle name="Input 9" xfId="2993" xr:uid="{00000000-0005-0000-0000-0000F0090000}"/>
    <cellStyle name="Input 9 10" xfId="2994" xr:uid="{00000000-0005-0000-0000-0000F1090000}"/>
    <cellStyle name="Input 9 11" xfId="2995" xr:uid="{00000000-0005-0000-0000-0000F2090000}"/>
    <cellStyle name="Input 9 12" xfId="2996" xr:uid="{00000000-0005-0000-0000-0000F3090000}"/>
    <cellStyle name="Input 9 13" xfId="2997" xr:uid="{00000000-0005-0000-0000-0000F4090000}"/>
    <cellStyle name="Input 9 14" xfId="2998" xr:uid="{00000000-0005-0000-0000-0000F5090000}"/>
    <cellStyle name="Input 9 15" xfId="2999" xr:uid="{00000000-0005-0000-0000-0000F6090000}"/>
    <cellStyle name="Input 9 16" xfId="3000" xr:uid="{00000000-0005-0000-0000-0000F7090000}"/>
    <cellStyle name="Input 9 2" xfId="3001" xr:uid="{00000000-0005-0000-0000-0000F8090000}"/>
    <cellStyle name="Input 9 3" xfId="3002" xr:uid="{00000000-0005-0000-0000-0000F9090000}"/>
    <cellStyle name="Input 9 4" xfId="3003" xr:uid="{00000000-0005-0000-0000-0000FA090000}"/>
    <cellStyle name="Input 9 5" xfId="3004" xr:uid="{00000000-0005-0000-0000-0000FB090000}"/>
    <cellStyle name="Input 9 6" xfId="3005" xr:uid="{00000000-0005-0000-0000-0000FC090000}"/>
    <cellStyle name="Input 9 7" xfId="3006" xr:uid="{00000000-0005-0000-0000-0000FD090000}"/>
    <cellStyle name="Input 9 8" xfId="3007" xr:uid="{00000000-0005-0000-0000-0000FE090000}"/>
    <cellStyle name="Input 9 9" xfId="3008" xr:uid="{00000000-0005-0000-0000-0000FF090000}"/>
    <cellStyle name="Input Currency" xfId="3009" xr:uid="{00000000-0005-0000-0000-0000000A0000}"/>
    <cellStyle name="Input Date" xfId="3010" xr:uid="{00000000-0005-0000-0000-0000010A0000}"/>
    <cellStyle name="Input Fixed [0]" xfId="3011" xr:uid="{00000000-0005-0000-0000-0000020A0000}"/>
    <cellStyle name="Input Normal" xfId="3012" xr:uid="{00000000-0005-0000-0000-0000030A0000}"/>
    <cellStyle name="Input Percent" xfId="3013" xr:uid="{00000000-0005-0000-0000-0000040A0000}"/>
    <cellStyle name="Input Percent [2]" xfId="3014" xr:uid="{00000000-0005-0000-0000-0000050A0000}"/>
    <cellStyle name="Input Percent_Book1" xfId="3015" xr:uid="{00000000-0005-0000-0000-0000060A0000}"/>
    <cellStyle name="Input Titles" xfId="3016" xr:uid="{00000000-0005-0000-0000-0000070A0000}"/>
    <cellStyle name="Judul" xfId="746" xr:uid="{00000000-0005-0000-0000-0000080A0000}"/>
    <cellStyle name="k" xfId="3017" xr:uid="{00000000-0005-0000-0000-0000090A0000}"/>
    <cellStyle name="k_BQ-Kontrak Utama (5)-radja" xfId="3018" xr:uid="{00000000-0005-0000-0000-00000A0A0000}"/>
    <cellStyle name="k_BQ-Kontrak Utama (5)-radja_BQ-Kontrak Utama (R)" xfId="3019" xr:uid="{00000000-0005-0000-0000-00000B0A0000}"/>
    <cellStyle name="k_BQ-Kontrak Utama (5)-radja_BQ-Kontrak Utama (R)_BQ-Omni Wuryanto edit-KWD 10 Juli 2006 hendra" xfId="3020" xr:uid="{00000000-0005-0000-0000-00000C0A0000}"/>
    <cellStyle name="k_BQ-Kontrak Utama (5)-radja_BQ-Kontrak Utama (R)_BQ-Omni Wuryanto edit-KWD 10 Juli 2006 hendra_STR Tangga ( PCA )" xfId="3021" xr:uid="{00000000-0005-0000-0000-00000D0A0000}"/>
    <cellStyle name="k_BQ-Kontrak Utama (5)-radja_BQ-Kontrak Utama (R)_Copy of BQ-Kontrak Utama-KWrev1" xfId="3022" xr:uid="{00000000-0005-0000-0000-00000E0A0000}"/>
    <cellStyle name="k_BQ-Kontrak Utama (5)-radja_BQ-Kontrak Utama (R)_Copy of BQ-Kontrak Utama-KWrev1_STR Tangga ( PCA )" xfId="3023" xr:uid="{00000000-0005-0000-0000-00000F0A0000}"/>
    <cellStyle name="k_BQ-Kontrak Utama (5)-radja_BQ-Kontrak Utama (R)_MKU14July06" xfId="3024" xr:uid="{00000000-0005-0000-0000-0000100A0000}"/>
    <cellStyle name="k_BQ-Kontrak Utama (5)-radja_BQ-Kontrak Utama (R)_MKU14July06_STR Tangga ( PCA )" xfId="3025" xr:uid="{00000000-0005-0000-0000-0000110A0000}"/>
    <cellStyle name="k_BQ-Kontrak Utama (5)-radja_BQ-Kontrak Utama (R)_STR Tangga ( PCA )" xfId="3026" xr:uid="{00000000-0005-0000-0000-0000120A0000}"/>
    <cellStyle name="k_BQ-Kontrak Utama (5)-radja_BQ-Omni Wuryanto edit-KWD 10 Juli 2006 hendra" xfId="3027" xr:uid="{00000000-0005-0000-0000-0000130A0000}"/>
    <cellStyle name="k_BQ-Kontrak Utama (5)-radja_BQ-Omni Wuryanto edit-KWD 10 Juli 2006 hendra_STR Tangga ( PCA )" xfId="3028" xr:uid="{00000000-0005-0000-0000-0000140A0000}"/>
    <cellStyle name="k_BQ-Kontrak Utama (5)-radja_Copy of BQ-Kontrak Utama-KWrev1" xfId="3029" xr:uid="{00000000-0005-0000-0000-0000150A0000}"/>
    <cellStyle name="k_BQ-Kontrak Utama (5)-radja_Copy of BQ-Kontrak Utama-KWrev1_STR Tangga ( PCA )" xfId="3030" xr:uid="{00000000-0005-0000-0000-0000160A0000}"/>
    <cellStyle name="k_BQ-Kontrak Utama (5)-radja_MKU14July06" xfId="3031" xr:uid="{00000000-0005-0000-0000-0000170A0000}"/>
    <cellStyle name="k_BQ-Kontrak Utama (5)-radja_MKU14July06_STR Tangga ( PCA )" xfId="3032" xr:uid="{00000000-0005-0000-0000-0000180A0000}"/>
    <cellStyle name="k_BQ-Kontrak Utama (5)-radja_REVISI ACHIR OMNI" xfId="3033" xr:uid="{00000000-0005-0000-0000-0000190A0000}"/>
    <cellStyle name="k_BQ-Kontrak Utama (5)-radja_REVISI ACHIR OMNI_STR Tangga ( PCA )" xfId="3034" xr:uid="{00000000-0005-0000-0000-00001A0A0000}"/>
    <cellStyle name="k_BQ-Kontrak Utama (5)-radja_STR Tangga ( PCA )" xfId="3035" xr:uid="{00000000-0005-0000-0000-00001B0A0000}"/>
    <cellStyle name="k_BQ-Kontrak Utama (R)" xfId="3036" xr:uid="{00000000-0005-0000-0000-00001C0A0000}"/>
    <cellStyle name="k_BQ-Kontrak Utama (R)_BQ-Omni Wuryanto edit-KWD 10 Juli 2006 hendra" xfId="3037" xr:uid="{00000000-0005-0000-0000-00001D0A0000}"/>
    <cellStyle name="k_BQ-Kontrak Utama (R)_BQ-Omni Wuryanto edit-KWD 10 Juli 2006 hendra_STR Tangga ( PCA )" xfId="3038" xr:uid="{00000000-0005-0000-0000-00001E0A0000}"/>
    <cellStyle name="k_BQ-Kontrak Utama (R)_Copy of BQ-Kontrak Utama-KWrev1" xfId="3039" xr:uid="{00000000-0005-0000-0000-00001F0A0000}"/>
    <cellStyle name="k_BQ-Kontrak Utama (R)_Copy of BQ-Kontrak Utama-KWrev1_STR Tangga ( PCA )" xfId="3040" xr:uid="{00000000-0005-0000-0000-0000200A0000}"/>
    <cellStyle name="k_BQ-Kontrak Utama (R)_MKU14July06" xfId="3041" xr:uid="{00000000-0005-0000-0000-0000210A0000}"/>
    <cellStyle name="k_BQ-Kontrak Utama (R)_MKU14July06_STR Tangga ( PCA )" xfId="3042" xr:uid="{00000000-0005-0000-0000-0000220A0000}"/>
    <cellStyle name="k_BQ-Kontrak Utama (R)_STR Tangga ( PCA )" xfId="3043" xr:uid="{00000000-0005-0000-0000-0000230A0000}"/>
    <cellStyle name="k_BQ-Omni Wuryanto edit-KWD 10 Juli 2006 hendra" xfId="3044" xr:uid="{00000000-0005-0000-0000-0000240A0000}"/>
    <cellStyle name="k_BQ-Omni Wuryanto edit-KWD 10 Juli 2006 hendra_STR Tangga ( PCA )" xfId="3045" xr:uid="{00000000-0005-0000-0000-0000250A0000}"/>
    <cellStyle name="k_Copy of BQ-Kontrak Utama-KWrev1" xfId="3046" xr:uid="{00000000-0005-0000-0000-0000260A0000}"/>
    <cellStyle name="k_Copy of BQ-Kontrak Utama-KWrev1_STR Tangga ( PCA )" xfId="3047" xr:uid="{00000000-0005-0000-0000-0000270A0000}"/>
    <cellStyle name="k_MKU14July06" xfId="3048" xr:uid="{00000000-0005-0000-0000-0000280A0000}"/>
    <cellStyle name="k_MKU14July06_STR Tangga ( PCA )" xfId="3049" xr:uid="{00000000-0005-0000-0000-0000290A0000}"/>
    <cellStyle name="k_Perkiraan biaya RS OMNI KAPI Elektrikal + Summary" xfId="3050" xr:uid="{00000000-0005-0000-0000-00002A0A0000}"/>
    <cellStyle name="k_Perkiraan biaya RS OMNI KAPI Elektrikal + Summary_STR Tangga ( PCA )" xfId="3051" xr:uid="{00000000-0005-0000-0000-00002B0A0000}"/>
    <cellStyle name="k_Perkiraan biaya RS OMNI KAPI Mekanikal" xfId="3052" xr:uid="{00000000-0005-0000-0000-00002C0A0000}"/>
    <cellStyle name="k_Perkiraan biaya RS OMNI KAPI Mekanikal_STR Tangga ( PCA )" xfId="3053" xr:uid="{00000000-0005-0000-0000-00002D0A0000}"/>
    <cellStyle name="k_REVISI ACHIR OMNI" xfId="3054" xr:uid="{00000000-0005-0000-0000-00002E0A0000}"/>
    <cellStyle name="Keluaran" xfId="747" xr:uid="{00000000-0005-0000-0000-00002F0A0000}"/>
    <cellStyle name="Keluaran 2" xfId="748" xr:uid="{00000000-0005-0000-0000-0000300A0000}"/>
    <cellStyle name="Keluaran 3" xfId="749" xr:uid="{00000000-0005-0000-0000-0000310A0000}"/>
    <cellStyle name="Km" xfId="3055" xr:uid="{00000000-0005-0000-0000-0000320A0000}"/>
    <cellStyle name="Koma [0] 2" xfId="750" xr:uid="{00000000-0005-0000-0000-0000330A0000}"/>
    <cellStyle name="Koma [0] 2 2" xfId="751" xr:uid="{00000000-0005-0000-0000-0000340A0000}"/>
    <cellStyle name="Koma [0] 2 3" xfId="752" xr:uid="{00000000-0005-0000-0000-0000350A0000}"/>
    <cellStyle name="Koma [0] 2 4" xfId="753" xr:uid="{00000000-0005-0000-0000-0000360A0000}"/>
    <cellStyle name="Koma 2" xfId="754" xr:uid="{00000000-0005-0000-0000-0000370A0000}"/>
    <cellStyle name="Koma 2 2" xfId="755" xr:uid="{00000000-0005-0000-0000-0000380A0000}"/>
    <cellStyle name="Koma 2 3" xfId="756" xr:uid="{00000000-0005-0000-0000-0000390A0000}"/>
    <cellStyle name="Koma 2 4" xfId="757" xr:uid="{00000000-0005-0000-0000-00003A0A0000}"/>
    <cellStyle name="kop" xfId="758" xr:uid="{00000000-0005-0000-0000-00003B0A0000}"/>
    <cellStyle name="kop 2" xfId="3056" xr:uid="{00000000-0005-0000-0000-00003C0A0000}"/>
    <cellStyle name="kop 3" xfId="3057" xr:uid="{00000000-0005-0000-0000-00003D0A0000}"/>
    <cellStyle name="kop 4" xfId="3058" xr:uid="{00000000-0005-0000-0000-00003E0A0000}"/>
    <cellStyle name="kop 5" xfId="3059" xr:uid="{00000000-0005-0000-0000-00003F0A0000}"/>
    <cellStyle name="kop 6" xfId="3060" xr:uid="{00000000-0005-0000-0000-0000400A0000}"/>
    <cellStyle name="L" xfId="3061" xr:uid="{00000000-0005-0000-0000-0000410A0000}"/>
    <cellStyle name="L_BQ-Kontrak Utama (5)-radja" xfId="3062" xr:uid="{00000000-0005-0000-0000-0000420A0000}"/>
    <cellStyle name="L_BQ-Kontrak Utama (5)-radja_BQ-Kontrak Utama (R)" xfId="3063" xr:uid="{00000000-0005-0000-0000-0000430A0000}"/>
    <cellStyle name="L_BQ-Kontrak Utama (5)-radja_BQ-Kontrak Utama (R)_BQ-Omni Wuryanto edit-KWD 10 Juli 2006 hendra" xfId="3064" xr:uid="{00000000-0005-0000-0000-0000440A0000}"/>
    <cellStyle name="L_BQ-Kontrak Utama (5)-radja_BQ-Kontrak Utama (R)_BQ-Omni Wuryanto edit-KWD 10 Juli 2006 hendra_STR Tangga ( PCA )" xfId="3065" xr:uid="{00000000-0005-0000-0000-0000450A0000}"/>
    <cellStyle name="L_BQ-Kontrak Utama (5)-radja_BQ-Kontrak Utama (R)_Copy of BQ-Kontrak Utama-KWrev1" xfId="3066" xr:uid="{00000000-0005-0000-0000-0000460A0000}"/>
    <cellStyle name="L_BQ-Kontrak Utama (5)-radja_BQ-Kontrak Utama (R)_Copy of BQ-Kontrak Utama-KWrev1_STR Tangga ( PCA )" xfId="3067" xr:uid="{00000000-0005-0000-0000-0000470A0000}"/>
    <cellStyle name="L_BQ-Kontrak Utama (5)-radja_BQ-Kontrak Utama (R)_MKU14July06" xfId="3068" xr:uid="{00000000-0005-0000-0000-0000480A0000}"/>
    <cellStyle name="L_BQ-Kontrak Utama (5)-radja_BQ-Kontrak Utama (R)_MKU14July06_STR Tangga ( PCA )" xfId="3069" xr:uid="{00000000-0005-0000-0000-0000490A0000}"/>
    <cellStyle name="L_BQ-Kontrak Utama (5)-radja_BQ-Kontrak Utama (R)_STR Tangga ( PCA )" xfId="3070" xr:uid="{00000000-0005-0000-0000-00004A0A0000}"/>
    <cellStyle name="L_BQ-Kontrak Utama (5)-radja_BQ-Omni Wuryanto edit-KWD 10 Juli 2006 hendra" xfId="3071" xr:uid="{00000000-0005-0000-0000-00004B0A0000}"/>
    <cellStyle name="L_BQ-Kontrak Utama (5)-radja_BQ-Omni Wuryanto edit-KWD 10 Juli 2006 hendra_STR Tangga ( PCA )" xfId="3072" xr:uid="{00000000-0005-0000-0000-00004C0A0000}"/>
    <cellStyle name="L_BQ-Kontrak Utama (5)-radja_Copy of BQ-Kontrak Utama-KWrev1" xfId="3073" xr:uid="{00000000-0005-0000-0000-00004D0A0000}"/>
    <cellStyle name="L_BQ-Kontrak Utama (5)-radja_Copy of BQ-Kontrak Utama-KWrev1_STR Tangga ( PCA )" xfId="3074" xr:uid="{00000000-0005-0000-0000-00004E0A0000}"/>
    <cellStyle name="L_BQ-Kontrak Utama (5)-radja_MKU14July06" xfId="3075" xr:uid="{00000000-0005-0000-0000-00004F0A0000}"/>
    <cellStyle name="L_BQ-Kontrak Utama (5)-radja_MKU14July06_STR Tangga ( PCA )" xfId="3076" xr:uid="{00000000-0005-0000-0000-0000500A0000}"/>
    <cellStyle name="L_BQ-Kontrak Utama (5)-radja_REVISI ACHIR OMNI" xfId="3077" xr:uid="{00000000-0005-0000-0000-0000510A0000}"/>
    <cellStyle name="L_BQ-Kontrak Utama (5)-radja_REVISI ACHIR OMNI_STR Tangga ( PCA )" xfId="3078" xr:uid="{00000000-0005-0000-0000-0000520A0000}"/>
    <cellStyle name="L_BQ-Kontrak Utama (5)-radja_STR Tangga ( PCA )" xfId="3079" xr:uid="{00000000-0005-0000-0000-0000530A0000}"/>
    <cellStyle name="L_BQ-Kontrak Utama (R)" xfId="3080" xr:uid="{00000000-0005-0000-0000-0000540A0000}"/>
    <cellStyle name="L_BQ-Kontrak Utama (R)_BQ-Omni Wuryanto edit-KWD 10 Juli 2006 hendra" xfId="3081" xr:uid="{00000000-0005-0000-0000-0000550A0000}"/>
    <cellStyle name="L_BQ-Kontrak Utama (R)_BQ-Omni Wuryanto edit-KWD 10 Juli 2006 hendra_STR Tangga ( PCA )" xfId="3082" xr:uid="{00000000-0005-0000-0000-0000560A0000}"/>
    <cellStyle name="L_BQ-Kontrak Utama (R)_Copy of BQ-Kontrak Utama-KWrev1" xfId="3083" xr:uid="{00000000-0005-0000-0000-0000570A0000}"/>
    <cellStyle name="L_BQ-Kontrak Utama (R)_Copy of BQ-Kontrak Utama-KWrev1_STR Tangga ( PCA )" xfId="3084" xr:uid="{00000000-0005-0000-0000-0000580A0000}"/>
    <cellStyle name="L_BQ-Kontrak Utama (R)_MKU14July06" xfId="3085" xr:uid="{00000000-0005-0000-0000-0000590A0000}"/>
    <cellStyle name="L_BQ-Kontrak Utama (R)_MKU14July06_STR Tangga ( PCA )" xfId="3086" xr:uid="{00000000-0005-0000-0000-00005A0A0000}"/>
    <cellStyle name="L_BQ-Kontrak Utama (R)_STR Tangga ( PCA )" xfId="3087" xr:uid="{00000000-0005-0000-0000-00005B0A0000}"/>
    <cellStyle name="L_BQ-Omni Wuryanto edit-KWD 10 Juli 2006 hendra" xfId="3088" xr:uid="{00000000-0005-0000-0000-00005C0A0000}"/>
    <cellStyle name="L_BQ-Omni Wuryanto edit-KWD 10 Juli 2006 hendra_STR Tangga ( PCA )" xfId="3089" xr:uid="{00000000-0005-0000-0000-00005D0A0000}"/>
    <cellStyle name="L_Copy of BQ-Kontrak Utama-KWrev1" xfId="3090" xr:uid="{00000000-0005-0000-0000-00005E0A0000}"/>
    <cellStyle name="L_Copy of BQ-Kontrak Utama-KWrev1_STR Tangga ( PCA )" xfId="3091" xr:uid="{00000000-0005-0000-0000-00005F0A0000}"/>
    <cellStyle name="L_MKU14July06" xfId="3092" xr:uid="{00000000-0005-0000-0000-0000600A0000}"/>
    <cellStyle name="L_MKU14July06_STR Tangga ( PCA )" xfId="3093" xr:uid="{00000000-0005-0000-0000-0000610A0000}"/>
    <cellStyle name="L_Perkiraan biaya RS OMNI KAPI Elektrikal + Summary" xfId="3094" xr:uid="{00000000-0005-0000-0000-0000620A0000}"/>
    <cellStyle name="L_Perkiraan biaya RS OMNI KAPI Elektrikal + Summary_STR Tangga ( PCA )" xfId="3095" xr:uid="{00000000-0005-0000-0000-0000630A0000}"/>
    <cellStyle name="L_Perkiraan biaya RS OMNI KAPI Mekanikal" xfId="3096" xr:uid="{00000000-0005-0000-0000-0000640A0000}"/>
    <cellStyle name="L_Perkiraan biaya RS OMNI KAPI Mekanikal_STR Tangga ( PCA )" xfId="3097" xr:uid="{00000000-0005-0000-0000-0000650A0000}"/>
    <cellStyle name="L_REVISI ACHIR OMNI" xfId="3098" xr:uid="{00000000-0005-0000-0000-0000660A0000}"/>
    <cellStyle name="Labels - Style3" xfId="759" xr:uid="{00000000-0005-0000-0000-0000670A0000}"/>
    <cellStyle name="Labels - Style3 10" xfId="3099" xr:uid="{00000000-0005-0000-0000-0000680A0000}"/>
    <cellStyle name="Labels - Style3 11" xfId="3100" xr:uid="{00000000-0005-0000-0000-0000690A0000}"/>
    <cellStyle name="Labels - Style3 12" xfId="3101" xr:uid="{00000000-0005-0000-0000-00006A0A0000}"/>
    <cellStyle name="Labels - Style3 13" xfId="3102" xr:uid="{00000000-0005-0000-0000-00006B0A0000}"/>
    <cellStyle name="Labels - Style3 14" xfId="3103" xr:uid="{00000000-0005-0000-0000-00006C0A0000}"/>
    <cellStyle name="Labels - Style3 15" xfId="3104" xr:uid="{00000000-0005-0000-0000-00006D0A0000}"/>
    <cellStyle name="Labels - Style3 16" xfId="3105" xr:uid="{00000000-0005-0000-0000-00006E0A0000}"/>
    <cellStyle name="Labels - Style3 2" xfId="3106" xr:uid="{00000000-0005-0000-0000-00006F0A0000}"/>
    <cellStyle name="Labels - Style3 3" xfId="3107" xr:uid="{00000000-0005-0000-0000-0000700A0000}"/>
    <cellStyle name="Labels - Style3 4" xfId="3108" xr:uid="{00000000-0005-0000-0000-0000710A0000}"/>
    <cellStyle name="Labels - Style3 5" xfId="3109" xr:uid="{00000000-0005-0000-0000-0000720A0000}"/>
    <cellStyle name="Labels - Style3 6" xfId="3110" xr:uid="{00000000-0005-0000-0000-0000730A0000}"/>
    <cellStyle name="Labels - Style3 7" xfId="3111" xr:uid="{00000000-0005-0000-0000-0000740A0000}"/>
    <cellStyle name="Labels - Style3 8" xfId="3112" xr:uid="{00000000-0005-0000-0000-0000750A0000}"/>
    <cellStyle name="Labels - Style3 9" xfId="3113" xr:uid="{00000000-0005-0000-0000-0000760A0000}"/>
    <cellStyle name="Length" xfId="3114" xr:uid="{00000000-0005-0000-0000-0000770A0000}"/>
    <cellStyle name="Linked Cell 10" xfId="3115" xr:uid="{00000000-0005-0000-0000-0000780A0000}"/>
    <cellStyle name="Linked Cell 11" xfId="3116" xr:uid="{00000000-0005-0000-0000-0000790A0000}"/>
    <cellStyle name="Linked Cell 12" xfId="3117" xr:uid="{00000000-0005-0000-0000-00007A0A0000}"/>
    <cellStyle name="Linked Cell 13" xfId="3118" xr:uid="{00000000-0005-0000-0000-00007B0A0000}"/>
    <cellStyle name="Linked Cell 2" xfId="760" xr:uid="{00000000-0005-0000-0000-00007C0A0000}"/>
    <cellStyle name="Linked Cell 3" xfId="3119" xr:uid="{00000000-0005-0000-0000-00007D0A0000}"/>
    <cellStyle name="Linked Cell 4" xfId="3120" xr:uid="{00000000-0005-0000-0000-00007E0A0000}"/>
    <cellStyle name="Linked Cell 5" xfId="3121" xr:uid="{00000000-0005-0000-0000-00007F0A0000}"/>
    <cellStyle name="Linked Cell 6" xfId="3122" xr:uid="{00000000-0005-0000-0000-0000800A0000}"/>
    <cellStyle name="Linked Cell 7" xfId="3123" xr:uid="{00000000-0005-0000-0000-0000810A0000}"/>
    <cellStyle name="Linked Cell 8" xfId="3124" xr:uid="{00000000-0005-0000-0000-0000820A0000}"/>
    <cellStyle name="Linked Cell 9" xfId="3125" xr:uid="{00000000-0005-0000-0000-0000830A0000}"/>
    <cellStyle name="m" xfId="761" xr:uid="{00000000-0005-0000-0000-0000840A0000}"/>
    <cellStyle name="m 2" xfId="762" xr:uid="{00000000-0005-0000-0000-0000850A0000}"/>
    <cellStyle name="m 3" xfId="763" xr:uid="{00000000-0005-0000-0000-0000860A0000}"/>
    <cellStyle name="m 4" xfId="764" xr:uid="{00000000-0005-0000-0000-0000870A0000}"/>
    <cellStyle name="m 5" xfId="765" xr:uid="{00000000-0005-0000-0000-0000880A0000}"/>
    <cellStyle name="m 6" xfId="766" xr:uid="{00000000-0005-0000-0000-0000890A0000}"/>
    <cellStyle name="m_AN-2" xfId="3126" xr:uid="{00000000-0005-0000-0000-00008A0A0000}"/>
    <cellStyle name="m_Analisa ARSITEK" xfId="3127" xr:uid="{00000000-0005-0000-0000-00008B0A0000}"/>
    <cellStyle name="m_Analisa_RAPK_SAMPOERNA" xfId="767" xr:uid="{00000000-0005-0000-0000-00008C0A0000}"/>
    <cellStyle name="m_Analisa_RAPK_SAMPOERNA_EE KPP Tahap III Rev Krm" xfId="768" xr:uid="{00000000-0005-0000-0000-00008D0A0000}"/>
    <cellStyle name="m_Analisa_RAPK_SAMPOERNA_RC ME -1.340.505.950" xfId="769" xr:uid="{00000000-0005-0000-0000-00008E0A0000}"/>
    <cellStyle name="m_ANL.4" xfId="3128" xr:uid="{00000000-0005-0000-0000-00008F0A0000}"/>
    <cellStyle name="m_BHN.3" xfId="3129" xr:uid="{00000000-0005-0000-0000-0000900A0000}"/>
    <cellStyle name="m_Bill Of Quantity Robert Susanto Volum" xfId="3130" xr:uid="{00000000-0005-0000-0000-0000910A0000}"/>
    <cellStyle name="m_Bill Of Quantity Robert Susanto Volum 2" xfId="3131" xr:uid="{00000000-0005-0000-0000-0000920A0000}"/>
    <cellStyle name="m_Boq" xfId="3132" xr:uid="{00000000-0005-0000-0000-0000930A0000}"/>
    <cellStyle name="m_Boq 2" xfId="3133" xr:uid="{00000000-0005-0000-0000-0000940A0000}"/>
    <cellStyle name="M_BoQ- OIH  (R2)-PEMASUKAN PI ke2" xfId="3134" xr:uid="{00000000-0005-0000-0000-0000950A0000}"/>
    <cellStyle name="m_BoQ Tanah" xfId="3135" xr:uid="{00000000-0005-0000-0000-0000960A0000}"/>
    <cellStyle name="m_BoQ Tanah 2" xfId="3136" xr:uid="{00000000-0005-0000-0000-0000970A0000}"/>
    <cellStyle name="m_BoQ Tanah_PERB.RAB-RC" xfId="3137" xr:uid="{00000000-0005-0000-0000-0000980A0000}"/>
    <cellStyle name="m_BoQ Tanah_PERB.RAB-RC 2" xfId="3138" xr:uid="{00000000-0005-0000-0000-0000990A0000}"/>
    <cellStyle name="m_Boq_AN-2" xfId="3139" xr:uid="{00000000-0005-0000-0000-00009A0A0000}"/>
    <cellStyle name="m_Boq_AN-2 2" xfId="3140" xr:uid="{00000000-0005-0000-0000-00009B0A0000}"/>
    <cellStyle name="m_Boq_ANL.4" xfId="3141" xr:uid="{00000000-0005-0000-0000-00009C0A0000}"/>
    <cellStyle name="m_Boq_ANL.4 2" xfId="3142" xr:uid="{00000000-0005-0000-0000-00009D0A0000}"/>
    <cellStyle name="m_Boq_BHN.3" xfId="3143" xr:uid="{00000000-0005-0000-0000-00009E0A0000}"/>
    <cellStyle name="m_Boq_BHN.3 2" xfId="3144" xr:uid="{00000000-0005-0000-0000-00009F0A0000}"/>
    <cellStyle name="m_Boq_STD.A" xfId="3145" xr:uid="{00000000-0005-0000-0000-0000A00A0000}"/>
    <cellStyle name="m_Boq_STD.A 2" xfId="3146" xr:uid="{00000000-0005-0000-0000-0000A10A0000}"/>
    <cellStyle name="M_BQ-Kontrak Utama (5)-radja" xfId="3147" xr:uid="{00000000-0005-0000-0000-0000A20A0000}"/>
    <cellStyle name="M_BQ-Kontrak Utama (5)-radja_BQ-Kontrak Utama (R)" xfId="3148" xr:uid="{00000000-0005-0000-0000-0000A30A0000}"/>
    <cellStyle name="M_BQ-Kontrak Utama (5)-radja_BQ-Kontrak Utama (R)_BQ-Omni Wuryanto edit-KWD 10 Juli 2006 hendra" xfId="3149" xr:uid="{00000000-0005-0000-0000-0000A40A0000}"/>
    <cellStyle name="M_BQ-Kontrak Utama (5)-radja_BQ-Kontrak Utama (R)_BQ-Omni Wuryanto edit-KWD 10 Juli 2006 hendra_STR Tangga ( PCA )" xfId="3150" xr:uid="{00000000-0005-0000-0000-0000A50A0000}"/>
    <cellStyle name="M_BQ-Kontrak Utama (5)-radja_BQ-Kontrak Utama (R)_Copy of BQ-Kontrak Utama-KWrev1" xfId="3151" xr:uid="{00000000-0005-0000-0000-0000A60A0000}"/>
    <cellStyle name="M_BQ-Kontrak Utama (5)-radja_BQ-Kontrak Utama (R)_Copy of BQ-Kontrak Utama-KWrev1_STR Tangga ( PCA )" xfId="3152" xr:uid="{00000000-0005-0000-0000-0000A70A0000}"/>
    <cellStyle name="M_BQ-Kontrak Utama (5)-radja_BQ-Kontrak Utama (R)_MKU14July06" xfId="3153" xr:uid="{00000000-0005-0000-0000-0000A80A0000}"/>
    <cellStyle name="M_BQ-Kontrak Utama (5)-radja_BQ-Kontrak Utama (R)_MKU14July06_STR Tangga ( PCA )" xfId="3154" xr:uid="{00000000-0005-0000-0000-0000A90A0000}"/>
    <cellStyle name="M_BQ-Kontrak Utama (5)-radja_BQ-Kontrak Utama (R)_STR Tangga ( PCA )" xfId="3155" xr:uid="{00000000-0005-0000-0000-0000AA0A0000}"/>
    <cellStyle name="M_BQ-Kontrak Utama (5)-radja_BQ-Omni Wuryanto edit-KWD 10 Juli 2006 hendra" xfId="3156" xr:uid="{00000000-0005-0000-0000-0000AB0A0000}"/>
    <cellStyle name="M_BQ-Kontrak Utama (5)-radja_BQ-Omni Wuryanto edit-KWD 10 Juli 2006 hendra_STR Tangga ( PCA )" xfId="3157" xr:uid="{00000000-0005-0000-0000-0000AC0A0000}"/>
    <cellStyle name="M_BQ-Kontrak Utama (5)-radja_Copy of BQ-Kontrak Utama-KWrev1" xfId="3158" xr:uid="{00000000-0005-0000-0000-0000AD0A0000}"/>
    <cellStyle name="M_BQ-Kontrak Utama (5)-radja_Copy of BQ-Kontrak Utama-KWrev1_STR Tangga ( PCA )" xfId="3159" xr:uid="{00000000-0005-0000-0000-0000AE0A0000}"/>
    <cellStyle name="M_BQ-Kontrak Utama (5)-radja_MKU14July06" xfId="3160" xr:uid="{00000000-0005-0000-0000-0000AF0A0000}"/>
    <cellStyle name="M_BQ-Kontrak Utama (5)-radja_MKU14July06_STR Tangga ( PCA )" xfId="3161" xr:uid="{00000000-0005-0000-0000-0000B00A0000}"/>
    <cellStyle name="M_BQ-Kontrak Utama (5)-radja_REVISI ACHIR OMNI" xfId="3162" xr:uid="{00000000-0005-0000-0000-0000B10A0000}"/>
    <cellStyle name="M_BQ-Kontrak Utama (5)-radja_REVISI ACHIR OMNI_STR Tangga ( PCA )" xfId="3163" xr:uid="{00000000-0005-0000-0000-0000B20A0000}"/>
    <cellStyle name="M_BQ-Kontrak Utama (5)-radja_STR Tangga ( PCA )" xfId="3164" xr:uid="{00000000-0005-0000-0000-0000B30A0000}"/>
    <cellStyle name="M_BQ-Kontrak Utama (R)" xfId="3165" xr:uid="{00000000-0005-0000-0000-0000B40A0000}"/>
    <cellStyle name="M_BQ-Kontrak Utama (R)_BoQ- OIH  (R2)-PEMASUKAN PI ke2" xfId="3166" xr:uid="{00000000-0005-0000-0000-0000B50A0000}"/>
    <cellStyle name="M_BQ-Kontrak Utama (R)_BoQ- OIH  (R2)-PEMASUKAN PI ke2_STR Tangga ( PCA )" xfId="3167" xr:uid="{00000000-0005-0000-0000-0000B60A0000}"/>
    <cellStyle name="M_BQ-Kontrak Utama (R)_BQ-Omni Wuryanto edit-KWD 10 Juli 2006 hendra" xfId="3168" xr:uid="{00000000-0005-0000-0000-0000B70A0000}"/>
    <cellStyle name="M_BQ-Kontrak Utama (R)_BQ-Omni Wuryanto edit-KWD 10 Juli 2006 hendra_STR Tangga ( PCA )" xfId="3169" xr:uid="{00000000-0005-0000-0000-0000B80A0000}"/>
    <cellStyle name="M_BQ-Kontrak Utama (R)_Copy of BQ-Kontrak Utama-KWrev1" xfId="3170" xr:uid="{00000000-0005-0000-0000-0000B90A0000}"/>
    <cellStyle name="M_BQ-Kontrak Utama (R)_Copy of BQ-Kontrak Utama-KWrev1_STR Tangga ( PCA )" xfId="3171" xr:uid="{00000000-0005-0000-0000-0000BA0A0000}"/>
    <cellStyle name="M_BQ-Kontrak Utama (R)_MKU14July06" xfId="3172" xr:uid="{00000000-0005-0000-0000-0000BB0A0000}"/>
    <cellStyle name="M_BQ-Kontrak Utama (R)_MKU14July06_STR Tangga ( PCA )" xfId="3173" xr:uid="{00000000-0005-0000-0000-0000BC0A0000}"/>
    <cellStyle name="M_BQ-Kontrak Utama OMNI PEMASUKAN CHAIRUL" xfId="3174" xr:uid="{00000000-0005-0000-0000-0000BD0A0000}"/>
    <cellStyle name="M_BQ-Omni Wuryanto edit-KWD 10 Juli 2006 hendra" xfId="3175" xr:uid="{00000000-0005-0000-0000-0000BE0A0000}"/>
    <cellStyle name="M_BQ-Omni Wuryanto edit-KWD 10 Juli 2006 hendra_STR Tangga ( PCA )" xfId="3176" xr:uid="{00000000-0005-0000-0000-0000BF0A0000}"/>
    <cellStyle name="m_BTL_komering_ICB-01rev130907" xfId="3177" xr:uid="{00000000-0005-0000-0000-0000C00A0000}"/>
    <cellStyle name="m_BTL_komering_ICB-01rev130907_BoQ Tanah" xfId="3178" xr:uid="{00000000-0005-0000-0000-0000C10A0000}"/>
    <cellStyle name="m_BTL_komering_ICB-01rev130907_BoQ Tanah_PERB.RAB-RC" xfId="3179" xr:uid="{00000000-0005-0000-0000-0000C20A0000}"/>
    <cellStyle name="m_BTL_komering_ICB-01rev130907_PERB.RAB-RC" xfId="3180" xr:uid="{00000000-0005-0000-0000-0000C30A0000}"/>
    <cellStyle name="m_BTL_komering_ICB-01rev130907_RAPK ICB-3 130609" xfId="3181" xr:uid="{00000000-0005-0000-0000-0000C40A0000}"/>
    <cellStyle name="m_BTL_Salemba_18_nop 2005  basement for prelim (version 2)" xfId="770" xr:uid="{00000000-0005-0000-0000-0000C50A0000}"/>
    <cellStyle name="m_BTL_Salemba_18_nop 2005  basement for prelim (version 2)_AN-2" xfId="3182" xr:uid="{00000000-0005-0000-0000-0000C60A0000}"/>
    <cellStyle name="m_BTL_Salemba_18_nop 2005  basement for prelim (version 2)_ANL.4" xfId="3183" xr:uid="{00000000-0005-0000-0000-0000C70A0000}"/>
    <cellStyle name="m_BTL_Salemba_18_nop 2005  basement for prelim (version 2)_BHN.3" xfId="3184" xr:uid="{00000000-0005-0000-0000-0000C80A0000}"/>
    <cellStyle name="m_BTL_Salemba_18_nop 2005  basement for prelim (version 2)_NSTD.A" xfId="3185" xr:uid="{00000000-0005-0000-0000-0000C90A0000}"/>
    <cellStyle name="m_BTL_Salemba_18_nop 2005  basement for prelim (version 2)_STD.A" xfId="3186" xr:uid="{00000000-0005-0000-0000-0000CA0A0000}"/>
    <cellStyle name="M_Copy of BQ-Kontrak Utama-KWrev1" xfId="3187" xr:uid="{00000000-0005-0000-0000-0000CB0A0000}"/>
    <cellStyle name="M_Copy of BQ-Kontrak Utama-KWrev1_STR Tangga ( PCA )" xfId="3188" xr:uid="{00000000-0005-0000-0000-0000CC0A0000}"/>
    <cellStyle name="m_EE KPP Tahap III Rev Krm" xfId="771" xr:uid="{00000000-0005-0000-0000-0000CD0A0000}"/>
    <cellStyle name="m_FINALISASI MARUDA" xfId="772" xr:uid="{00000000-0005-0000-0000-0000CE0A0000}"/>
    <cellStyle name="m_FINALISASI MARUDA_EE KPP Tahap III Rev Krm" xfId="773" xr:uid="{00000000-0005-0000-0000-0000CF0A0000}"/>
    <cellStyle name="m_FINALISASI MARUDA_RC ME -1.340.505.950" xfId="774" xr:uid="{00000000-0005-0000-0000-0000D00A0000}"/>
    <cellStyle name="m_Loc_01 SDN Bukit Antara Module C-F 200707 " xfId="3189" xr:uid="{00000000-0005-0000-0000-0000D10A0000}"/>
    <cellStyle name="M_MKU14July06" xfId="3190" xr:uid="{00000000-0005-0000-0000-0000D20A0000}"/>
    <cellStyle name="M_MKU14July06_STR Tangga ( PCA )" xfId="3191" xr:uid="{00000000-0005-0000-0000-0000D30A0000}"/>
    <cellStyle name="m_NON STANDAR" xfId="3192" xr:uid="{00000000-0005-0000-0000-0000D40A0000}"/>
    <cellStyle name="m_NON STANDAR 2" xfId="3193" xr:uid="{00000000-0005-0000-0000-0000D50A0000}"/>
    <cellStyle name="m_NS.A" xfId="3194" xr:uid="{00000000-0005-0000-0000-0000D60A0000}"/>
    <cellStyle name="m_NSTD.A" xfId="3195" xr:uid="{00000000-0005-0000-0000-0000D70A0000}"/>
    <cellStyle name="m_PERB.RAB-RC" xfId="3196" xr:uid="{00000000-0005-0000-0000-0000D80A0000}"/>
    <cellStyle name="m_PERB.RAB-RC 2" xfId="3197" xr:uid="{00000000-0005-0000-0000-0000D90A0000}"/>
    <cellStyle name="M_Perkiraan biaya RS OMNI KAPI Elektrikal + Summary" xfId="3198" xr:uid="{00000000-0005-0000-0000-0000DA0A0000}"/>
    <cellStyle name="M_Perkiraan biaya RS OMNI KAPI Elektrikal + Summary_STR Tangga ( PCA )" xfId="3199" xr:uid="{00000000-0005-0000-0000-0000DB0A0000}"/>
    <cellStyle name="M_Perkiraan biaya RS OMNI KAPI Mekanikal" xfId="3200" xr:uid="{00000000-0005-0000-0000-0000DC0A0000}"/>
    <cellStyle name="M_Perkiraan biaya RS OMNI KAPI Mekanikal_STR Tangga ( PCA )" xfId="3201" xr:uid="{00000000-0005-0000-0000-0000DD0A0000}"/>
    <cellStyle name="m_RAPK FINAL DVO Pipe Rack" xfId="3202" xr:uid="{00000000-0005-0000-0000-0000DE0A0000}"/>
    <cellStyle name="m_RAPK FINAL DVO Pipe Rack 2" xfId="3203" xr:uid="{00000000-0005-0000-0000-0000DF0A0000}"/>
    <cellStyle name="m_RAPK ICB-3 130609" xfId="3204" xr:uid="{00000000-0005-0000-0000-0000E00A0000}"/>
    <cellStyle name="m_RAPK ICB-3 130609 2" xfId="3205" xr:uid="{00000000-0005-0000-0000-0000E10A0000}"/>
    <cellStyle name="m_RC  TELKOM MEDAN HAN- INTERN 10-03-08" xfId="3206" xr:uid="{00000000-0005-0000-0000-0000E20A0000}"/>
    <cellStyle name="m_REAL COST   SEKOLAH - RHESA-06  (18-12-06) FINAL VERSI - 3" xfId="775" xr:uid="{00000000-0005-0000-0000-0000E30A0000}"/>
    <cellStyle name="m_REAL COST   SEKOLAH - RHESA-06  (18-12-06) FINAL VERSI - 3_EE KPP Tahap III Rev Krm" xfId="776" xr:uid="{00000000-0005-0000-0000-0000E40A0000}"/>
    <cellStyle name="m_REAL COST   SEKOLAH - RHESA-06  (18-12-06) FINAL VERSI - 3_RC ME -1.340.505.950" xfId="777" xr:uid="{00000000-0005-0000-0000-0000E50A0000}"/>
    <cellStyle name="M_REVISI ACHIR OMNI" xfId="3207" xr:uid="{00000000-0005-0000-0000-0000E60A0000}"/>
    <cellStyle name="m_S A." xfId="3208" xr:uid="{00000000-0005-0000-0000-0000E70A0000}"/>
    <cellStyle name="m_STD.A" xfId="3209" xr:uid="{00000000-0005-0000-0000-0000E80A0000}"/>
    <cellStyle name="m_Wolter Monginsidi BQ  5-Full Lt.Kontrak" xfId="3210" xr:uid="{00000000-0005-0000-0000-0000E90A0000}"/>
    <cellStyle name="m_Wolter Monginsidi BQ  5-Full Lt.Kontrak 2" xfId="3211" xr:uid="{00000000-0005-0000-0000-0000EA0A0000}"/>
    <cellStyle name="M-0" xfId="3212" xr:uid="{00000000-0005-0000-0000-0000EB0A0000}"/>
    <cellStyle name="MainDescription" xfId="3213" xr:uid="{00000000-0005-0000-0000-0000EC0A0000}"/>
    <cellStyle name="Masukan" xfId="778" xr:uid="{00000000-0005-0000-0000-0000ED0A0000}"/>
    <cellStyle name="Masukan 2" xfId="779" xr:uid="{00000000-0005-0000-0000-0000EE0A0000}"/>
    <cellStyle name="Masukan 3" xfId="780" xr:uid="{00000000-0005-0000-0000-0000EF0A0000}"/>
    <cellStyle name="Mata Uang 2" xfId="781" xr:uid="{00000000-0005-0000-0000-0000F00A0000}"/>
    <cellStyle name="Mata Uang 2 2" xfId="782" xr:uid="{00000000-0005-0000-0000-0000F10A0000}"/>
    <cellStyle name="Mata Uang 2 3" xfId="783" xr:uid="{00000000-0005-0000-0000-0000F20A0000}"/>
    <cellStyle name="Mata Uang 2 4" xfId="784" xr:uid="{00000000-0005-0000-0000-0000F30A0000}"/>
    <cellStyle name="Measure" xfId="3214" xr:uid="{00000000-0005-0000-0000-0000F40A0000}"/>
    <cellStyle name="Millares [0]_laroux" xfId="3215" xr:uid="{00000000-0005-0000-0000-0000F50A0000}"/>
    <cellStyle name="Millares_laroux" xfId="3216" xr:uid="{00000000-0005-0000-0000-0000F60A0000}"/>
    <cellStyle name="Milliers [0]_AR1194" xfId="785" xr:uid="{00000000-0005-0000-0000-0000F70A0000}"/>
    <cellStyle name="Milliers_AR1194" xfId="786" xr:uid="{00000000-0005-0000-0000-0000F80A0000}"/>
    <cellStyle name="m-o" xfId="3217" xr:uid="{00000000-0005-0000-0000-0000F90A0000}"/>
    <cellStyle name="Moneda [0]_laroux" xfId="3218" xr:uid="{00000000-0005-0000-0000-0000FA0A0000}"/>
    <cellStyle name="Moneda_laroux" xfId="3219" xr:uid="{00000000-0005-0000-0000-0000FB0A0000}"/>
    <cellStyle name="Monétaire [0]_AR1194" xfId="787" xr:uid="{00000000-0005-0000-0000-0000FC0A0000}"/>
    <cellStyle name="Monétaire_AR1194" xfId="788" xr:uid="{00000000-0005-0000-0000-0000FD0A0000}"/>
    <cellStyle name="n" xfId="3220" xr:uid="{00000000-0005-0000-0000-0000FE0A0000}"/>
    <cellStyle name="n_BQ-Kontrak Utama (5)-radja" xfId="3221" xr:uid="{00000000-0005-0000-0000-0000FF0A0000}"/>
    <cellStyle name="n_BQ-Kontrak Utama (5)-radja_BQ-Kontrak Utama (R)" xfId="3222" xr:uid="{00000000-0005-0000-0000-0000000B0000}"/>
    <cellStyle name="n_BQ-Kontrak Utama (5)-radja_BQ-Kontrak Utama (R)_BQ-Omni Wuryanto edit-KWD 10 Juli 2006 hendra" xfId="3223" xr:uid="{00000000-0005-0000-0000-0000010B0000}"/>
    <cellStyle name="n_BQ-Kontrak Utama (5)-radja_BQ-Kontrak Utama (R)_BQ-Omni Wuryanto edit-KWD 10 Juli 2006 hendra_STR Tangga ( PCA )" xfId="3224" xr:uid="{00000000-0005-0000-0000-0000020B0000}"/>
    <cellStyle name="n_BQ-Kontrak Utama (5)-radja_BQ-Kontrak Utama (R)_Copy of BQ-Kontrak Utama-KWrev1" xfId="3225" xr:uid="{00000000-0005-0000-0000-0000030B0000}"/>
    <cellStyle name="n_BQ-Kontrak Utama (5)-radja_BQ-Kontrak Utama (R)_Copy of BQ-Kontrak Utama-KWrev1_STR Tangga ( PCA )" xfId="3226" xr:uid="{00000000-0005-0000-0000-0000040B0000}"/>
    <cellStyle name="n_BQ-Kontrak Utama (5)-radja_BQ-Kontrak Utama (R)_MKU14July06" xfId="3227" xr:uid="{00000000-0005-0000-0000-0000050B0000}"/>
    <cellStyle name="n_BQ-Kontrak Utama (5)-radja_BQ-Kontrak Utama (R)_MKU14July06_STR Tangga ( PCA )" xfId="3228" xr:uid="{00000000-0005-0000-0000-0000060B0000}"/>
    <cellStyle name="n_BQ-Kontrak Utama (5)-radja_BQ-Kontrak Utama (R)_STR Tangga ( PCA )" xfId="3229" xr:uid="{00000000-0005-0000-0000-0000070B0000}"/>
    <cellStyle name="n_BQ-Kontrak Utama (5)-radja_BQ-Omni Wuryanto edit-KWD 10 Juli 2006 hendra" xfId="3230" xr:uid="{00000000-0005-0000-0000-0000080B0000}"/>
    <cellStyle name="n_BQ-Kontrak Utama (5)-radja_BQ-Omni Wuryanto edit-KWD 10 Juli 2006 hendra_STR Tangga ( PCA )" xfId="3231" xr:uid="{00000000-0005-0000-0000-0000090B0000}"/>
    <cellStyle name="n_BQ-Kontrak Utama (5)-radja_Copy of BQ-Kontrak Utama-KWrev1" xfId="3232" xr:uid="{00000000-0005-0000-0000-00000A0B0000}"/>
    <cellStyle name="n_BQ-Kontrak Utama (5)-radja_Copy of BQ-Kontrak Utama-KWrev1_STR Tangga ( PCA )" xfId="3233" xr:uid="{00000000-0005-0000-0000-00000B0B0000}"/>
    <cellStyle name="n_BQ-Kontrak Utama (5)-radja_MKU14July06" xfId="3234" xr:uid="{00000000-0005-0000-0000-00000C0B0000}"/>
    <cellStyle name="n_BQ-Kontrak Utama (5)-radja_MKU14July06_STR Tangga ( PCA )" xfId="3235" xr:uid="{00000000-0005-0000-0000-00000D0B0000}"/>
    <cellStyle name="n_BQ-Kontrak Utama (5)-radja_REVISI ACHIR OMNI" xfId="3236" xr:uid="{00000000-0005-0000-0000-00000E0B0000}"/>
    <cellStyle name="n_BQ-Kontrak Utama (5)-radja_REVISI ACHIR OMNI_STR Tangga ( PCA )" xfId="3237" xr:uid="{00000000-0005-0000-0000-00000F0B0000}"/>
    <cellStyle name="n_BQ-Kontrak Utama (5)-radja_STR Tangga ( PCA )" xfId="3238" xr:uid="{00000000-0005-0000-0000-0000100B0000}"/>
    <cellStyle name="n_BQ-Kontrak Utama (R)" xfId="3239" xr:uid="{00000000-0005-0000-0000-0000110B0000}"/>
    <cellStyle name="n_BQ-Kontrak Utama (R)_BQ-Omni Wuryanto edit-KWD 10 Juli 2006 hendra" xfId="3240" xr:uid="{00000000-0005-0000-0000-0000120B0000}"/>
    <cellStyle name="n_BQ-Kontrak Utama (R)_BQ-Omni Wuryanto edit-KWD 10 Juli 2006 hendra_STR Tangga ( PCA )" xfId="3241" xr:uid="{00000000-0005-0000-0000-0000130B0000}"/>
    <cellStyle name="n_BQ-Kontrak Utama (R)_Copy of BQ-Kontrak Utama-KWrev1" xfId="3242" xr:uid="{00000000-0005-0000-0000-0000140B0000}"/>
    <cellStyle name="n_BQ-Kontrak Utama (R)_Copy of BQ-Kontrak Utama-KWrev1_STR Tangga ( PCA )" xfId="3243" xr:uid="{00000000-0005-0000-0000-0000150B0000}"/>
    <cellStyle name="n_BQ-Kontrak Utama (R)_MKU14July06" xfId="3244" xr:uid="{00000000-0005-0000-0000-0000160B0000}"/>
    <cellStyle name="n_BQ-Kontrak Utama (R)_MKU14July06_STR Tangga ( PCA )" xfId="3245" xr:uid="{00000000-0005-0000-0000-0000170B0000}"/>
    <cellStyle name="n_BQ-Kontrak Utama (R)_STR Tangga ( PCA )" xfId="3246" xr:uid="{00000000-0005-0000-0000-0000180B0000}"/>
    <cellStyle name="n_BQ-Omni Wuryanto edit-KWD 10 Juli 2006 hendra" xfId="3247" xr:uid="{00000000-0005-0000-0000-0000190B0000}"/>
    <cellStyle name="n_BQ-Omni Wuryanto edit-KWD 10 Juli 2006 hendra_STR Tangga ( PCA )" xfId="3248" xr:uid="{00000000-0005-0000-0000-00001A0B0000}"/>
    <cellStyle name="n_Copy of BQ-Kontrak Utama-KWrev1" xfId="3249" xr:uid="{00000000-0005-0000-0000-00001B0B0000}"/>
    <cellStyle name="n_Copy of BQ-Kontrak Utama-KWrev1_STR Tangga ( PCA )" xfId="3250" xr:uid="{00000000-0005-0000-0000-00001C0B0000}"/>
    <cellStyle name="n_MKU14July06" xfId="3251" xr:uid="{00000000-0005-0000-0000-00001D0B0000}"/>
    <cellStyle name="n_MKU14July06_STR Tangga ( PCA )" xfId="3252" xr:uid="{00000000-0005-0000-0000-00001E0B0000}"/>
    <cellStyle name="n_Perkiraan biaya RS OMNI KAPI Elektrikal + Summary" xfId="3253" xr:uid="{00000000-0005-0000-0000-00001F0B0000}"/>
    <cellStyle name="n_Perkiraan biaya RS OMNI KAPI Elektrikal + Summary_STR Tangga ( PCA )" xfId="3254" xr:uid="{00000000-0005-0000-0000-0000200B0000}"/>
    <cellStyle name="n_Perkiraan biaya RS OMNI KAPI Mekanikal" xfId="3255" xr:uid="{00000000-0005-0000-0000-0000210B0000}"/>
    <cellStyle name="n_Perkiraan biaya RS OMNI KAPI Mekanikal_STR Tangga ( PCA )" xfId="3256" xr:uid="{00000000-0005-0000-0000-0000220B0000}"/>
    <cellStyle name="n_REVISI ACHIR OMNI" xfId="3257" xr:uid="{00000000-0005-0000-0000-0000230B0000}"/>
    <cellStyle name="NA is zero" xfId="3258" xr:uid="{00000000-0005-0000-0000-0000240B0000}"/>
    <cellStyle name="Netral" xfId="789" xr:uid="{00000000-0005-0000-0000-0000250B0000}"/>
    <cellStyle name="Neutral 10" xfId="3259" xr:uid="{00000000-0005-0000-0000-0000260B0000}"/>
    <cellStyle name="Neutral 11" xfId="3260" xr:uid="{00000000-0005-0000-0000-0000270B0000}"/>
    <cellStyle name="Neutral 12" xfId="3261" xr:uid="{00000000-0005-0000-0000-0000280B0000}"/>
    <cellStyle name="Neutral 13" xfId="3262" xr:uid="{00000000-0005-0000-0000-0000290B0000}"/>
    <cellStyle name="Neutral 2" xfId="790" xr:uid="{00000000-0005-0000-0000-00002A0B0000}"/>
    <cellStyle name="Neutral 3" xfId="3263" xr:uid="{00000000-0005-0000-0000-00002B0B0000}"/>
    <cellStyle name="Neutral 4" xfId="3264" xr:uid="{00000000-0005-0000-0000-00002C0B0000}"/>
    <cellStyle name="Neutral 5" xfId="3265" xr:uid="{00000000-0005-0000-0000-00002D0B0000}"/>
    <cellStyle name="Neutral 6" xfId="3266" xr:uid="{00000000-0005-0000-0000-00002E0B0000}"/>
    <cellStyle name="Neutral 7" xfId="3267" xr:uid="{00000000-0005-0000-0000-00002F0B0000}"/>
    <cellStyle name="Neutral 8" xfId="3268" xr:uid="{00000000-0005-0000-0000-0000300B0000}"/>
    <cellStyle name="Neutral 9" xfId="3269" xr:uid="{00000000-0005-0000-0000-0000310B0000}"/>
    <cellStyle name="nilai" xfId="3270" xr:uid="{00000000-0005-0000-0000-0000320B0000}"/>
    <cellStyle name="nilai 10" xfId="3271" xr:uid="{00000000-0005-0000-0000-0000330B0000}"/>
    <cellStyle name="nilai 2" xfId="3272" xr:uid="{00000000-0005-0000-0000-0000340B0000}"/>
    <cellStyle name="nilai 3" xfId="3273" xr:uid="{00000000-0005-0000-0000-0000350B0000}"/>
    <cellStyle name="nilai 4" xfId="3274" xr:uid="{00000000-0005-0000-0000-0000360B0000}"/>
    <cellStyle name="nilai 5" xfId="3275" xr:uid="{00000000-0005-0000-0000-0000370B0000}"/>
    <cellStyle name="nilai 6" xfId="3276" xr:uid="{00000000-0005-0000-0000-0000380B0000}"/>
    <cellStyle name="nilai 7" xfId="3277" xr:uid="{00000000-0005-0000-0000-0000390B0000}"/>
    <cellStyle name="nilai 8" xfId="3278" xr:uid="{00000000-0005-0000-0000-00003A0B0000}"/>
    <cellStyle name="nilai 9" xfId="3279" xr:uid="{00000000-0005-0000-0000-00003B0B0000}"/>
    <cellStyle name="no dec" xfId="791" xr:uid="{00000000-0005-0000-0000-00003C0B0000}"/>
    <cellStyle name="Normal" xfId="0" builtinId="0"/>
    <cellStyle name="Normal - Style1" xfId="792" xr:uid="{00000000-0005-0000-0000-00003E0B0000}"/>
    <cellStyle name="Normal - Style1 2" xfId="793" xr:uid="{00000000-0005-0000-0000-00003F0B0000}"/>
    <cellStyle name="Normal - Style1 2 2" xfId="42626" xr:uid="{00000000-0005-0000-0000-0000400B0000}"/>
    <cellStyle name="Normal - Style1 3" xfId="794" xr:uid="{00000000-0005-0000-0000-0000410B0000}"/>
    <cellStyle name="Normal - Style1 4" xfId="795" xr:uid="{00000000-0005-0000-0000-0000420B0000}"/>
    <cellStyle name="Normal - Style1 5" xfId="796" xr:uid="{00000000-0005-0000-0000-0000430B0000}"/>
    <cellStyle name="Normal - Style1 6" xfId="797" xr:uid="{00000000-0005-0000-0000-0000440B0000}"/>
    <cellStyle name="Normal - Style2" xfId="798" xr:uid="{00000000-0005-0000-0000-0000450B0000}"/>
    <cellStyle name="Normal - Style2 2" xfId="799" xr:uid="{00000000-0005-0000-0000-0000460B0000}"/>
    <cellStyle name="Normal - Style2 3" xfId="3280" xr:uid="{00000000-0005-0000-0000-0000470B0000}"/>
    <cellStyle name="Normal - Style3" xfId="800" xr:uid="{00000000-0005-0000-0000-0000480B0000}"/>
    <cellStyle name="Normal - Style3 2" xfId="801" xr:uid="{00000000-0005-0000-0000-0000490B0000}"/>
    <cellStyle name="Normal - Style3 3" xfId="3281" xr:uid="{00000000-0005-0000-0000-00004A0B0000}"/>
    <cellStyle name="Normal - Style4" xfId="802" xr:uid="{00000000-0005-0000-0000-00004B0B0000}"/>
    <cellStyle name="Normal - Style5" xfId="803" xr:uid="{00000000-0005-0000-0000-00004C0B0000}"/>
    <cellStyle name="Normal - Style6" xfId="804" xr:uid="{00000000-0005-0000-0000-00004D0B0000}"/>
    <cellStyle name="Normal - Style7" xfId="805" xr:uid="{00000000-0005-0000-0000-00004E0B0000}"/>
    <cellStyle name="Normal - Style8" xfId="806" xr:uid="{00000000-0005-0000-0000-00004F0B0000}"/>
    <cellStyle name="Normal (1)" xfId="3282" xr:uid="{00000000-0005-0000-0000-0000500B0000}"/>
    <cellStyle name="Normal (1) 2" xfId="3283" xr:uid="{00000000-0005-0000-0000-0000510B0000}"/>
    <cellStyle name="Normal (1) 3" xfId="3284" xr:uid="{00000000-0005-0000-0000-0000520B0000}"/>
    <cellStyle name="Normal (1) 4" xfId="3285" xr:uid="{00000000-0005-0000-0000-0000530B0000}"/>
    <cellStyle name="Normal [0]" xfId="3286" xr:uid="{00000000-0005-0000-0000-0000540B0000}"/>
    <cellStyle name="Normal [1]" xfId="3287" xr:uid="{00000000-0005-0000-0000-0000550B0000}"/>
    <cellStyle name="Normal [2]" xfId="3288" xr:uid="{00000000-0005-0000-0000-0000560B0000}"/>
    <cellStyle name="Normal [3]" xfId="3289" xr:uid="{00000000-0005-0000-0000-0000570B0000}"/>
    <cellStyle name="Normal 1" xfId="3290" xr:uid="{00000000-0005-0000-0000-0000580B0000}"/>
    <cellStyle name="Normal 10" xfId="807" xr:uid="{00000000-0005-0000-0000-0000590B0000}"/>
    <cellStyle name="Normal 10 10" xfId="3291" xr:uid="{00000000-0005-0000-0000-00005A0B0000}"/>
    <cellStyle name="Normal 10 11" xfId="3292" xr:uid="{00000000-0005-0000-0000-00005B0B0000}"/>
    <cellStyle name="Normal 10 12" xfId="1204" xr:uid="{00000000-0005-0000-0000-00005C0B0000}"/>
    <cellStyle name="Normal 10 13" xfId="42627" xr:uid="{00000000-0005-0000-0000-00005D0B0000}"/>
    <cellStyle name="Normal 10 2" xfId="3293" xr:uid="{00000000-0005-0000-0000-00005E0B0000}"/>
    <cellStyle name="Normal 10 2 10" xfId="3294" xr:uid="{00000000-0005-0000-0000-00005F0B0000}"/>
    <cellStyle name="Normal 10 2 11" xfId="42628" xr:uid="{00000000-0005-0000-0000-0000600B0000}"/>
    <cellStyle name="Normal 10 2 2" xfId="3295" xr:uid="{00000000-0005-0000-0000-0000610B0000}"/>
    <cellStyle name="Normal 10 2 2 2" xfId="3296" xr:uid="{00000000-0005-0000-0000-0000620B0000}"/>
    <cellStyle name="Normal 10 2 2 2 2" xfId="3297" xr:uid="{00000000-0005-0000-0000-0000630B0000}"/>
    <cellStyle name="Normal 10 2 2 2 3" xfId="3298" xr:uid="{00000000-0005-0000-0000-0000640B0000}"/>
    <cellStyle name="Normal 10 2 2 2 4" xfId="3299" xr:uid="{00000000-0005-0000-0000-0000650B0000}"/>
    <cellStyle name="Normal 10 2 2 2 5" xfId="3300" xr:uid="{00000000-0005-0000-0000-0000660B0000}"/>
    <cellStyle name="Normal 10 2 2 3" xfId="3301" xr:uid="{00000000-0005-0000-0000-0000670B0000}"/>
    <cellStyle name="Normal 10 2 2 4" xfId="3302" xr:uid="{00000000-0005-0000-0000-0000680B0000}"/>
    <cellStyle name="Normal 10 2 2 5" xfId="3303" xr:uid="{00000000-0005-0000-0000-0000690B0000}"/>
    <cellStyle name="Normal 10 2 2 6" xfId="3304" xr:uid="{00000000-0005-0000-0000-00006A0B0000}"/>
    <cellStyle name="Normal 10 2 2 7" xfId="3305" xr:uid="{00000000-0005-0000-0000-00006B0B0000}"/>
    <cellStyle name="Normal 10 2 2 8" xfId="3306" xr:uid="{00000000-0005-0000-0000-00006C0B0000}"/>
    <cellStyle name="Normal 10 2 3" xfId="3307" xr:uid="{00000000-0005-0000-0000-00006D0B0000}"/>
    <cellStyle name="Normal 10 2 3 2" xfId="3308" xr:uid="{00000000-0005-0000-0000-00006E0B0000}"/>
    <cellStyle name="Normal 10 2 3 2 2" xfId="3309" xr:uid="{00000000-0005-0000-0000-00006F0B0000}"/>
    <cellStyle name="Normal 10 2 3 2 3" xfId="3310" xr:uid="{00000000-0005-0000-0000-0000700B0000}"/>
    <cellStyle name="Normal 10 2 3 2 4" xfId="3311" xr:uid="{00000000-0005-0000-0000-0000710B0000}"/>
    <cellStyle name="Normal 10 2 3 2 5" xfId="3312" xr:uid="{00000000-0005-0000-0000-0000720B0000}"/>
    <cellStyle name="Normal 10 2 3 3" xfId="3313" xr:uid="{00000000-0005-0000-0000-0000730B0000}"/>
    <cellStyle name="Normal 10 2 3 4" xfId="3314" xr:uid="{00000000-0005-0000-0000-0000740B0000}"/>
    <cellStyle name="Normal 10 2 3 5" xfId="3315" xr:uid="{00000000-0005-0000-0000-0000750B0000}"/>
    <cellStyle name="Normal 10 2 3 6" xfId="3316" xr:uid="{00000000-0005-0000-0000-0000760B0000}"/>
    <cellStyle name="Normal 10 2 3 7" xfId="3317" xr:uid="{00000000-0005-0000-0000-0000770B0000}"/>
    <cellStyle name="Normal 10 2 3 8" xfId="3318" xr:uid="{00000000-0005-0000-0000-0000780B0000}"/>
    <cellStyle name="Normal 10 2 4" xfId="3319" xr:uid="{00000000-0005-0000-0000-0000790B0000}"/>
    <cellStyle name="Normal 10 2 4 2" xfId="3320" xr:uid="{00000000-0005-0000-0000-00007A0B0000}"/>
    <cellStyle name="Normal 10 2 4 3" xfId="3321" xr:uid="{00000000-0005-0000-0000-00007B0B0000}"/>
    <cellStyle name="Normal 10 2 4 4" xfId="3322" xr:uid="{00000000-0005-0000-0000-00007C0B0000}"/>
    <cellStyle name="Normal 10 2 4 5" xfId="3323" xr:uid="{00000000-0005-0000-0000-00007D0B0000}"/>
    <cellStyle name="Normal 10 2 5" xfId="3324" xr:uid="{00000000-0005-0000-0000-00007E0B0000}"/>
    <cellStyle name="Normal 10 2 6" xfId="3325" xr:uid="{00000000-0005-0000-0000-00007F0B0000}"/>
    <cellStyle name="Normal 10 2 7" xfId="3326" xr:uid="{00000000-0005-0000-0000-0000800B0000}"/>
    <cellStyle name="Normal 10 2 8" xfId="3327" xr:uid="{00000000-0005-0000-0000-0000810B0000}"/>
    <cellStyle name="Normal 10 2 9" xfId="3328" xr:uid="{00000000-0005-0000-0000-0000820B0000}"/>
    <cellStyle name="Normal 10 3" xfId="3329" xr:uid="{00000000-0005-0000-0000-0000830B0000}"/>
    <cellStyle name="Normal 10 3 2" xfId="3330" xr:uid="{00000000-0005-0000-0000-0000840B0000}"/>
    <cellStyle name="Normal 10 3 2 2" xfId="3331" xr:uid="{00000000-0005-0000-0000-0000850B0000}"/>
    <cellStyle name="Normal 10 3 2 3" xfId="3332" xr:uid="{00000000-0005-0000-0000-0000860B0000}"/>
    <cellStyle name="Normal 10 3 2 4" xfId="3333" xr:uid="{00000000-0005-0000-0000-0000870B0000}"/>
    <cellStyle name="Normal 10 3 2 5" xfId="3334" xr:uid="{00000000-0005-0000-0000-0000880B0000}"/>
    <cellStyle name="Normal 10 3 3" xfId="3335" xr:uid="{00000000-0005-0000-0000-0000890B0000}"/>
    <cellStyle name="Normal 10 3 4" xfId="3336" xr:uid="{00000000-0005-0000-0000-00008A0B0000}"/>
    <cellStyle name="Normal 10 3 5" xfId="3337" xr:uid="{00000000-0005-0000-0000-00008B0B0000}"/>
    <cellStyle name="Normal 10 3 6" xfId="3338" xr:uid="{00000000-0005-0000-0000-00008C0B0000}"/>
    <cellStyle name="Normal 10 3 7" xfId="3339" xr:uid="{00000000-0005-0000-0000-00008D0B0000}"/>
    <cellStyle name="Normal 10 3 8" xfId="3340" xr:uid="{00000000-0005-0000-0000-00008E0B0000}"/>
    <cellStyle name="Normal 10 4" xfId="3341" xr:uid="{00000000-0005-0000-0000-00008F0B0000}"/>
    <cellStyle name="Normal 10 4 2" xfId="3342" xr:uid="{00000000-0005-0000-0000-0000900B0000}"/>
    <cellStyle name="Normal 10 4 2 2" xfId="3343" xr:uid="{00000000-0005-0000-0000-0000910B0000}"/>
    <cellStyle name="Normal 10 4 2 3" xfId="3344" xr:uid="{00000000-0005-0000-0000-0000920B0000}"/>
    <cellStyle name="Normal 10 4 2 4" xfId="3345" xr:uid="{00000000-0005-0000-0000-0000930B0000}"/>
    <cellStyle name="Normal 10 4 2 5" xfId="3346" xr:uid="{00000000-0005-0000-0000-0000940B0000}"/>
    <cellStyle name="Normal 10 4 3" xfId="3347" xr:uid="{00000000-0005-0000-0000-0000950B0000}"/>
    <cellStyle name="Normal 10 4 4" xfId="3348" xr:uid="{00000000-0005-0000-0000-0000960B0000}"/>
    <cellStyle name="Normal 10 4 5" xfId="3349" xr:uid="{00000000-0005-0000-0000-0000970B0000}"/>
    <cellStyle name="Normal 10 4 6" xfId="3350" xr:uid="{00000000-0005-0000-0000-0000980B0000}"/>
    <cellStyle name="Normal 10 4 7" xfId="3351" xr:uid="{00000000-0005-0000-0000-0000990B0000}"/>
    <cellStyle name="Normal 10 4 8" xfId="3352" xr:uid="{00000000-0005-0000-0000-00009A0B0000}"/>
    <cellStyle name="Normal 10 5" xfId="3353" xr:uid="{00000000-0005-0000-0000-00009B0B0000}"/>
    <cellStyle name="Normal 10 5 2" xfId="3354" xr:uid="{00000000-0005-0000-0000-00009C0B0000}"/>
    <cellStyle name="Normal 10 5 3" xfId="3355" xr:uid="{00000000-0005-0000-0000-00009D0B0000}"/>
    <cellStyle name="Normal 10 5 4" xfId="3356" xr:uid="{00000000-0005-0000-0000-00009E0B0000}"/>
    <cellStyle name="Normal 10 5 5" xfId="3357" xr:uid="{00000000-0005-0000-0000-00009F0B0000}"/>
    <cellStyle name="Normal 10 6" xfId="3358" xr:uid="{00000000-0005-0000-0000-0000A00B0000}"/>
    <cellStyle name="Normal 10 7" xfId="3359" xr:uid="{00000000-0005-0000-0000-0000A10B0000}"/>
    <cellStyle name="Normal 10 7 2" xfId="3360" xr:uid="{00000000-0005-0000-0000-0000A20B0000}"/>
    <cellStyle name="Normal 10 7 3" xfId="3361" xr:uid="{00000000-0005-0000-0000-0000A30B0000}"/>
    <cellStyle name="Normal 10 7 4" xfId="3362" xr:uid="{00000000-0005-0000-0000-0000A40B0000}"/>
    <cellStyle name="Normal 10 8" xfId="3363" xr:uid="{00000000-0005-0000-0000-0000A50B0000}"/>
    <cellStyle name="Normal 10 8 2" xfId="3364" xr:uid="{00000000-0005-0000-0000-0000A60B0000}"/>
    <cellStyle name="Normal 10 8 2 2" xfId="3365" xr:uid="{00000000-0005-0000-0000-0000A70B0000}"/>
    <cellStyle name="Normal 10 9" xfId="3366" xr:uid="{00000000-0005-0000-0000-0000A80B0000}"/>
    <cellStyle name="Normal 10_METODOLOGI" xfId="3367" xr:uid="{00000000-0005-0000-0000-0000A90B0000}"/>
    <cellStyle name="Normal 11" xfId="808" xr:uid="{00000000-0005-0000-0000-0000AA0B0000}"/>
    <cellStyle name="Normal 11 2" xfId="3368" xr:uid="{00000000-0005-0000-0000-0000AB0B0000}"/>
    <cellStyle name="Normal 11 2 2" xfId="3369" xr:uid="{00000000-0005-0000-0000-0000AC0B0000}"/>
    <cellStyle name="Normal 11 3" xfId="3370" xr:uid="{00000000-0005-0000-0000-0000AD0B0000}"/>
    <cellStyle name="Normal 11 4" xfId="3371" xr:uid="{00000000-0005-0000-0000-0000AE0B0000}"/>
    <cellStyle name="Normal 11 5" xfId="3372" xr:uid="{00000000-0005-0000-0000-0000AF0B0000}"/>
    <cellStyle name="Normal 12" xfId="809" xr:uid="{00000000-0005-0000-0000-0000B00B0000}"/>
    <cellStyle name="Normal 12 10" xfId="3373" xr:uid="{00000000-0005-0000-0000-0000B10B0000}"/>
    <cellStyle name="Normal 12 10 10" xfId="3374" xr:uid="{00000000-0005-0000-0000-0000B20B0000}"/>
    <cellStyle name="Normal 12 10 11" xfId="3375" xr:uid="{00000000-0005-0000-0000-0000B30B0000}"/>
    <cellStyle name="Normal 12 10 12" xfId="3376" xr:uid="{00000000-0005-0000-0000-0000B40B0000}"/>
    <cellStyle name="Normal 12 10 13" xfId="3377" xr:uid="{00000000-0005-0000-0000-0000B50B0000}"/>
    <cellStyle name="Normal 12 10 14" xfId="3378" xr:uid="{00000000-0005-0000-0000-0000B60B0000}"/>
    <cellStyle name="Normal 12 10 15" xfId="3379" xr:uid="{00000000-0005-0000-0000-0000B70B0000}"/>
    <cellStyle name="Normal 12 10 2" xfId="3380" xr:uid="{00000000-0005-0000-0000-0000B80B0000}"/>
    <cellStyle name="Normal 12 10 2 10" xfId="3381" xr:uid="{00000000-0005-0000-0000-0000B90B0000}"/>
    <cellStyle name="Normal 12 10 2 11" xfId="3382" xr:uid="{00000000-0005-0000-0000-0000BA0B0000}"/>
    <cellStyle name="Normal 12 10 2 12" xfId="3383" xr:uid="{00000000-0005-0000-0000-0000BB0B0000}"/>
    <cellStyle name="Normal 12 10 2 13" xfId="3384" xr:uid="{00000000-0005-0000-0000-0000BC0B0000}"/>
    <cellStyle name="Normal 12 10 2 2" xfId="3385" xr:uid="{00000000-0005-0000-0000-0000BD0B0000}"/>
    <cellStyle name="Normal 12 10 2 2 10" xfId="3386" xr:uid="{00000000-0005-0000-0000-0000BE0B0000}"/>
    <cellStyle name="Normal 12 10 2 2 11" xfId="3387" xr:uid="{00000000-0005-0000-0000-0000BF0B0000}"/>
    <cellStyle name="Normal 12 10 2 2 2" xfId="3388" xr:uid="{00000000-0005-0000-0000-0000C00B0000}"/>
    <cellStyle name="Normal 12 10 2 2 2 10" xfId="3389" xr:uid="{00000000-0005-0000-0000-0000C10B0000}"/>
    <cellStyle name="Normal 12 10 2 2 2 2" xfId="3390" xr:uid="{00000000-0005-0000-0000-0000C20B0000}"/>
    <cellStyle name="Normal 12 10 2 2 2 2 2" xfId="3391" xr:uid="{00000000-0005-0000-0000-0000C30B0000}"/>
    <cellStyle name="Normal 12 10 2 2 2 2 2 2" xfId="3392" xr:uid="{00000000-0005-0000-0000-0000C40B0000}"/>
    <cellStyle name="Normal 12 10 2 2 2 2 2 3" xfId="3393" xr:uid="{00000000-0005-0000-0000-0000C50B0000}"/>
    <cellStyle name="Normal 12 10 2 2 2 2 2 4" xfId="3394" xr:uid="{00000000-0005-0000-0000-0000C60B0000}"/>
    <cellStyle name="Normal 12 10 2 2 2 2 2 5" xfId="3395" xr:uid="{00000000-0005-0000-0000-0000C70B0000}"/>
    <cellStyle name="Normal 12 10 2 2 2 2 3" xfId="3396" xr:uid="{00000000-0005-0000-0000-0000C80B0000}"/>
    <cellStyle name="Normal 12 10 2 2 2 2 4" xfId="3397" xr:uid="{00000000-0005-0000-0000-0000C90B0000}"/>
    <cellStyle name="Normal 12 10 2 2 2 2 5" xfId="3398" xr:uid="{00000000-0005-0000-0000-0000CA0B0000}"/>
    <cellStyle name="Normal 12 10 2 2 2 2 6" xfId="3399" xr:uid="{00000000-0005-0000-0000-0000CB0B0000}"/>
    <cellStyle name="Normal 12 10 2 2 2 2 7" xfId="3400" xr:uid="{00000000-0005-0000-0000-0000CC0B0000}"/>
    <cellStyle name="Normal 12 10 2 2 2 2 8" xfId="3401" xr:uid="{00000000-0005-0000-0000-0000CD0B0000}"/>
    <cellStyle name="Normal 12 10 2 2 2 3" xfId="3402" xr:uid="{00000000-0005-0000-0000-0000CE0B0000}"/>
    <cellStyle name="Normal 12 10 2 2 2 3 2" xfId="3403" xr:uid="{00000000-0005-0000-0000-0000CF0B0000}"/>
    <cellStyle name="Normal 12 10 2 2 2 3 2 2" xfId="3404" xr:uid="{00000000-0005-0000-0000-0000D00B0000}"/>
    <cellStyle name="Normal 12 10 2 2 2 3 2 3" xfId="3405" xr:uid="{00000000-0005-0000-0000-0000D10B0000}"/>
    <cellStyle name="Normal 12 10 2 2 2 3 2 4" xfId="3406" xr:uid="{00000000-0005-0000-0000-0000D20B0000}"/>
    <cellStyle name="Normal 12 10 2 2 2 3 2 5" xfId="3407" xr:uid="{00000000-0005-0000-0000-0000D30B0000}"/>
    <cellStyle name="Normal 12 10 2 2 2 3 3" xfId="3408" xr:uid="{00000000-0005-0000-0000-0000D40B0000}"/>
    <cellStyle name="Normal 12 10 2 2 2 3 4" xfId="3409" xr:uid="{00000000-0005-0000-0000-0000D50B0000}"/>
    <cellStyle name="Normal 12 10 2 2 2 3 5" xfId="3410" xr:uid="{00000000-0005-0000-0000-0000D60B0000}"/>
    <cellStyle name="Normal 12 10 2 2 2 3 6" xfId="3411" xr:uid="{00000000-0005-0000-0000-0000D70B0000}"/>
    <cellStyle name="Normal 12 10 2 2 2 3 7" xfId="3412" xr:uid="{00000000-0005-0000-0000-0000D80B0000}"/>
    <cellStyle name="Normal 12 10 2 2 2 3 8" xfId="3413" xr:uid="{00000000-0005-0000-0000-0000D90B0000}"/>
    <cellStyle name="Normal 12 10 2 2 2 4" xfId="3414" xr:uid="{00000000-0005-0000-0000-0000DA0B0000}"/>
    <cellStyle name="Normal 12 10 2 2 2 4 2" xfId="3415" xr:uid="{00000000-0005-0000-0000-0000DB0B0000}"/>
    <cellStyle name="Normal 12 10 2 2 2 4 3" xfId="3416" xr:uid="{00000000-0005-0000-0000-0000DC0B0000}"/>
    <cellStyle name="Normal 12 10 2 2 2 4 4" xfId="3417" xr:uid="{00000000-0005-0000-0000-0000DD0B0000}"/>
    <cellStyle name="Normal 12 10 2 2 2 4 5" xfId="3418" xr:uid="{00000000-0005-0000-0000-0000DE0B0000}"/>
    <cellStyle name="Normal 12 10 2 2 2 5" xfId="3419" xr:uid="{00000000-0005-0000-0000-0000DF0B0000}"/>
    <cellStyle name="Normal 12 10 2 2 2 6" xfId="3420" xr:uid="{00000000-0005-0000-0000-0000E00B0000}"/>
    <cellStyle name="Normal 12 10 2 2 2 7" xfId="3421" xr:uid="{00000000-0005-0000-0000-0000E10B0000}"/>
    <cellStyle name="Normal 12 10 2 2 2 8" xfId="3422" xr:uid="{00000000-0005-0000-0000-0000E20B0000}"/>
    <cellStyle name="Normal 12 10 2 2 2 9" xfId="3423" xr:uid="{00000000-0005-0000-0000-0000E30B0000}"/>
    <cellStyle name="Normal 12 10 2 2 3" xfId="3424" xr:uid="{00000000-0005-0000-0000-0000E40B0000}"/>
    <cellStyle name="Normal 12 10 2 2 3 2" xfId="3425" xr:uid="{00000000-0005-0000-0000-0000E50B0000}"/>
    <cellStyle name="Normal 12 10 2 2 3 2 2" xfId="3426" xr:uid="{00000000-0005-0000-0000-0000E60B0000}"/>
    <cellStyle name="Normal 12 10 2 2 3 2 3" xfId="3427" xr:uid="{00000000-0005-0000-0000-0000E70B0000}"/>
    <cellStyle name="Normal 12 10 2 2 3 2 4" xfId="3428" xr:uid="{00000000-0005-0000-0000-0000E80B0000}"/>
    <cellStyle name="Normal 12 10 2 2 3 2 5" xfId="3429" xr:uid="{00000000-0005-0000-0000-0000E90B0000}"/>
    <cellStyle name="Normal 12 10 2 2 3 3" xfId="3430" xr:uid="{00000000-0005-0000-0000-0000EA0B0000}"/>
    <cellStyle name="Normal 12 10 2 2 3 4" xfId="3431" xr:uid="{00000000-0005-0000-0000-0000EB0B0000}"/>
    <cellStyle name="Normal 12 10 2 2 3 5" xfId="3432" xr:uid="{00000000-0005-0000-0000-0000EC0B0000}"/>
    <cellStyle name="Normal 12 10 2 2 3 6" xfId="3433" xr:uid="{00000000-0005-0000-0000-0000ED0B0000}"/>
    <cellStyle name="Normal 12 10 2 2 3 7" xfId="3434" xr:uid="{00000000-0005-0000-0000-0000EE0B0000}"/>
    <cellStyle name="Normal 12 10 2 2 3 8" xfId="3435" xr:uid="{00000000-0005-0000-0000-0000EF0B0000}"/>
    <cellStyle name="Normal 12 10 2 2 4" xfId="3436" xr:uid="{00000000-0005-0000-0000-0000F00B0000}"/>
    <cellStyle name="Normal 12 10 2 2 4 2" xfId="3437" xr:uid="{00000000-0005-0000-0000-0000F10B0000}"/>
    <cellStyle name="Normal 12 10 2 2 4 2 2" xfId="3438" xr:uid="{00000000-0005-0000-0000-0000F20B0000}"/>
    <cellStyle name="Normal 12 10 2 2 4 2 3" xfId="3439" xr:uid="{00000000-0005-0000-0000-0000F30B0000}"/>
    <cellStyle name="Normal 12 10 2 2 4 2 4" xfId="3440" xr:uid="{00000000-0005-0000-0000-0000F40B0000}"/>
    <cellStyle name="Normal 12 10 2 2 4 2 5" xfId="3441" xr:uid="{00000000-0005-0000-0000-0000F50B0000}"/>
    <cellStyle name="Normal 12 10 2 2 4 3" xfId="3442" xr:uid="{00000000-0005-0000-0000-0000F60B0000}"/>
    <cellStyle name="Normal 12 10 2 2 4 4" xfId="3443" xr:uid="{00000000-0005-0000-0000-0000F70B0000}"/>
    <cellStyle name="Normal 12 10 2 2 4 5" xfId="3444" xr:uid="{00000000-0005-0000-0000-0000F80B0000}"/>
    <cellStyle name="Normal 12 10 2 2 4 6" xfId="3445" xr:uid="{00000000-0005-0000-0000-0000F90B0000}"/>
    <cellStyle name="Normal 12 10 2 2 4 7" xfId="3446" xr:uid="{00000000-0005-0000-0000-0000FA0B0000}"/>
    <cellStyle name="Normal 12 10 2 2 4 8" xfId="3447" xr:uid="{00000000-0005-0000-0000-0000FB0B0000}"/>
    <cellStyle name="Normal 12 10 2 2 5" xfId="3448" xr:uid="{00000000-0005-0000-0000-0000FC0B0000}"/>
    <cellStyle name="Normal 12 10 2 2 5 2" xfId="3449" xr:uid="{00000000-0005-0000-0000-0000FD0B0000}"/>
    <cellStyle name="Normal 12 10 2 2 5 3" xfId="3450" xr:uid="{00000000-0005-0000-0000-0000FE0B0000}"/>
    <cellStyle name="Normal 12 10 2 2 5 4" xfId="3451" xr:uid="{00000000-0005-0000-0000-0000FF0B0000}"/>
    <cellStyle name="Normal 12 10 2 2 5 5" xfId="3452" xr:uid="{00000000-0005-0000-0000-0000000C0000}"/>
    <cellStyle name="Normal 12 10 2 2 6" xfId="3453" xr:uid="{00000000-0005-0000-0000-0000010C0000}"/>
    <cellStyle name="Normal 12 10 2 2 7" xfId="3454" xr:uid="{00000000-0005-0000-0000-0000020C0000}"/>
    <cellStyle name="Normal 12 10 2 2 8" xfId="3455" xr:uid="{00000000-0005-0000-0000-0000030C0000}"/>
    <cellStyle name="Normal 12 10 2 2 9" xfId="3456" xr:uid="{00000000-0005-0000-0000-0000040C0000}"/>
    <cellStyle name="Normal 12 10 2 3" xfId="3457" xr:uid="{00000000-0005-0000-0000-0000050C0000}"/>
    <cellStyle name="Normal 12 10 2 3 10" xfId="3458" xr:uid="{00000000-0005-0000-0000-0000060C0000}"/>
    <cellStyle name="Normal 12 10 2 3 11" xfId="3459" xr:uid="{00000000-0005-0000-0000-0000070C0000}"/>
    <cellStyle name="Normal 12 10 2 3 2" xfId="3460" xr:uid="{00000000-0005-0000-0000-0000080C0000}"/>
    <cellStyle name="Normal 12 10 2 3 2 10" xfId="3461" xr:uid="{00000000-0005-0000-0000-0000090C0000}"/>
    <cellStyle name="Normal 12 10 2 3 2 2" xfId="3462" xr:uid="{00000000-0005-0000-0000-00000A0C0000}"/>
    <cellStyle name="Normal 12 10 2 3 2 2 2" xfId="3463" xr:uid="{00000000-0005-0000-0000-00000B0C0000}"/>
    <cellStyle name="Normal 12 10 2 3 2 2 2 2" xfId="3464" xr:uid="{00000000-0005-0000-0000-00000C0C0000}"/>
    <cellStyle name="Normal 12 10 2 3 2 2 2 3" xfId="3465" xr:uid="{00000000-0005-0000-0000-00000D0C0000}"/>
    <cellStyle name="Normal 12 10 2 3 2 2 2 4" xfId="3466" xr:uid="{00000000-0005-0000-0000-00000E0C0000}"/>
    <cellStyle name="Normal 12 10 2 3 2 2 2 5" xfId="3467" xr:uid="{00000000-0005-0000-0000-00000F0C0000}"/>
    <cellStyle name="Normal 12 10 2 3 2 2 3" xfId="3468" xr:uid="{00000000-0005-0000-0000-0000100C0000}"/>
    <cellStyle name="Normal 12 10 2 3 2 2 4" xfId="3469" xr:uid="{00000000-0005-0000-0000-0000110C0000}"/>
    <cellStyle name="Normal 12 10 2 3 2 2 5" xfId="3470" xr:uid="{00000000-0005-0000-0000-0000120C0000}"/>
    <cellStyle name="Normal 12 10 2 3 2 2 6" xfId="3471" xr:uid="{00000000-0005-0000-0000-0000130C0000}"/>
    <cellStyle name="Normal 12 10 2 3 2 2 7" xfId="3472" xr:uid="{00000000-0005-0000-0000-0000140C0000}"/>
    <cellStyle name="Normal 12 10 2 3 2 2 8" xfId="3473" xr:uid="{00000000-0005-0000-0000-0000150C0000}"/>
    <cellStyle name="Normal 12 10 2 3 2 3" xfId="3474" xr:uid="{00000000-0005-0000-0000-0000160C0000}"/>
    <cellStyle name="Normal 12 10 2 3 2 3 2" xfId="3475" xr:uid="{00000000-0005-0000-0000-0000170C0000}"/>
    <cellStyle name="Normal 12 10 2 3 2 3 2 2" xfId="3476" xr:uid="{00000000-0005-0000-0000-0000180C0000}"/>
    <cellStyle name="Normal 12 10 2 3 2 3 2 3" xfId="3477" xr:uid="{00000000-0005-0000-0000-0000190C0000}"/>
    <cellStyle name="Normal 12 10 2 3 2 3 2 4" xfId="3478" xr:uid="{00000000-0005-0000-0000-00001A0C0000}"/>
    <cellStyle name="Normal 12 10 2 3 2 3 2 5" xfId="3479" xr:uid="{00000000-0005-0000-0000-00001B0C0000}"/>
    <cellStyle name="Normal 12 10 2 3 2 3 3" xfId="3480" xr:uid="{00000000-0005-0000-0000-00001C0C0000}"/>
    <cellStyle name="Normal 12 10 2 3 2 3 4" xfId="3481" xr:uid="{00000000-0005-0000-0000-00001D0C0000}"/>
    <cellStyle name="Normal 12 10 2 3 2 3 5" xfId="3482" xr:uid="{00000000-0005-0000-0000-00001E0C0000}"/>
    <cellStyle name="Normal 12 10 2 3 2 3 6" xfId="3483" xr:uid="{00000000-0005-0000-0000-00001F0C0000}"/>
    <cellStyle name="Normal 12 10 2 3 2 3 7" xfId="3484" xr:uid="{00000000-0005-0000-0000-0000200C0000}"/>
    <cellStyle name="Normal 12 10 2 3 2 3 8" xfId="3485" xr:uid="{00000000-0005-0000-0000-0000210C0000}"/>
    <cellStyle name="Normal 12 10 2 3 2 4" xfId="3486" xr:uid="{00000000-0005-0000-0000-0000220C0000}"/>
    <cellStyle name="Normal 12 10 2 3 2 4 2" xfId="3487" xr:uid="{00000000-0005-0000-0000-0000230C0000}"/>
    <cellStyle name="Normal 12 10 2 3 2 4 3" xfId="3488" xr:uid="{00000000-0005-0000-0000-0000240C0000}"/>
    <cellStyle name="Normal 12 10 2 3 2 4 4" xfId="3489" xr:uid="{00000000-0005-0000-0000-0000250C0000}"/>
    <cellStyle name="Normal 12 10 2 3 2 4 5" xfId="3490" xr:uid="{00000000-0005-0000-0000-0000260C0000}"/>
    <cellStyle name="Normal 12 10 2 3 2 5" xfId="3491" xr:uid="{00000000-0005-0000-0000-0000270C0000}"/>
    <cellStyle name="Normal 12 10 2 3 2 6" xfId="3492" xr:uid="{00000000-0005-0000-0000-0000280C0000}"/>
    <cellStyle name="Normal 12 10 2 3 2 7" xfId="3493" xr:uid="{00000000-0005-0000-0000-0000290C0000}"/>
    <cellStyle name="Normal 12 10 2 3 2 8" xfId="3494" xr:uid="{00000000-0005-0000-0000-00002A0C0000}"/>
    <cellStyle name="Normal 12 10 2 3 2 9" xfId="3495" xr:uid="{00000000-0005-0000-0000-00002B0C0000}"/>
    <cellStyle name="Normal 12 10 2 3 3" xfId="3496" xr:uid="{00000000-0005-0000-0000-00002C0C0000}"/>
    <cellStyle name="Normal 12 10 2 3 3 2" xfId="3497" xr:uid="{00000000-0005-0000-0000-00002D0C0000}"/>
    <cellStyle name="Normal 12 10 2 3 3 2 2" xfId="3498" xr:uid="{00000000-0005-0000-0000-00002E0C0000}"/>
    <cellStyle name="Normal 12 10 2 3 3 2 3" xfId="3499" xr:uid="{00000000-0005-0000-0000-00002F0C0000}"/>
    <cellStyle name="Normal 12 10 2 3 3 2 4" xfId="3500" xr:uid="{00000000-0005-0000-0000-0000300C0000}"/>
    <cellStyle name="Normal 12 10 2 3 3 2 5" xfId="3501" xr:uid="{00000000-0005-0000-0000-0000310C0000}"/>
    <cellStyle name="Normal 12 10 2 3 3 3" xfId="3502" xr:uid="{00000000-0005-0000-0000-0000320C0000}"/>
    <cellStyle name="Normal 12 10 2 3 3 4" xfId="3503" xr:uid="{00000000-0005-0000-0000-0000330C0000}"/>
    <cellStyle name="Normal 12 10 2 3 3 5" xfId="3504" xr:uid="{00000000-0005-0000-0000-0000340C0000}"/>
    <cellStyle name="Normal 12 10 2 3 3 6" xfId="3505" xr:uid="{00000000-0005-0000-0000-0000350C0000}"/>
    <cellStyle name="Normal 12 10 2 3 3 7" xfId="3506" xr:uid="{00000000-0005-0000-0000-0000360C0000}"/>
    <cellStyle name="Normal 12 10 2 3 3 8" xfId="3507" xr:uid="{00000000-0005-0000-0000-0000370C0000}"/>
    <cellStyle name="Normal 12 10 2 3 4" xfId="3508" xr:uid="{00000000-0005-0000-0000-0000380C0000}"/>
    <cellStyle name="Normal 12 10 2 3 4 2" xfId="3509" xr:uid="{00000000-0005-0000-0000-0000390C0000}"/>
    <cellStyle name="Normal 12 10 2 3 4 2 2" xfId="3510" xr:uid="{00000000-0005-0000-0000-00003A0C0000}"/>
    <cellStyle name="Normal 12 10 2 3 4 2 3" xfId="3511" xr:uid="{00000000-0005-0000-0000-00003B0C0000}"/>
    <cellStyle name="Normal 12 10 2 3 4 2 4" xfId="3512" xr:uid="{00000000-0005-0000-0000-00003C0C0000}"/>
    <cellStyle name="Normal 12 10 2 3 4 2 5" xfId="3513" xr:uid="{00000000-0005-0000-0000-00003D0C0000}"/>
    <cellStyle name="Normal 12 10 2 3 4 3" xfId="3514" xr:uid="{00000000-0005-0000-0000-00003E0C0000}"/>
    <cellStyle name="Normal 12 10 2 3 4 4" xfId="3515" xr:uid="{00000000-0005-0000-0000-00003F0C0000}"/>
    <cellStyle name="Normal 12 10 2 3 4 5" xfId="3516" xr:uid="{00000000-0005-0000-0000-0000400C0000}"/>
    <cellStyle name="Normal 12 10 2 3 4 6" xfId="3517" xr:uid="{00000000-0005-0000-0000-0000410C0000}"/>
    <cellStyle name="Normal 12 10 2 3 4 7" xfId="3518" xr:uid="{00000000-0005-0000-0000-0000420C0000}"/>
    <cellStyle name="Normal 12 10 2 3 4 8" xfId="3519" xr:uid="{00000000-0005-0000-0000-0000430C0000}"/>
    <cellStyle name="Normal 12 10 2 3 5" xfId="3520" xr:uid="{00000000-0005-0000-0000-0000440C0000}"/>
    <cellStyle name="Normal 12 10 2 3 5 2" xfId="3521" xr:uid="{00000000-0005-0000-0000-0000450C0000}"/>
    <cellStyle name="Normal 12 10 2 3 5 3" xfId="3522" xr:uid="{00000000-0005-0000-0000-0000460C0000}"/>
    <cellStyle name="Normal 12 10 2 3 5 4" xfId="3523" xr:uid="{00000000-0005-0000-0000-0000470C0000}"/>
    <cellStyle name="Normal 12 10 2 3 5 5" xfId="3524" xr:uid="{00000000-0005-0000-0000-0000480C0000}"/>
    <cellStyle name="Normal 12 10 2 3 6" xfId="3525" xr:uid="{00000000-0005-0000-0000-0000490C0000}"/>
    <cellStyle name="Normal 12 10 2 3 7" xfId="3526" xr:uid="{00000000-0005-0000-0000-00004A0C0000}"/>
    <cellStyle name="Normal 12 10 2 3 8" xfId="3527" xr:uid="{00000000-0005-0000-0000-00004B0C0000}"/>
    <cellStyle name="Normal 12 10 2 3 9" xfId="3528" xr:uid="{00000000-0005-0000-0000-00004C0C0000}"/>
    <cellStyle name="Normal 12 10 2 4" xfId="3529" xr:uid="{00000000-0005-0000-0000-00004D0C0000}"/>
    <cellStyle name="Normal 12 10 2 4 10" xfId="3530" xr:uid="{00000000-0005-0000-0000-00004E0C0000}"/>
    <cellStyle name="Normal 12 10 2 4 2" xfId="3531" xr:uid="{00000000-0005-0000-0000-00004F0C0000}"/>
    <cellStyle name="Normal 12 10 2 4 2 2" xfId="3532" xr:uid="{00000000-0005-0000-0000-0000500C0000}"/>
    <cellStyle name="Normal 12 10 2 4 2 2 2" xfId="3533" xr:uid="{00000000-0005-0000-0000-0000510C0000}"/>
    <cellStyle name="Normal 12 10 2 4 2 2 3" xfId="3534" xr:uid="{00000000-0005-0000-0000-0000520C0000}"/>
    <cellStyle name="Normal 12 10 2 4 2 2 4" xfId="3535" xr:uid="{00000000-0005-0000-0000-0000530C0000}"/>
    <cellStyle name="Normal 12 10 2 4 2 2 5" xfId="3536" xr:uid="{00000000-0005-0000-0000-0000540C0000}"/>
    <cellStyle name="Normal 12 10 2 4 2 3" xfId="3537" xr:uid="{00000000-0005-0000-0000-0000550C0000}"/>
    <cellStyle name="Normal 12 10 2 4 2 4" xfId="3538" xr:uid="{00000000-0005-0000-0000-0000560C0000}"/>
    <cellStyle name="Normal 12 10 2 4 2 5" xfId="3539" xr:uid="{00000000-0005-0000-0000-0000570C0000}"/>
    <cellStyle name="Normal 12 10 2 4 2 6" xfId="3540" xr:uid="{00000000-0005-0000-0000-0000580C0000}"/>
    <cellStyle name="Normal 12 10 2 4 2 7" xfId="3541" xr:uid="{00000000-0005-0000-0000-0000590C0000}"/>
    <cellStyle name="Normal 12 10 2 4 2 8" xfId="3542" xr:uid="{00000000-0005-0000-0000-00005A0C0000}"/>
    <cellStyle name="Normal 12 10 2 4 3" xfId="3543" xr:uid="{00000000-0005-0000-0000-00005B0C0000}"/>
    <cellStyle name="Normal 12 10 2 4 3 2" xfId="3544" xr:uid="{00000000-0005-0000-0000-00005C0C0000}"/>
    <cellStyle name="Normal 12 10 2 4 3 2 2" xfId="3545" xr:uid="{00000000-0005-0000-0000-00005D0C0000}"/>
    <cellStyle name="Normal 12 10 2 4 3 2 3" xfId="3546" xr:uid="{00000000-0005-0000-0000-00005E0C0000}"/>
    <cellStyle name="Normal 12 10 2 4 3 2 4" xfId="3547" xr:uid="{00000000-0005-0000-0000-00005F0C0000}"/>
    <cellStyle name="Normal 12 10 2 4 3 2 5" xfId="3548" xr:uid="{00000000-0005-0000-0000-0000600C0000}"/>
    <cellStyle name="Normal 12 10 2 4 3 3" xfId="3549" xr:uid="{00000000-0005-0000-0000-0000610C0000}"/>
    <cellStyle name="Normal 12 10 2 4 3 4" xfId="3550" xr:uid="{00000000-0005-0000-0000-0000620C0000}"/>
    <cellStyle name="Normal 12 10 2 4 3 5" xfId="3551" xr:uid="{00000000-0005-0000-0000-0000630C0000}"/>
    <cellStyle name="Normal 12 10 2 4 3 6" xfId="3552" xr:uid="{00000000-0005-0000-0000-0000640C0000}"/>
    <cellStyle name="Normal 12 10 2 4 3 7" xfId="3553" xr:uid="{00000000-0005-0000-0000-0000650C0000}"/>
    <cellStyle name="Normal 12 10 2 4 3 8" xfId="3554" xr:uid="{00000000-0005-0000-0000-0000660C0000}"/>
    <cellStyle name="Normal 12 10 2 4 4" xfId="3555" xr:uid="{00000000-0005-0000-0000-0000670C0000}"/>
    <cellStyle name="Normal 12 10 2 4 4 2" xfId="3556" xr:uid="{00000000-0005-0000-0000-0000680C0000}"/>
    <cellStyle name="Normal 12 10 2 4 4 3" xfId="3557" xr:uid="{00000000-0005-0000-0000-0000690C0000}"/>
    <cellStyle name="Normal 12 10 2 4 4 4" xfId="3558" xr:uid="{00000000-0005-0000-0000-00006A0C0000}"/>
    <cellStyle name="Normal 12 10 2 4 4 5" xfId="3559" xr:uid="{00000000-0005-0000-0000-00006B0C0000}"/>
    <cellStyle name="Normal 12 10 2 4 5" xfId="3560" xr:uid="{00000000-0005-0000-0000-00006C0C0000}"/>
    <cellStyle name="Normal 12 10 2 4 6" xfId="3561" xr:uid="{00000000-0005-0000-0000-00006D0C0000}"/>
    <cellStyle name="Normal 12 10 2 4 7" xfId="3562" xr:uid="{00000000-0005-0000-0000-00006E0C0000}"/>
    <cellStyle name="Normal 12 10 2 4 8" xfId="3563" xr:uid="{00000000-0005-0000-0000-00006F0C0000}"/>
    <cellStyle name="Normal 12 10 2 4 9" xfId="3564" xr:uid="{00000000-0005-0000-0000-0000700C0000}"/>
    <cellStyle name="Normal 12 10 2 5" xfId="3565" xr:uid="{00000000-0005-0000-0000-0000710C0000}"/>
    <cellStyle name="Normal 12 10 2 5 2" xfId="3566" xr:uid="{00000000-0005-0000-0000-0000720C0000}"/>
    <cellStyle name="Normal 12 10 2 5 2 2" xfId="3567" xr:uid="{00000000-0005-0000-0000-0000730C0000}"/>
    <cellStyle name="Normal 12 10 2 5 2 3" xfId="3568" xr:uid="{00000000-0005-0000-0000-0000740C0000}"/>
    <cellStyle name="Normal 12 10 2 5 2 4" xfId="3569" xr:uid="{00000000-0005-0000-0000-0000750C0000}"/>
    <cellStyle name="Normal 12 10 2 5 2 5" xfId="3570" xr:uid="{00000000-0005-0000-0000-0000760C0000}"/>
    <cellStyle name="Normal 12 10 2 5 3" xfId="3571" xr:uid="{00000000-0005-0000-0000-0000770C0000}"/>
    <cellStyle name="Normal 12 10 2 5 4" xfId="3572" xr:uid="{00000000-0005-0000-0000-0000780C0000}"/>
    <cellStyle name="Normal 12 10 2 5 5" xfId="3573" xr:uid="{00000000-0005-0000-0000-0000790C0000}"/>
    <cellStyle name="Normal 12 10 2 5 6" xfId="3574" xr:uid="{00000000-0005-0000-0000-00007A0C0000}"/>
    <cellStyle name="Normal 12 10 2 5 7" xfId="3575" xr:uid="{00000000-0005-0000-0000-00007B0C0000}"/>
    <cellStyle name="Normal 12 10 2 5 8" xfId="3576" xr:uid="{00000000-0005-0000-0000-00007C0C0000}"/>
    <cellStyle name="Normal 12 10 2 6" xfId="3577" xr:uid="{00000000-0005-0000-0000-00007D0C0000}"/>
    <cellStyle name="Normal 12 10 2 6 2" xfId="3578" xr:uid="{00000000-0005-0000-0000-00007E0C0000}"/>
    <cellStyle name="Normal 12 10 2 6 2 2" xfId="3579" xr:uid="{00000000-0005-0000-0000-00007F0C0000}"/>
    <cellStyle name="Normal 12 10 2 6 2 3" xfId="3580" xr:uid="{00000000-0005-0000-0000-0000800C0000}"/>
    <cellStyle name="Normal 12 10 2 6 2 4" xfId="3581" xr:uid="{00000000-0005-0000-0000-0000810C0000}"/>
    <cellStyle name="Normal 12 10 2 6 2 5" xfId="3582" xr:uid="{00000000-0005-0000-0000-0000820C0000}"/>
    <cellStyle name="Normal 12 10 2 6 3" xfId="3583" xr:uid="{00000000-0005-0000-0000-0000830C0000}"/>
    <cellStyle name="Normal 12 10 2 6 4" xfId="3584" xr:uid="{00000000-0005-0000-0000-0000840C0000}"/>
    <cellStyle name="Normal 12 10 2 6 5" xfId="3585" xr:uid="{00000000-0005-0000-0000-0000850C0000}"/>
    <cellStyle name="Normal 12 10 2 6 6" xfId="3586" xr:uid="{00000000-0005-0000-0000-0000860C0000}"/>
    <cellStyle name="Normal 12 10 2 6 7" xfId="3587" xr:uid="{00000000-0005-0000-0000-0000870C0000}"/>
    <cellStyle name="Normal 12 10 2 6 8" xfId="3588" xr:uid="{00000000-0005-0000-0000-0000880C0000}"/>
    <cellStyle name="Normal 12 10 2 7" xfId="3589" xr:uid="{00000000-0005-0000-0000-0000890C0000}"/>
    <cellStyle name="Normal 12 10 2 7 2" xfId="3590" xr:uid="{00000000-0005-0000-0000-00008A0C0000}"/>
    <cellStyle name="Normal 12 10 2 7 3" xfId="3591" xr:uid="{00000000-0005-0000-0000-00008B0C0000}"/>
    <cellStyle name="Normal 12 10 2 7 4" xfId="3592" xr:uid="{00000000-0005-0000-0000-00008C0C0000}"/>
    <cellStyle name="Normal 12 10 2 7 5" xfId="3593" xr:uid="{00000000-0005-0000-0000-00008D0C0000}"/>
    <cellStyle name="Normal 12 10 2 8" xfId="3594" xr:uid="{00000000-0005-0000-0000-00008E0C0000}"/>
    <cellStyle name="Normal 12 10 2 9" xfId="3595" xr:uid="{00000000-0005-0000-0000-00008F0C0000}"/>
    <cellStyle name="Normal 12 10 3" xfId="3596" xr:uid="{00000000-0005-0000-0000-0000900C0000}"/>
    <cellStyle name="Normal 12 10 3 10" xfId="3597" xr:uid="{00000000-0005-0000-0000-0000910C0000}"/>
    <cellStyle name="Normal 12 10 3 11" xfId="3598" xr:uid="{00000000-0005-0000-0000-0000920C0000}"/>
    <cellStyle name="Normal 12 10 3 12" xfId="3599" xr:uid="{00000000-0005-0000-0000-0000930C0000}"/>
    <cellStyle name="Normal 12 10 3 13" xfId="3600" xr:uid="{00000000-0005-0000-0000-0000940C0000}"/>
    <cellStyle name="Normal 12 10 3 2" xfId="3601" xr:uid="{00000000-0005-0000-0000-0000950C0000}"/>
    <cellStyle name="Normal 12 10 3 2 10" xfId="3602" xr:uid="{00000000-0005-0000-0000-0000960C0000}"/>
    <cellStyle name="Normal 12 10 3 2 11" xfId="3603" xr:uid="{00000000-0005-0000-0000-0000970C0000}"/>
    <cellStyle name="Normal 12 10 3 2 2" xfId="3604" xr:uid="{00000000-0005-0000-0000-0000980C0000}"/>
    <cellStyle name="Normal 12 10 3 2 2 10" xfId="3605" xr:uid="{00000000-0005-0000-0000-0000990C0000}"/>
    <cellStyle name="Normal 12 10 3 2 2 2" xfId="3606" xr:uid="{00000000-0005-0000-0000-00009A0C0000}"/>
    <cellStyle name="Normal 12 10 3 2 2 2 2" xfId="3607" xr:uid="{00000000-0005-0000-0000-00009B0C0000}"/>
    <cellStyle name="Normal 12 10 3 2 2 2 2 2" xfId="3608" xr:uid="{00000000-0005-0000-0000-00009C0C0000}"/>
    <cellStyle name="Normal 12 10 3 2 2 2 2 3" xfId="3609" xr:uid="{00000000-0005-0000-0000-00009D0C0000}"/>
    <cellStyle name="Normal 12 10 3 2 2 2 2 4" xfId="3610" xr:uid="{00000000-0005-0000-0000-00009E0C0000}"/>
    <cellStyle name="Normal 12 10 3 2 2 2 2 5" xfId="3611" xr:uid="{00000000-0005-0000-0000-00009F0C0000}"/>
    <cellStyle name="Normal 12 10 3 2 2 2 3" xfId="3612" xr:uid="{00000000-0005-0000-0000-0000A00C0000}"/>
    <cellStyle name="Normal 12 10 3 2 2 2 4" xfId="3613" xr:uid="{00000000-0005-0000-0000-0000A10C0000}"/>
    <cellStyle name="Normal 12 10 3 2 2 2 5" xfId="3614" xr:uid="{00000000-0005-0000-0000-0000A20C0000}"/>
    <cellStyle name="Normal 12 10 3 2 2 2 6" xfId="3615" xr:uid="{00000000-0005-0000-0000-0000A30C0000}"/>
    <cellStyle name="Normal 12 10 3 2 2 2 7" xfId="3616" xr:uid="{00000000-0005-0000-0000-0000A40C0000}"/>
    <cellStyle name="Normal 12 10 3 2 2 2 8" xfId="3617" xr:uid="{00000000-0005-0000-0000-0000A50C0000}"/>
    <cellStyle name="Normal 12 10 3 2 2 3" xfId="3618" xr:uid="{00000000-0005-0000-0000-0000A60C0000}"/>
    <cellStyle name="Normal 12 10 3 2 2 3 2" xfId="3619" xr:uid="{00000000-0005-0000-0000-0000A70C0000}"/>
    <cellStyle name="Normal 12 10 3 2 2 3 2 2" xfId="3620" xr:uid="{00000000-0005-0000-0000-0000A80C0000}"/>
    <cellStyle name="Normal 12 10 3 2 2 3 2 3" xfId="3621" xr:uid="{00000000-0005-0000-0000-0000A90C0000}"/>
    <cellStyle name="Normal 12 10 3 2 2 3 2 4" xfId="3622" xr:uid="{00000000-0005-0000-0000-0000AA0C0000}"/>
    <cellStyle name="Normal 12 10 3 2 2 3 2 5" xfId="3623" xr:uid="{00000000-0005-0000-0000-0000AB0C0000}"/>
    <cellStyle name="Normal 12 10 3 2 2 3 3" xfId="3624" xr:uid="{00000000-0005-0000-0000-0000AC0C0000}"/>
    <cellStyle name="Normal 12 10 3 2 2 3 4" xfId="3625" xr:uid="{00000000-0005-0000-0000-0000AD0C0000}"/>
    <cellStyle name="Normal 12 10 3 2 2 3 5" xfId="3626" xr:uid="{00000000-0005-0000-0000-0000AE0C0000}"/>
    <cellStyle name="Normal 12 10 3 2 2 3 6" xfId="3627" xr:uid="{00000000-0005-0000-0000-0000AF0C0000}"/>
    <cellStyle name="Normal 12 10 3 2 2 3 7" xfId="3628" xr:uid="{00000000-0005-0000-0000-0000B00C0000}"/>
    <cellStyle name="Normal 12 10 3 2 2 3 8" xfId="3629" xr:uid="{00000000-0005-0000-0000-0000B10C0000}"/>
    <cellStyle name="Normal 12 10 3 2 2 4" xfId="3630" xr:uid="{00000000-0005-0000-0000-0000B20C0000}"/>
    <cellStyle name="Normal 12 10 3 2 2 4 2" xfId="3631" xr:uid="{00000000-0005-0000-0000-0000B30C0000}"/>
    <cellStyle name="Normal 12 10 3 2 2 4 3" xfId="3632" xr:uid="{00000000-0005-0000-0000-0000B40C0000}"/>
    <cellStyle name="Normal 12 10 3 2 2 4 4" xfId="3633" xr:uid="{00000000-0005-0000-0000-0000B50C0000}"/>
    <cellStyle name="Normal 12 10 3 2 2 4 5" xfId="3634" xr:uid="{00000000-0005-0000-0000-0000B60C0000}"/>
    <cellStyle name="Normal 12 10 3 2 2 5" xfId="3635" xr:uid="{00000000-0005-0000-0000-0000B70C0000}"/>
    <cellStyle name="Normal 12 10 3 2 2 6" xfId="3636" xr:uid="{00000000-0005-0000-0000-0000B80C0000}"/>
    <cellStyle name="Normal 12 10 3 2 2 7" xfId="3637" xr:uid="{00000000-0005-0000-0000-0000B90C0000}"/>
    <cellStyle name="Normal 12 10 3 2 2 8" xfId="3638" xr:uid="{00000000-0005-0000-0000-0000BA0C0000}"/>
    <cellStyle name="Normal 12 10 3 2 2 9" xfId="3639" xr:uid="{00000000-0005-0000-0000-0000BB0C0000}"/>
    <cellStyle name="Normal 12 10 3 2 3" xfId="3640" xr:uid="{00000000-0005-0000-0000-0000BC0C0000}"/>
    <cellStyle name="Normal 12 10 3 2 3 2" xfId="3641" xr:uid="{00000000-0005-0000-0000-0000BD0C0000}"/>
    <cellStyle name="Normal 12 10 3 2 3 2 2" xfId="3642" xr:uid="{00000000-0005-0000-0000-0000BE0C0000}"/>
    <cellStyle name="Normal 12 10 3 2 3 2 3" xfId="3643" xr:uid="{00000000-0005-0000-0000-0000BF0C0000}"/>
    <cellStyle name="Normal 12 10 3 2 3 2 4" xfId="3644" xr:uid="{00000000-0005-0000-0000-0000C00C0000}"/>
    <cellStyle name="Normal 12 10 3 2 3 2 5" xfId="3645" xr:uid="{00000000-0005-0000-0000-0000C10C0000}"/>
    <cellStyle name="Normal 12 10 3 2 3 3" xfId="3646" xr:uid="{00000000-0005-0000-0000-0000C20C0000}"/>
    <cellStyle name="Normal 12 10 3 2 3 4" xfId="3647" xr:uid="{00000000-0005-0000-0000-0000C30C0000}"/>
    <cellStyle name="Normal 12 10 3 2 3 5" xfId="3648" xr:uid="{00000000-0005-0000-0000-0000C40C0000}"/>
    <cellStyle name="Normal 12 10 3 2 3 6" xfId="3649" xr:uid="{00000000-0005-0000-0000-0000C50C0000}"/>
    <cellStyle name="Normal 12 10 3 2 3 7" xfId="3650" xr:uid="{00000000-0005-0000-0000-0000C60C0000}"/>
    <cellStyle name="Normal 12 10 3 2 3 8" xfId="3651" xr:uid="{00000000-0005-0000-0000-0000C70C0000}"/>
    <cellStyle name="Normal 12 10 3 2 4" xfId="3652" xr:uid="{00000000-0005-0000-0000-0000C80C0000}"/>
    <cellStyle name="Normal 12 10 3 2 4 2" xfId="3653" xr:uid="{00000000-0005-0000-0000-0000C90C0000}"/>
    <cellStyle name="Normal 12 10 3 2 4 2 2" xfId="3654" xr:uid="{00000000-0005-0000-0000-0000CA0C0000}"/>
    <cellStyle name="Normal 12 10 3 2 4 2 3" xfId="3655" xr:uid="{00000000-0005-0000-0000-0000CB0C0000}"/>
    <cellStyle name="Normal 12 10 3 2 4 2 4" xfId="3656" xr:uid="{00000000-0005-0000-0000-0000CC0C0000}"/>
    <cellStyle name="Normal 12 10 3 2 4 2 5" xfId="3657" xr:uid="{00000000-0005-0000-0000-0000CD0C0000}"/>
    <cellStyle name="Normal 12 10 3 2 4 3" xfId="3658" xr:uid="{00000000-0005-0000-0000-0000CE0C0000}"/>
    <cellStyle name="Normal 12 10 3 2 4 4" xfId="3659" xr:uid="{00000000-0005-0000-0000-0000CF0C0000}"/>
    <cellStyle name="Normal 12 10 3 2 4 5" xfId="3660" xr:uid="{00000000-0005-0000-0000-0000D00C0000}"/>
    <cellStyle name="Normal 12 10 3 2 4 6" xfId="3661" xr:uid="{00000000-0005-0000-0000-0000D10C0000}"/>
    <cellStyle name="Normal 12 10 3 2 4 7" xfId="3662" xr:uid="{00000000-0005-0000-0000-0000D20C0000}"/>
    <cellStyle name="Normal 12 10 3 2 4 8" xfId="3663" xr:uid="{00000000-0005-0000-0000-0000D30C0000}"/>
    <cellStyle name="Normal 12 10 3 2 5" xfId="3664" xr:uid="{00000000-0005-0000-0000-0000D40C0000}"/>
    <cellStyle name="Normal 12 10 3 2 5 2" xfId="3665" xr:uid="{00000000-0005-0000-0000-0000D50C0000}"/>
    <cellStyle name="Normal 12 10 3 2 5 3" xfId="3666" xr:uid="{00000000-0005-0000-0000-0000D60C0000}"/>
    <cellStyle name="Normal 12 10 3 2 5 4" xfId="3667" xr:uid="{00000000-0005-0000-0000-0000D70C0000}"/>
    <cellStyle name="Normal 12 10 3 2 5 5" xfId="3668" xr:uid="{00000000-0005-0000-0000-0000D80C0000}"/>
    <cellStyle name="Normal 12 10 3 2 6" xfId="3669" xr:uid="{00000000-0005-0000-0000-0000D90C0000}"/>
    <cellStyle name="Normal 12 10 3 2 7" xfId="3670" xr:uid="{00000000-0005-0000-0000-0000DA0C0000}"/>
    <cellStyle name="Normal 12 10 3 2 8" xfId="3671" xr:uid="{00000000-0005-0000-0000-0000DB0C0000}"/>
    <cellStyle name="Normal 12 10 3 2 9" xfId="3672" xr:uid="{00000000-0005-0000-0000-0000DC0C0000}"/>
    <cellStyle name="Normal 12 10 3 3" xfId="3673" xr:uid="{00000000-0005-0000-0000-0000DD0C0000}"/>
    <cellStyle name="Normal 12 10 3 3 10" xfId="3674" xr:uid="{00000000-0005-0000-0000-0000DE0C0000}"/>
    <cellStyle name="Normal 12 10 3 3 11" xfId="3675" xr:uid="{00000000-0005-0000-0000-0000DF0C0000}"/>
    <cellStyle name="Normal 12 10 3 3 2" xfId="3676" xr:uid="{00000000-0005-0000-0000-0000E00C0000}"/>
    <cellStyle name="Normal 12 10 3 3 2 10" xfId="3677" xr:uid="{00000000-0005-0000-0000-0000E10C0000}"/>
    <cellStyle name="Normal 12 10 3 3 2 2" xfId="3678" xr:uid="{00000000-0005-0000-0000-0000E20C0000}"/>
    <cellStyle name="Normal 12 10 3 3 2 2 2" xfId="3679" xr:uid="{00000000-0005-0000-0000-0000E30C0000}"/>
    <cellStyle name="Normal 12 10 3 3 2 2 2 2" xfId="3680" xr:uid="{00000000-0005-0000-0000-0000E40C0000}"/>
    <cellStyle name="Normal 12 10 3 3 2 2 2 3" xfId="3681" xr:uid="{00000000-0005-0000-0000-0000E50C0000}"/>
    <cellStyle name="Normal 12 10 3 3 2 2 2 4" xfId="3682" xr:uid="{00000000-0005-0000-0000-0000E60C0000}"/>
    <cellStyle name="Normal 12 10 3 3 2 2 2 5" xfId="3683" xr:uid="{00000000-0005-0000-0000-0000E70C0000}"/>
    <cellStyle name="Normal 12 10 3 3 2 2 3" xfId="3684" xr:uid="{00000000-0005-0000-0000-0000E80C0000}"/>
    <cellStyle name="Normal 12 10 3 3 2 2 4" xfId="3685" xr:uid="{00000000-0005-0000-0000-0000E90C0000}"/>
    <cellStyle name="Normal 12 10 3 3 2 2 5" xfId="3686" xr:uid="{00000000-0005-0000-0000-0000EA0C0000}"/>
    <cellStyle name="Normal 12 10 3 3 2 2 6" xfId="3687" xr:uid="{00000000-0005-0000-0000-0000EB0C0000}"/>
    <cellStyle name="Normal 12 10 3 3 2 2 7" xfId="3688" xr:uid="{00000000-0005-0000-0000-0000EC0C0000}"/>
    <cellStyle name="Normal 12 10 3 3 2 2 8" xfId="3689" xr:uid="{00000000-0005-0000-0000-0000ED0C0000}"/>
    <cellStyle name="Normal 12 10 3 3 2 3" xfId="3690" xr:uid="{00000000-0005-0000-0000-0000EE0C0000}"/>
    <cellStyle name="Normal 12 10 3 3 2 3 2" xfId="3691" xr:uid="{00000000-0005-0000-0000-0000EF0C0000}"/>
    <cellStyle name="Normal 12 10 3 3 2 3 2 2" xfId="3692" xr:uid="{00000000-0005-0000-0000-0000F00C0000}"/>
    <cellStyle name="Normal 12 10 3 3 2 3 2 3" xfId="3693" xr:uid="{00000000-0005-0000-0000-0000F10C0000}"/>
    <cellStyle name="Normal 12 10 3 3 2 3 2 4" xfId="3694" xr:uid="{00000000-0005-0000-0000-0000F20C0000}"/>
    <cellStyle name="Normal 12 10 3 3 2 3 2 5" xfId="3695" xr:uid="{00000000-0005-0000-0000-0000F30C0000}"/>
    <cellStyle name="Normal 12 10 3 3 2 3 3" xfId="3696" xr:uid="{00000000-0005-0000-0000-0000F40C0000}"/>
    <cellStyle name="Normal 12 10 3 3 2 3 4" xfId="3697" xr:uid="{00000000-0005-0000-0000-0000F50C0000}"/>
    <cellStyle name="Normal 12 10 3 3 2 3 5" xfId="3698" xr:uid="{00000000-0005-0000-0000-0000F60C0000}"/>
    <cellStyle name="Normal 12 10 3 3 2 3 6" xfId="3699" xr:uid="{00000000-0005-0000-0000-0000F70C0000}"/>
    <cellStyle name="Normal 12 10 3 3 2 3 7" xfId="3700" xr:uid="{00000000-0005-0000-0000-0000F80C0000}"/>
    <cellStyle name="Normal 12 10 3 3 2 3 8" xfId="3701" xr:uid="{00000000-0005-0000-0000-0000F90C0000}"/>
    <cellStyle name="Normal 12 10 3 3 2 4" xfId="3702" xr:uid="{00000000-0005-0000-0000-0000FA0C0000}"/>
    <cellStyle name="Normal 12 10 3 3 2 4 2" xfId="3703" xr:uid="{00000000-0005-0000-0000-0000FB0C0000}"/>
    <cellStyle name="Normal 12 10 3 3 2 4 3" xfId="3704" xr:uid="{00000000-0005-0000-0000-0000FC0C0000}"/>
    <cellStyle name="Normal 12 10 3 3 2 4 4" xfId="3705" xr:uid="{00000000-0005-0000-0000-0000FD0C0000}"/>
    <cellStyle name="Normal 12 10 3 3 2 4 5" xfId="3706" xr:uid="{00000000-0005-0000-0000-0000FE0C0000}"/>
    <cellStyle name="Normal 12 10 3 3 2 5" xfId="3707" xr:uid="{00000000-0005-0000-0000-0000FF0C0000}"/>
    <cellStyle name="Normal 12 10 3 3 2 6" xfId="3708" xr:uid="{00000000-0005-0000-0000-0000000D0000}"/>
    <cellStyle name="Normal 12 10 3 3 2 7" xfId="3709" xr:uid="{00000000-0005-0000-0000-0000010D0000}"/>
    <cellStyle name="Normal 12 10 3 3 2 8" xfId="3710" xr:uid="{00000000-0005-0000-0000-0000020D0000}"/>
    <cellStyle name="Normal 12 10 3 3 2 9" xfId="3711" xr:uid="{00000000-0005-0000-0000-0000030D0000}"/>
    <cellStyle name="Normal 12 10 3 3 3" xfId="3712" xr:uid="{00000000-0005-0000-0000-0000040D0000}"/>
    <cellStyle name="Normal 12 10 3 3 3 2" xfId="3713" xr:uid="{00000000-0005-0000-0000-0000050D0000}"/>
    <cellStyle name="Normal 12 10 3 3 3 2 2" xfId="3714" xr:uid="{00000000-0005-0000-0000-0000060D0000}"/>
    <cellStyle name="Normal 12 10 3 3 3 2 3" xfId="3715" xr:uid="{00000000-0005-0000-0000-0000070D0000}"/>
    <cellStyle name="Normal 12 10 3 3 3 2 4" xfId="3716" xr:uid="{00000000-0005-0000-0000-0000080D0000}"/>
    <cellStyle name="Normal 12 10 3 3 3 2 5" xfId="3717" xr:uid="{00000000-0005-0000-0000-0000090D0000}"/>
    <cellStyle name="Normal 12 10 3 3 3 3" xfId="3718" xr:uid="{00000000-0005-0000-0000-00000A0D0000}"/>
    <cellStyle name="Normal 12 10 3 3 3 4" xfId="3719" xr:uid="{00000000-0005-0000-0000-00000B0D0000}"/>
    <cellStyle name="Normal 12 10 3 3 3 5" xfId="3720" xr:uid="{00000000-0005-0000-0000-00000C0D0000}"/>
    <cellStyle name="Normal 12 10 3 3 3 6" xfId="3721" xr:uid="{00000000-0005-0000-0000-00000D0D0000}"/>
    <cellStyle name="Normal 12 10 3 3 3 7" xfId="3722" xr:uid="{00000000-0005-0000-0000-00000E0D0000}"/>
    <cellStyle name="Normal 12 10 3 3 3 8" xfId="3723" xr:uid="{00000000-0005-0000-0000-00000F0D0000}"/>
    <cellStyle name="Normal 12 10 3 3 4" xfId="3724" xr:uid="{00000000-0005-0000-0000-0000100D0000}"/>
    <cellStyle name="Normal 12 10 3 3 4 2" xfId="3725" xr:uid="{00000000-0005-0000-0000-0000110D0000}"/>
    <cellStyle name="Normal 12 10 3 3 4 2 2" xfId="3726" xr:uid="{00000000-0005-0000-0000-0000120D0000}"/>
    <cellStyle name="Normal 12 10 3 3 4 2 3" xfId="3727" xr:uid="{00000000-0005-0000-0000-0000130D0000}"/>
    <cellStyle name="Normal 12 10 3 3 4 2 4" xfId="3728" xr:uid="{00000000-0005-0000-0000-0000140D0000}"/>
    <cellStyle name="Normal 12 10 3 3 4 2 5" xfId="3729" xr:uid="{00000000-0005-0000-0000-0000150D0000}"/>
    <cellStyle name="Normal 12 10 3 3 4 3" xfId="3730" xr:uid="{00000000-0005-0000-0000-0000160D0000}"/>
    <cellStyle name="Normal 12 10 3 3 4 4" xfId="3731" xr:uid="{00000000-0005-0000-0000-0000170D0000}"/>
    <cellStyle name="Normal 12 10 3 3 4 5" xfId="3732" xr:uid="{00000000-0005-0000-0000-0000180D0000}"/>
    <cellStyle name="Normal 12 10 3 3 4 6" xfId="3733" xr:uid="{00000000-0005-0000-0000-0000190D0000}"/>
    <cellStyle name="Normal 12 10 3 3 4 7" xfId="3734" xr:uid="{00000000-0005-0000-0000-00001A0D0000}"/>
    <cellStyle name="Normal 12 10 3 3 4 8" xfId="3735" xr:uid="{00000000-0005-0000-0000-00001B0D0000}"/>
    <cellStyle name="Normal 12 10 3 3 5" xfId="3736" xr:uid="{00000000-0005-0000-0000-00001C0D0000}"/>
    <cellStyle name="Normal 12 10 3 3 5 2" xfId="3737" xr:uid="{00000000-0005-0000-0000-00001D0D0000}"/>
    <cellStyle name="Normal 12 10 3 3 5 3" xfId="3738" xr:uid="{00000000-0005-0000-0000-00001E0D0000}"/>
    <cellStyle name="Normal 12 10 3 3 5 4" xfId="3739" xr:uid="{00000000-0005-0000-0000-00001F0D0000}"/>
    <cellStyle name="Normal 12 10 3 3 5 5" xfId="3740" xr:uid="{00000000-0005-0000-0000-0000200D0000}"/>
    <cellStyle name="Normal 12 10 3 3 6" xfId="3741" xr:uid="{00000000-0005-0000-0000-0000210D0000}"/>
    <cellStyle name="Normal 12 10 3 3 7" xfId="3742" xr:uid="{00000000-0005-0000-0000-0000220D0000}"/>
    <cellStyle name="Normal 12 10 3 3 8" xfId="3743" xr:uid="{00000000-0005-0000-0000-0000230D0000}"/>
    <cellStyle name="Normal 12 10 3 3 9" xfId="3744" xr:uid="{00000000-0005-0000-0000-0000240D0000}"/>
    <cellStyle name="Normal 12 10 3 4" xfId="3745" xr:uid="{00000000-0005-0000-0000-0000250D0000}"/>
    <cellStyle name="Normal 12 10 3 4 10" xfId="3746" xr:uid="{00000000-0005-0000-0000-0000260D0000}"/>
    <cellStyle name="Normal 12 10 3 4 2" xfId="3747" xr:uid="{00000000-0005-0000-0000-0000270D0000}"/>
    <cellStyle name="Normal 12 10 3 4 2 2" xfId="3748" xr:uid="{00000000-0005-0000-0000-0000280D0000}"/>
    <cellStyle name="Normal 12 10 3 4 2 2 2" xfId="3749" xr:uid="{00000000-0005-0000-0000-0000290D0000}"/>
    <cellStyle name="Normal 12 10 3 4 2 2 3" xfId="3750" xr:uid="{00000000-0005-0000-0000-00002A0D0000}"/>
    <cellStyle name="Normal 12 10 3 4 2 2 4" xfId="3751" xr:uid="{00000000-0005-0000-0000-00002B0D0000}"/>
    <cellStyle name="Normal 12 10 3 4 2 2 5" xfId="3752" xr:uid="{00000000-0005-0000-0000-00002C0D0000}"/>
    <cellStyle name="Normal 12 10 3 4 2 3" xfId="3753" xr:uid="{00000000-0005-0000-0000-00002D0D0000}"/>
    <cellStyle name="Normal 12 10 3 4 2 4" xfId="3754" xr:uid="{00000000-0005-0000-0000-00002E0D0000}"/>
    <cellStyle name="Normal 12 10 3 4 2 5" xfId="3755" xr:uid="{00000000-0005-0000-0000-00002F0D0000}"/>
    <cellStyle name="Normal 12 10 3 4 2 6" xfId="3756" xr:uid="{00000000-0005-0000-0000-0000300D0000}"/>
    <cellStyle name="Normal 12 10 3 4 2 7" xfId="3757" xr:uid="{00000000-0005-0000-0000-0000310D0000}"/>
    <cellStyle name="Normal 12 10 3 4 2 8" xfId="3758" xr:uid="{00000000-0005-0000-0000-0000320D0000}"/>
    <cellStyle name="Normal 12 10 3 4 3" xfId="3759" xr:uid="{00000000-0005-0000-0000-0000330D0000}"/>
    <cellStyle name="Normal 12 10 3 4 3 2" xfId="3760" xr:uid="{00000000-0005-0000-0000-0000340D0000}"/>
    <cellStyle name="Normal 12 10 3 4 3 2 2" xfId="3761" xr:uid="{00000000-0005-0000-0000-0000350D0000}"/>
    <cellStyle name="Normal 12 10 3 4 3 2 3" xfId="3762" xr:uid="{00000000-0005-0000-0000-0000360D0000}"/>
    <cellStyle name="Normal 12 10 3 4 3 2 4" xfId="3763" xr:uid="{00000000-0005-0000-0000-0000370D0000}"/>
    <cellStyle name="Normal 12 10 3 4 3 2 5" xfId="3764" xr:uid="{00000000-0005-0000-0000-0000380D0000}"/>
    <cellStyle name="Normal 12 10 3 4 3 3" xfId="3765" xr:uid="{00000000-0005-0000-0000-0000390D0000}"/>
    <cellStyle name="Normal 12 10 3 4 3 4" xfId="3766" xr:uid="{00000000-0005-0000-0000-00003A0D0000}"/>
    <cellStyle name="Normal 12 10 3 4 3 5" xfId="3767" xr:uid="{00000000-0005-0000-0000-00003B0D0000}"/>
    <cellStyle name="Normal 12 10 3 4 3 6" xfId="3768" xr:uid="{00000000-0005-0000-0000-00003C0D0000}"/>
    <cellStyle name="Normal 12 10 3 4 3 7" xfId="3769" xr:uid="{00000000-0005-0000-0000-00003D0D0000}"/>
    <cellStyle name="Normal 12 10 3 4 3 8" xfId="3770" xr:uid="{00000000-0005-0000-0000-00003E0D0000}"/>
    <cellStyle name="Normal 12 10 3 4 4" xfId="3771" xr:uid="{00000000-0005-0000-0000-00003F0D0000}"/>
    <cellStyle name="Normal 12 10 3 4 4 2" xfId="3772" xr:uid="{00000000-0005-0000-0000-0000400D0000}"/>
    <cellStyle name="Normal 12 10 3 4 4 3" xfId="3773" xr:uid="{00000000-0005-0000-0000-0000410D0000}"/>
    <cellStyle name="Normal 12 10 3 4 4 4" xfId="3774" xr:uid="{00000000-0005-0000-0000-0000420D0000}"/>
    <cellStyle name="Normal 12 10 3 4 4 5" xfId="3775" xr:uid="{00000000-0005-0000-0000-0000430D0000}"/>
    <cellStyle name="Normal 12 10 3 4 5" xfId="3776" xr:uid="{00000000-0005-0000-0000-0000440D0000}"/>
    <cellStyle name="Normal 12 10 3 4 6" xfId="3777" xr:uid="{00000000-0005-0000-0000-0000450D0000}"/>
    <cellStyle name="Normal 12 10 3 4 7" xfId="3778" xr:uid="{00000000-0005-0000-0000-0000460D0000}"/>
    <cellStyle name="Normal 12 10 3 4 8" xfId="3779" xr:uid="{00000000-0005-0000-0000-0000470D0000}"/>
    <cellStyle name="Normal 12 10 3 4 9" xfId="3780" xr:uid="{00000000-0005-0000-0000-0000480D0000}"/>
    <cellStyle name="Normal 12 10 3 5" xfId="3781" xr:uid="{00000000-0005-0000-0000-0000490D0000}"/>
    <cellStyle name="Normal 12 10 3 5 2" xfId="3782" xr:uid="{00000000-0005-0000-0000-00004A0D0000}"/>
    <cellStyle name="Normal 12 10 3 5 2 2" xfId="3783" xr:uid="{00000000-0005-0000-0000-00004B0D0000}"/>
    <cellStyle name="Normal 12 10 3 5 2 3" xfId="3784" xr:uid="{00000000-0005-0000-0000-00004C0D0000}"/>
    <cellStyle name="Normal 12 10 3 5 2 4" xfId="3785" xr:uid="{00000000-0005-0000-0000-00004D0D0000}"/>
    <cellStyle name="Normal 12 10 3 5 2 5" xfId="3786" xr:uid="{00000000-0005-0000-0000-00004E0D0000}"/>
    <cellStyle name="Normal 12 10 3 5 3" xfId="3787" xr:uid="{00000000-0005-0000-0000-00004F0D0000}"/>
    <cellStyle name="Normal 12 10 3 5 4" xfId="3788" xr:uid="{00000000-0005-0000-0000-0000500D0000}"/>
    <cellStyle name="Normal 12 10 3 5 5" xfId="3789" xr:uid="{00000000-0005-0000-0000-0000510D0000}"/>
    <cellStyle name="Normal 12 10 3 5 6" xfId="3790" xr:uid="{00000000-0005-0000-0000-0000520D0000}"/>
    <cellStyle name="Normal 12 10 3 5 7" xfId="3791" xr:uid="{00000000-0005-0000-0000-0000530D0000}"/>
    <cellStyle name="Normal 12 10 3 5 8" xfId="3792" xr:uid="{00000000-0005-0000-0000-0000540D0000}"/>
    <cellStyle name="Normal 12 10 3 6" xfId="3793" xr:uid="{00000000-0005-0000-0000-0000550D0000}"/>
    <cellStyle name="Normal 12 10 3 6 2" xfId="3794" xr:uid="{00000000-0005-0000-0000-0000560D0000}"/>
    <cellStyle name="Normal 12 10 3 6 2 2" xfId="3795" xr:uid="{00000000-0005-0000-0000-0000570D0000}"/>
    <cellStyle name="Normal 12 10 3 6 2 3" xfId="3796" xr:uid="{00000000-0005-0000-0000-0000580D0000}"/>
    <cellStyle name="Normal 12 10 3 6 2 4" xfId="3797" xr:uid="{00000000-0005-0000-0000-0000590D0000}"/>
    <cellStyle name="Normal 12 10 3 6 2 5" xfId="3798" xr:uid="{00000000-0005-0000-0000-00005A0D0000}"/>
    <cellStyle name="Normal 12 10 3 6 3" xfId="3799" xr:uid="{00000000-0005-0000-0000-00005B0D0000}"/>
    <cellStyle name="Normal 12 10 3 6 4" xfId="3800" xr:uid="{00000000-0005-0000-0000-00005C0D0000}"/>
    <cellStyle name="Normal 12 10 3 6 5" xfId="3801" xr:uid="{00000000-0005-0000-0000-00005D0D0000}"/>
    <cellStyle name="Normal 12 10 3 6 6" xfId="3802" xr:uid="{00000000-0005-0000-0000-00005E0D0000}"/>
    <cellStyle name="Normal 12 10 3 6 7" xfId="3803" xr:uid="{00000000-0005-0000-0000-00005F0D0000}"/>
    <cellStyle name="Normal 12 10 3 6 8" xfId="3804" xr:uid="{00000000-0005-0000-0000-0000600D0000}"/>
    <cellStyle name="Normal 12 10 3 7" xfId="3805" xr:uid="{00000000-0005-0000-0000-0000610D0000}"/>
    <cellStyle name="Normal 12 10 3 7 2" xfId="3806" xr:uid="{00000000-0005-0000-0000-0000620D0000}"/>
    <cellStyle name="Normal 12 10 3 7 3" xfId="3807" xr:uid="{00000000-0005-0000-0000-0000630D0000}"/>
    <cellStyle name="Normal 12 10 3 7 4" xfId="3808" xr:uid="{00000000-0005-0000-0000-0000640D0000}"/>
    <cellStyle name="Normal 12 10 3 7 5" xfId="3809" xr:uid="{00000000-0005-0000-0000-0000650D0000}"/>
    <cellStyle name="Normal 12 10 3 8" xfId="3810" xr:uid="{00000000-0005-0000-0000-0000660D0000}"/>
    <cellStyle name="Normal 12 10 3 9" xfId="3811" xr:uid="{00000000-0005-0000-0000-0000670D0000}"/>
    <cellStyle name="Normal 12 10 4" xfId="3812" xr:uid="{00000000-0005-0000-0000-0000680D0000}"/>
    <cellStyle name="Normal 12 10 4 10" xfId="3813" xr:uid="{00000000-0005-0000-0000-0000690D0000}"/>
    <cellStyle name="Normal 12 10 4 11" xfId="3814" xr:uid="{00000000-0005-0000-0000-00006A0D0000}"/>
    <cellStyle name="Normal 12 10 4 2" xfId="3815" xr:uid="{00000000-0005-0000-0000-00006B0D0000}"/>
    <cellStyle name="Normal 12 10 4 2 10" xfId="3816" xr:uid="{00000000-0005-0000-0000-00006C0D0000}"/>
    <cellStyle name="Normal 12 10 4 2 2" xfId="3817" xr:uid="{00000000-0005-0000-0000-00006D0D0000}"/>
    <cellStyle name="Normal 12 10 4 2 2 2" xfId="3818" xr:uid="{00000000-0005-0000-0000-00006E0D0000}"/>
    <cellStyle name="Normal 12 10 4 2 2 2 2" xfId="3819" xr:uid="{00000000-0005-0000-0000-00006F0D0000}"/>
    <cellStyle name="Normal 12 10 4 2 2 2 3" xfId="3820" xr:uid="{00000000-0005-0000-0000-0000700D0000}"/>
    <cellStyle name="Normal 12 10 4 2 2 2 4" xfId="3821" xr:uid="{00000000-0005-0000-0000-0000710D0000}"/>
    <cellStyle name="Normal 12 10 4 2 2 2 5" xfId="3822" xr:uid="{00000000-0005-0000-0000-0000720D0000}"/>
    <cellStyle name="Normal 12 10 4 2 2 3" xfId="3823" xr:uid="{00000000-0005-0000-0000-0000730D0000}"/>
    <cellStyle name="Normal 12 10 4 2 2 4" xfId="3824" xr:uid="{00000000-0005-0000-0000-0000740D0000}"/>
    <cellStyle name="Normal 12 10 4 2 2 5" xfId="3825" xr:uid="{00000000-0005-0000-0000-0000750D0000}"/>
    <cellStyle name="Normal 12 10 4 2 2 6" xfId="3826" xr:uid="{00000000-0005-0000-0000-0000760D0000}"/>
    <cellStyle name="Normal 12 10 4 2 2 7" xfId="3827" xr:uid="{00000000-0005-0000-0000-0000770D0000}"/>
    <cellStyle name="Normal 12 10 4 2 2 8" xfId="3828" xr:uid="{00000000-0005-0000-0000-0000780D0000}"/>
    <cellStyle name="Normal 12 10 4 2 3" xfId="3829" xr:uid="{00000000-0005-0000-0000-0000790D0000}"/>
    <cellStyle name="Normal 12 10 4 2 3 2" xfId="3830" xr:uid="{00000000-0005-0000-0000-00007A0D0000}"/>
    <cellStyle name="Normal 12 10 4 2 3 2 2" xfId="3831" xr:uid="{00000000-0005-0000-0000-00007B0D0000}"/>
    <cellStyle name="Normal 12 10 4 2 3 2 3" xfId="3832" xr:uid="{00000000-0005-0000-0000-00007C0D0000}"/>
    <cellStyle name="Normal 12 10 4 2 3 2 4" xfId="3833" xr:uid="{00000000-0005-0000-0000-00007D0D0000}"/>
    <cellStyle name="Normal 12 10 4 2 3 2 5" xfId="3834" xr:uid="{00000000-0005-0000-0000-00007E0D0000}"/>
    <cellStyle name="Normal 12 10 4 2 3 3" xfId="3835" xr:uid="{00000000-0005-0000-0000-00007F0D0000}"/>
    <cellStyle name="Normal 12 10 4 2 3 4" xfId="3836" xr:uid="{00000000-0005-0000-0000-0000800D0000}"/>
    <cellStyle name="Normal 12 10 4 2 3 5" xfId="3837" xr:uid="{00000000-0005-0000-0000-0000810D0000}"/>
    <cellStyle name="Normal 12 10 4 2 3 6" xfId="3838" xr:uid="{00000000-0005-0000-0000-0000820D0000}"/>
    <cellStyle name="Normal 12 10 4 2 3 7" xfId="3839" xr:uid="{00000000-0005-0000-0000-0000830D0000}"/>
    <cellStyle name="Normal 12 10 4 2 3 8" xfId="3840" xr:uid="{00000000-0005-0000-0000-0000840D0000}"/>
    <cellStyle name="Normal 12 10 4 2 4" xfId="3841" xr:uid="{00000000-0005-0000-0000-0000850D0000}"/>
    <cellStyle name="Normal 12 10 4 2 4 2" xfId="3842" xr:uid="{00000000-0005-0000-0000-0000860D0000}"/>
    <cellStyle name="Normal 12 10 4 2 4 3" xfId="3843" xr:uid="{00000000-0005-0000-0000-0000870D0000}"/>
    <cellStyle name="Normal 12 10 4 2 4 4" xfId="3844" xr:uid="{00000000-0005-0000-0000-0000880D0000}"/>
    <cellStyle name="Normal 12 10 4 2 4 5" xfId="3845" xr:uid="{00000000-0005-0000-0000-0000890D0000}"/>
    <cellStyle name="Normal 12 10 4 2 5" xfId="3846" xr:uid="{00000000-0005-0000-0000-00008A0D0000}"/>
    <cellStyle name="Normal 12 10 4 2 6" xfId="3847" xr:uid="{00000000-0005-0000-0000-00008B0D0000}"/>
    <cellStyle name="Normal 12 10 4 2 7" xfId="3848" xr:uid="{00000000-0005-0000-0000-00008C0D0000}"/>
    <cellStyle name="Normal 12 10 4 2 8" xfId="3849" xr:uid="{00000000-0005-0000-0000-00008D0D0000}"/>
    <cellStyle name="Normal 12 10 4 2 9" xfId="3850" xr:uid="{00000000-0005-0000-0000-00008E0D0000}"/>
    <cellStyle name="Normal 12 10 4 3" xfId="3851" xr:uid="{00000000-0005-0000-0000-00008F0D0000}"/>
    <cellStyle name="Normal 12 10 4 3 2" xfId="3852" xr:uid="{00000000-0005-0000-0000-0000900D0000}"/>
    <cellStyle name="Normal 12 10 4 3 2 2" xfId="3853" xr:uid="{00000000-0005-0000-0000-0000910D0000}"/>
    <cellStyle name="Normal 12 10 4 3 2 3" xfId="3854" xr:uid="{00000000-0005-0000-0000-0000920D0000}"/>
    <cellStyle name="Normal 12 10 4 3 2 4" xfId="3855" xr:uid="{00000000-0005-0000-0000-0000930D0000}"/>
    <cellStyle name="Normal 12 10 4 3 2 5" xfId="3856" xr:uid="{00000000-0005-0000-0000-0000940D0000}"/>
    <cellStyle name="Normal 12 10 4 3 3" xfId="3857" xr:uid="{00000000-0005-0000-0000-0000950D0000}"/>
    <cellStyle name="Normal 12 10 4 3 4" xfId="3858" xr:uid="{00000000-0005-0000-0000-0000960D0000}"/>
    <cellStyle name="Normal 12 10 4 3 5" xfId="3859" xr:uid="{00000000-0005-0000-0000-0000970D0000}"/>
    <cellStyle name="Normal 12 10 4 3 6" xfId="3860" xr:uid="{00000000-0005-0000-0000-0000980D0000}"/>
    <cellStyle name="Normal 12 10 4 3 7" xfId="3861" xr:uid="{00000000-0005-0000-0000-0000990D0000}"/>
    <cellStyle name="Normal 12 10 4 3 8" xfId="3862" xr:uid="{00000000-0005-0000-0000-00009A0D0000}"/>
    <cellStyle name="Normal 12 10 4 4" xfId="3863" xr:uid="{00000000-0005-0000-0000-00009B0D0000}"/>
    <cellStyle name="Normal 12 10 4 4 2" xfId="3864" xr:uid="{00000000-0005-0000-0000-00009C0D0000}"/>
    <cellStyle name="Normal 12 10 4 4 2 2" xfId="3865" xr:uid="{00000000-0005-0000-0000-00009D0D0000}"/>
    <cellStyle name="Normal 12 10 4 4 2 3" xfId="3866" xr:uid="{00000000-0005-0000-0000-00009E0D0000}"/>
    <cellStyle name="Normal 12 10 4 4 2 4" xfId="3867" xr:uid="{00000000-0005-0000-0000-00009F0D0000}"/>
    <cellStyle name="Normal 12 10 4 4 2 5" xfId="3868" xr:uid="{00000000-0005-0000-0000-0000A00D0000}"/>
    <cellStyle name="Normal 12 10 4 4 3" xfId="3869" xr:uid="{00000000-0005-0000-0000-0000A10D0000}"/>
    <cellStyle name="Normal 12 10 4 4 4" xfId="3870" xr:uid="{00000000-0005-0000-0000-0000A20D0000}"/>
    <cellStyle name="Normal 12 10 4 4 5" xfId="3871" xr:uid="{00000000-0005-0000-0000-0000A30D0000}"/>
    <cellStyle name="Normal 12 10 4 4 6" xfId="3872" xr:uid="{00000000-0005-0000-0000-0000A40D0000}"/>
    <cellStyle name="Normal 12 10 4 4 7" xfId="3873" xr:uid="{00000000-0005-0000-0000-0000A50D0000}"/>
    <cellStyle name="Normal 12 10 4 4 8" xfId="3874" xr:uid="{00000000-0005-0000-0000-0000A60D0000}"/>
    <cellStyle name="Normal 12 10 4 5" xfId="3875" xr:uid="{00000000-0005-0000-0000-0000A70D0000}"/>
    <cellStyle name="Normal 12 10 4 5 2" xfId="3876" xr:uid="{00000000-0005-0000-0000-0000A80D0000}"/>
    <cellStyle name="Normal 12 10 4 5 3" xfId="3877" xr:uid="{00000000-0005-0000-0000-0000A90D0000}"/>
    <cellStyle name="Normal 12 10 4 5 4" xfId="3878" xr:uid="{00000000-0005-0000-0000-0000AA0D0000}"/>
    <cellStyle name="Normal 12 10 4 5 5" xfId="3879" xr:uid="{00000000-0005-0000-0000-0000AB0D0000}"/>
    <cellStyle name="Normal 12 10 4 6" xfId="3880" xr:uid="{00000000-0005-0000-0000-0000AC0D0000}"/>
    <cellStyle name="Normal 12 10 4 7" xfId="3881" xr:uid="{00000000-0005-0000-0000-0000AD0D0000}"/>
    <cellStyle name="Normal 12 10 4 8" xfId="3882" xr:uid="{00000000-0005-0000-0000-0000AE0D0000}"/>
    <cellStyle name="Normal 12 10 4 9" xfId="3883" xr:uid="{00000000-0005-0000-0000-0000AF0D0000}"/>
    <cellStyle name="Normal 12 10 5" xfId="3884" xr:uid="{00000000-0005-0000-0000-0000B00D0000}"/>
    <cellStyle name="Normal 12 10 5 10" xfId="3885" xr:uid="{00000000-0005-0000-0000-0000B10D0000}"/>
    <cellStyle name="Normal 12 10 5 11" xfId="3886" xr:uid="{00000000-0005-0000-0000-0000B20D0000}"/>
    <cellStyle name="Normal 12 10 5 2" xfId="3887" xr:uid="{00000000-0005-0000-0000-0000B30D0000}"/>
    <cellStyle name="Normal 12 10 5 2 10" xfId="3888" xr:uid="{00000000-0005-0000-0000-0000B40D0000}"/>
    <cellStyle name="Normal 12 10 5 2 2" xfId="3889" xr:uid="{00000000-0005-0000-0000-0000B50D0000}"/>
    <cellStyle name="Normal 12 10 5 2 2 2" xfId="3890" xr:uid="{00000000-0005-0000-0000-0000B60D0000}"/>
    <cellStyle name="Normal 12 10 5 2 2 2 2" xfId="3891" xr:uid="{00000000-0005-0000-0000-0000B70D0000}"/>
    <cellStyle name="Normal 12 10 5 2 2 2 3" xfId="3892" xr:uid="{00000000-0005-0000-0000-0000B80D0000}"/>
    <cellStyle name="Normal 12 10 5 2 2 2 4" xfId="3893" xr:uid="{00000000-0005-0000-0000-0000B90D0000}"/>
    <cellStyle name="Normal 12 10 5 2 2 2 5" xfId="3894" xr:uid="{00000000-0005-0000-0000-0000BA0D0000}"/>
    <cellStyle name="Normal 12 10 5 2 2 3" xfId="3895" xr:uid="{00000000-0005-0000-0000-0000BB0D0000}"/>
    <cellStyle name="Normal 12 10 5 2 2 4" xfId="3896" xr:uid="{00000000-0005-0000-0000-0000BC0D0000}"/>
    <cellStyle name="Normal 12 10 5 2 2 5" xfId="3897" xr:uid="{00000000-0005-0000-0000-0000BD0D0000}"/>
    <cellStyle name="Normal 12 10 5 2 2 6" xfId="3898" xr:uid="{00000000-0005-0000-0000-0000BE0D0000}"/>
    <cellStyle name="Normal 12 10 5 2 2 7" xfId="3899" xr:uid="{00000000-0005-0000-0000-0000BF0D0000}"/>
    <cellStyle name="Normal 12 10 5 2 2 8" xfId="3900" xr:uid="{00000000-0005-0000-0000-0000C00D0000}"/>
    <cellStyle name="Normal 12 10 5 2 3" xfId="3901" xr:uid="{00000000-0005-0000-0000-0000C10D0000}"/>
    <cellStyle name="Normal 12 10 5 2 3 2" xfId="3902" xr:uid="{00000000-0005-0000-0000-0000C20D0000}"/>
    <cellStyle name="Normal 12 10 5 2 3 2 2" xfId="3903" xr:uid="{00000000-0005-0000-0000-0000C30D0000}"/>
    <cellStyle name="Normal 12 10 5 2 3 2 3" xfId="3904" xr:uid="{00000000-0005-0000-0000-0000C40D0000}"/>
    <cellStyle name="Normal 12 10 5 2 3 2 4" xfId="3905" xr:uid="{00000000-0005-0000-0000-0000C50D0000}"/>
    <cellStyle name="Normal 12 10 5 2 3 2 5" xfId="3906" xr:uid="{00000000-0005-0000-0000-0000C60D0000}"/>
    <cellStyle name="Normal 12 10 5 2 3 3" xfId="3907" xr:uid="{00000000-0005-0000-0000-0000C70D0000}"/>
    <cellStyle name="Normal 12 10 5 2 3 4" xfId="3908" xr:uid="{00000000-0005-0000-0000-0000C80D0000}"/>
    <cellStyle name="Normal 12 10 5 2 3 5" xfId="3909" xr:uid="{00000000-0005-0000-0000-0000C90D0000}"/>
    <cellStyle name="Normal 12 10 5 2 3 6" xfId="3910" xr:uid="{00000000-0005-0000-0000-0000CA0D0000}"/>
    <cellStyle name="Normal 12 10 5 2 3 7" xfId="3911" xr:uid="{00000000-0005-0000-0000-0000CB0D0000}"/>
    <cellStyle name="Normal 12 10 5 2 3 8" xfId="3912" xr:uid="{00000000-0005-0000-0000-0000CC0D0000}"/>
    <cellStyle name="Normal 12 10 5 2 4" xfId="3913" xr:uid="{00000000-0005-0000-0000-0000CD0D0000}"/>
    <cellStyle name="Normal 12 10 5 2 4 2" xfId="3914" xr:uid="{00000000-0005-0000-0000-0000CE0D0000}"/>
    <cellStyle name="Normal 12 10 5 2 4 3" xfId="3915" xr:uid="{00000000-0005-0000-0000-0000CF0D0000}"/>
    <cellStyle name="Normal 12 10 5 2 4 4" xfId="3916" xr:uid="{00000000-0005-0000-0000-0000D00D0000}"/>
    <cellStyle name="Normal 12 10 5 2 4 5" xfId="3917" xr:uid="{00000000-0005-0000-0000-0000D10D0000}"/>
    <cellStyle name="Normal 12 10 5 2 5" xfId="3918" xr:uid="{00000000-0005-0000-0000-0000D20D0000}"/>
    <cellStyle name="Normal 12 10 5 2 6" xfId="3919" xr:uid="{00000000-0005-0000-0000-0000D30D0000}"/>
    <cellStyle name="Normal 12 10 5 2 7" xfId="3920" xr:uid="{00000000-0005-0000-0000-0000D40D0000}"/>
    <cellStyle name="Normal 12 10 5 2 8" xfId="3921" xr:uid="{00000000-0005-0000-0000-0000D50D0000}"/>
    <cellStyle name="Normal 12 10 5 2 9" xfId="3922" xr:uid="{00000000-0005-0000-0000-0000D60D0000}"/>
    <cellStyle name="Normal 12 10 5 3" xfId="3923" xr:uid="{00000000-0005-0000-0000-0000D70D0000}"/>
    <cellStyle name="Normal 12 10 5 3 2" xfId="3924" xr:uid="{00000000-0005-0000-0000-0000D80D0000}"/>
    <cellStyle name="Normal 12 10 5 3 2 2" xfId="3925" xr:uid="{00000000-0005-0000-0000-0000D90D0000}"/>
    <cellStyle name="Normal 12 10 5 3 2 3" xfId="3926" xr:uid="{00000000-0005-0000-0000-0000DA0D0000}"/>
    <cellStyle name="Normal 12 10 5 3 2 4" xfId="3927" xr:uid="{00000000-0005-0000-0000-0000DB0D0000}"/>
    <cellStyle name="Normal 12 10 5 3 2 5" xfId="3928" xr:uid="{00000000-0005-0000-0000-0000DC0D0000}"/>
    <cellStyle name="Normal 12 10 5 3 3" xfId="3929" xr:uid="{00000000-0005-0000-0000-0000DD0D0000}"/>
    <cellStyle name="Normal 12 10 5 3 4" xfId="3930" xr:uid="{00000000-0005-0000-0000-0000DE0D0000}"/>
    <cellStyle name="Normal 12 10 5 3 5" xfId="3931" xr:uid="{00000000-0005-0000-0000-0000DF0D0000}"/>
    <cellStyle name="Normal 12 10 5 3 6" xfId="3932" xr:uid="{00000000-0005-0000-0000-0000E00D0000}"/>
    <cellStyle name="Normal 12 10 5 3 7" xfId="3933" xr:uid="{00000000-0005-0000-0000-0000E10D0000}"/>
    <cellStyle name="Normal 12 10 5 3 8" xfId="3934" xr:uid="{00000000-0005-0000-0000-0000E20D0000}"/>
    <cellStyle name="Normal 12 10 5 4" xfId="3935" xr:uid="{00000000-0005-0000-0000-0000E30D0000}"/>
    <cellStyle name="Normal 12 10 5 4 2" xfId="3936" xr:uid="{00000000-0005-0000-0000-0000E40D0000}"/>
    <cellStyle name="Normal 12 10 5 4 2 2" xfId="3937" xr:uid="{00000000-0005-0000-0000-0000E50D0000}"/>
    <cellStyle name="Normal 12 10 5 4 2 3" xfId="3938" xr:uid="{00000000-0005-0000-0000-0000E60D0000}"/>
    <cellStyle name="Normal 12 10 5 4 2 4" xfId="3939" xr:uid="{00000000-0005-0000-0000-0000E70D0000}"/>
    <cellStyle name="Normal 12 10 5 4 2 5" xfId="3940" xr:uid="{00000000-0005-0000-0000-0000E80D0000}"/>
    <cellStyle name="Normal 12 10 5 4 3" xfId="3941" xr:uid="{00000000-0005-0000-0000-0000E90D0000}"/>
    <cellStyle name="Normal 12 10 5 4 4" xfId="3942" xr:uid="{00000000-0005-0000-0000-0000EA0D0000}"/>
    <cellStyle name="Normal 12 10 5 4 5" xfId="3943" xr:uid="{00000000-0005-0000-0000-0000EB0D0000}"/>
    <cellStyle name="Normal 12 10 5 4 6" xfId="3944" xr:uid="{00000000-0005-0000-0000-0000EC0D0000}"/>
    <cellStyle name="Normal 12 10 5 4 7" xfId="3945" xr:uid="{00000000-0005-0000-0000-0000ED0D0000}"/>
    <cellStyle name="Normal 12 10 5 4 8" xfId="3946" xr:uid="{00000000-0005-0000-0000-0000EE0D0000}"/>
    <cellStyle name="Normal 12 10 5 5" xfId="3947" xr:uid="{00000000-0005-0000-0000-0000EF0D0000}"/>
    <cellStyle name="Normal 12 10 5 5 2" xfId="3948" xr:uid="{00000000-0005-0000-0000-0000F00D0000}"/>
    <cellStyle name="Normal 12 10 5 5 3" xfId="3949" xr:uid="{00000000-0005-0000-0000-0000F10D0000}"/>
    <cellStyle name="Normal 12 10 5 5 4" xfId="3950" xr:uid="{00000000-0005-0000-0000-0000F20D0000}"/>
    <cellStyle name="Normal 12 10 5 5 5" xfId="3951" xr:uid="{00000000-0005-0000-0000-0000F30D0000}"/>
    <cellStyle name="Normal 12 10 5 6" xfId="3952" xr:uid="{00000000-0005-0000-0000-0000F40D0000}"/>
    <cellStyle name="Normal 12 10 5 7" xfId="3953" xr:uid="{00000000-0005-0000-0000-0000F50D0000}"/>
    <cellStyle name="Normal 12 10 5 8" xfId="3954" xr:uid="{00000000-0005-0000-0000-0000F60D0000}"/>
    <cellStyle name="Normal 12 10 5 9" xfId="3955" xr:uid="{00000000-0005-0000-0000-0000F70D0000}"/>
    <cellStyle name="Normal 12 10 6" xfId="3956" xr:uid="{00000000-0005-0000-0000-0000F80D0000}"/>
    <cellStyle name="Normal 12 10 6 10" xfId="3957" xr:uid="{00000000-0005-0000-0000-0000F90D0000}"/>
    <cellStyle name="Normal 12 10 6 2" xfId="3958" xr:uid="{00000000-0005-0000-0000-0000FA0D0000}"/>
    <cellStyle name="Normal 12 10 6 2 2" xfId="3959" xr:uid="{00000000-0005-0000-0000-0000FB0D0000}"/>
    <cellStyle name="Normal 12 10 6 2 2 2" xfId="3960" xr:uid="{00000000-0005-0000-0000-0000FC0D0000}"/>
    <cellStyle name="Normal 12 10 6 2 2 3" xfId="3961" xr:uid="{00000000-0005-0000-0000-0000FD0D0000}"/>
    <cellStyle name="Normal 12 10 6 2 2 4" xfId="3962" xr:uid="{00000000-0005-0000-0000-0000FE0D0000}"/>
    <cellStyle name="Normal 12 10 6 2 2 5" xfId="3963" xr:uid="{00000000-0005-0000-0000-0000FF0D0000}"/>
    <cellStyle name="Normal 12 10 6 2 3" xfId="3964" xr:uid="{00000000-0005-0000-0000-0000000E0000}"/>
    <cellStyle name="Normal 12 10 6 2 4" xfId="3965" xr:uid="{00000000-0005-0000-0000-0000010E0000}"/>
    <cellStyle name="Normal 12 10 6 2 5" xfId="3966" xr:uid="{00000000-0005-0000-0000-0000020E0000}"/>
    <cellStyle name="Normal 12 10 6 2 6" xfId="3967" xr:uid="{00000000-0005-0000-0000-0000030E0000}"/>
    <cellStyle name="Normal 12 10 6 2 7" xfId="3968" xr:uid="{00000000-0005-0000-0000-0000040E0000}"/>
    <cellStyle name="Normal 12 10 6 2 8" xfId="3969" xr:uid="{00000000-0005-0000-0000-0000050E0000}"/>
    <cellStyle name="Normal 12 10 6 3" xfId="3970" xr:uid="{00000000-0005-0000-0000-0000060E0000}"/>
    <cellStyle name="Normal 12 10 6 3 2" xfId="3971" xr:uid="{00000000-0005-0000-0000-0000070E0000}"/>
    <cellStyle name="Normal 12 10 6 3 2 2" xfId="3972" xr:uid="{00000000-0005-0000-0000-0000080E0000}"/>
    <cellStyle name="Normal 12 10 6 3 2 3" xfId="3973" xr:uid="{00000000-0005-0000-0000-0000090E0000}"/>
    <cellStyle name="Normal 12 10 6 3 2 4" xfId="3974" xr:uid="{00000000-0005-0000-0000-00000A0E0000}"/>
    <cellStyle name="Normal 12 10 6 3 2 5" xfId="3975" xr:uid="{00000000-0005-0000-0000-00000B0E0000}"/>
    <cellStyle name="Normal 12 10 6 3 3" xfId="3976" xr:uid="{00000000-0005-0000-0000-00000C0E0000}"/>
    <cellStyle name="Normal 12 10 6 3 4" xfId="3977" xr:uid="{00000000-0005-0000-0000-00000D0E0000}"/>
    <cellStyle name="Normal 12 10 6 3 5" xfId="3978" xr:uid="{00000000-0005-0000-0000-00000E0E0000}"/>
    <cellStyle name="Normal 12 10 6 3 6" xfId="3979" xr:uid="{00000000-0005-0000-0000-00000F0E0000}"/>
    <cellStyle name="Normal 12 10 6 3 7" xfId="3980" xr:uid="{00000000-0005-0000-0000-0000100E0000}"/>
    <cellStyle name="Normal 12 10 6 3 8" xfId="3981" xr:uid="{00000000-0005-0000-0000-0000110E0000}"/>
    <cellStyle name="Normal 12 10 6 4" xfId="3982" xr:uid="{00000000-0005-0000-0000-0000120E0000}"/>
    <cellStyle name="Normal 12 10 6 4 2" xfId="3983" xr:uid="{00000000-0005-0000-0000-0000130E0000}"/>
    <cellStyle name="Normal 12 10 6 4 3" xfId="3984" xr:uid="{00000000-0005-0000-0000-0000140E0000}"/>
    <cellStyle name="Normal 12 10 6 4 4" xfId="3985" xr:uid="{00000000-0005-0000-0000-0000150E0000}"/>
    <cellStyle name="Normal 12 10 6 4 5" xfId="3986" xr:uid="{00000000-0005-0000-0000-0000160E0000}"/>
    <cellStyle name="Normal 12 10 6 5" xfId="3987" xr:uid="{00000000-0005-0000-0000-0000170E0000}"/>
    <cellStyle name="Normal 12 10 6 6" xfId="3988" xr:uid="{00000000-0005-0000-0000-0000180E0000}"/>
    <cellStyle name="Normal 12 10 6 7" xfId="3989" xr:uid="{00000000-0005-0000-0000-0000190E0000}"/>
    <cellStyle name="Normal 12 10 6 8" xfId="3990" xr:uid="{00000000-0005-0000-0000-00001A0E0000}"/>
    <cellStyle name="Normal 12 10 6 9" xfId="3991" xr:uid="{00000000-0005-0000-0000-00001B0E0000}"/>
    <cellStyle name="Normal 12 10 7" xfId="3992" xr:uid="{00000000-0005-0000-0000-00001C0E0000}"/>
    <cellStyle name="Normal 12 10 7 2" xfId="3993" xr:uid="{00000000-0005-0000-0000-00001D0E0000}"/>
    <cellStyle name="Normal 12 10 7 2 2" xfId="3994" xr:uid="{00000000-0005-0000-0000-00001E0E0000}"/>
    <cellStyle name="Normal 12 10 7 2 3" xfId="3995" xr:uid="{00000000-0005-0000-0000-00001F0E0000}"/>
    <cellStyle name="Normal 12 10 7 2 4" xfId="3996" xr:uid="{00000000-0005-0000-0000-0000200E0000}"/>
    <cellStyle name="Normal 12 10 7 2 5" xfId="3997" xr:uid="{00000000-0005-0000-0000-0000210E0000}"/>
    <cellStyle name="Normal 12 10 7 3" xfId="3998" xr:uid="{00000000-0005-0000-0000-0000220E0000}"/>
    <cellStyle name="Normal 12 10 7 4" xfId="3999" xr:uid="{00000000-0005-0000-0000-0000230E0000}"/>
    <cellStyle name="Normal 12 10 7 5" xfId="4000" xr:uid="{00000000-0005-0000-0000-0000240E0000}"/>
    <cellStyle name="Normal 12 10 7 6" xfId="4001" xr:uid="{00000000-0005-0000-0000-0000250E0000}"/>
    <cellStyle name="Normal 12 10 7 7" xfId="4002" xr:uid="{00000000-0005-0000-0000-0000260E0000}"/>
    <cellStyle name="Normal 12 10 7 8" xfId="4003" xr:uid="{00000000-0005-0000-0000-0000270E0000}"/>
    <cellStyle name="Normal 12 10 8" xfId="4004" xr:uid="{00000000-0005-0000-0000-0000280E0000}"/>
    <cellStyle name="Normal 12 10 8 2" xfId="4005" xr:uid="{00000000-0005-0000-0000-0000290E0000}"/>
    <cellStyle name="Normal 12 10 8 2 2" xfId="4006" xr:uid="{00000000-0005-0000-0000-00002A0E0000}"/>
    <cellStyle name="Normal 12 10 8 2 3" xfId="4007" xr:uid="{00000000-0005-0000-0000-00002B0E0000}"/>
    <cellStyle name="Normal 12 10 8 2 4" xfId="4008" xr:uid="{00000000-0005-0000-0000-00002C0E0000}"/>
    <cellStyle name="Normal 12 10 8 2 5" xfId="4009" xr:uid="{00000000-0005-0000-0000-00002D0E0000}"/>
    <cellStyle name="Normal 12 10 8 3" xfId="4010" xr:uid="{00000000-0005-0000-0000-00002E0E0000}"/>
    <cellStyle name="Normal 12 10 8 4" xfId="4011" xr:uid="{00000000-0005-0000-0000-00002F0E0000}"/>
    <cellStyle name="Normal 12 10 8 5" xfId="4012" xr:uid="{00000000-0005-0000-0000-0000300E0000}"/>
    <cellStyle name="Normal 12 10 8 6" xfId="4013" xr:uid="{00000000-0005-0000-0000-0000310E0000}"/>
    <cellStyle name="Normal 12 10 8 7" xfId="4014" xr:uid="{00000000-0005-0000-0000-0000320E0000}"/>
    <cellStyle name="Normal 12 10 8 8" xfId="4015" xr:uid="{00000000-0005-0000-0000-0000330E0000}"/>
    <cellStyle name="Normal 12 10 9" xfId="4016" xr:uid="{00000000-0005-0000-0000-0000340E0000}"/>
    <cellStyle name="Normal 12 10 9 2" xfId="4017" xr:uid="{00000000-0005-0000-0000-0000350E0000}"/>
    <cellStyle name="Normal 12 10 9 3" xfId="4018" xr:uid="{00000000-0005-0000-0000-0000360E0000}"/>
    <cellStyle name="Normal 12 10 9 4" xfId="4019" xr:uid="{00000000-0005-0000-0000-0000370E0000}"/>
    <cellStyle name="Normal 12 10 9 5" xfId="4020" xr:uid="{00000000-0005-0000-0000-0000380E0000}"/>
    <cellStyle name="Normal 12 11" xfId="4021" xr:uid="{00000000-0005-0000-0000-0000390E0000}"/>
    <cellStyle name="Normal 12 11 10" xfId="4022" xr:uid="{00000000-0005-0000-0000-00003A0E0000}"/>
    <cellStyle name="Normal 12 11 11" xfId="4023" xr:uid="{00000000-0005-0000-0000-00003B0E0000}"/>
    <cellStyle name="Normal 12 11 12" xfId="4024" xr:uid="{00000000-0005-0000-0000-00003C0E0000}"/>
    <cellStyle name="Normal 12 11 13" xfId="4025" xr:uid="{00000000-0005-0000-0000-00003D0E0000}"/>
    <cellStyle name="Normal 12 11 14" xfId="4026" xr:uid="{00000000-0005-0000-0000-00003E0E0000}"/>
    <cellStyle name="Normal 12 11 15" xfId="4027" xr:uid="{00000000-0005-0000-0000-00003F0E0000}"/>
    <cellStyle name="Normal 12 11 2" xfId="4028" xr:uid="{00000000-0005-0000-0000-0000400E0000}"/>
    <cellStyle name="Normal 12 11 2 10" xfId="4029" xr:uid="{00000000-0005-0000-0000-0000410E0000}"/>
    <cellStyle name="Normal 12 11 2 11" xfId="4030" xr:uid="{00000000-0005-0000-0000-0000420E0000}"/>
    <cellStyle name="Normal 12 11 2 12" xfId="4031" xr:uid="{00000000-0005-0000-0000-0000430E0000}"/>
    <cellStyle name="Normal 12 11 2 13" xfId="4032" xr:uid="{00000000-0005-0000-0000-0000440E0000}"/>
    <cellStyle name="Normal 12 11 2 2" xfId="4033" xr:uid="{00000000-0005-0000-0000-0000450E0000}"/>
    <cellStyle name="Normal 12 11 2 2 10" xfId="4034" xr:uid="{00000000-0005-0000-0000-0000460E0000}"/>
    <cellStyle name="Normal 12 11 2 2 11" xfId="4035" xr:uid="{00000000-0005-0000-0000-0000470E0000}"/>
    <cellStyle name="Normal 12 11 2 2 2" xfId="4036" xr:uid="{00000000-0005-0000-0000-0000480E0000}"/>
    <cellStyle name="Normal 12 11 2 2 2 10" xfId="4037" xr:uid="{00000000-0005-0000-0000-0000490E0000}"/>
    <cellStyle name="Normal 12 11 2 2 2 2" xfId="4038" xr:uid="{00000000-0005-0000-0000-00004A0E0000}"/>
    <cellStyle name="Normal 12 11 2 2 2 2 2" xfId="4039" xr:uid="{00000000-0005-0000-0000-00004B0E0000}"/>
    <cellStyle name="Normal 12 11 2 2 2 2 2 2" xfId="4040" xr:uid="{00000000-0005-0000-0000-00004C0E0000}"/>
    <cellStyle name="Normal 12 11 2 2 2 2 2 3" xfId="4041" xr:uid="{00000000-0005-0000-0000-00004D0E0000}"/>
    <cellStyle name="Normal 12 11 2 2 2 2 2 4" xfId="4042" xr:uid="{00000000-0005-0000-0000-00004E0E0000}"/>
    <cellStyle name="Normal 12 11 2 2 2 2 2 5" xfId="4043" xr:uid="{00000000-0005-0000-0000-00004F0E0000}"/>
    <cellStyle name="Normal 12 11 2 2 2 2 3" xfId="4044" xr:uid="{00000000-0005-0000-0000-0000500E0000}"/>
    <cellStyle name="Normal 12 11 2 2 2 2 4" xfId="4045" xr:uid="{00000000-0005-0000-0000-0000510E0000}"/>
    <cellStyle name="Normal 12 11 2 2 2 2 5" xfId="4046" xr:uid="{00000000-0005-0000-0000-0000520E0000}"/>
    <cellStyle name="Normal 12 11 2 2 2 2 6" xfId="4047" xr:uid="{00000000-0005-0000-0000-0000530E0000}"/>
    <cellStyle name="Normal 12 11 2 2 2 2 7" xfId="4048" xr:uid="{00000000-0005-0000-0000-0000540E0000}"/>
    <cellStyle name="Normal 12 11 2 2 2 2 8" xfId="4049" xr:uid="{00000000-0005-0000-0000-0000550E0000}"/>
    <cellStyle name="Normal 12 11 2 2 2 3" xfId="4050" xr:uid="{00000000-0005-0000-0000-0000560E0000}"/>
    <cellStyle name="Normal 12 11 2 2 2 3 2" xfId="4051" xr:uid="{00000000-0005-0000-0000-0000570E0000}"/>
    <cellStyle name="Normal 12 11 2 2 2 3 2 2" xfId="4052" xr:uid="{00000000-0005-0000-0000-0000580E0000}"/>
    <cellStyle name="Normal 12 11 2 2 2 3 2 3" xfId="4053" xr:uid="{00000000-0005-0000-0000-0000590E0000}"/>
    <cellStyle name="Normal 12 11 2 2 2 3 2 4" xfId="4054" xr:uid="{00000000-0005-0000-0000-00005A0E0000}"/>
    <cellStyle name="Normal 12 11 2 2 2 3 2 5" xfId="4055" xr:uid="{00000000-0005-0000-0000-00005B0E0000}"/>
    <cellStyle name="Normal 12 11 2 2 2 3 3" xfId="4056" xr:uid="{00000000-0005-0000-0000-00005C0E0000}"/>
    <cellStyle name="Normal 12 11 2 2 2 3 4" xfId="4057" xr:uid="{00000000-0005-0000-0000-00005D0E0000}"/>
    <cellStyle name="Normal 12 11 2 2 2 3 5" xfId="4058" xr:uid="{00000000-0005-0000-0000-00005E0E0000}"/>
    <cellStyle name="Normal 12 11 2 2 2 3 6" xfId="4059" xr:uid="{00000000-0005-0000-0000-00005F0E0000}"/>
    <cellStyle name="Normal 12 11 2 2 2 3 7" xfId="4060" xr:uid="{00000000-0005-0000-0000-0000600E0000}"/>
    <cellStyle name="Normal 12 11 2 2 2 3 8" xfId="4061" xr:uid="{00000000-0005-0000-0000-0000610E0000}"/>
    <cellStyle name="Normal 12 11 2 2 2 4" xfId="4062" xr:uid="{00000000-0005-0000-0000-0000620E0000}"/>
    <cellStyle name="Normal 12 11 2 2 2 4 2" xfId="4063" xr:uid="{00000000-0005-0000-0000-0000630E0000}"/>
    <cellStyle name="Normal 12 11 2 2 2 4 3" xfId="4064" xr:uid="{00000000-0005-0000-0000-0000640E0000}"/>
    <cellStyle name="Normal 12 11 2 2 2 4 4" xfId="4065" xr:uid="{00000000-0005-0000-0000-0000650E0000}"/>
    <cellStyle name="Normal 12 11 2 2 2 4 5" xfId="4066" xr:uid="{00000000-0005-0000-0000-0000660E0000}"/>
    <cellStyle name="Normal 12 11 2 2 2 5" xfId="4067" xr:uid="{00000000-0005-0000-0000-0000670E0000}"/>
    <cellStyle name="Normal 12 11 2 2 2 6" xfId="4068" xr:uid="{00000000-0005-0000-0000-0000680E0000}"/>
    <cellStyle name="Normal 12 11 2 2 2 7" xfId="4069" xr:uid="{00000000-0005-0000-0000-0000690E0000}"/>
    <cellStyle name="Normal 12 11 2 2 2 8" xfId="4070" xr:uid="{00000000-0005-0000-0000-00006A0E0000}"/>
    <cellStyle name="Normal 12 11 2 2 2 9" xfId="4071" xr:uid="{00000000-0005-0000-0000-00006B0E0000}"/>
    <cellStyle name="Normal 12 11 2 2 3" xfId="4072" xr:uid="{00000000-0005-0000-0000-00006C0E0000}"/>
    <cellStyle name="Normal 12 11 2 2 3 2" xfId="4073" xr:uid="{00000000-0005-0000-0000-00006D0E0000}"/>
    <cellStyle name="Normal 12 11 2 2 3 2 2" xfId="4074" xr:uid="{00000000-0005-0000-0000-00006E0E0000}"/>
    <cellStyle name="Normal 12 11 2 2 3 2 3" xfId="4075" xr:uid="{00000000-0005-0000-0000-00006F0E0000}"/>
    <cellStyle name="Normal 12 11 2 2 3 2 4" xfId="4076" xr:uid="{00000000-0005-0000-0000-0000700E0000}"/>
    <cellStyle name="Normal 12 11 2 2 3 2 5" xfId="4077" xr:uid="{00000000-0005-0000-0000-0000710E0000}"/>
    <cellStyle name="Normal 12 11 2 2 3 3" xfId="4078" xr:uid="{00000000-0005-0000-0000-0000720E0000}"/>
    <cellStyle name="Normal 12 11 2 2 3 4" xfId="4079" xr:uid="{00000000-0005-0000-0000-0000730E0000}"/>
    <cellStyle name="Normal 12 11 2 2 3 5" xfId="4080" xr:uid="{00000000-0005-0000-0000-0000740E0000}"/>
    <cellStyle name="Normal 12 11 2 2 3 6" xfId="4081" xr:uid="{00000000-0005-0000-0000-0000750E0000}"/>
    <cellStyle name="Normal 12 11 2 2 3 7" xfId="4082" xr:uid="{00000000-0005-0000-0000-0000760E0000}"/>
    <cellStyle name="Normal 12 11 2 2 3 8" xfId="4083" xr:uid="{00000000-0005-0000-0000-0000770E0000}"/>
    <cellStyle name="Normal 12 11 2 2 4" xfId="4084" xr:uid="{00000000-0005-0000-0000-0000780E0000}"/>
    <cellStyle name="Normal 12 11 2 2 4 2" xfId="4085" xr:uid="{00000000-0005-0000-0000-0000790E0000}"/>
    <cellStyle name="Normal 12 11 2 2 4 2 2" xfId="4086" xr:uid="{00000000-0005-0000-0000-00007A0E0000}"/>
    <cellStyle name="Normal 12 11 2 2 4 2 3" xfId="4087" xr:uid="{00000000-0005-0000-0000-00007B0E0000}"/>
    <cellStyle name="Normal 12 11 2 2 4 2 4" xfId="4088" xr:uid="{00000000-0005-0000-0000-00007C0E0000}"/>
    <cellStyle name="Normal 12 11 2 2 4 2 5" xfId="4089" xr:uid="{00000000-0005-0000-0000-00007D0E0000}"/>
    <cellStyle name="Normal 12 11 2 2 4 3" xfId="4090" xr:uid="{00000000-0005-0000-0000-00007E0E0000}"/>
    <cellStyle name="Normal 12 11 2 2 4 4" xfId="4091" xr:uid="{00000000-0005-0000-0000-00007F0E0000}"/>
    <cellStyle name="Normal 12 11 2 2 4 5" xfId="4092" xr:uid="{00000000-0005-0000-0000-0000800E0000}"/>
    <cellStyle name="Normal 12 11 2 2 4 6" xfId="4093" xr:uid="{00000000-0005-0000-0000-0000810E0000}"/>
    <cellStyle name="Normal 12 11 2 2 4 7" xfId="4094" xr:uid="{00000000-0005-0000-0000-0000820E0000}"/>
    <cellStyle name="Normal 12 11 2 2 4 8" xfId="4095" xr:uid="{00000000-0005-0000-0000-0000830E0000}"/>
    <cellStyle name="Normal 12 11 2 2 5" xfId="4096" xr:uid="{00000000-0005-0000-0000-0000840E0000}"/>
    <cellStyle name="Normal 12 11 2 2 5 2" xfId="4097" xr:uid="{00000000-0005-0000-0000-0000850E0000}"/>
    <cellStyle name="Normal 12 11 2 2 5 3" xfId="4098" xr:uid="{00000000-0005-0000-0000-0000860E0000}"/>
    <cellStyle name="Normal 12 11 2 2 5 4" xfId="4099" xr:uid="{00000000-0005-0000-0000-0000870E0000}"/>
    <cellStyle name="Normal 12 11 2 2 5 5" xfId="4100" xr:uid="{00000000-0005-0000-0000-0000880E0000}"/>
    <cellStyle name="Normal 12 11 2 2 6" xfId="4101" xr:uid="{00000000-0005-0000-0000-0000890E0000}"/>
    <cellStyle name="Normal 12 11 2 2 7" xfId="4102" xr:uid="{00000000-0005-0000-0000-00008A0E0000}"/>
    <cellStyle name="Normal 12 11 2 2 8" xfId="4103" xr:uid="{00000000-0005-0000-0000-00008B0E0000}"/>
    <cellStyle name="Normal 12 11 2 2 9" xfId="4104" xr:uid="{00000000-0005-0000-0000-00008C0E0000}"/>
    <cellStyle name="Normal 12 11 2 3" xfId="4105" xr:uid="{00000000-0005-0000-0000-00008D0E0000}"/>
    <cellStyle name="Normal 12 11 2 3 10" xfId="4106" xr:uid="{00000000-0005-0000-0000-00008E0E0000}"/>
    <cellStyle name="Normal 12 11 2 3 11" xfId="4107" xr:uid="{00000000-0005-0000-0000-00008F0E0000}"/>
    <cellStyle name="Normal 12 11 2 3 2" xfId="4108" xr:uid="{00000000-0005-0000-0000-0000900E0000}"/>
    <cellStyle name="Normal 12 11 2 3 2 10" xfId="4109" xr:uid="{00000000-0005-0000-0000-0000910E0000}"/>
    <cellStyle name="Normal 12 11 2 3 2 2" xfId="4110" xr:uid="{00000000-0005-0000-0000-0000920E0000}"/>
    <cellStyle name="Normal 12 11 2 3 2 2 2" xfId="4111" xr:uid="{00000000-0005-0000-0000-0000930E0000}"/>
    <cellStyle name="Normal 12 11 2 3 2 2 2 2" xfId="4112" xr:uid="{00000000-0005-0000-0000-0000940E0000}"/>
    <cellStyle name="Normal 12 11 2 3 2 2 2 3" xfId="4113" xr:uid="{00000000-0005-0000-0000-0000950E0000}"/>
    <cellStyle name="Normal 12 11 2 3 2 2 2 4" xfId="4114" xr:uid="{00000000-0005-0000-0000-0000960E0000}"/>
    <cellStyle name="Normal 12 11 2 3 2 2 2 5" xfId="4115" xr:uid="{00000000-0005-0000-0000-0000970E0000}"/>
    <cellStyle name="Normal 12 11 2 3 2 2 3" xfId="4116" xr:uid="{00000000-0005-0000-0000-0000980E0000}"/>
    <cellStyle name="Normal 12 11 2 3 2 2 4" xfId="4117" xr:uid="{00000000-0005-0000-0000-0000990E0000}"/>
    <cellStyle name="Normal 12 11 2 3 2 2 5" xfId="4118" xr:uid="{00000000-0005-0000-0000-00009A0E0000}"/>
    <cellStyle name="Normal 12 11 2 3 2 2 6" xfId="4119" xr:uid="{00000000-0005-0000-0000-00009B0E0000}"/>
    <cellStyle name="Normal 12 11 2 3 2 2 7" xfId="4120" xr:uid="{00000000-0005-0000-0000-00009C0E0000}"/>
    <cellStyle name="Normal 12 11 2 3 2 2 8" xfId="4121" xr:uid="{00000000-0005-0000-0000-00009D0E0000}"/>
    <cellStyle name="Normal 12 11 2 3 2 3" xfId="4122" xr:uid="{00000000-0005-0000-0000-00009E0E0000}"/>
    <cellStyle name="Normal 12 11 2 3 2 3 2" xfId="4123" xr:uid="{00000000-0005-0000-0000-00009F0E0000}"/>
    <cellStyle name="Normal 12 11 2 3 2 3 2 2" xfId="4124" xr:uid="{00000000-0005-0000-0000-0000A00E0000}"/>
    <cellStyle name="Normal 12 11 2 3 2 3 2 3" xfId="4125" xr:uid="{00000000-0005-0000-0000-0000A10E0000}"/>
    <cellStyle name="Normal 12 11 2 3 2 3 2 4" xfId="4126" xr:uid="{00000000-0005-0000-0000-0000A20E0000}"/>
    <cellStyle name="Normal 12 11 2 3 2 3 2 5" xfId="4127" xr:uid="{00000000-0005-0000-0000-0000A30E0000}"/>
    <cellStyle name="Normal 12 11 2 3 2 3 3" xfId="4128" xr:uid="{00000000-0005-0000-0000-0000A40E0000}"/>
    <cellStyle name="Normal 12 11 2 3 2 3 4" xfId="4129" xr:uid="{00000000-0005-0000-0000-0000A50E0000}"/>
    <cellStyle name="Normal 12 11 2 3 2 3 5" xfId="4130" xr:uid="{00000000-0005-0000-0000-0000A60E0000}"/>
    <cellStyle name="Normal 12 11 2 3 2 3 6" xfId="4131" xr:uid="{00000000-0005-0000-0000-0000A70E0000}"/>
    <cellStyle name="Normal 12 11 2 3 2 3 7" xfId="4132" xr:uid="{00000000-0005-0000-0000-0000A80E0000}"/>
    <cellStyle name="Normal 12 11 2 3 2 3 8" xfId="4133" xr:uid="{00000000-0005-0000-0000-0000A90E0000}"/>
    <cellStyle name="Normal 12 11 2 3 2 4" xfId="4134" xr:uid="{00000000-0005-0000-0000-0000AA0E0000}"/>
    <cellStyle name="Normal 12 11 2 3 2 4 2" xfId="4135" xr:uid="{00000000-0005-0000-0000-0000AB0E0000}"/>
    <cellStyle name="Normal 12 11 2 3 2 4 3" xfId="4136" xr:uid="{00000000-0005-0000-0000-0000AC0E0000}"/>
    <cellStyle name="Normal 12 11 2 3 2 4 4" xfId="4137" xr:uid="{00000000-0005-0000-0000-0000AD0E0000}"/>
    <cellStyle name="Normal 12 11 2 3 2 4 5" xfId="4138" xr:uid="{00000000-0005-0000-0000-0000AE0E0000}"/>
    <cellStyle name="Normal 12 11 2 3 2 5" xfId="4139" xr:uid="{00000000-0005-0000-0000-0000AF0E0000}"/>
    <cellStyle name="Normal 12 11 2 3 2 6" xfId="4140" xr:uid="{00000000-0005-0000-0000-0000B00E0000}"/>
    <cellStyle name="Normal 12 11 2 3 2 7" xfId="4141" xr:uid="{00000000-0005-0000-0000-0000B10E0000}"/>
    <cellStyle name="Normal 12 11 2 3 2 8" xfId="4142" xr:uid="{00000000-0005-0000-0000-0000B20E0000}"/>
    <cellStyle name="Normal 12 11 2 3 2 9" xfId="4143" xr:uid="{00000000-0005-0000-0000-0000B30E0000}"/>
    <cellStyle name="Normal 12 11 2 3 3" xfId="4144" xr:uid="{00000000-0005-0000-0000-0000B40E0000}"/>
    <cellStyle name="Normal 12 11 2 3 3 2" xfId="4145" xr:uid="{00000000-0005-0000-0000-0000B50E0000}"/>
    <cellStyle name="Normal 12 11 2 3 3 2 2" xfId="4146" xr:uid="{00000000-0005-0000-0000-0000B60E0000}"/>
    <cellStyle name="Normal 12 11 2 3 3 2 3" xfId="4147" xr:uid="{00000000-0005-0000-0000-0000B70E0000}"/>
    <cellStyle name="Normal 12 11 2 3 3 2 4" xfId="4148" xr:uid="{00000000-0005-0000-0000-0000B80E0000}"/>
    <cellStyle name="Normal 12 11 2 3 3 2 5" xfId="4149" xr:uid="{00000000-0005-0000-0000-0000B90E0000}"/>
    <cellStyle name="Normal 12 11 2 3 3 3" xfId="4150" xr:uid="{00000000-0005-0000-0000-0000BA0E0000}"/>
    <cellStyle name="Normal 12 11 2 3 3 4" xfId="4151" xr:uid="{00000000-0005-0000-0000-0000BB0E0000}"/>
    <cellStyle name="Normal 12 11 2 3 3 5" xfId="4152" xr:uid="{00000000-0005-0000-0000-0000BC0E0000}"/>
    <cellStyle name="Normal 12 11 2 3 3 6" xfId="4153" xr:uid="{00000000-0005-0000-0000-0000BD0E0000}"/>
    <cellStyle name="Normal 12 11 2 3 3 7" xfId="4154" xr:uid="{00000000-0005-0000-0000-0000BE0E0000}"/>
    <cellStyle name="Normal 12 11 2 3 3 8" xfId="4155" xr:uid="{00000000-0005-0000-0000-0000BF0E0000}"/>
    <cellStyle name="Normal 12 11 2 3 4" xfId="4156" xr:uid="{00000000-0005-0000-0000-0000C00E0000}"/>
    <cellStyle name="Normal 12 11 2 3 4 2" xfId="4157" xr:uid="{00000000-0005-0000-0000-0000C10E0000}"/>
    <cellStyle name="Normal 12 11 2 3 4 2 2" xfId="4158" xr:uid="{00000000-0005-0000-0000-0000C20E0000}"/>
    <cellStyle name="Normal 12 11 2 3 4 2 3" xfId="4159" xr:uid="{00000000-0005-0000-0000-0000C30E0000}"/>
    <cellStyle name="Normal 12 11 2 3 4 2 4" xfId="4160" xr:uid="{00000000-0005-0000-0000-0000C40E0000}"/>
    <cellStyle name="Normal 12 11 2 3 4 2 5" xfId="4161" xr:uid="{00000000-0005-0000-0000-0000C50E0000}"/>
    <cellStyle name="Normal 12 11 2 3 4 3" xfId="4162" xr:uid="{00000000-0005-0000-0000-0000C60E0000}"/>
    <cellStyle name="Normal 12 11 2 3 4 4" xfId="4163" xr:uid="{00000000-0005-0000-0000-0000C70E0000}"/>
    <cellStyle name="Normal 12 11 2 3 4 5" xfId="4164" xr:uid="{00000000-0005-0000-0000-0000C80E0000}"/>
    <cellStyle name="Normal 12 11 2 3 4 6" xfId="4165" xr:uid="{00000000-0005-0000-0000-0000C90E0000}"/>
    <cellStyle name="Normal 12 11 2 3 4 7" xfId="4166" xr:uid="{00000000-0005-0000-0000-0000CA0E0000}"/>
    <cellStyle name="Normal 12 11 2 3 4 8" xfId="4167" xr:uid="{00000000-0005-0000-0000-0000CB0E0000}"/>
    <cellStyle name="Normal 12 11 2 3 5" xfId="4168" xr:uid="{00000000-0005-0000-0000-0000CC0E0000}"/>
    <cellStyle name="Normal 12 11 2 3 5 2" xfId="4169" xr:uid="{00000000-0005-0000-0000-0000CD0E0000}"/>
    <cellStyle name="Normal 12 11 2 3 5 3" xfId="4170" xr:uid="{00000000-0005-0000-0000-0000CE0E0000}"/>
    <cellStyle name="Normal 12 11 2 3 5 4" xfId="4171" xr:uid="{00000000-0005-0000-0000-0000CF0E0000}"/>
    <cellStyle name="Normal 12 11 2 3 5 5" xfId="4172" xr:uid="{00000000-0005-0000-0000-0000D00E0000}"/>
    <cellStyle name="Normal 12 11 2 3 6" xfId="4173" xr:uid="{00000000-0005-0000-0000-0000D10E0000}"/>
    <cellStyle name="Normal 12 11 2 3 7" xfId="4174" xr:uid="{00000000-0005-0000-0000-0000D20E0000}"/>
    <cellStyle name="Normal 12 11 2 3 8" xfId="4175" xr:uid="{00000000-0005-0000-0000-0000D30E0000}"/>
    <cellStyle name="Normal 12 11 2 3 9" xfId="4176" xr:uid="{00000000-0005-0000-0000-0000D40E0000}"/>
    <cellStyle name="Normal 12 11 2 4" xfId="4177" xr:uid="{00000000-0005-0000-0000-0000D50E0000}"/>
    <cellStyle name="Normal 12 11 2 4 10" xfId="4178" xr:uid="{00000000-0005-0000-0000-0000D60E0000}"/>
    <cellStyle name="Normal 12 11 2 4 2" xfId="4179" xr:uid="{00000000-0005-0000-0000-0000D70E0000}"/>
    <cellStyle name="Normal 12 11 2 4 2 2" xfId="4180" xr:uid="{00000000-0005-0000-0000-0000D80E0000}"/>
    <cellStyle name="Normal 12 11 2 4 2 2 2" xfId="4181" xr:uid="{00000000-0005-0000-0000-0000D90E0000}"/>
    <cellStyle name="Normal 12 11 2 4 2 2 3" xfId="4182" xr:uid="{00000000-0005-0000-0000-0000DA0E0000}"/>
    <cellStyle name="Normal 12 11 2 4 2 2 4" xfId="4183" xr:uid="{00000000-0005-0000-0000-0000DB0E0000}"/>
    <cellStyle name="Normal 12 11 2 4 2 2 5" xfId="4184" xr:uid="{00000000-0005-0000-0000-0000DC0E0000}"/>
    <cellStyle name="Normal 12 11 2 4 2 3" xfId="4185" xr:uid="{00000000-0005-0000-0000-0000DD0E0000}"/>
    <cellStyle name="Normal 12 11 2 4 2 4" xfId="4186" xr:uid="{00000000-0005-0000-0000-0000DE0E0000}"/>
    <cellStyle name="Normal 12 11 2 4 2 5" xfId="4187" xr:uid="{00000000-0005-0000-0000-0000DF0E0000}"/>
    <cellStyle name="Normal 12 11 2 4 2 6" xfId="4188" xr:uid="{00000000-0005-0000-0000-0000E00E0000}"/>
    <cellStyle name="Normal 12 11 2 4 2 7" xfId="4189" xr:uid="{00000000-0005-0000-0000-0000E10E0000}"/>
    <cellStyle name="Normal 12 11 2 4 2 8" xfId="4190" xr:uid="{00000000-0005-0000-0000-0000E20E0000}"/>
    <cellStyle name="Normal 12 11 2 4 3" xfId="4191" xr:uid="{00000000-0005-0000-0000-0000E30E0000}"/>
    <cellStyle name="Normal 12 11 2 4 3 2" xfId="4192" xr:uid="{00000000-0005-0000-0000-0000E40E0000}"/>
    <cellStyle name="Normal 12 11 2 4 3 2 2" xfId="4193" xr:uid="{00000000-0005-0000-0000-0000E50E0000}"/>
    <cellStyle name="Normal 12 11 2 4 3 2 3" xfId="4194" xr:uid="{00000000-0005-0000-0000-0000E60E0000}"/>
    <cellStyle name="Normal 12 11 2 4 3 2 4" xfId="4195" xr:uid="{00000000-0005-0000-0000-0000E70E0000}"/>
    <cellStyle name="Normal 12 11 2 4 3 2 5" xfId="4196" xr:uid="{00000000-0005-0000-0000-0000E80E0000}"/>
    <cellStyle name="Normal 12 11 2 4 3 3" xfId="4197" xr:uid="{00000000-0005-0000-0000-0000E90E0000}"/>
    <cellStyle name="Normal 12 11 2 4 3 4" xfId="4198" xr:uid="{00000000-0005-0000-0000-0000EA0E0000}"/>
    <cellStyle name="Normal 12 11 2 4 3 5" xfId="4199" xr:uid="{00000000-0005-0000-0000-0000EB0E0000}"/>
    <cellStyle name="Normal 12 11 2 4 3 6" xfId="4200" xr:uid="{00000000-0005-0000-0000-0000EC0E0000}"/>
    <cellStyle name="Normal 12 11 2 4 3 7" xfId="4201" xr:uid="{00000000-0005-0000-0000-0000ED0E0000}"/>
    <cellStyle name="Normal 12 11 2 4 3 8" xfId="4202" xr:uid="{00000000-0005-0000-0000-0000EE0E0000}"/>
    <cellStyle name="Normal 12 11 2 4 4" xfId="4203" xr:uid="{00000000-0005-0000-0000-0000EF0E0000}"/>
    <cellStyle name="Normal 12 11 2 4 4 2" xfId="4204" xr:uid="{00000000-0005-0000-0000-0000F00E0000}"/>
    <cellStyle name="Normal 12 11 2 4 4 3" xfId="4205" xr:uid="{00000000-0005-0000-0000-0000F10E0000}"/>
    <cellStyle name="Normal 12 11 2 4 4 4" xfId="4206" xr:uid="{00000000-0005-0000-0000-0000F20E0000}"/>
    <cellStyle name="Normal 12 11 2 4 4 5" xfId="4207" xr:uid="{00000000-0005-0000-0000-0000F30E0000}"/>
    <cellStyle name="Normal 12 11 2 4 5" xfId="4208" xr:uid="{00000000-0005-0000-0000-0000F40E0000}"/>
    <cellStyle name="Normal 12 11 2 4 6" xfId="4209" xr:uid="{00000000-0005-0000-0000-0000F50E0000}"/>
    <cellStyle name="Normal 12 11 2 4 7" xfId="4210" xr:uid="{00000000-0005-0000-0000-0000F60E0000}"/>
    <cellStyle name="Normal 12 11 2 4 8" xfId="4211" xr:uid="{00000000-0005-0000-0000-0000F70E0000}"/>
    <cellStyle name="Normal 12 11 2 4 9" xfId="4212" xr:uid="{00000000-0005-0000-0000-0000F80E0000}"/>
    <cellStyle name="Normal 12 11 2 5" xfId="4213" xr:uid="{00000000-0005-0000-0000-0000F90E0000}"/>
    <cellStyle name="Normal 12 11 2 5 2" xfId="4214" xr:uid="{00000000-0005-0000-0000-0000FA0E0000}"/>
    <cellStyle name="Normal 12 11 2 5 2 2" xfId="4215" xr:uid="{00000000-0005-0000-0000-0000FB0E0000}"/>
    <cellStyle name="Normal 12 11 2 5 2 3" xfId="4216" xr:uid="{00000000-0005-0000-0000-0000FC0E0000}"/>
    <cellStyle name="Normal 12 11 2 5 2 4" xfId="4217" xr:uid="{00000000-0005-0000-0000-0000FD0E0000}"/>
    <cellStyle name="Normal 12 11 2 5 2 5" xfId="4218" xr:uid="{00000000-0005-0000-0000-0000FE0E0000}"/>
    <cellStyle name="Normal 12 11 2 5 3" xfId="4219" xr:uid="{00000000-0005-0000-0000-0000FF0E0000}"/>
    <cellStyle name="Normal 12 11 2 5 4" xfId="4220" xr:uid="{00000000-0005-0000-0000-0000000F0000}"/>
    <cellStyle name="Normal 12 11 2 5 5" xfId="4221" xr:uid="{00000000-0005-0000-0000-0000010F0000}"/>
    <cellStyle name="Normal 12 11 2 5 6" xfId="4222" xr:uid="{00000000-0005-0000-0000-0000020F0000}"/>
    <cellStyle name="Normal 12 11 2 5 7" xfId="4223" xr:uid="{00000000-0005-0000-0000-0000030F0000}"/>
    <cellStyle name="Normal 12 11 2 5 8" xfId="4224" xr:uid="{00000000-0005-0000-0000-0000040F0000}"/>
    <cellStyle name="Normal 12 11 2 6" xfId="4225" xr:uid="{00000000-0005-0000-0000-0000050F0000}"/>
    <cellStyle name="Normal 12 11 2 6 2" xfId="4226" xr:uid="{00000000-0005-0000-0000-0000060F0000}"/>
    <cellStyle name="Normal 12 11 2 6 2 2" xfId="4227" xr:uid="{00000000-0005-0000-0000-0000070F0000}"/>
    <cellStyle name="Normal 12 11 2 6 2 3" xfId="4228" xr:uid="{00000000-0005-0000-0000-0000080F0000}"/>
    <cellStyle name="Normal 12 11 2 6 2 4" xfId="4229" xr:uid="{00000000-0005-0000-0000-0000090F0000}"/>
    <cellStyle name="Normal 12 11 2 6 2 5" xfId="4230" xr:uid="{00000000-0005-0000-0000-00000A0F0000}"/>
    <cellStyle name="Normal 12 11 2 6 3" xfId="4231" xr:uid="{00000000-0005-0000-0000-00000B0F0000}"/>
    <cellStyle name="Normal 12 11 2 6 4" xfId="4232" xr:uid="{00000000-0005-0000-0000-00000C0F0000}"/>
    <cellStyle name="Normal 12 11 2 6 5" xfId="4233" xr:uid="{00000000-0005-0000-0000-00000D0F0000}"/>
    <cellStyle name="Normal 12 11 2 6 6" xfId="4234" xr:uid="{00000000-0005-0000-0000-00000E0F0000}"/>
    <cellStyle name="Normal 12 11 2 6 7" xfId="4235" xr:uid="{00000000-0005-0000-0000-00000F0F0000}"/>
    <cellStyle name="Normal 12 11 2 6 8" xfId="4236" xr:uid="{00000000-0005-0000-0000-0000100F0000}"/>
    <cellStyle name="Normal 12 11 2 7" xfId="4237" xr:uid="{00000000-0005-0000-0000-0000110F0000}"/>
    <cellStyle name="Normal 12 11 2 7 2" xfId="4238" xr:uid="{00000000-0005-0000-0000-0000120F0000}"/>
    <cellStyle name="Normal 12 11 2 7 3" xfId="4239" xr:uid="{00000000-0005-0000-0000-0000130F0000}"/>
    <cellStyle name="Normal 12 11 2 7 4" xfId="4240" xr:uid="{00000000-0005-0000-0000-0000140F0000}"/>
    <cellStyle name="Normal 12 11 2 7 5" xfId="4241" xr:uid="{00000000-0005-0000-0000-0000150F0000}"/>
    <cellStyle name="Normal 12 11 2 8" xfId="4242" xr:uid="{00000000-0005-0000-0000-0000160F0000}"/>
    <cellStyle name="Normal 12 11 2 9" xfId="4243" xr:uid="{00000000-0005-0000-0000-0000170F0000}"/>
    <cellStyle name="Normal 12 11 3" xfId="4244" xr:uid="{00000000-0005-0000-0000-0000180F0000}"/>
    <cellStyle name="Normal 12 11 3 10" xfId="4245" xr:uid="{00000000-0005-0000-0000-0000190F0000}"/>
    <cellStyle name="Normal 12 11 3 11" xfId="4246" xr:uid="{00000000-0005-0000-0000-00001A0F0000}"/>
    <cellStyle name="Normal 12 11 3 12" xfId="4247" xr:uid="{00000000-0005-0000-0000-00001B0F0000}"/>
    <cellStyle name="Normal 12 11 3 13" xfId="4248" xr:uid="{00000000-0005-0000-0000-00001C0F0000}"/>
    <cellStyle name="Normal 12 11 3 2" xfId="4249" xr:uid="{00000000-0005-0000-0000-00001D0F0000}"/>
    <cellStyle name="Normal 12 11 3 2 10" xfId="4250" xr:uid="{00000000-0005-0000-0000-00001E0F0000}"/>
    <cellStyle name="Normal 12 11 3 2 11" xfId="4251" xr:uid="{00000000-0005-0000-0000-00001F0F0000}"/>
    <cellStyle name="Normal 12 11 3 2 2" xfId="4252" xr:uid="{00000000-0005-0000-0000-0000200F0000}"/>
    <cellStyle name="Normal 12 11 3 2 2 10" xfId="4253" xr:uid="{00000000-0005-0000-0000-0000210F0000}"/>
    <cellStyle name="Normal 12 11 3 2 2 2" xfId="4254" xr:uid="{00000000-0005-0000-0000-0000220F0000}"/>
    <cellStyle name="Normal 12 11 3 2 2 2 2" xfId="4255" xr:uid="{00000000-0005-0000-0000-0000230F0000}"/>
    <cellStyle name="Normal 12 11 3 2 2 2 2 2" xfId="4256" xr:uid="{00000000-0005-0000-0000-0000240F0000}"/>
    <cellStyle name="Normal 12 11 3 2 2 2 2 3" xfId="4257" xr:uid="{00000000-0005-0000-0000-0000250F0000}"/>
    <cellStyle name="Normal 12 11 3 2 2 2 2 4" xfId="4258" xr:uid="{00000000-0005-0000-0000-0000260F0000}"/>
    <cellStyle name="Normal 12 11 3 2 2 2 2 5" xfId="4259" xr:uid="{00000000-0005-0000-0000-0000270F0000}"/>
    <cellStyle name="Normal 12 11 3 2 2 2 3" xfId="4260" xr:uid="{00000000-0005-0000-0000-0000280F0000}"/>
    <cellStyle name="Normal 12 11 3 2 2 2 4" xfId="4261" xr:uid="{00000000-0005-0000-0000-0000290F0000}"/>
    <cellStyle name="Normal 12 11 3 2 2 2 5" xfId="4262" xr:uid="{00000000-0005-0000-0000-00002A0F0000}"/>
    <cellStyle name="Normal 12 11 3 2 2 2 6" xfId="4263" xr:uid="{00000000-0005-0000-0000-00002B0F0000}"/>
    <cellStyle name="Normal 12 11 3 2 2 2 7" xfId="4264" xr:uid="{00000000-0005-0000-0000-00002C0F0000}"/>
    <cellStyle name="Normal 12 11 3 2 2 2 8" xfId="4265" xr:uid="{00000000-0005-0000-0000-00002D0F0000}"/>
    <cellStyle name="Normal 12 11 3 2 2 3" xfId="4266" xr:uid="{00000000-0005-0000-0000-00002E0F0000}"/>
    <cellStyle name="Normal 12 11 3 2 2 3 2" xfId="4267" xr:uid="{00000000-0005-0000-0000-00002F0F0000}"/>
    <cellStyle name="Normal 12 11 3 2 2 3 2 2" xfId="4268" xr:uid="{00000000-0005-0000-0000-0000300F0000}"/>
    <cellStyle name="Normal 12 11 3 2 2 3 2 3" xfId="4269" xr:uid="{00000000-0005-0000-0000-0000310F0000}"/>
    <cellStyle name="Normal 12 11 3 2 2 3 2 4" xfId="4270" xr:uid="{00000000-0005-0000-0000-0000320F0000}"/>
    <cellStyle name="Normal 12 11 3 2 2 3 2 5" xfId="4271" xr:uid="{00000000-0005-0000-0000-0000330F0000}"/>
    <cellStyle name="Normal 12 11 3 2 2 3 3" xfId="4272" xr:uid="{00000000-0005-0000-0000-0000340F0000}"/>
    <cellStyle name="Normal 12 11 3 2 2 3 4" xfId="4273" xr:uid="{00000000-0005-0000-0000-0000350F0000}"/>
    <cellStyle name="Normal 12 11 3 2 2 3 5" xfId="4274" xr:uid="{00000000-0005-0000-0000-0000360F0000}"/>
    <cellStyle name="Normal 12 11 3 2 2 3 6" xfId="4275" xr:uid="{00000000-0005-0000-0000-0000370F0000}"/>
    <cellStyle name="Normal 12 11 3 2 2 3 7" xfId="4276" xr:uid="{00000000-0005-0000-0000-0000380F0000}"/>
    <cellStyle name="Normal 12 11 3 2 2 3 8" xfId="4277" xr:uid="{00000000-0005-0000-0000-0000390F0000}"/>
    <cellStyle name="Normal 12 11 3 2 2 4" xfId="4278" xr:uid="{00000000-0005-0000-0000-00003A0F0000}"/>
    <cellStyle name="Normal 12 11 3 2 2 4 2" xfId="4279" xr:uid="{00000000-0005-0000-0000-00003B0F0000}"/>
    <cellStyle name="Normal 12 11 3 2 2 4 3" xfId="4280" xr:uid="{00000000-0005-0000-0000-00003C0F0000}"/>
    <cellStyle name="Normal 12 11 3 2 2 4 4" xfId="4281" xr:uid="{00000000-0005-0000-0000-00003D0F0000}"/>
    <cellStyle name="Normal 12 11 3 2 2 4 5" xfId="4282" xr:uid="{00000000-0005-0000-0000-00003E0F0000}"/>
    <cellStyle name="Normal 12 11 3 2 2 5" xfId="4283" xr:uid="{00000000-0005-0000-0000-00003F0F0000}"/>
    <cellStyle name="Normal 12 11 3 2 2 6" xfId="4284" xr:uid="{00000000-0005-0000-0000-0000400F0000}"/>
    <cellStyle name="Normal 12 11 3 2 2 7" xfId="4285" xr:uid="{00000000-0005-0000-0000-0000410F0000}"/>
    <cellStyle name="Normal 12 11 3 2 2 8" xfId="4286" xr:uid="{00000000-0005-0000-0000-0000420F0000}"/>
    <cellStyle name="Normal 12 11 3 2 2 9" xfId="4287" xr:uid="{00000000-0005-0000-0000-0000430F0000}"/>
    <cellStyle name="Normal 12 11 3 2 3" xfId="4288" xr:uid="{00000000-0005-0000-0000-0000440F0000}"/>
    <cellStyle name="Normal 12 11 3 2 3 2" xfId="4289" xr:uid="{00000000-0005-0000-0000-0000450F0000}"/>
    <cellStyle name="Normal 12 11 3 2 3 2 2" xfId="4290" xr:uid="{00000000-0005-0000-0000-0000460F0000}"/>
    <cellStyle name="Normal 12 11 3 2 3 2 3" xfId="4291" xr:uid="{00000000-0005-0000-0000-0000470F0000}"/>
    <cellStyle name="Normal 12 11 3 2 3 2 4" xfId="4292" xr:uid="{00000000-0005-0000-0000-0000480F0000}"/>
    <cellStyle name="Normal 12 11 3 2 3 2 5" xfId="4293" xr:uid="{00000000-0005-0000-0000-0000490F0000}"/>
    <cellStyle name="Normal 12 11 3 2 3 3" xfId="4294" xr:uid="{00000000-0005-0000-0000-00004A0F0000}"/>
    <cellStyle name="Normal 12 11 3 2 3 4" xfId="4295" xr:uid="{00000000-0005-0000-0000-00004B0F0000}"/>
    <cellStyle name="Normal 12 11 3 2 3 5" xfId="4296" xr:uid="{00000000-0005-0000-0000-00004C0F0000}"/>
    <cellStyle name="Normal 12 11 3 2 3 6" xfId="4297" xr:uid="{00000000-0005-0000-0000-00004D0F0000}"/>
    <cellStyle name="Normal 12 11 3 2 3 7" xfId="4298" xr:uid="{00000000-0005-0000-0000-00004E0F0000}"/>
    <cellStyle name="Normal 12 11 3 2 3 8" xfId="4299" xr:uid="{00000000-0005-0000-0000-00004F0F0000}"/>
    <cellStyle name="Normal 12 11 3 2 4" xfId="4300" xr:uid="{00000000-0005-0000-0000-0000500F0000}"/>
    <cellStyle name="Normal 12 11 3 2 4 2" xfId="4301" xr:uid="{00000000-0005-0000-0000-0000510F0000}"/>
    <cellStyle name="Normal 12 11 3 2 4 2 2" xfId="4302" xr:uid="{00000000-0005-0000-0000-0000520F0000}"/>
    <cellStyle name="Normal 12 11 3 2 4 2 3" xfId="4303" xr:uid="{00000000-0005-0000-0000-0000530F0000}"/>
    <cellStyle name="Normal 12 11 3 2 4 2 4" xfId="4304" xr:uid="{00000000-0005-0000-0000-0000540F0000}"/>
    <cellStyle name="Normal 12 11 3 2 4 2 5" xfId="4305" xr:uid="{00000000-0005-0000-0000-0000550F0000}"/>
    <cellStyle name="Normal 12 11 3 2 4 3" xfId="4306" xr:uid="{00000000-0005-0000-0000-0000560F0000}"/>
    <cellStyle name="Normal 12 11 3 2 4 4" xfId="4307" xr:uid="{00000000-0005-0000-0000-0000570F0000}"/>
    <cellStyle name="Normal 12 11 3 2 4 5" xfId="4308" xr:uid="{00000000-0005-0000-0000-0000580F0000}"/>
    <cellStyle name="Normal 12 11 3 2 4 6" xfId="4309" xr:uid="{00000000-0005-0000-0000-0000590F0000}"/>
    <cellStyle name="Normal 12 11 3 2 4 7" xfId="4310" xr:uid="{00000000-0005-0000-0000-00005A0F0000}"/>
    <cellStyle name="Normal 12 11 3 2 4 8" xfId="4311" xr:uid="{00000000-0005-0000-0000-00005B0F0000}"/>
    <cellStyle name="Normal 12 11 3 2 5" xfId="4312" xr:uid="{00000000-0005-0000-0000-00005C0F0000}"/>
    <cellStyle name="Normal 12 11 3 2 5 2" xfId="4313" xr:uid="{00000000-0005-0000-0000-00005D0F0000}"/>
    <cellStyle name="Normal 12 11 3 2 5 3" xfId="4314" xr:uid="{00000000-0005-0000-0000-00005E0F0000}"/>
    <cellStyle name="Normal 12 11 3 2 5 4" xfId="4315" xr:uid="{00000000-0005-0000-0000-00005F0F0000}"/>
    <cellStyle name="Normal 12 11 3 2 5 5" xfId="4316" xr:uid="{00000000-0005-0000-0000-0000600F0000}"/>
    <cellStyle name="Normal 12 11 3 2 6" xfId="4317" xr:uid="{00000000-0005-0000-0000-0000610F0000}"/>
    <cellStyle name="Normal 12 11 3 2 7" xfId="4318" xr:uid="{00000000-0005-0000-0000-0000620F0000}"/>
    <cellStyle name="Normal 12 11 3 2 8" xfId="4319" xr:uid="{00000000-0005-0000-0000-0000630F0000}"/>
    <cellStyle name="Normal 12 11 3 2 9" xfId="4320" xr:uid="{00000000-0005-0000-0000-0000640F0000}"/>
    <cellStyle name="Normal 12 11 3 3" xfId="4321" xr:uid="{00000000-0005-0000-0000-0000650F0000}"/>
    <cellStyle name="Normal 12 11 3 3 10" xfId="4322" xr:uid="{00000000-0005-0000-0000-0000660F0000}"/>
    <cellStyle name="Normal 12 11 3 3 11" xfId="4323" xr:uid="{00000000-0005-0000-0000-0000670F0000}"/>
    <cellStyle name="Normal 12 11 3 3 2" xfId="4324" xr:uid="{00000000-0005-0000-0000-0000680F0000}"/>
    <cellStyle name="Normal 12 11 3 3 2 10" xfId="4325" xr:uid="{00000000-0005-0000-0000-0000690F0000}"/>
    <cellStyle name="Normal 12 11 3 3 2 2" xfId="4326" xr:uid="{00000000-0005-0000-0000-00006A0F0000}"/>
    <cellStyle name="Normal 12 11 3 3 2 2 2" xfId="4327" xr:uid="{00000000-0005-0000-0000-00006B0F0000}"/>
    <cellStyle name="Normal 12 11 3 3 2 2 2 2" xfId="4328" xr:uid="{00000000-0005-0000-0000-00006C0F0000}"/>
    <cellStyle name="Normal 12 11 3 3 2 2 2 3" xfId="4329" xr:uid="{00000000-0005-0000-0000-00006D0F0000}"/>
    <cellStyle name="Normal 12 11 3 3 2 2 2 4" xfId="4330" xr:uid="{00000000-0005-0000-0000-00006E0F0000}"/>
    <cellStyle name="Normal 12 11 3 3 2 2 2 5" xfId="4331" xr:uid="{00000000-0005-0000-0000-00006F0F0000}"/>
    <cellStyle name="Normal 12 11 3 3 2 2 3" xfId="4332" xr:uid="{00000000-0005-0000-0000-0000700F0000}"/>
    <cellStyle name="Normal 12 11 3 3 2 2 4" xfId="4333" xr:uid="{00000000-0005-0000-0000-0000710F0000}"/>
    <cellStyle name="Normal 12 11 3 3 2 2 5" xfId="4334" xr:uid="{00000000-0005-0000-0000-0000720F0000}"/>
    <cellStyle name="Normal 12 11 3 3 2 2 6" xfId="4335" xr:uid="{00000000-0005-0000-0000-0000730F0000}"/>
    <cellStyle name="Normal 12 11 3 3 2 2 7" xfId="4336" xr:uid="{00000000-0005-0000-0000-0000740F0000}"/>
    <cellStyle name="Normal 12 11 3 3 2 2 8" xfId="4337" xr:uid="{00000000-0005-0000-0000-0000750F0000}"/>
    <cellStyle name="Normal 12 11 3 3 2 3" xfId="4338" xr:uid="{00000000-0005-0000-0000-0000760F0000}"/>
    <cellStyle name="Normal 12 11 3 3 2 3 2" xfId="4339" xr:uid="{00000000-0005-0000-0000-0000770F0000}"/>
    <cellStyle name="Normal 12 11 3 3 2 3 2 2" xfId="4340" xr:uid="{00000000-0005-0000-0000-0000780F0000}"/>
    <cellStyle name="Normal 12 11 3 3 2 3 2 3" xfId="4341" xr:uid="{00000000-0005-0000-0000-0000790F0000}"/>
    <cellStyle name="Normal 12 11 3 3 2 3 2 4" xfId="4342" xr:uid="{00000000-0005-0000-0000-00007A0F0000}"/>
    <cellStyle name="Normal 12 11 3 3 2 3 2 5" xfId="4343" xr:uid="{00000000-0005-0000-0000-00007B0F0000}"/>
    <cellStyle name="Normal 12 11 3 3 2 3 3" xfId="4344" xr:uid="{00000000-0005-0000-0000-00007C0F0000}"/>
    <cellStyle name="Normal 12 11 3 3 2 3 4" xfId="4345" xr:uid="{00000000-0005-0000-0000-00007D0F0000}"/>
    <cellStyle name="Normal 12 11 3 3 2 3 5" xfId="4346" xr:uid="{00000000-0005-0000-0000-00007E0F0000}"/>
    <cellStyle name="Normal 12 11 3 3 2 3 6" xfId="4347" xr:uid="{00000000-0005-0000-0000-00007F0F0000}"/>
    <cellStyle name="Normal 12 11 3 3 2 3 7" xfId="4348" xr:uid="{00000000-0005-0000-0000-0000800F0000}"/>
    <cellStyle name="Normal 12 11 3 3 2 3 8" xfId="4349" xr:uid="{00000000-0005-0000-0000-0000810F0000}"/>
    <cellStyle name="Normal 12 11 3 3 2 4" xfId="4350" xr:uid="{00000000-0005-0000-0000-0000820F0000}"/>
    <cellStyle name="Normal 12 11 3 3 2 4 2" xfId="4351" xr:uid="{00000000-0005-0000-0000-0000830F0000}"/>
    <cellStyle name="Normal 12 11 3 3 2 4 3" xfId="4352" xr:uid="{00000000-0005-0000-0000-0000840F0000}"/>
    <cellStyle name="Normal 12 11 3 3 2 4 4" xfId="4353" xr:uid="{00000000-0005-0000-0000-0000850F0000}"/>
    <cellStyle name="Normal 12 11 3 3 2 4 5" xfId="4354" xr:uid="{00000000-0005-0000-0000-0000860F0000}"/>
    <cellStyle name="Normal 12 11 3 3 2 5" xfId="4355" xr:uid="{00000000-0005-0000-0000-0000870F0000}"/>
    <cellStyle name="Normal 12 11 3 3 2 6" xfId="4356" xr:uid="{00000000-0005-0000-0000-0000880F0000}"/>
    <cellStyle name="Normal 12 11 3 3 2 7" xfId="4357" xr:uid="{00000000-0005-0000-0000-0000890F0000}"/>
    <cellStyle name="Normal 12 11 3 3 2 8" xfId="4358" xr:uid="{00000000-0005-0000-0000-00008A0F0000}"/>
    <cellStyle name="Normal 12 11 3 3 2 9" xfId="4359" xr:uid="{00000000-0005-0000-0000-00008B0F0000}"/>
    <cellStyle name="Normal 12 11 3 3 3" xfId="4360" xr:uid="{00000000-0005-0000-0000-00008C0F0000}"/>
    <cellStyle name="Normal 12 11 3 3 3 2" xfId="4361" xr:uid="{00000000-0005-0000-0000-00008D0F0000}"/>
    <cellStyle name="Normal 12 11 3 3 3 2 2" xfId="4362" xr:uid="{00000000-0005-0000-0000-00008E0F0000}"/>
    <cellStyle name="Normal 12 11 3 3 3 2 3" xfId="4363" xr:uid="{00000000-0005-0000-0000-00008F0F0000}"/>
    <cellStyle name="Normal 12 11 3 3 3 2 4" xfId="4364" xr:uid="{00000000-0005-0000-0000-0000900F0000}"/>
    <cellStyle name="Normal 12 11 3 3 3 2 5" xfId="4365" xr:uid="{00000000-0005-0000-0000-0000910F0000}"/>
    <cellStyle name="Normal 12 11 3 3 3 3" xfId="4366" xr:uid="{00000000-0005-0000-0000-0000920F0000}"/>
    <cellStyle name="Normal 12 11 3 3 3 4" xfId="4367" xr:uid="{00000000-0005-0000-0000-0000930F0000}"/>
    <cellStyle name="Normal 12 11 3 3 3 5" xfId="4368" xr:uid="{00000000-0005-0000-0000-0000940F0000}"/>
    <cellStyle name="Normal 12 11 3 3 3 6" xfId="4369" xr:uid="{00000000-0005-0000-0000-0000950F0000}"/>
    <cellStyle name="Normal 12 11 3 3 3 7" xfId="4370" xr:uid="{00000000-0005-0000-0000-0000960F0000}"/>
    <cellStyle name="Normal 12 11 3 3 3 8" xfId="4371" xr:uid="{00000000-0005-0000-0000-0000970F0000}"/>
    <cellStyle name="Normal 12 11 3 3 4" xfId="4372" xr:uid="{00000000-0005-0000-0000-0000980F0000}"/>
    <cellStyle name="Normal 12 11 3 3 4 2" xfId="4373" xr:uid="{00000000-0005-0000-0000-0000990F0000}"/>
    <cellStyle name="Normal 12 11 3 3 4 2 2" xfId="4374" xr:uid="{00000000-0005-0000-0000-00009A0F0000}"/>
    <cellStyle name="Normal 12 11 3 3 4 2 3" xfId="4375" xr:uid="{00000000-0005-0000-0000-00009B0F0000}"/>
    <cellStyle name="Normal 12 11 3 3 4 2 4" xfId="4376" xr:uid="{00000000-0005-0000-0000-00009C0F0000}"/>
    <cellStyle name="Normal 12 11 3 3 4 2 5" xfId="4377" xr:uid="{00000000-0005-0000-0000-00009D0F0000}"/>
    <cellStyle name="Normal 12 11 3 3 4 3" xfId="4378" xr:uid="{00000000-0005-0000-0000-00009E0F0000}"/>
    <cellStyle name="Normal 12 11 3 3 4 4" xfId="4379" xr:uid="{00000000-0005-0000-0000-00009F0F0000}"/>
    <cellStyle name="Normal 12 11 3 3 4 5" xfId="4380" xr:uid="{00000000-0005-0000-0000-0000A00F0000}"/>
    <cellStyle name="Normal 12 11 3 3 4 6" xfId="4381" xr:uid="{00000000-0005-0000-0000-0000A10F0000}"/>
    <cellStyle name="Normal 12 11 3 3 4 7" xfId="4382" xr:uid="{00000000-0005-0000-0000-0000A20F0000}"/>
    <cellStyle name="Normal 12 11 3 3 4 8" xfId="4383" xr:uid="{00000000-0005-0000-0000-0000A30F0000}"/>
    <cellStyle name="Normal 12 11 3 3 5" xfId="4384" xr:uid="{00000000-0005-0000-0000-0000A40F0000}"/>
    <cellStyle name="Normal 12 11 3 3 5 2" xfId="4385" xr:uid="{00000000-0005-0000-0000-0000A50F0000}"/>
    <cellStyle name="Normal 12 11 3 3 5 3" xfId="4386" xr:uid="{00000000-0005-0000-0000-0000A60F0000}"/>
    <cellStyle name="Normal 12 11 3 3 5 4" xfId="4387" xr:uid="{00000000-0005-0000-0000-0000A70F0000}"/>
    <cellStyle name="Normal 12 11 3 3 5 5" xfId="4388" xr:uid="{00000000-0005-0000-0000-0000A80F0000}"/>
    <cellStyle name="Normal 12 11 3 3 6" xfId="4389" xr:uid="{00000000-0005-0000-0000-0000A90F0000}"/>
    <cellStyle name="Normal 12 11 3 3 7" xfId="4390" xr:uid="{00000000-0005-0000-0000-0000AA0F0000}"/>
    <cellStyle name="Normal 12 11 3 3 8" xfId="4391" xr:uid="{00000000-0005-0000-0000-0000AB0F0000}"/>
    <cellStyle name="Normal 12 11 3 3 9" xfId="4392" xr:uid="{00000000-0005-0000-0000-0000AC0F0000}"/>
    <cellStyle name="Normal 12 11 3 4" xfId="4393" xr:uid="{00000000-0005-0000-0000-0000AD0F0000}"/>
    <cellStyle name="Normal 12 11 3 4 10" xfId="4394" xr:uid="{00000000-0005-0000-0000-0000AE0F0000}"/>
    <cellStyle name="Normal 12 11 3 4 2" xfId="4395" xr:uid="{00000000-0005-0000-0000-0000AF0F0000}"/>
    <cellStyle name="Normal 12 11 3 4 2 2" xfId="4396" xr:uid="{00000000-0005-0000-0000-0000B00F0000}"/>
    <cellStyle name="Normal 12 11 3 4 2 2 2" xfId="4397" xr:uid="{00000000-0005-0000-0000-0000B10F0000}"/>
    <cellStyle name="Normal 12 11 3 4 2 2 3" xfId="4398" xr:uid="{00000000-0005-0000-0000-0000B20F0000}"/>
    <cellStyle name="Normal 12 11 3 4 2 2 4" xfId="4399" xr:uid="{00000000-0005-0000-0000-0000B30F0000}"/>
    <cellStyle name="Normal 12 11 3 4 2 2 5" xfId="4400" xr:uid="{00000000-0005-0000-0000-0000B40F0000}"/>
    <cellStyle name="Normal 12 11 3 4 2 3" xfId="4401" xr:uid="{00000000-0005-0000-0000-0000B50F0000}"/>
    <cellStyle name="Normal 12 11 3 4 2 4" xfId="4402" xr:uid="{00000000-0005-0000-0000-0000B60F0000}"/>
    <cellStyle name="Normal 12 11 3 4 2 5" xfId="4403" xr:uid="{00000000-0005-0000-0000-0000B70F0000}"/>
    <cellStyle name="Normal 12 11 3 4 2 6" xfId="4404" xr:uid="{00000000-0005-0000-0000-0000B80F0000}"/>
    <cellStyle name="Normal 12 11 3 4 2 7" xfId="4405" xr:uid="{00000000-0005-0000-0000-0000B90F0000}"/>
    <cellStyle name="Normal 12 11 3 4 2 8" xfId="4406" xr:uid="{00000000-0005-0000-0000-0000BA0F0000}"/>
    <cellStyle name="Normal 12 11 3 4 3" xfId="4407" xr:uid="{00000000-0005-0000-0000-0000BB0F0000}"/>
    <cellStyle name="Normal 12 11 3 4 3 2" xfId="4408" xr:uid="{00000000-0005-0000-0000-0000BC0F0000}"/>
    <cellStyle name="Normal 12 11 3 4 3 2 2" xfId="4409" xr:uid="{00000000-0005-0000-0000-0000BD0F0000}"/>
    <cellStyle name="Normal 12 11 3 4 3 2 3" xfId="4410" xr:uid="{00000000-0005-0000-0000-0000BE0F0000}"/>
    <cellStyle name="Normal 12 11 3 4 3 2 4" xfId="4411" xr:uid="{00000000-0005-0000-0000-0000BF0F0000}"/>
    <cellStyle name="Normal 12 11 3 4 3 2 5" xfId="4412" xr:uid="{00000000-0005-0000-0000-0000C00F0000}"/>
    <cellStyle name="Normal 12 11 3 4 3 3" xfId="4413" xr:uid="{00000000-0005-0000-0000-0000C10F0000}"/>
    <cellStyle name="Normal 12 11 3 4 3 4" xfId="4414" xr:uid="{00000000-0005-0000-0000-0000C20F0000}"/>
    <cellStyle name="Normal 12 11 3 4 3 5" xfId="4415" xr:uid="{00000000-0005-0000-0000-0000C30F0000}"/>
    <cellStyle name="Normal 12 11 3 4 3 6" xfId="4416" xr:uid="{00000000-0005-0000-0000-0000C40F0000}"/>
    <cellStyle name="Normal 12 11 3 4 3 7" xfId="4417" xr:uid="{00000000-0005-0000-0000-0000C50F0000}"/>
    <cellStyle name="Normal 12 11 3 4 3 8" xfId="4418" xr:uid="{00000000-0005-0000-0000-0000C60F0000}"/>
    <cellStyle name="Normal 12 11 3 4 4" xfId="4419" xr:uid="{00000000-0005-0000-0000-0000C70F0000}"/>
    <cellStyle name="Normal 12 11 3 4 4 2" xfId="4420" xr:uid="{00000000-0005-0000-0000-0000C80F0000}"/>
    <cellStyle name="Normal 12 11 3 4 4 3" xfId="4421" xr:uid="{00000000-0005-0000-0000-0000C90F0000}"/>
    <cellStyle name="Normal 12 11 3 4 4 4" xfId="4422" xr:uid="{00000000-0005-0000-0000-0000CA0F0000}"/>
    <cellStyle name="Normal 12 11 3 4 4 5" xfId="4423" xr:uid="{00000000-0005-0000-0000-0000CB0F0000}"/>
    <cellStyle name="Normal 12 11 3 4 5" xfId="4424" xr:uid="{00000000-0005-0000-0000-0000CC0F0000}"/>
    <cellStyle name="Normal 12 11 3 4 6" xfId="4425" xr:uid="{00000000-0005-0000-0000-0000CD0F0000}"/>
    <cellStyle name="Normal 12 11 3 4 7" xfId="4426" xr:uid="{00000000-0005-0000-0000-0000CE0F0000}"/>
    <cellStyle name="Normal 12 11 3 4 8" xfId="4427" xr:uid="{00000000-0005-0000-0000-0000CF0F0000}"/>
    <cellStyle name="Normal 12 11 3 4 9" xfId="4428" xr:uid="{00000000-0005-0000-0000-0000D00F0000}"/>
    <cellStyle name="Normal 12 11 3 5" xfId="4429" xr:uid="{00000000-0005-0000-0000-0000D10F0000}"/>
    <cellStyle name="Normal 12 11 3 5 2" xfId="4430" xr:uid="{00000000-0005-0000-0000-0000D20F0000}"/>
    <cellStyle name="Normal 12 11 3 5 2 2" xfId="4431" xr:uid="{00000000-0005-0000-0000-0000D30F0000}"/>
    <cellStyle name="Normal 12 11 3 5 2 3" xfId="4432" xr:uid="{00000000-0005-0000-0000-0000D40F0000}"/>
    <cellStyle name="Normal 12 11 3 5 2 4" xfId="4433" xr:uid="{00000000-0005-0000-0000-0000D50F0000}"/>
    <cellStyle name="Normal 12 11 3 5 2 5" xfId="4434" xr:uid="{00000000-0005-0000-0000-0000D60F0000}"/>
    <cellStyle name="Normal 12 11 3 5 3" xfId="4435" xr:uid="{00000000-0005-0000-0000-0000D70F0000}"/>
    <cellStyle name="Normal 12 11 3 5 4" xfId="4436" xr:uid="{00000000-0005-0000-0000-0000D80F0000}"/>
    <cellStyle name="Normal 12 11 3 5 5" xfId="4437" xr:uid="{00000000-0005-0000-0000-0000D90F0000}"/>
    <cellStyle name="Normal 12 11 3 5 6" xfId="4438" xr:uid="{00000000-0005-0000-0000-0000DA0F0000}"/>
    <cellStyle name="Normal 12 11 3 5 7" xfId="4439" xr:uid="{00000000-0005-0000-0000-0000DB0F0000}"/>
    <cellStyle name="Normal 12 11 3 5 8" xfId="4440" xr:uid="{00000000-0005-0000-0000-0000DC0F0000}"/>
    <cellStyle name="Normal 12 11 3 6" xfId="4441" xr:uid="{00000000-0005-0000-0000-0000DD0F0000}"/>
    <cellStyle name="Normal 12 11 3 6 2" xfId="4442" xr:uid="{00000000-0005-0000-0000-0000DE0F0000}"/>
    <cellStyle name="Normal 12 11 3 6 2 2" xfId="4443" xr:uid="{00000000-0005-0000-0000-0000DF0F0000}"/>
    <cellStyle name="Normal 12 11 3 6 2 3" xfId="4444" xr:uid="{00000000-0005-0000-0000-0000E00F0000}"/>
    <cellStyle name="Normal 12 11 3 6 2 4" xfId="4445" xr:uid="{00000000-0005-0000-0000-0000E10F0000}"/>
    <cellStyle name="Normal 12 11 3 6 2 5" xfId="4446" xr:uid="{00000000-0005-0000-0000-0000E20F0000}"/>
    <cellStyle name="Normal 12 11 3 6 3" xfId="4447" xr:uid="{00000000-0005-0000-0000-0000E30F0000}"/>
    <cellStyle name="Normal 12 11 3 6 4" xfId="4448" xr:uid="{00000000-0005-0000-0000-0000E40F0000}"/>
    <cellStyle name="Normal 12 11 3 6 5" xfId="4449" xr:uid="{00000000-0005-0000-0000-0000E50F0000}"/>
    <cellStyle name="Normal 12 11 3 6 6" xfId="4450" xr:uid="{00000000-0005-0000-0000-0000E60F0000}"/>
    <cellStyle name="Normal 12 11 3 6 7" xfId="4451" xr:uid="{00000000-0005-0000-0000-0000E70F0000}"/>
    <cellStyle name="Normal 12 11 3 6 8" xfId="4452" xr:uid="{00000000-0005-0000-0000-0000E80F0000}"/>
    <cellStyle name="Normal 12 11 3 7" xfId="4453" xr:uid="{00000000-0005-0000-0000-0000E90F0000}"/>
    <cellStyle name="Normal 12 11 3 7 2" xfId="4454" xr:uid="{00000000-0005-0000-0000-0000EA0F0000}"/>
    <cellStyle name="Normal 12 11 3 7 3" xfId="4455" xr:uid="{00000000-0005-0000-0000-0000EB0F0000}"/>
    <cellStyle name="Normal 12 11 3 7 4" xfId="4456" xr:uid="{00000000-0005-0000-0000-0000EC0F0000}"/>
    <cellStyle name="Normal 12 11 3 7 5" xfId="4457" xr:uid="{00000000-0005-0000-0000-0000ED0F0000}"/>
    <cellStyle name="Normal 12 11 3 8" xfId="4458" xr:uid="{00000000-0005-0000-0000-0000EE0F0000}"/>
    <cellStyle name="Normal 12 11 3 9" xfId="4459" xr:uid="{00000000-0005-0000-0000-0000EF0F0000}"/>
    <cellStyle name="Normal 12 11 4" xfId="4460" xr:uid="{00000000-0005-0000-0000-0000F00F0000}"/>
    <cellStyle name="Normal 12 11 4 10" xfId="4461" xr:uid="{00000000-0005-0000-0000-0000F10F0000}"/>
    <cellStyle name="Normal 12 11 4 11" xfId="4462" xr:uid="{00000000-0005-0000-0000-0000F20F0000}"/>
    <cellStyle name="Normal 12 11 4 2" xfId="4463" xr:uid="{00000000-0005-0000-0000-0000F30F0000}"/>
    <cellStyle name="Normal 12 11 4 2 10" xfId="4464" xr:uid="{00000000-0005-0000-0000-0000F40F0000}"/>
    <cellStyle name="Normal 12 11 4 2 2" xfId="4465" xr:uid="{00000000-0005-0000-0000-0000F50F0000}"/>
    <cellStyle name="Normal 12 11 4 2 2 2" xfId="4466" xr:uid="{00000000-0005-0000-0000-0000F60F0000}"/>
    <cellStyle name="Normal 12 11 4 2 2 2 2" xfId="4467" xr:uid="{00000000-0005-0000-0000-0000F70F0000}"/>
    <cellStyle name="Normal 12 11 4 2 2 2 3" xfId="4468" xr:uid="{00000000-0005-0000-0000-0000F80F0000}"/>
    <cellStyle name="Normal 12 11 4 2 2 2 4" xfId="4469" xr:uid="{00000000-0005-0000-0000-0000F90F0000}"/>
    <cellStyle name="Normal 12 11 4 2 2 2 5" xfId="4470" xr:uid="{00000000-0005-0000-0000-0000FA0F0000}"/>
    <cellStyle name="Normal 12 11 4 2 2 3" xfId="4471" xr:uid="{00000000-0005-0000-0000-0000FB0F0000}"/>
    <cellStyle name="Normal 12 11 4 2 2 4" xfId="4472" xr:uid="{00000000-0005-0000-0000-0000FC0F0000}"/>
    <cellStyle name="Normal 12 11 4 2 2 5" xfId="4473" xr:uid="{00000000-0005-0000-0000-0000FD0F0000}"/>
    <cellStyle name="Normal 12 11 4 2 2 6" xfId="4474" xr:uid="{00000000-0005-0000-0000-0000FE0F0000}"/>
    <cellStyle name="Normal 12 11 4 2 2 7" xfId="4475" xr:uid="{00000000-0005-0000-0000-0000FF0F0000}"/>
    <cellStyle name="Normal 12 11 4 2 2 8" xfId="4476" xr:uid="{00000000-0005-0000-0000-000000100000}"/>
    <cellStyle name="Normal 12 11 4 2 3" xfId="4477" xr:uid="{00000000-0005-0000-0000-000001100000}"/>
    <cellStyle name="Normal 12 11 4 2 3 2" xfId="4478" xr:uid="{00000000-0005-0000-0000-000002100000}"/>
    <cellStyle name="Normal 12 11 4 2 3 2 2" xfId="4479" xr:uid="{00000000-0005-0000-0000-000003100000}"/>
    <cellStyle name="Normal 12 11 4 2 3 2 3" xfId="4480" xr:uid="{00000000-0005-0000-0000-000004100000}"/>
    <cellStyle name="Normal 12 11 4 2 3 2 4" xfId="4481" xr:uid="{00000000-0005-0000-0000-000005100000}"/>
    <cellStyle name="Normal 12 11 4 2 3 2 5" xfId="4482" xr:uid="{00000000-0005-0000-0000-000006100000}"/>
    <cellStyle name="Normal 12 11 4 2 3 3" xfId="4483" xr:uid="{00000000-0005-0000-0000-000007100000}"/>
    <cellStyle name="Normal 12 11 4 2 3 4" xfId="4484" xr:uid="{00000000-0005-0000-0000-000008100000}"/>
    <cellStyle name="Normal 12 11 4 2 3 5" xfId="4485" xr:uid="{00000000-0005-0000-0000-000009100000}"/>
    <cellStyle name="Normal 12 11 4 2 3 6" xfId="4486" xr:uid="{00000000-0005-0000-0000-00000A100000}"/>
    <cellStyle name="Normal 12 11 4 2 3 7" xfId="4487" xr:uid="{00000000-0005-0000-0000-00000B100000}"/>
    <cellStyle name="Normal 12 11 4 2 3 8" xfId="4488" xr:uid="{00000000-0005-0000-0000-00000C100000}"/>
    <cellStyle name="Normal 12 11 4 2 4" xfId="4489" xr:uid="{00000000-0005-0000-0000-00000D100000}"/>
    <cellStyle name="Normal 12 11 4 2 4 2" xfId="4490" xr:uid="{00000000-0005-0000-0000-00000E100000}"/>
    <cellStyle name="Normal 12 11 4 2 4 3" xfId="4491" xr:uid="{00000000-0005-0000-0000-00000F100000}"/>
    <cellStyle name="Normal 12 11 4 2 4 4" xfId="4492" xr:uid="{00000000-0005-0000-0000-000010100000}"/>
    <cellStyle name="Normal 12 11 4 2 4 5" xfId="4493" xr:uid="{00000000-0005-0000-0000-000011100000}"/>
    <cellStyle name="Normal 12 11 4 2 5" xfId="4494" xr:uid="{00000000-0005-0000-0000-000012100000}"/>
    <cellStyle name="Normal 12 11 4 2 6" xfId="4495" xr:uid="{00000000-0005-0000-0000-000013100000}"/>
    <cellStyle name="Normal 12 11 4 2 7" xfId="4496" xr:uid="{00000000-0005-0000-0000-000014100000}"/>
    <cellStyle name="Normal 12 11 4 2 8" xfId="4497" xr:uid="{00000000-0005-0000-0000-000015100000}"/>
    <cellStyle name="Normal 12 11 4 2 9" xfId="4498" xr:uid="{00000000-0005-0000-0000-000016100000}"/>
    <cellStyle name="Normal 12 11 4 3" xfId="4499" xr:uid="{00000000-0005-0000-0000-000017100000}"/>
    <cellStyle name="Normal 12 11 4 3 2" xfId="4500" xr:uid="{00000000-0005-0000-0000-000018100000}"/>
    <cellStyle name="Normal 12 11 4 3 2 2" xfId="4501" xr:uid="{00000000-0005-0000-0000-000019100000}"/>
    <cellStyle name="Normal 12 11 4 3 2 3" xfId="4502" xr:uid="{00000000-0005-0000-0000-00001A100000}"/>
    <cellStyle name="Normal 12 11 4 3 2 4" xfId="4503" xr:uid="{00000000-0005-0000-0000-00001B100000}"/>
    <cellStyle name="Normal 12 11 4 3 2 5" xfId="4504" xr:uid="{00000000-0005-0000-0000-00001C100000}"/>
    <cellStyle name="Normal 12 11 4 3 3" xfId="4505" xr:uid="{00000000-0005-0000-0000-00001D100000}"/>
    <cellStyle name="Normal 12 11 4 3 4" xfId="4506" xr:uid="{00000000-0005-0000-0000-00001E100000}"/>
    <cellStyle name="Normal 12 11 4 3 5" xfId="4507" xr:uid="{00000000-0005-0000-0000-00001F100000}"/>
    <cellStyle name="Normal 12 11 4 3 6" xfId="4508" xr:uid="{00000000-0005-0000-0000-000020100000}"/>
    <cellStyle name="Normal 12 11 4 3 7" xfId="4509" xr:uid="{00000000-0005-0000-0000-000021100000}"/>
    <cellStyle name="Normal 12 11 4 3 8" xfId="4510" xr:uid="{00000000-0005-0000-0000-000022100000}"/>
    <cellStyle name="Normal 12 11 4 4" xfId="4511" xr:uid="{00000000-0005-0000-0000-000023100000}"/>
    <cellStyle name="Normal 12 11 4 4 2" xfId="4512" xr:uid="{00000000-0005-0000-0000-000024100000}"/>
    <cellStyle name="Normal 12 11 4 4 2 2" xfId="4513" xr:uid="{00000000-0005-0000-0000-000025100000}"/>
    <cellStyle name="Normal 12 11 4 4 2 3" xfId="4514" xr:uid="{00000000-0005-0000-0000-000026100000}"/>
    <cellStyle name="Normal 12 11 4 4 2 4" xfId="4515" xr:uid="{00000000-0005-0000-0000-000027100000}"/>
    <cellStyle name="Normal 12 11 4 4 2 5" xfId="4516" xr:uid="{00000000-0005-0000-0000-000028100000}"/>
    <cellStyle name="Normal 12 11 4 4 3" xfId="4517" xr:uid="{00000000-0005-0000-0000-000029100000}"/>
    <cellStyle name="Normal 12 11 4 4 4" xfId="4518" xr:uid="{00000000-0005-0000-0000-00002A100000}"/>
    <cellStyle name="Normal 12 11 4 4 5" xfId="4519" xr:uid="{00000000-0005-0000-0000-00002B100000}"/>
    <cellStyle name="Normal 12 11 4 4 6" xfId="4520" xr:uid="{00000000-0005-0000-0000-00002C100000}"/>
    <cellStyle name="Normal 12 11 4 4 7" xfId="4521" xr:uid="{00000000-0005-0000-0000-00002D100000}"/>
    <cellStyle name="Normal 12 11 4 4 8" xfId="4522" xr:uid="{00000000-0005-0000-0000-00002E100000}"/>
    <cellStyle name="Normal 12 11 4 5" xfId="4523" xr:uid="{00000000-0005-0000-0000-00002F100000}"/>
    <cellStyle name="Normal 12 11 4 5 2" xfId="4524" xr:uid="{00000000-0005-0000-0000-000030100000}"/>
    <cellStyle name="Normal 12 11 4 5 3" xfId="4525" xr:uid="{00000000-0005-0000-0000-000031100000}"/>
    <cellStyle name="Normal 12 11 4 5 4" xfId="4526" xr:uid="{00000000-0005-0000-0000-000032100000}"/>
    <cellStyle name="Normal 12 11 4 5 5" xfId="4527" xr:uid="{00000000-0005-0000-0000-000033100000}"/>
    <cellStyle name="Normal 12 11 4 6" xfId="4528" xr:uid="{00000000-0005-0000-0000-000034100000}"/>
    <cellStyle name="Normal 12 11 4 7" xfId="4529" xr:uid="{00000000-0005-0000-0000-000035100000}"/>
    <cellStyle name="Normal 12 11 4 8" xfId="4530" xr:uid="{00000000-0005-0000-0000-000036100000}"/>
    <cellStyle name="Normal 12 11 4 9" xfId="4531" xr:uid="{00000000-0005-0000-0000-000037100000}"/>
    <cellStyle name="Normal 12 11 5" xfId="4532" xr:uid="{00000000-0005-0000-0000-000038100000}"/>
    <cellStyle name="Normal 12 11 5 10" xfId="4533" xr:uid="{00000000-0005-0000-0000-000039100000}"/>
    <cellStyle name="Normal 12 11 5 11" xfId="4534" xr:uid="{00000000-0005-0000-0000-00003A100000}"/>
    <cellStyle name="Normal 12 11 5 2" xfId="4535" xr:uid="{00000000-0005-0000-0000-00003B100000}"/>
    <cellStyle name="Normal 12 11 5 2 10" xfId="4536" xr:uid="{00000000-0005-0000-0000-00003C100000}"/>
    <cellStyle name="Normal 12 11 5 2 2" xfId="4537" xr:uid="{00000000-0005-0000-0000-00003D100000}"/>
    <cellStyle name="Normal 12 11 5 2 2 2" xfId="4538" xr:uid="{00000000-0005-0000-0000-00003E100000}"/>
    <cellStyle name="Normal 12 11 5 2 2 2 2" xfId="4539" xr:uid="{00000000-0005-0000-0000-00003F100000}"/>
    <cellStyle name="Normal 12 11 5 2 2 2 3" xfId="4540" xr:uid="{00000000-0005-0000-0000-000040100000}"/>
    <cellStyle name="Normal 12 11 5 2 2 2 4" xfId="4541" xr:uid="{00000000-0005-0000-0000-000041100000}"/>
    <cellStyle name="Normal 12 11 5 2 2 2 5" xfId="4542" xr:uid="{00000000-0005-0000-0000-000042100000}"/>
    <cellStyle name="Normal 12 11 5 2 2 3" xfId="4543" xr:uid="{00000000-0005-0000-0000-000043100000}"/>
    <cellStyle name="Normal 12 11 5 2 2 4" xfId="4544" xr:uid="{00000000-0005-0000-0000-000044100000}"/>
    <cellStyle name="Normal 12 11 5 2 2 5" xfId="4545" xr:uid="{00000000-0005-0000-0000-000045100000}"/>
    <cellStyle name="Normal 12 11 5 2 2 6" xfId="4546" xr:uid="{00000000-0005-0000-0000-000046100000}"/>
    <cellStyle name="Normal 12 11 5 2 2 7" xfId="4547" xr:uid="{00000000-0005-0000-0000-000047100000}"/>
    <cellStyle name="Normal 12 11 5 2 2 8" xfId="4548" xr:uid="{00000000-0005-0000-0000-000048100000}"/>
    <cellStyle name="Normal 12 11 5 2 3" xfId="4549" xr:uid="{00000000-0005-0000-0000-000049100000}"/>
    <cellStyle name="Normal 12 11 5 2 3 2" xfId="4550" xr:uid="{00000000-0005-0000-0000-00004A100000}"/>
    <cellStyle name="Normal 12 11 5 2 3 2 2" xfId="4551" xr:uid="{00000000-0005-0000-0000-00004B100000}"/>
    <cellStyle name="Normal 12 11 5 2 3 2 3" xfId="4552" xr:uid="{00000000-0005-0000-0000-00004C100000}"/>
    <cellStyle name="Normal 12 11 5 2 3 2 4" xfId="4553" xr:uid="{00000000-0005-0000-0000-00004D100000}"/>
    <cellStyle name="Normal 12 11 5 2 3 2 5" xfId="4554" xr:uid="{00000000-0005-0000-0000-00004E100000}"/>
    <cellStyle name="Normal 12 11 5 2 3 3" xfId="4555" xr:uid="{00000000-0005-0000-0000-00004F100000}"/>
    <cellStyle name="Normal 12 11 5 2 3 4" xfId="4556" xr:uid="{00000000-0005-0000-0000-000050100000}"/>
    <cellStyle name="Normal 12 11 5 2 3 5" xfId="4557" xr:uid="{00000000-0005-0000-0000-000051100000}"/>
    <cellStyle name="Normal 12 11 5 2 3 6" xfId="4558" xr:uid="{00000000-0005-0000-0000-000052100000}"/>
    <cellStyle name="Normal 12 11 5 2 3 7" xfId="4559" xr:uid="{00000000-0005-0000-0000-000053100000}"/>
    <cellStyle name="Normal 12 11 5 2 3 8" xfId="4560" xr:uid="{00000000-0005-0000-0000-000054100000}"/>
    <cellStyle name="Normal 12 11 5 2 4" xfId="4561" xr:uid="{00000000-0005-0000-0000-000055100000}"/>
    <cellStyle name="Normal 12 11 5 2 4 2" xfId="4562" xr:uid="{00000000-0005-0000-0000-000056100000}"/>
    <cellStyle name="Normal 12 11 5 2 4 3" xfId="4563" xr:uid="{00000000-0005-0000-0000-000057100000}"/>
    <cellStyle name="Normal 12 11 5 2 4 4" xfId="4564" xr:uid="{00000000-0005-0000-0000-000058100000}"/>
    <cellStyle name="Normal 12 11 5 2 4 5" xfId="4565" xr:uid="{00000000-0005-0000-0000-000059100000}"/>
    <cellStyle name="Normal 12 11 5 2 5" xfId="4566" xr:uid="{00000000-0005-0000-0000-00005A100000}"/>
    <cellStyle name="Normal 12 11 5 2 6" xfId="4567" xr:uid="{00000000-0005-0000-0000-00005B100000}"/>
    <cellStyle name="Normal 12 11 5 2 7" xfId="4568" xr:uid="{00000000-0005-0000-0000-00005C100000}"/>
    <cellStyle name="Normal 12 11 5 2 8" xfId="4569" xr:uid="{00000000-0005-0000-0000-00005D100000}"/>
    <cellStyle name="Normal 12 11 5 2 9" xfId="4570" xr:uid="{00000000-0005-0000-0000-00005E100000}"/>
    <cellStyle name="Normal 12 11 5 3" xfId="4571" xr:uid="{00000000-0005-0000-0000-00005F100000}"/>
    <cellStyle name="Normal 12 11 5 3 2" xfId="4572" xr:uid="{00000000-0005-0000-0000-000060100000}"/>
    <cellStyle name="Normal 12 11 5 3 2 2" xfId="4573" xr:uid="{00000000-0005-0000-0000-000061100000}"/>
    <cellStyle name="Normal 12 11 5 3 2 3" xfId="4574" xr:uid="{00000000-0005-0000-0000-000062100000}"/>
    <cellStyle name="Normal 12 11 5 3 2 4" xfId="4575" xr:uid="{00000000-0005-0000-0000-000063100000}"/>
    <cellStyle name="Normal 12 11 5 3 2 5" xfId="4576" xr:uid="{00000000-0005-0000-0000-000064100000}"/>
    <cellStyle name="Normal 12 11 5 3 3" xfId="4577" xr:uid="{00000000-0005-0000-0000-000065100000}"/>
    <cellStyle name="Normal 12 11 5 3 4" xfId="4578" xr:uid="{00000000-0005-0000-0000-000066100000}"/>
    <cellStyle name="Normal 12 11 5 3 5" xfId="4579" xr:uid="{00000000-0005-0000-0000-000067100000}"/>
    <cellStyle name="Normal 12 11 5 3 6" xfId="4580" xr:uid="{00000000-0005-0000-0000-000068100000}"/>
    <cellStyle name="Normal 12 11 5 3 7" xfId="4581" xr:uid="{00000000-0005-0000-0000-000069100000}"/>
    <cellStyle name="Normal 12 11 5 3 8" xfId="4582" xr:uid="{00000000-0005-0000-0000-00006A100000}"/>
    <cellStyle name="Normal 12 11 5 4" xfId="4583" xr:uid="{00000000-0005-0000-0000-00006B100000}"/>
    <cellStyle name="Normal 12 11 5 4 2" xfId="4584" xr:uid="{00000000-0005-0000-0000-00006C100000}"/>
    <cellStyle name="Normal 12 11 5 4 2 2" xfId="4585" xr:uid="{00000000-0005-0000-0000-00006D100000}"/>
    <cellStyle name="Normal 12 11 5 4 2 3" xfId="4586" xr:uid="{00000000-0005-0000-0000-00006E100000}"/>
    <cellStyle name="Normal 12 11 5 4 2 4" xfId="4587" xr:uid="{00000000-0005-0000-0000-00006F100000}"/>
    <cellStyle name="Normal 12 11 5 4 2 5" xfId="4588" xr:uid="{00000000-0005-0000-0000-000070100000}"/>
    <cellStyle name="Normal 12 11 5 4 3" xfId="4589" xr:uid="{00000000-0005-0000-0000-000071100000}"/>
    <cellStyle name="Normal 12 11 5 4 4" xfId="4590" xr:uid="{00000000-0005-0000-0000-000072100000}"/>
    <cellStyle name="Normal 12 11 5 4 5" xfId="4591" xr:uid="{00000000-0005-0000-0000-000073100000}"/>
    <cellStyle name="Normal 12 11 5 4 6" xfId="4592" xr:uid="{00000000-0005-0000-0000-000074100000}"/>
    <cellStyle name="Normal 12 11 5 4 7" xfId="4593" xr:uid="{00000000-0005-0000-0000-000075100000}"/>
    <cellStyle name="Normal 12 11 5 4 8" xfId="4594" xr:uid="{00000000-0005-0000-0000-000076100000}"/>
    <cellStyle name="Normal 12 11 5 5" xfId="4595" xr:uid="{00000000-0005-0000-0000-000077100000}"/>
    <cellStyle name="Normal 12 11 5 5 2" xfId="4596" xr:uid="{00000000-0005-0000-0000-000078100000}"/>
    <cellStyle name="Normal 12 11 5 5 3" xfId="4597" xr:uid="{00000000-0005-0000-0000-000079100000}"/>
    <cellStyle name="Normal 12 11 5 5 4" xfId="4598" xr:uid="{00000000-0005-0000-0000-00007A100000}"/>
    <cellStyle name="Normal 12 11 5 5 5" xfId="4599" xr:uid="{00000000-0005-0000-0000-00007B100000}"/>
    <cellStyle name="Normal 12 11 5 6" xfId="4600" xr:uid="{00000000-0005-0000-0000-00007C100000}"/>
    <cellStyle name="Normal 12 11 5 7" xfId="4601" xr:uid="{00000000-0005-0000-0000-00007D100000}"/>
    <cellStyle name="Normal 12 11 5 8" xfId="4602" xr:uid="{00000000-0005-0000-0000-00007E100000}"/>
    <cellStyle name="Normal 12 11 5 9" xfId="4603" xr:uid="{00000000-0005-0000-0000-00007F100000}"/>
    <cellStyle name="Normal 12 11 6" xfId="4604" xr:uid="{00000000-0005-0000-0000-000080100000}"/>
    <cellStyle name="Normal 12 11 6 10" xfId="4605" xr:uid="{00000000-0005-0000-0000-000081100000}"/>
    <cellStyle name="Normal 12 11 6 2" xfId="4606" xr:uid="{00000000-0005-0000-0000-000082100000}"/>
    <cellStyle name="Normal 12 11 6 2 2" xfId="4607" xr:uid="{00000000-0005-0000-0000-000083100000}"/>
    <cellStyle name="Normal 12 11 6 2 2 2" xfId="4608" xr:uid="{00000000-0005-0000-0000-000084100000}"/>
    <cellStyle name="Normal 12 11 6 2 2 3" xfId="4609" xr:uid="{00000000-0005-0000-0000-000085100000}"/>
    <cellStyle name="Normal 12 11 6 2 2 4" xfId="4610" xr:uid="{00000000-0005-0000-0000-000086100000}"/>
    <cellStyle name="Normal 12 11 6 2 2 5" xfId="4611" xr:uid="{00000000-0005-0000-0000-000087100000}"/>
    <cellStyle name="Normal 12 11 6 2 3" xfId="4612" xr:uid="{00000000-0005-0000-0000-000088100000}"/>
    <cellStyle name="Normal 12 11 6 2 4" xfId="4613" xr:uid="{00000000-0005-0000-0000-000089100000}"/>
    <cellStyle name="Normal 12 11 6 2 5" xfId="4614" xr:uid="{00000000-0005-0000-0000-00008A100000}"/>
    <cellStyle name="Normal 12 11 6 2 6" xfId="4615" xr:uid="{00000000-0005-0000-0000-00008B100000}"/>
    <cellStyle name="Normal 12 11 6 2 7" xfId="4616" xr:uid="{00000000-0005-0000-0000-00008C100000}"/>
    <cellStyle name="Normal 12 11 6 2 8" xfId="4617" xr:uid="{00000000-0005-0000-0000-00008D100000}"/>
    <cellStyle name="Normal 12 11 6 3" xfId="4618" xr:uid="{00000000-0005-0000-0000-00008E100000}"/>
    <cellStyle name="Normal 12 11 6 3 2" xfId="4619" xr:uid="{00000000-0005-0000-0000-00008F100000}"/>
    <cellStyle name="Normal 12 11 6 3 2 2" xfId="4620" xr:uid="{00000000-0005-0000-0000-000090100000}"/>
    <cellStyle name="Normal 12 11 6 3 2 3" xfId="4621" xr:uid="{00000000-0005-0000-0000-000091100000}"/>
    <cellStyle name="Normal 12 11 6 3 2 4" xfId="4622" xr:uid="{00000000-0005-0000-0000-000092100000}"/>
    <cellStyle name="Normal 12 11 6 3 2 5" xfId="4623" xr:uid="{00000000-0005-0000-0000-000093100000}"/>
    <cellStyle name="Normal 12 11 6 3 3" xfId="4624" xr:uid="{00000000-0005-0000-0000-000094100000}"/>
    <cellStyle name="Normal 12 11 6 3 4" xfId="4625" xr:uid="{00000000-0005-0000-0000-000095100000}"/>
    <cellStyle name="Normal 12 11 6 3 5" xfId="4626" xr:uid="{00000000-0005-0000-0000-000096100000}"/>
    <cellStyle name="Normal 12 11 6 3 6" xfId="4627" xr:uid="{00000000-0005-0000-0000-000097100000}"/>
    <cellStyle name="Normal 12 11 6 3 7" xfId="4628" xr:uid="{00000000-0005-0000-0000-000098100000}"/>
    <cellStyle name="Normal 12 11 6 3 8" xfId="4629" xr:uid="{00000000-0005-0000-0000-000099100000}"/>
    <cellStyle name="Normal 12 11 6 4" xfId="4630" xr:uid="{00000000-0005-0000-0000-00009A100000}"/>
    <cellStyle name="Normal 12 11 6 4 2" xfId="4631" xr:uid="{00000000-0005-0000-0000-00009B100000}"/>
    <cellStyle name="Normal 12 11 6 4 3" xfId="4632" xr:uid="{00000000-0005-0000-0000-00009C100000}"/>
    <cellStyle name="Normal 12 11 6 4 4" xfId="4633" xr:uid="{00000000-0005-0000-0000-00009D100000}"/>
    <cellStyle name="Normal 12 11 6 4 5" xfId="4634" xr:uid="{00000000-0005-0000-0000-00009E100000}"/>
    <cellStyle name="Normal 12 11 6 5" xfId="4635" xr:uid="{00000000-0005-0000-0000-00009F100000}"/>
    <cellStyle name="Normal 12 11 6 6" xfId="4636" xr:uid="{00000000-0005-0000-0000-0000A0100000}"/>
    <cellStyle name="Normal 12 11 6 7" xfId="4637" xr:uid="{00000000-0005-0000-0000-0000A1100000}"/>
    <cellStyle name="Normal 12 11 6 8" xfId="4638" xr:uid="{00000000-0005-0000-0000-0000A2100000}"/>
    <cellStyle name="Normal 12 11 6 9" xfId="4639" xr:uid="{00000000-0005-0000-0000-0000A3100000}"/>
    <cellStyle name="Normal 12 11 7" xfId="4640" xr:uid="{00000000-0005-0000-0000-0000A4100000}"/>
    <cellStyle name="Normal 12 11 7 2" xfId="4641" xr:uid="{00000000-0005-0000-0000-0000A5100000}"/>
    <cellStyle name="Normal 12 11 7 2 2" xfId="4642" xr:uid="{00000000-0005-0000-0000-0000A6100000}"/>
    <cellStyle name="Normal 12 11 7 2 3" xfId="4643" xr:uid="{00000000-0005-0000-0000-0000A7100000}"/>
    <cellStyle name="Normal 12 11 7 2 4" xfId="4644" xr:uid="{00000000-0005-0000-0000-0000A8100000}"/>
    <cellStyle name="Normal 12 11 7 2 5" xfId="4645" xr:uid="{00000000-0005-0000-0000-0000A9100000}"/>
    <cellStyle name="Normal 12 11 7 3" xfId="4646" xr:uid="{00000000-0005-0000-0000-0000AA100000}"/>
    <cellStyle name="Normal 12 11 7 4" xfId="4647" xr:uid="{00000000-0005-0000-0000-0000AB100000}"/>
    <cellStyle name="Normal 12 11 7 5" xfId="4648" xr:uid="{00000000-0005-0000-0000-0000AC100000}"/>
    <cellStyle name="Normal 12 11 7 6" xfId="4649" xr:uid="{00000000-0005-0000-0000-0000AD100000}"/>
    <cellStyle name="Normal 12 11 7 7" xfId="4650" xr:uid="{00000000-0005-0000-0000-0000AE100000}"/>
    <cellStyle name="Normal 12 11 7 8" xfId="4651" xr:uid="{00000000-0005-0000-0000-0000AF100000}"/>
    <cellStyle name="Normal 12 11 8" xfId="4652" xr:uid="{00000000-0005-0000-0000-0000B0100000}"/>
    <cellStyle name="Normal 12 11 8 2" xfId="4653" xr:uid="{00000000-0005-0000-0000-0000B1100000}"/>
    <cellStyle name="Normal 12 11 8 2 2" xfId="4654" xr:uid="{00000000-0005-0000-0000-0000B2100000}"/>
    <cellStyle name="Normal 12 11 8 2 3" xfId="4655" xr:uid="{00000000-0005-0000-0000-0000B3100000}"/>
    <cellStyle name="Normal 12 11 8 2 4" xfId="4656" xr:uid="{00000000-0005-0000-0000-0000B4100000}"/>
    <cellStyle name="Normal 12 11 8 2 5" xfId="4657" xr:uid="{00000000-0005-0000-0000-0000B5100000}"/>
    <cellStyle name="Normal 12 11 8 3" xfId="4658" xr:uid="{00000000-0005-0000-0000-0000B6100000}"/>
    <cellStyle name="Normal 12 11 8 4" xfId="4659" xr:uid="{00000000-0005-0000-0000-0000B7100000}"/>
    <cellStyle name="Normal 12 11 8 5" xfId="4660" xr:uid="{00000000-0005-0000-0000-0000B8100000}"/>
    <cellStyle name="Normal 12 11 8 6" xfId="4661" xr:uid="{00000000-0005-0000-0000-0000B9100000}"/>
    <cellStyle name="Normal 12 11 8 7" xfId="4662" xr:uid="{00000000-0005-0000-0000-0000BA100000}"/>
    <cellStyle name="Normal 12 11 8 8" xfId="4663" xr:uid="{00000000-0005-0000-0000-0000BB100000}"/>
    <cellStyle name="Normal 12 11 9" xfId="4664" xr:uid="{00000000-0005-0000-0000-0000BC100000}"/>
    <cellStyle name="Normal 12 11 9 2" xfId="4665" xr:uid="{00000000-0005-0000-0000-0000BD100000}"/>
    <cellStyle name="Normal 12 11 9 3" xfId="4666" xr:uid="{00000000-0005-0000-0000-0000BE100000}"/>
    <cellStyle name="Normal 12 11 9 4" xfId="4667" xr:uid="{00000000-0005-0000-0000-0000BF100000}"/>
    <cellStyle name="Normal 12 11 9 5" xfId="4668" xr:uid="{00000000-0005-0000-0000-0000C0100000}"/>
    <cellStyle name="Normal 12 12" xfId="4669" xr:uid="{00000000-0005-0000-0000-0000C1100000}"/>
    <cellStyle name="Normal 12 12 10" xfId="4670" xr:uid="{00000000-0005-0000-0000-0000C2100000}"/>
    <cellStyle name="Normal 12 12 11" xfId="4671" xr:uid="{00000000-0005-0000-0000-0000C3100000}"/>
    <cellStyle name="Normal 12 12 12" xfId="4672" xr:uid="{00000000-0005-0000-0000-0000C4100000}"/>
    <cellStyle name="Normal 12 12 13" xfId="4673" xr:uid="{00000000-0005-0000-0000-0000C5100000}"/>
    <cellStyle name="Normal 12 12 2" xfId="4674" xr:uid="{00000000-0005-0000-0000-0000C6100000}"/>
    <cellStyle name="Normal 12 12 2 10" xfId="4675" xr:uid="{00000000-0005-0000-0000-0000C7100000}"/>
    <cellStyle name="Normal 12 12 2 11" xfId="4676" xr:uid="{00000000-0005-0000-0000-0000C8100000}"/>
    <cellStyle name="Normal 12 12 2 2" xfId="4677" xr:uid="{00000000-0005-0000-0000-0000C9100000}"/>
    <cellStyle name="Normal 12 12 2 2 10" xfId="4678" xr:uid="{00000000-0005-0000-0000-0000CA100000}"/>
    <cellStyle name="Normal 12 12 2 2 2" xfId="4679" xr:uid="{00000000-0005-0000-0000-0000CB100000}"/>
    <cellStyle name="Normal 12 12 2 2 2 2" xfId="4680" xr:uid="{00000000-0005-0000-0000-0000CC100000}"/>
    <cellStyle name="Normal 12 12 2 2 2 2 2" xfId="4681" xr:uid="{00000000-0005-0000-0000-0000CD100000}"/>
    <cellStyle name="Normal 12 12 2 2 2 2 3" xfId="4682" xr:uid="{00000000-0005-0000-0000-0000CE100000}"/>
    <cellStyle name="Normal 12 12 2 2 2 2 4" xfId="4683" xr:uid="{00000000-0005-0000-0000-0000CF100000}"/>
    <cellStyle name="Normal 12 12 2 2 2 2 5" xfId="4684" xr:uid="{00000000-0005-0000-0000-0000D0100000}"/>
    <cellStyle name="Normal 12 12 2 2 2 3" xfId="4685" xr:uid="{00000000-0005-0000-0000-0000D1100000}"/>
    <cellStyle name="Normal 12 12 2 2 2 4" xfId="4686" xr:uid="{00000000-0005-0000-0000-0000D2100000}"/>
    <cellStyle name="Normal 12 12 2 2 2 5" xfId="4687" xr:uid="{00000000-0005-0000-0000-0000D3100000}"/>
    <cellStyle name="Normal 12 12 2 2 2 6" xfId="4688" xr:uid="{00000000-0005-0000-0000-0000D4100000}"/>
    <cellStyle name="Normal 12 12 2 2 2 7" xfId="4689" xr:uid="{00000000-0005-0000-0000-0000D5100000}"/>
    <cellStyle name="Normal 12 12 2 2 2 8" xfId="4690" xr:uid="{00000000-0005-0000-0000-0000D6100000}"/>
    <cellStyle name="Normal 12 12 2 2 3" xfId="4691" xr:uid="{00000000-0005-0000-0000-0000D7100000}"/>
    <cellStyle name="Normal 12 12 2 2 3 2" xfId="4692" xr:uid="{00000000-0005-0000-0000-0000D8100000}"/>
    <cellStyle name="Normal 12 12 2 2 3 2 2" xfId="4693" xr:uid="{00000000-0005-0000-0000-0000D9100000}"/>
    <cellStyle name="Normal 12 12 2 2 3 2 3" xfId="4694" xr:uid="{00000000-0005-0000-0000-0000DA100000}"/>
    <cellStyle name="Normal 12 12 2 2 3 2 4" xfId="4695" xr:uid="{00000000-0005-0000-0000-0000DB100000}"/>
    <cellStyle name="Normal 12 12 2 2 3 2 5" xfId="4696" xr:uid="{00000000-0005-0000-0000-0000DC100000}"/>
    <cellStyle name="Normal 12 12 2 2 3 3" xfId="4697" xr:uid="{00000000-0005-0000-0000-0000DD100000}"/>
    <cellStyle name="Normal 12 12 2 2 3 4" xfId="4698" xr:uid="{00000000-0005-0000-0000-0000DE100000}"/>
    <cellStyle name="Normal 12 12 2 2 3 5" xfId="4699" xr:uid="{00000000-0005-0000-0000-0000DF100000}"/>
    <cellStyle name="Normal 12 12 2 2 3 6" xfId="4700" xr:uid="{00000000-0005-0000-0000-0000E0100000}"/>
    <cellStyle name="Normal 12 12 2 2 3 7" xfId="4701" xr:uid="{00000000-0005-0000-0000-0000E1100000}"/>
    <cellStyle name="Normal 12 12 2 2 3 8" xfId="4702" xr:uid="{00000000-0005-0000-0000-0000E2100000}"/>
    <cellStyle name="Normal 12 12 2 2 4" xfId="4703" xr:uid="{00000000-0005-0000-0000-0000E3100000}"/>
    <cellStyle name="Normal 12 12 2 2 4 2" xfId="4704" xr:uid="{00000000-0005-0000-0000-0000E4100000}"/>
    <cellStyle name="Normal 12 12 2 2 4 3" xfId="4705" xr:uid="{00000000-0005-0000-0000-0000E5100000}"/>
    <cellStyle name="Normal 12 12 2 2 4 4" xfId="4706" xr:uid="{00000000-0005-0000-0000-0000E6100000}"/>
    <cellStyle name="Normal 12 12 2 2 4 5" xfId="4707" xr:uid="{00000000-0005-0000-0000-0000E7100000}"/>
    <cellStyle name="Normal 12 12 2 2 5" xfId="4708" xr:uid="{00000000-0005-0000-0000-0000E8100000}"/>
    <cellStyle name="Normal 12 12 2 2 6" xfId="4709" xr:uid="{00000000-0005-0000-0000-0000E9100000}"/>
    <cellStyle name="Normal 12 12 2 2 7" xfId="4710" xr:uid="{00000000-0005-0000-0000-0000EA100000}"/>
    <cellStyle name="Normal 12 12 2 2 8" xfId="4711" xr:uid="{00000000-0005-0000-0000-0000EB100000}"/>
    <cellStyle name="Normal 12 12 2 2 9" xfId="4712" xr:uid="{00000000-0005-0000-0000-0000EC100000}"/>
    <cellStyle name="Normal 12 12 2 3" xfId="4713" xr:uid="{00000000-0005-0000-0000-0000ED100000}"/>
    <cellStyle name="Normal 12 12 2 3 2" xfId="4714" xr:uid="{00000000-0005-0000-0000-0000EE100000}"/>
    <cellStyle name="Normal 12 12 2 3 2 2" xfId="4715" xr:uid="{00000000-0005-0000-0000-0000EF100000}"/>
    <cellStyle name="Normal 12 12 2 3 2 3" xfId="4716" xr:uid="{00000000-0005-0000-0000-0000F0100000}"/>
    <cellStyle name="Normal 12 12 2 3 2 4" xfId="4717" xr:uid="{00000000-0005-0000-0000-0000F1100000}"/>
    <cellStyle name="Normal 12 12 2 3 2 5" xfId="4718" xr:uid="{00000000-0005-0000-0000-0000F2100000}"/>
    <cellStyle name="Normal 12 12 2 3 3" xfId="4719" xr:uid="{00000000-0005-0000-0000-0000F3100000}"/>
    <cellStyle name="Normal 12 12 2 3 4" xfId="4720" xr:uid="{00000000-0005-0000-0000-0000F4100000}"/>
    <cellStyle name="Normal 12 12 2 3 5" xfId="4721" xr:uid="{00000000-0005-0000-0000-0000F5100000}"/>
    <cellStyle name="Normal 12 12 2 3 6" xfId="4722" xr:uid="{00000000-0005-0000-0000-0000F6100000}"/>
    <cellStyle name="Normal 12 12 2 3 7" xfId="4723" xr:uid="{00000000-0005-0000-0000-0000F7100000}"/>
    <cellStyle name="Normal 12 12 2 3 8" xfId="4724" xr:uid="{00000000-0005-0000-0000-0000F8100000}"/>
    <cellStyle name="Normal 12 12 2 4" xfId="4725" xr:uid="{00000000-0005-0000-0000-0000F9100000}"/>
    <cellStyle name="Normal 12 12 2 4 2" xfId="4726" xr:uid="{00000000-0005-0000-0000-0000FA100000}"/>
    <cellStyle name="Normal 12 12 2 4 2 2" xfId="4727" xr:uid="{00000000-0005-0000-0000-0000FB100000}"/>
    <cellStyle name="Normal 12 12 2 4 2 3" xfId="4728" xr:uid="{00000000-0005-0000-0000-0000FC100000}"/>
    <cellStyle name="Normal 12 12 2 4 2 4" xfId="4729" xr:uid="{00000000-0005-0000-0000-0000FD100000}"/>
    <cellStyle name="Normal 12 12 2 4 2 5" xfId="4730" xr:uid="{00000000-0005-0000-0000-0000FE100000}"/>
    <cellStyle name="Normal 12 12 2 4 3" xfId="4731" xr:uid="{00000000-0005-0000-0000-0000FF100000}"/>
    <cellStyle name="Normal 12 12 2 4 4" xfId="4732" xr:uid="{00000000-0005-0000-0000-000000110000}"/>
    <cellStyle name="Normal 12 12 2 4 5" xfId="4733" xr:uid="{00000000-0005-0000-0000-000001110000}"/>
    <cellStyle name="Normal 12 12 2 4 6" xfId="4734" xr:uid="{00000000-0005-0000-0000-000002110000}"/>
    <cellStyle name="Normal 12 12 2 4 7" xfId="4735" xr:uid="{00000000-0005-0000-0000-000003110000}"/>
    <cellStyle name="Normal 12 12 2 4 8" xfId="4736" xr:uid="{00000000-0005-0000-0000-000004110000}"/>
    <cellStyle name="Normal 12 12 2 5" xfId="4737" xr:uid="{00000000-0005-0000-0000-000005110000}"/>
    <cellStyle name="Normal 12 12 2 5 2" xfId="4738" xr:uid="{00000000-0005-0000-0000-000006110000}"/>
    <cellStyle name="Normal 12 12 2 5 3" xfId="4739" xr:uid="{00000000-0005-0000-0000-000007110000}"/>
    <cellStyle name="Normal 12 12 2 5 4" xfId="4740" xr:uid="{00000000-0005-0000-0000-000008110000}"/>
    <cellStyle name="Normal 12 12 2 5 5" xfId="4741" xr:uid="{00000000-0005-0000-0000-000009110000}"/>
    <cellStyle name="Normal 12 12 2 6" xfId="4742" xr:uid="{00000000-0005-0000-0000-00000A110000}"/>
    <cellStyle name="Normal 12 12 2 7" xfId="4743" xr:uid="{00000000-0005-0000-0000-00000B110000}"/>
    <cellStyle name="Normal 12 12 2 8" xfId="4744" xr:uid="{00000000-0005-0000-0000-00000C110000}"/>
    <cellStyle name="Normal 12 12 2 9" xfId="4745" xr:uid="{00000000-0005-0000-0000-00000D110000}"/>
    <cellStyle name="Normal 12 12 3" xfId="4746" xr:uid="{00000000-0005-0000-0000-00000E110000}"/>
    <cellStyle name="Normal 12 12 3 10" xfId="4747" xr:uid="{00000000-0005-0000-0000-00000F110000}"/>
    <cellStyle name="Normal 12 12 3 11" xfId="4748" xr:uid="{00000000-0005-0000-0000-000010110000}"/>
    <cellStyle name="Normal 12 12 3 2" xfId="4749" xr:uid="{00000000-0005-0000-0000-000011110000}"/>
    <cellStyle name="Normal 12 12 3 2 10" xfId="4750" xr:uid="{00000000-0005-0000-0000-000012110000}"/>
    <cellStyle name="Normal 12 12 3 2 2" xfId="4751" xr:uid="{00000000-0005-0000-0000-000013110000}"/>
    <cellStyle name="Normal 12 12 3 2 2 2" xfId="4752" xr:uid="{00000000-0005-0000-0000-000014110000}"/>
    <cellStyle name="Normal 12 12 3 2 2 2 2" xfId="4753" xr:uid="{00000000-0005-0000-0000-000015110000}"/>
    <cellStyle name="Normal 12 12 3 2 2 2 3" xfId="4754" xr:uid="{00000000-0005-0000-0000-000016110000}"/>
    <cellStyle name="Normal 12 12 3 2 2 2 4" xfId="4755" xr:uid="{00000000-0005-0000-0000-000017110000}"/>
    <cellStyle name="Normal 12 12 3 2 2 2 5" xfId="4756" xr:uid="{00000000-0005-0000-0000-000018110000}"/>
    <cellStyle name="Normal 12 12 3 2 2 3" xfId="4757" xr:uid="{00000000-0005-0000-0000-000019110000}"/>
    <cellStyle name="Normal 12 12 3 2 2 4" xfId="4758" xr:uid="{00000000-0005-0000-0000-00001A110000}"/>
    <cellStyle name="Normal 12 12 3 2 2 5" xfId="4759" xr:uid="{00000000-0005-0000-0000-00001B110000}"/>
    <cellStyle name="Normal 12 12 3 2 2 6" xfId="4760" xr:uid="{00000000-0005-0000-0000-00001C110000}"/>
    <cellStyle name="Normal 12 12 3 2 2 7" xfId="4761" xr:uid="{00000000-0005-0000-0000-00001D110000}"/>
    <cellStyle name="Normal 12 12 3 2 2 8" xfId="4762" xr:uid="{00000000-0005-0000-0000-00001E110000}"/>
    <cellStyle name="Normal 12 12 3 2 3" xfId="4763" xr:uid="{00000000-0005-0000-0000-00001F110000}"/>
    <cellStyle name="Normal 12 12 3 2 3 2" xfId="4764" xr:uid="{00000000-0005-0000-0000-000020110000}"/>
    <cellStyle name="Normal 12 12 3 2 3 2 2" xfId="4765" xr:uid="{00000000-0005-0000-0000-000021110000}"/>
    <cellStyle name="Normal 12 12 3 2 3 2 3" xfId="4766" xr:uid="{00000000-0005-0000-0000-000022110000}"/>
    <cellStyle name="Normal 12 12 3 2 3 2 4" xfId="4767" xr:uid="{00000000-0005-0000-0000-000023110000}"/>
    <cellStyle name="Normal 12 12 3 2 3 2 5" xfId="4768" xr:uid="{00000000-0005-0000-0000-000024110000}"/>
    <cellStyle name="Normal 12 12 3 2 3 3" xfId="4769" xr:uid="{00000000-0005-0000-0000-000025110000}"/>
    <cellStyle name="Normal 12 12 3 2 3 4" xfId="4770" xr:uid="{00000000-0005-0000-0000-000026110000}"/>
    <cellStyle name="Normal 12 12 3 2 3 5" xfId="4771" xr:uid="{00000000-0005-0000-0000-000027110000}"/>
    <cellStyle name="Normal 12 12 3 2 3 6" xfId="4772" xr:uid="{00000000-0005-0000-0000-000028110000}"/>
    <cellStyle name="Normal 12 12 3 2 3 7" xfId="4773" xr:uid="{00000000-0005-0000-0000-000029110000}"/>
    <cellStyle name="Normal 12 12 3 2 3 8" xfId="4774" xr:uid="{00000000-0005-0000-0000-00002A110000}"/>
    <cellStyle name="Normal 12 12 3 2 4" xfId="4775" xr:uid="{00000000-0005-0000-0000-00002B110000}"/>
    <cellStyle name="Normal 12 12 3 2 4 2" xfId="4776" xr:uid="{00000000-0005-0000-0000-00002C110000}"/>
    <cellStyle name="Normal 12 12 3 2 4 3" xfId="4777" xr:uid="{00000000-0005-0000-0000-00002D110000}"/>
    <cellStyle name="Normal 12 12 3 2 4 4" xfId="4778" xr:uid="{00000000-0005-0000-0000-00002E110000}"/>
    <cellStyle name="Normal 12 12 3 2 4 5" xfId="4779" xr:uid="{00000000-0005-0000-0000-00002F110000}"/>
    <cellStyle name="Normal 12 12 3 2 5" xfId="4780" xr:uid="{00000000-0005-0000-0000-000030110000}"/>
    <cellStyle name="Normal 12 12 3 2 6" xfId="4781" xr:uid="{00000000-0005-0000-0000-000031110000}"/>
    <cellStyle name="Normal 12 12 3 2 7" xfId="4782" xr:uid="{00000000-0005-0000-0000-000032110000}"/>
    <cellStyle name="Normal 12 12 3 2 8" xfId="4783" xr:uid="{00000000-0005-0000-0000-000033110000}"/>
    <cellStyle name="Normal 12 12 3 2 9" xfId="4784" xr:uid="{00000000-0005-0000-0000-000034110000}"/>
    <cellStyle name="Normal 12 12 3 3" xfId="4785" xr:uid="{00000000-0005-0000-0000-000035110000}"/>
    <cellStyle name="Normal 12 12 3 3 2" xfId="4786" xr:uid="{00000000-0005-0000-0000-000036110000}"/>
    <cellStyle name="Normal 12 12 3 3 2 2" xfId="4787" xr:uid="{00000000-0005-0000-0000-000037110000}"/>
    <cellStyle name="Normal 12 12 3 3 2 3" xfId="4788" xr:uid="{00000000-0005-0000-0000-000038110000}"/>
    <cellStyle name="Normal 12 12 3 3 2 4" xfId="4789" xr:uid="{00000000-0005-0000-0000-000039110000}"/>
    <cellStyle name="Normal 12 12 3 3 2 5" xfId="4790" xr:uid="{00000000-0005-0000-0000-00003A110000}"/>
    <cellStyle name="Normal 12 12 3 3 3" xfId="4791" xr:uid="{00000000-0005-0000-0000-00003B110000}"/>
    <cellStyle name="Normal 12 12 3 3 4" xfId="4792" xr:uid="{00000000-0005-0000-0000-00003C110000}"/>
    <cellStyle name="Normal 12 12 3 3 5" xfId="4793" xr:uid="{00000000-0005-0000-0000-00003D110000}"/>
    <cellStyle name="Normal 12 12 3 3 6" xfId="4794" xr:uid="{00000000-0005-0000-0000-00003E110000}"/>
    <cellStyle name="Normal 12 12 3 3 7" xfId="4795" xr:uid="{00000000-0005-0000-0000-00003F110000}"/>
    <cellStyle name="Normal 12 12 3 3 8" xfId="4796" xr:uid="{00000000-0005-0000-0000-000040110000}"/>
    <cellStyle name="Normal 12 12 3 4" xfId="4797" xr:uid="{00000000-0005-0000-0000-000041110000}"/>
    <cellStyle name="Normal 12 12 3 4 2" xfId="4798" xr:uid="{00000000-0005-0000-0000-000042110000}"/>
    <cellStyle name="Normal 12 12 3 4 2 2" xfId="4799" xr:uid="{00000000-0005-0000-0000-000043110000}"/>
    <cellStyle name="Normal 12 12 3 4 2 3" xfId="4800" xr:uid="{00000000-0005-0000-0000-000044110000}"/>
    <cellStyle name="Normal 12 12 3 4 2 4" xfId="4801" xr:uid="{00000000-0005-0000-0000-000045110000}"/>
    <cellStyle name="Normal 12 12 3 4 2 5" xfId="4802" xr:uid="{00000000-0005-0000-0000-000046110000}"/>
    <cellStyle name="Normal 12 12 3 4 3" xfId="4803" xr:uid="{00000000-0005-0000-0000-000047110000}"/>
    <cellStyle name="Normal 12 12 3 4 4" xfId="4804" xr:uid="{00000000-0005-0000-0000-000048110000}"/>
    <cellStyle name="Normal 12 12 3 4 5" xfId="4805" xr:uid="{00000000-0005-0000-0000-000049110000}"/>
    <cellStyle name="Normal 12 12 3 4 6" xfId="4806" xr:uid="{00000000-0005-0000-0000-00004A110000}"/>
    <cellStyle name="Normal 12 12 3 4 7" xfId="4807" xr:uid="{00000000-0005-0000-0000-00004B110000}"/>
    <cellStyle name="Normal 12 12 3 4 8" xfId="4808" xr:uid="{00000000-0005-0000-0000-00004C110000}"/>
    <cellStyle name="Normal 12 12 3 5" xfId="4809" xr:uid="{00000000-0005-0000-0000-00004D110000}"/>
    <cellStyle name="Normal 12 12 3 5 2" xfId="4810" xr:uid="{00000000-0005-0000-0000-00004E110000}"/>
    <cellStyle name="Normal 12 12 3 5 3" xfId="4811" xr:uid="{00000000-0005-0000-0000-00004F110000}"/>
    <cellStyle name="Normal 12 12 3 5 4" xfId="4812" xr:uid="{00000000-0005-0000-0000-000050110000}"/>
    <cellStyle name="Normal 12 12 3 5 5" xfId="4813" xr:uid="{00000000-0005-0000-0000-000051110000}"/>
    <cellStyle name="Normal 12 12 3 6" xfId="4814" xr:uid="{00000000-0005-0000-0000-000052110000}"/>
    <cellStyle name="Normal 12 12 3 7" xfId="4815" xr:uid="{00000000-0005-0000-0000-000053110000}"/>
    <cellStyle name="Normal 12 12 3 8" xfId="4816" xr:uid="{00000000-0005-0000-0000-000054110000}"/>
    <cellStyle name="Normal 12 12 3 9" xfId="4817" xr:uid="{00000000-0005-0000-0000-000055110000}"/>
    <cellStyle name="Normal 12 12 4" xfId="4818" xr:uid="{00000000-0005-0000-0000-000056110000}"/>
    <cellStyle name="Normal 12 12 4 10" xfId="4819" xr:uid="{00000000-0005-0000-0000-000057110000}"/>
    <cellStyle name="Normal 12 12 4 2" xfId="4820" xr:uid="{00000000-0005-0000-0000-000058110000}"/>
    <cellStyle name="Normal 12 12 4 2 2" xfId="4821" xr:uid="{00000000-0005-0000-0000-000059110000}"/>
    <cellStyle name="Normal 12 12 4 2 2 2" xfId="4822" xr:uid="{00000000-0005-0000-0000-00005A110000}"/>
    <cellStyle name="Normal 12 12 4 2 2 3" xfId="4823" xr:uid="{00000000-0005-0000-0000-00005B110000}"/>
    <cellStyle name="Normal 12 12 4 2 2 4" xfId="4824" xr:uid="{00000000-0005-0000-0000-00005C110000}"/>
    <cellStyle name="Normal 12 12 4 2 2 5" xfId="4825" xr:uid="{00000000-0005-0000-0000-00005D110000}"/>
    <cellStyle name="Normal 12 12 4 2 3" xfId="4826" xr:uid="{00000000-0005-0000-0000-00005E110000}"/>
    <cellStyle name="Normal 12 12 4 2 4" xfId="4827" xr:uid="{00000000-0005-0000-0000-00005F110000}"/>
    <cellStyle name="Normal 12 12 4 2 5" xfId="4828" xr:uid="{00000000-0005-0000-0000-000060110000}"/>
    <cellStyle name="Normal 12 12 4 2 6" xfId="4829" xr:uid="{00000000-0005-0000-0000-000061110000}"/>
    <cellStyle name="Normal 12 12 4 2 7" xfId="4830" xr:uid="{00000000-0005-0000-0000-000062110000}"/>
    <cellStyle name="Normal 12 12 4 2 8" xfId="4831" xr:uid="{00000000-0005-0000-0000-000063110000}"/>
    <cellStyle name="Normal 12 12 4 3" xfId="4832" xr:uid="{00000000-0005-0000-0000-000064110000}"/>
    <cellStyle name="Normal 12 12 4 3 2" xfId="4833" xr:uid="{00000000-0005-0000-0000-000065110000}"/>
    <cellStyle name="Normal 12 12 4 3 2 2" xfId="4834" xr:uid="{00000000-0005-0000-0000-000066110000}"/>
    <cellStyle name="Normal 12 12 4 3 2 3" xfId="4835" xr:uid="{00000000-0005-0000-0000-000067110000}"/>
    <cellStyle name="Normal 12 12 4 3 2 4" xfId="4836" xr:uid="{00000000-0005-0000-0000-000068110000}"/>
    <cellStyle name="Normal 12 12 4 3 2 5" xfId="4837" xr:uid="{00000000-0005-0000-0000-000069110000}"/>
    <cellStyle name="Normal 12 12 4 3 3" xfId="4838" xr:uid="{00000000-0005-0000-0000-00006A110000}"/>
    <cellStyle name="Normal 12 12 4 3 4" xfId="4839" xr:uid="{00000000-0005-0000-0000-00006B110000}"/>
    <cellStyle name="Normal 12 12 4 3 5" xfId="4840" xr:uid="{00000000-0005-0000-0000-00006C110000}"/>
    <cellStyle name="Normal 12 12 4 3 6" xfId="4841" xr:uid="{00000000-0005-0000-0000-00006D110000}"/>
    <cellStyle name="Normal 12 12 4 3 7" xfId="4842" xr:uid="{00000000-0005-0000-0000-00006E110000}"/>
    <cellStyle name="Normal 12 12 4 3 8" xfId="4843" xr:uid="{00000000-0005-0000-0000-00006F110000}"/>
    <cellStyle name="Normal 12 12 4 4" xfId="4844" xr:uid="{00000000-0005-0000-0000-000070110000}"/>
    <cellStyle name="Normal 12 12 4 4 2" xfId="4845" xr:uid="{00000000-0005-0000-0000-000071110000}"/>
    <cellStyle name="Normal 12 12 4 4 3" xfId="4846" xr:uid="{00000000-0005-0000-0000-000072110000}"/>
    <cellStyle name="Normal 12 12 4 4 4" xfId="4847" xr:uid="{00000000-0005-0000-0000-000073110000}"/>
    <cellStyle name="Normal 12 12 4 4 5" xfId="4848" xr:uid="{00000000-0005-0000-0000-000074110000}"/>
    <cellStyle name="Normal 12 12 4 5" xfId="4849" xr:uid="{00000000-0005-0000-0000-000075110000}"/>
    <cellStyle name="Normal 12 12 4 6" xfId="4850" xr:uid="{00000000-0005-0000-0000-000076110000}"/>
    <cellStyle name="Normal 12 12 4 7" xfId="4851" xr:uid="{00000000-0005-0000-0000-000077110000}"/>
    <cellStyle name="Normal 12 12 4 8" xfId="4852" xr:uid="{00000000-0005-0000-0000-000078110000}"/>
    <cellStyle name="Normal 12 12 4 9" xfId="4853" xr:uid="{00000000-0005-0000-0000-000079110000}"/>
    <cellStyle name="Normal 12 12 5" xfId="4854" xr:uid="{00000000-0005-0000-0000-00007A110000}"/>
    <cellStyle name="Normal 12 12 5 2" xfId="4855" xr:uid="{00000000-0005-0000-0000-00007B110000}"/>
    <cellStyle name="Normal 12 12 5 2 2" xfId="4856" xr:uid="{00000000-0005-0000-0000-00007C110000}"/>
    <cellStyle name="Normal 12 12 5 2 3" xfId="4857" xr:uid="{00000000-0005-0000-0000-00007D110000}"/>
    <cellStyle name="Normal 12 12 5 2 4" xfId="4858" xr:uid="{00000000-0005-0000-0000-00007E110000}"/>
    <cellStyle name="Normal 12 12 5 2 5" xfId="4859" xr:uid="{00000000-0005-0000-0000-00007F110000}"/>
    <cellStyle name="Normal 12 12 5 3" xfId="4860" xr:uid="{00000000-0005-0000-0000-000080110000}"/>
    <cellStyle name="Normal 12 12 5 4" xfId="4861" xr:uid="{00000000-0005-0000-0000-000081110000}"/>
    <cellStyle name="Normal 12 12 5 5" xfId="4862" xr:uid="{00000000-0005-0000-0000-000082110000}"/>
    <cellStyle name="Normal 12 12 5 6" xfId="4863" xr:uid="{00000000-0005-0000-0000-000083110000}"/>
    <cellStyle name="Normal 12 12 5 7" xfId="4864" xr:uid="{00000000-0005-0000-0000-000084110000}"/>
    <cellStyle name="Normal 12 12 5 8" xfId="4865" xr:uid="{00000000-0005-0000-0000-000085110000}"/>
    <cellStyle name="Normal 12 12 6" xfId="4866" xr:uid="{00000000-0005-0000-0000-000086110000}"/>
    <cellStyle name="Normal 12 12 6 2" xfId="4867" xr:uid="{00000000-0005-0000-0000-000087110000}"/>
    <cellStyle name="Normal 12 12 6 2 2" xfId="4868" xr:uid="{00000000-0005-0000-0000-000088110000}"/>
    <cellStyle name="Normal 12 12 6 2 3" xfId="4869" xr:uid="{00000000-0005-0000-0000-000089110000}"/>
    <cellStyle name="Normal 12 12 6 2 4" xfId="4870" xr:uid="{00000000-0005-0000-0000-00008A110000}"/>
    <cellStyle name="Normal 12 12 6 2 5" xfId="4871" xr:uid="{00000000-0005-0000-0000-00008B110000}"/>
    <cellStyle name="Normal 12 12 6 3" xfId="4872" xr:uid="{00000000-0005-0000-0000-00008C110000}"/>
    <cellStyle name="Normal 12 12 6 4" xfId="4873" xr:uid="{00000000-0005-0000-0000-00008D110000}"/>
    <cellStyle name="Normal 12 12 6 5" xfId="4874" xr:uid="{00000000-0005-0000-0000-00008E110000}"/>
    <cellStyle name="Normal 12 12 6 6" xfId="4875" xr:uid="{00000000-0005-0000-0000-00008F110000}"/>
    <cellStyle name="Normal 12 12 6 7" xfId="4876" xr:uid="{00000000-0005-0000-0000-000090110000}"/>
    <cellStyle name="Normal 12 12 6 8" xfId="4877" xr:uid="{00000000-0005-0000-0000-000091110000}"/>
    <cellStyle name="Normal 12 12 7" xfId="4878" xr:uid="{00000000-0005-0000-0000-000092110000}"/>
    <cellStyle name="Normal 12 12 7 2" xfId="4879" xr:uid="{00000000-0005-0000-0000-000093110000}"/>
    <cellStyle name="Normal 12 12 7 3" xfId="4880" xr:uid="{00000000-0005-0000-0000-000094110000}"/>
    <cellStyle name="Normal 12 12 7 4" xfId="4881" xr:uid="{00000000-0005-0000-0000-000095110000}"/>
    <cellStyle name="Normal 12 12 7 5" xfId="4882" xr:uid="{00000000-0005-0000-0000-000096110000}"/>
    <cellStyle name="Normal 12 12 8" xfId="4883" xr:uid="{00000000-0005-0000-0000-000097110000}"/>
    <cellStyle name="Normal 12 12 9" xfId="4884" xr:uid="{00000000-0005-0000-0000-000098110000}"/>
    <cellStyle name="Normal 12 13" xfId="4885" xr:uid="{00000000-0005-0000-0000-000099110000}"/>
    <cellStyle name="Normal 12 13 10" xfId="4886" xr:uid="{00000000-0005-0000-0000-00009A110000}"/>
    <cellStyle name="Normal 12 13 11" xfId="4887" xr:uid="{00000000-0005-0000-0000-00009B110000}"/>
    <cellStyle name="Normal 12 13 12" xfId="4888" xr:uid="{00000000-0005-0000-0000-00009C110000}"/>
    <cellStyle name="Normal 12 13 13" xfId="4889" xr:uid="{00000000-0005-0000-0000-00009D110000}"/>
    <cellStyle name="Normal 12 13 2" xfId="4890" xr:uid="{00000000-0005-0000-0000-00009E110000}"/>
    <cellStyle name="Normal 12 13 2 10" xfId="4891" xr:uid="{00000000-0005-0000-0000-00009F110000}"/>
    <cellStyle name="Normal 12 13 2 11" xfId="4892" xr:uid="{00000000-0005-0000-0000-0000A0110000}"/>
    <cellStyle name="Normal 12 13 2 2" xfId="4893" xr:uid="{00000000-0005-0000-0000-0000A1110000}"/>
    <cellStyle name="Normal 12 13 2 2 10" xfId="4894" xr:uid="{00000000-0005-0000-0000-0000A2110000}"/>
    <cellStyle name="Normal 12 13 2 2 2" xfId="4895" xr:uid="{00000000-0005-0000-0000-0000A3110000}"/>
    <cellStyle name="Normal 12 13 2 2 2 2" xfId="4896" xr:uid="{00000000-0005-0000-0000-0000A4110000}"/>
    <cellStyle name="Normal 12 13 2 2 2 2 2" xfId="4897" xr:uid="{00000000-0005-0000-0000-0000A5110000}"/>
    <cellStyle name="Normal 12 13 2 2 2 2 3" xfId="4898" xr:uid="{00000000-0005-0000-0000-0000A6110000}"/>
    <cellStyle name="Normal 12 13 2 2 2 2 4" xfId="4899" xr:uid="{00000000-0005-0000-0000-0000A7110000}"/>
    <cellStyle name="Normal 12 13 2 2 2 2 5" xfId="4900" xr:uid="{00000000-0005-0000-0000-0000A8110000}"/>
    <cellStyle name="Normal 12 13 2 2 2 3" xfId="4901" xr:uid="{00000000-0005-0000-0000-0000A9110000}"/>
    <cellStyle name="Normal 12 13 2 2 2 4" xfId="4902" xr:uid="{00000000-0005-0000-0000-0000AA110000}"/>
    <cellStyle name="Normal 12 13 2 2 2 5" xfId="4903" xr:uid="{00000000-0005-0000-0000-0000AB110000}"/>
    <cellStyle name="Normal 12 13 2 2 2 6" xfId="4904" xr:uid="{00000000-0005-0000-0000-0000AC110000}"/>
    <cellStyle name="Normal 12 13 2 2 2 7" xfId="4905" xr:uid="{00000000-0005-0000-0000-0000AD110000}"/>
    <cellStyle name="Normal 12 13 2 2 2 8" xfId="4906" xr:uid="{00000000-0005-0000-0000-0000AE110000}"/>
    <cellStyle name="Normal 12 13 2 2 3" xfId="4907" xr:uid="{00000000-0005-0000-0000-0000AF110000}"/>
    <cellStyle name="Normal 12 13 2 2 3 2" xfId="4908" xr:uid="{00000000-0005-0000-0000-0000B0110000}"/>
    <cellStyle name="Normal 12 13 2 2 3 2 2" xfId="4909" xr:uid="{00000000-0005-0000-0000-0000B1110000}"/>
    <cellStyle name="Normal 12 13 2 2 3 2 3" xfId="4910" xr:uid="{00000000-0005-0000-0000-0000B2110000}"/>
    <cellStyle name="Normal 12 13 2 2 3 2 4" xfId="4911" xr:uid="{00000000-0005-0000-0000-0000B3110000}"/>
    <cellStyle name="Normal 12 13 2 2 3 2 5" xfId="4912" xr:uid="{00000000-0005-0000-0000-0000B4110000}"/>
    <cellStyle name="Normal 12 13 2 2 3 3" xfId="4913" xr:uid="{00000000-0005-0000-0000-0000B5110000}"/>
    <cellStyle name="Normal 12 13 2 2 3 4" xfId="4914" xr:uid="{00000000-0005-0000-0000-0000B6110000}"/>
    <cellStyle name="Normal 12 13 2 2 3 5" xfId="4915" xr:uid="{00000000-0005-0000-0000-0000B7110000}"/>
    <cellStyle name="Normal 12 13 2 2 3 6" xfId="4916" xr:uid="{00000000-0005-0000-0000-0000B8110000}"/>
    <cellStyle name="Normal 12 13 2 2 3 7" xfId="4917" xr:uid="{00000000-0005-0000-0000-0000B9110000}"/>
    <cellStyle name="Normal 12 13 2 2 3 8" xfId="4918" xr:uid="{00000000-0005-0000-0000-0000BA110000}"/>
    <cellStyle name="Normal 12 13 2 2 4" xfId="4919" xr:uid="{00000000-0005-0000-0000-0000BB110000}"/>
    <cellStyle name="Normal 12 13 2 2 4 2" xfId="4920" xr:uid="{00000000-0005-0000-0000-0000BC110000}"/>
    <cellStyle name="Normal 12 13 2 2 4 3" xfId="4921" xr:uid="{00000000-0005-0000-0000-0000BD110000}"/>
    <cellStyle name="Normal 12 13 2 2 4 4" xfId="4922" xr:uid="{00000000-0005-0000-0000-0000BE110000}"/>
    <cellStyle name="Normal 12 13 2 2 4 5" xfId="4923" xr:uid="{00000000-0005-0000-0000-0000BF110000}"/>
    <cellStyle name="Normal 12 13 2 2 5" xfId="4924" xr:uid="{00000000-0005-0000-0000-0000C0110000}"/>
    <cellStyle name="Normal 12 13 2 2 6" xfId="4925" xr:uid="{00000000-0005-0000-0000-0000C1110000}"/>
    <cellStyle name="Normal 12 13 2 2 7" xfId="4926" xr:uid="{00000000-0005-0000-0000-0000C2110000}"/>
    <cellStyle name="Normal 12 13 2 2 8" xfId="4927" xr:uid="{00000000-0005-0000-0000-0000C3110000}"/>
    <cellStyle name="Normal 12 13 2 2 9" xfId="4928" xr:uid="{00000000-0005-0000-0000-0000C4110000}"/>
    <cellStyle name="Normal 12 13 2 3" xfId="4929" xr:uid="{00000000-0005-0000-0000-0000C5110000}"/>
    <cellStyle name="Normal 12 13 2 3 2" xfId="4930" xr:uid="{00000000-0005-0000-0000-0000C6110000}"/>
    <cellStyle name="Normal 12 13 2 3 2 2" xfId="4931" xr:uid="{00000000-0005-0000-0000-0000C7110000}"/>
    <cellStyle name="Normal 12 13 2 3 2 3" xfId="4932" xr:uid="{00000000-0005-0000-0000-0000C8110000}"/>
    <cellStyle name="Normal 12 13 2 3 2 4" xfId="4933" xr:uid="{00000000-0005-0000-0000-0000C9110000}"/>
    <cellStyle name="Normal 12 13 2 3 2 5" xfId="4934" xr:uid="{00000000-0005-0000-0000-0000CA110000}"/>
    <cellStyle name="Normal 12 13 2 3 3" xfId="4935" xr:uid="{00000000-0005-0000-0000-0000CB110000}"/>
    <cellStyle name="Normal 12 13 2 3 4" xfId="4936" xr:uid="{00000000-0005-0000-0000-0000CC110000}"/>
    <cellStyle name="Normal 12 13 2 3 5" xfId="4937" xr:uid="{00000000-0005-0000-0000-0000CD110000}"/>
    <cellStyle name="Normal 12 13 2 3 6" xfId="4938" xr:uid="{00000000-0005-0000-0000-0000CE110000}"/>
    <cellStyle name="Normal 12 13 2 3 7" xfId="4939" xr:uid="{00000000-0005-0000-0000-0000CF110000}"/>
    <cellStyle name="Normal 12 13 2 3 8" xfId="4940" xr:uid="{00000000-0005-0000-0000-0000D0110000}"/>
    <cellStyle name="Normal 12 13 2 4" xfId="4941" xr:uid="{00000000-0005-0000-0000-0000D1110000}"/>
    <cellStyle name="Normal 12 13 2 4 2" xfId="4942" xr:uid="{00000000-0005-0000-0000-0000D2110000}"/>
    <cellStyle name="Normal 12 13 2 4 2 2" xfId="4943" xr:uid="{00000000-0005-0000-0000-0000D3110000}"/>
    <cellStyle name="Normal 12 13 2 4 2 3" xfId="4944" xr:uid="{00000000-0005-0000-0000-0000D4110000}"/>
    <cellStyle name="Normal 12 13 2 4 2 4" xfId="4945" xr:uid="{00000000-0005-0000-0000-0000D5110000}"/>
    <cellStyle name="Normal 12 13 2 4 2 5" xfId="4946" xr:uid="{00000000-0005-0000-0000-0000D6110000}"/>
    <cellStyle name="Normal 12 13 2 4 3" xfId="4947" xr:uid="{00000000-0005-0000-0000-0000D7110000}"/>
    <cellStyle name="Normal 12 13 2 4 4" xfId="4948" xr:uid="{00000000-0005-0000-0000-0000D8110000}"/>
    <cellStyle name="Normal 12 13 2 4 5" xfId="4949" xr:uid="{00000000-0005-0000-0000-0000D9110000}"/>
    <cellStyle name="Normal 12 13 2 4 6" xfId="4950" xr:uid="{00000000-0005-0000-0000-0000DA110000}"/>
    <cellStyle name="Normal 12 13 2 4 7" xfId="4951" xr:uid="{00000000-0005-0000-0000-0000DB110000}"/>
    <cellStyle name="Normal 12 13 2 4 8" xfId="4952" xr:uid="{00000000-0005-0000-0000-0000DC110000}"/>
    <cellStyle name="Normal 12 13 2 5" xfId="4953" xr:uid="{00000000-0005-0000-0000-0000DD110000}"/>
    <cellStyle name="Normal 12 13 2 5 2" xfId="4954" xr:uid="{00000000-0005-0000-0000-0000DE110000}"/>
    <cellStyle name="Normal 12 13 2 5 3" xfId="4955" xr:uid="{00000000-0005-0000-0000-0000DF110000}"/>
    <cellStyle name="Normal 12 13 2 5 4" xfId="4956" xr:uid="{00000000-0005-0000-0000-0000E0110000}"/>
    <cellStyle name="Normal 12 13 2 5 5" xfId="4957" xr:uid="{00000000-0005-0000-0000-0000E1110000}"/>
    <cellStyle name="Normal 12 13 2 6" xfId="4958" xr:uid="{00000000-0005-0000-0000-0000E2110000}"/>
    <cellStyle name="Normal 12 13 2 7" xfId="4959" xr:uid="{00000000-0005-0000-0000-0000E3110000}"/>
    <cellStyle name="Normal 12 13 2 8" xfId="4960" xr:uid="{00000000-0005-0000-0000-0000E4110000}"/>
    <cellStyle name="Normal 12 13 2 9" xfId="4961" xr:uid="{00000000-0005-0000-0000-0000E5110000}"/>
    <cellStyle name="Normal 12 13 3" xfId="4962" xr:uid="{00000000-0005-0000-0000-0000E6110000}"/>
    <cellStyle name="Normal 12 13 3 10" xfId="4963" xr:uid="{00000000-0005-0000-0000-0000E7110000}"/>
    <cellStyle name="Normal 12 13 3 11" xfId="4964" xr:uid="{00000000-0005-0000-0000-0000E8110000}"/>
    <cellStyle name="Normal 12 13 3 2" xfId="4965" xr:uid="{00000000-0005-0000-0000-0000E9110000}"/>
    <cellStyle name="Normal 12 13 3 2 10" xfId="4966" xr:uid="{00000000-0005-0000-0000-0000EA110000}"/>
    <cellStyle name="Normal 12 13 3 2 2" xfId="4967" xr:uid="{00000000-0005-0000-0000-0000EB110000}"/>
    <cellStyle name="Normal 12 13 3 2 2 2" xfId="4968" xr:uid="{00000000-0005-0000-0000-0000EC110000}"/>
    <cellStyle name="Normal 12 13 3 2 2 2 2" xfId="4969" xr:uid="{00000000-0005-0000-0000-0000ED110000}"/>
    <cellStyle name="Normal 12 13 3 2 2 2 3" xfId="4970" xr:uid="{00000000-0005-0000-0000-0000EE110000}"/>
    <cellStyle name="Normal 12 13 3 2 2 2 4" xfId="4971" xr:uid="{00000000-0005-0000-0000-0000EF110000}"/>
    <cellStyle name="Normal 12 13 3 2 2 2 5" xfId="4972" xr:uid="{00000000-0005-0000-0000-0000F0110000}"/>
    <cellStyle name="Normal 12 13 3 2 2 3" xfId="4973" xr:uid="{00000000-0005-0000-0000-0000F1110000}"/>
    <cellStyle name="Normal 12 13 3 2 2 4" xfId="4974" xr:uid="{00000000-0005-0000-0000-0000F2110000}"/>
    <cellStyle name="Normal 12 13 3 2 2 5" xfId="4975" xr:uid="{00000000-0005-0000-0000-0000F3110000}"/>
    <cellStyle name="Normal 12 13 3 2 2 6" xfId="4976" xr:uid="{00000000-0005-0000-0000-0000F4110000}"/>
    <cellStyle name="Normal 12 13 3 2 2 7" xfId="4977" xr:uid="{00000000-0005-0000-0000-0000F5110000}"/>
    <cellStyle name="Normal 12 13 3 2 2 8" xfId="4978" xr:uid="{00000000-0005-0000-0000-0000F6110000}"/>
    <cellStyle name="Normal 12 13 3 2 3" xfId="4979" xr:uid="{00000000-0005-0000-0000-0000F7110000}"/>
    <cellStyle name="Normal 12 13 3 2 3 2" xfId="4980" xr:uid="{00000000-0005-0000-0000-0000F8110000}"/>
    <cellStyle name="Normal 12 13 3 2 3 2 2" xfId="4981" xr:uid="{00000000-0005-0000-0000-0000F9110000}"/>
    <cellStyle name="Normal 12 13 3 2 3 2 3" xfId="4982" xr:uid="{00000000-0005-0000-0000-0000FA110000}"/>
    <cellStyle name="Normal 12 13 3 2 3 2 4" xfId="4983" xr:uid="{00000000-0005-0000-0000-0000FB110000}"/>
    <cellStyle name="Normal 12 13 3 2 3 2 5" xfId="4984" xr:uid="{00000000-0005-0000-0000-0000FC110000}"/>
    <cellStyle name="Normal 12 13 3 2 3 3" xfId="4985" xr:uid="{00000000-0005-0000-0000-0000FD110000}"/>
    <cellStyle name="Normal 12 13 3 2 3 4" xfId="4986" xr:uid="{00000000-0005-0000-0000-0000FE110000}"/>
    <cellStyle name="Normal 12 13 3 2 3 5" xfId="4987" xr:uid="{00000000-0005-0000-0000-0000FF110000}"/>
    <cellStyle name="Normal 12 13 3 2 3 6" xfId="4988" xr:uid="{00000000-0005-0000-0000-000000120000}"/>
    <cellStyle name="Normal 12 13 3 2 3 7" xfId="4989" xr:uid="{00000000-0005-0000-0000-000001120000}"/>
    <cellStyle name="Normal 12 13 3 2 3 8" xfId="4990" xr:uid="{00000000-0005-0000-0000-000002120000}"/>
    <cellStyle name="Normal 12 13 3 2 4" xfId="4991" xr:uid="{00000000-0005-0000-0000-000003120000}"/>
    <cellStyle name="Normal 12 13 3 2 4 2" xfId="4992" xr:uid="{00000000-0005-0000-0000-000004120000}"/>
    <cellStyle name="Normal 12 13 3 2 4 3" xfId="4993" xr:uid="{00000000-0005-0000-0000-000005120000}"/>
    <cellStyle name="Normal 12 13 3 2 4 4" xfId="4994" xr:uid="{00000000-0005-0000-0000-000006120000}"/>
    <cellStyle name="Normal 12 13 3 2 4 5" xfId="4995" xr:uid="{00000000-0005-0000-0000-000007120000}"/>
    <cellStyle name="Normal 12 13 3 2 5" xfId="4996" xr:uid="{00000000-0005-0000-0000-000008120000}"/>
    <cellStyle name="Normal 12 13 3 2 6" xfId="4997" xr:uid="{00000000-0005-0000-0000-000009120000}"/>
    <cellStyle name="Normal 12 13 3 2 7" xfId="4998" xr:uid="{00000000-0005-0000-0000-00000A120000}"/>
    <cellStyle name="Normal 12 13 3 2 8" xfId="4999" xr:uid="{00000000-0005-0000-0000-00000B120000}"/>
    <cellStyle name="Normal 12 13 3 2 9" xfId="5000" xr:uid="{00000000-0005-0000-0000-00000C120000}"/>
    <cellStyle name="Normal 12 13 3 3" xfId="5001" xr:uid="{00000000-0005-0000-0000-00000D120000}"/>
    <cellStyle name="Normal 12 13 3 3 2" xfId="5002" xr:uid="{00000000-0005-0000-0000-00000E120000}"/>
    <cellStyle name="Normal 12 13 3 3 2 2" xfId="5003" xr:uid="{00000000-0005-0000-0000-00000F120000}"/>
    <cellStyle name="Normal 12 13 3 3 2 3" xfId="5004" xr:uid="{00000000-0005-0000-0000-000010120000}"/>
    <cellStyle name="Normal 12 13 3 3 2 4" xfId="5005" xr:uid="{00000000-0005-0000-0000-000011120000}"/>
    <cellStyle name="Normal 12 13 3 3 2 5" xfId="5006" xr:uid="{00000000-0005-0000-0000-000012120000}"/>
    <cellStyle name="Normal 12 13 3 3 3" xfId="5007" xr:uid="{00000000-0005-0000-0000-000013120000}"/>
    <cellStyle name="Normal 12 13 3 3 4" xfId="5008" xr:uid="{00000000-0005-0000-0000-000014120000}"/>
    <cellStyle name="Normal 12 13 3 3 5" xfId="5009" xr:uid="{00000000-0005-0000-0000-000015120000}"/>
    <cellStyle name="Normal 12 13 3 3 6" xfId="5010" xr:uid="{00000000-0005-0000-0000-000016120000}"/>
    <cellStyle name="Normal 12 13 3 3 7" xfId="5011" xr:uid="{00000000-0005-0000-0000-000017120000}"/>
    <cellStyle name="Normal 12 13 3 3 8" xfId="5012" xr:uid="{00000000-0005-0000-0000-000018120000}"/>
    <cellStyle name="Normal 12 13 3 4" xfId="5013" xr:uid="{00000000-0005-0000-0000-000019120000}"/>
    <cellStyle name="Normal 12 13 3 4 2" xfId="5014" xr:uid="{00000000-0005-0000-0000-00001A120000}"/>
    <cellStyle name="Normal 12 13 3 4 2 2" xfId="5015" xr:uid="{00000000-0005-0000-0000-00001B120000}"/>
    <cellStyle name="Normal 12 13 3 4 2 3" xfId="5016" xr:uid="{00000000-0005-0000-0000-00001C120000}"/>
    <cellStyle name="Normal 12 13 3 4 2 4" xfId="5017" xr:uid="{00000000-0005-0000-0000-00001D120000}"/>
    <cellStyle name="Normal 12 13 3 4 2 5" xfId="5018" xr:uid="{00000000-0005-0000-0000-00001E120000}"/>
    <cellStyle name="Normal 12 13 3 4 3" xfId="5019" xr:uid="{00000000-0005-0000-0000-00001F120000}"/>
    <cellStyle name="Normal 12 13 3 4 4" xfId="5020" xr:uid="{00000000-0005-0000-0000-000020120000}"/>
    <cellStyle name="Normal 12 13 3 4 5" xfId="5021" xr:uid="{00000000-0005-0000-0000-000021120000}"/>
    <cellStyle name="Normal 12 13 3 4 6" xfId="5022" xr:uid="{00000000-0005-0000-0000-000022120000}"/>
    <cellStyle name="Normal 12 13 3 4 7" xfId="5023" xr:uid="{00000000-0005-0000-0000-000023120000}"/>
    <cellStyle name="Normal 12 13 3 4 8" xfId="5024" xr:uid="{00000000-0005-0000-0000-000024120000}"/>
    <cellStyle name="Normal 12 13 3 5" xfId="5025" xr:uid="{00000000-0005-0000-0000-000025120000}"/>
    <cellStyle name="Normal 12 13 3 5 2" xfId="5026" xr:uid="{00000000-0005-0000-0000-000026120000}"/>
    <cellStyle name="Normal 12 13 3 5 3" xfId="5027" xr:uid="{00000000-0005-0000-0000-000027120000}"/>
    <cellStyle name="Normal 12 13 3 5 4" xfId="5028" xr:uid="{00000000-0005-0000-0000-000028120000}"/>
    <cellStyle name="Normal 12 13 3 5 5" xfId="5029" xr:uid="{00000000-0005-0000-0000-000029120000}"/>
    <cellStyle name="Normal 12 13 3 6" xfId="5030" xr:uid="{00000000-0005-0000-0000-00002A120000}"/>
    <cellStyle name="Normal 12 13 3 7" xfId="5031" xr:uid="{00000000-0005-0000-0000-00002B120000}"/>
    <cellStyle name="Normal 12 13 3 8" xfId="5032" xr:uid="{00000000-0005-0000-0000-00002C120000}"/>
    <cellStyle name="Normal 12 13 3 9" xfId="5033" xr:uid="{00000000-0005-0000-0000-00002D120000}"/>
    <cellStyle name="Normal 12 13 4" xfId="5034" xr:uid="{00000000-0005-0000-0000-00002E120000}"/>
    <cellStyle name="Normal 12 13 4 10" xfId="5035" xr:uid="{00000000-0005-0000-0000-00002F120000}"/>
    <cellStyle name="Normal 12 13 4 2" xfId="5036" xr:uid="{00000000-0005-0000-0000-000030120000}"/>
    <cellStyle name="Normal 12 13 4 2 2" xfId="5037" xr:uid="{00000000-0005-0000-0000-000031120000}"/>
    <cellStyle name="Normal 12 13 4 2 2 2" xfId="5038" xr:uid="{00000000-0005-0000-0000-000032120000}"/>
    <cellStyle name="Normal 12 13 4 2 2 3" xfId="5039" xr:uid="{00000000-0005-0000-0000-000033120000}"/>
    <cellStyle name="Normal 12 13 4 2 2 4" xfId="5040" xr:uid="{00000000-0005-0000-0000-000034120000}"/>
    <cellStyle name="Normal 12 13 4 2 2 5" xfId="5041" xr:uid="{00000000-0005-0000-0000-000035120000}"/>
    <cellStyle name="Normal 12 13 4 2 3" xfId="5042" xr:uid="{00000000-0005-0000-0000-000036120000}"/>
    <cellStyle name="Normal 12 13 4 2 4" xfId="5043" xr:uid="{00000000-0005-0000-0000-000037120000}"/>
    <cellStyle name="Normal 12 13 4 2 5" xfId="5044" xr:uid="{00000000-0005-0000-0000-000038120000}"/>
    <cellStyle name="Normal 12 13 4 2 6" xfId="5045" xr:uid="{00000000-0005-0000-0000-000039120000}"/>
    <cellStyle name="Normal 12 13 4 2 7" xfId="5046" xr:uid="{00000000-0005-0000-0000-00003A120000}"/>
    <cellStyle name="Normal 12 13 4 2 8" xfId="5047" xr:uid="{00000000-0005-0000-0000-00003B120000}"/>
    <cellStyle name="Normal 12 13 4 3" xfId="5048" xr:uid="{00000000-0005-0000-0000-00003C120000}"/>
    <cellStyle name="Normal 12 13 4 3 2" xfId="5049" xr:uid="{00000000-0005-0000-0000-00003D120000}"/>
    <cellStyle name="Normal 12 13 4 3 2 2" xfId="5050" xr:uid="{00000000-0005-0000-0000-00003E120000}"/>
    <cellStyle name="Normal 12 13 4 3 2 3" xfId="5051" xr:uid="{00000000-0005-0000-0000-00003F120000}"/>
    <cellStyle name="Normal 12 13 4 3 2 4" xfId="5052" xr:uid="{00000000-0005-0000-0000-000040120000}"/>
    <cellStyle name="Normal 12 13 4 3 2 5" xfId="5053" xr:uid="{00000000-0005-0000-0000-000041120000}"/>
    <cellStyle name="Normal 12 13 4 3 3" xfId="5054" xr:uid="{00000000-0005-0000-0000-000042120000}"/>
    <cellStyle name="Normal 12 13 4 3 4" xfId="5055" xr:uid="{00000000-0005-0000-0000-000043120000}"/>
    <cellStyle name="Normal 12 13 4 3 5" xfId="5056" xr:uid="{00000000-0005-0000-0000-000044120000}"/>
    <cellStyle name="Normal 12 13 4 3 6" xfId="5057" xr:uid="{00000000-0005-0000-0000-000045120000}"/>
    <cellStyle name="Normal 12 13 4 3 7" xfId="5058" xr:uid="{00000000-0005-0000-0000-000046120000}"/>
    <cellStyle name="Normal 12 13 4 3 8" xfId="5059" xr:uid="{00000000-0005-0000-0000-000047120000}"/>
    <cellStyle name="Normal 12 13 4 4" xfId="5060" xr:uid="{00000000-0005-0000-0000-000048120000}"/>
    <cellStyle name="Normal 12 13 4 4 2" xfId="5061" xr:uid="{00000000-0005-0000-0000-000049120000}"/>
    <cellStyle name="Normal 12 13 4 4 3" xfId="5062" xr:uid="{00000000-0005-0000-0000-00004A120000}"/>
    <cellStyle name="Normal 12 13 4 4 4" xfId="5063" xr:uid="{00000000-0005-0000-0000-00004B120000}"/>
    <cellStyle name="Normal 12 13 4 4 5" xfId="5064" xr:uid="{00000000-0005-0000-0000-00004C120000}"/>
    <cellStyle name="Normal 12 13 4 5" xfId="5065" xr:uid="{00000000-0005-0000-0000-00004D120000}"/>
    <cellStyle name="Normal 12 13 4 6" xfId="5066" xr:uid="{00000000-0005-0000-0000-00004E120000}"/>
    <cellStyle name="Normal 12 13 4 7" xfId="5067" xr:uid="{00000000-0005-0000-0000-00004F120000}"/>
    <cellStyle name="Normal 12 13 4 8" xfId="5068" xr:uid="{00000000-0005-0000-0000-000050120000}"/>
    <cellStyle name="Normal 12 13 4 9" xfId="5069" xr:uid="{00000000-0005-0000-0000-000051120000}"/>
    <cellStyle name="Normal 12 13 5" xfId="5070" xr:uid="{00000000-0005-0000-0000-000052120000}"/>
    <cellStyle name="Normal 12 13 5 2" xfId="5071" xr:uid="{00000000-0005-0000-0000-000053120000}"/>
    <cellStyle name="Normal 12 13 5 2 2" xfId="5072" xr:uid="{00000000-0005-0000-0000-000054120000}"/>
    <cellStyle name="Normal 12 13 5 2 3" xfId="5073" xr:uid="{00000000-0005-0000-0000-000055120000}"/>
    <cellStyle name="Normal 12 13 5 2 4" xfId="5074" xr:uid="{00000000-0005-0000-0000-000056120000}"/>
    <cellStyle name="Normal 12 13 5 2 5" xfId="5075" xr:uid="{00000000-0005-0000-0000-000057120000}"/>
    <cellStyle name="Normal 12 13 5 3" xfId="5076" xr:uid="{00000000-0005-0000-0000-000058120000}"/>
    <cellStyle name="Normal 12 13 5 4" xfId="5077" xr:uid="{00000000-0005-0000-0000-000059120000}"/>
    <cellStyle name="Normal 12 13 5 5" xfId="5078" xr:uid="{00000000-0005-0000-0000-00005A120000}"/>
    <cellStyle name="Normal 12 13 5 6" xfId="5079" xr:uid="{00000000-0005-0000-0000-00005B120000}"/>
    <cellStyle name="Normal 12 13 5 7" xfId="5080" xr:uid="{00000000-0005-0000-0000-00005C120000}"/>
    <cellStyle name="Normal 12 13 5 8" xfId="5081" xr:uid="{00000000-0005-0000-0000-00005D120000}"/>
    <cellStyle name="Normal 12 13 6" xfId="5082" xr:uid="{00000000-0005-0000-0000-00005E120000}"/>
    <cellStyle name="Normal 12 13 6 2" xfId="5083" xr:uid="{00000000-0005-0000-0000-00005F120000}"/>
    <cellStyle name="Normal 12 13 6 2 2" xfId="5084" xr:uid="{00000000-0005-0000-0000-000060120000}"/>
    <cellStyle name="Normal 12 13 6 2 3" xfId="5085" xr:uid="{00000000-0005-0000-0000-000061120000}"/>
    <cellStyle name="Normal 12 13 6 2 4" xfId="5086" xr:uid="{00000000-0005-0000-0000-000062120000}"/>
    <cellStyle name="Normal 12 13 6 2 5" xfId="5087" xr:uid="{00000000-0005-0000-0000-000063120000}"/>
    <cellStyle name="Normal 12 13 6 3" xfId="5088" xr:uid="{00000000-0005-0000-0000-000064120000}"/>
    <cellStyle name="Normal 12 13 6 4" xfId="5089" xr:uid="{00000000-0005-0000-0000-000065120000}"/>
    <cellStyle name="Normal 12 13 6 5" xfId="5090" xr:uid="{00000000-0005-0000-0000-000066120000}"/>
    <cellStyle name="Normal 12 13 6 6" xfId="5091" xr:uid="{00000000-0005-0000-0000-000067120000}"/>
    <cellStyle name="Normal 12 13 6 7" xfId="5092" xr:uid="{00000000-0005-0000-0000-000068120000}"/>
    <cellStyle name="Normal 12 13 6 8" xfId="5093" xr:uid="{00000000-0005-0000-0000-000069120000}"/>
    <cellStyle name="Normal 12 13 7" xfId="5094" xr:uid="{00000000-0005-0000-0000-00006A120000}"/>
    <cellStyle name="Normal 12 13 7 2" xfId="5095" xr:uid="{00000000-0005-0000-0000-00006B120000}"/>
    <cellStyle name="Normal 12 13 7 3" xfId="5096" xr:uid="{00000000-0005-0000-0000-00006C120000}"/>
    <cellStyle name="Normal 12 13 7 4" xfId="5097" xr:uid="{00000000-0005-0000-0000-00006D120000}"/>
    <cellStyle name="Normal 12 13 7 5" xfId="5098" xr:uid="{00000000-0005-0000-0000-00006E120000}"/>
    <cellStyle name="Normal 12 13 8" xfId="5099" xr:uid="{00000000-0005-0000-0000-00006F120000}"/>
    <cellStyle name="Normal 12 13 9" xfId="5100" xr:uid="{00000000-0005-0000-0000-000070120000}"/>
    <cellStyle name="Normal 12 14" xfId="5101" xr:uid="{00000000-0005-0000-0000-000071120000}"/>
    <cellStyle name="Normal 12 14 10" xfId="5102" xr:uid="{00000000-0005-0000-0000-000072120000}"/>
    <cellStyle name="Normal 12 14 11" xfId="5103" xr:uid="{00000000-0005-0000-0000-000073120000}"/>
    <cellStyle name="Normal 12 14 12" xfId="5104" xr:uid="{00000000-0005-0000-0000-000074120000}"/>
    <cellStyle name="Normal 12 14 13" xfId="5105" xr:uid="{00000000-0005-0000-0000-000075120000}"/>
    <cellStyle name="Normal 12 14 2" xfId="5106" xr:uid="{00000000-0005-0000-0000-000076120000}"/>
    <cellStyle name="Normal 12 14 2 10" xfId="5107" xr:uid="{00000000-0005-0000-0000-000077120000}"/>
    <cellStyle name="Normal 12 14 2 11" xfId="5108" xr:uid="{00000000-0005-0000-0000-000078120000}"/>
    <cellStyle name="Normal 12 14 2 2" xfId="5109" xr:uid="{00000000-0005-0000-0000-000079120000}"/>
    <cellStyle name="Normal 12 14 2 2 10" xfId="5110" xr:uid="{00000000-0005-0000-0000-00007A120000}"/>
    <cellStyle name="Normal 12 14 2 2 2" xfId="5111" xr:uid="{00000000-0005-0000-0000-00007B120000}"/>
    <cellStyle name="Normal 12 14 2 2 2 2" xfId="5112" xr:uid="{00000000-0005-0000-0000-00007C120000}"/>
    <cellStyle name="Normal 12 14 2 2 2 2 2" xfId="5113" xr:uid="{00000000-0005-0000-0000-00007D120000}"/>
    <cellStyle name="Normal 12 14 2 2 2 2 3" xfId="5114" xr:uid="{00000000-0005-0000-0000-00007E120000}"/>
    <cellStyle name="Normal 12 14 2 2 2 2 4" xfId="5115" xr:uid="{00000000-0005-0000-0000-00007F120000}"/>
    <cellStyle name="Normal 12 14 2 2 2 2 5" xfId="5116" xr:uid="{00000000-0005-0000-0000-000080120000}"/>
    <cellStyle name="Normal 12 14 2 2 2 3" xfId="5117" xr:uid="{00000000-0005-0000-0000-000081120000}"/>
    <cellStyle name="Normal 12 14 2 2 2 4" xfId="5118" xr:uid="{00000000-0005-0000-0000-000082120000}"/>
    <cellStyle name="Normal 12 14 2 2 2 5" xfId="5119" xr:uid="{00000000-0005-0000-0000-000083120000}"/>
    <cellStyle name="Normal 12 14 2 2 2 6" xfId="5120" xr:uid="{00000000-0005-0000-0000-000084120000}"/>
    <cellStyle name="Normal 12 14 2 2 2 7" xfId="5121" xr:uid="{00000000-0005-0000-0000-000085120000}"/>
    <cellStyle name="Normal 12 14 2 2 2 8" xfId="5122" xr:uid="{00000000-0005-0000-0000-000086120000}"/>
    <cellStyle name="Normal 12 14 2 2 3" xfId="5123" xr:uid="{00000000-0005-0000-0000-000087120000}"/>
    <cellStyle name="Normal 12 14 2 2 3 2" xfId="5124" xr:uid="{00000000-0005-0000-0000-000088120000}"/>
    <cellStyle name="Normal 12 14 2 2 3 2 2" xfId="5125" xr:uid="{00000000-0005-0000-0000-000089120000}"/>
    <cellStyle name="Normal 12 14 2 2 3 2 3" xfId="5126" xr:uid="{00000000-0005-0000-0000-00008A120000}"/>
    <cellStyle name="Normal 12 14 2 2 3 2 4" xfId="5127" xr:uid="{00000000-0005-0000-0000-00008B120000}"/>
    <cellStyle name="Normal 12 14 2 2 3 2 5" xfId="5128" xr:uid="{00000000-0005-0000-0000-00008C120000}"/>
    <cellStyle name="Normal 12 14 2 2 3 3" xfId="5129" xr:uid="{00000000-0005-0000-0000-00008D120000}"/>
    <cellStyle name="Normal 12 14 2 2 3 4" xfId="5130" xr:uid="{00000000-0005-0000-0000-00008E120000}"/>
    <cellStyle name="Normal 12 14 2 2 3 5" xfId="5131" xr:uid="{00000000-0005-0000-0000-00008F120000}"/>
    <cellStyle name="Normal 12 14 2 2 3 6" xfId="5132" xr:uid="{00000000-0005-0000-0000-000090120000}"/>
    <cellStyle name="Normal 12 14 2 2 3 7" xfId="5133" xr:uid="{00000000-0005-0000-0000-000091120000}"/>
    <cellStyle name="Normal 12 14 2 2 3 8" xfId="5134" xr:uid="{00000000-0005-0000-0000-000092120000}"/>
    <cellStyle name="Normal 12 14 2 2 4" xfId="5135" xr:uid="{00000000-0005-0000-0000-000093120000}"/>
    <cellStyle name="Normal 12 14 2 2 4 2" xfId="5136" xr:uid="{00000000-0005-0000-0000-000094120000}"/>
    <cellStyle name="Normal 12 14 2 2 4 3" xfId="5137" xr:uid="{00000000-0005-0000-0000-000095120000}"/>
    <cellStyle name="Normal 12 14 2 2 4 4" xfId="5138" xr:uid="{00000000-0005-0000-0000-000096120000}"/>
    <cellStyle name="Normal 12 14 2 2 4 5" xfId="5139" xr:uid="{00000000-0005-0000-0000-000097120000}"/>
    <cellStyle name="Normal 12 14 2 2 5" xfId="5140" xr:uid="{00000000-0005-0000-0000-000098120000}"/>
    <cellStyle name="Normal 12 14 2 2 6" xfId="5141" xr:uid="{00000000-0005-0000-0000-000099120000}"/>
    <cellStyle name="Normal 12 14 2 2 7" xfId="5142" xr:uid="{00000000-0005-0000-0000-00009A120000}"/>
    <cellStyle name="Normal 12 14 2 2 8" xfId="5143" xr:uid="{00000000-0005-0000-0000-00009B120000}"/>
    <cellStyle name="Normal 12 14 2 2 9" xfId="5144" xr:uid="{00000000-0005-0000-0000-00009C120000}"/>
    <cellStyle name="Normal 12 14 2 3" xfId="5145" xr:uid="{00000000-0005-0000-0000-00009D120000}"/>
    <cellStyle name="Normal 12 14 2 3 2" xfId="5146" xr:uid="{00000000-0005-0000-0000-00009E120000}"/>
    <cellStyle name="Normal 12 14 2 3 2 2" xfId="5147" xr:uid="{00000000-0005-0000-0000-00009F120000}"/>
    <cellStyle name="Normal 12 14 2 3 2 3" xfId="5148" xr:uid="{00000000-0005-0000-0000-0000A0120000}"/>
    <cellStyle name="Normal 12 14 2 3 2 4" xfId="5149" xr:uid="{00000000-0005-0000-0000-0000A1120000}"/>
    <cellStyle name="Normal 12 14 2 3 2 5" xfId="5150" xr:uid="{00000000-0005-0000-0000-0000A2120000}"/>
    <cellStyle name="Normal 12 14 2 3 3" xfId="5151" xr:uid="{00000000-0005-0000-0000-0000A3120000}"/>
    <cellStyle name="Normal 12 14 2 3 4" xfId="5152" xr:uid="{00000000-0005-0000-0000-0000A4120000}"/>
    <cellStyle name="Normal 12 14 2 3 5" xfId="5153" xr:uid="{00000000-0005-0000-0000-0000A5120000}"/>
    <cellStyle name="Normal 12 14 2 3 6" xfId="5154" xr:uid="{00000000-0005-0000-0000-0000A6120000}"/>
    <cellStyle name="Normal 12 14 2 3 7" xfId="5155" xr:uid="{00000000-0005-0000-0000-0000A7120000}"/>
    <cellStyle name="Normal 12 14 2 3 8" xfId="5156" xr:uid="{00000000-0005-0000-0000-0000A8120000}"/>
    <cellStyle name="Normal 12 14 2 4" xfId="5157" xr:uid="{00000000-0005-0000-0000-0000A9120000}"/>
    <cellStyle name="Normal 12 14 2 4 2" xfId="5158" xr:uid="{00000000-0005-0000-0000-0000AA120000}"/>
    <cellStyle name="Normal 12 14 2 4 2 2" xfId="5159" xr:uid="{00000000-0005-0000-0000-0000AB120000}"/>
    <cellStyle name="Normal 12 14 2 4 2 3" xfId="5160" xr:uid="{00000000-0005-0000-0000-0000AC120000}"/>
    <cellStyle name="Normal 12 14 2 4 2 4" xfId="5161" xr:uid="{00000000-0005-0000-0000-0000AD120000}"/>
    <cellStyle name="Normal 12 14 2 4 2 5" xfId="5162" xr:uid="{00000000-0005-0000-0000-0000AE120000}"/>
    <cellStyle name="Normal 12 14 2 4 3" xfId="5163" xr:uid="{00000000-0005-0000-0000-0000AF120000}"/>
    <cellStyle name="Normal 12 14 2 4 4" xfId="5164" xr:uid="{00000000-0005-0000-0000-0000B0120000}"/>
    <cellStyle name="Normal 12 14 2 4 5" xfId="5165" xr:uid="{00000000-0005-0000-0000-0000B1120000}"/>
    <cellStyle name="Normal 12 14 2 4 6" xfId="5166" xr:uid="{00000000-0005-0000-0000-0000B2120000}"/>
    <cellStyle name="Normal 12 14 2 4 7" xfId="5167" xr:uid="{00000000-0005-0000-0000-0000B3120000}"/>
    <cellStyle name="Normal 12 14 2 4 8" xfId="5168" xr:uid="{00000000-0005-0000-0000-0000B4120000}"/>
    <cellStyle name="Normal 12 14 2 5" xfId="5169" xr:uid="{00000000-0005-0000-0000-0000B5120000}"/>
    <cellStyle name="Normal 12 14 2 5 2" xfId="5170" xr:uid="{00000000-0005-0000-0000-0000B6120000}"/>
    <cellStyle name="Normal 12 14 2 5 3" xfId="5171" xr:uid="{00000000-0005-0000-0000-0000B7120000}"/>
    <cellStyle name="Normal 12 14 2 5 4" xfId="5172" xr:uid="{00000000-0005-0000-0000-0000B8120000}"/>
    <cellStyle name="Normal 12 14 2 5 5" xfId="5173" xr:uid="{00000000-0005-0000-0000-0000B9120000}"/>
    <cellStyle name="Normal 12 14 2 6" xfId="5174" xr:uid="{00000000-0005-0000-0000-0000BA120000}"/>
    <cellStyle name="Normal 12 14 2 7" xfId="5175" xr:uid="{00000000-0005-0000-0000-0000BB120000}"/>
    <cellStyle name="Normal 12 14 2 8" xfId="5176" xr:uid="{00000000-0005-0000-0000-0000BC120000}"/>
    <cellStyle name="Normal 12 14 2 9" xfId="5177" xr:uid="{00000000-0005-0000-0000-0000BD120000}"/>
    <cellStyle name="Normal 12 14 3" xfId="5178" xr:uid="{00000000-0005-0000-0000-0000BE120000}"/>
    <cellStyle name="Normal 12 14 3 10" xfId="5179" xr:uid="{00000000-0005-0000-0000-0000BF120000}"/>
    <cellStyle name="Normal 12 14 3 11" xfId="5180" xr:uid="{00000000-0005-0000-0000-0000C0120000}"/>
    <cellStyle name="Normal 12 14 3 2" xfId="5181" xr:uid="{00000000-0005-0000-0000-0000C1120000}"/>
    <cellStyle name="Normal 12 14 3 2 10" xfId="5182" xr:uid="{00000000-0005-0000-0000-0000C2120000}"/>
    <cellStyle name="Normal 12 14 3 2 2" xfId="5183" xr:uid="{00000000-0005-0000-0000-0000C3120000}"/>
    <cellStyle name="Normal 12 14 3 2 2 2" xfId="5184" xr:uid="{00000000-0005-0000-0000-0000C4120000}"/>
    <cellStyle name="Normal 12 14 3 2 2 2 2" xfId="5185" xr:uid="{00000000-0005-0000-0000-0000C5120000}"/>
    <cellStyle name="Normal 12 14 3 2 2 2 3" xfId="5186" xr:uid="{00000000-0005-0000-0000-0000C6120000}"/>
    <cellStyle name="Normal 12 14 3 2 2 2 4" xfId="5187" xr:uid="{00000000-0005-0000-0000-0000C7120000}"/>
    <cellStyle name="Normal 12 14 3 2 2 2 5" xfId="5188" xr:uid="{00000000-0005-0000-0000-0000C8120000}"/>
    <cellStyle name="Normal 12 14 3 2 2 3" xfId="5189" xr:uid="{00000000-0005-0000-0000-0000C9120000}"/>
    <cellStyle name="Normal 12 14 3 2 2 4" xfId="5190" xr:uid="{00000000-0005-0000-0000-0000CA120000}"/>
    <cellStyle name="Normal 12 14 3 2 2 5" xfId="5191" xr:uid="{00000000-0005-0000-0000-0000CB120000}"/>
    <cellStyle name="Normal 12 14 3 2 2 6" xfId="5192" xr:uid="{00000000-0005-0000-0000-0000CC120000}"/>
    <cellStyle name="Normal 12 14 3 2 2 7" xfId="5193" xr:uid="{00000000-0005-0000-0000-0000CD120000}"/>
    <cellStyle name="Normal 12 14 3 2 2 8" xfId="5194" xr:uid="{00000000-0005-0000-0000-0000CE120000}"/>
    <cellStyle name="Normal 12 14 3 2 3" xfId="5195" xr:uid="{00000000-0005-0000-0000-0000CF120000}"/>
    <cellStyle name="Normal 12 14 3 2 3 2" xfId="5196" xr:uid="{00000000-0005-0000-0000-0000D0120000}"/>
    <cellStyle name="Normal 12 14 3 2 3 2 2" xfId="5197" xr:uid="{00000000-0005-0000-0000-0000D1120000}"/>
    <cellStyle name="Normal 12 14 3 2 3 2 3" xfId="5198" xr:uid="{00000000-0005-0000-0000-0000D2120000}"/>
    <cellStyle name="Normal 12 14 3 2 3 2 4" xfId="5199" xr:uid="{00000000-0005-0000-0000-0000D3120000}"/>
    <cellStyle name="Normal 12 14 3 2 3 2 5" xfId="5200" xr:uid="{00000000-0005-0000-0000-0000D4120000}"/>
    <cellStyle name="Normal 12 14 3 2 3 3" xfId="5201" xr:uid="{00000000-0005-0000-0000-0000D5120000}"/>
    <cellStyle name="Normal 12 14 3 2 3 4" xfId="5202" xr:uid="{00000000-0005-0000-0000-0000D6120000}"/>
    <cellStyle name="Normal 12 14 3 2 3 5" xfId="5203" xr:uid="{00000000-0005-0000-0000-0000D7120000}"/>
    <cellStyle name="Normal 12 14 3 2 3 6" xfId="5204" xr:uid="{00000000-0005-0000-0000-0000D8120000}"/>
    <cellStyle name="Normal 12 14 3 2 3 7" xfId="5205" xr:uid="{00000000-0005-0000-0000-0000D9120000}"/>
    <cellStyle name="Normal 12 14 3 2 3 8" xfId="5206" xr:uid="{00000000-0005-0000-0000-0000DA120000}"/>
    <cellStyle name="Normal 12 14 3 2 4" xfId="5207" xr:uid="{00000000-0005-0000-0000-0000DB120000}"/>
    <cellStyle name="Normal 12 14 3 2 4 2" xfId="5208" xr:uid="{00000000-0005-0000-0000-0000DC120000}"/>
    <cellStyle name="Normal 12 14 3 2 4 3" xfId="5209" xr:uid="{00000000-0005-0000-0000-0000DD120000}"/>
    <cellStyle name="Normal 12 14 3 2 4 4" xfId="5210" xr:uid="{00000000-0005-0000-0000-0000DE120000}"/>
    <cellStyle name="Normal 12 14 3 2 4 5" xfId="5211" xr:uid="{00000000-0005-0000-0000-0000DF120000}"/>
    <cellStyle name="Normal 12 14 3 2 5" xfId="5212" xr:uid="{00000000-0005-0000-0000-0000E0120000}"/>
    <cellStyle name="Normal 12 14 3 2 6" xfId="5213" xr:uid="{00000000-0005-0000-0000-0000E1120000}"/>
    <cellStyle name="Normal 12 14 3 2 7" xfId="5214" xr:uid="{00000000-0005-0000-0000-0000E2120000}"/>
    <cellStyle name="Normal 12 14 3 2 8" xfId="5215" xr:uid="{00000000-0005-0000-0000-0000E3120000}"/>
    <cellStyle name="Normal 12 14 3 2 9" xfId="5216" xr:uid="{00000000-0005-0000-0000-0000E4120000}"/>
    <cellStyle name="Normal 12 14 3 3" xfId="5217" xr:uid="{00000000-0005-0000-0000-0000E5120000}"/>
    <cellStyle name="Normal 12 14 3 3 2" xfId="5218" xr:uid="{00000000-0005-0000-0000-0000E6120000}"/>
    <cellStyle name="Normal 12 14 3 3 2 2" xfId="5219" xr:uid="{00000000-0005-0000-0000-0000E7120000}"/>
    <cellStyle name="Normal 12 14 3 3 2 3" xfId="5220" xr:uid="{00000000-0005-0000-0000-0000E8120000}"/>
    <cellStyle name="Normal 12 14 3 3 2 4" xfId="5221" xr:uid="{00000000-0005-0000-0000-0000E9120000}"/>
    <cellStyle name="Normal 12 14 3 3 2 5" xfId="5222" xr:uid="{00000000-0005-0000-0000-0000EA120000}"/>
    <cellStyle name="Normal 12 14 3 3 3" xfId="5223" xr:uid="{00000000-0005-0000-0000-0000EB120000}"/>
    <cellStyle name="Normal 12 14 3 3 4" xfId="5224" xr:uid="{00000000-0005-0000-0000-0000EC120000}"/>
    <cellStyle name="Normal 12 14 3 3 5" xfId="5225" xr:uid="{00000000-0005-0000-0000-0000ED120000}"/>
    <cellStyle name="Normal 12 14 3 3 6" xfId="5226" xr:uid="{00000000-0005-0000-0000-0000EE120000}"/>
    <cellStyle name="Normal 12 14 3 3 7" xfId="5227" xr:uid="{00000000-0005-0000-0000-0000EF120000}"/>
    <cellStyle name="Normal 12 14 3 3 8" xfId="5228" xr:uid="{00000000-0005-0000-0000-0000F0120000}"/>
    <cellStyle name="Normal 12 14 3 4" xfId="5229" xr:uid="{00000000-0005-0000-0000-0000F1120000}"/>
    <cellStyle name="Normal 12 14 3 4 2" xfId="5230" xr:uid="{00000000-0005-0000-0000-0000F2120000}"/>
    <cellStyle name="Normal 12 14 3 4 2 2" xfId="5231" xr:uid="{00000000-0005-0000-0000-0000F3120000}"/>
    <cellStyle name="Normal 12 14 3 4 2 3" xfId="5232" xr:uid="{00000000-0005-0000-0000-0000F4120000}"/>
    <cellStyle name="Normal 12 14 3 4 2 4" xfId="5233" xr:uid="{00000000-0005-0000-0000-0000F5120000}"/>
    <cellStyle name="Normal 12 14 3 4 2 5" xfId="5234" xr:uid="{00000000-0005-0000-0000-0000F6120000}"/>
    <cellStyle name="Normal 12 14 3 4 3" xfId="5235" xr:uid="{00000000-0005-0000-0000-0000F7120000}"/>
    <cellStyle name="Normal 12 14 3 4 4" xfId="5236" xr:uid="{00000000-0005-0000-0000-0000F8120000}"/>
    <cellStyle name="Normal 12 14 3 4 5" xfId="5237" xr:uid="{00000000-0005-0000-0000-0000F9120000}"/>
    <cellStyle name="Normal 12 14 3 4 6" xfId="5238" xr:uid="{00000000-0005-0000-0000-0000FA120000}"/>
    <cellStyle name="Normal 12 14 3 4 7" xfId="5239" xr:uid="{00000000-0005-0000-0000-0000FB120000}"/>
    <cellStyle name="Normal 12 14 3 4 8" xfId="5240" xr:uid="{00000000-0005-0000-0000-0000FC120000}"/>
    <cellStyle name="Normal 12 14 3 5" xfId="5241" xr:uid="{00000000-0005-0000-0000-0000FD120000}"/>
    <cellStyle name="Normal 12 14 3 5 2" xfId="5242" xr:uid="{00000000-0005-0000-0000-0000FE120000}"/>
    <cellStyle name="Normal 12 14 3 5 3" xfId="5243" xr:uid="{00000000-0005-0000-0000-0000FF120000}"/>
    <cellStyle name="Normal 12 14 3 5 4" xfId="5244" xr:uid="{00000000-0005-0000-0000-000000130000}"/>
    <cellStyle name="Normal 12 14 3 5 5" xfId="5245" xr:uid="{00000000-0005-0000-0000-000001130000}"/>
    <cellStyle name="Normal 12 14 3 6" xfId="5246" xr:uid="{00000000-0005-0000-0000-000002130000}"/>
    <cellStyle name="Normal 12 14 3 7" xfId="5247" xr:uid="{00000000-0005-0000-0000-000003130000}"/>
    <cellStyle name="Normal 12 14 3 8" xfId="5248" xr:uid="{00000000-0005-0000-0000-000004130000}"/>
    <cellStyle name="Normal 12 14 3 9" xfId="5249" xr:uid="{00000000-0005-0000-0000-000005130000}"/>
    <cellStyle name="Normal 12 14 4" xfId="5250" xr:uid="{00000000-0005-0000-0000-000006130000}"/>
    <cellStyle name="Normal 12 14 4 10" xfId="5251" xr:uid="{00000000-0005-0000-0000-000007130000}"/>
    <cellStyle name="Normal 12 14 4 2" xfId="5252" xr:uid="{00000000-0005-0000-0000-000008130000}"/>
    <cellStyle name="Normal 12 14 4 2 2" xfId="5253" xr:uid="{00000000-0005-0000-0000-000009130000}"/>
    <cellStyle name="Normal 12 14 4 2 2 2" xfId="5254" xr:uid="{00000000-0005-0000-0000-00000A130000}"/>
    <cellStyle name="Normal 12 14 4 2 2 3" xfId="5255" xr:uid="{00000000-0005-0000-0000-00000B130000}"/>
    <cellStyle name="Normal 12 14 4 2 2 4" xfId="5256" xr:uid="{00000000-0005-0000-0000-00000C130000}"/>
    <cellStyle name="Normal 12 14 4 2 2 5" xfId="5257" xr:uid="{00000000-0005-0000-0000-00000D130000}"/>
    <cellStyle name="Normal 12 14 4 2 3" xfId="5258" xr:uid="{00000000-0005-0000-0000-00000E130000}"/>
    <cellStyle name="Normal 12 14 4 2 4" xfId="5259" xr:uid="{00000000-0005-0000-0000-00000F130000}"/>
    <cellStyle name="Normal 12 14 4 2 5" xfId="5260" xr:uid="{00000000-0005-0000-0000-000010130000}"/>
    <cellStyle name="Normal 12 14 4 2 6" xfId="5261" xr:uid="{00000000-0005-0000-0000-000011130000}"/>
    <cellStyle name="Normal 12 14 4 2 7" xfId="5262" xr:uid="{00000000-0005-0000-0000-000012130000}"/>
    <cellStyle name="Normal 12 14 4 2 8" xfId="5263" xr:uid="{00000000-0005-0000-0000-000013130000}"/>
    <cellStyle name="Normal 12 14 4 3" xfId="5264" xr:uid="{00000000-0005-0000-0000-000014130000}"/>
    <cellStyle name="Normal 12 14 4 3 2" xfId="5265" xr:uid="{00000000-0005-0000-0000-000015130000}"/>
    <cellStyle name="Normal 12 14 4 3 2 2" xfId="5266" xr:uid="{00000000-0005-0000-0000-000016130000}"/>
    <cellStyle name="Normal 12 14 4 3 2 3" xfId="5267" xr:uid="{00000000-0005-0000-0000-000017130000}"/>
    <cellStyle name="Normal 12 14 4 3 2 4" xfId="5268" xr:uid="{00000000-0005-0000-0000-000018130000}"/>
    <cellStyle name="Normal 12 14 4 3 2 5" xfId="5269" xr:uid="{00000000-0005-0000-0000-000019130000}"/>
    <cellStyle name="Normal 12 14 4 3 3" xfId="5270" xr:uid="{00000000-0005-0000-0000-00001A130000}"/>
    <cellStyle name="Normal 12 14 4 3 4" xfId="5271" xr:uid="{00000000-0005-0000-0000-00001B130000}"/>
    <cellStyle name="Normal 12 14 4 3 5" xfId="5272" xr:uid="{00000000-0005-0000-0000-00001C130000}"/>
    <cellStyle name="Normal 12 14 4 3 6" xfId="5273" xr:uid="{00000000-0005-0000-0000-00001D130000}"/>
    <cellStyle name="Normal 12 14 4 3 7" xfId="5274" xr:uid="{00000000-0005-0000-0000-00001E130000}"/>
    <cellStyle name="Normal 12 14 4 3 8" xfId="5275" xr:uid="{00000000-0005-0000-0000-00001F130000}"/>
    <cellStyle name="Normal 12 14 4 4" xfId="5276" xr:uid="{00000000-0005-0000-0000-000020130000}"/>
    <cellStyle name="Normal 12 14 4 4 2" xfId="5277" xr:uid="{00000000-0005-0000-0000-000021130000}"/>
    <cellStyle name="Normal 12 14 4 4 3" xfId="5278" xr:uid="{00000000-0005-0000-0000-000022130000}"/>
    <cellStyle name="Normal 12 14 4 4 4" xfId="5279" xr:uid="{00000000-0005-0000-0000-000023130000}"/>
    <cellStyle name="Normal 12 14 4 4 5" xfId="5280" xr:uid="{00000000-0005-0000-0000-000024130000}"/>
    <cellStyle name="Normal 12 14 4 5" xfId="5281" xr:uid="{00000000-0005-0000-0000-000025130000}"/>
    <cellStyle name="Normal 12 14 4 6" xfId="5282" xr:uid="{00000000-0005-0000-0000-000026130000}"/>
    <cellStyle name="Normal 12 14 4 7" xfId="5283" xr:uid="{00000000-0005-0000-0000-000027130000}"/>
    <cellStyle name="Normal 12 14 4 8" xfId="5284" xr:uid="{00000000-0005-0000-0000-000028130000}"/>
    <cellStyle name="Normal 12 14 4 9" xfId="5285" xr:uid="{00000000-0005-0000-0000-000029130000}"/>
    <cellStyle name="Normal 12 14 5" xfId="5286" xr:uid="{00000000-0005-0000-0000-00002A130000}"/>
    <cellStyle name="Normal 12 14 5 2" xfId="5287" xr:uid="{00000000-0005-0000-0000-00002B130000}"/>
    <cellStyle name="Normal 12 14 5 2 2" xfId="5288" xr:uid="{00000000-0005-0000-0000-00002C130000}"/>
    <cellStyle name="Normal 12 14 5 2 3" xfId="5289" xr:uid="{00000000-0005-0000-0000-00002D130000}"/>
    <cellStyle name="Normal 12 14 5 2 4" xfId="5290" xr:uid="{00000000-0005-0000-0000-00002E130000}"/>
    <cellStyle name="Normal 12 14 5 2 5" xfId="5291" xr:uid="{00000000-0005-0000-0000-00002F130000}"/>
    <cellStyle name="Normal 12 14 5 3" xfId="5292" xr:uid="{00000000-0005-0000-0000-000030130000}"/>
    <cellStyle name="Normal 12 14 5 4" xfId="5293" xr:uid="{00000000-0005-0000-0000-000031130000}"/>
    <cellStyle name="Normal 12 14 5 5" xfId="5294" xr:uid="{00000000-0005-0000-0000-000032130000}"/>
    <cellStyle name="Normal 12 14 5 6" xfId="5295" xr:uid="{00000000-0005-0000-0000-000033130000}"/>
    <cellStyle name="Normal 12 14 5 7" xfId="5296" xr:uid="{00000000-0005-0000-0000-000034130000}"/>
    <cellStyle name="Normal 12 14 5 8" xfId="5297" xr:uid="{00000000-0005-0000-0000-000035130000}"/>
    <cellStyle name="Normal 12 14 6" xfId="5298" xr:uid="{00000000-0005-0000-0000-000036130000}"/>
    <cellStyle name="Normal 12 14 6 2" xfId="5299" xr:uid="{00000000-0005-0000-0000-000037130000}"/>
    <cellStyle name="Normal 12 14 6 2 2" xfId="5300" xr:uid="{00000000-0005-0000-0000-000038130000}"/>
    <cellStyle name="Normal 12 14 6 2 3" xfId="5301" xr:uid="{00000000-0005-0000-0000-000039130000}"/>
    <cellStyle name="Normal 12 14 6 2 4" xfId="5302" xr:uid="{00000000-0005-0000-0000-00003A130000}"/>
    <cellStyle name="Normal 12 14 6 2 5" xfId="5303" xr:uid="{00000000-0005-0000-0000-00003B130000}"/>
    <cellStyle name="Normal 12 14 6 3" xfId="5304" xr:uid="{00000000-0005-0000-0000-00003C130000}"/>
    <cellStyle name="Normal 12 14 6 4" xfId="5305" xr:uid="{00000000-0005-0000-0000-00003D130000}"/>
    <cellStyle name="Normal 12 14 6 5" xfId="5306" xr:uid="{00000000-0005-0000-0000-00003E130000}"/>
    <cellStyle name="Normal 12 14 6 6" xfId="5307" xr:uid="{00000000-0005-0000-0000-00003F130000}"/>
    <cellStyle name="Normal 12 14 6 7" xfId="5308" xr:uid="{00000000-0005-0000-0000-000040130000}"/>
    <cellStyle name="Normal 12 14 6 8" xfId="5309" xr:uid="{00000000-0005-0000-0000-000041130000}"/>
    <cellStyle name="Normal 12 14 7" xfId="5310" xr:uid="{00000000-0005-0000-0000-000042130000}"/>
    <cellStyle name="Normal 12 14 7 2" xfId="5311" xr:uid="{00000000-0005-0000-0000-000043130000}"/>
    <cellStyle name="Normal 12 14 7 3" xfId="5312" xr:uid="{00000000-0005-0000-0000-000044130000}"/>
    <cellStyle name="Normal 12 14 7 4" xfId="5313" xr:uid="{00000000-0005-0000-0000-000045130000}"/>
    <cellStyle name="Normal 12 14 7 5" xfId="5314" xr:uid="{00000000-0005-0000-0000-000046130000}"/>
    <cellStyle name="Normal 12 14 8" xfId="5315" xr:uid="{00000000-0005-0000-0000-000047130000}"/>
    <cellStyle name="Normal 12 14 9" xfId="5316" xr:uid="{00000000-0005-0000-0000-000048130000}"/>
    <cellStyle name="Normal 12 15" xfId="5317" xr:uid="{00000000-0005-0000-0000-000049130000}"/>
    <cellStyle name="Normal 12 15 10" xfId="5318" xr:uid="{00000000-0005-0000-0000-00004A130000}"/>
    <cellStyle name="Normal 12 15 11" xfId="5319" xr:uid="{00000000-0005-0000-0000-00004B130000}"/>
    <cellStyle name="Normal 12 15 12" xfId="5320" xr:uid="{00000000-0005-0000-0000-00004C130000}"/>
    <cellStyle name="Normal 12 15 13" xfId="5321" xr:uid="{00000000-0005-0000-0000-00004D130000}"/>
    <cellStyle name="Normal 12 15 2" xfId="5322" xr:uid="{00000000-0005-0000-0000-00004E130000}"/>
    <cellStyle name="Normal 12 15 2 10" xfId="5323" xr:uid="{00000000-0005-0000-0000-00004F130000}"/>
    <cellStyle name="Normal 12 15 2 11" xfId="5324" xr:uid="{00000000-0005-0000-0000-000050130000}"/>
    <cellStyle name="Normal 12 15 2 2" xfId="5325" xr:uid="{00000000-0005-0000-0000-000051130000}"/>
    <cellStyle name="Normal 12 15 2 2 10" xfId="5326" xr:uid="{00000000-0005-0000-0000-000052130000}"/>
    <cellStyle name="Normal 12 15 2 2 2" xfId="5327" xr:uid="{00000000-0005-0000-0000-000053130000}"/>
    <cellStyle name="Normal 12 15 2 2 2 2" xfId="5328" xr:uid="{00000000-0005-0000-0000-000054130000}"/>
    <cellStyle name="Normal 12 15 2 2 2 2 2" xfId="5329" xr:uid="{00000000-0005-0000-0000-000055130000}"/>
    <cellStyle name="Normal 12 15 2 2 2 2 3" xfId="5330" xr:uid="{00000000-0005-0000-0000-000056130000}"/>
    <cellStyle name="Normal 12 15 2 2 2 2 4" xfId="5331" xr:uid="{00000000-0005-0000-0000-000057130000}"/>
    <cellStyle name="Normal 12 15 2 2 2 2 5" xfId="5332" xr:uid="{00000000-0005-0000-0000-000058130000}"/>
    <cellStyle name="Normal 12 15 2 2 2 3" xfId="5333" xr:uid="{00000000-0005-0000-0000-000059130000}"/>
    <cellStyle name="Normal 12 15 2 2 2 4" xfId="5334" xr:uid="{00000000-0005-0000-0000-00005A130000}"/>
    <cellStyle name="Normal 12 15 2 2 2 5" xfId="5335" xr:uid="{00000000-0005-0000-0000-00005B130000}"/>
    <cellStyle name="Normal 12 15 2 2 2 6" xfId="5336" xr:uid="{00000000-0005-0000-0000-00005C130000}"/>
    <cellStyle name="Normal 12 15 2 2 2 7" xfId="5337" xr:uid="{00000000-0005-0000-0000-00005D130000}"/>
    <cellStyle name="Normal 12 15 2 2 2 8" xfId="5338" xr:uid="{00000000-0005-0000-0000-00005E130000}"/>
    <cellStyle name="Normal 12 15 2 2 3" xfId="5339" xr:uid="{00000000-0005-0000-0000-00005F130000}"/>
    <cellStyle name="Normal 12 15 2 2 3 2" xfId="5340" xr:uid="{00000000-0005-0000-0000-000060130000}"/>
    <cellStyle name="Normal 12 15 2 2 3 2 2" xfId="5341" xr:uid="{00000000-0005-0000-0000-000061130000}"/>
    <cellStyle name="Normal 12 15 2 2 3 2 3" xfId="5342" xr:uid="{00000000-0005-0000-0000-000062130000}"/>
    <cellStyle name="Normal 12 15 2 2 3 2 4" xfId="5343" xr:uid="{00000000-0005-0000-0000-000063130000}"/>
    <cellStyle name="Normal 12 15 2 2 3 2 5" xfId="5344" xr:uid="{00000000-0005-0000-0000-000064130000}"/>
    <cellStyle name="Normal 12 15 2 2 3 3" xfId="5345" xr:uid="{00000000-0005-0000-0000-000065130000}"/>
    <cellStyle name="Normal 12 15 2 2 3 4" xfId="5346" xr:uid="{00000000-0005-0000-0000-000066130000}"/>
    <cellStyle name="Normal 12 15 2 2 3 5" xfId="5347" xr:uid="{00000000-0005-0000-0000-000067130000}"/>
    <cellStyle name="Normal 12 15 2 2 3 6" xfId="5348" xr:uid="{00000000-0005-0000-0000-000068130000}"/>
    <cellStyle name="Normal 12 15 2 2 3 7" xfId="5349" xr:uid="{00000000-0005-0000-0000-000069130000}"/>
    <cellStyle name="Normal 12 15 2 2 3 8" xfId="5350" xr:uid="{00000000-0005-0000-0000-00006A130000}"/>
    <cellStyle name="Normal 12 15 2 2 4" xfId="5351" xr:uid="{00000000-0005-0000-0000-00006B130000}"/>
    <cellStyle name="Normal 12 15 2 2 4 2" xfId="5352" xr:uid="{00000000-0005-0000-0000-00006C130000}"/>
    <cellStyle name="Normal 12 15 2 2 4 3" xfId="5353" xr:uid="{00000000-0005-0000-0000-00006D130000}"/>
    <cellStyle name="Normal 12 15 2 2 4 4" xfId="5354" xr:uid="{00000000-0005-0000-0000-00006E130000}"/>
    <cellStyle name="Normal 12 15 2 2 4 5" xfId="5355" xr:uid="{00000000-0005-0000-0000-00006F130000}"/>
    <cellStyle name="Normal 12 15 2 2 5" xfId="5356" xr:uid="{00000000-0005-0000-0000-000070130000}"/>
    <cellStyle name="Normal 12 15 2 2 6" xfId="5357" xr:uid="{00000000-0005-0000-0000-000071130000}"/>
    <cellStyle name="Normal 12 15 2 2 7" xfId="5358" xr:uid="{00000000-0005-0000-0000-000072130000}"/>
    <cellStyle name="Normal 12 15 2 2 8" xfId="5359" xr:uid="{00000000-0005-0000-0000-000073130000}"/>
    <cellStyle name="Normal 12 15 2 2 9" xfId="5360" xr:uid="{00000000-0005-0000-0000-000074130000}"/>
    <cellStyle name="Normal 12 15 2 3" xfId="5361" xr:uid="{00000000-0005-0000-0000-000075130000}"/>
    <cellStyle name="Normal 12 15 2 3 2" xfId="5362" xr:uid="{00000000-0005-0000-0000-000076130000}"/>
    <cellStyle name="Normal 12 15 2 3 2 2" xfId="5363" xr:uid="{00000000-0005-0000-0000-000077130000}"/>
    <cellStyle name="Normal 12 15 2 3 2 3" xfId="5364" xr:uid="{00000000-0005-0000-0000-000078130000}"/>
    <cellStyle name="Normal 12 15 2 3 2 4" xfId="5365" xr:uid="{00000000-0005-0000-0000-000079130000}"/>
    <cellStyle name="Normal 12 15 2 3 2 5" xfId="5366" xr:uid="{00000000-0005-0000-0000-00007A130000}"/>
    <cellStyle name="Normal 12 15 2 3 3" xfId="5367" xr:uid="{00000000-0005-0000-0000-00007B130000}"/>
    <cellStyle name="Normal 12 15 2 3 4" xfId="5368" xr:uid="{00000000-0005-0000-0000-00007C130000}"/>
    <cellStyle name="Normal 12 15 2 3 5" xfId="5369" xr:uid="{00000000-0005-0000-0000-00007D130000}"/>
    <cellStyle name="Normal 12 15 2 3 6" xfId="5370" xr:uid="{00000000-0005-0000-0000-00007E130000}"/>
    <cellStyle name="Normal 12 15 2 3 7" xfId="5371" xr:uid="{00000000-0005-0000-0000-00007F130000}"/>
    <cellStyle name="Normal 12 15 2 3 8" xfId="5372" xr:uid="{00000000-0005-0000-0000-000080130000}"/>
    <cellStyle name="Normal 12 15 2 4" xfId="5373" xr:uid="{00000000-0005-0000-0000-000081130000}"/>
    <cellStyle name="Normal 12 15 2 4 2" xfId="5374" xr:uid="{00000000-0005-0000-0000-000082130000}"/>
    <cellStyle name="Normal 12 15 2 4 2 2" xfId="5375" xr:uid="{00000000-0005-0000-0000-000083130000}"/>
    <cellStyle name="Normal 12 15 2 4 2 3" xfId="5376" xr:uid="{00000000-0005-0000-0000-000084130000}"/>
    <cellStyle name="Normal 12 15 2 4 2 4" xfId="5377" xr:uid="{00000000-0005-0000-0000-000085130000}"/>
    <cellStyle name="Normal 12 15 2 4 2 5" xfId="5378" xr:uid="{00000000-0005-0000-0000-000086130000}"/>
    <cellStyle name="Normal 12 15 2 4 3" xfId="5379" xr:uid="{00000000-0005-0000-0000-000087130000}"/>
    <cellStyle name="Normal 12 15 2 4 4" xfId="5380" xr:uid="{00000000-0005-0000-0000-000088130000}"/>
    <cellStyle name="Normal 12 15 2 4 5" xfId="5381" xr:uid="{00000000-0005-0000-0000-000089130000}"/>
    <cellStyle name="Normal 12 15 2 4 6" xfId="5382" xr:uid="{00000000-0005-0000-0000-00008A130000}"/>
    <cellStyle name="Normal 12 15 2 4 7" xfId="5383" xr:uid="{00000000-0005-0000-0000-00008B130000}"/>
    <cellStyle name="Normal 12 15 2 4 8" xfId="5384" xr:uid="{00000000-0005-0000-0000-00008C130000}"/>
    <cellStyle name="Normal 12 15 2 5" xfId="5385" xr:uid="{00000000-0005-0000-0000-00008D130000}"/>
    <cellStyle name="Normal 12 15 2 5 2" xfId="5386" xr:uid="{00000000-0005-0000-0000-00008E130000}"/>
    <cellStyle name="Normal 12 15 2 5 3" xfId="5387" xr:uid="{00000000-0005-0000-0000-00008F130000}"/>
    <cellStyle name="Normal 12 15 2 5 4" xfId="5388" xr:uid="{00000000-0005-0000-0000-000090130000}"/>
    <cellStyle name="Normal 12 15 2 5 5" xfId="5389" xr:uid="{00000000-0005-0000-0000-000091130000}"/>
    <cellStyle name="Normal 12 15 2 6" xfId="5390" xr:uid="{00000000-0005-0000-0000-000092130000}"/>
    <cellStyle name="Normal 12 15 2 7" xfId="5391" xr:uid="{00000000-0005-0000-0000-000093130000}"/>
    <cellStyle name="Normal 12 15 2 8" xfId="5392" xr:uid="{00000000-0005-0000-0000-000094130000}"/>
    <cellStyle name="Normal 12 15 2 9" xfId="5393" xr:uid="{00000000-0005-0000-0000-000095130000}"/>
    <cellStyle name="Normal 12 15 3" xfId="5394" xr:uid="{00000000-0005-0000-0000-000096130000}"/>
    <cellStyle name="Normal 12 15 3 10" xfId="5395" xr:uid="{00000000-0005-0000-0000-000097130000}"/>
    <cellStyle name="Normal 12 15 3 11" xfId="5396" xr:uid="{00000000-0005-0000-0000-000098130000}"/>
    <cellStyle name="Normal 12 15 3 2" xfId="5397" xr:uid="{00000000-0005-0000-0000-000099130000}"/>
    <cellStyle name="Normal 12 15 3 2 10" xfId="5398" xr:uid="{00000000-0005-0000-0000-00009A130000}"/>
    <cellStyle name="Normal 12 15 3 2 2" xfId="5399" xr:uid="{00000000-0005-0000-0000-00009B130000}"/>
    <cellStyle name="Normal 12 15 3 2 2 2" xfId="5400" xr:uid="{00000000-0005-0000-0000-00009C130000}"/>
    <cellStyle name="Normal 12 15 3 2 2 2 2" xfId="5401" xr:uid="{00000000-0005-0000-0000-00009D130000}"/>
    <cellStyle name="Normal 12 15 3 2 2 2 3" xfId="5402" xr:uid="{00000000-0005-0000-0000-00009E130000}"/>
    <cellStyle name="Normal 12 15 3 2 2 2 4" xfId="5403" xr:uid="{00000000-0005-0000-0000-00009F130000}"/>
    <cellStyle name="Normal 12 15 3 2 2 2 5" xfId="5404" xr:uid="{00000000-0005-0000-0000-0000A0130000}"/>
    <cellStyle name="Normal 12 15 3 2 2 3" xfId="5405" xr:uid="{00000000-0005-0000-0000-0000A1130000}"/>
    <cellStyle name="Normal 12 15 3 2 2 4" xfId="5406" xr:uid="{00000000-0005-0000-0000-0000A2130000}"/>
    <cellStyle name="Normal 12 15 3 2 2 5" xfId="5407" xr:uid="{00000000-0005-0000-0000-0000A3130000}"/>
    <cellStyle name="Normal 12 15 3 2 2 6" xfId="5408" xr:uid="{00000000-0005-0000-0000-0000A4130000}"/>
    <cellStyle name="Normal 12 15 3 2 2 7" xfId="5409" xr:uid="{00000000-0005-0000-0000-0000A5130000}"/>
    <cellStyle name="Normal 12 15 3 2 2 8" xfId="5410" xr:uid="{00000000-0005-0000-0000-0000A6130000}"/>
    <cellStyle name="Normal 12 15 3 2 3" xfId="5411" xr:uid="{00000000-0005-0000-0000-0000A7130000}"/>
    <cellStyle name="Normal 12 15 3 2 3 2" xfId="5412" xr:uid="{00000000-0005-0000-0000-0000A8130000}"/>
    <cellStyle name="Normal 12 15 3 2 3 2 2" xfId="5413" xr:uid="{00000000-0005-0000-0000-0000A9130000}"/>
    <cellStyle name="Normal 12 15 3 2 3 2 3" xfId="5414" xr:uid="{00000000-0005-0000-0000-0000AA130000}"/>
    <cellStyle name="Normal 12 15 3 2 3 2 4" xfId="5415" xr:uid="{00000000-0005-0000-0000-0000AB130000}"/>
    <cellStyle name="Normal 12 15 3 2 3 2 5" xfId="5416" xr:uid="{00000000-0005-0000-0000-0000AC130000}"/>
    <cellStyle name="Normal 12 15 3 2 3 3" xfId="5417" xr:uid="{00000000-0005-0000-0000-0000AD130000}"/>
    <cellStyle name="Normal 12 15 3 2 3 4" xfId="5418" xr:uid="{00000000-0005-0000-0000-0000AE130000}"/>
    <cellStyle name="Normal 12 15 3 2 3 5" xfId="5419" xr:uid="{00000000-0005-0000-0000-0000AF130000}"/>
    <cellStyle name="Normal 12 15 3 2 3 6" xfId="5420" xr:uid="{00000000-0005-0000-0000-0000B0130000}"/>
    <cellStyle name="Normal 12 15 3 2 3 7" xfId="5421" xr:uid="{00000000-0005-0000-0000-0000B1130000}"/>
    <cellStyle name="Normal 12 15 3 2 3 8" xfId="5422" xr:uid="{00000000-0005-0000-0000-0000B2130000}"/>
    <cellStyle name="Normal 12 15 3 2 4" xfId="5423" xr:uid="{00000000-0005-0000-0000-0000B3130000}"/>
    <cellStyle name="Normal 12 15 3 2 4 2" xfId="5424" xr:uid="{00000000-0005-0000-0000-0000B4130000}"/>
    <cellStyle name="Normal 12 15 3 2 4 3" xfId="5425" xr:uid="{00000000-0005-0000-0000-0000B5130000}"/>
    <cellStyle name="Normal 12 15 3 2 4 4" xfId="5426" xr:uid="{00000000-0005-0000-0000-0000B6130000}"/>
    <cellStyle name="Normal 12 15 3 2 4 5" xfId="5427" xr:uid="{00000000-0005-0000-0000-0000B7130000}"/>
    <cellStyle name="Normal 12 15 3 2 5" xfId="5428" xr:uid="{00000000-0005-0000-0000-0000B8130000}"/>
    <cellStyle name="Normal 12 15 3 2 6" xfId="5429" xr:uid="{00000000-0005-0000-0000-0000B9130000}"/>
    <cellStyle name="Normal 12 15 3 2 7" xfId="5430" xr:uid="{00000000-0005-0000-0000-0000BA130000}"/>
    <cellStyle name="Normal 12 15 3 2 8" xfId="5431" xr:uid="{00000000-0005-0000-0000-0000BB130000}"/>
    <cellStyle name="Normal 12 15 3 2 9" xfId="5432" xr:uid="{00000000-0005-0000-0000-0000BC130000}"/>
    <cellStyle name="Normal 12 15 3 3" xfId="5433" xr:uid="{00000000-0005-0000-0000-0000BD130000}"/>
    <cellStyle name="Normal 12 15 3 3 2" xfId="5434" xr:uid="{00000000-0005-0000-0000-0000BE130000}"/>
    <cellStyle name="Normal 12 15 3 3 2 2" xfId="5435" xr:uid="{00000000-0005-0000-0000-0000BF130000}"/>
    <cellStyle name="Normal 12 15 3 3 2 3" xfId="5436" xr:uid="{00000000-0005-0000-0000-0000C0130000}"/>
    <cellStyle name="Normal 12 15 3 3 2 4" xfId="5437" xr:uid="{00000000-0005-0000-0000-0000C1130000}"/>
    <cellStyle name="Normal 12 15 3 3 2 5" xfId="5438" xr:uid="{00000000-0005-0000-0000-0000C2130000}"/>
    <cellStyle name="Normal 12 15 3 3 3" xfId="5439" xr:uid="{00000000-0005-0000-0000-0000C3130000}"/>
    <cellStyle name="Normal 12 15 3 3 4" xfId="5440" xr:uid="{00000000-0005-0000-0000-0000C4130000}"/>
    <cellStyle name="Normal 12 15 3 3 5" xfId="5441" xr:uid="{00000000-0005-0000-0000-0000C5130000}"/>
    <cellStyle name="Normal 12 15 3 3 6" xfId="5442" xr:uid="{00000000-0005-0000-0000-0000C6130000}"/>
    <cellStyle name="Normal 12 15 3 3 7" xfId="5443" xr:uid="{00000000-0005-0000-0000-0000C7130000}"/>
    <cellStyle name="Normal 12 15 3 3 8" xfId="5444" xr:uid="{00000000-0005-0000-0000-0000C8130000}"/>
    <cellStyle name="Normal 12 15 3 4" xfId="5445" xr:uid="{00000000-0005-0000-0000-0000C9130000}"/>
    <cellStyle name="Normal 12 15 3 4 2" xfId="5446" xr:uid="{00000000-0005-0000-0000-0000CA130000}"/>
    <cellStyle name="Normal 12 15 3 4 2 2" xfId="5447" xr:uid="{00000000-0005-0000-0000-0000CB130000}"/>
    <cellStyle name="Normal 12 15 3 4 2 3" xfId="5448" xr:uid="{00000000-0005-0000-0000-0000CC130000}"/>
    <cellStyle name="Normal 12 15 3 4 2 4" xfId="5449" xr:uid="{00000000-0005-0000-0000-0000CD130000}"/>
    <cellStyle name="Normal 12 15 3 4 2 5" xfId="5450" xr:uid="{00000000-0005-0000-0000-0000CE130000}"/>
    <cellStyle name="Normal 12 15 3 4 3" xfId="5451" xr:uid="{00000000-0005-0000-0000-0000CF130000}"/>
    <cellStyle name="Normal 12 15 3 4 4" xfId="5452" xr:uid="{00000000-0005-0000-0000-0000D0130000}"/>
    <cellStyle name="Normal 12 15 3 4 5" xfId="5453" xr:uid="{00000000-0005-0000-0000-0000D1130000}"/>
    <cellStyle name="Normal 12 15 3 4 6" xfId="5454" xr:uid="{00000000-0005-0000-0000-0000D2130000}"/>
    <cellStyle name="Normal 12 15 3 4 7" xfId="5455" xr:uid="{00000000-0005-0000-0000-0000D3130000}"/>
    <cellStyle name="Normal 12 15 3 4 8" xfId="5456" xr:uid="{00000000-0005-0000-0000-0000D4130000}"/>
    <cellStyle name="Normal 12 15 3 5" xfId="5457" xr:uid="{00000000-0005-0000-0000-0000D5130000}"/>
    <cellStyle name="Normal 12 15 3 5 2" xfId="5458" xr:uid="{00000000-0005-0000-0000-0000D6130000}"/>
    <cellStyle name="Normal 12 15 3 5 3" xfId="5459" xr:uid="{00000000-0005-0000-0000-0000D7130000}"/>
    <cellStyle name="Normal 12 15 3 5 4" xfId="5460" xr:uid="{00000000-0005-0000-0000-0000D8130000}"/>
    <cellStyle name="Normal 12 15 3 5 5" xfId="5461" xr:uid="{00000000-0005-0000-0000-0000D9130000}"/>
    <cellStyle name="Normal 12 15 3 6" xfId="5462" xr:uid="{00000000-0005-0000-0000-0000DA130000}"/>
    <cellStyle name="Normal 12 15 3 7" xfId="5463" xr:uid="{00000000-0005-0000-0000-0000DB130000}"/>
    <cellStyle name="Normal 12 15 3 8" xfId="5464" xr:uid="{00000000-0005-0000-0000-0000DC130000}"/>
    <cellStyle name="Normal 12 15 3 9" xfId="5465" xr:uid="{00000000-0005-0000-0000-0000DD130000}"/>
    <cellStyle name="Normal 12 15 4" xfId="5466" xr:uid="{00000000-0005-0000-0000-0000DE130000}"/>
    <cellStyle name="Normal 12 15 4 10" xfId="5467" xr:uid="{00000000-0005-0000-0000-0000DF130000}"/>
    <cellStyle name="Normal 12 15 4 2" xfId="5468" xr:uid="{00000000-0005-0000-0000-0000E0130000}"/>
    <cellStyle name="Normal 12 15 4 2 2" xfId="5469" xr:uid="{00000000-0005-0000-0000-0000E1130000}"/>
    <cellStyle name="Normal 12 15 4 2 2 2" xfId="5470" xr:uid="{00000000-0005-0000-0000-0000E2130000}"/>
    <cellStyle name="Normal 12 15 4 2 2 3" xfId="5471" xr:uid="{00000000-0005-0000-0000-0000E3130000}"/>
    <cellStyle name="Normal 12 15 4 2 2 4" xfId="5472" xr:uid="{00000000-0005-0000-0000-0000E4130000}"/>
    <cellStyle name="Normal 12 15 4 2 2 5" xfId="5473" xr:uid="{00000000-0005-0000-0000-0000E5130000}"/>
    <cellStyle name="Normal 12 15 4 2 3" xfId="5474" xr:uid="{00000000-0005-0000-0000-0000E6130000}"/>
    <cellStyle name="Normal 12 15 4 2 4" xfId="5475" xr:uid="{00000000-0005-0000-0000-0000E7130000}"/>
    <cellStyle name="Normal 12 15 4 2 5" xfId="5476" xr:uid="{00000000-0005-0000-0000-0000E8130000}"/>
    <cellStyle name="Normal 12 15 4 2 6" xfId="5477" xr:uid="{00000000-0005-0000-0000-0000E9130000}"/>
    <cellStyle name="Normal 12 15 4 2 7" xfId="5478" xr:uid="{00000000-0005-0000-0000-0000EA130000}"/>
    <cellStyle name="Normal 12 15 4 2 8" xfId="5479" xr:uid="{00000000-0005-0000-0000-0000EB130000}"/>
    <cellStyle name="Normal 12 15 4 3" xfId="5480" xr:uid="{00000000-0005-0000-0000-0000EC130000}"/>
    <cellStyle name="Normal 12 15 4 3 2" xfId="5481" xr:uid="{00000000-0005-0000-0000-0000ED130000}"/>
    <cellStyle name="Normal 12 15 4 3 2 2" xfId="5482" xr:uid="{00000000-0005-0000-0000-0000EE130000}"/>
    <cellStyle name="Normal 12 15 4 3 2 3" xfId="5483" xr:uid="{00000000-0005-0000-0000-0000EF130000}"/>
    <cellStyle name="Normal 12 15 4 3 2 4" xfId="5484" xr:uid="{00000000-0005-0000-0000-0000F0130000}"/>
    <cellStyle name="Normal 12 15 4 3 2 5" xfId="5485" xr:uid="{00000000-0005-0000-0000-0000F1130000}"/>
    <cellStyle name="Normal 12 15 4 3 3" xfId="5486" xr:uid="{00000000-0005-0000-0000-0000F2130000}"/>
    <cellStyle name="Normal 12 15 4 3 4" xfId="5487" xr:uid="{00000000-0005-0000-0000-0000F3130000}"/>
    <cellStyle name="Normal 12 15 4 3 5" xfId="5488" xr:uid="{00000000-0005-0000-0000-0000F4130000}"/>
    <cellStyle name="Normal 12 15 4 3 6" xfId="5489" xr:uid="{00000000-0005-0000-0000-0000F5130000}"/>
    <cellStyle name="Normal 12 15 4 3 7" xfId="5490" xr:uid="{00000000-0005-0000-0000-0000F6130000}"/>
    <cellStyle name="Normal 12 15 4 3 8" xfId="5491" xr:uid="{00000000-0005-0000-0000-0000F7130000}"/>
    <cellStyle name="Normal 12 15 4 4" xfId="5492" xr:uid="{00000000-0005-0000-0000-0000F8130000}"/>
    <cellStyle name="Normal 12 15 4 4 2" xfId="5493" xr:uid="{00000000-0005-0000-0000-0000F9130000}"/>
    <cellStyle name="Normal 12 15 4 4 3" xfId="5494" xr:uid="{00000000-0005-0000-0000-0000FA130000}"/>
    <cellStyle name="Normal 12 15 4 4 4" xfId="5495" xr:uid="{00000000-0005-0000-0000-0000FB130000}"/>
    <cellStyle name="Normal 12 15 4 4 5" xfId="5496" xr:uid="{00000000-0005-0000-0000-0000FC130000}"/>
    <cellStyle name="Normal 12 15 4 5" xfId="5497" xr:uid="{00000000-0005-0000-0000-0000FD130000}"/>
    <cellStyle name="Normal 12 15 4 6" xfId="5498" xr:uid="{00000000-0005-0000-0000-0000FE130000}"/>
    <cellStyle name="Normal 12 15 4 7" xfId="5499" xr:uid="{00000000-0005-0000-0000-0000FF130000}"/>
    <cellStyle name="Normal 12 15 4 8" xfId="5500" xr:uid="{00000000-0005-0000-0000-000000140000}"/>
    <cellStyle name="Normal 12 15 4 9" xfId="5501" xr:uid="{00000000-0005-0000-0000-000001140000}"/>
    <cellStyle name="Normal 12 15 5" xfId="5502" xr:uid="{00000000-0005-0000-0000-000002140000}"/>
    <cellStyle name="Normal 12 15 5 2" xfId="5503" xr:uid="{00000000-0005-0000-0000-000003140000}"/>
    <cellStyle name="Normal 12 15 5 2 2" xfId="5504" xr:uid="{00000000-0005-0000-0000-000004140000}"/>
    <cellStyle name="Normal 12 15 5 2 3" xfId="5505" xr:uid="{00000000-0005-0000-0000-000005140000}"/>
    <cellStyle name="Normal 12 15 5 2 4" xfId="5506" xr:uid="{00000000-0005-0000-0000-000006140000}"/>
    <cellStyle name="Normal 12 15 5 2 5" xfId="5507" xr:uid="{00000000-0005-0000-0000-000007140000}"/>
    <cellStyle name="Normal 12 15 5 3" xfId="5508" xr:uid="{00000000-0005-0000-0000-000008140000}"/>
    <cellStyle name="Normal 12 15 5 4" xfId="5509" xr:uid="{00000000-0005-0000-0000-000009140000}"/>
    <cellStyle name="Normal 12 15 5 5" xfId="5510" xr:uid="{00000000-0005-0000-0000-00000A140000}"/>
    <cellStyle name="Normal 12 15 5 6" xfId="5511" xr:uid="{00000000-0005-0000-0000-00000B140000}"/>
    <cellStyle name="Normal 12 15 5 7" xfId="5512" xr:uid="{00000000-0005-0000-0000-00000C140000}"/>
    <cellStyle name="Normal 12 15 5 8" xfId="5513" xr:uid="{00000000-0005-0000-0000-00000D140000}"/>
    <cellStyle name="Normal 12 15 6" xfId="5514" xr:uid="{00000000-0005-0000-0000-00000E140000}"/>
    <cellStyle name="Normal 12 15 6 2" xfId="5515" xr:uid="{00000000-0005-0000-0000-00000F140000}"/>
    <cellStyle name="Normal 12 15 6 2 2" xfId="5516" xr:uid="{00000000-0005-0000-0000-000010140000}"/>
    <cellStyle name="Normal 12 15 6 2 3" xfId="5517" xr:uid="{00000000-0005-0000-0000-000011140000}"/>
    <cellStyle name="Normal 12 15 6 2 4" xfId="5518" xr:uid="{00000000-0005-0000-0000-000012140000}"/>
    <cellStyle name="Normal 12 15 6 2 5" xfId="5519" xr:uid="{00000000-0005-0000-0000-000013140000}"/>
    <cellStyle name="Normal 12 15 6 3" xfId="5520" xr:uid="{00000000-0005-0000-0000-000014140000}"/>
    <cellStyle name="Normal 12 15 6 4" xfId="5521" xr:uid="{00000000-0005-0000-0000-000015140000}"/>
    <cellStyle name="Normal 12 15 6 5" xfId="5522" xr:uid="{00000000-0005-0000-0000-000016140000}"/>
    <cellStyle name="Normal 12 15 6 6" xfId="5523" xr:uid="{00000000-0005-0000-0000-000017140000}"/>
    <cellStyle name="Normal 12 15 6 7" xfId="5524" xr:uid="{00000000-0005-0000-0000-000018140000}"/>
    <cellStyle name="Normal 12 15 6 8" xfId="5525" xr:uid="{00000000-0005-0000-0000-000019140000}"/>
    <cellStyle name="Normal 12 15 7" xfId="5526" xr:uid="{00000000-0005-0000-0000-00001A140000}"/>
    <cellStyle name="Normal 12 15 7 2" xfId="5527" xr:uid="{00000000-0005-0000-0000-00001B140000}"/>
    <cellStyle name="Normal 12 15 7 3" xfId="5528" xr:uid="{00000000-0005-0000-0000-00001C140000}"/>
    <cellStyle name="Normal 12 15 7 4" xfId="5529" xr:uid="{00000000-0005-0000-0000-00001D140000}"/>
    <cellStyle name="Normal 12 15 7 5" xfId="5530" xr:uid="{00000000-0005-0000-0000-00001E140000}"/>
    <cellStyle name="Normal 12 15 8" xfId="5531" xr:uid="{00000000-0005-0000-0000-00001F140000}"/>
    <cellStyle name="Normal 12 15 9" xfId="5532" xr:uid="{00000000-0005-0000-0000-000020140000}"/>
    <cellStyle name="Normal 12 16" xfId="5533" xr:uid="{00000000-0005-0000-0000-000021140000}"/>
    <cellStyle name="Normal 12 16 10" xfId="5534" xr:uid="{00000000-0005-0000-0000-000022140000}"/>
    <cellStyle name="Normal 12 16 11" xfId="5535" xr:uid="{00000000-0005-0000-0000-000023140000}"/>
    <cellStyle name="Normal 12 16 12" xfId="5536" xr:uid="{00000000-0005-0000-0000-000024140000}"/>
    <cellStyle name="Normal 12 16 13" xfId="5537" xr:uid="{00000000-0005-0000-0000-000025140000}"/>
    <cellStyle name="Normal 12 16 2" xfId="5538" xr:uid="{00000000-0005-0000-0000-000026140000}"/>
    <cellStyle name="Normal 12 16 2 10" xfId="5539" xr:uid="{00000000-0005-0000-0000-000027140000}"/>
    <cellStyle name="Normal 12 16 2 11" xfId="5540" xr:uid="{00000000-0005-0000-0000-000028140000}"/>
    <cellStyle name="Normal 12 16 2 2" xfId="5541" xr:uid="{00000000-0005-0000-0000-000029140000}"/>
    <cellStyle name="Normal 12 16 2 2 10" xfId="5542" xr:uid="{00000000-0005-0000-0000-00002A140000}"/>
    <cellStyle name="Normal 12 16 2 2 2" xfId="5543" xr:uid="{00000000-0005-0000-0000-00002B140000}"/>
    <cellStyle name="Normal 12 16 2 2 2 2" xfId="5544" xr:uid="{00000000-0005-0000-0000-00002C140000}"/>
    <cellStyle name="Normal 12 16 2 2 2 2 2" xfId="5545" xr:uid="{00000000-0005-0000-0000-00002D140000}"/>
    <cellStyle name="Normal 12 16 2 2 2 2 3" xfId="5546" xr:uid="{00000000-0005-0000-0000-00002E140000}"/>
    <cellStyle name="Normal 12 16 2 2 2 2 4" xfId="5547" xr:uid="{00000000-0005-0000-0000-00002F140000}"/>
    <cellStyle name="Normal 12 16 2 2 2 2 5" xfId="5548" xr:uid="{00000000-0005-0000-0000-000030140000}"/>
    <cellStyle name="Normal 12 16 2 2 2 3" xfId="5549" xr:uid="{00000000-0005-0000-0000-000031140000}"/>
    <cellStyle name="Normal 12 16 2 2 2 4" xfId="5550" xr:uid="{00000000-0005-0000-0000-000032140000}"/>
    <cellStyle name="Normal 12 16 2 2 2 5" xfId="5551" xr:uid="{00000000-0005-0000-0000-000033140000}"/>
    <cellStyle name="Normal 12 16 2 2 2 6" xfId="5552" xr:uid="{00000000-0005-0000-0000-000034140000}"/>
    <cellStyle name="Normal 12 16 2 2 2 7" xfId="5553" xr:uid="{00000000-0005-0000-0000-000035140000}"/>
    <cellStyle name="Normal 12 16 2 2 2 8" xfId="5554" xr:uid="{00000000-0005-0000-0000-000036140000}"/>
    <cellStyle name="Normal 12 16 2 2 3" xfId="5555" xr:uid="{00000000-0005-0000-0000-000037140000}"/>
    <cellStyle name="Normal 12 16 2 2 3 2" xfId="5556" xr:uid="{00000000-0005-0000-0000-000038140000}"/>
    <cellStyle name="Normal 12 16 2 2 3 2 2" xfId="5557" xr:uid="{00000000-0005-0000-0000-000039140000}"/>
    <cellStyle name="Normal 12 16 2 2 3 2 3" xfId="5558" xr:uid="{00000000-0005-0000-0000-00003A140000}"/>
    <cellStyle name="Normal 12 16 2 2 3 2 4" xfId="5559" xr:uid="{00000000-0005-0000-0000-00003B140000}"/>
    <cellStyle name="Normal 12 16 2 2 3 2 5" xfId="5560" xr:uid="{00000000-0005-0000-0000-00003C140000}"/>
    <cellStyle name="Normal 12 16 2 2 3 3" xfId="5561" xr:uid="{00000000-0005-0000-0000-00003D140000}"/>
    <cellStyle name="Normal 12 16 2 2 3 4" xfId="5562" xr:uid="{00000000-0005-0000-0000-00003E140000}"/>
    <cellStyle name="Normal 12 16 2 2 3 5" xfId="5563" xr:uid="{00000000-0005-0000-0000-00003F140000}"/>
    <cellStyle name="Normal 12 16 2 2 3 6" xfId="5564" xr:uid="{00000000-0005-0000-0000-000040140000}"/>
    <cellStyle name="Normal 12 16 2 2 3 7" xfId="5565" xr:uid="{00000000-0005-0000-0000-000041140000}"/>
    <cellStyle name="Normal 12 16 2 2 3 8" xfId="5566" xr:uid="{00000000-0005-0000-0000-000042140000}"/>
    <cellStyle name="Normal 12 16 2 2 4" xfId="5567" xr:uid="{00000000-0005-0000-0000-000043140000}"/>
    <cellStyle name="Normal 12 16 2 2 4 2" xfId="5568" xr:uid="{00000000-0005-0000-0000-000044140000}"/>
    <cellStyle name="Normal 12 16 2 2 4 3" xfId="5569" xr:uid="{00000000-0005-0000-0000-000045140000}"/>
    <cellStyle name="Normal 12 16 2 2 4 4" xfId="5570" xr:uid="{00000000-0005-0000-0000-000046140000}"/>
    <cellStyle name="Normal 12 16 2 2 4 5" xfId="5571" xr:uid="{00000000-0005-0000-0000-000047140000}"/>
    <cellStyle name="Normal 12 16 2 2 5" xfId="5572" xr:uid="{00000000-0005-0000-0000-000048140000}"/>
    <cellStyle name="Normal 12 16 2 2 6" xfId="5573" xr:uid="{00000000-0005-0000-0000-000049140000}"/>
    <cellStyle name="Normal 12 16 2 2 7" xfId="5574" xr:uid="{00000000-0005-0000-0000-00004A140000}"/>
    <cellStyle name="Normal 12 16 2 2 8" xfId="5575" xr:uid="{00000000-0005-0000-0000-00004B140000}"/>
    <cellStyle name="Normal 12 16 2 2 9" xfId="5576" xr:uid="{00000000-0005-0000-0000-00004C140000}"/>
    <cellStyle name="Normal 12 16 2 3" xfId="5577" xr:uid="{00000000-0005-0000-0000-00004D140000}"/>
    <cellStyle name="Normal 12 16 2 3 2" xfId="5578" xr:uid="{00000000-0005-0000-0000-00004E140000}"/>
    <cellStyle name="Normal 12 16 2 3 2 2" xfId="5579" xr:uid="{00000000-0005-0000-0000-00004F140000}"/>
    <cellStyle name="Normal 12 16 2 3 2 3" xfId="5580" xr:uid="{00000000-0005-0000-0000-000050140000}"/>
    <cellStyle name="Normal 12 16 2 3 2 4" xfId="5581" xr:uid="{00000000-0005-0000-0000-000051140000}"/>
    <cellStyle name="Normal 12 16 2 3 2 5" xfId="5582" xr:uid="{00000000-0005-0000-0000-000052140000}"/>
    <cellStyle name="Normal 12 16 2 3 3" xfId="5583" xr:uid="{00000000-0005-0000-0000-000053140000}"/>
    <cellStyle name="Normal 12 16 2 3 4" xfId="5584" xr:uid="{00000000-0005-0000-0000-000054140000}"/>
    <cellStyle name="Normal 12 16 2 3 5" xfId="5585" xr:uid="{00000000-0005-0000-0000-000055140000}"/>
    <cellStyle name="Normal 12 16 2 3 6" xfId="5586" xr:uid="{00000000-0005-0000-0000-000056140000}"/>
    <cellStyle name="Normal 12 16 2 3 7" xfId="5587" xr:uid="{00000000-0005-0000-0000-000057140000}"/>
    <cellStyle name="Normal 12 16 2 3 8" xfId="5588" xr:uid="{00000000-0005-0000-0000-000058140000}"/>
    <cellStyle name="Normal 12 16 2 4" xfId="5589" xr:uid="{00000000-0005-0000-0000-000059140000}"/>
    <cellStyle name="Normal 12 16 2 4 2" xfId="5590" xr:uid="{00000000-0005-0000-0000-00005A140000}"/>
    <cellStyle name="Normal 12 16 2 4 2 2" xfId="5591" xr:uid="{00000000-0005-0000-0000-00005B140000}"/>
    <cellStyle name="Normal 12 16 2 4 2 3" xfId="5592" xr:uid="{00000000-0005-0000-0000-00005C140000}"/>
    <cellStyle name="Normal 12 16 2 4 2 4" xfId="5593" xr:uid="{00000000-0005-0000-0000-00005D140000}"/>
    <cellStyle name="Normal 12 16 2 4 2 5" xfId="5594" xr:uid="{00000000-0005-0000-0000-00005E140000}"/>
    <cellStyle name="Normal 12 16 2 4 3" xfId="5595" xr:uid="{00000000-0005-0000-0000-00005F140000}"/>
    <cellStyle name="Normal 12 16 2 4 4" xfId="5596" xr:uid="{00000000-0005-0000-0000-000060140000}"/>
    <cellStyle name="Normal 12 16 2 4 5" xfId="5597" xr:uid="{00000000-0005-0000-0000-000061140000}"/>
    <cellStyle name="Normal 12 16 2 4 6" xfId="5598" xr:uid="{00000000-0005-0000-0000-000062140000}"/>
    <cellStyle name="Normal 12 16 2 4 7" xfId="5599" xr:uid="{00000000-0005-0000-0000-000063140000}"/>
    <cellStyle name="Normal 12 16 2 4 8" xfId="5600" xr:uid="{00000000-0005-0000-0000-000064140000}"/>
    <cellStyle name="Normal 12 16 2 5" xfId="5601" xr:uid="{00000000-0005-0000-0000-000065140000}"/>
    <cellStyle name="Normal 12 16 2 5 2" xfId="5602" xr:uid="{00000000-0005-0000-0000-000066140000}"/>
    <cellStyle name="Normal 12 16 2 5 3" xfId="5603" xr:uid="{00000000-0005-0000-0000-000067140000}"/>
    <cellStyle name="Normal 12 16 2 5 4" xfId="5604" xr:uid="{00000000-0005-0000-0000-000068140000}"/>
    <cellStyle name="Normal 12 16 2 5 5" xfId="5605" xr:uid="{00000000-0005-0000-0000-000069140000}"/>
    <cellStyle name="Normal 12 16 2 6" xfId="5606" xr:uid="{00000000-0005-0000-0000-00006A140000}"/>
    <cellStyle name="Normal 12 16 2 7" xfId="5607" xr:uid="{00000000-0005-0000-0000-00006B140000}"/>
    <cellStyle name="Normal 12 16 2 8" xfId="5608" xr:uid="{00000000-0005-0000-0000-00006C140000}"/>
    <cellStyle name="Normal 12 16 2 9" xfId="5609" xr:uid="{00000000-0005-0000-0000-00006D140000}"/>
    <cellStyle name="Normal 12 16 3" xfId="5610" xr:uid="{00000000-0005-0000-0000-00006E140000}"/>
    <cellStyle name="Normal 12 16 3 10" xfId="5611" xr:uid="{00000000-0005-0000-0000-00006F140000}"/>
    <cellStyle name="Normal 12 16 3 11" xfId="5612" xr:uid="{00000000-0005-0000-0000-000070140000}"/>
    <cellStyle name="Normal 12 16 3 2" xfId="5613" xr:uid="{00000000-0005-0000-0000-000071140000}"/>
    <cellStyle name="Normal 12 16 3 2 10" xfId="5614" xr:uid="{00000000-0005-0000-0000-000072140000}"/>
    <cellStyle name="Normal 12 16 3 2 2" xfId="5615" xr:uid="{00000000-0005-0000-0000-000073140000}"/>
    <cellStyle name="Normal 12 16 3 2 2 2" xfId="5616" xr:uid="{00000000-0005-0000-0000-000074140000}"/>
    <cellStyle name="Normal 12 16 3 2 2 2 2" xfId="5617" xr:uid="{00000000-0005-0000-0000-000075140000}"/>
    <cellStyle name="Normal 12 16 3 2 2 2 3" xfId="5618" xr:uid="{00000000-0005-0000-0000-000076140000}"/>
    <cellStyle name="Normal 12 16 3 2 2 2 4" xfId="5619" xr:uid="{00000000-0005-0000-0000-000077140000}"/>
    <cellStyle name="Normal 12 16 3 2 2 2 5" xfId="5620" xr:uid="{00000000-0005-0000-0000-000078140000}"/>
    <cellStyle name="Normal 12 16 3 2 2 3" xfId="5621" xr:uid="{00000000-0005-0000-0000-000079140000}"/>
    <cellStyle name="Normal 12 16 3 2 2 4" xfId="5622" xr:uid="{00000000-0005-0000-0000-00007A140000}"/>
    <cellStyle name="Normal 12 16 3 2 2 5" xfId="5623" xr:uid="{00000000-0005-0000-0000-00007B140000}"/>
    <cellStyle name="Normal 12 16 3 2 2 6" xfId="5624" xr:uid="{00000000-0005-0000-0000-00007C140000}"/>
    <cellStyle name="Normal 12 16 3 2 2 7" xfId="5625" xr:uid="{00000000-0005-0000-0000-00007D140000}"/>
    <cellStyle name="Normal 12 16 3 2 2 8" xfId="5626" xr:uid="{00000000-0005-0000-0000-00007E140000}"/>
    <cellStyle name="Normal 12 16 3 2 3" xfId="5627" xr:uid="{00000000-0005-0000-0000-00007F140000}"/>
    <cellStyle name="Normal 12 16 3 2 3 2" xfId="5628" xr:uid="{00000000-0005-0000-0000-000080140000}"/>
    <cellStyle name="Normal 12 16 3 2 3 2 2" xfId="5629" xr:uid="{00000000-0005-0000-0000-000081140000}"/>
    <cellStyle name="Normal 12 16 3 2 3 2 3" xfId="5630" xr:uid="{00000000-0005-0000-0000-000082140000}"/>
    <cellStyle name="Normal 12 16 3 2 3 2 4" xfId="5631" xr:uid="{00000000-0005-0000-0000-000083140000}"/>
    <cellStyle name="Normal 12 16 3 2 3 2 5" xfId="5632" xr:uid="{00000000-0005-0000-0000-000084140000}"/>
    <cellStyle name="Normal 12 16 3 2 3 3" xfId="5633" xr:uid="{00000000-0005-0000-0000-000085140000}"/>
    <cellStyle name="Normal 12 16 3 2 3 4" xfId="5634" xr:uid="{00000000-0005-0000-0000-000086140000}"/>
    <cellStyle name="Normal 12 16 3 2 3 5" xfId="5635" xr:uid="{00000000-0005-0000-0000-000087140000}"/>
    <cellStyle name="Normal 12 16 3 2 3 6" xfId="5636" xr:uid="{00000000-0005-0000-0000-000088140000}"/>
    <cellStyle name="Normal 12 16 3 2 3 7" xfId="5637" xr:uid="{00000000-0005-0000-0000-000089140000}"/>
    <cellStyle name="Normal 12 16 3 2 3 8" xfId="5638" xr:uid="{00000000-0005-0000-0000-00008A140000}"/>
    <cellStyle name="Normal 12 16 3 2 4" xfId="5639" xr:uid="{00000000-0005-0000-0000-00008B140000}"/>
    <cellStyle name="Normal 12 16 3 2 4 2" xfId="5640" xr:uid="{00000000-0005-0000-0000-00008C140000}"/>
    <cellStyle name="Normal 12 16 3 2 4 3" xfId="5641" xr:uid="{00000000-0005-0000-0000-00008D140000}"/>
    <cellStyle name="Normal 12 16 3 2 4 4" xfId="5642" xr:uid="{00000000-0005-0000-0000-00008E140000}"/>
    <cellStyle name="Normal 12 16 3 2 4 5" xfId="5643" xr:uid="{00000000-0005-0000-0000-00008F140000}"/>
    <cellStyle name="Normal 12 16 3 2 5" xfId="5644" xr:uid="{00000000-0005-0000-0000-000090140000}"/>
    <cellStyle name="Normal 12 16 3 2 6" xfId="5645" xr:uid="{00000000-0005-0000-0000-000091140000}"/>
    <cellStyle name="Normal 12 16 3 2 7" xfId="5646" xr:uid="{00000000-0005-0000-0000-000092140000}"/>
    <cellStyle name="Normal 12 16 3 2 8" xfId="5647" xr:uid="{00000000-0005-0000-0000-000093140000}"/>
    <cellStyle name="Normal 12 16 3 2 9" xfId="5648" xr:uid="{00000000-0005-0000-0000-000094140000}"/>
    <cellStyle name="Normal 12 16 3 3" xfId="5649" xr:uid="{00000000-0005-0000-0000-000095140000}"/>
    <cellStyle name="Normal 12 16 3 3 2" xfId="5650" xr:uid="{00000000-0005-0000-0000-000096140000}"/>
    <cellStyle name="Normal 12 16 3 3 2 2" xfId="5651" xr:uid="{00000000-0005-0000-0000-000097140000}"/>
    <cellStyle name="Normal 12 16 3 3 2 3" xfId="5652" xr:uid="{00000000-0005-0000-0000-000098140000}"/>
    <cellStyle name="Normal 12 16 3 3 2 4" xfId="5653" xr:uid="{00000000-0005-0000-0000-000099140000}"/>
    <cellStyle name="Normal 12 16 3 3 2 5" xfId="5654" xr:uid="{00000000-0005-0000-0000-00009A140000}"/>
    <cellStyle name="Normal 12 16 3 3 3" xfId="5655" xr:uid="{00000000-0005-0000-0000-00009B140000}"/>
    <cellStyle name="Normal 12 16 3 3 4" xfId="5656" xr:uid="{00000000-0005-0000-0000-00009C140000}"/>
    <cellStyle name="Normal 12 16 3 3 5" xfId="5657" xr:uid="{00000000-0005-0000-0000-00009D140000}"/>
    <cellStyle name="Normal 12 16 3 3 6" xfId="5658" xr:uid="{00000000-0005-0000-0000-00009E140000}"/>
    <cellStyle name="Normal 12 16 3 3 7" xfId="5659" xr:uid="{00000000-0005-0000-0000-00009F140000}"/>
    <cellStyle name="Normal 12 16 3 3 8" xfId="5660" xr:uid="{00000000-0005-0000-0000-0000A0140000}"/>
    <cellStyle name="Normal 12 16 3 4" xfId="5661" xr:uid="{00000000-0005-0000-0000-0000A1140000}"/>
    <cellStyle name="Normal 12 16 3 4 2" xfId="5662" xr:uid="{00000000-0005-0000-0000-0000A2140000}"/>
    <cellStyle name="Normal 12 16 3 4 2 2" xfId="5663" xr:uid="{00000000-0005-0000-0000-0000A3140000}"/>
    <cellStyle name="Normal 12 16 3 4 2 3" xfId="5664" xr:uid="{00000000-0005-0000-0000-0000A4140000}"/>
    <cellStyle name="Normal 12 16 3 4 2 4" xfId="5665" xr:uid="{00000000-0005-0000-0000-0000A5140000}"/>
    <cellStyle name="Normal 12 16 3 4 2 5" xfId="5666" xr:uid="{00000000-0005-0000-0000-0000A6140000}"/>
    <cellStyle name="Normal 12 16 3 4 3" xfId="5667" xr:uid="{00000000-0005-0000-0000-0000A7140000}"/>
    <cellStyle name="Normal 12 16 3 4 4" xfId="5668" xr:uid="{00000000-0005-0000-0000-0000A8140000}"/>
    <cellStyle name="Normal 12 16 3 4 5" xfId="5669" xr:uid="{00000000-0005-0000-0000-0000A9140000}"/>
    <cellStyle name="Normal 12 16 3 4 6" xfId="5670" xr:uid="{00000000-0005-0000-0000-0000AA140000}"/>
    <cellStyle name="Normal 12 16 3 4 7" xfId="5671" xr:uid="{00000000-0005-0000-0000-0000AB140000}"/>
    <cellStyle name="Normal 12 16 3 4 8" xfId="5672" xr:uid="{00000000-0005-0000-0000-0000AC140000}"/>
    <cellStyle name="Normal 12 16 3 5" xfId="5673" xr:uid="{00000000-0005-0000-0000-0000AD140000}"/>
    <cellStyle name="Normal 12 16 3 5 2" xfId="5674" xr:uid="{00000000-0005-0000-0000-0000AE140000}"/>
    <cellStyle name="Normal 12 16 3 5 3" xfId="5675" xr:uid="{00000000-0005-0000-0000-0000AF140000}"/>
    <cellStyle name="Normal 12 16 3 5 4" xfId="5676" xr:uid="{00000000-0005-0000-0000-0000B0140000}"/>
    <cellStyle name="Normal 12 16 3 5 5" xfId="5677" xr:uid="{00000000-0005-0000-0000-0000B1140000}"/>
    <cellStyle name="Normal 12 16 3 6" xfId="5678" xr:uid="{00000000-0005-0000-0000-0000B2140000}"/>
    <cellStyle name="Normal 12 16 3 7" xfId="5679" xr:uid="{00000000-0005-0000-0000-0000B3140000}"/>
    <cellStyle name="Normal 12 16 3 8" xfId="5680" xr:uid="{00000000-0005-0000-0000-0000B4140000}"/>
    <cellStyle name="Normal 12 16 3 9" xfId="5681" xr:uid="{00000000-0005-0000-0000-0000B5140000}"/>
    <cellStyle name="Normal 12 16 4" xfId="5682" xr:uid="{00000000-0005-0000-0000-0000B6140000}"/>
    <cellStyle name="Normal 12 16 4 10" xfId="5683" xr:uid="{00000000-0005-0000-0000-0000B7140000}"/>
    <cellStyle name="Normal 12 16 4 2" xfId="5684" xr:uid="{00000000-0005-0000-0000-0000B8140000}"/>
    <cellStyle name="Normal 12 16 4 2 2" xfId="5685" xr:uid="{00000000-0005-0000-0000-0000B9140000}"/>
    <cellStyle name="Normal 12 16 4 2 2 2" xfId="5686" xr:uid="{00000000-0005-0000-0000-0000BA140000}"/>
    <cellStyle name="Normal 12 16 4 2 2 3" xfId="5687" xr:uid="{00000000-0005-0000-0000-0000BB140000}"/>
    <cellStyle name="Normal 12 16 4 2 2 4" xfId="5688" xr:uid="{00000000-0005-0000-0000-0000BC140000}"/>
    <cellStyle name="Normal 12 16 4 2 2 5" xfId="5689" xr:uid="{00000000-0005-0000-0000-0000BD140000}"/>
    <cellStyle name="Normal 12 16 4 2 3" xfId="5690" xr:uid="{00000000-0005-0000-0000-0000BE140000}"/>
    <cellStyle name="Normal 12 16 4 2 4" xfId="5691" xr:uid="{00000000-0005-0000-0000-0000BF140000}"/>
    <cellStyle name="Normal 12 16 4 2 5" xfId="5692" xr:uid="{00000000-0005-0000-0000-0000C0140000}"/>
    <cellStyle name="Normal 12 16 4 2 6" xfId="5693" xr:uid="{00000000-0005-0000-0000-0000C1140000}"/>
    <cellStyle name="Normal 12 16 4 2 7" xfId="5694" xr:uid="{00000000-0005-0000-0000-0000C2140000}"/>
    <cellStyle name="Normal 12 16 4 2 8" xfId="5695" xr:uid="{00000000-0005-0000-0000-0000C3140000}"/>
    <cellStyle name="Normal 12 16 4 3" xfId="5696" xr:uid="{00000000-0005-0000-0000-0000C4140000}"/>
    <cellStyle name="Normal 12 16 4 3 2" xfId="5697" xr:uid="{00000000-0005-0000-0000-0000C5140000}"/>
    <cellStyle name="Normal 12 16 4 3 2 2" xfId="5698" xr:uid="{00000000-0005-0000-0000-0000C6140000}"/>
    <cellStyle name="Normal 12 16 4 3 2 3" xfId="5699" xr:uid="{00000000-0005-0000-0000-0000C7140000}"/>
    <cellStyle name="Normal 12 16 4 3 2 4" xfId="5700" xr:uid="{00000000-0005-0000-0000-0000C8140000}"/>
    <cellStyle name="Normal 12 16 4 3 2 5" xfId="5701" xr:uid="{00000000-0005-0000-0000-0000C9140000}"/>
    <cellStyle name="Normal 12 16 4 3 3" xfId="5702" xr:uid="{00000000-0005-0000-0000-0000CA140000}"/>
    <cellStyle name="Normal 12 16 4 3 4" xfId="5703" xr:uid="{00000000-0005-0000-0000-0000CB140000}"/>
    <cellStyle name="Normal 12 16 4 3 5" xfId="5704" xr:uid="{00000000-0005-0000-0000-0000CC140000}"/>
    <cellStyle name="Normal 12 16 4 3 6" xfId="5705" xr:uid="{00000000-0005-0000-0000-0000CD140000}"/>
    <cellStyle name="Normal 12 16 4 3 7" xfId="5706" xr:uid="{00000000-0005-0000-0000-0000CE140000}"/>
    <cellStyle name="Normal 12 16 4 3 8" xfId="5707" xr:uid="{00000000-0005-0000-0000-0000CF140000}"/>
    <cellStyle name="Normal 12 16 4 4" xfId="5708" xr:uid="{00000000-0005-0000-0000-0000D0140000}"/>
    <cellStyle name="Normal 12 16 4 4 2" xfId="5709" xr:uid="{00000000-0005-0000-0000-0000D1140000}"/>
    <cellStyle name="Normal 12 16 4 4 3" xfId="5710" xr:uid="{00000000-0005-0000-0000-0000D2140000}"/>
    <cellStyle name="Normal 12 16 4 4 4" xfId="5711" xr:uid="{00000000-0005-0000-0000-0000D3140000}"/>
    <cellStyle name="Normal 12 16 4 4 5" xfId="5712" xr:uid="{00000000-0005-0000-0000-0000D4140000}"/>
    <cellStyle name="Normal 12 16 4 5" xfId="5713" xr:uid="{00000000-0005-0000-0000-0000D5140000}"/>
    <cellStyle name="Normal 12 16 4 6" xfId="5714" xr:uid="{00000000-0005-0000-0000-0000D6140000}"/>
    <cellStyle name="Normal 12 16 4 7" xfId="5715" xr:uid="{00000000-0005-0000-0000-0000D7140000}"/>
    <cellStyle name="Normal 12 16 4 8" xfId="5716" xr:uid="{00000000-0005-0000-0000-0000D8140000}"/>
    <cellStyle name="Normal 12 16 4 9" xfId="5717" xr:uid="{00000000-0005-0000-0000-0000D9140000}"/>
    <cellStyle name="Normal 12 16 5" xfId="5718" xr:uid="{00000000-0005-0000-0000-0000DA140000}"/>
    <cellStyle name="Normal 12 16 5 2" xfId="5719" xr:uid="{00000000-0005-0000-0000-0000DB140000}"/>
    <cellStyle name="Normal 12 16 5 2 2" xfId="5720" xr:uid="{00000000-0005-0000-0000-0000DC140000}"/>
    <cellStyle name="Normal 12 16 5 2 3" xfId="5721" xr:uid="{00000000-0005-0000-0000-0000DD140000}"/>
    <cellStyle name="Normal 12 16 5 2 4" xfId="5722" xr:uid="{00000000-0005-0000-0000-0000DE140000}"/>
    <cellStyle name="Normal 12 16 5 2 5" xfId="5723" xr:uid="{00000000-0005-0000-0000-0000DF140000}"/>
    <cellStyle name="Normal 12 16 5 3" xfId="5724" xr:uid="{00000000-0005-0000-0000-0000E0140000}"/>
    <cellStyle name="Normal 12 16 5 4" xfId="5725" xr:uid="{00000000-0005-0000-0000-0000E1140000}"/>
    <cellStyle name="Normal 12 16 5 5" xfId="5726" xr:uid="{00000000-0005-0000-0000-0000E2140000}"/>
    <cellStyle name="Normal 12 16 5 6" xfId="5727" xr:uid="{00000000-0005-0000-0000-0000E3140000}"/>
    <cellStyle name="Normal 12 16 5 7" xfId="5728" xr:uid="{00000000-0005-0000-0000-0000E4140000}"/>
    <cellStyle name="Normal 12 16 5 8" xfId="5729" xr:uid="{00000000-0005-0000-0000-0000E5140000}"/>
    <cellStyle name="Normal 12 16 6" xfId="5730" xr:uid="{00000000-0005-0000-0000-0000E6140000}"/>
    <cellStyle name="Normal 12 16 6 2" xfId="5731" xr:uid="{00000000-0005-0000-0000-0000E7140000}"/>
    <cellStyle name="Normal 12 16 6 2 2" xfId="5732" xr:uid="{00000000-0005-0000-0000-0000E8140000}"/>
    <cellStyle name="Normal 12 16 6 2 3" xfId="5733" xr:uid="{00000000-0005-0000-0000-0000E9140000}"/>
    <cellStyle name="Normal 12 16 6 2 4" xfId="5734" xr:uid="{00000000-0005-0000-0000-0000EA140000}"/>
    <cellStyle name="Normal 12 16 6 2 5" xfId="5735" xr:uid="{00000000-0005-0000-0000-0000EB140000}"/>
    <cellStyle name="Normal 12 16 6 3" xfId="5736" xr:uid="{00000000-0005-0000-0000-0000EC140000}"/>
    <cellStyle name="Normal 12 16 6 4" xfId="5737" xr:uid="{00000000-0005-0000-0000-0000ED140000}"/>
    <cellStyle name="Normal 12 16 6 5" xfId="5738" xr:uid="{00000000-0005-0000-0000-0000EE140000}"/>
    <cellStyle name="Normal 12 16 6 6" xfId="5739" xr:uid="{00000000-0005-0000-0000-0000EF140000}"/>
    <cellStyle name="Normal 12 16 6 7" xfId="5740" xr:uid="{00000000-0005-0000-0000-0000F0140000}"/>
    <cellStyle name="Normal 12 16 6 8" xfId="5741" xr:uid="{00000000-0005-0000-0000-0000F1140000}"/>
    <cellStyle name="Normal 12 16 7" xfId="5742" xr:uid="{00000000-0005-0000-0000-0000F2140000}"/>
    <cellStyle name="Normal 12 16 7 2" xfId="5743" xr:uid="{00000000-0005-0000-0000-0000F3140000}"/>
    <cellStyle name="Normal 12 16 7 3" xfId="5744" xr:uid="{00000000-0005-0000-0000-0000F4140000}"/>
    <cellStyle name="Normal 12 16 7 4" xfId="5745" xr:uid="{00000000-0005-0000-0000-0000F5140000}"/>
    <cellStyle name="Normal 12 16 7 5" xfId="5746" xr:uid="{00000000-0005-0000-0000-0000F6140000}"/>
    <cellStyle name="Normal 12 16 8" xfId="5747" xr:uid="{00000000-0005-0000-0000-0000F7140000}"/>
    <cellStyle name="Normal 12 16 9" xfId="5748" xr:uid="{00000000-0005-0000-0000-0000F8140000}"/>
    <cellStyle name="Normal 12 17" xfId="5749" xr:uid="{00000000-0005-0000-0000-0000F9140000}"/>
    <cellStyle name="Normal 12 17 10" xfId="5750" xr:uid="{00000000-0005-0000-0000-0000FA140000}"/>
    <cellStyle name="Normal 12 17 11" xfId="5751" xr:uid="{00000000-0005-0000-0000-0000FB140000}"/>
    <cellStyle name="Normal 12 17 12" xfId="5752" xr:uid="{00000000-0005-0000-0000-0000FC140000}"/>
    <cellStyle name="Normal 12 17 13" xfId="5753" xr:uid="{00000000-0005-0000-0000-0000FD140000}"/>
    <cellStyle name="Normal 12 17 2" xfId="5754" xr:uid="{00000000-0005-0000-0000-0000FE140000}"/>
    <cellStyle name="Normal 12 17 2 10" xfId="5755" xr:uid="{00000000-0005-0000-0000-0000FF140000}"/>
    <cellStyle name="Normal 12 17 2 11" xfId="5756" xr:uid="{00000000-0005-0000-0000-000000150000}"/>
    <cellStyle name="Normal 12 17 2 2" xfId="5757" xr:uid="{00000000-0005-0000-0000-000001150000}"/>
    <cellStyle name="Normal 12 17 2 2 10" xfId="5758" xr:uid="{00000000-0005-0000-0000-000002150000}"/>
    <cellStyle name="Normal 12 17 2 2 2" xfId="5759" xr:uid="{00000000-0005-0000-0000-000003150000}"/>
    <cellStyle name="Normal 12 17 2 2 2 2" xfId="5760" xr:uid="{00000000-0005-0000-0000-000004150000}"/>
    <cellStyle name="Normal 12 17 2 2 2 2 2" xfId="5761" xr:uid="{00000000-0005-0000-0000-000005150000}"/>
    <cellStyle name="Normal 12 17 2 2 2 2 3" xfId="5762" xr:uid="{00000000-0005-0000-0000-000006150000}"/>
    <cellStyle name="Normal 12 17 2 2 2 2 4" xfId="5763" xr:uid="{00000000-0005-0000-0000-000007150000}"/>
    <cellStyle name="Normal 12 17 2 2 2 2 5" xfId="5764" xr:uid="{00000000-0005-0000-0000-000008150000}"/>
    <cellStyle name="Normal 12 17 2 2 2 3" xfId="5765" xr:uid="{00000000-0005-0000-0000-000009150000}"/>
    <cellStyle name="Normal 12 17 2 2 2 4" xfId="5766" xr:uid="{00000000-0005-0000-0000-00000A150000}"/>
    <cellStyle name="Normal 12 17 2 2 2 5" xfId="5767" xr:uid="{00000000-0005-0000-0000-00000B150000}"/>
    <cellStyle name="Normal 12 17 2 2 2 6" xfId="5768" xr:uid="{00000000-0005-0000-0000-00000C150000}"/>
    <cellStyle name="Normal 12 17 2 2 2 7" xfId="5769" xr:uid="{00000000-0005-0000-0000-00000D150000}"/>
    <cellStyle name="Normal 12 17 2 2 2 8" xfId="5770" xr:uid="{00000000-0005-0000-0000-00000E150000}"/>
    <cellStyle name="Normal 12 17 2 2 3" xfId="5771" xr:uid="{00000000-0005-0000-0000-00000F150000}"/>
    <cellStyle name="Normal 12 17 2 2 3 2" xfId="5772" xr:uid="{00000000-0005-0000-0000-000010150000}"/>
    <cellStyle name="Normal 12 17 2 2 3 2 2" xfId="5773" xr:uid="{00000000-0005-0000-0000-000011150000}"/>
    <cellStyle name="Normal 12 17 2 2 3 2 3" xfId="5774" xr:uid="{00000000-0005-0000-0000-000012150000}"/>
    <cellStyle name="Normal 12 17 2 2 3 2 4" xfId="5775" xr:uid="{00000000-0005-0000-0000-000013150000}"/>
    <cellStyle name="Normal 12 17 2 2 3 2 5" xfId="5776" xr:uid="{00000000-0005-0000-0000-000014150000}"/>
    <cellStyle name="Normal 12 17 2 2 3 3" xfId="5777" xr:uid="{00000000-0005-0000-0000-000015150000}"/>
    <cellStyle name="Normal 12 17 2 2 3 4" xfId="5778" xr:uid="{00000000-0005-0000-0000-000016150000}"/>
    <cellStyle name="Normal 12 17 2 2 3 5" xfId="5779" xr:uid="{00000000-0005-0000-0000-000017150000}"/>
    <cellStyle name="Normal 12 17 2 2 3 6" xfId="5780" xr:uid="{00000000-0005-0000-0000-000018150000}"/>
    <cellStyle name="Normal 12 17 2 2 3 7" xfId="5781" xr:uid="{00000000-0005-0000-0000-000019150000}"/>
    <cellStyle name="Normal 12 17 2 2 3 8" xfId="5782" xr:uid="{00000000-0005-0000-0000-00001A150000}"/>
    <cellStyle name="Normal 12 17 2 2 4" xfId="5783" xr:uid="{00000000-0005-0000-0000-00001B150000}"/>
    <cellStyle name="Normal 12 17 2 2 4 2" xfId="5784" xr:uid="{00000000-0005-0000-0000-00001C150000}"/>
    <cellStyle name="Normal 12 17 2 2 4 3" xfId="5785" xr:uid="{00000000-0005-0000-0000-00001D150000}"/>
    <cellStyle name="Normal 12 17 2 2 4 4" xfId="5786" xr:uid="{00000000-0005-0000-0000-00001E150000}"/>
    <cellStyle name="Normal 12 17 2 2 4 5" xfId="5787" xr:uid="{00000000-0005-0000-0000-00001F150000}"/>
    <cellStyle name="Normal 12 17 2 2 5" xfId="5788" xr:uid="{00000000-0005-0000-0000-000020150000}"/>
    <cellStyle name="Normal 12 17 2 2 6" xfId="5789" xr:uid="{00000000-0005-0000-0000-000021150000}"/>
    <cellStyle name="Normal 12 17 2 2 7" xfId="5790" xr:uid="{00000000-0005-0000-0000-000022150000}"/>
    <cellStyle name="Normal 12 17 2 2 8" xfId="5791" xr:uid="{00000000-0005-0000-0000-000023150000}"/>
    <cellStyle name="Normal 12 17 2 2 9" xfId="5792" xr:uid="{00000000-0005-0000-0000-000024150000}"/>
    <cellStyle name="Normal 12 17 2 3" xfId="5793" xr:uid="{00000000-0005-0000-0000-000025150000}"/>
    <cellStyle name="Normal 12 17 2 3 2" xfId="5794" xr:uid="{00000000-0005-0000-0000-000026150000}"/>
    <cellStyle name="Normal 12 17 2 3 2 2" xfId="5795" xr:uid="{00000000-0005-0000-0000-000027150000}"/>
    <cellStyle name="Normal 12 17 2 3 2 3" xfId="5796" xr:uid="{00000000-0005-0000-0000-000028150000}"/>
    <cellStyle name="Normal 12 17 2 3 2 4" xfId="5797" xr:uid="{00000000-0005-0000-0000-000029150000}"/>
    <cellStyle name="Normal 12 17 2 3 2 5" xfId="5798" xr:uid="{00000000-0005-0000-0000-00002A150000}"/>
    <cellStyle name="Normal 12 17 2 3 3" xfId="5799" xr:uid="{00000000-0005-0000-0000-00002B150000}"/>
    <cellStyle name="Normal 12 17 2 3 4" xfId="5800" xr:uid="{00000000-0005-0000-0000-00002C150000}"/>
    <cellStyle name="Normal 12 17 2 3 5" xfId="5801" xr:uid="{00000000-0005-0000-0000-00002D150000}"/>
    <cellStyle name="Normal 12 17 2 3 6" xfId="5802" xr:uid="{00000000-0005-0000-0000-00002E150000}"/>
    <cellStyle name="Normal 12 17 2 3 7" xfId="5803" xr:uid="{00000000-0005-0000-0000-00002F150000}"/>
    <cellStyle name="Normal 12 17 2 3 8" xfId="5804" xr:uid="{00000000-0005-0000-0000-000030150000}"/>
    <cellStyle name="Normal 12 17 2 4" xfId="5805" xr:uid="{00000000-0005-0000-0000-000031150000}"/>
    <cellStyle name="Normal 12 17 2 4 2" xfId="5806" xr:uid="{00000000-0005-0000-0000-000032150000}"/>
    <cellStyle name="Normal 12 17 2 4 2 2" xfId="5807" xr:uid="{00000000-0005-0000-0000-000033150000}"/>
    <cellStyle name="Normal 12 17 2 4 2 3" xfId="5808" xr:uid="{00000000-0005-0000-0000-000034150000}"/>
    <cellStyle name="Normal 12 17 2 4 2 4" xfId="5809" xr:uid="{00000000-0005-0000-0000-000035150000}"/>
    <cellStyle name="Normal 12 17 2 4 2 5" xfId="5810" xr:uid="{00000000-0005-0000-0000-000036150000}"/>
    <cellStyle name="Normal 12 17 2 4 3" xfId="5811" xr:uid="{00000000-0005-0000-0000-000037150000}"/>
    <cellStyle name="Normal 12 17 2 4 4" xfId="5812" xr:uid="{00000000-0005-0000-0000-000038150000}"/>
    <cellStyle name="Normal 12 17 2 4 5" xfId="5813" xr:uid="{00000000-0005-0000-0000-000039150000}"/>
    <cellStyle name="Normal 12 17 2 4 6" xfId="5814" xr:uid="{00000000-0005-0000-0000-00003A150000}"/>
    <cellStyle name="Normal 12 17 2 4 7" xfId="5815" xr:uid="{00000000-0005-0000-0000-00003B150000}"/>
    <cellStyle name="Normal 12 17 2 4 8" xfId="5816" xr:uid="{00000000-0005-0000-0000-00003C150000}"/>
    <cellStyle name="Normal 12 17 2 5" xfId="5817" xr:uid="{00000000-0005-0000-0000-00003D150000}"/>
    <cellStyle name="Normal 12 17 2 5 2" xfId="5818" xr:uid="{00000000-0005-0000-0000-00003E150000}"/>
    <cellStyle name="Normal 12 17 2 5 3" xfId="5819" xr:uid="{00000000-0005-0000-0000-00003F150000}"/>
    <cellStyle name="Normal 12 17 2 5 4" xfId="5820" xr:uid="{00000000-0005-0000-0000-000040150000}"/>
    <cellStyle name="Normal 12 17 2 5 5" xfId="5821" xr:uid="{00000000-0005-0000-0000-000041150000}"/>
    <cellStyle name="Normal 12 17 2 6" xfId="5822" xr:uid="{00000000-0005-0000-0000-000042150000}"/>
    <cellStyle name="Normal 12 17 2 7" xfId="5823" xr:uid="{00000000-0005-0000-0000-000043150000}"/>
    <cellStyle name="Normal 12 17 2 8" xfId="5824" xr:uid="{00000000-0005-0000-0000-000044150000}"/>
    <cellStyle name="Normal 12 17 2 9" xfId="5825" xr:uid="{00000000-0005-0000-0000-000045150000}"/>
    <cellStyle name="Normal 12 17 3" xfId="5826" xr:uid="{00000000-0005-0000-0000-000046150000}"/>
    <cellStyle name="Normal 12 17 3 10" xfId="5827" xr:uid="{00000000-0005-0000-0000-000047150000}"/>
    <cellStyle name="Normal 12 17 3 11" xfId="5828" xr:uid="{00000000-0005-0000-0000-000048150000}"/>
    <cellStyle name="Normal 12 17 3 2" xfId="5829" xr:uid="{00000000-0005-0000-0000-000049150000}"/>
    <cellStyle name="Normal 12 17 3 2 10" xfId="5830" xr:uid="{00000000-0005-0000-0000-00004A150000}"/>
    <cellStyle name="Normal 12 17 3 2 2" xfId="5831" xr:uid="{00000000-0005-0000-0000-00004B150000}"/>
    <cellStyle name="Normal 12 17 3 2 2 2" xfId="5832" xr:uid="{00000000-0005-0000-0000-00004C150000}"/>
    <cellStyle name="Normal 12 17 3 2 2 2 2" xfId="5833" xr:uid="{00000000-0005-0000-0000-00004D150000}"/>
    <cellStyle name="Normal 12 17 3 2 2 2 3" xfId="5834" xr:uid="{00000000-0005-0000-0000-00004E150000}"/>
    <cellStyle name="Normal 12 17 3 2 2 2 4" xfId="5835" xr:uid="{00000000-0005-0000-0000-00004F150000}"/>
    <cellStyle name="Normal 12 17 3 2 2 2 5" xfId="5836" xr:uid="{00000000-0005-0000-0000-000050150000}"/>
    <cellStyle name="Normal 12 17 3 2 2 3" xfId="5837" xr:uid="{00000000-0005-0000-0000-000051150000}"/>
    <cellStyle name="Normal 12 17 3 2 2 4" xfId="5838" xr:uid="{00000000-0005-0000-0000-000052150000}"/>
    <cellStyle name="Normal 12 17 3 2 2 5" xfId="5839" xr:uid="{00000000-0005-0000-0000-000053150000}"/>
    <cellStyle name="Normal 12 17 3 2 2 6" xfId="5840" xr:uid="{00000000-0005-0000-0000-000054150000}"/>
    <cellStyle name="Normal 12 17 3 2 2 7" xfId="5841" xr:uid="{00000000-0005-0000-0000-000055150000}"/>
    <cellStyle name="Normal 12 17 3 2 2 8" xfId="5842" xr:uid="{00000000-0005-0000-0000-000056150000}"/>
    <cellStyle name="Normal 12 17 3 2 3" xfId="5843" xr:uid="{00000000-0005-0000-0000-000057150000}"/>
    <cellStyle name="Normal 12 17 3 2 3 2" xfId="5844" xr:uid="{00000000-0005-0000-0000-000058150000}"/>
    <cellStyle name="Normal 12 17 3 2 3 2 2" xfId="5845" xr:uid="{00000000-0005-0000-0000-000059150000}"/>
    <cellStyle name="Normal 12 17 3 2 3 2 3" xfId="5846" xr:uid="{00000000-0005-0000-0000-00005A150000}"/>
    <cellStyle name="Normal 12 17 3 2 3 2 4" xfId="5847" xr:uid="{00000000-0005-0000-0000-00005B150000}"/>
    <cellStyle name="Normal 12 17 3 2 3 2 5" xfId="5848" xr:uid="{00000000-0005-0000-0000-00005C150000}"/>
    <cellStyle name="Normal 12 17 3 2 3 3" xfId="5849" xr:uid="{00000000-0005-0000-0000-00005D150000}"/>
    <cellStyle name="Normal 12 17 3 2 3 4" xfId="5850" xr:uid="{00000000-0005-0000-0000-00005E150000}"/>
    <cellStyle name="Normal 12 17 3 2 3 5" xfId="5851" xr:uid="{00000000-0005-0000-0000-00005F150000}"/>
    <cellStyle name="Normal 12 17 3 2 3 6" xfId="5852" xr:uid="{00000000-0005-0000-0000-000060150000}"/>
    <cellStyle name="Normal 12 17 3 2 3 7" xfId="5853" xr:uid="{00000000-0005-0000-0000-000061150000}"/>
    <cellStyle name="Normal 12 17 3 2 3 8" xfId="5854" xr:uid="{00000000-0005-0000-0000-000062150000}"/>
    <cellStyle name="Normal 12 17 3 2 4" xfId="5855" xr:uid="{00000000-0005-0000-0000-000063150000}"/>
    <cellStyle name="Normal 12 17 3 2 4 2" xfId="5856" xr:uid="{00000000-0005-0000-0000-000064150000}"/>
    <cellStyle name="Normal 12 17 3 2 4 3" xfId="5857" xr:uid="{00000000-0005-0000-0000-000065150000}"/>
    <cellStyle name="Normal 12 17 3 2 4 4" xfId="5858" xr:uid="{00000000-0005-0000-0000-000066150000}"/>
    <cellStyle name="Normal 12 17 3 2 4 5" xfId="5859" xr:uid="{00000000-0005-0000-0000-000067150000}"/>
    <cellStyle name="Normal 12 17 3 2 5" xfId="5860" xr:uid="{00000000-0005-0000-0000-000068150000}"/>
    <cellStyle name="Normal 12 17 3 2 6" xfId="5861" xr:uid="{00000000-0005-0000-0000-000069150000}"/>
    <cellStyle name="Normal 12 17 3 2 7" xfId="5862" xr:uid="{00000000-0005-0000-0000-00006A150000}"/>
    <cellStyle name="Normal 12 17 3 2 8" xfId="5863" xr:uid="{00000000-0005-0000-0000-00006B150000}"/>
    <cellStyle name="Normal 12 17 3 2 9" xfId="5864" xr:uid="{00000000-0005-0000-0000-00006C150000}"/>
    <cellStyle name="Normal 12 17 3 3" xfId="5865" xr:uid="{00000000-0005-0000-0000-00006D150000}"/>
    <cellStyle name="Normal 12 17 3 3 2" xfId="5866" xr:uid="{00000000-0005-0000-0000-00006E150000}"/>
    <cellStyle name="Normal 12 17 3 3 2 2" xfId="5867" xr:uid="{00000000-0005-0000-0000-00006F150000}"/>
    <cellStyle name="Normal 12 17 3 3 2 3" xfId="5868" xr:uid="{00000000-0005-0000-0000-000070150000}"/>
    <cellStyle name="Normal 12 17 3 3 2 4" xfId="5869" xr:uid="{00000000-0005-0000-0000-000071150000}"/>
    <cellStyle name="Normal 12 17 3 3 2 5" xfId="5870" xr:uid="{00000000-0005-0000-0000-000072150000}"/>
    <cellStyle name="Normal 12 17 3 3 3" xfId="5871" xr:uid="{00000000-0005-0000-0000-000073150000}"/>
    <cellStyle name="Normal 12 17 3 3 4" xfId="5872" xr:uid="{00000000-0005-0000-0000-000074150000}"/>
    <cellStyle name="Normal 12 17 3 3 5" xfId="5873" xr:uid="{00000000-0005-0000-0000-000075150000}"/>
    <cellStyle name="Normal 12 17 3 3 6" xfId="5874" xr:uid="{00000000-0005-0000-0000-000076150000}"/>
    <cellStyle name="Normal 12 17 3 3 7" xfId="5875" xr:uid="{00000000-0005-0000-0000-000077150000}"/>
    <cellStyle name="Normal 12 17 3 3 8" xfId="5876" xr:uid="{00000000-0005-0000-0000-000078150000}"/>
    <cellStyle name="Normal 12 17 3 4" xfId="5877" xr:uid="{00000000-0005-0000-0000-000079150000}"/>
    <cellStyle name="Normal 12 17 3 4 2" xfId="5878" xr:uid="{00000000-0005-0000-0000-00007A150000}"/>
    <cellStyle name="Normal 12 17 3 4 2 2" xfId="5879" xr:uid="{00000000-0005-0000-0000-00007B150000}"/>
    <cellStyle name="Normal 12 17 3 4 2 3" xfId="5880" xr:uid="{00000000-0005-0000-0000-00007C150000}"/>
    <cellStyle name="Normal 12 17 3 4 2 4" xfId="5881" xr:uid="{00000000-0005-0000-0000-00007D150000}"/>
    <cellStyle name="Normal 12 17 3 4 2 5" xfId="5882" xr:uid="{00000000-0005-0000-0000-00007E150000}"/>
    <cellStyle name="Normal 12 17 3 4 3" xfId="5883" xr:uid="{00000000-0005-0000-0000-00007F150000}"/>
    <cellStyle name="Normal 12 17 3 4 4" xfId="5884" xr:uid="{00000000-0005-0000-0000-000080150000}"/>
    <cellStyle name="Normal 12 17 3 4 5" xfId="5885" xr:uid="{00000000-0005-0000-0000-000081150000}"/>
    <cellStyle name="Normal 12 17 3 4 6" xfId="5886" xr:uid="{00000000-0005-0000-0000-000082150000}"/>
    <cellStyle name="Normal 12 17 3 4 7" xfId="5887" xr:uid="{00000000-0005-0000-0000-000083150000}"/>
    <cellStyle name="Normal 12 17 3 4 8" xfId="5888" xr:uid="{00000000-0005-0000-0000-000084150000}"/>
    <cellStyle name="Normal 12 17 3 5" xfId="5889" xr:uid="{00000000-0005-0000-0000-000085150000}"/>
    <cellStyle name="Normal 12 17 3 5 2" xfId="5890" xr:uid="{00000000-0005-0000-0000-000086150000}"/>
    <cellStyle name="Normal 12 17 3 5 3" xfId="5891" xr:uid="{00000000-0005-0000-0000-000087150000}"/>
    <cellStyle name="Normal 12 17 3 5 4" xfId="5892" xr:uid="{00000000-0005-0000-0000-000088150000}"/>
    <cellStyle name="Normal 12 17 3 5 5" xfId="5893" xr:uid="{00000000-0005-0000-0000-000089150000}"/>
    <cellStyle name="Normal 12 17 3 6" xfId="5894" xr:uid="{00000000-0005-0000-0000-00008A150000}"/>
    <cellStyle name="Normal 12 17 3 7" xfId="5895" xr:uid="{00000000-0005-0000-0000-00008B150000}"/>
    <cellStyle name="Normal 12 17 3 8" xfId="5896" xr:uid="{00000000-0005-0000-0000-00008C150000}"/>
    <cellStyle name="Normal 12 17 3 9" xfId="5897" xr:uid="{00000000-0005-0000-0000-00008D150000}"/>
    <cellStyle name="Normal 12 17 4" xfId="5898" xr:uid="{00000000-0005-0000-0000-00008E150000}"/>
    <cellStyle name="Normal 12 17 4 10" xfId="5899" xr:uid="{00000000-0005-0000-0000-00008F150000}"/>
    <cellStyle name="Normal 12 17 4 2" xfId="5900" xr:uid="{00000000-0005-0000-0000-000090150000}"/>
    <cellStyle name="Normal 12 17 4 2 2" xfId="5901" xr:uid="{00000000-0005-0000-0000-000091150000}"/>
    <cellStyle name="Normal 12 17 4 2 2 2" xfId="5902" xr:uid="{00000000-0005-0000-0000-000092150000}"/>
    <cellStyle name="Normal 12 17 4 2 2 3" xfId="5903" xr:uid="{00000000-0005-0000-0000-000093150000}"/>
    <cellStyle name="Normal 12 17 4 2 2 4" xfId="5904" xr:uid="{00000000-0005-0000-0000-000094150000}"/>
    <cellStyle name="Normal 12 17 4 2 2 5" xfId="5905" xr:uid="{00000000-0005-0000-0000-000095150000}"/>
    <cellStyle name="Normal 12 17 4 2 3" xfId="5906" xr:uid="{00000000-0005-0000-0000-000096150000}"/>
    <cellStyle name="Normal 12 17 4 2 4" xfId="5907" xr:uid="{00000000-0005-0000-0000-000097150000}"/>
    <cellStyle name="Normal 12 17 4 2 5" xfId="5908" xr:uid="{00000000-0005-0000-0000-000098150000}"/>
    <cellStyle name="Normal 12 17 4 2 6" xfId="5909" xr:uid="{00000000-0005-0000-0000-000099150000}"/>
    <cellStyle name="Normal 12 17 4 2 7" xfId="5910" xr:uid="{00000000-0005-0000-0000-00009A150000}"/>
    <cellStyle name="Normal 12 17 4 2 8" xfId="5911" xr:uid="{00000000-0005-0000-0000-00009B150000}"/>
    <cellStyle name="Normal 12 17 4 3" xfId="5912" xr:uid="{00000000-0005-0000-0000-00009C150000}"/>
    <cellStyle name="Normal 12 17 4 3 2" xfId="5913" xr:uid="{00000000-0005-0000-0000-00009D150000}"/>
    <cellStyle name="Normal 12 17 4 3 2 2" xfId="5914" xr:uid="{00000000-0005-0000-0000-00009E150000}"/>
    <cellStyle name="Normal 12 17 4 3 2 3" xfId="5915" xr:uid="{00000000-0005-0000-0000-00009F150000}"/>
    <cellStyle name="Normal 12 17 4 3 2 4" xfId="5916" xr:uid="{00000000-0005-0000-0000-0000A0150000}"/>
    <cellStyle name="Normal 12 17 4 3 2 5" xfId="5917" xr:uid="{00000000-0005-0000-0000-0000A1150000}"/>
    <cellStyle name="Normal 12 17 4 3 3" xfId="5918" xr:uid="{00000000-0005-0000-0000-0000A2150000}"/>
    <cellStyle name="Normal 12 17 4 3 4" xfId="5919" xr:uid="{00000000-0005-0000-0000-0000A3150000}"/>
    <cellStyle name="Normal 12 17 4 3 5" xfId="5920" xr:uid="{00000000-0005-0000-0000-0000A4150000}"/>
    <cellStyle name="Normal 12 17 4 3 6" xfId="5921" xr:uid="{00000000-0005-0000-0000-0000A5150000}"/>
    <cellStyle name="Normal 12 17 4 3 7" xfId="5922" xr:uid="{00000000-0005-0000-0000-0000A6150000}"/>
    <cellStyle name="Normal 12 17 4 3 8" xfId="5923" xr:uid="{00000000-0005-0000-0000-0000A7150000}"/>
    <cellStyle name="Normal 12 17 4 4" xfId="5924" xr:uid="{00000000-0005-0000-0000-0000A8150000}"/>
    <cellStyle name="Normal 12 17 4 4 2" xfId="5925" xr:uid="{00000000-0005-0000-0000-0000A9150000}"/>
    <cellStyle name="Normal 12 17 4 4 3" xfId="5926" xr:uid="{00000000-0005-0000-0000-0000AA150000}"/>
    <cellStyle name="Normal 12 17 4 4 4" xfId="5927" xr:uid="{00000000-0005-0000-0000-0000AB150000}"/>
    <cellStyle name="Normal 12 17 4 4 5" xfId="5928" xr:uid="{00000000-0005-0000-0000-0000AC150000}"/>
    <cellStyle name="Normal 12 17 4 5" xfId="5929" xr:uid="{00000000-0005-0000-0000-0000AD150000}"/>
    <cellStyle name="Normal 12 17 4 6" xfId="5930" xr:uid="{00000000-0005-0000-0000-0000AE150000}"/>
    <cellStyle name="Normal 12 17 4 7" xfId="5931" xr:uid="{00000000-0005-0000-0000-0000AF150000}"/>
    <cellStyle name="Normal 12 17 4 8" xfId="5932" xr:uid="{00000000-0005-0000-0000-0000B0150000}"/>
    <cellStyle name="Normal 12 17 4 9" xfId="5933" xr:uid="{00000000-0005-0000-0000-0000B1150000}"/>
    <cellStyle name="Normal 12 17 5" xfId="5934" xr:uid="{00000000-0005-0000-0000-0000B2150000}"/>
    <cellStyle name="Normal 12 17 5 2" xfId="5935" xr:uid="{00000000-0005-0000-0000-0000B3150000}"/>
    <cellStyle name="Normal 12 17 5 2 2" xfId="5936" xr:uid="{00000000-0005-0000-0000-0000B4150000}"/>
    <cellStyle name="Normal 12 17 5 2 3" xfId="5937" xr:uid="{00000000-0005-0000-0000-0000B5150000}"/>
    <cellStyle name="Normal 12 17 5 2 4" xfId="5938" xr:uid="{00000000-0005-0000-0000-0000B6150000}"/>
    <cellStyle name="Normal 12 17 5 2 5" xfId="5939" xr:uid="{00000000-0005-0000-0000-0000B7150000}"/>
    <cellStyle name="Normal 12 17 5 3" xfId="5940" xr:uid="{00000000-0005-0000-0000-0000B8150000}"/>
    <cellStyle name="Normal 12 17 5 4" xfId="5941" xr:uid="{00000000-0005-0000-0000-0000B9150000}"/>
    <cellStyle name="Normal 12 17 5 5" xfId="5942" xr:uid="{00000000-0005-0000-0000-0000BA150000}"/>
    <cellStyle name="Normal 12 17 5 6" xfId="5943" xr:uid="{00000000-0005-0000-0000-0000BB150000}"/>
    <cellStyle name="Normal 12 17 5 7" xfId="5944" xr:uid="{00000000-0005-0000-0000-0000BC150000}"/>
    <cellStyle name="Normal 12 17 5 8" xfId="5945" xr:uid="{00000000-0005-0000-0000-0000BD150000}"/>
    <cellStyle name="Normal 12 17 6" xfId="5946" xr:uid="{00000000-0005-0000-0000-0000BE150000}"/>
    <cellStyle name="Normal 12 17 6 2" xfId="5947" xr:uid="{00000000-0005-0000-0000-0000BF150000}"/>
    <cellStyle name="Normal 12 17 6 2 2" xfId="5948" xr:uid="{00000000-0005-0000-0000-0000C0150000}"/>
    <cellStyle name="Normal 12 17 6 2 3" xfId="5949" xr:uid="{00000000-0005-0000-0000-0000C1150000}"/>
    <cellStyle name="Normal 12 17 6 2 4" xfId="5950" xr:uid="{00000000-0005-0000-0000-0000C2150000}"/>
    <cellStyle name="Normal 12 17 6 2 5" xfId="5951" xr:uid="{00000000-0005-0000-0000-0000C3150000}"/>
    <cellStyle name="Normal 12 17 6 3" xfId="5952" xr:uid="{00000000-0005-0000-0000-0000C4150000}"/>
    <cellStyle name="Normal 12 17 6 4" xfId="5953" xr:uid="{00000000-0005-0000-0000-0000C5150000}"/>
    <cellStyle name="Normal 12 17 6 5" xfId="5954" xr:uid="{00000000-0005-0000-0000-0000C6150000}"/>
    <cellStyle name="Normal 12 17 6 6" xfId="5955" xr:uid="{00000000-0005-0000-0000-0000C7150000}"/>
    <cellStyle name="Normal 12 17 6 7" xfId="5956" xr:uid="{00000000-0005-0000-0000-0000C8150000}"/>
    <cellStyle name="Normal 12 17 6 8" xfId="5957" xr:uid="{00000000-0005-0000-0000-0000C9150000}"/>
    <cellStyle name="Normal 12 17 7" xfId="5958" xr:uid="{00000000-0005-0000-0000-0000CA150000}"/>
    <cellStyle name="Normal 12 17 7 2" xfId="5959" xr:uid="{00000000-0005-0000-0000-0000CB150000}"/>
    <cellStyle name="Normal 12 17 7 3" xfId="5960" xr:uid="{00000000-0005-0000-0000-0000CC150000}"/>
    <cellStyle name="Normal 12 17 7 4" xfId="5961" xr:uid="{00000000-0005-0000-0000-0000CD150000}"/>
    <cellStyle name="Normal 12 17 7 5" xfId="5962" xr:uid="{00000000-0005-0000-0000-0000CE150000}"/>
    <cellStyle name="Normal 12 17 8" xfId="5963" xr:uid="{00000000-0005-0000-0000-0000CF150000}"/>
    <cellStyle name="Normal 12 17 9" xfId="5964" xr:uid="{00000000-0005-0000-0000-0000D0150000}"/>
    <cellStyle name="Normal 12 18" xfId="5965" xr:uid="{00000000-0005-0000-0000-0000D1150000}"/>
    <cellStyle name="Normal 12 18 10" xfId="5966" xr:uid="{00000000-0005-0000-0000-0000D2150000}"/>
    <cellStyle name="Normal 12 18 11" xfId="5967" xr:uid="{00000000-0005-0000-0000-0000D3150000}"/>
    <cellStyle name="Normal 12 18 12" xfId="5968" xr:uid="{00000000-0005-0000-0000-0000D4150000}"/>
    <cellStyle name="Normal 12 18 13" xfId="5969" xr:uid="{00000000-0005-0000-0000-0000D5150000}"/>
    <cellStyle name="Normal 12 18 2" xfId="5970" xr:uid="{00000000-0005-0000-0000-0000D6150000}"/>
    <cellStyle name="Normal 12 18 2 10" xfId="5971" xr:uid="{00000000-0005-0000-0000-0000D7150000}"/>
    <cellStyle name="Normal 12 18 2 11" xfId="5972" xr:uid="{00000000-0005-0000-0000-0000D8150000}"/>
    <cellStyle name="Normal 12 18 2 2" xfId="5973" xr:uid="{00000000-0005-0000-0000-0000D9150000}"/>
    <cellStyle name="Normal 12 18 2 2 10" xfId="5974" xr:uid="{00000000-0005-0000-0000-0000DA150000}"/>
    <cellStyle name="Normal 12 18 2 2 2" xfId="5975" xr:uid="{00000000-0005-0000-0000-0000DB150000}"/>
    <cellStyle name="Normal 12 18 2 2 2 2" xfId="5976" xr:uid="{00000000-0005-0000-0000-0000DC150000}"/>
    <cellStyle name="Normal 12 18 2 2 2 2 2" xfId="5977" xr:uid="{00000000-0005-0000-0000-0000DD150000}"/>
    <cellStyle name="Normal 12 18 2 2 2 2 3" xfId="5978" xr:uid="{00000000-0005-0000-0000-0000DE150000}"/>
    <cellStyle name="Normal 12 18 2 2 2 2 4" xfId="5979" xr:uid="{00000000-0005-0000-0000-0000DF150000}"/>
    <cellStyle name="Normal 12 18 2 2 2 2 5" xfId="5980" xr:uid="{00000000-0005-0000-0000-0000E0150000}"/>
    <cellStyle name="Normal 12 18 2 2 2 3" xfId="5981" xr:uid="{00000000-0005-0000-0000-0000E1150000}"/>
    <cellStyle name="Normal 12 18 2 2 2 4" xfId="5982" xr:uid="{00000000-0005-0000-0000-0000E2150000}"/>
    <cellStyle name="Normal 12 18 2 2 2 5" xfId="5983" xr:uid="{00000000-0005-0000-0000-0000E3150000}"/>
    <cellStyle name="Normal 12 18 2 2 2 6" xfId="5984" xr:uid="{00000000-0005-0000-0000-0000E4150000}"/>
    <cellStyle name="Normal 12 18 2 2 2 7" xfId="5985" xr:uid="{00000000-0005-0000-0000-0000E5150000}"/>
    <cellStyle name="Normal 12 18 2 2 2 8" xfId="5986" xr:uid="{00000000-0005-0000-0000-0000E6150000}"/>
    <cellStyle name="Normal 12 18 2 2 3" xfId="5987" xr:uid="{00000000-0005-0000-0000-0000E7150000}"/>
    <cellStyle name="Normal 12 18 2 2 3 2" xfId="5988" xr:uid="{00000000-0005-0000-0000-0000E8150000}"/>
    <cellStyle name="Normal 12 18 2 2 3 2 2" xfId="5989" xr:uid="{00000000-0005-0000-0000-0000E9150000}"/>
    <cellStyle name="Normal 12 18 2 2 3 2 3" xfId="5990" xr:uid="{00000000-0005-0000-0000-0000EA150000}"/>
    <cellStyle name="Normal 12 18 2 2 3 2 4" xfId="5991" xr:uid="{00000000-0005-0000-0000-0000EB150000}"/>
    <cellStyle name="Normal 12 18 2 2 3 2 5" xfId="5992" xr:uid="{00000000-0005-0000-0000-0000EC150000}"/>
    <cellStyle name="Normal 12 18 2 2 3 3" xfId="5993" xr:uid="{00000000-0005-0000-0000-0000ED150000}"/>
    <cellStyle name="Normal 12 18 2 2 3 4" xfId="5994" xr:uid="{00000000-0005-0000-0000-0000EE150000}"/>
    <cellStyle name="Normal 12 18 2 2 3 5" xfId="5995" xr:uid="{00000000-0005-0000-0000-0000EF150000}"/>
    <cellStyle name="Normal 12 18 2 2 3 6" xfId="5996" xr:uid="{00000000-0005-0000-0000-0000F0150000}"/>
    <cellStyle name="Normal 12 18 2 2 3 7" xfId="5997" xr:uid="{00000000-0005-0000-0000-0000F1150000}"/>
    <cellStyle name="Normal 12 18 2 2 3 8" xfId="5998" xr:uid="{00000000-0005-0000-0000-0000F2150000}"/>
    <cellStyle name="Normal 12 18 2 2 4" xfId="5999" xr:uid="{00000000-0005-0000-0000-0000F3150000}"/>
    <cellStyle name="Normal 12 18 2 2 4 2" xfId="6000" xr:uid="{00000000-0005-0000-0000-0000F4150000}"/>
    <cellStyle name="Normal 12 18 2 2 4 3" xfId="6001" xr:uid="{00000000-0005-0000-0000-0000F5150000}"/>
    <cellStyle name="Normal 12 18 2 2 4 4" xfId="6002" xr:uid="{00000000-0005-0000-0000-0000F6150000}"/>
    <cellStyle name="Normal 12 18 2 2 4 5" xfId="6003" xr:uid="{00000000-0005-0000-0000-0000F7150000}"/>
    <cellStyle name="Normal 12 18 2 2 5" xfId="6004" xr:uid="{00000000-0005-0000-0000-0000F8150000}"/>
    <cellStyle name="Normal 12 18 2 2 6" xfId="6005" xr:uid="{00000000-0005-0000-0000-0000F9150000}"/>
    <cellStyle name="Normal 12 18 2 2 7" xfId="6006" xr:uid="{00000000-0005-0000-0000-0000FA150000}"/>
    <cellStyle name="Normal 12 18 2 2 8" xfId="6007" xr:uid="{00000000-0005-0000-0000-0000FB150000}"/>
    <cellStyle name="Normal 12 18 2 2 9" xfId="6008" xr:uid="{00000000-0005-0000-0000-0000FC150000}"/>
    <cellStyle name="Normal 12 18 2 3" xfId="6009" xr:uid="{00000000-0005-0000-0000-0000FD150000}"/>
    <cellStyle name="Normal 12 18 2 3 2" xfId="6010" xr:uid="{00000000-0005-0000-0000-0000FE150000}"/>
    <cellStyle name="Normal 12 18 2 3 2 2" xfId="6011" xr:uid="{00000000-0005-0000-0000-0000FF150000}"/>
    <cellStyle name="Normal 12 18 2 3 2 3" xfId="6012" xr:uid="{00000000-0005-0000-0000-000000160000}"/>
    <cellStyle name="Normal 12 18 2 3 2 4" xfId="6013" xr:uid="{00000000-0005-0000-0000-000001160000}"/>
    <cellStyle name="Normal 12 18 2 3 2 5" xfId="6014" xr:uid="{00000000-0005-0000-0000-000002160000}"/>
    <cellStyle name="Normal 12 18 2 3 3" xfId="6015" xr:uid="{00000000-0005-0000-0000-000003160000}"/>
    <cellStyle name="Normal 12 18 2 3 4" xfId="6016" xr:uid="{00000000-0005-0000-0000-000004160000}"/>
    <cellStyle name="Normal 12 18 2 3 5" xfId="6017" xr:uid="{00000000-0005-0000-0000-000005160000}"/>
    <cellStyle name="Normal 12 18 2 3 6" xfId="6018" xr:uid="{00000000-0005-0000-0000-000006160000}"/>
    <cellStyle name="Normal 12 18 2 3 7" xfId="6019" xr:uid="{00000000-0005-0000-0000-000007160000}"/>
    <cellStyle name="Normal 12 18 2 3 8" xfId="6020" xr:uid="{00000000-0005-0000-0000-000008160000}"/>
    <cellStyle name="Normal 12 18 2 4" xfId="6021" xr:uid="{00000000-0005-0000-0000-000009160000}"/>
    <cellStyle name="Normal 12 18 2 4 2" xfId="6022" xr:uid="{00000000-0005-0000-0000-00000A160000}"/>
    <cellStyle name="Normal 12 18 2 4 2 2" xfId="6023" xr:uid="{00000000-0005-0000-0000-00000B160000}"/>
    <cellStyle name="Normal 12 18 2 4 2 3" xfId="6024" xr:uid="{00000000-0005-0000-0000-00000C160000}"/>
    <cellStyle name="Normal 12 18 2 4 2 4" xfId="6025" xr:uid="{00000000-0005-0000-0000-00000D160000}"/>
    <cellStyle name="Normal 12 18 2 4 2 5" xfId="6026" xr:uid="{00000000-0005-0000-0000-00000E160000}"/>
    <cellStyle name="Normal 12 18 2 4 3" xfId="6027" xr:uid="{00000000-0005-0000-0000-00000F160000}"/>
    <cellStyle name="Normal 12 18 2 4 4" xfId="6028" xr:uid="{00000000-0005-0000-0000-000010160000}"/>
    <cellStyle name="Normal 12 18 2 4 5" xfId="6029" xr:uid="{00000000-0005-0000-0000-000011160000}"/>
    <cellStyle name="Normal 12 18 2 4 6" xfId="6030" xr:uid="{00000000-0005-0000-0000-000012160000}"/>
    <cellStyle name="Normal 12 18 2 4 7" xfId="6031" xr:uid="{00000000-0005-0000-0000-000013160000}"/>
    <cellStyle name="Normal 12 18 2 4 8" xfId="6032" xr:uid="{00000000-0005-0000-0000-000014160000}"/>
    <cellStyle name="Normal 12 18 2 5" xfId="6033" xr:uid="{00000000-0005-0000-0000-000015160000}"/>
    <cellStyle name="Normal 12 18 2 5 2" xfId="6034" xr:uid="{00000000-0005-0000-0000-000016160000}"/>
    <cellStyle name="Normal 12 18 2 5 3" xfId="6035" xr:uid="{00000000-0005-0000-0000-000017160000}"/>
    <cellStyle name="Normal 12 18 2 5 4" xfId="6036" xr:uid="{00000000-0005-0000-0000-000018160000}"/>
    <cellStyle name="Normal 12 18 2 5 5" xfId="6037" xr:uid="{00000000-0005-0000-0000-000019160000}"/>
    <cellStyle name="Normal 12 18 2 6" xfId="6038" xr:uid="{00000000-0005-0000-0000-00001A160000}"/>
    <cellStyle name="Normal 12 18 2 7" xfId="6039" xr:uid="{00000000-0005-0000-0000-00001B160000}"/>
    <cellStyle name="Normal 12 18 2 8" xfId="6040" xr:uid="{00000000-0005-0000-0000-00001C160000}"/>
    <cellStyle name="Normal 12 18 2 9" xfId="6041" xr:uid="{00000000-0005-0000-0000-00001D160000}"/>
    <cellStyle name="Normal 12 18 3" xfId="6042" xr:uid="{00000000-0005-0000-0000-00001E160000}"/>
    <cellStyle name="Normal 12 18 3 10" xfId="6043" xr:uid="{00000000-0005-0000-0000-00001F160000}"/>
    <cellStyle name="Normal 12 18 3 11" xfId="6044" xr:uid="{00000000-0005-0000-0000-000020160000}"/>
    <cellStyle name="Normal 12 18 3 2" xfId="6045" xr:uid="{00000000-0005-0000-0000-000021160000}"/>
    <cellStyle name="Normal 12 18 3 2 10" xfId="6046" xr:uid="{00000000-0005-0000-0000-000022160000}"/>
    <cellStyle name="Normal 12 18 3 2 2" xfId="6047" xr:uid="{00000000-0005-0000-0000-000023160000}"/>
    <cellStyle name="Normal 12 18 3 2 2 2" xfId="6048" xr:uid="{00000000-0005-0000-0000-000024160000}"/>
    <cellStyle name="Normal 12 18 3 2 2 2 2" xfId="6049" xr:uid="{00000000-0005-0000-0000-000025160000}"/>
    <cellStyle name="Normal 12 18 3 2 2 2 3" xfId="6050" xr:uid="{00000000-0005-0000-0000-000026160000}"/>
    <cellStyle name="Normal 12 18 3 2 2 2 4" xfId="6051" xr:uid="{00000000-0005-0000-0000-000027160000}"/>
    <cellStyle name="Normal 12 18 3 2 2 2 5" xfId="6052" xr:uid="{00000000-0005-0000-0000-000028160000}"/>
    <cellStyle name="Normal 12 18 3 2 2 3" xfId="6053" xr:uid="{00000000-0005-0000-0000-000029160000}"/>
    <cellStyle name="Normal 12 18 3 2 2 4" xfId="6054" xr:uid="{00000000-0005-0000-0000-00002A160000}"/>
    <cellStyle name="Normal 12 18 3 2 2 5" xfId="6055" xr:uid="{00000000-0005-0000-0000-00002B160000}"/>
    <cellStyle name="Normal 12 18 3 2 2 6" xfId="6056" xr:uid="{00000000-0005-0000-0000-00002C160000}"/>
    <cellStyle name="Normal 12 18 3 2 2 7" xfId="6057" xr:uid="{00000000-0005-0000-0000-00002D160000}"/>
    <cellStyle name="Normal 12 18 3 2 2 8" xfId="6058" xr:uid="{00000000-0005-0000-0000-00002E160000}"/>
    <cellStyle name="Normal 12 18 3 2 3" xfId="6059" xr:uid="{00000000-0005-0000-0000-00002F160000}"/>
    <cellStyle name="Normal 12 18 3 2 3 2" xfId="6060" xr:uid="{00000000-0005-0000-0000-000030160000}"/>
    <cellStyle name="Normal 12 18 3 2 3 2 2" xfId="6061" xr:uid="{00000000-0005-0000-0000-000031160000}"/>
    <cellStyle name="Normal 12 18 3 2 3 2 3" xfId="6062" xr:uid="{00000000-0005-0000-0000-000032160000}"/>
    <cellStyle name="Normal 12 18 3 2 3 2 4" xfId="6063" xr:uid="{00000000-0005-0000-0000-000033160000}"/>
    <cellStyle name="Normal 12 18 3 2 3 2 5" xfId="6064" xr:uid="{00000000-0005-0000-0000-000034160000}"/>
    <cellStyle name="Normal 12 18 3 2 3 3" xfId="6065" xr:uid="{00000000-0005-0000-0000-000035160000}"/>
    <cellStyle name="Normal 12 18 3 2 3 4" xfId="6066" xr:uid="{00000000-0005-0000-0000-000036160000}"/>
    <cellStyle name="Normal 12 18 3 2 3 5" xfId="6067" xr:uid="{00000000-0005-0000-0000-000037160000}"/>
    <cellStyle name="Normal 12 18 3 2 3 6" xfId="6068" xr:uid="{00000000-0005-0000-0000-000038160000}"/>
    <cellStyle name="Normal 12 18 3 2 3 7" xfId="6069" xr:uid="{00000000-0005-0000-0000-000039160000}"/>
    <cellStyle name="Normal 12 18 3 2 3 8" xfId="6070" xr:uid="{00000000-0005-0000-0000-00003A160000}"/>
    <cellStyle name="Normal 12 18 3 2 4" xfId="6071" xr:uid="{00000000-0005-0000-0000-00003B160000}"/>
    <cellStyle name="Normal 12 18 3 2 4 2" xfId="6072" xr:uid="{00000000-0005-0000-0000-00003C160000}"/>
    <cellStyle name="Normal 12 18 3 2 4 3" xfId="6073" xr:uid="{00000000-0005-0000-0000-00003D160000}"/>
    <cellStyle name="Normal 12 18 3 2 4 4" xfId="6074" xr:uid="{00000000-0005-0000-0000-00003E160000}"/>
    <cellStyle name="Normal 12 18 3 2 4 5" xfId="6075" xr:uid="{00000000-0005-0000-0000-00003F160000}"/>
    <cellStyle name="Normal 12 18 3 2 5" xfId="6076" xr:uid="{00000000-0005-0000-0000-000040160000}"/>
    <cellStyle name="Normal 12 18 3 2 6" xfId="6077" xr:uid="{00000000-0005-0000-0000-000041160000}"/>
    <cellStyle name="Normal 12 18 3 2 7" xfId="6078" xr:uid="{00000000-0005-0000-0000-000042160000}"/>
    <cellStyle name="Normal 12 18 3 2 8" xfId="6079" xr:uid="{00000000-0005-0000-0000-000043160000}"/>
    <cellStyle name="Normal 12 18 3 2 9" xfId="6080" xr:uid="{00000000-0005-0000-0000-000044160000}"/>
    <cellStyle name="Normal 12 18 3 3" xfId="6081" xr:uid="{00000000-0005-0000-0000-000045160000}"/>
    <cellStyle name="Normal 12 18 3 3 2" xfId="6082" xr:uid="{00000000-0005-0000-0000-000046160000}"/>
    <cellStyle name="Normal 12 18 3 3 2 2" xfId="6083" xr:uid="{00000000-0005-0000-0000-000047160000}"/>
    <cellStyle name="Normal 12 18 3 3 2 3" xfId="6084" xr:uid="{00000000-0005-0000-0000-000048160000}"/>
    <cellStyle name="Normal 12 18 3 3 2 4" xfId="6085" xr:uid="{00000000-0005-0000-0000-000049160000}"/>
    <cellStyle name="Normal 12 18 3 3 2 5" xfId="6086" xr:uid="{00000000-0005-0000-0000-00004A160000}"/>
    <cellStyle name="Normal 12 18 3 3 3" xfId="6087" xr:uid="{00000000-0005-0000-0000-00004B160000}"/>
    <cellStyle name="Normal 12 18 3 3 4" xfId="6088" xr:uid="{00000000-0005-0000-0000-00004C160000}"/>
    <cellStyle name="Normal 12 18 3 3 5" xfId="6089" xr:uid="{00000000-0005-0000-0000-00004D160000}"/>
    <cellStyle name="Normal 12 18 3 3 6" xfId="6090" xr:uid="{00000000-0005-0000-0000-00004E160000}"/>
    <cellStyle name="Normal 12 18 3 3 7" xfId="6091" xr:uid="{00000000-0005-0000-0000-00004F160000}"/>
    <cellStyle name="Normal 12 18 3 3 8" xfId="6092" xr:uid="{00000000-0005-0000-0000-000050160000}"/>
    <cellStyle name="Normal 12 18 3 4" xfId="6093" xr:uid="{00000000-0005-0000-0000-000051160000}"/>
    <cellStyle name="Normal 12 18 3 4 2" xfId="6094" xr:uid="{00000000-0005-0000-0000-000052160000}"/>
    <cellStyle name="Normal 12 18 3 4 2 2" xfId="6095" xr:uid="{00000000-0005-0000-0000-000053160000}"/>
    <cellStyle name="Normal 12 18 3 4 2 3" xfId="6096" xr:uid="{00000000-0005-0000-0000-000054160000}"/>
    <cellStyle name="Normal 12 18 3 4 2 4" xfId="6097" xr:uid="{00000000-0005-0000-0000-000055160000}"/>
    <cellStyle name="Normal 12 18 3 4 2 5" xfId="6098" xr:uid="{00000000-0005-0000-0000-000056160000}"/>
    <cellStyle name="Normal 12 18 3 4 3" xfId="6099" xr:uid="{00000000-0005-0000-0000-000057160000}"/>
    <cellStyle name="Normal 12 18 3 4 4" xfId="6100" xr:uid="{00000000-0005-0000-0000-000058160000}"/>
    <cellStyle name="Normal 12 18 3 4 5" xfId="6101" xr:uid="{00000000-0005-0000-0000-000059160000}"/>
    <cellStyle name="Normal 12 18 3 4 6" xfId="6102" xr:uid="{00000000-0005-0000-0000-00005A160000}"/>
    <cellStyle name="Normal 12 18 3 4 7" xfId="6103" xr:uid="{00000000-0005-0000-0000-00005B160000}"/>
    <cellStyle name="Normal 12 18 3 4 8" xfId="6104" xr:uid="{00000000-0005-0000-0000-00005C160000}"/>
    <cellStyle name="Normal 12 18 3 5" xfId="6105" xr:uid="{00000000-0005-0000-0000-00005D160000}"/>
    <cellStyle name="Normal 12 18 3 5 2" xfId="6106" xr:uid="{00000000-0005-0000-0000-00005E160000}"/>
    <cellStyle name="Normal 12 18 3 5 3" xfId="6107" xr:uid="{00000000-0005-0000-0000-00005F160000}"/>
    <cellStyle name="Normal 12 18 3 5 4" xfId="6108" xr:uid="{00000000-0005-0000-0000-000060160000}"/>
    <cellStyle name="Normal 12 18 3 5 5" xfId="6109" xr:uid="{00000000-0005-0000-0000-000061160000}"/>
    <cellStyle name="Normal 12 18 3 6" xfId="6110" xr:uid="{00000000-0005-0000-0000-000062160000}"/>
    <cellStyle name="Normal 12 18 3 7" xfId="6111" xr:uid="{00000000-0005-0000-0000-000063160000}"/>
    <cellStyle name="Normal 12 18 3 8" xfId="6112" xr:uid="{00000000-0005-0000-0000-000064160000}"/>
    <cellStyle name="Normal 12 18 3 9" xfId="6113" xr:uid="{00000000-0005-0000-0000-000065160000}"/>
    <cellStyle name="Normal 12 18 4" xfId="6114" xr:uid="{00000000-0005-0000-0000-000066160000}"/>
    <cellStyle name="Normal 12 18 4 10" xfId="6115" xr:uid="{00000000-0005-0000-0000-000067160000}"/>
    <cellStyle name="Normal 12 18 4 2" xfId="6116" xr:uid="{00000000-0005-0000-0000-000068160000}"/>
    <cellStyle name="Normal 12 18 4 2 2" xfId="6117" xr:uid="{00000000-0005-0000-0000-000069160000}"/>
    <cellStyle name="Normal 12 18 4 2 2 2" xfId="6118" xr:uid="{00000000-0005-0000-0000-00006A160000}"/>
    <cellStyle name="Normal 12 18 4 2 2 3" xfId="6119" xr:uid="{00000000-0005-0000-0000-00006B160000}"/>
    <cellStyle name="Normal 12 18 4 2 2 4" xfId="6120" xr:uid="{00000000-0005-0000-0000-00006C160000}"/>
    <cellStyle name="Normal 12 18 4 2 2 5" xfId="6121" xr:uid="{00000000-0005-0000-0000-00006D160000}"/>
    <cellStyle name="Normal 12 18 4 2 3" xfId="6122" xr:uid="{00000000-0005-0000-0000-00006E160000}"/>
    <cellStyle name="Normal 12 18 4 2 4" xfId="6123" xr:uid="{00000000-0005-0000-0000-00006F160000}"/>
    <cellStyle name="Normal 12 18 4 2 5" xfId="6124" xr:uid="{00000000-0005-0000-0000-000070160000}"/>
    <cellStyle name="Normal 12 18 4 2 6" xfId="6125" xr:uid="{00000000-0005-0000-0000-000071160000}"/>
    <cellStyle name="Normal 12 18 4 2 7" xfId="6126" xr:uid="{00000000-0005-0000-0000-000072160000}"/>
    <cellStyle name="Normal 12 18 4 2 8" xfId="6127" xr:uid="{00000000-0005-0000-0000-000073160000}"/>
    <cellStyle name="Normal 12 18 4 3" xfId="6128" xr:uid="{00000000-0005-0000-0000-000074160000}"/>
    <cellStyle name="Normal 12 18 4 3 2" xfId="6129" xr:uid="{00000000-0005-0000-0000-000075160000}"/>
    <cellStyle name="Normal 12 18 4 3 2 2" xfId="6130" xr:uid="{00000000-0005-0000-0000-000076160000}"/>
    <cellStyle name="Normal 12 18 4 3 2 3" xfId="6131" xr:uid="{00000000-0005-0000-0000-000077160000}"/>
    <cellStyle name="Normal 12 18 4 3 2 4" xfId="6132" xr:uid="{00000000-0005-0000-0000-000078160000}"/>
    <cellStyle name="Normal 12 18 4 3 2 5" xfId="6133" xr:uid="{00000000-0005-0000-0000-000079160000}"/>
    <cellStyle name="Normal 12 18 4 3 3" xfId="6134" xr:uid="{00000000-0005-0000-0000-00007A160000}"/>
    <cellStyle name="Normal 12 18 4 3 4" xfId="6135" xr:uid="{00000000-0005-0000-0000-00007B160000}"/>
    <cellStyle name="Normal 12 18 4 3 5" xfId="6136" xr:uid="{00000000-0005-0000-0000-00007C160000}"/>
    <cellStyle name="Normal 12 18 4 3 6" xfId="6137" xr:uid="{00000000-0005-0000-0000-00007D160000}"/>
    <cellStyle name="Normal 12 18 4 3 7" xfId="6138" xr:uid="{00000000-0005-0000-0000-00007E160000}"/>
    <cellStyle name="Normal 12 18 4 3 8" xfId="6139" xr:uid="{00000000-0005-0000-0000-00007F160000}"/>
    <cellStyle name="Normal 12 18 4 4" xfId="6140" xr:uid="{00000000-0005-0000-0000-000080160000}"/>
    <cellStyle name="Normal 12 18 4 4 2" xfId="6141" xr:uid="{00000000-0005-0000-0000-000081160000}"/>
    <cellStyle name="Normal 12 18 4 4 3" xfId="6142" xr:uid="{00000000-0005-0000-0000-000082160000}"/>
    <cellStyle name="Normal 12 18 4 4 4" xfId="6143" xr:uid="{00000000-0005-0000-0000-000083160000}"/>
    <cellStyle name="Normal 12 18 4 4 5" xfId="6144" xr:uid="{00000000-0005-0000-0000-000084160000}"/>
    <cellStyle name="Normal 12 18 4 5" xfId="6145" xr:uid="{00000000-0005-0000-0000-000085160000}"/>
    <cellStyle name="Normal 12 18 4 6" xfId="6146" xr:uid="{00000000-0005-0000-0000-000086160000}"/>
    <cellStyle name="Normal 12 18 4 7" xfId="6147" xr:uid="{00000000-0005-0000-0000-000087160000}"/>
    <cellStyle name="Normal 12 18 4 8" xfId="6148" xr:uid="{00000000-0005-0000-0000-000088160000}"/>
    <cellStyle name="Normal 12 18 4 9" xfId="6149" xr:uid="{00000000-0005-0000-0000-000089160000}"/>
    <cellStyle name="Normal 12 18 5" xfId="6150" xr:uid="{00000000-0005-0000-0000-00008A160000}"/>
    <cellStyle name="Normal 12 18 5 2" xfId="6151" xr:uid="{00000000-0005-0000-0000-00008B160000}"/>
    <cellStyle name="Normal 12 18 5 2 2" xfId="6152" xr:uid="{00000000-0005-0000-0000-00008C160000}"/>
    <cellStyle name="Normal 12 18 5 2 3" xfId="6153" xr:uid="{00000000-0005-0000-0000-00008D160000}"/>
    <cellStyle name="Normal 12 18 5 2 4" xfId="6154" xr:uid="{00000000-0005-0000-0000-00008E160000}"/>
    <cellStyle name="Normal 12 18 5 2 5" xfId="6155" xr:uid="{00000000-0005-0000-0000-00008F160000}"/>
    <cellStyle name="Normal 12 18 5 3" xfId="6156" xr:uid="{00000000-0005-0000-0000-000090160000}"/>
    <cellStyle name="Normal 12 18 5 4" xfId="6157" xr:uid="{00000000-0005-0000-0000-000091160000}"/>
    <cellStyle name="Normal 12 18 5 5" xfId="6158" xr:uid="{00000000-0005-0000-0000-000092160000}"/>
    <cellStyle name="Normal 12 18 5 6" xfId="6159" xr:uid="{00000000-0005-0000-0000-000093160000}"/>
    <cellStyle name="Normal 12 18 5 7" xfId="6160" xr:uid="{00000000-0005-0000-0000-000094160000}"/>
    <cellStyle name="Normal 12 18 5 8" xfId="6161" xr:uid="{00000000-0005-0000-0000-000095160000}"/>
    <cellStyle name="Normal 12 18 6" xfId="6162" xr:uid="{00000000-0005-0000-0000-000096160000}"/>
    <cellStyle name="Normal 12 18 6 2" xfId="6163" xr:uid="{00000000-0005-0000-0000-000097160000}"/>
    <cellStyle name="Normal 12 18 6 2 2" xfId="6164" xr:uid="{00000000-0005-0000-0000-000098160000}"/>
    <cellStyle name="Normal 12 18 6 2 3" xfId="6165" xr:uid="{00000000-0005-0000-0000-000099160000}"/>
    <cellStyle name="Normal 12 18 6 2 4" xfId="6166" xr:uid="{00000000-0005-0000-0000-00009A160000}"/>
    <cellStyle name="Normal 12 18 6 2 5" xfId="6167" xr:uid="{00000000-0005-0000-0000-00009B160000}"/>
    <cellStyle name="Normal 12 18 6 3" xfId="6168" xr:uid="{00000000-0005-0000-0000-00009C160000}"/>
    <cellStyle name="Normal 12 18 6 4" xfId="6169" xr:uid="{00000000-0005-0000-0000-00009D160000}"/>
    <cellStyle name="Normal 12 18 6 5" xfId="6170" xr:uid="{00000000-0005-0000-0000-00009E160000}"/>
    <cellStyle name="Normal 12 18 6 6" xfId="6171" xr:uid="{00000000-0005-0000-0000-00009F160000}"/>
    <cellStyle name="Normal 12 18 6 7" xfId="6172" xr:uid="{00000000-0005-0000-0000-0000A0160000}"/>
    <cellStyle name="Normal 12 18 6 8" xfId="6173" xr:uid="{00000000-0005-0000-0000-0000A1160000}"/>
    <cellStyle name="Normal 12 18 7" xfId="6174" xr:uid="{00000000-0005-0000-0000-0000A2160000}"/>
    <cellStyle name="Normal 12 18 7 2" xfId="6175" xr:uid="{00000000-0005-0000-0000-0000A3160000}"/>
    <cellStyle name="Normal 12 18 7 3" xfId="6176" xr:uid="{00000000-0005-0000-0000-0000A4160000}"/>
    <cellStyle name="Normal 12 18 7 4" xfId="6177" xr:uid="{00000000-0005-0000-0000-0000A5160000}"/>
    <cellStyle name="Normal 12 18 7 5" xfId="6178" xr:uid="{00000000-0005-0000-0000-0000A6160000}"/>
    <cellStyle name="Normal 12 18 8" xfId="6179" xr:uid="{00000000-0005-0000-0000-0000A7160000}"/>
    <cellStyle name="Normal 12 18 9" xfId="6180" xr:uid="{00000000-0005-0000-0000-0000A8160000}"/>
    <cellStyle name="Normal 12 19" xfId="6181" xr:uid="{00000000-0005-0000-0000-0000A9160000}"/>
    <cellStyle name="Normal 12 19 10" xfId="6182" xr:uid="{00000000-0005-0000-0000-0000AA160000}"/>
    <cellStyle name="Normal 12 19 11" xfId="6183" xr:uid="{00000000-0005-0000-0000-0000AB160000}"/>
    <cellStyle name="Normal 12 19 12" xfId="6184" xr:uid="{00000000-0005-0000-0000-0000AC160000}"/>
    <cellStyle name="Normal 12 19 13" xfId="6185" xr:uid="{00000000-0005-0000-0000-0000AD160000}"/>
    <cellStyle name="Normal 12 19 2" xfId="6186" xr:uid="{00000000-0005-0000-0000-0000AE160000}"/>
    <cellStyle name="Normal 12 19 2 10" xfId="6187" xr:uid="{00000000-0005-0000-0000-0000AF160000}"/>
    <cellStyle name="Normal 12 19 2 11" xfId="6188" xr:uid="{00000000-0005-0000-0000-0000B0160000}"/>
    <cellStyle name="Normal 12 19 2 2" xfId="6189" xr:uid="{00000000-0005-0000-0000-0000B1160000}"/>
    <cellStyle name="Normal 12 19 2 2 10" xfId="6190" xr:uid="{00000000-0005-0000-0000-0000B2160000}"/>
    <cellStyle name="Normal 12 19 2 2 2" xfId="6191" xr:uid="{00000000-0005-0000-0000-0000B3160000}"/>
    <cellStyle name="Normal 12 19 2 2 2 2" xfId="6192" xr:uid="{00000000-0005-0000-0000-0000B4160000}"/>
    <cellStyle name="Normal 12 19 2 2 2 2 2" xfId="6193" xr:uid="{00000000-0005-0000-0000-0000B5160000}"/>
    <cellStyle name="Normal 12 19 2 2 2 2 3" xfId="6194" xr:uid="{00000000-0005-0000-0000-0000B6160000}"/>
    <cellStyle name="Normal 12 19 2 2 2 2 4" xfId="6195" xr:uid="{00000000-0005-0000-0000-0000B7160000}"/>
    <cellStyle name="Normal 12 19 2 2 2 2 5" xfId="6196" xr:uid="{00000000-0005-0000-0000-0000B8160000}"/>
    <cellStyle name="Normal 12 19 2 2 2 3" xfId="6197" xr:uid="{00000000-0005-0000-0000-0000B9160000}"/>
    <cellStyle name="Normal 12 19 2 2 2 4" xfId="6198" xr:uid="{00000000-0005-0000-0000-0000BA160000}"/>
    <cellStyle name="Normal 12 19 2 2 2 5" xfId="6199" xr:uid="{00000000-0005-0000-0000-0000BB160000}"/>
    <cellStyle name="Normal 12 19 2 2 2 6" xfId="6200" xr:uid="{00000000-0005-0000-0000-0000BC160000}"/>
    <cellStyle name="Normal 12 19 2 2 2 7" xfId="6201" xr:uid="{00000000-0005-0000-0000-0000BD160000}"/>
    <cellStyle name="Normal 12 19 2 2 2 8" xfId="6202" xr:uid="{00000000-0005-0000-0000-0000BE160000}"/>
    <cellStyle name="Normal 12 19 2 2 3" xfId="6203" xr:uid="{00000000-0005-0000-0000-0000BF160000}"/>
    <cellStyle name="Normal 12 19 2 2 3 2" xfId="6204" xr:uid="{00000000-0005-0000-0000-0000C0160000}"/>
    <cellStyle name="Normal 12 19 2 2 3 2 2" xfId="6205" xr:uid="{00000000-0005-0000-0000-0000C1160000}"/>
    <cellStyle name="Normal 12 19 2 2 3 2 3" xfId="6206" xr:uid="{00000000-0005-0000-0000-0000C2160000}"/>
    <cellStyle name="Normal 12 19 2 2 3 2 4" xfId="6207" xr:uid="{00000000-0005-0000-0000-0000C3160000}"/>
    <cellStyle name="Normal 12 19 2 2 3 2 5" xfId="6208" xr:uid="{00000000-0005-0000-0000-0000C4160000}"/>
    <cellStyle name="Normal 12 19 2 2 3 3" xfId="6209" xr:uid="{00000000-0005-0000-0000-0000C5160000}"/>
    <cellStyle name="Normal 12 19 2 2 3 4" xfId="6210" xr:uid="{00000000-0005-0000-0000-0000C6160000}"/>
    <cellStyle name="Normal 12 19 2 2 3 5" xfId="6211" xr:uid="{00000000-0005-0000-0000-0000C7160000}"/>
    <cellStyle name="Normal 12 19 2 2 3 6" xfId="6212" xr:uid="{00000000-0005-0000-0000-0000C8160000}"/>
    <cellStyle name="Normal 12 19 2 2 3 7" xfId="6213" xr:uid="{00000000-0005-0000-0000-0000C9160000}"/>
    <cellStyle name="Normal 12 19 2 2 3 8" xfId="6214" xr:uid="{00000000-0005-0000-0000-0000CA160000}"/>
    <cellStyle name="Normal 12 19 2 2 4" xfId="6215" xr:uid="{00000000-0005-0000-0000-0000CB160000}"/>
    <cellStyle name="Normal 12 19 2 2 4 2" xfId="6216" xr:uid="{00000000-0005-0000-0000-0000CC160000}"/>
    <cellStyle name="Normal 12 19 2 2 4 3" xfId="6217" xr:uid="{00000000-0005-0000-0000-0000CD160000}"/>
    <cellStyle name="Normal 12 19 2 2 4 4" xfId="6218" xr:uid="{00000000-0005-0000-0000-0000CE160000}"/>
    <cellStyle name="Normal 12 19 2 2 4 5" xfId="6219" xr:uid="{00000000-0005-0000-0000-0000CF160000}"/>
    <cellStyle name="Normal 12 19 2 2 5" xfId="6220" xr:uid="{00000000-0005-0000-0000-0000D0160000}"/>
    <cellStyle name="Normal 12 19 2 2 6" xfId="6221" xr:uid="{00000000-0005-0000-0000-0000D1160000}"/>
    <cellStyle name="Normal 12 19 2 2 7" xfId="6222" xr:uid="{00000000-0005-0000-0000-0000D2160000}"/>
    <cellStyle name="Normal 12 19 2 2 8" xfId="6223" xr:uid="{00000000-0005-0000-0000-0000D3160000}"/>
    <cellStyle name="Normal 12 19 2 2 9" xfId="6224" xr:uid="{00000000-0005-0000-0000-0000D4160000}"/>
    <cellStyle name="Normal 12 19 2 3" xfId="6225" xr:uid="{00000000-0005-0000-0000-0000D5160000}"/>
    <cellStyle name="Normal 12 19 2 3 2" xfId="6226" xr:uid="{00000000-0005-0000-0000-0000D6160000}"/>
    <cellStyle name="Normal 12 19 2 3 2 2" xfId="6227" xr:uid="{00000000-0005-0000-0000-0000D7160000}"/>
    <cellStyle name="Normal 12 19 2 3 2 3" xfId="6228" xr:uid="{00000000-0005-0000-0000-0000D8160000}"/>
    <cellStyle name="Normal 12 19 2 3 2 4" xfId="6229" xr:uid="{00000000-0005-0000-0000-0000D9160000}"/>
    <cellStyle name="Normal 12 19 2 3 2 5" xfId="6230" xr:uid="{00000000-0005-0000-0000-0000DA160000}"/>
    <cellStyle name="Normal 12 19 2 3 3" xfId="6231" xr:uid="{00000000-0005-0000-0000-0000DB160000}"/>
    <cellStyle name="Normal 12 19 2 3 4" xfId="6232" xr:uid="{00000000-0005-0000-0000-0000DC160000}"/>
    <cellStyle name="Normal 12 19 2 3 5" xfId="6233" xr:uid="{00000000-0005-0000-0000-0000DD160000}"/>
    <cellStyle name="Normal 12 19 2 3 6" xfId="6234" xr:uid="{00000000-0005-0000-0000-0000DE160000}"/>
    <cellStyle name="Normal 12 19 2 3 7" xfId="6235" xr:uid="{00000000-0005-0000-0000-0000DF160000}"/>
    <cellStyle name="Normal 12 19 2 3 8" xfId="6236" xr:uid="{00000000-0005-0000-0000-0000E0160000}"/>
    <cellStyle name="Normal 12 19 2 4" xfId="6237" xr:uid="{00000000-0005-0000-0000-0000E1160000}"/>
    <cellStyle name="Normal 12 19 2 4 2" xfId="6238" xr:uid="{00000000-0005-0000-0000-0000E2160000}"/>
    <cellStyle name="Normal 12 19 2 4 2 2" xfId="6239" xr:uid="{00000000-0005-0000-0000-0000E3160000}"/>
    <cellStyle name="Normal 12 19 2 4 2 3" xfId="6240" xr:uid="{00000000-0005-0000-0000-0000E4160000}"/>
    <cellStyle name="Normal 12 19 2 4 2 4" xfId="6241" xr:uid="{00000000-0005-0000-0000-0000E5160000}"/>
    <cellStyle name="Normal 12 19 2 4 2 5" xfId="6242" xr:uid="{00000000-0005-0000-0000-0000E6160000}"/>
    <cellStyle name="Normal 12 19 2 4 3" xfId="6243" xr:uid="{00000000-0005-0000-0000-0000E7160000}"/>
    <cellStyle name="Normal 12 19 2 4 4" xfId="6244" xr:uid="{00000000-0005-0000-0000-0000E8160000}"/>
    <cellStyle name="Normal 12 19 2 4 5" xfId="6245" xr:uid="{00000000-0005-0000-0000-0000E9160000}"/>
    <cellStyle name="Normal 12 19 2 4 6" xfId="6246" xr:uid="{00000000-0005-0000-0000-0000EA160000}"/>
    <cellStyle name="Normal 12 19 2 4 7" xfId="6247" xr:uid="{00000000-0005-0000-0000-0000EB160000}"/>
    <cellStyle name="Normal 12 19 2 4 8" xfId="6248" xr:uid="{00000000-0005-0000-0000-0000EC160000}"/>
    <cellStyle name="Normal 12 19 2 5" xfId="6249" xr:uid="{00000000-0005-0000-0000-0000ED160000}"/>
    <cellStyle name="Normal 12 19 2 5 2" xfId="6250" xr:uid="{00000000-0005-0000-0000-0000EE160000}"/>
    <cellStyle name="Normal 12 19 2 5 3" xfId="6251" xr:uid="{00000000-0005-0000-0000-0000EF160000}"/>
    <cellStyle name="Normal 12 19 2 5 4" xfId="6252" xr:uid="{00000000-0005-0000-0000-0000F0160000}"/>
    <cellStyle name="Normal 12 19 2 5 5" xfId="6253" xr:uid="{00000000-0005-0000-0000-0000F1160000}"/>
    <cellStyle name="Normal 12 19 2 6" xfId="6254" xr:uid="{00000000-0005-0000-0000-0000F2160000}"/>
    <cellStyle name="Normal 12 19 2 7" xfId="6255" xr:uid="{00000000-0005-0000-0000-0000F3160000}"/>
    <cellStyle name="Normal 12 19 2 8" xfId="6256" xr:uid="{00000000-0005-0000-0000-0000F4160000}"/>
    <cellStyle name="Normal 12 19 2 9" xfId="6257" xr:uid="{00000000-0005-0000-0000-0000F5160000}"/>
    <cellStyle name="Normal 12 19 3" xfId="6258" xr:uid="{00000000-0005-0000-0000-0000F6160000}"/>
    <cellStyle name="Normal 12 19 3 10" xfId="6259" xr:uid="{00000000-0005-0000-0000-0000F7160000}"/>
    <cellStyle name="Normal 12 19 3 11" xfId="6260" xr:uid="{00000000-0005-0000-0000-0000F8160000}"/>
    <cellStyle name="Normal 12 19 3 2" xfId="6261" xr:uid="{00000000-0005-0000-0000-0000F9160000}"/>
    <cellStyle name="Normal 12 19 3 2 10" xfId="6262" xr:uid="{00000000-0005-0000-0000-0000FA160000}"/>
    <cellStyle name="Normal 12 19 3 2 2" xfId="6263" xr:uid="{00000000-0005-0000-0000-0000FB160000}"/>
    <cellStyle name="Normal 12 19 3 2 2 2" xfId="6264" xr:uid="{00000000-0005-0000-0000-0000FC160000}"/>
    <cellStyle name="Normal 12 19 3 2 2 2 2" xfId="6265" xr:uid="{00000000-0005-0000-0000-0000FD160000}"/>
    <cellStyle name="Normal 12 19 3 2 2 2 3" xfId="6266" xr:uid="{00000000-0005-0000-0000-0000FE160000}"/>
    <cellStyle name="Normal 12 19 3 2 2 2 4" xfId="6267" xr:uid="{00000000-0005-0000-0000-0000FF160000}"/>
    <cellStyle name="Normal 12 19 3 2 2 2 5" xfId="6268" xr:uid="{00000000-0005-0000-0000-000000170000}"/>
    <cellStyle name="Normal 12 19 3 2 2 3" xfId="6269" xr:uid="{00000000-0005-0000-0000-000001170000}"/>
    <cellStyle name="Normal 12 19 3 2 2 4" xfId="6270" xr:uid="{00000000-0005-0000-0000-000002170000}"/>
    <cellStyle name="Normal 12 19 3 2 2 5" xfId="6271" xr:uid="{00000000-0005-0000-0000-000003170000}"/>
    <cellStyle name="Normal 12 19 3 2 2 6" xfId="6272" xr:uid="{00000000-0005-0000-0000-000004170000}"/>
    <cellStyle name="Normal 12 19 3 2 2 7" xfId="6273" xr:uid="{00000000-0005-0000-0000-000005170000}"/>
    <cellStyle name="Normal 12 19 3 2 2 8" xfId="6274" xr:uid="{00000000-0005-0000-0000-000006170000}"/>
    <cellStyle name="Normal 12 19 3 2 3" xfId="6275" xr:uid="{00000000-0005-0000-0000-000007170000}"/>
    <cellStyle name="Normal 12 19 3 2 3 2" xfId="6276" xr:uid="{00000000-0005-0000-0000-000008170000}"/>
    <cellStyle name="Normal 12 19 3 2 3 2 2" xfId="6277" xr:uid="{00000000-0005-0000-0000-000009170000}"/>
    <cellStyle name="Normal 12 19 3 2 3 2 3" xfId="6278" xr:uid="{00000000-0005-0000-0000-00000A170000}"/>
    <cellStyle name="Normal 12 19 3 2 3 2 4" xfId="6279" xr:uid="{00000000-0005-0000-0000-00000B170000}"/>
    <cellStyle name="Normal 12 19 3 2 3 2 5" xfId="6280" xr:uid="{00000000-0005-0000-0000-00000C170000}"/>
    <cellStyle name="Normal 12 19 3 2 3 3" xfId="6281" xr:uid="{00000000-0005-0000-0000-00000D170000}"/>
    <cellStyle name="Normal 12 19 3 2 3 4" xfId="6282" xr:uid="{00000000-0005-0000-0000-00000E170000}"/>
    <cellStyle name="Normal 12 19 3 2 3 5" xfId="6283" xr:uid="{00000000-0005-0000-0000-00000F170000}"/>
    <cellStyle name="Normal 12 19 3 2 3 6" xfId="6284" xr:uid="{00000000-0005-0000-0000-000010170000}"/>
    <cellStyle name="Normal 12 19 3 2 3 7" xfId="6285" xr:uid="{00000000-0005-0000-0000-000011170000}"/>
    <cellStyle name="Normal 12 19 3 2 3 8" xfId="6286" xr:uid="{00000000-0005-0000-0000-000012170000}"/>
    <cellStyle name="Normal 12 19 3 2 4" xfId="6287" xr:uid="{00000000-0005-0000-0000-000013170000}"/>
    <cellStyle name="Normal 12 19 3 2 4 2" xfId="6288" xr:uid="{00000000-0005-0000-0000-000014170000}"/>
    <cellStyle name="Normal 12 19 3 2 4 3" xfId="6289" xr:uid="{00000000-0005-0000-0000-000015170000}"/>
    <cellStyle name="Normal 12 19 3 2 4 4" xfId="6290" xr:uid="{00000000-0005-0000-0000-000016170000}"/>
    <cellStyle name="Normal 12 19 3 2 4 5" xfId="6291" xr:uid="{00000000-0005-0000-0000-000017170000}"/>
    <cellStyle name="Normal 12 19 3 2 5" xfId="6292" xr:uid="{00000000-0005-0000-0000-000018170000}"/>
    <cellStyle name="Normal 12 19 3 2 6" xfId="6293" xr:uid="{00000000-0005-0000-0000-000019170000}"/>
    <cellStyle name="Normal 12 19 3 2 7" xfId="6294" xr:uid="{00000000-0005-0000-0000-00001A170000}"/>
    <cellStyle name="Normal 12 19 3 2 8" xfId="6295" xr:uid="{00000000-0005-0000-0000-00001B170000}"/>
    <cellStyle name="Normal 12 19 3 2 9" xfId="6296" xr:uid="{00000000-0005-0000-0000-00001C170000}"/>
    <cellStyle name="Normal 12 19 3 3" xfId="6297" xr:uid="{00000000-0005-0000-0000-00001D170000}"/>
    <cellStyle name="Normal 12 19 3 3 2" xfId="6298" xr:uid="{00000000-0005-0000-0000-00001E170000}"/>
    <cellStyle name="Normal 12 19 3 3 2 2" xfId="6299" xr:uid="{00000000-0005-0000-0000-00001F170000}"/>
    <cellStyle name="Normal 12 19 3 3 2 3" xfId="6300" xr:uid="{00000000-0005-0000-0000-000020170000}"/>
    <cellStyle name="Normal 12 19 3 3 2 4" xfId="6301" xr:uid="{00000000-0005-0000-0000-000021170000}"/>
    <cellStyle name="Normal 12 19 3 3 2 5" xfId="6302" xr:uid="{00000000-0005-0000-0000-000022170000}"/>
    <cellStyle name="Normal 12 19 3 3 3" xfId="6303" xr:uid="{00000000-0005-0000-0000-000023170000}"/>
    <cellStyle name="Normal 12 19 3 3 4" xfId="6304" xr:uid="{00000000-0005-0000-0000-000024170000}"/>
    <cellStyle name="Normal 12 19 3 3 5" xfId="6305" xr:uid="{00000000-0005-0000-0000-000025170000}"/>
    <cellStyle name="Normal 12 19 3 3 6" xfId="6306" xr:uid="{00000000-0005-0000-0000-000026170000}"/>
    <cellStyle name="Normal 12 19 3 3 7" xfId="6307" xr:uid="{00000000-0005-0000-0000-000027170000}"/>
    <cellStyle name="Normal 12 19 3 3 8" xfId="6308" xr:uid="{00000000-0005-0000-0000-000028170000}"/>
    <cellStyle name="Normal 12 19 3 4" xfId="6309" xr:uid="{00000000-0005-0000-0000-000029170000}"/>
    <cellStyle name="Normal 12 19 3 4 2" xfId="6310" xr:uid="{00000000-0005-0000-0000-00002A170000}"/>
    <cellStyle name="Normal 12 19 3 4 2 2" xfId="6311" xr:uid="{00000000-0005-0000-0000-00002B170000}"/>
    <cellStyle name="Normal 12 19 3 4 2 3" xfId="6312" xr:uid="{00000000-0005-0000-0000-00002C170000}"/>
    <cellStyle name="Normal 12 19 3 4 2 4" xfId="6313" xr:uid="{00000000-0005-0000-0000-00002D170000}"/>
    <cellStyle name="Normal 12 19 3 4 2 5" xfId="6314" xr:uid="{00000000-0005-0000-0000-00002E170000}"/>
    <cellStyle name="Normal 12 19 3 4 3" xfId="6315" xr:uid="{00000000-0005-0000-0000-00002F170000}"/>
    <cellStyle name="Normal 12 19 3 4 4" xfId="6316" xr:uid="{00000000-0005-0000-0000-000030170000}"/>
    <cellStyle name="Normal 12 19 3 4 5" xfId="6317" xr:uid="{00000000-0005-0000-0000-000031170000}"/>
    <cellStyle name="Normal 12 19 3 4 6" xfId="6318" xr:uid="{00000000-0005-0000-0000-000032170000}"/>
    <cellStyle name="Normal 12 19 3 4 7" xfId="6319" xr:uid="{00000000-0005-0000-0000-000033170000}"/>
    <cellStyle name="Normal 12 19 3 4 8" xfId="6320" xr:uid="{00000000-0005-0000-0000-000034170000}"/>
    <cellStyle name="Normal 12 19 3 5" xfId="6321" xr:uid="{00000000-0005-0000-0000-000035170000}"/>
    <cellStyle name="Normal 12 19 3 5 2" xfId="6322" xr:uid="{00000000-0005-0000-0000-000036170000}"/>
    <cellStyle name="Normal 12 19 3 5 3" xfId="6323" xr:uid="{00000000-0005-0000-0000-000037170000}"/>
    <cellStyle name="Normal 12 19 3 5 4" xfId="6324" xr:uid="{00000000-0005-0000-0000-000038170000}"/>
    <cellStyle name="Normal 12 19 3 5 5" xfId="6325" xr:uid="{00000000-0005-0000-0000-000039170000}"/>
    <cellStyle name="Normal 12 19 3 6" xfId="6326" xr:uid="{00000000-0005-0000-0000-00003A170000}"/>
    <cellStyle name="Normal 12 19 3 7" xfId="6327" xr:uid="{00000000-0005-0000-0000-00003B170000}"/>
    <cellStyle name="Normal 12 19 3 8" xfId="6328" xr:uid="{00000000-0005-0000-0000-00003C170000}"/>
    <cellStyle name="Normal 12 19 3 9" xfId="6329" xr:uid="{00000000-0005-0000-0000-00003D170000}"/>
    <cellStyle name="Normal 12 19 4" xfId="6330" xr:uid="{00000000-0005-0000-0000-00003E170000}"/>
    <cellStyle name="Normal 12 19 4 10" xfId="6331" xr:uid="{00000000-0005-0000-0000-00003F170000}"/>
    <cellStyle name="Normal 12 19 4 2" xfId="6332" xr:uid="{00000000-0005-0000-0000-000040170000}"/>
    <cellStyle name="Normal 12 19 4 2 2" xfId="6333" xr:uid="{00000000-0005-0000-0000-000041170000}"/>
    <cellStyle name="Normal 12 19 4 2 2 2" xfId="6334" xr:uid="{00000000-0005-0000-0000-000042170000}"/>
    <cellStyle name="Normal 12 19 4 2 2 3" xfId="6335" xr:uid="{00000000-0005-0000-0000-000043170000}"/>
    <cellStyle name="Normal 12 19 4 2 2 4" xfId="6336" xr:uid="{00000000-0005-0000-0000-000044170000}"/>
    <cellStyle name="Normal 12 19 4 2 2 5" xfId="6337" xr:uid="{00000000-0005-0000-0000-000045170000}"/>
    <cellStyle name="Normal 12 19 4 2 3" xfId="6338" xr:uid="{00000000-0005-0000-0000-000046170000}"/>
    <cellStyle name="Normal 12 19 4 2 4" xfId="6339" xr:uid="{00000000-0005-0000-0000-000047170000}"/>
    <cellStyle name="Normal 12 19 4 2 5" xfId="6340" xr:uid="{00000000-0005-0000-0000-000048170000}"/>
    <cellStyle name="Normal 12 19 4 2 6" xfId="6341" xr:uid="{00000000-0005-0000-0000-000049170000}"/>
    <cellStyle name="Normal 12 19 4 2 7" xfId="6342" xr:uid="{00000000-0005-0000-0000-00004A170000}"/>
    <cellStyle name="Normal 12 19 4 2 8" xfId="6343" xr:uid="{00000000-0005-0000-0000-00004B170000}"/>
    <cellStyle name="Normal 12 19 4 3" xfId="6344" xr:uid="{00000000-0005-0000-0000-00004C170000}"/>
    <cellStyle name="Normal 12 19 4 3 2" xfId="6345" xr:uid="{00000000-0005-0000-0000-00004D170000}"/>
    <cellStyle name="Normal 12 19 4 3 2 2" xfId="6346" xr:uid="{00000000-0005-0000-0000-00004E170000}"/>
    <cellStyle name="Normal 12 19 4 3 2 3" xfId="6347" xr:uid="{00000000-0005-0000-0000-00004F170000}"/>
    <cellStyle name="Normal 12 19 4 3 2 4" xfId="6348" xr:uid="{00000000-0005-0000-0000-000050170000}"/>
    <cellStyle name="Normal 12 19 4 3 2 5" xfId="6349" xr:uid="{00000000-0005-0000-0000-000051170000}"/>
    <cellStyle name="Normal 12 19 4 3 3" xfId="6350" xr:uid="{00000000-0005-0000-0000-000052170000}"/>
    <cellStyle name="Normal 12 19 4 3 4" xfId="6351" xr:uid="{00000000-0005-0000-0000-000053170000}"/>
    <cellStyle name="Normal 12 19 4 3 5" xfId="6352" xr:uid="{00000000-0005-0000-0000-000054170000}"/>
    <cellStyle name="Normal 12 19 4 3 6" xfId="6353" xr:uid="{00000000-0005-0000-0000-000055170000}"/>
    <cellStyle name="Normal 12 19 4 3 7" xfId="6354" xr:uid="{00000000-0005-0000-0000-000056170000}"/>
    <cellStyle name="Normal 12 19 4 3 8" xfId="6355" xr:uid="{00000000-0005-0000-0000-000057170000}"/>
    <cellStyle name="Normal 12 19 4 4" xfId="6356" xr:uid="{00000000-0005-0000-0000-000058170000}"/>
    <cellStyle name="Normal 12 19 4 4 2" xfId="6357" xr:uid="{00000000-0005-0000-0000-000059170000}"/>
    <cellStyle name="Normal 12 19 4 4 3" xfId="6358" xr:uid="{00000000-0005-0000-0000-00005A170000}"/>
    <cellStyle name="Normal 12 19 4 4 4" xfId="6359" xr:uid="{00000000-0005-0000-0000-00005B170000}"/>
    <cellStyle name="Normal 12 19 4 4 5" xfId="6360" xr:uid="{00000000-0005-0000-0000-00005C170000}"/>
    <cellStyle name="Normal 12 19 4 5" xfId="6361" xr:uid="{00000000-0005-0000-0000-00005D170000}"/>
    <cellStyle name="Normal 12 19 4 6" xfId="6362" xr:uid="{00000000-0005-0000-0000-00005E170000}"/>
    <cellStyle name="Normal 12 19 4 7" xfId="6363" xr:uid="{00000000-0005-0000-0000-00005F170000}"/>
    <cellStyle name="Normal 12 19 4 8" xfId="6364" xr:uid="{00000000-0005-0000-0000-000060170000}"/>
    <cellStyle name="Normal 12 19 4 9" xfId="6365" xr:uid="{00000000-0005-0000-0000-000061170000}"/>
    <cellStyle name="Normal 12 19 5" xfId="6366" xr:uid="{00000000-0005-0000-0000-000062170000}"/>
    <cellStyle name="Normal 12 19 5 2" xfId="6367" xr:uid="{00000000-0005-0000-0000-000063170000}"/>
    <cellStyle name="Normal 12 19 5 2 2" xfId="6368" xr:uid="{00000000-0005-0000-0000-000064170000}"/>
    <cellStyle name="Normal 12 19 5 2 3" xfId="6369" xr:uid="{00000000-0005-0000-0000-000065170000}"/>
    <cellStyle name="Normal 12 19 5 2 4" xfId="6370" xr:uid="{00000000-0005-0000-0000-000066170000}"/>
    <cellStyle name="Normal 12 19 5 2 5" xfId="6371" xr:uid="{00000000-0005-0000-0000-000067170000}"/>
    <cellStyle name="Normal 12 19 5 3" xfId="6372" xr:uid="{00000000-0005-0000-0000-000068170000}"/>
    <cellStyle name="Normal 12 19 5 4" xfId="6373" xr:uid="{00000000-0005-0000-0000-000069170000}"/>
    <cellStyle name="Normal 12 19 5 5" xfId="6374" xr:uid="{00000000-0005-0000-0000-00006A170000}"/>
    <cellStyle name="Normal 12 19 5 6" xfId="6375" xr:uid="{00000000-0005-0000-0000-00006B170000}"/>
    <cellStyle name="Normal 12 19 5 7" xfId="6376" xr:uid="{00000000-0005-0000-0000-00006C170000}"/>
    <cellStyle name="Normal 12 19 5 8" xfId="6377" xr:uid="{00000000-0005-0000-0000-00006D170000}"/>
    <cellStyle name="Normal 12 19 6" xfId="6378" xr:uid="{00000000-0005-0000-0000-00006E170000}"/>
    <cellStyle name="Normal 12 19 6 2" xfId="6379" xr:uid="{00000000-0005-0000-0000-00006F170000}"/>
    <cellStyle name="Normal 12 19 6 2 2" xfId="6380" xr:uid="{00000000-0005-0000-0000-000070170000}"/>
    <cellStyle name="Normal 12 19 6 2 3" xfId="6381" xr:uid="{00000000-0005-0000-0000-000071170000}"/>
    <cellStyle name="Normal 12 19 6 2 4" xfId="6382" xr:uid="{00000000-0005-0000-0000-000072170000}"/>
    <cellStyle name="Normal 12 19 6 2 5" xfId="6383" xr:uid="{00000000-0005-0000-0000-000073170000}"/>
    <cellStyle name="Normal 12 19 6 3" xfId="6384" xr:uid="{00000000-0005-0000-0000-000074170000}"/>
    <cellStyle name="Normal 12 19 6 4" xfId="6385" xr:uid="{00000000-0005-0000-0000-000075170000}"/>
    <cellStyle name="Normal 12 19 6 5" xfId="6386" xr:uid="{00000000-0005-0000-0000-000076170000}"/>
    <cellStyle name="Normal 12 19 6 6" xfId="6387" xr:uid="{00000000-0005-0000-0000-000077170000}"/>
    <cellStyle name="Normal 12 19 6 7" xfId="6388" xr:uid="{00000000-0005-0000-0000-000078170000}"/>
    <cellStyle name="Normal 12 19 6 8" xfId="6389" xr:uid="{00000000-0005-0000-0000-000079170000}"/>
    <cellStyle name="Normal 12 19 7" xfId="6390" xr:uid="{00000000-0005-0000-0000-00007A170000}"/>
    <cellStyle name="Normal 12 19 7 2" xfId="6391" xr:uid="{00000000-0005-0000-0000-00007B170000}"/>
    <cellStyle name="Normal 12 19 7 3" xfId="6392" xr:uid="{00000000-0005-0000-0000-00007C170000}"/>
    <cellStyle name="Normal 12 19 7 4" xfId="6393" xr:uid="{00000000-0005-0000-0000-00007D170000}"/>
    <cellStyle name="Normal 12 19 7 5" xfId="6394" xr:uid="{00000000-0005-0000-0000-00007E170000}"/>
    <cellStyle name="Normal 12 19 8" xfId="6395" xr:uid="{00000000-0005-0000-0000-00007F170000}"/>
    <cellStyle name="Normal 12 19 9" xfId="6396" xr:uid="{00000000-0005-0000-0000-000080170000}"/>
    <cellStyle name="Normal 12 2" xfId="810" xr:uid="{00000000-0005-0000-0000-000081170000}"/>
    <cellStyle name="Normal 12 2 10" xfId="6397" xr:uid="{00000000-0005-0000-0000-000082170000}"/>
    <cellStyle name="Normal 12 2 10 10" xfId="6398" xr:uid="{00000000-0005-0000-0000-000083170000}"/>
    <cellStyle name="Normal 12 2 10 11" xfId="6399" xr:uid="{00000000-0005-0000-0000-000084170000}"/>
    <cellStyle name="Normal 12 2 10 12" xfId="6400" xr:uid="{00000000-0005-0000-0000-000085170000}"/>
    <cellStyle name="Normal 12 2 10 13" xfId="6401" xr:uid="{00000000-0005-0000-0000-000086170000}"/>
    <cellStyle name="Normal 12 2 10 2" xfId="6402" xr:uid="{00000000-0005-0000-0000-000087170000}"/>
    <cellStyle name="Normal 12 2 10 2 10" xfId="6403" xr:uid="{00000000-0005-0000-0000-000088170000}"/>
    <cellStyle name="Normal 12 2 10 2 11" xfId="6404" xr:uid="{00000000-0005-0000-0000-000089170000}"/>
    <cellStyle name="Normal 12 2 10 2 2" xfId="6405" xr:uid="{00000000-0005-0000-0000-00008A170000}"/>
    <cellStyle name="Normal 12 2 10 2 2 10" xfId="6406" xr:uid="{00000000-0005-0000-0000-00008B170000}"/>
    <cellStyle name="Normal 12 2 10 2 2 2" xfId="6407" xr:uid="{00000000-0005-0000-0000-00008C170000}"/>
    <cellStyle name="Normal 12 2 10 2 2 2 2" xfId="6408" xr:uid="{00000000-0005-0000-0000-00008D170000}"/>
    <cellStyle name="Normal 12 2 10 2 2 2 2 2" xfId="6409" xr:uid="{00000000-0005-0000-0000-00008E170000}"/>
    <cellStyle name="Normal 12 2 10 2 2 2 2 3" xfId="6410" xr:uid="{00000000-0005-0000-0000-00008F170000}"/>
    <cellStyle name="Normal 12 2 10 2 2 2 2 4" xfId="6411" xr:uid="{00000000-0005-0000-0000-000090170000}"/>
    <cellStyle name="Normal 12 2 10 2 2 2 2 5" xfId="6412" xr:uid="{00000000-0005-0000-0000-000091170000}"/>
    <cellStyle name="Normal 12 2 10 2 2 2 3" xfId="6413" xr:uid="{00000000-0005-0000-0000-000092170000}"/>
    <cellStyle name="Normal 12 2 10 2 2 2 4" xfId="6414" xr:uid="{00000000-0005-0000-0000-000093170000}"/>
    <cellStyle name="Normal 12 2 10 2 2 2 5" xfId="6415" xr:uid="{00000000-0005-0000-0000-000094170000}"/>
    <cellStyle name="Normal 12 2 10 2 2 2 6" xfId="6416" xr:uid="{00000000-0005-0000-0000-000095170000}"/>
    <cellStyle name="Normal 12 2 10 2 2 2 7" xfId="6417" xr:uid="{00000000-0005-0000-0000-000096170000}"/>
    <cellStyle name="Normal 12 2 10 2 2 2 8" xfId="6418" xr:uid="{00000000-0005-0000-0000-000097170000}"/>
    <cellStyle name="Normal 12 2 10 2 2 3" xfId="6419" xr:uid="{00000000-0005-0000-0000-000098170000}"/>
    <cellStyle name="Normal 12 2 10 2 2 3 2" xfId="6420" xr:uid="{00000000-0005-0000-0000-000099170000}"/>
    <cellStyle name="Normal 12 2 10 2 2 3 2 2" xfId="6421" xr:uid="{00000000-0005-0000-0000-00009A170000}"/>
    <cellStyle name="Normal 12 2 10 2 2 3 2 3" xfId="6422" xr:uid="{00000000-0005-0000-0000-00009B170000}"/>
    <cellStyle name="Normal 12 2 10 2 2 3 2 4" xfId="6423" xr:uid="{00000000-0005-0000-0000-00009C170000}"/>
    <cellStyle name="Normal 12 2 10 2 2 3 2 5" xfId="6424" xr:uid="{00000000-0005-0000-0000-00009D170000}"/>
    <cellStyle name="Normal 12 2 10 2 2 3 3" xfId="6425" xr:uid="{00000000-0005-0000-0000-00009E170000}"/>
    <cellStyle name="Normal 12 2 10 2 2 3 4" xfId="6426" xr:uid="{00000000-0005-0000-0000-00009F170000}"/>
    <cellStyle name="Normal 12 2 10 2 2 3 5" xfId="6427" xr:uid="{00000000-0005-0000-0000-0000A0170000}"/>
    <cellStyle name="Normal 12 2 10 2 2 3 6" xfId="6428" xr:uid="{00000000-0005-0000-0000-0000A1170000}"/>
    <cellStyle name="Normal 12 2 10 2 2 3 7" xfId="6429" xr:uid="{00000000-0005-0000-0000-0000A2170000}"/>
    <cellStyle name="Normal 12 2 10 2 2 3 8" xfId="6430" xr:uid="{00000000-0005-0000-0000-0000A3170000}"/>
    <cellStyle name="Normal 12 2 10 2 2 4" xfId="6431" xr:uid="{00000000-0005-0000-0000-0000A4170000}"/>
    <cellStyle name="Normal 12 2 10 2 2 4 2" xfId="6432" xr:uid="{00000000-0005-0000-0000-0000A5170000}"/>
    <cellStyle name="Normal 12 2 10 2 2 4 3" xfId="6433" xr:uid="{00000000-0005-0000-0000-0000A6170000}"/>
    <cellStyle name="Normal 12 2 10 2 2 4 4" xfId="6434" xr:uid="{00000000-0005-0000-0000-0000A7170000}"/>
    <cellStyle name="Normal 12 2 10 2 2 4 5" xfId="6435" xr:uid="{00000000-0005-0000-0000-0000A8170000}"/>
    <cellStyle name="Normal 12 2 10 2 2 5" xfId="6436" xr:uid="{00000000-0005-0000-0000-0000A9170000}"/>
    <cellStyle name="Normal 12 2 10 2 2 6" xfId="6437" xr:uid="{00000000-0005-0000-0000-0000AA170000}"/>
    <cellStyle name="Normal 12 2 10 2 2 7" xfId="6438" xr:uid="{00000000-0005-0000-0000-0000AB170000}"/>
    <cellStyle name="Normal 12 2 10 2 2 8" xfId="6439" xr:uid="{00000000-0005-0000-0000-0000AC170000}"/>
    <cellStyle name="Normal 12 2 10 2 2 9" xfId="6440" xr:uid="{00000000-0005-0000-0000-0000AD170000}"/>
    <cellStyle name="Normal 12 2 10 2 3" xfId="6441" xr:uid="{00000000-0005-0000-0000-0000AE170000}"/>
    <cellStyle name="Normal 12 2 10 2 3 2" xfId="6442" xr:uid="{00000000-0005-0000-0000-0000AF170000}"/>
    <cellStyle name="Normal 12 2 10 2 3 2 2" xfId="6443" xr:uid="{00000000-0005-0000-0000-0000B0170000}"/>
    <cellStyle name="Normal 12 2 10 2 3 2 3" xfId="6444" xr:uid="{00000000-0005-0000-0000-0000B1170000}"/>
    <cellStyle name="Normal 12 2 10 2 3 2 4" xfId="6445" xr:uid="{00000000-0005-0000-0000-0000B2170000}"/>
    <cellStyle name="Normal 12 2 10 2 3 2 5" xfId="6446" xr:uid="{00000000-0005-0000-0000-0000B3170000}"/>
    <cellStyle name="Normal 12 2 10 2 3 3" xfId="6447" xr:uid="{00000000-0005-0000-0000-0000B4170000}"/>
    <cellStyle name="Normal 12 2 10 2 3 4" xfId="6448" xr:uid="{00000000-0005-0000-0000-0000B5170000}"/>
    <cellStyle name="Normal 12 2 10 2 3 5" xfId="6449" xr:uid="{00000000-0005-0000-0000-0000B6170000}"/>
    <cellStyle name="Normal 12 2 10 2 3 6" xfId="6450" xr:uid="{00000000-0005-0000-0000-0000B7170000}"/>
    <cellStyle name="Normal 12 2 10 2 3 7" xfId="6451" xr:uid="{00000000-0005-0000-0000-0000B8170000}"/>
    <cellStyle name="Normal 12 2 10 2 3 8" xfId="6452" xr:uid="{00000000-0005-0000-0000-0000B9170000}"/>
    <cellStyle name="Normal 12 2 10 2 4" xfId="6453" xr:uid="{00000000-0005-0000-0000-0000BA170000}"/>
    <cellStyle name="Normal 12 2 10 2 4 2" xfId="6454" xr:uid="{00000000-0005-0000-0000-0000BB170000}"/>
    <cellStyle name="Normal 12 2 10 2 4 2 2" xfId="6455" xr:uid="{00000000-0005-0000-0000-0000BC170000}"/>
    <cellStyle name="Normal 12 2 10 2 4 2 3" xfId="6456" xr:uid="{00000000-0005-0000-0000-0000BD170000}"/>
    <cellStyle name="Normal 12 2 10 2 4 2 4" xfId="6457" xr:uid="{00000000-0005-0000-0000-0000BE170000}"/>
    <cellStyle name="Normal 12 2 10 2 4 2 5" xfId="6458" xr:uid="{00000000-0005-0000-0000-0000BF170000}"/>
    <cellStyle name="Normal 12 2 10 2 4 3" xfId="6459" xr:uid="{00000000-0005-0000-0000-0000C0170000}"/>
    <cellStyle name="Normal 12 2 10 2 4 4" xfId="6460" xr:uid="{00000000-0005-0000-0000-0000C1170000}"/>
    <cellStyle name="Normal 12 2 10 2 4 5" xfId="6461" xr:uid="{00000000-0005-0000-0000-0000C2170000}"/>
    <cellStyle name="Normal 12 2 10 2 4 6" xfId="6462" xr:uid="{00000000-0005-0000-0000-0000C3170000}"/>
    <cellStyle name="Normal 12 2 10 2 4 7" xfId="6463" xr:uid="{00000000-0005-0000-0000-0000C4170000}"/>
    <cellStyle name="Normal 12 2 10 2 4 8" xfId="6464" xr:uid="{00000000-0005-0000-0000-0000C5170000}"/>
    <cellStyle name="Normal 12 2 10 2 5" xfId="6465" xr:uid="{00000000-0005-0000-0000-0000C6170000}"/>
    <cellStyle name="Normal 12 2 10 2 5 2" xfId="6466" xr:uid="{00000000-0005-0000-0000-0000C7170000}"/>
    <cellStyle name="Normal 12 2 10 2 5 3" xfId="6467" xr:uid="{00000000-0005-0000-0000-0000C8170000}"/>
    <cellStyle name="Normal 12 2 10 2 5 4" xfId="6468" xr:uid="{00000000-0005-0000-0000-0000C9170000}"/>
    <cellStyle name="Normal 12 2 10 2 5 5" xfId="6469" xr:uid="{00000000-0005-0000-0000-0000CA170000}"/>
    <cellStyle name="Normal 12 2 10 2 6" xfId="6470" xr:uid="{00000000-0005-0000-0000-0000CB170000}"/>
    <cellStyle name="Normal 12 2 10 2 7" xfId="6471" xr:uid="{00000000-0005-0000-0000-0000CC170000}"/>
    <cellStyle name="Normal 12 2 10 2 8" xfId="6472" xr:uid="{00000000-0005-0000-0000-0000CD170000}"/>
    <cellStyle name="Normal 12 2 10 2 9" xfId="6473" xr:uid="{00000000-0005-0000-0000-0000CE170000}"/>
    <cellStyle name="Normal 12 2 10 3" xfId="6474" xr:uid="{00000000-0005-0000-0000-0000CF170000}"/>
    <cellStyle name="Normal 12 2 10 3 10" xfId="6475" xr:uid="{00000000-0005-0000-0000-0000D0170000}"/>
    <cellStyle name="Normal 12 2 10 3 11" xfId="6476" xr:uid="{00000000-0005-0000-0000-0000D1170000}"/>
    <cellStyle name="Normal 12 2 10 3 2" xfId="6477" xr:uid="{00000000-0005-0000-0000-0000D2170000}"/>
    <cellStyle name="Normal 12 2 10 3 2 10" xfId="6478" xr:uid="{00000000-0005-0000-0000-0000D3170000}"/>
    <cellStyle name="Normal 12 2 10 3 2 2" xfId="6479" xr:uid="{00000000-0005-0000-0000-0000D4170000}"/>
    <cellStyle name="Normal 12 2 10 3 2 2 2" xfId="6480" xr:uid="{00000000-0005-0000-0000-0000D5170000}"/>
    <cellStyle name="Normal 12 2 10 3 2 2 2 2" xfId="6481" xr:uid="{00000000-0005-0000-0000-0000D6170000}"/>
    <cellStyle name="Normal 12 2 10 3 2 2 2 3" xfId="6482" xr:uid="{00000000-0005-0000-0000-0000D7170000}"/>
    <cellStyle name="Normal 12 2 10 3 2 2 2 4" xfId="6483" xr:uid="{00000000-0005-0000-0000-0000D8170000}"/>
    <cellStyle name="Normal 12 2 10 3 2 2 2 5" xfId="6484" xr:uid="{00000000-0005-0000-0000-0000D9170000}"/>
    <cellStyle name="Normal 12 2 10 3 2 2 3" xfId="6485" xr:uid="{00000000-0005-0000-0000-0000DA170000}"/>
    <cellStyle name="Normal 12 2 10 3 2 2 4" xfId="6486" xr:uid="{00000000-0005-0000-0000-0000DB170000}"/>
    <cellStyle name="Normal 12 2 10 3 2 2 5" xfId="6487" xr:uid="{00000000-0005-0000-0000-0000DC170000}"/>
    <cellStyle name="Normal 12 2 10 3 2 2 6" xfId="6488" xr:uid="{00000000-0005-0000-0000-0000DD170000}"/>
    <cellStyle name="Normal 12 2 10 3 2 2 7" xfId="6489" xr:uid="{00000000-0005-0000-0000-0000DE170000}"/>
    <cellStyle name="Normal 12 2 10 3 2 2 8" xfId="6490" xr:uid="{00000000-0005-0000-0000-0000DF170000}"/>
    <cellStyle name="Normal 12 2 10 3 2 3" xfId="6491" xr:uid="{00000000-0005-0000-0000-0000E0170000}"/>
    <cellStyle name="Normal 12 2 10 3 2 3 2" xfId="6492" xr:uid="{00000000-0005-0000-0000-0000E1170000}"/>
    <cellStyle name="Normal 12 2 10 3 2 3 2 2" xfId="6493" xr:uid="{00000000-0005-0000-0000-0000E2170000}"/>
    <cellStyle name="Normal 12 2 10 3 2 3 2 3" xfId="6494" xr:uid="{00000000-0005-0000-0000-0000E3170000}"/>
    <cellStyle name="Normal 12 2 10 3 2 3 2 4" xfId="6495" xr:uid="{00000000-0005-0000-0000-0000E4170000}"/>
    <cellStyle name="Normal 12 2 10 3 2 3 2 5" xfId="6496" xr:uid="{00000000-0005-0000-0000-0000E5170000}"/>
    <cellStyle name="Normal 12 2 10 3 2 3 3" xfId="6497" xr:uid="{00000000-0005-0000-0000-0000E6170000}"/>
    <cellStyle name="Normal 12 2 10 3 2 3 4" xfId="6498" xr:uid="{00000000-0005-0000-0000-0000E7170000}"/>
    <cellStyle name="Normal 12 2 10 3 2 3 5" xfId="6499" xr:uid="{00000000-0005-0000-0000-0000E8170000}"/>
    <cellStyle name="Normal 12 2 10 3 2 3 6" xfId="6500" xr:uid="{00000000-0005-0000-0000-0000E9170000}"/>
    <cellStyle name="Normal 12 2 10 3 2 3 7" xfId="6501" xr:uid="{00000000-0005-0000-0000-0000EA170000}"/>
    <cellStyle name="Normal 12 2 10 3 2 3 8" xfId="6502" xr:uid="{00000000-0005-0000-0000-0000EB170000}"/>
    <cellStyle name="Normal 12 2 10 3 2 4" xfId="6503" xr:uid="{00000000-0005-0000-0000-0000EC170000}"/>
    <cellStyle name="Normal 12 2 10 3 2 4 2" xfId="6504" xr:uid="{00000000-0005-0000-0000-0000ED170000}"/>
    <cellStyle name="Normal 12 2 10 3 2 4 3" xfId="6505" xr:uid="{00000000-0005-0000-0000-0000EE170000}"/>
    <cellStyle name="Normal 12 2 10 3 2 4 4" xfId="6506" xr:uid="{00000000-0005-0000-0000-0000EF170000}"/>
    <cellStyle name="Normal 12 2 10 3 2 4 5" xfId="6507" xr:uid="{00000000-0005-0000-0000-0000F0170000}"/>
    <cellStyle name="Normal 12 2 10 3 2 5" xfId="6508" xr:uid="{00000000-0005-0000-0000-0000F1170000}"/>
    <cellStyle name="Normal 12 2 10 3 2 6" xfId="6509" xr:uid="{00000000-0005-0000-0000-0000F2170000}"/>
    <cellStyle name="Normal 12 2 10 3 2 7" xfId="6510" xr:uid="{00000000-0005-0000-0000-0000F3170000}"/>
    <cellStyle name="Normal 12 2 10 3 2 8" xfId="6511" xr:uid="{00000000-0005-0000-0000-0000F4170000}"/>
    <cellStyle name="Normal 12 2 10 3 2 9" xfId="6512" xr:uid="{00000000-0005-0000-0000-0000F5170000}"/>
    <cellStyle name="Normal 12 2 10 3 3" xfId="6513" xr:uid="{00000000-0005-0000-0000-0000F6170000}"/>
    <cellStyle name="Normal 12 2 10 3 3 2" xfId="6514" xr:uid="{00000000-0005-0000-0000-0000F7170000}"/>
    <cellStyle name="Normal 12 2 10 3 3 2 2" xfId="6515" xr:uid="{00000000-0005-0000-0000-0000F8170000}"/>
    <cellStyle name="Normal 12 2 10 3 3 2 3" xfId="6516" xr:uid="{00000000-0005-0000-0000-0000F9170000}"/>
    <cellStyle name="Normal 12 2 10 3 3 2 4" xfId="6517" xr:uid="{00000000-0005-0000-0000-0000FA170000}"/>
    <cellStyle name="Normal 12 2 10 3 3 2 5" xfId="6518" xr:uid="{00000000-0005-0000-0000-0000FB170000}"/>
    <cellStyle name="Normal 12 2 10 3 3 3" xfId="6519" xr:uid="{00000000-0005-0000-0000-0000FC170000}"/>
    <cellStyle name="Normal 12 2 10 3 3 4" xfId="6520" xr:uid="{00000000-0005-0000-0000-0000FD170000}"/>
    <cellStyle name="Normal 12 2 10 3 3 5" xfId="6521" xr:uid="{00000000-0005-0000-0000-0000FE170000}"/>
    <cellStyle name="Normal 12 2 10 3 3 6" xfId="6522" xr:uid="{00000000-0005-0000-0000-0000FF170000}"/>
    <cellStyle name="Normal 12 2 10 3 3 7" xfId="6523" xr:uid="{00000000-0005-0000-0000-000000180000}"/>
    <cellStyle name="Normal 12 2 10 3 3 8" xfId="6524" xr:uid="{00000000-0005-0000-0000-000001180000}"/>
    <cellStyle name="Normal 12 2 10 3 4" xfId="6525" xr:uid="{00000000-0005-0000-0000-000002180000}"/>
    <cellStyle name="Normal 12 2 10 3 4 2" xfId="6526" xr:uid="{00000000-0005-0000-0000-000003180000}"/>
    <cellStyle name="Normal 12 2 10 3 4 2 2" xfId="6527" xr:uid="{00000000-0005-0000-0000-000004180000}"/>
    <cellStyle name="Normal 12 2 10 3 4 2 3" xfId="6528" xr:uid="{00000000-0005-0000-0000-000005180000}"/>
    <cellStyle name="Normal 12 2 10 3 4 2 4" xfId="6529" xr:uid="{00000000-0005-0000-0000-000006180000}"/>
    <cellStyle name="Normal 12 2 10 3 4 2 5" xfId="6530" xr:uid="{00000000-0005-0000-0000-000007180000}"/>
    <cellStyle name="Normal 12 2 10 3 4 3" xfId="6531" xr:uid="{00000000-0005-0000-0000-000008180000}"/>
    <cellStyle name="Normal 12 2 10 3 4 4" xfId="6532" xr:uid="{00000000-0005-0000-0000-000009180000}"/>
    <cellStyle name="Normal 12 2 10 3 4 5" xfId="6533" xr:uid="{00000000-0005-0000-0000-00000A180000}"/>
    <cellStyle name="Normal 12 2 10 3 4 6" xfId="6534" xr:uid="{00000000-0005-0000-0000-00000B180000}"/>
    <cellStyle name="Normal 12 2 10 3 4 7" xfId="6535" xr:uid="{00000000-0005-0000-0000-00000C180000}"/>
    <cellStyle name="Normal 12 2 10 3 4 8" xfId="6536" xr:uid="{00000000-0005-0000-0000-00000D180000}"/>
    <cellStyle name="Normal 12 2 10 3 5" xfId="6537" xr:uid="{00000000-0005-0000-0000-00000E180000}"/>
    <cellStyle name="Normal 12 2 10 3 5 2" xfId="6538" xr:uid="{00000000-0005-0000-0000-00000F180000}"/>
    <cellStyle name="Normal 12 2 10 3 5 3" xfId="6539" xr:uid="{00000000-0005-0000-0000-000010180000}"/>
    <cellStyle name="Normal 12 2 10 3 5 4" xfId="6540" xr:uid="{00000000-0005-0000-0000-000011180000}"/>
    <cellStyle name="Normal 12 2 10 3 5 5" xfId="6541" xr:uid="{00000000-0005-0000-0000-000012180000}"/>
    <cellStyle name="Normal 12 2 10 3 6" xfId="6542" xr:uid="{00000000-0005-0000-0000-000013180000}"/>
    <cellStyle name="Normal 12 2 10 3 7" xfId="6543" xr:uid="{00000000-0005-0000-0000-000014180000}"/>
    <cellStyle name="Normal 12 2 10 3 8" xfId="6544" xr:uid="{00000000-0005-0000-0000-000015180000}"/>
    <cellStyle name="Normal 12 2 10 3 9" xfId="6545" xr:uid="{00000000-0005-0000-0000-000016180000}"/>
    <cellStyle name="Normal 12 2 10 4" xfId="6546" xr:uid="{00000000-0005-0000-0000-000017180000}"/>
    <cellStyle name="Normal 12 2 10 4 10" xfId="6547" xr:uid="{00000000-0005-0000-0000-000018180000}"/>
    <cellStyle name="Normal 12 2 10 4 2" xfId="6548" xr:uid="{00000000-0005-0000-0000-000019180000}"/>
    <cellStyle name="Normal 12 2 10 4 2 2" xfId="6549" xr:uid="{00000000-0005-0000-0000-00001A180000}"/>
    <cellStyle name="Normal 12 2 10 4 2 2 2" xfId="6550" xr:uid="{00000000-0005-0000-0000-00001B180000}"/>
    <cellStyle name="Normal 12 2 10 4 2 2 3" xfId="6551" xr:uid="{00000000-0005-0000-0000-00001C180000}"/>
    <cellStyle name="Normal 12 2 10 4 2 2 4" xfId="6552" xr:uid="{00000000-0005-0000-0000-00001D180000}"/>
    <cellStyle name="Normal 12 2 10 4 2 2 5" xfId="6553" xr:uid="{00000000-0005-0000-0000-00001E180000}"/>
    <cellStyle name="Normal 12 2 10 4 2 3" xfId="6554" xr:uid="{00000000-0005-0000-0000-00001F180000}"/>
    <cellStyle name="Normal 12 2 10 4 2 4" xfId="6555" xr:uid="{00000000-0005-0000-0000-000020180000}"/>
    <cellStyle name="Normal 12 2 10 4 2 5" xfId="6556" xr:uid="{00000000-0005-0000-0000-000021180000}"/>
    <cellStyle name="Normal 12 2 10 4 2 6" xfId="6557" xr:uid="{00000000-0005-0000-0000-000022180000}"/>
    <cellStyle name="Normal 12 2 10 4 2 7" xfId="6558" xr:uid="{00000000-0005-0000-0000-000023180000}"/>
    <cellStyle name="Normal 12 2 10 4 2 8" xfId="6559" xr:uid="{00000000-0005-0000-0000-000024180000}"/>
    <cellStyle name="Normal 12 2 10 4 3" xfId="6560" xr:uid="{00000000-0005-0000-0000-000025180000}"/>
    <cellStyle name="Normal 12 2 10 4 3 2" xfId="6561" xr:uid="{00000000-0005-0000-0000-000026180000}"/>
    <cellStyle name="Normal 12 2 10 4 3 2 2" xfId="6562" xr:uid="{00000000-0005-0000-0000-000027180000}"/>
    <cellStyle name="Normal 12 2 10 4 3 2 3" xfId="6563" xr:uid="{00000000-0005-0000-0000-000028180000}"/>
    <cellStyle name="Normal 12 2 10 4 3 2 4" xfId="6564" xr:uid="{00000000-0005-0000-0000-000029180000}"/>
    <cellStyle name="Normal 12 2 10 4 3 2 5" xfId="6565" xr:uid="{00000000-0005-0000-0000-00002A180000}"/>
    <cellStyle name="Normal 12 2 10 4 3 3" xfId="6566" xr:uid="{00000000-0005-0000-0000-00002B180000}"/>
    <cellStyle name="Normal 12 2 10 4 3 4" xfId="6567" xr:uid="{00000000-0005-0000-0000-00002C180000}"/>
    <cellStyle name="Normal 12 2 10 4 3 5" xfId="6568" xr:uid="{00000000-0005-0000-0000-00002D180000}"/>
    <cellStyle name="Normal 12 2 10 4 3 6" xfId="6569" xr:uid="{00000000-0005-0000-0000-00002E180000}"/>
    <cellStyle name="Normal 12 2 10 4 3 7" xfId="6570" xr:uid="{00000000-0005-0000-0000-00002F180000}"/>
    <cellStyle name="Normal 12 2 10 4 3 8" xfId="6571" xr:uid="{00000000-0005-0000-0000-000030180000}"/>
    <cellStyle name="Normal 12 2 10 4 4" xfId="6572" xr:uid="{00000000-0005-0000-0000-000031180000}"/>
    <cellStyle name="Normal 12 2 10 4 4 2" xfId="6573" xr:uid="{00000000-0005-0000-0000-000032180000}"/>
    <cellStyle name="Normal 12 2 10 4 4 3" xfId="6574" xr:uid="{00000000-0005-0000-0000-000033180000}"/>
    <cellStyle name="Normal 12 2 10 4 4 4" xfId="6575" xr:uid="{00000000-0005-0000-0000-000034180000}"/>
    <cellStyle name="Normal 12 2 10 4 4 5" xfId="6576" xr:uid="{00000000-0005-0000-0000-000035180000}"/>
    <cellStyle name="Normal 12 2 10 4 5" xfId="6577" xr:uid="{00000000-0005-0000-0000-000036180000}"/>
    <cellStyle name="Normal 12 2 10 4 6" xfId="6578" xr:uid="{00000000-0005-0000-0000-000037180000}"/>
    <cellStyle name="Normal 12 2 10 4 7" xfId="6579" xr:uid="{00000000-0005-0000-0000-000038180000}"/>
    <cellStyle name="Normal 12 2 10 4 8" xfId="6580" xr:uid="{00000000-0005-0000-0000-000039180000}"/>
    <cellStyle name="Normal 12 2 10 4 9" xfId="6581" xr:uid="{00000000-0005-0000-0000-00003A180000}"/>
    <cellStyle name="Normal 12 2 10 5" xfId="6582" xr:uid="{00000000-0005-0000-0000-00003B180000}"/>
    <cellStyle name="Normal 12 2 10 5 2" xfId="6583" xr:uid="{00000000-0005-0000-0000-00003C180000}"/>
    <cellStyle name="Normal 12 2 10 5 2 2" xfId="6584" xr:uid="{00000000-0005-0000-0000-00003D180000}"/>
    <cellStyle name="Normal 12 2 10 5 2 3" xfId="6585" xr:uid="{00000000-0005-0000-0000-00003E180000}"/>
    <cellStyle name="Normal 12 2 10 5 2 4" xfId="6586" xr:uid="{00000000-0005-0000-0000-00003F180000}"/>
    <cellStyle name="Normal 12 2 10 5 2 5" xfId="6587" xr:uid="{00000000-0005-0000-0000-000040180000}"/>
    <cellStyle name="Normal 12 2 10 5 3" xfId="6588" xr:uid="{00000000-0005-0000-0000-000041180000}"/>
    <cellStyle name="Normal 12 2 10 5 4" xfId="6589" xr:uid="{00000000-0005-0000-0000-000042180000}"/>
    <cellStyle name="Normal 12 2 10 5 5" xfId="6590" xr:uid="{00000000-0005-0000-0000-000043180000}"/>
    <cellStyle name="Normal 12 2 10 5 6" xfId="6591" xr:uid="{00000000-0005-0000-0000-000044180000}"/>
    <cellStyle name="Normal 12 2 10 5 7" xfId="6592" xr:uid="{00000000-0005-0000-0000-000045180000}"/>
    <cellStyle name="Normal 12 2 10 5 8" xfId="6593" xr:uid="{00000000-0005-0000-0000-000046180000}"/>
    <cellStyle name="Normal 12 2 10 6" xfId="6594" xr:uid="{00000000-0005-0000-0000-000047180000}"/>
    <cellStyle name="Normal 12 2 10 6 2" xfId="6595" xr:uid="{00000000-0005-0000-0000-000048180000}"/>
    <cellStyle name="Normal 12 2 10 6 2 2" xfId="6596" xr:uid="{00000000-0005-0000-0000-000049180000}"/>
    <cellStyle name="Normal 12 2 10 6 2 3" xfId="6597" xr:uid="{00000000-0005-0000-0000-00004A180000}"/>
    <cellStyle name="Normal 12 2 10 6 2 4" xfId="6598" xr:uid="{00000000-0005-0000-0000-00004B180000}"/>
    <cellStyle name="Normal 12 2 10 6 2 5" xfId="6599" xr:uid="{00000000-0005-0000-0000-00004C180000}"/>
    <cellStyle name="Normal 12 2 10 6 3" xfId="6600" xr:uid="{00000000-0005-0000-0000-00004D180000}"/>
    <cellStyle name="Normal 12 2 10 6 4" xfId="6601" xr:uid="{00000000-0005-0000-0000-00004E180000}"/>
    <cellStyle name="Normal 12 2 10 6 5" xfId="6602" xr:uid="{00000000-0005-0000-0000-00004F180000}"/>
    <cellStyle name="Normal 12 2 10 6 6" xfId="6603" xr:uid="{00000000-0005-0000-0000-000050180000}"/>
    <cellStyle name="Normal 12 2 10 6 7" xfId="6604" xr:uid="{00000000-0005-0000-0000-000051180000}"/>
    <cellStyle name="Normal 12 2 10 6 8" xfId="6605" xr:uid="{00000000-0005-0000-0000-000052180000}"/>
    <cellStyle name="Normal 12 2 10 7" xfId="6606" xr:uid="{00000000-0005-0000-0000-000053180000}"/>
    <cellStyle name="Normal 12 2 10 7 2" xfId="6607" xr:uid="{00000000-0005-0000-0000-000054180000}"/>
    <cellStyle name="Normal 12 2 10 7 3" xfId="6608" xr:uid="{00000000-0005-0000-0000-000055180000}"/>
    <cellStyle name="Normal 12 2 10 7 4" xfId="6609" xr:uid="{00000000-0005-0000-0000-000056180000}"/>
    <cellStyle name="Normal 12 2 10 7 5" xfId="6610" xr:uid="{00000000-0005-0000-0000-000057180000}"/>
    <cellStyle name="Normal 12 2 10 8" xfId="6611" xr:uid="{00000000-0005-0000-0000-000058180000}"/>
    <cellStyle name="Normal 12 2 10 9" xfId="6612" xr:uid="{00000000-0005-0000-0000-000059180000}"/>
    <cellStyle name="Normal 12 2 11" xfId="6613" xr:uid="{00000000-0005-0000-0000-00005A180000}"/>
    <cellStyle name="Normal 12 2 11 10" xfId="6614" xr:uid="{00000000-0005-0000-0000-00005B180000}"/>
    <cellStyle name="Normal 12 2 11 11" xfId="6615" xr:uid="{00000000-0005-0000-0000-00005C180000}"/>
    <cellStyle name="Normal 12 2 11 2" xfId="6616" xr:uid="{00000000-0005-0000-0000-00005D180000}"/>
    <cellStyle name="Normal 12 2 11 2 10" xfId="6617" xr:uid="{00000000-0005-0000-0000-00005E180000}"/>
    <cellStyle name="Normal 12 2 11 2 2" xfId="6618" xr:uid="{00000000-0005-0000-0000-00005F180000}"/>
    <cellStyle name="Normal 12 2 11 2 2 2" xfId="6619" xr:uid="{00000000-0005-0000-0000-000060180000}"/>
    <cellStyle name="Normal 12 2 11 2 2 2 2" xfId="6620" xr:uid="{00000000-0005-0000-0000-000061180000}"/>
    <cellStyle name="Normal 12 2 11 2 2 2 3" xfId="6621" xr:uid="{00000000-0005-0000-0000-000062180000}"/>
    <cellStyle name="Normal 12 2 11 2 2 2 4" xfId="6622" xr:uid="{00000000-0005-0000-0000-000063180000}"/>
    <cellStyle name="Normal 12 2 11 2 2 2 5" xfId="6623" xr:uid="{00000000-0005-0000-0000-000064180000}"/>
    <cellStyle name="Normal 12 2 11 2 2 3" xfId="6624" xr:uid="{00000000-0005-0000-0000-000065180000}"/>
    <cellStyle name="Normal 12 2 11 2 2 4" xfId="6625" xr:uid="{00000000-0005-0000-0000-000066180000}"/>
    <cellStyle name="Normal 12 2 11 2 2 5" xfId="6626" xr:uid="{00000000-0005-0000-0000-000067180000}"/>
    <cellStyle name="Normal 12 2 11 2 2 6" xfId="6627" xr:uid="{00000000-0005-0000-0000-000068180000}"/>
    <cellStyle name="Normal 12 2 11 2 2 7" xfId="6628" xr:uid="{00000000-0005-0000-0000-000069180000}"/>
    <cellStyle name="Normal 12 2 11 2 2 8" xfId="6629" xr:uid="{00000000-0005-0000-0000-00006A180000}"/>
    <cellStyle name="Normal 12 2 11 2 3" xfId="6630" xr:uid="{00000000-0005-0000-0000-00006B180000}"/>
    <cellStyle name="Normal 12 2 11 2 3 2" xfId="6631" xr:uid="{00000000-0005-0000-0000-00006C180000}"/>
    <cellStyle name="Normal 12 2 11 2 3 2 2" xfId="6632" xr:uid="{00000000-0005-0000-0000-00006D180000}"/>
    <cellStyle name="Normal 12 2 11 2 3 2 3" xfId="6633" xr:uid="{00000000-0005-0000-0000-00006E180000}"/>
    <cellStyle name="Normal 12 2 11 2 3 2 4" xfId="6634" xr:uid="{00000000-0005-0000-0000-00006F180000}"/>
    <cellStyle name="Normal 12 2 11 2 3 2 5" xfId="6635" xr:uid="{00000000-0005-0000-0000-000070180000}"/>
    <cellStyle name="Normal 12 2 11 2 3 3" xfId="6636" xr:uid="{00000000-0005-0000-0000-000071180000}"/>
    <cellStyle name="Normal 12 2 11 2 3 4" xfId="6637" xr:uid="{00000000-0005-0000-0000-000072180000}"/>
    <cellStyle name="Normal 12 2 11 2 3 5" xfId="6638" xr:uid="{00000000-0005-0000-0000-000073180000}"/>
    <cellStyle name="Normal 12 2 11 2 3 6" xfId="6639" xr:uid="{00000000-0005-0000-0000-000074180000}"/>
    <cellStyle name="Normal 12 2 11 2 3 7" xfId="6640" xr:uid="{00000000-0005-0000-0000-000075180000}"/>
    <cellStyle name="Normal 12 2 11 2 3 8" xfId="6641" xr:uid="{00000000-0005-0000-0000-000076180000}"/>
    <cellStyle name="Normal 12 2 11 2 4" xfId="6642" xr:uid="{00000000-0005-0000-0000-000077180000}"/>
    <cellStyle name="Normal 12 2 11 2 4 2" xfId="6643" xr:uid="{00000000-0005-0000-0000-000078180000}"/>
    <cellStyle name="Normal 12 2 11 2 4 3" xfId="6644" xr:uid="{00000000-0005-0000-0000-000079180000}"/>
    <cellStyle name="Normal 12 2 11 2 4 4" xfId="6645" xr:uid="{00000000-0005-0000-0000-00007A180000}"/>
    <cellStyle name="Normal 12 2 11 2 4 5" xfId="6646" xr:uid="{00000000-0005-0000-0000-00007B180000}"/>
    <cellStyle name="Normal 12 2 11 2 5" xfId="6647" xr:uid="{00000000-0005-0000-0000-00007C180000}"/>
    <cellStyle name="Normal 12 2 11 2 6" xfId="6648" xr:uid="{00000000-0005-0000-0000-00007D180000}"/>
    <cellStyle name="Normal 12 2 11 2 7" xfId="6649" xr:uid="{00000000-0005-0000-0000-00007E180000}"/>
    <cellStyle name="Normal 12 2 11 2 8" xfId="6650" xr:uid="{00000000-0005-0000-0000-00007F180000}"/>
    <cellStyle name="Normal 12 2 11 2 9" xfId="6651" xr:uid="{00000000-0005-0000-0000-000080180000}"/>
    <cellStyle name="Normal 12 2 11 3" xfId="6652" xr:uid="{00000000-0005-0000-0000-000081180000}"/>
    <cellStyle name="Normal 12 2 11 3 2" xfId="6653" xr:uid="{00000000-0005-0000-0000-000082180000}"/>
    <cellStyle name="Normal 12 2 11 3 2 2" xfId="6654" xr:uid="{00000000-0005-0000-0000-000083180000}"/>
    <cellStyle name="Normal 12 2 11 3 2 3" xfId="6655" xr:uid="{00000000-0005-0000-0000-000084180000}"/>
    <cellStyle name="Normal 12 2 11 3 2 4" xfId="6656" xr:uid="{00000000-0005-0000-0000-000085180000}"/>
    <cellStyle name="Normal 12 2 11 3 2 5" xfId="6657" xr:uid="{00000000-0005-0000-0000-000086180000}"/>
    <cellStyle name="Normal 12 2 11 3 3" xfId="6658" xr:uid="{00000000-0005-0000-0000-000087180000}"/>
    <cellStyle name="Normal 12 2 11 3 4" xfId="6659" xr:uid="{00000000-0005-0000-0000-000088180000}"/>
    <cellStyle name="Normal 12 2 11 3 5" xfId="6660" xr:uid="{00000000-0005-0000-0000-000089180000}"/>
    <cellStyle name="Normal 12 2 11 3 6" xfId="6661" xr:uid="{00000000-0005-0000-0000-00008A180000}"/>
    <cellStyle name="Normal 12 2 11 3 7" xfId="6662" xr:uid="{00000000-0005-0000-0000-00008B180000}"/>
    <cellStyle name="Normal 12 2 11 3 8" xfId="6663" xr:uid="{00000000-0005-0000-0000-00008C180000}"/>
    <cellStyle name="Normal 12 2 11 4" xfId="6664" xr:uid="{00000000-0005-0000-0000-00008D180000}"/>
    <cellStyle name="Normal 12 2 11 4 2" xfId="6665" xr:uid="{00000000-0005-0000-0000-00008E180000}"/>
    <cellStyle name="Normal 12 2 11 4 2 2" xfId="6666" xr:uid="{00000000-0005-0000-0000-00008F180000}"/>
    <cellStyle name="Normal 12 2 11 4 2 3" xfId="6667" xr:uid="{00000000-0005-0000-0000-000090180000}"/>
    <cellStyle name="Normal 12 2 11 4 2 4" xfId="6668" xr:uid="{00000000-0005-0000-0000-000091180000}"/>
    <cellStyle name="Normal 12 2 11 4 2 5" xfId="6669" xr:uid="{00000000-0005-0000-0000-000092180000}"/>
    <cellStyle name="Normal 12 2 11 4 3" xfId="6670" xr:uid="{00000000-0005-0000-0000-000093180000}"/>
    <cellStyle name="Normal 12 2 11 4 4" xfId="6671" xr:uid="{00000000-0005-0000-0000-000094180000}"/>
    <cellStyle name="Normal 12 2 11 4 5" xfId="6672" xr:uid="{00000000-0005-0000-0000-000095180000}"/>
    <cellStyle name="Normal 12 2 11 4 6" xfId="6673" xr:uid="{00000000-0005-0000-0000-000096180000}"/>
    <cellStyle name="Normal 12 2 11 4 7" xfId="6674" xr:uid="{00000000-0005-0000-0000-000097180000}"/>
    <cellStyle name="Normal 12 2 11 4 8" xfId="6675" xr:uid="{00000000-0005-0000-0000-000098180000}"/>
    <cellStyle name="Normal 12 2 11 5" xfId="6676" xr:uid="{00000000-0005-0000-0000-000099180000}"/>
    <cellStyle name="Normal 12 2 11 5 2" xfId="6677" xr:uid="{00000000-0005-0000-0000-00009A180000}"/>
    <cellStyle name="Normal 12 2 11 5 3" xfId="6678" xr:uid="{00000000-0005-0000-0000-00009B180000}"/>
    <cellStyle name="Normal 12 2 11 5 4" xfId="6679" xr:uid="{00000000-0005-0000-0000-00009C180000}"/>
    <cellStyle name="Normal 12 2 11 5 5" xfId="6680" xr:uid="{00000000-0005-0000-0000-00009D180000}"/>
    <cellStyle name="Normal 12 2 11 6" xfId="6681" xr:uid="{00000000-0005-0000-0000-00009E180000}"/>
    <cellStyle name="Normal 12 2 11 7" xfId="6682" xr:uid="{00000000-0005-0000-0000-00009F180000}"/>
    <cellStyle name="Normal 12 2 11 8" xfId="6683" xr:uid="{00000000-0005-0000-0000-0000A0180000}"/>
    <cellStyle name="Normal 12 2 11 9" xfId="6684" xr:uid="{00000000-0005-0000-0000-0000A1180000}"/>
    <cellStyle name="Normal 12 2 12" xfId="6685" xr:uid="{00000000-0005-0000-0000-0000A2180000}"/>
    <cellStyle name="Normal 12 2 12 10" xfId="6686" xr:uid="{00000000-0005-0000-0000-0000A3180000}"/>
    <cellStyle name="Normal 12 2 12 11" xfId="6687" xr:uid="{00000000-0005-0000-0000-0000A4180000}"/>
    <cellStyle name="Normal 12 2 12 2" xfId="6688" xr:uid="{00000000-0005-0000-0000-0000A5180000}"/>
    <cellStyle name="Normal 12 2 12 2 10" xfId="6689" xr:uid="{00000000-0005-0000-0000-0000A6180000}"/>
    <cellStyle name="Normal 12 2 12 2 2" xfId="6690" xr:uid="{00000000-0005-0000-0000-0000A7180000}"/>
    <cellStyle name="Normal 12 2 12 2 2 2" xfId="6691" xr:uid="{00000000-0005-0000-0000-0000A8180000}"/>
    <cellStyle name="Normal 12 2 12 2 2 2 2" xfId="6692" xr:uid="{00000000-0005-0000-0000-0000A9180000}"/>
    <cellStyle name="Normal 12 2 12 2 2 2 3" xfId="6693" xr:uid="{00000000-0005-0000-0000-0000AA180000}"/>
    <cellStyle name="Normal 12 2 12 2 2 2 4" xfId="6694" xr:uid="{00000000-0005-0000-0000-0000AB180000}"/>
    <cellStyle name="Normal 12 2 12 2 2 2 5" xfId="6695" xr:uid="{00000000-0005-0000-0000-0000AC180000}"/>
    <cellStyle name="Normal 12 2 12 2 2 3" xfId="6696" xr:uid="{00000000-0005-0000-0000-0000AD180000}"/>
    <cellStyle name="Normal 12 2 12 2 2 4" xfId="6697" xr:uid="{00000000-0005-0000-0000-0000AE180000}"/>
    <cellStyle name="Normal 12 2 12 2 2 5" xfId="6698" xr:uid="{00000000-0005-0000-0000-0000AF180000}"/>
    <cellStyle name="Normal 12 2 12 2 2 6" xfId="6699" xr:uid="{00000000-0005-0000-0000-0000B0180000}"/>
    <cellStyle name="Normal 12 2 12 2 2 7" xfId="6700" xr:uid="{00000000-0005-0000-0000-0000B1180000}"/>
    <cellStyle name="Normal 12 2 12 2 2 8" xfId="6701" xr:uid="{00000000-0005-0000-0000-0000B2180000}"/>
    <cellStyle name="Normal 12 2 12 2 3" xfId="6702" xr:uid="{00000000-0005-0000-0000-0000B3180000}"/>
    <cellStyle name="Normal 12 2 12 2 3 2" xfId="6703" xr:uid="{00000000-0005-0000-0000-0000B4180000}"/>
    <cellStyle name="Normal 12 2 12 2 3 2 2" xfId="6704" xr:uid="{00000000-0005-0000-0000-0000B5180000}"/>
    <cellStyle name="Normal 12 2 12 2 3 2 3" xfId="6705" xr:uid="{00000000-0005-0000-0000-0000B6180000}"/>
    <cellStyle name="Normal 12 2 12 2 3 2 4" xfId="6706" xr:uid="{00000000-0005-0000-0000-0000B7180000}"/>
    <cellStyle name="Normal 12 2 12 2 3 2 5" xfId="6707" xr:uid="{00000000-0005-0000-0000-0000B8180000}"/>
    <cellStyle name="Normal 12 2 12 2 3 3" xfId="6708" xr:uid="{00000000-0005-0000-0000-0000B9180000}"/>
    <cellStyle name="Normal 12 2 12 2 3 4" xfId="6709" xr:uid="{00000000-0005-0000-0000-0000BA180000}"/>
    <cellStyle name="Normal 12 2 12 2 3 5" xfId="6710" xr:uid="{00000000-0005-0000-0000-0000BB180000}"/>
    <cellStyle name="Normal 12 2 12 2 3 6" xfId="6711" xr:uid="{00000000-0005-0000-0000-0000BC180000}"/>
    <cellStyle name="Normal 12 2 12 2 3 7" xfId="6712" xr:uid="{00000000-0005-0000-0000-0000BD180000}"/>
    <cellStyle name="Normal 12 2 12 2 3 8" xfId="6713" xr:uid="{00000000-0005-0000-0000-0000BE180000}"/>
    <cellStyle name="Normal 12 2 12 2 4" xfId="6714" xr:uid="{00000000-0005-0000-0000-0000BF180000}"/>
    <cellStyle name="Normal 12 2 12 2 4 2" xfId="6715" xr:uid="{00000000-0005-0000-0000-0000C0180000}"/>
    <cellStyle name="Normal 12 2 12 2 4 3" xfId="6716" xr:uid="{00000000-0005-0000-0000-0000C1180000}"/>
    <cellStyle name="Normal 12 2 12 2 4 4" xfId="6717" xr:uid="{00000000-0005-0000-0000-0000C2180000}"/>
    <cellStyle name="Normal 12 2 12 2 4 5" xfId="6718" xr:uid="{00000000-0005-0000-0000-0000C3180000}"/>
    <cellStyle name="Normal 12 2 12 2 5" xfId="6719" xr:uid="{00000000-0005-0000-0000-0000C4180000}"/>
    <cellStyle name="Normal 12 2 12 2 6" xfId="6720" xr:uid="{00000000-0005-0000-0000-0000C5180000}"/>
    <cellStyle name="Normal 12 2 12 2 7" xfId="6721" xr:uid="{00000000-0005-0000-0000-0000C6180000}"/>
    <cellStyle name="Normal 12 2 12 2 8" xfId="6722" xr:uid="{00000000-0005-0000-0000-0000C7180000}"/>
    <cellStyle name="Normal 12 2 12 2 9" xfId="6723" xr:uid="{00000000-0005-0000-0000-0000C8180000}"/>
    <cellStyle name="Normal 12 2 12 3" xfId="6724" xr:uid="{00000000-0005-0000-0000-0000C9180000}"/>
    <cellStyle name="Normal 12 2 12 3 2" xfId="6725" xr:uid="{00000000-0005-0000-0000-0000CA180000}"/>
    <cellStyle name="Normal 12 2 12 3 2 2" xfId="6726" xr:uid="{00000000-0005-0000-0000-0000CB180000}"/>
    <cellStyle name="Normal 12 2 12 3 2 3" xfId="6727" xr:uid="{00000000-0005-0000-0000-0000CC180000}"/>
    <cellStyle name="Normal 12 2 12 3 2 4" xfId="6728" xr:uid="{00000000-0005-0000-0000-0000CD180000}"/>
    <cellStyle name="Normal 12 2 12 3 2 5" xfId="6729" xr:uid="{00000000-0005-0000-0000-0000CE180000}"/>
    <cellStyle name="Normal 12 2 12 3 3" xfId="6730" xr:uid="{00000000-0005-0000-0000-0000CF180000}"/>
    <cellStyle name="Normal 12 2 12 3 4" xfId="6731" xr:uid="{00000000-0005-0000-0000-0000D0180000}"/>
    <cellStyle name="Normal 12 2 12 3 5" xfId="6732" xr:uid="{00000000-0005-0000-0000-0000D1180000}"/>
    <cellStyle name="Normal 12 2 12 3 6" xfId="6733" xr:uid="{00000000-0005-0000-0000-0000D2180000}"/>
    <cellStyle name="Normal 12 2 12 3 7" xfId="6734" xr:uid="{00000000-0005-0000-0000-0000D3180000}"/>
    <cellStyle name="Normal 12 2 12 3 8" xfId="6735" xr:uid="{00000000-0005-0000-0000-0000D4180000}"/>
    <cellStyle name="Normal 12 2 12 4" xfId="6736" xr:uid="{00000000-0005-0000-0000-0000D5180000}"/>
    <cellStyle name="Normal 12 2 12 4 2" xfId="6737" xr:uid="{00000000-0005-0000-0000-0000D6180000}"/>
    <cellStyle name="Normal 12 2 12 4 2 2" xfId="6738" xr:uid="{00000000-0005-0000-0000-0000D7180000}"/>
    <cellStyle name="Normal 12 2 12 4 2 3" xfId="6739" xr:uid="{00000000-0005-0000-0000-0000D8180000}"/>
    <cellStyle name="Normal 12 2 12 4 2 4" xfId="6740" xr:uid="{00000000-0005-0000-0000-0000D9180000}"/>
    <cellStyle name="Normal 12 2 12 4 2 5" xfId="6741" xr:uid="{00000000-0005-0000-0000-0000DA180000}"/>
    <cellStyle name="Normal 12 2 12 4 3" xfId="6742" xr:uid="{00000000-0005-0000-0000-0000DB180000}"/>
    <cellStyle name="Normal 12 2 12 4 4" xfId="6743" xr:uid="{00000000-0005-0000-0000-0000DC180000}"/>
    <cellStyle name="Normal 12 2 12 4 5" xfId="6744" xr:uid="{00000000-0005-0000-0000-0000DD180000}"/>
    <cellStyle name="Normal 12 2 12 4 6" xfId="6745" xr:uid="{00000000-0005-0000-0000-0000DE180000}"/>
    <cellStyle name="Normal 12 2 12 4 7" xfId="6746" xr:uid="{00000000-0005-0000-0000-0000DF180000}"/>
    <cellStyle name="Normal 12 2 12 4 8" xfId="6747" xr:uid="{00000000-0005-0000-0000-0000E0180000}"/>
    <cellStyle name="Normal 12 2 12 5" xfId="6748" xr:uid="{00000000-0005-0000-0000-0000E1180000}"/>
    <cellStyle name="Normal 12 2 12 5 2" xfId="6749" xr:uid="{00000000-0005-0000-0000-0000E2180000}"/>
    <cellStyle name="Normal 12 2 12 5 3" xfId="6750" xr:uid="{00000000-0005-0000-0000-0000E3180000}"/>
    <cellStyle name="Normal 12 2 12 5 4" xfId="6751" xr:uid="{00000000-0005-0000-0000-0000E4180000}"/>
    <cellStyle name="Normal 12 2 12 5 5" xfId="6752" xr:uid="{00000000-0005-0000-0000-0000E5180000}"/>
    <cellStyle name="Normal 12 2 12 6" xfId="6753" xr:uid="{00000000-0005-0000-0000-0000E6180000}"/>
    <cellStyle name="Normal 12 2 12 7" xfId="6754" xr:uid="{00000000-0005-0000-0000-0000E7180000}"/>
    <cellStyle name="Normal 12 2 12 8" xfId="6755" xr:uid="{00000000-0005-0000-0000-0000E8180000}"/>
    <cellStyle name="Normal 12 2 12 9" xfId="6756" xr:uid="{00000000-0005-0000-0000-0000E9180000}"/>
    <cellStyle name="Normal 12 2 13" xfId="6757" xr:uid="{00000000-0005-0000-0000-0000EA180000}"/>
    <cellStyle name="Normal 12 2 13 10" xfId="6758" xr:uid="{00000000-0005-0000-0000-0000EB180000}"/>
    <cellStyle name="Normal 12 2 13 2" xfId="6759" xr:uid="{00000000-0005-0000-0000-0000EC180000}"/>
    <cellStyle name="Normal 12 2 13 2 2" xfId="6760" xr:uid="{00000000-0005-0000-0000-0000ED180000}"/>
    <cellStyle name="Normal 12 2 13 2 2 2" xfId="6761" xr:uid="{00000000-0005-0000-0000-0000EE180000}"/>
    <cellStyle name="Normal 12 2 13 2 2 3" xfId="6762" xr:uid="{00000000-0005-0000-0000-0000EF180000}"/>
    <cellStyle name="Normal 12 2 13 2 2 4" xfId="6763" xr:uid="{00000000-0005-0000-0000-0000F0180000}"/>
    <cellStyle name="Normal 12 2 13 2 2 5" xfId="6764" xr:uid="{00000000-0005-0000-0000-0000F1180000}"/>
    <cellStyle name="Normal 12 2 13 2 3" xfId="6765" xr:uid="{00000000-0005-0000-0000-0000F2180000}"/>
    <cellStyle name="Normal 12 2 13 2 4" xfId="6766" xr:uid="{00000000-0005-0000-0000-0000F3180000}"/>
    <cellStyle name="Normal 12 2 13 2 5" xfId="6767" xr:uid="{00000000-0005-0000-0000-0000F4180000}"/>
    <cellStyle name="Normal 12 2 13 2 6" xfId="6768" xr:uid="{00000000-0005-0000-0000-0000F5180000}"/>
    <cellStyle name="Normal 12 2 13 2 7" xfId="6769" xr:uid="{00000000-0005-0000-0000-0000F6180000}"/>
    <cellStyle name="Normal 12 2 13 2 8" xfId="6770" xr:uid="{00000000-0005-0000-0000-0000F7180000}"/>
    <cellStyle name="Normal 12 2 13 3" xfId="6771" xr:uid="{00000000-0005-0000-0000-0000F8180000}"/>
    <cellStyle name="Normal 12 2 13 3 2" xfId="6772" xr:uid="{00000000-0005-0000-0000-0000F9180000}"/>
    <cellStyle name="Normal 12 2 13 3 2 2" xfId="6773" xr:uid="{00000000-0005-0000-0000-0000FA180000}"/>
    <cellStyle name="Normal 12 2 13 3 2 3" xfId="6774" xr:uid="{00000000-0005-0000-0000-0000FB180000}"/>
    <cellStyle name="Normal 12 2 13 3 2 4" xfId="6775" xr:uid="{00000000-0005-0000-0000-0000FC180000}"/>
    <cellStyle name="Normal 12 2 13 3 2 5" xfId="6776" xr:uid="{00000000-0005-0000-0000-0000FD180000}"/>
    <cellStyle name="Normal 12 2 13 3 3" xfId="6777" xr:uid="{00000000-0005-0000-0000-0000FE180000}"/>
    <cellStyle name="Normal 12 2 13 3 4" xfId="6778" xr:uid="{00000000-0005-0000-0000-0000FF180000}"/>
    <cellStyle name="Normal 12 2 13 3 5" xfId="6779" xr:uid="{00000000-0005-0000-0000-000000190000}"/>
    <cellStyle name="Normal 12 2 13 3 6" xfId="6780" xr:uid="{00000000-0005-0000-0000-000001190000}"/>
    <cellStyle name="Normal 12 2 13 3 7" xfId="6781" xr:uid="{00000000-0005-0000-0000-000002190000}"/>
    <cellStyle name="Normal 12 2 13 3 8" xfId="6782" xr:uid="{00000000-0005-0000-0000-000003190000}"/>
    <cellStyle name="Normal 12 2 13 4" xfId="6783" xr:uid="{00000000-0005-0000-0000-000004190000}"/>
    <cellStyle name="Normal 12 2 13 4 2" xfId="6784" xr:uid="{00000000-0005-0000-0000-000005190000}"/>
    <cellStyle name="Normal 12 2 13 4 3" xfId="6785" xr:uid="{00000000-0005-0000-0000-000006190000}"/>
    <cellStyle name="Normal 12 2 13 4 4" xfId="6786" xr:uid="{00000000-0005-0000-0000-000007190000}"/>
    <cellStyle name="Normal 12 2 13 4 5" xfId="6787" xr:uid="{00000000-0005-0000-0000-000008190000}"/>
    <cellStyle name="Normal 12 2 13 5" xfId="6788" xr:uid="{00000000-0005-0000-0000-000009190000}"/>
    <cellStyle name="Normal 12 2 13 6" xfId="6789" xr:uid="{00000000-0005-0000-0000-00000A190000}"/>
    <cellStyle name="Normal 12 2 13 7" xfId="6790" xr:uid="{00000000-0005-0000-0000-00000B190000}"/>
    <cellStyle name="Normal 12 2 13 8" xfId="6791" xr:uid="{00000000-0005-0000-0000-00000C190000}"/>
    <cellStyle name="Normal 12 2 13 9" xfId="6792" xr:uid="{00000000-0005-0000-0000-00000D190000}"/>
    <cellStyle name="Normal 12 2 14" xfId="6793" xr:uid="{00000000-0005-0000-0000-00000E190000}"/>
    <cellStyle name="Normal 12 2 14 2" xfId="6794" xr:uid="{00000000-0005-0000-0000-00000F190000}"/>
    <cellStyle name="Normal 12 2 14 2 2" xfId="6795" xr:uid="{00000000-0005-0000-0000-000010190000}"/>
    <cellStyle name="Normal 12 2 14 2 3" xfId="6796" xr:uid="{00000000-0005-0000-0000-000011190000}"/>
    <cellStyle name="Normal 12 2 14 2 4" xfId="6797" xr:uid="{00000000-0005-0000-0000-000012190000}"/>
    <cellStyle name="Normal 12 2 14 2 5" xfId="6798" xr:uid="{00000000-0005-0000-0000-000013190000}"/>
    <cellStyle name="Normal 12 2 14 3" xfId="6799" xr:uid="{00000000-0005-0000-0000-000014190000}"/>
    <cellStyle name="Normal 12 2 14 4" xfId="6800" xr:uid="{00000000-0005-0000-0000-000015190000}"/>
    <cellStyle name="Normal 12 2 14 5" xfId="6801" xr:uid="{00000000-0005-0000-0000-000016190000}"/>
    <cellStyle name="Normal 12 2 14 6" xfId="6802" xr:uid="{00000000-0005-0000-0000-000017190000}"/>
    <cellStyle name="Normal 12 2 14 7" xfId="6803" xr:uid="{00000000-0005-0000-0000-000018190000}"/>
    <cellStyle name="Normal 12 2 14 8" xfId="6804" xr:uid="{00000000-0005-0000-0000-000019190000}"/>
    <cellStyle name="Normal 12 2 15" xfId="6805" xr:uid="{00000000-0005-0000-0000-00001A190000}"/>
    <cellStyle name="Normal 12 2 15 2" xfId="6806" xr:uid="{00000000-0005-0000-0000-00001B190000}"/>
    <cellStyle name="Normal 12 2 15 2 2" xfId="6807" xr:uid="{00000000-0005-0000-0000-00001C190000}"/>
    <cellStyle name="Normal 12 2 15 2 3" xfId="6808" xr:uid="{00000000-0005-0000-0000-00001D190000}"/>
    <cellStyle name="Normal 12 2 15 2 4" xfId="6809" xr:uid="{00000000-0005-0000-0000-00001E190000}"/>
    <cellStyle name="Normal 12 2 15 2 5" xfId="6810" xr:uid="{00000000-0005-0000-0000-00001F190000}"/>
    <cellStyle name="Normal 12 2 15 3" xfId="6811" xr:uid="{00000000-0005-0000-0000-000020190000}"/>
    <cellStyle name="Normal 12 2 15 4" xfId="6812" xr:uid="{00000000-0005-0000-0000-000021190000}"/>
    <cellStyle name="Normal 12 2 15 5" xfId="6813" xr:uid="{00000000-0005-0000-0000-000022190000}"/>
    <cellStyle name="Normal 12 2 15 6" xfId="6814" xr:uid="{00000000-0005-0000-0000-000023190000}"/>
    <cellStyle name="Normal 12 2 15 7" xfId="6815" xr:uid="{00000000-0005-0000-0000-000024190000}"/>
    <cellStyle name="Normal 12 2 15 8" xfId="6816" xr:uid="{00000000-0005-0000-0000-000025190000}"/>
    <cellStyle name="Normal 12 2 16" xfId="6817" xr:uid="{00000000-0005-0000-0000-000026190000}"/>
    <cellStyle name="Normal 12 2 16 2" xfId="6818" xr:uid="{00000000-0005-0000-0000-000027190000}"/>
    <cellStyle name="Normal 12 2 16 3" xfId="6819" xr:uid="{00000000-0005-0000-0000-000028190000}"/>
    <cellStyle name="Normal 12 2 16 4" xfId="6820" xr:uid="{00000000-0005-0000-0000-000029190000}"/>
    <cellStyle name="Normal 12 2 16 5" xfId="6821" xr:uid="{00000000-0005-0000-0000-00002A190000}"/>
    <cellStyle name="Normal 12 2 17" xfId="6822" xr:uid="{00000000-0005-0000-0000-00002B190000}"/>
    <cellStyle name="Normal 12 2 18" xfId="6823" xr:uid="{00000000-0005-0000-0000-00002C190000}"/>
    <cellStyle name="Normal 12 2 19" xfId="6824" xr:uid="{00000000-0005-0000-0000-00002D190000}"/>
    <cellStyle name="Normal 12 2 2" xfId="6825" xr:uid="{00000000-0005-0000-0000-00002E190000}"/>
    <cellStyle name="Normal 12 2 2 10" xfId="6826" xr:uid="{00000000-0005-0000-0000-00002F190000}"/>
    <cellStyle name="Normal 12 2 2 10 10" xfId="6827" xr:uid="{00000000-0005-0000-0000-000030190000}"/>
    <cellStyle name="Normal 12 2 2 10 11" xfId="6828" xr:uid="{00000000-0005-0000-0000-000031190000}"/>
    <cellStyle name="Normal 12 2 2 10 2" xfId="6829" xr:uid="{00000000-0005-0000-0000-000032190000}"/>
    <cellStyle name="Normal 12 2 2 10 2 10" xfId="6830" xr:uid="{00000000-0005-0000-0000-000033190000}"/>
    <cellStyle name="Normal 12 2 2 10 2 2" xfId="6831" xr:uid="{00000000-0005-0000-0000-000034190000}"/>
    <cellStyle name="Normal 12 2 2 10 2 2 2" xfId="6832" xr:uid="{00000000-0005-0000-0000-000035190000}"/>
    <cellStyle name="Normal 12 2 2 10 2 2 2 2" xfId="6833" xr:uid="{00000000-0005-0000-0000-000036190000}"/>
    <cellStyle name="Normal 12 2 2 10 2 2 2 3" xfId="6834" xr:uid="{00000000-0005-0000-0000-000037190000}"/>
    <cellStyle name="Normal 12 2 2 10 2 2 2 4" xfId="6835" xr:uid="{00000000-0005-0000-0000-000038190000}"/>
    <cellStyle name="Normal 12 2 2 10 2 2 2 5" xfId="6836" xr:uid="{00000000-0005-0000-0000-000039190000}"/>
    <cellStyle name="Normal 12 2 2 10 2 2 3" xfId="6837" xr:uid="{00000000-0005-0000-0000-00003A190000}"/>
    <cellStyle name="Normal 12 2 2 10 2 2 4" xfId="6838" xr:uid="{00000000-0005-0000-0000-00003B190000}"/>
    <cellStyle name="Normal 12 2 2 10 2 2 5" xfId="6839" xr:uid="{00000000-0005-0000-0000-00003C190000}"/>
    <cellStyle name="Normal 12 2 2 10 2 2 6" xfId="6840" xr:uid="{00000000-0005-0000-0000-00003D190000}"/>
    <cellStyle name="Normal 12 2 2 10 2 2 7" xfId="6841" xr:uid="{00000000-0005-0000-0000-00003E190000}"/>
    <cellStyle name="Normal 12 2 2 10 2 2 8" xfId="6842" xr:uid="{00000000-0005-0000-0000-00003F190000}"/>
    <cellStyle name="Normal 12 2 2 10 2 3" xfId="6843" xr:uid="{00000000-0005-0000-0000-000040190000}"/>
    <cellStyle name="Normal 12 2 2 10 2 3 2" xfId="6844" xr:uid="{00000000-0005-0000-0000-000041190000}"/>
    <cellStyle name="Normal 12 2 2 10 2 3 2 2" xfId="6845" xr:uid="{00000000-0005-0000-0000-000042190000}"/>
    <cellStyle name="Normal 12 2 2 10 2 3 2 3" xfId="6846" xr:uid="{00000000-0005-0000-0000-000043190000}"/>
    <cellStyle name="Normal 12 2 2 10 2 3 2 4" xfId="6847" xr:uid="{00000000-0005-0000-0000-000044190000}"/>
    <cellStyle name="Normal 12 2 2 10 2 3 2 5" xfId="6848" xr:uid="{00000000-0005-0000-0000-000045190000}"/>
    <cellStyle name="Normal 12 2 2 10 2 3 3" xfId="6849" xr:uid="{00000000-0005-0000-0000-000046190000}"/>
    <cellStyle name="Normal 12 2 2 10 2 3 4" xfId="6850" xr:uid="{00000000-0005-0000-0000-000047190000}"/>
    <cellStyle name="Normal 12 2 2 10 2 3 5" xfId="6851" xr:uid="{00000000-0005-0000-0000-000048190000}"/>
    <cellStyle name="Normal 12 2 2 10 2 3 6" xfId="6852" xr:uid="{00000000-0005-0000-0000-000049190000}"/>
    <cellStyle name="Normal 12 2 2 10 2 3 7" xfId="6853" xr:uid="{00000000-0005-0000-0000-00004A190000}"/>
    <cellStyle name="Normal 12 2 2 10 2 3 8" xfId="6854" xr:uid="{00000000-0005-0000-0000-00004B190000}"/>
    <cellStyle name="Normal 12 2 2 10 2 4" xfId="6855" xr:uid="{00000000-0005-0000-0000-00004C190000}"/>
    <cellStyle name="Normal 12 2 2 10 2 4 2" xfId="6856" xr:uid="{00000000-0005-0000-0000-00004D190000}"/>
    <cellStyle name="Normal 12 2 2 10 2 4 3" xfId="6857" xr:uid="{00000000-0005-0000-0000-00004E190000}"/>
    <cellStyle name="Normal 12 2 2 10 2 4 4" xfId="6858" xr:uid="{00000000-0005-0000-0000-00004F190000}"/>
    <cellStyle name="Normal 12 2 2 10 2 4 5" xfId="6859" xr:uid="{00000000-0005-0000-0000-000050190000}"/>
    <cellStyle name="Normal 12 2 2 10 2 5" xfId="6860" xr:uid="{00000000-0005-0000-0000-000051190000}"/>
    <cellStyle name="Normal 12 2 2 10 2 6" xfId="6861" xr:uid="{00000000-0005-0000-0000-000052190000}"/>
    <cellStyle name="Normal 12 2 2 10 2 7" xfId="6862" xr:uid="{00000000-0005-0000-0000-000053190000}"/>
    <cellStyle name="Normal 12 2 2 10 2 8" xfId="6863" xr:uid="{00000000-0005-0000-0000-000054190000}"/>
    <cellStyle name="Normal 12 2 2 10 2 9" xfId="6864" xr:uid="{00000000-0005-0000-0000-000055190000}"/>
    <cellStyle name="Normal 12 2 2 10 3" xfId="6865" xr:uid="{00000000-0005-0000-0000-000056190000}"/>
    <cellStyle name="Normal 12 2 2 10 3 2" xfId="6866" xr:uid="{00000000-0005-0000-0000-000057190000}"/>
    <cellStyle name="Normal 12 2 2 10 3 2 2" xfId="6867" xr:uid="{00000000-0005-0000-0000-000058190000}"/>
    <cellStyle name="Normal 12 2 2 10 3 2 3" xfId="6868" xr:uid="{00000000-0005-0000-0000-000059190000}"/>
    <cellStyle name="Normal 12 2 2 10 3 2 4" xfId="6869" xr:uid="{00000000-0005-0000-0000-00005A190000}"/>
    <cellStyle name="Normal 12 2 2 10 3 2 5" xfId="6870" xr:uid="{00000000-0005-0000-0000-00005B190000}"/>
    <cellStyle name="Normal 12 2 2 10 3 3" xfId="6871" xr:uid="{00000000-0005-0000-0000-00005C190000}"/>
    <cellStyle name="Normal 12 2 2 10 3 4" xfId="6872" xr:uid="{00000000-0005-0000-0000-00005D190000}"/>
    <cellStyle name="Normal 12 2 2 10 3 5" xfId="6873" xr:uid="{00000000-0005-0000-0000-00005E190000}"/>
    <cellStyle name="Normal 12 2 2 10 3 6" xfId="6874" xr:uid="{00000000-0005-0000-0000-00005F190000}"/>
    <cellStyle name="Normal 12 2 2 10 3 7" xfId="6875" xr:uid="{00000000-0005-0000-0000-000060190000}"/>
    <cellStyle name="Normal 12 2 2 10 3 8" xfId="6876" xr:uid="{00000000-0005-0000-0000-000061190000}"/>
    <cellStyle name="Normal 12 2 2 10 4" xfId="6877" xr:uid="{00000000-0005-0000-0000-000062190000}"/>
    <cellStyle name="Normal 12 2 2 10 4 2" xfId="6878" xr:uid="{00000000-0005-0000-0000-000063190000}"/>
    <cellStyle name="Normal 12 2 2 10 4 2 2" xfId="6879" xr:uid="{00000000-0005-0000-0000-000064190000}"/>
    <cellStyle name="Normal 12 2 2 10 4 2 3" xfId="6880" xr:uid="{00000000-0005-0000-0000-000065190000}"/>
    <cellStyle name="Normal 12 2 2 10 4 2 4" xfId="6881" xr:uid="{00000000-0005-0000-0000-000066190000}"/>
    <cellStyle name="Normal 12 2 2 10 4 2 5" xfId="6882" xr:uid="{00000000-0005-0000-0000-000067190000}"/>
    <cellStyle name="Normal 12 2 2 10 4 3" xfId="6883" xr:uid="{00000000-0005-0000-0000-000068190000}"/>
    <cellStyle name="Normal 12 2 2 10 4 4" xfId="6884" xr:uid="{00000000-0005-0000-0000-000069190000}"/>
    <cellStyle name="Normal 12 2 2 10 4 5" xfId="6885" xr:uid="{00000000-0005-0000-0000-00006A190000}"/>
    <cellStyle name="Normal 12 2 2 10 4 6" xfId="6886" xr:uid="{00000000-0005-0000-0000-00006B190000}"/>
    <cellStyle name="Normal 12 2 2 10 4 7" xfId="6887" xr:uid="{00000000-0005-0000-0000-00006C190000}"/>
    <cellStyle name="Normal 12 2 2 10 4 8" xfId="6888" xr:uid="{00000000-0005-0000-0000-00006D190000}"/>
    <cellStyle name="Normal 12 2 2 10 5" xfId="6889" xr:uid="{00000000-0005-0000-0000-00006E190000}"/>
    <cellStyle name="Normal 12 2 2 10 5 2" xfId="6890" xr:uid="{00000000-0005-0000-0000-00006F190000}"/>
    <cellStyle name="Normal 12 2 2 10 5 3" xfId="6891" xr:uid="{00000000-0005-0000-0000-000070190000}"/>
    <cellStyle name="Normal 12 2 2 10 5 4" xfId="6892" xr:uid="{00000000-0005-0000-0000-000071190000}"/>
    <cellStyle name="Normal 12 2 2 10 5 5" xfId="6893" xr:uid="{00000000-0005-0000-0000-000072190000}"/>
    <cellStyle name="Normal 12 2 2 10 6" xfId="6894" xr:uid="{00000000-0005-0000-0000-000073190000}"/>
    <cellStyle name="Normal 12 2 2 10 7" xfId="6895" xr:uid="{00000000-0005-0000-0000-000074190000}"/>
    <cellStyle name="Normal 12 2 2 10 8" xfId="6896" xr:uid="{00000000-0005-0000-0000-000075190000}"/>
    <cellStyle name="Normal 12 2 2 10 9" xfId="6897" xr:uid="{00000000-0005-0000-0000-000076190000}"/>
    <cellStyle name="Normal 12 2 2 11" xfId="6898" xr:uid="{00000000-0005-0000-0000-000077190000}"/>
    <cellStyle name="Normal 12 2 2 11 10" xfId="6899" xr:uid="{00000000-0005-0000-0000-000078190000}"/>
    <cellStyle name="Normal 12 2 2 11 2" xfId="6900" xr:uid="{00000000-0005-0000-0000-000079190000}"/>
    <cellStyle name="Normal 12 2 2 11 2 2" xfId="6901" xr:uid="{00000000-0005-0000-0000-00007A190000}"/>
    <cellStyle name="Normal 12 2 2 11 2 2 2" xfId="6902" xr:uid="{00000000-0005-0000-0000-00007B190000}"/>
    <cellStyle name="Normal 12 2 2 11 2 2 3" xfId="6903" xr:uid="{00000000-0005-0000-0000-00007C190000}"/>
    <cellStyle name="Normal 12 2 2 11 2 2 4" xfId="6904" xr:uid="{00000000-0005-0000-0000-00007D190000}"/>
    <cellStyle name="Normal 12 2 2 11 2 2 5" xfId="6905" xr:uid="{00000000-0005-0000-0000-00007E190000}"/>
    <cellStyle name="Normal 12 2 2 11 2 3" xfId="6906" xr:uid="{00000000-0005-0000-0000-00007F190000}"/>
    <cellStyle name="Normal 12 2 2 11 2 4" xfId="6907" xr:uid="{00000000-0005-0000-0000-000080190000}"/>
    <cellStyle name="Normal 12 2 2 11 2 5" xfId="6908" xr:uid="{00000000-0005-0000-0000-000081190000}"/>
    <cellStyle name="Normal 12 2 2 11 2 6" xfId="6909" xr:uid="{00000000-0005-0000-0000-000082190000}"/>
    <cellStyle name="Normal 12 2 2 11 2 7" xfId="6910" xr:uid="{00000000-0005-0000-0000-000083190000}"/>
    <cellStyle name="Normal 12 2 2 11 2 8" xfId="6911" xr:uid="{00000000-0005-0000-0000-000084190000}"/>
    <cellStyle name="Normal 12 2 2 11 3" xfId="6912" xr:uid="{00000000-0005-0000-0000-000085190000}"/>
    <cellStyle name="Normal 12 2 2 11 3 2" xfId="6913" xr:uid="{00000000-0005-0000-0000-000086190000}"/>
    <cellStyle name="Normal 12 2 2 11 3 2 2" xfId="6914" xr:uid="{00000000-0005-0000-0000-000087190000}"/>
    <cellStyle name="Normal 12 2 2 11 3 2 3" xfId="6915" xr:uid="{00000000-0005-0000-0000-000088190000}"/>
    <cellStyle name="Normal 12 2 2 11 3 2 4" xfId="6916" xr:uid="{00000000-0005-0000-0000-000089190000}"/>
    <cellStyle name="Normal 12 2 2 11 3 2 5" xfId="6917" xr:uid="{00000000-0005-0000-0000-00008A190000}"/>
    <cellStyle name="Normal 12 2 2 11 3 3" xfId="6918" xr:uid="{00000000-0005-0000-0000-00008B190000}"/>
    <cellStyle name="Normal 12 2 2 11 3 4" xfId="6919" xr:uid="{00000000-0005-0000-0000-00008C190000}"/>
    <cellStyle name="Normal 12 2 2 11 3 5" xfId="6920" xr:uid="{00000000-0005-0000-0000-00008D190000}"/>
    <cellStyle name="Normal 12 2 2 11 3 6" xfId="6921" xr:uid="{00000000-0005-0000-0000-00008E190000}"/>
    <cellStyle name="Normal 12 2 2 11 3 7" xfId="6922" xr:uid="{00000000-0005-0000-0000-00008F190000}"/>
    <cellStyle name="Normal 12 2 2 11 3 8" xfId="6923" xr:uid="{00000000-0005-0000-0000-000090190000}"/>
    <cellStyle name="Normal 12 2 2 11 4" xfId="6924" xr:uid="{00000000-0005-0000-0000-000091190000}"/>
    <cellStyle name="Normal 12 2 2 11 4 2" xfId="6925" xr:uid="{00000000-0005-0000-0000-000092190000}"/>
    <cellStyle name="Normal 12 2 2 11 4 3" xfId="6926" xr:uid="{00000000-0005-0000-0000-000093190000}"/>
    <cellStyle name="Normal 12 2 2 11 4 4" xfId="6927" xr:uid="{00000000-0005-0000-0000-000094190000}"/>
    <cellStyle name="Normal 12 2 2 11 4 5" xfId="6928" xr:uid="{00000000-0005-0000-0000-000095190000}"/>
    <cellStyle name="Normal 12 2 2 11 5" xfId="6929" xr:uid="{00000000-0005-0000-0000-000096190000}"/>
    <cellStyle name="Normal 12 2 2 11 6" xfId="6930" xr:uid="{00000000-0005-0000-0000-000097190000}"/>
    <cellStyle name="Normal 12 2 2 11 7" xfId="6931" xr:uid="{00000000-0005-0000-0000-000098190000}"/>
    <cellStyle name="Normal 12 2 2 11 8" xfId="6932" xr:uid="{00000000-0005-0000-0000-000099190000}"/>
    <cellStyle name="Normal 12 2 2 11 9" xfId="6933" xr:uid="{00000000-0005-0000-0000-00009A190000}"/>
    <cellStyle name="Normal 12 2 2 12" xfId="6934" xr:uid="{00000000-0005-0000-0000-00009B190000}"/>
    <cellStyle name="Normal 12 2 2 12 2" xfId="6935" xr:uid="{00000000-0005-0000-0000-00009C190000}"/>
    <cellStyle name="Normal 12 2 2 12 2 2" xfId="6936" xr:uid="{00000000-0005-0000-0000-00009D190000}"/>
    <cellStyle name="Normal 12 2 2 12 2 3" xfId="6937" xr:uid="{00000000-0005-0000-0000-00009E190000}"/>
    <cellStyle name="Normal 12 2 2 12 2 4" xfId="6938" xr:uid="{00000000-0005-0000-0000-00009F190000}"/>
    <cellStyle name="Normal 12 2 2 12 2 5" xfId="6939" xr:uid="{00000000-0005-0000-0000-0000A0190000}"/>
    <cellStyle name="Normal 12 2 2 12 3" xfId="6940" xr:uid="{00000000-0005-0000-0000-0000A1190000}"/>
    <cellStyle name="Normal 12 2 2 12 4" xfId="6941" xr:uid="{00000000-0005-0000-0000-0000A2190000}"/>
    <cellStyle name="Normal 12 2 2 12 5" xfId="6942" xr:uid="{00000000-0005-0000-0000-0000A3190000}"/>
    <cellStyle name="Normal 12 2 2 12 6" xfId="6943" xr:uid="{00000000-0005-0000-0000-0000A4190000}"/>
    <cellStyle name="Normal 12 2 2 12 7" xfId="6944" xr:uid="{00000000-0005-0000-0000-0000A5190000}"/>
    <cellStyle name="Normal 12 2 2 12 8" xfId="6945" xr:uid="{00000000-0005-0000-0000-0000A6190000}"/>
    <cellStyle name="Normal 12 2 2 13" xfId="6946" xr:uid="{00000000-0005-0000-0000-0000A7190000}"/>
    <cellStyle name="Normal 12 2 2 13 2" xfId="6947" xr:uid="{00000000-0005-0000-0000-0000A8190000}"/>
    <cellStyle name="Normal 12 2 2 13 2 2" xfId="6948" xr:uid="{00000000-0005-0000-0000-0000A9190000}"/>
    <cellStyle name="Normal 12 2 2 13 2 3" xfId="6949" xr:uid="{00000000-0005-0000-0000-0000AA190000}"/>
    <cellStyle name="Normal 12 2 2 13 2 4" xfId="6950" xr:uid="{00000000-0005-0000-0000-0000AB190000}"/>
    <cellStyle name="Normal 12 2 2 13 2 5" xfId="6951" xr:uid="{00000000-0005-0000-0000-0000AC190000}"/>
    <cellStyle name="Normal 12 2 2 13 3" xfId="6952" xr:uid="{00000000-0005-0000-0000-0000AD190000}"/>
    <cellStyle name="Normal 12 2 2 13 4" xfId="6953" xr:uid="{00000000-0005-0000-0000-0000AE190000}"/>
    <cellStyle name="Normal 12 2 2 13 5" xfId="6954" xr:uid="{00000000-0005-0000-0000-0000AF190000}"/>
    <cellStyle name="Normal 12 2 2 13 6" xfId="6955" xr:uid="{00000000-0005-0000-0000-0000B0190000}"/>
    <cellStyle name="Normal 12 2 2 13 7" xfId="6956" xr:uid="{00000000-0005-0000-0000-0000B1190000}"/>
    <cellStyle name="Normal 12 2 2 13 8" xfId="6957" xr:uid="{00000000-0005-0000-0000-0000B2190000}"/>
    <cellStyle name="Normal 12 2 2 14" xfId="6958" xr:uid="{00000000-0005-0000-0000-0000B3190000}"/>
    <cellStyle name="Normal 12 2 2 14 2" xfId="6959" xr:uid="{00000000-0005-0000-0000-0000B4190000}"/>
    <cellStyle name="Normal 12 2 2 14 3" xfId="6960" xr:uid="{00000000-0005-0000-0000-0000B5190000}"/>
    <cellStyle name="Normal 12 2 2 14 4" xfId="6961" xr:uid="{00000000-0005-0000-0000-0000B6190000}"/>
    <cellStyle name="Normal 12 2 2 14 5" xfId="6962" xr:uid="{00000000-0005-0000-0000-0000B7190000}"/>
    <cellStyle name="Normal 12 2 2 15" xfId="6963" xr:uid="{00000000-0005-0000-0000-0000B8190000}"/>
    <cellStyle name="Normal 12 2 2 16" xfId="6964" xr:uid="{00000000-0005-0000-0000-0000B9190000}"/>
    <cellStyle name="Normal 12 2 2 17" xfId="6965" xr:uid="{00000000-0005-0000-0000-0000BA190000}"/>
    <cellStyle name="Normal 12 2 2 18" xfId="6966" xr:uid="{00000000-0005-0000-0000-0000BB190000}"/>
    <cellStyle name="Normal 12 2 2 19" xfId="6967" xr:uid="{00000000-0005-0000-0000-0000BC190000}"/>
    <cellStyle name="Normal 12 2 2 2" xfId="6968" xr:uid="{00000000-0005-0000-0000-0000BD190000}"/>
    <cellStyle name="Normal 12 2 2 2 10" xfId="6969" xr:uid="{00000000-0005-0000-0000-0000BE190000}"/>
    <cellStyle name="Normal 12 2 2 2 11" xfId="6970" xr:uid="{00000000-0005-0000-0000-0000BF190000}"/>
    <cellStyle name="Normal 12 2 2 2 12" xfId="6971" xr:uid="{00000000-0005-0000-0000-0000C0190000}"/>
    <cellStyle name="Normal 12 2 2 2 13" xfId="6972" xr:uid="{00000000-0005-0000-0000-0000C1190000}"/>
    <cellStyle name="Normal 12 2 2 2 2" xfId="6973" xr:uid="{00000000-0005-0000-0000-0000C2190000}"/>
    <cellStyle name="Normal 12 2 2 2 2 10" xfId="6974" xr:uid="{00000000-0005-0000-0000-0000C3190000}"/>
    <cellStyle name="Normal 12 2 2 2 2 11" xfId="6975" xr:uid="{00000000-0005-0000-0000-0000C4190000}"/>
    <cellStyle name="Normal 12 2 2 2 2 2" xfId="6976" xr:uid="{00000000-0005-0000-0000-0000C5190000}"/>
    <cellStyle name="Normal 12 2 2 2 2 2 10" xfId="6977" xr:uid="{00000000-0005-0000-0000-0000C6190000}"/>
    <cellStyle name="Normal 12 2 2 2 2 2 2" xfId="6978" xr:uid="{00000000-0005-0000-0000-0000C7190000}"/>
    <cellStyle name="Normal 12 2 2 2 2 2 2 2" xfId="6979" xr:uid="{00000000-0005-0000-0000-0000C8190000}"/>
    <cellStyle name="Normal 12 2 2 2 2 2 2 2 2" xfId="6980" xr:uid="{00000000-0005-0000-0000-0000C9190000}"/>
    <cellStyle name="Normal 12 2 2 2 2 2 2 2 3" xfId="6981" xr:uid="{00000000-0005-0000-0000-0000CA190000}"/>
    <cellStyle name="Normal 12 2 2 2 2 2 2 2 4" xfId="6982" xr:uid="{00000000-0005-0000-0000-0000CB190000}"/>
    <cellStyle name="Normal 12 2 2 2 2 2 2 2 5" xfId="6983" xr:uid="{00000000-0005-0000-0000-0000CC190000}"/>
    <cellStyle name="Normal 12 2 2 2 2 2 2 3" xfId="6984" xr:uid="{00000000-0005-0000-0000-0000CD190000}"/>
    <cellStyle name="Normal 12 2 2 2 2 2 2 4" xfId="6985" xr:uid="{00000000-0005-0000-0000-0000CE190000}"/>
    <cellStyle name="Normal 12 2 2 2 2 2 2 5" xfId="6986" xr:uid="{00000000-0005-0000-0000-0000CF190000}"/>
    <cellStyle name="Normal 12 2 2 2 2 2 2 6" xfId="6987" xr:uid="{00000000-0005-0000-0000-0000D0190000}"/>
    <cellStyle name="Normal 12 2 2 2 2 2 2 7" xfId="6988" xr:uid="{00000000-0005-0000-0000-0000D1190000}"/>
    <cellStyle name="Normal 12 2 2 2 2 2 2 8" xfId="6989" xr:uid="{00000000-0005-0000-0000-0000D2190000}"/>
    <cellStyle name="Normal 12 2 2 2 2 2 3" xfId="6990" xr:uid="{00000000-0005-0000-0000-0000D3190000}"/>
    <cellStyle name="Normal 12 2 2 2 2 2 3 2" xfId="6991" xr:uid="{00000000-0005-0000-0000-0000D4190000}"/>
    <cellStyle name="Normal 12 2 2 2 2 2 3 2 2" xfId="6992" xr:uid="{00000000-0005-0000-0000-0000D5190000}"/>
    <cellStyle name="Normal 12 2 2 2 2 2 3 2 3" xfId="6993" xr:uid="{00000000-0005-0000-0000-0000D6190000}"/>
    <cellStyle name="Normal 12 2 2 2 2 2 3 2 4" xfId="6994" xr:uid="{00000000-0005-0000-0000-0000D7190000}"/>
    <cellStyle name="Normal 12 2 2 2 2 2 3 2 5" xfId="6995" xr:uid="{00000000-0005-0000-0000-0000D8190000}"/>
    <cellStyle name="Normal 12 2 2 2 2 2 3 3" xfId="6996" xr:uid="{00000000-0005-0000-0000-0000D9190000}"/>
    <cellStyle name="Normal 12 2 2 2 2 2 3 4" xfId="6997" xr:uid="{00000000-0005-0000-0000-0000DA190000}"/>
    <cellStyle name="Normal 12 2 2 2 2 2 3 5" xfId="6998" xr:uid="{00000000-0005-0000-0000-0000DB190000}"/>
    <cellStyle name="Normal 12 2 2 2 2 2 3 6" xfId="6999" xr:uid="{00000000-0005-0000-0000-0000DC190000}"/>
    <cellStyle name="Normal 12 2 2 2 2 2 3 7" xfId="7000" xr:uid="{00000000-0005-0000-0000-0000DD190000}"/>
    <cellStyle name="Normal 12 2 2 2 2 2 3 8" xfId="7001" xr:uid="{00000000-0005-0000-0000-0000DE190000}"/>
    <cellStyle name="Normal 12 2 2 2 2 2 4" xfId="7002" xr:uid="{00000000-0005-0000-0000-0000DF190000}"/>
    <cellStyle name="Normal 12 2 2 2 2 2 4 2" xfId="7003" xr:uid="{00000000-0005-0000-0000-0000E0190000}"/>
    <cellStyle name="Normal 12 2 2 2 2 2 4 3" xfId="7004" xr:uid="{00000000-0005-0000-0000-0000E1190000}"/>
    <cellStyle name="Normal 12 2 2 2 2 2 4 4" xfId="7005" xr:uid="{00000000-0005-0000-0000-0000E2190000}"/>
    <cellStyle name="Normal 12 2 2 2 2 2 4 5" xfId="7006" xr:uid="{00000000-0005-0000-0000-0000E3190000}"/>
    <cellStyle name="Normal 12 2 2 2 2 2 5" xfId="7007" xr:uid="{00000000-0005-0000-0000-0000E4190000}"/>
    <cellStyle name="Normal 12 2 2 2 2 2 6" xfId="7008" xr:uid="{00000000-0005-0000-0000-0000E5190000}"/>
    <cellStyle name="Normal 12 2 2 2 2 2 7" xfId="7009" xr:uid="{00000000-0005-0000-0000-0000E6190000}"/>
    <cellStyle name="Normal 12 2 2 2 2 2 8" xfId="7010" xr:uid="{00000000-0005-0000-0000-0000E7190000}"/>
    <cellStyle name="Normal 12 2 2 2 2 2 9" xfId="7011" xr:uid="{00000000-0005-0000-0000-0000E8190000}"/>
    <cellStyle name="Normal 12 2 2 2 2 3" xfId="7012" xr:uid="{00000000-0005-0000-0000-0000E9190000}"/>
    <cellStyle name="Normal 12 2 2 2 2 3 2" xfId="7013" xr:uid="{00000000-0005-0000-0000-0000EA190000}"/>
    <cellStyle name="Normal 12 2 2 2 2 3 2 2" xfId="7014" xr:uid="{00000000-0005-0000-0000-0000EB190000}"/>
    <cellStyle name="Normal 12 2 2 2 2 3 2 3" xfId="7015" xr:uid="{00000000-0005-0000-0000-0000EC190000}"/>
    <cellStyle name="Normal 12 2 2 2 2 3 2 4" xfId="7016" xr:uid="{00000000-0005-0000-0000-0000ED190000}"/>
    <cellStyle name="Normal 12 2 2 2 2 3 2 5" xfId="7017" xr:uid="{00000000-0005-0000-0000-0000EE190000}"/>
    <cellStyle name="Normal 12 2 2 2 2 3 3" xfId="7018" xr:uid="{00000000-0005-0000-0000-0000EF190000}"/>
    <cellStyle name="Normal 12 2 2 2 2 3 4" xfId="7019" xr:uid="{00000000-0005-0000-0000-0000F0190000}"/>
    <cellStyle name="Normal 12 2 2 2 2 3 5" xfId="7020" xr:uid="{00000000-0005-0000-0000-0000F1190000}"/>
    <cellStyle name="Normal 12 2 2 2 2 3 6" xfId="7021" xr:uid="{00000000-0005-0000-0000-0000F2190000}"/>
    <cellStyle name="Normal 12 2 2 2 2 3 7" xfId="7022" xr:uid="{00000000-0005-0000-0000-0000F3190000}"/>
    <cellStyle name="Normal 12 2 2 2 2 3 8" xfId="7023" xr:uid="{00000000-0005-0000-0000-0000F4190000}"/>
    <cellStyle name="Normal 12 2 2 2 2 4" xfId="7024" xr:uid="{00000000-0005-0000-0000-0000F5190000}"/>
    <cellStyle name="Normal 12 2 2 2 2 4 2" xfId="7025" xr:uid="{00000000-0005-0000-0000-0000F6190000}"/>
    <cellStyle name="Normal 12 2 2 2 2 4 2 2" xfId="7026" xr:uid="{00000000-0005-0000-0000-0000F7190000}"/>
    <cellStyle name="Normal 12 2 2 2 2 4 2 3" xfId="7027" xr:uid="{00000000-0005-0000-0000-0000F8190000}"/>
    <cellStyle name="Normal 12 2 2 2 2 4 2 4" xfId="7028" xr:uid="{00000000-0005-0000-0000-0000F9190000}"/>
    <cellStyle name="Normal 12 2 2 2 2 4 2 5" xfId="7029" xr:uid="{00000000-0005-0000-0000-0000FA190000}"/>
    <cellStyle name="Normal 12 2 2 2 2 4 3" xfId="7030" xr:uid="{00000000-0005-0000-0000-0000FB190000}"/>
    <cellStyle name="Normal 12 2 2 2 2 4 4" xfId="7031" xr:uid="{00000000-0005-0000-0000-0000FC190000}"/>
    <cellStyle name="Normal 12 2 2 2 2 4 5" xfId="7032" xr:uid="{00000000-0005-0000-0000-0000FD190000}"/>
    <cellStyle name="Normal 12 2 2 2 2 4 6" xfId="7033" xr:uid="{00000000-0005-0000-0000-0000FE190000}"/>
    <cellStyle name="Normal 12 2 2 2 2 4 7" xfId="7034" xr:uid="{00000000-0005-0000-0000-0000FF190000}"/>
    <cellStyle name="Normal 12 2 2 2 2 4 8" xfId="7035" xr:uid="{00000000-0005-0000-0000-0000001A0000}"/>
    <cellStyle name="Normal 12 2 2 2 2 5" xfId="7036" xr:uid="{00000000-0005-0000-0000-0000011A0000}"/>
    <cellStyle name="Normal 12 2 2 2 2 5 2" xfId="7037" xr:uid="{00000000-0005-0000-0000-0000021A0000}"/>
    <cellStyle name="Normal 12 2 2 2 2 5 3" xfId="7038" xr:uid="{00000000-0005-0000-0000-0000031A0000}"/>
    <cellStyle name="Normal 12 2 2 2 2 5 4" xfId="7039" xr:uid="{00000000-0005-0000-0000-0000041A0000}"/>
    <cellStyle name="Normal 12 2 2 2 2 5 5" xfId="7040" xr:uid="{00000000-0005-0000-0000-0000051A0000}"/>
    <cellStyle name="Normal 12 2 2 2 2 6" xfId="7041" xr:uid="{00000000-0005-0000-0000-0000061A0000}"/>
    <cellStyle name="Normal 12 2 2 2 2 7" xfId="7042" xr:uid="{00000000-0005-0000-0000-0000071A0000}"/>
    <cellStyle name="Normal 12 2 2 2 2 8" xfId="7043" xr:uid="{00000000-0005-0000-0000-0000081A0000}"/>
    <cellStyle name="Normal 12 2 2 2 2 9" xfId="7044" xr:uid="{00000000-0005-0000-0000-0000091A0000}"/>
    <cellStyle name="Normal 12 2 2 2 3" xfId="7045" xr:uid="{00000000-0005-0000-0000-00000A1A0000}"/>
    <cellStyle name="Normal 12 2 2 2 3 10" xfId="7046" xr:uid="{00000000-0005-0000-0000-00000B1A0000}"/>
    <cellStyle name="Normal 12 2 2 2 3 11" xfId="7047" xr:uid="{00000000-0005-0000-0000-00000C1A0000}"/>
    <cellStyle name="Normal 12 2 2 2 3 2" xfId="7048" xr:uid="{00000000-0005-0000-0000-00000D1A0000}"/>
    <cellStyle name="Normal 12 2 2 2 3 2 10" xfId="7049" xr:uid="{00000000-0005-0000-0000-00000E1A0000}"/>
    <cellStyle name="Normal 12 2 2 2 3 2 2" xfId="7050" xr:uid="{00000000-0005-0000-0000-00000F1A0000}"/>
    <cellStyle name="Normal 12 2 2 2 3 2 2 2" xfId="7051" xr:uid="{00000000-0005-0000-0000-0000101A0000}"/>
    <cellStyle name="Normal 12 2 2 2 3 2 2 2 2" xfId="7052" xr:uid="{00000000-0005-0000-0000-0000111A0000}"/>
    <cellStyle name="Normal 12 2 2 2 3 2 2 2 3" xfId="7053" xr:uid="{00000000-0005-0000-0000-0000121A0000}"/>
    <cellStyle name="Normal 12 2 2 2 3 2 2 2 4" xfId="7054" xr:uid="{00000000-0005-0000-0000-0000131A0000}"/>
    <cellStyle name="Normal 12 2 2 2 3 2 2 2 5" xfId="7055" xr:uid="{00000000-0005-0000-0000-0000141A0000}"/>
    <cellStyle name="Normal 12 2 2 2 3 2 2 3" xfId="7056" xr:uid="{00000000-0005-0000-0000-0000151A0000}"/>
    <cellStyle name="Normal 12 2 2 2 3 2 2 4" xfId="7057" xr:uid="{00000000-0005-0000-0000-0000161A0000}"/>
    <cellStyle name="Normal 12 2 2 2 3 2 2 5" xfId="7058" xr:uid="{00000000-0005-0000-0000-0000171A0000}"/>
    <cellStyle name="Normal 12 2 2 2 3 2 2 6" xfId="7059" xr:uid="{00000000-0005-0000-0000-0000181A0000}"/>
    <cellStyle name="Normal 12 2 2 2 3 2 2 7" xfId="7060" xr:uid="{00000000-0005-0000-0000-0000191A0000}"/>
    <cellStyle name="Normal 12 2 2 2 3 2 2 8" xfId="7061" xr:uid="{00000000-0005-0000-0000-00001A1A0000}"/>
    <cellStyle name="Normal 12 2 2 2 3 2 3" xfId="7062" xr:uid="{00000000-0005-0000-0000-00001B1A0000}"/>
    <cellStyle name="Normal 12 2 2 2 3 2 3 2" xfId="7063" xr:uid="{00000000-0005-0000-0000-00001C1A0000}"/>
    <cellStyle name="Normal 12 2 2 2 3 2 3 2 2" xfId="7064" xr:uid="{00000000-0005-0000-0000-00001D1A0000}"/>
    <cellStyle name="Normal 12 2 2 2 3 2 3 2 3" xfId="7065" xr:uid="{00000000-0005-0000-0000-00001E1A0000}"/>
    <cellStyle name="Normal 12 2 2 2 3 2 3 2 4" xfId="7066" xr:uid="{00000000-0005-0000-0000-00001F1A0000}"/>
    <cellStyle name="Normal 12 2 2 2 3 2 3 2 5" xfId="7067" xr:uid="{00000000-0005-0000-0000-0000201A0000}"/>
    <cellStyle name="Normal 12 2 2 2 3 2 3 3" xfId="7068" xr:uid="{00000000-0005-0000-0000-0000211A0000}"/>
    <cellStyle name="Normal 12 2 2 2 3 2 3 4" xfId="7069" xr:uid="{00000000-0005-0000-0000-0000221A0000}"/>
    <cellStyle name="Normal 12 2 2 2 3 2 3 5" xfId="7070" xr:uid="{00000000-0005-0000-0000-0000231A0000}"/>
    <cellStyle name="Normal 12 2 2 2 3 2 3 6" xfId="7071" xr:uid="{00000000-0005-0000-0000-0000241A0000}"/>
    <cellStyle name="Normal 12 2 2 2 3 2 3 7" xfId="7072" xr:uid="{00000000-0005-0000-0000-0000251A0000}"/>
    <cellStyle name="Normal 12 2 2 2 3 2 3 8" xfId="7073" xr:uid="{00000000-0005-0000-0000-0000261A0000}"/>
    <cellStyle name="Normal 12 2 2 2 3 2 4" xfId="7074" xr:uid="{00000000-0005-0000-0000-0000271A0000}"/>
    <cellStyle name="Normal 12 2 2 2 3 2 4 2" xfId="7075" xr:uid="{00000000-0005-0000-0000-0000281A0000}"/>
    <cellStyle name="Normal 12 2 2 2 3 2 4 3" xfId="7076" xr:uid="{00000000-0005-0000-0000-0000291A0000}"/>
    <cellStyle name="Normal 12 2 2 2 3 2 4 4" xfId="7077" xr:uid="{00000000-0005-0000-0000-00002A1A0000}"/>
    <cellStyle name="Normal 12 2 2 2 3 2 4 5" xfId="7078" xr:uid="{00000000-0005-0000-0000-00002B1A0000}"/>
    <cellStyle name="Normal 12 2 2 2 3 2 5" xfId="7079" xr:uid="{00000000-0005-0000-0000-00002C1A0000}"/>
    <cellStyle name="Normal 12 2 2 2 3 2 6" xfId="7080" xr:uid="{00000000-0005-0000-0000-00002D1A0000}"/>
    <cellStyle name="Normal 12 2 2 2 3 2 7" xfId="7081" xr:uid="{00000000-0005-0000-0000-00002E1A0000}"/>
    <cellStyle name="Normal 12 2 2 2 3 2 8" xfId="7082" xr:uid="{00000000-0005-0000-0000-00002F1A0000}"/>
    <cellStyle name="Normal 12 2 2 2 3 2 9" xfId="7083" xr:uid="{00000000-0005-0000-0000-0000301A0000}"/>
    <cellStyle name="Normal 12 2 2 2 3 3" xfId="7084" xr:uid="{00000000-0005-0000-0000-0000311A0000}"/>
    <cellStyle name="Normal 12 2 2 2 3 3 2" xfId="7085" xr:uid="{00000000-0005-0000-0000-0000321A0000}"/>
    <cellStyle name="Normal 12 2 2 2 3 3 2 2" xfId="7086" xr:uid="{00000000-0005-0000-0000-0000331A0000}"/>
    <cellStyle name="Normal 12 2 2 2 3 3 2 3" xfId="7087" xr:uid="{00000000-0005-0000-0000-0000341A0000}"/>
    <cellStyle name="Normal 12 2 2 2 3 3 2 4" xfId="7088" xr:uid="{00000000-0005-0000-0000-0000351A0000}"/>
    <cellStyle name="Normal 12 2 2 2 3 3 2 5" xfId="7089" xr:uid="{00000000-0005-0000-0000-0000361A0000}"/>
    <cellStyle name="Normal 12 2 2 2 3 3 3" xfId="7090" xr:uid="{00000000-0005-0000-0000-0000371A0000}"/>
    <cellStyle name="Normal 12 2 2 2 3 3 4" xfId="7091" xr:uid="{00000000-0005-0000-0000-0000381A0000}"/>
    <cellStyle name="Normal 12 2 2 2 3 3 5" xfId="7092" xr:uid="{00000000-0005-0000-0000-0000391A0000}"/>
    <cellStyle name="Normal 12 2 2 2 3 3 6" xfId="7093" xr:uid="{00000000-0005-0000-0000-00003A1A0000}"/>
    <cellStyle name="Normal 12 2 2 2 3 3 7" xfId="7094" xr:uid="{00000000-0005-0000-0000-00003B1A0000}"/>
    <cellStyle name="Normal 12 2 2 2 3 3 8" xfId="7095" xr:uid="{00000000-0005-0000-0000-00003C1A0000}"/>
    <cellStyle name="Normal 12 2 2 2 3 4" xfId="7096" xr:uid="{00000000-0005-0000-0000-00003D1A0000}"/>
    <cellStyle name="Normal 12 2 2 2 3 4 2" xfId="7097" xr:uid="{00000000-0005-0000-0000-00003E1A0000}"/>
    <cellStyle name="Normal 12 2 2 2 3 4 2 2" xfId="7098" xr:uid="{00000000-0005-0000-0000-00003F1A0000}"/>
    <cellStyle name="Normal 12 2 2 2 3 4 2 3" xfId="7099" xr:uid="{00000000-0005-0000-0000-0000401A0000}"/>
    <cellStyle name="Normal 12 2 2 2 3 4 2 4" xfId="7100" xr:uid="{00000000-0005-0000-0000-0000411A0000}"/>
    <cellStyle name="Normal 12 2 2 2 3 4 2 5" xfId="7101" xr:uid="{00000000-0005-0000-0000-0000421A0000}"/>
    <cellStyle name="Normal 12 2 2 2 3 4 3" xfId="7102" xr:uid="{00000000-0005-0000-0000-0000431A0000}"/>
    <cellStyle name="Normal 12 2 2 2 3 4 4" xfId="7103" xr:uid="{00000000-0005-0000-0000-0000441A0000}"/>
    <cellStyle name="Normal 12 2 2 2 3 4 5" xfId="7104" xr:uid="{00000000-0005-0000-0000-0000451A0000}"/>
    <cellStyle name="Normal 12 2 2 2 3 4 6" xfId="7105" xr:uid="{00000000-0005-0000-0000-0000461A0000}"/>
    <cellStyle name="Normal 12 2 2 2 3 4 7" xfId="7106" xr:uid="{00000000-0005-0000-0000-0000471A0000}"/>
    <cellStyle name="Normal 12 2 2 2 3 4 8" xfId="7107" xr:uid="{00000000-0005-0000-0000-0000481A0000}"/>
    <cellStyle name="Normal 12 2 2 2 3 5" xfId="7108" xr:uid="{00000000-0005-0000-0000-0000491A0000}"/>
    <cellStyle name="Normal 12 2 2 2 3 5 2" xfId="7109" xr:uid="{00000000-0005-0000-0000-00004A1A0000}"/>
    <cellStyle name="Normal 12 2 2 2 3 5 3" xfId="7110" xr:uid="{00000000-0005-0000-0000-00004B1A0000}"/>
    <cellStyle name="Normal 12 2 2 2 3 5 4" xfId="7111" xr:uid="{00000000-0005-0000-0000-00004C1A0000}"/>
    <cellStyle name="Normal 12 2 2 2 3 5 5" xfId="7112" xr:uid="{00000000-0005-0000-0000-00004D1A0000}"/>
    <cellStyle name="Normal 12 2 2 2 3 6" xfId="7113" xr:uid="{00000000-0005-0000-0000-00004E1A0000}"/>
    <cellStyle name="Normal 12 2 2 2 3 7" xfId="7114" xr:uid="{00000000-0005-0000-0000-00004F1A0000}"/>
    <cellStyle name="Normal 12 2 2 2 3 8" xfId="7115" xr:uid="{00000000-0005-0000-0000-0000501A0000}"/>
    <cellStyle name="Normal 12 2 2 2 3 9" xfId="7116" xr:uid="{00000000-0005-0000-0000-0000511A0000}"/>
    <cellStyle name="Normal 12 2 2 2 4" xfId="7117" xr:uid="{00000000-0005-0000-0000-0000521A0000}"/>
    <cellStyle name="Normal 12 2 2 2 4 10" xfId="7118" xr:uid="{00000000-0005-0000-0000-0000531A0000}"/>
    <cellStyle name="Normal 12 2 2 2 4 2" xfId="7119" xr:uid="{00000000-0005-0000-0000-0000541A0000}"/>
    <cellStyle name="Normal 12 2 2 2 4 2 2" xfId="7120" xr:uid="{00000000-0005-0000-0000-0000551A0000}"/>
    <cellStyle name="Normal 12 2 2 2 4 2 2 2" xfId="7121" xr:uid="{00000000-0005-0000-0000-0000561A0000}"/>
    <cellStyle name="Normal 12 2 2 2 4 2 2 3" xfId="7122" xr:uid="{00000000-0005-0000-0000-0000571A0000}"/>
    <cellStyle name="Normal 12 2 2 2 4 2 2 4" xfId="7123" xr:uid="{00000000-0005-0000-0000-0000581A0000}"/>
    <cellStyle name="Normal 12 2 2 2 4 2 2 5" xfId="7124" xr:uid="{00000000-0005-0000-0000-0000591A0000}"/>
    <cellStyle name="Normal 12 2 2 2 4 2 3" xfId="7125" xr:uid="{00000000-0005-0000-0000-00005A1A0000}"/>
    <cellStyle name="Normal 12 2 2 2 4 2 4" xfId="7126" xr:uid="{00000000-0005-0000-0000-00005B1A0000}"/>
    <cellStyle name="Normal 12 2 2 2 4 2 5" xfId="7127" xr:uid="{00000000-0005-0000-0000-00005C1A0000}"/>
    <cellStyle name="Normal 12 2 2 2 4 2 6" xfId="7128" xr:uid="{00000000-0005-0000-0000-00005D1A0000}"/>
    <cellStyle name="Normal 12 2 2 2 4 2 7" xfId="7129" xr:uid="{00000000-0005-0000-0000-00005E1A0000}"/>
    <cellStyle name="Normal 12 2 2 2 4 2 8" xfId="7130" xr:uid="{00000000-0005-0000-0000-00005F1A0000}"/>
    <cellStyle name="Normal 12 2 2 2 4 3" xfId="7131" xr:uid="{00000000-0005-0000-0000-0000601A0000}"/>
    <cellStyle name="Normal 12 2 2 2 4 3 2" xfId="7132" xr:uid="{00000000-0005-0000-0000-0000611A0000}"/>
    <cellStyle name="Normal 12 2 2 2 4 3 2 2" xfId="7133" xr:uid="{00000000-0005-0000-0000-0000621A0000}"/>
    <cellStyle name="Normal 12 2 2 2 4 3 2 3" xfId="7134" xr:uid="{00000000-0005-0000-0000-0000631A0000}"/>
    <cellStyle name="Normal 12 2 2 2 4 3 2 4" xfId="7135" xr:uid="{00000000-0005-0000-0000-0000641A0000}"/>
    <cellStyle name="Normal 12 2 2 2 4 3 2 5" xfId="7136" xr:uid="{00000000-0005-0000-0000-0000651A0000}"/>
    <cellStyle name="Normal 12 2 2 2 4 3 3" xfId="7137" xr:uid="{00000000-0005-0000-0000-0000661A0000}"/>
    <cellStyle name="Normal 12 2 2 2 4 3 4" xfId="7138" xr:uid="{00000000-0005-0000-0000-0000671A0000}"/>
    <cellStyle name="Normal 12 2 2 2 4 3 5" xfId="7139" xr:uid="{00000000-0005-0000-0000-0000681A0000}"/>
    <cellStyle name="Normal 12 2 2 2 4 3 6" xfId="7140" xr:uid="{00000000-0005-0000-0000-0000691A0000}"/>
    <cellStyle name="Normal 12 2 2 2 4 3 7" xfId="7141" xr:uid="{00000000-0005-0000-0000-00006A1A0000}"/>
    <cellStyle name="Normal 12 2 2 2 4 3 8" xfId="7142" xr:uid="{00000000-0005-0000-0000-00006B1A0000}"/>
    <cellStyle name="Normal 12 2 2 2 4 4" xfId="7143" xr:uid="{00000000-0005-0000-0000-00006C1A0000}"/>
    <cellStyle name="Normal 12 2 2 2 4 4 2" xfId="7144" xr:uid="{00000000-0005-0000-0000-00006D1A0000}"/>
    <cellStyle name="Normal 12 2 2 2 4 4 3" xfId="7145" xr:uid="{00000000-0005-0000-0000-00006E1A0000}"/>
    <cellStyle name="Normal 12 2 2 2 4 4 4" xfId="7146" xr:uid="{00000000-0005-0000-0000-00006F1A0000}"/>
    <cellStyle name="Normal 12 2 2 2 4 4 5" xfId="7147" xr:uid="{00000000-0005-0000-0000-0000701A0000}"/>
    <cellStyle name="Normal 12 2 2 2 4 5" xfId="7148" xr:uid="{00000000-0005-0000-0000-0000711A0000}"/>
    <cellStyle name="Normal 12 2 2 2 4 6" xfId="7149" xr:uid="{00000000-0005-0000-0000-0000721A0000}"/>
    <cellStyle name="Normal 12 2 2 2 4 7" xfId="7150" xr:uid="{00000000-0005-0000-0000-0000731A0000}"/>
    <cellStyle name="Normal 12 2 2 2 4 8" xfId="7151" xr:uid="{00000000-0005-0000-0000-0000741A0000}"/>
    <cellStyle name="Normal 12 2 2 2 4 9" xfId="7152" xr:uid="{00000000-0005-0000-0000-0000751A0000}"/>
    <cellStyle name="Normal 12 2 2 2 5" xfId="7153" xr:uid="{00000000-0005-0000-0000-0000761A0000}"/>
    <cellStyle name="Normal 12 2 2 2 5 2" xfId="7154" xr:uid="{00000000-0005-0000-0000-0000771A0000}"/>
    <cellStyle name="Normal 12 2 2 2 5 2 2" xfId="7155" xr:uid="{00000000-0005-0000-0000-0000781A0000}"/>
    <cellStyle name="Normal 12 2 2 2 5 2 3" xfId="7156" xr:uid="{00000000-0005-0000-0000-0000791A0000}"/>
    <cellStyle name="Normal 12 2 2 2 5 2 4" xfId="7157" xr:uid="{00000000-0005-0000-0000-00007A1A0000}"/>
    <cellStyle name="Normal 12 2 2 2 5 2 5" xfId="7158" xr:uid="{00000000-0005-0000-0000-00007B1A0000}"/>
    <cellStyle name="Normal 12 2 2 2 5 3" xfId="7159" xr:uid="{00000000-0005-0000-0000-00007C1A0000}"/>
    <cellStyle name="Normal 12 2 2 2 5 4" xfId="7160" xr:uid="{00000000-0005-0000-0000-00007D1A0000}"/>
    <cellStyle name="Normal 12 2 2 2 5 5" xfId="7161" xr:uid="{00000000-0005-0000-0000-00007E1A0000}"/>
    <cellStyle name="Normal 12 2 2 2 5 6" xfId="7162" xr:uid="{00000000-0005-0000-0000-00007F1A0000}"/>
    <cellStyle name="Normal 12 2 2 2 5 7" xfId="7163" xr:uid="{00000000-0005-0000-0000-0000801A0000}"/>
    <cellStyle name="Normal 12 2 2 2 5 8" xfId="7164" xr:uid="{00000000-0005-0000-0000-0000811A0000}"/>
    <cellStyle name="Normal 12 2 2 2 6" xfId="7165" xr:uid="{00000000-0005-0000-0000-0000821A0000}"/>
    <cellStyle name="Normal 12 2 2 2 6 2" xfId="7166" xr:uid="{00000000-0005-0000-0000-0000831A0000}"/>
    <cellStyle name="Normal 12 2 2 2 6 2 2" xfId="7167" xr:uid="{00000000-0005-0000-0000-0000841A0000}"/>
    <cellStyle name="Normal 12 2 2 2 6 2 3" xfId="7168" xr:uid="{00000000-0005-0000-0000-0000851A0000}"/>
    <cellStyle name="Normal 12 2 2 2 6 2 4" xfId="7169" xr:uid="{00000000-0005-0000-0000-0000861A0000}"/>
    <cellStyle name="Normal 12 2 2 2 6 2 5" xfId="7170" xr:uid="{00000000-0005-0000-0000-0000871A0000}"/>
    <cellStyle name="Normal 12 2 2 2 6 3" xfId="7171" xr:uid="{00000000-0005-0000-0000-0000881A0000}"/>
    <cellStyle name="Normal 12 2 2 2 6 4" xfId="7172" xr:uid="{00000000-0005-0000-0000-0000891A0000}"/>
    <cellStyle name="Normal 12 2 2 2 6 5" xfId="7173" xr:uid="{00000000-0005-0000-0000-00008A1A0000}"/>
    <cellStyle name="Normal 12 2 2 2 6 6" xfId="7174" xr:uid="{00000000-0005-0000-0000-00008B1A0000}"/>
    <cellStyle name="Normal 12 2 2 2 6 7" xfId="7175" xr:uid="{00000000-0005-0000-0000-00008C1A0000}"/>
    <cellStyle name="Normal 12 2 2 2 6 8" xfId="7176" xr:uid="{00000000-0005-0000-0000-00008D1A0000}"/>
    <cellStyle name="Normal 12 2 2 2 7" xfId="7177" xr:uid="{00000000-0005-0000-0000-00008E1A0000}"/>
    <cellStyle name="Normal 12 2 2 2 7 2" xfId="7178" xr:uid="{00000000-0005-0000-0000-00008F1A0000}"/>
    <cellStyle name="Normal 12 2 2 2 7 3" xfId="7179" xr:uid="{00000000-0005-0000-0000-0000901A0000}"/>
    <cellStyle name="Normal 12 2 2 2 7 4" xfId="7180" xr:uid="{00000000-0005-0000-0000-0000911A0000}"/>
    <cellStyle name="Normal 12 2 2 2 7 5" xfId="7181" xr:uid="{00000000-0005-0000-0000-0000921A0000}"/>
    <cellStyle name="Normal 12 2 2 2 8" xfId="7182" xr:uid="{00000000-0005-0000-0000-0000931A0000}"/>
    <cellStyle name="Normal 12 2 2 2 9" xfId="7183" xr:uid="{00000000-0005-0000-0000-0000941A0000}"/>
    <cellStyle name="Normal 12 2 2 20" xfId="7184" xr:uid="{00000000-0005-0000-0000-0000951A0000}"/>
    <cellStyle name="Normal 12 2 2 3" xfId="7185" xr:uid="{00000000-0005-0000-0000-0000961A0000}"/>
    <cellStyle name="Normal 12 2 2 3 10" xfId="7186" xr:uid="{00000000-0005-0000-0000-0000971A0000}"/>
    <cellStyle name="Normal 12 2 2 3 11" xfId="7187" xr:uid="{00000000-0005-0000-0000-0000981A0000}"/>
    <cellStyle name="Normal 12 2 2 3 12" xfId="7188" xr:uid="{00000000-0005-0000-0000-0000991A0000}"/>
    <cellStyle name="Normal 12 2 2 3 13" xfId="7189" xr:uid="{00000000-0005-0000-0000-00009A1A0000}"/>
    <cellStyle name="Normal 12 2 2 3 2" xfId="7190" xr:uid="{00000000-0005-0000-0000-00009B1A0000}"/>
    <cellStyle name="Normal 12 2 2 3 2 10" xfId="7191" xr:uid="{00000000-0005-0000-0000-00009C1A0000}"/>
    <cellStyle name="Normal 12 2 2 3 2 11" xfId="7192" xr:uid="{00000000-0005-0000-0000-00009D1A0000}"/>
    <cellStyle name="Normal 12 2 2 3 2 2" xfId="7193" xr:uid="{00000000-0005-0000-0000-00009E1A0000}"/>
    <cellStyle name="Normal 12 2 2 3 2 2 10" xfId="7194" xr:uid="{00000000-0005-0000-0000-00009F1A0000}"/>
    <cellStyle name="Normal 12 2 2 3 2 2 2" xfId="7195" xr:uid="{00000000-0005-0000-0000-0000A01A0000}"/>
    <cellStyle name="Normal 12 2 2 3 2 2 2 2" xfId="7196" xr:uid="{00000000-0005-0000-0000-0000A11A0000}"/>
    <cellStyle name="Normal 12 2 2 3 2 2 2 2 2" xfId="7197" xr:uid="{00000000-0005-0000-0000-0000A21A0000}"/>
    <cellStyle name="Normal 12 2 2 3 2 2 2 2 3" xfId="7198" xr:uid="{00000000-0005-0000-0000-0000A31A0000}"/>
    <cellStyle name="Normal 12 2 2 3 2 2 2 2 4" xfId="7199" xr:uid="{00000000-0005-0000-0000-0000A41A0000}"/>
    <cellStyle name="Normal 12 2 2 3 2 2 2 2 5" xfId="7200" xr:uid="{00000000-0005-0000-0000-0000A51A0000}"/>
    <cellStyle name="Normal 12 2 2 3 2 2 2 3" xfId="7201" xr:uid="{00000000-0005-0000-0000-0000A61A0000}"/>
    <cellStyle name="Normal 12 2 2 3 2 2 2 4" xfId="7202" xr:uid="{00000000-0005-0000-0000-0000A71A0000}"/>
    <cellStyle name="Normal 12 2 2 3 2 2 2 5" xfId="7203" xr:uid="{00000000-0005-0000-0000-0000A81A0000}"/>
    <cellStyle name="Normal 12 2 2 3 2 2 2 6" xfId="7204" xr:uid="{00000000-0005-0000-0000-0000A91A0000}"/>
    <cellStyle name="Normal 12 2 2 3 2 2 2 7" xfId="7205" xr:uid="{00000000-0005-0000-0000-0000AA1A0000}"/>
    <cellStyle name="Normal 12 2 2 3 2 2 2 8" xfId="7206" xr:uid="{00000000-0005-0000-0000-0000AB1A0000}"/>
    <cellStyle name="Normal 12 2 2 3 2 2 3" xfId="7207" xr:uid="{00000000-0005-0000-0000-0000AC1A0000}"/>
    <cellStyle name="Normal 12 2 2 3 2 2 3 2" xfId="7208" xr:uid="{00000000-0005-0000-0000-0000AD1A0000}"/>
    <cellStyle name="Normal 12 2 2 3 2 2 3 2 2" xfId="7209" xr:uid="{00000000-0005-0000-0000-0000AE1A0000}"/>
    <cellStyle name="Normal 12 2 2 3 2 2 3 2 3" xfId="7210" xr:uid="{00000000-0005-0000-0000-0000AF1A0000}"/>
    <cellStyle name="Normal 12 2 2 3 2 2 3 2 4" xfId="7211" xr:uid="{00000000-0005-0000-0000-0000B01A0000}"/>
    <cellStyle name="Normal 12 2 2 3 2 2 3 2 5" xfId="7212" xr:uid="{00000000-0005-0000-0000-0000B11A0000}"/>
    <cellStyle name="Normal 12 2 2 3 2 2 3 3" xfId="7213" xr:uid="{00000000-0005-0000-0000-0000B21A0000}"/>
    <cellStyle name="Normal 12 2 2 3 2 2 3 4" xfId="7214" xr:uid="{00000000-0005-0000-0000-0000B31A0000}"/>
    <cellStyle name="Normal 12 2 2 3 2 2 3 5" xfId="7215" xr:uid="{00000000-0005-0000-0000-0000B41A0000}"/>
    <cellStyle name="Normal 12 2 2 3 2 2 3 6" xfId="7216" xr:uid="{00000000-0005-0000-0000-0000B51A0000}"/>
    <cellStyle name="Normal 12 2 2 3 2 2 3 7" xfId="7217" xr:uid="{00000000-0005-0000-0000-0000B61A0000}"/>
    <cellStyle name="Normal 12 2 2 3 2 2 3 8" xfId="7218" xr:uid="{00000000-0005-0000-0000-0000B71A0000}"/>
    <cellStyle name="Normal 12 2 2 3 2 2 4" xfId="7219" xr:uid="{00000000-0005-0000-0000-0000B81A0000}"/>
    <cellStyle name="Normal 12 2 2 3 2 2 4 2" xfId="7220" xr:uid="{00000000-0005-0000-0000-0000B91A0000}"/>
    <cellStyle name="Normal 12 2 2 3 2 2 4 3" xfId="7221" xr:uid="{00000000-0005-0000-0000-0000BA1A0000}"/>
    <cellStyle name="Normal 12 2 2 3 2 2 4 4" xfId="7222" xr:uid="{00000000-0005-0000-0000-0000BB1A0000}"/>
    <cellStyle name="Normal 12 2 2 3 2 2 4 5" xfId="7223" xr:uid="{00000000-0005-0000-0000-0000BC1A0000}"/>
    <cellStyle name="Normal 12 2 2 3 2 2 5" xfId="7224" xr:uid="{00000000-0005-0000-0000-0000BD1A0000}"/>
    <cellStyle name="Normal 12 2 2 3 2 2 6" xfId="7225" xr:uid="{00000000-0005-0000-0000-0000BE1A0000}"/>
    <cellStyle name="Normal 12 2 2 3 2 2 7" xfId="7226" xr:uid="{00000000-0005-0000-0000-0000BF1A0000}"/>
    <cellStyle name="Normal 12 2 2 3 2 2 8" xfId="7227" xr:uid="{00000000-0005-0000-0000-0000C01A0000}"/>
    <cellStyle name="Normal 12 2 2 3 2 2 9" xfId="7228" xr:uid="{00000000-0005-0000-0000-0000C11A0000}"/>
    <cellStyle name="Normal 12 2 2 3 2 3" xfId="7229" xr:uid="{00000000-0005-0000-0000-0000C21A0000}"/>
    <cellStyle name="Normal 12 2 2 3 2 3 2" xfId="7230" xr:uid="{00000000-0005-0000-0000-0000C31A0000}"/>
    <cellStyle name="Normal 12 2 2 3 2 3 2 2" xfId="7231" xr:uid="{00000000-0005-0000-0000-0000C41A0000}"/>
    <cellStyle name="Normal 12 2 2 3 2 3 2 3" xfId="7232" xr:uid="{00000000-0005-0000-0000-0000C51A0000}"/>
    <cellStyle name="Normal 12 2 2 3 2 3 2 4" xfId="7233" xr:uid="{00000000-0005-0000-0000-0000C61A0000}"/>
    <cellStyle name="Normal 12 2 2 3 2 3 2 5" xfId="7234" xr:uid="{00000000-0005-0000-0000-0000C71A0000}"/>
    <cellStyle name="Normal 12 2 2 3 2 3 3" xfId="7235" xr:uid="{00000000-0005-0000-0000-0000C81A0000}"/>
    <cellStyle name="Normal 12 2 2 3 2 3 4" xfId="7236" xr:uid="{00000000-0005-0000-0000-0000C91A0000}"/>
    <cellStyle name="Normal 12 2 2 3 2 3 5" xfId="7237" xr:uid="{00000000-0005-0000-0000-0000CA1A0000}"/>
    <cellStyle name="Normal 12 2 2 3 2 3 6" xfId="7238" xr:uid="{00000000-0005-0000-0000-0000CB1A0000}"/>
    <cellStyle name="Normal 12 2 2 3 2 3 7" xfId="7239" xr:uid="{00000000-0005-0000-0000-0000CC1A0000}"/>
    <cellStyle name="Normal 12 2 2 3 2 3 8" xfId="7240" xr:uid="{00000000-0005-0000-0000-0000CD1A0000}"/>
    <cellStyle name="Normal 12 2 2 3 2 4" xfId="7241" xr:uid="{00000000-0005-0000-0000-0000CE1A0000}"/>
    <cellStyle name="Normal 12 2 2 3 2 4 2" xfId="7242" xr:uid="{00000000-0005-0000-0000-0000CF1A0000}"/>
    <cellStyle name="Normal 12 2 2 3 2 4 2 2" xfId="7243" xr:uid="{00000000-0005-0000-0000-0000D01A0000}"/>
    <cellStyle name="Normal 12 2 2 3 2 4 2 3" xfId="7244" xr:uid="{00000000-0005-0000-0000-0000D11A0000}"/>
    <cellStyle name="Normal 12 2 2 3 2 4 2 4" xfId="7245" xr:uid="{00000000-0005-0000-0000-0000D21A0000}"/>
    <cellStyle name="Normal 12 2 2 3 2 4 2 5" xfId="7246" xr:uid="{00000000-0005-0000-0000-0000D31A0000}"/>
    <cellStyle name="Normal 12 2 2 3 2 4 3" xfId="7247" xr:uid="{00000000-0005-0000-0000-0000D41A0000}"/>
    <cellStyle name="Normal 12 2 2 3 2 4 4" xfId="7248" xr:uid="{00000000-0005-0000-0000-0000D51A0000}"/>
    <cellStyle name="Normal 12 2 2 3 2 4 5" xfId="7249" xr:uid="{00000000-0005-0000-0000-0000D61A0000}"/>
    <cellStyle name="Normal 12 2 2 3 2 4 6" xfId="7250" xr:uid="{00000000-0005-0000-0000-0000D71A0000}"/>
    <cellStyle name="Normal 12 2 2 3 2 4 7" xfId="7251" xr:uid="{00000000-0005-0000-0000-0000D81A0000}"/>
    <cellStyle name="Normal 12 2 2 3 2 4 8" xfId="7252" xr:uid="{00000000-0005-0000-0000-0000D91A0000}"/>
    <cellStyle name="Normal 12 2 2 3 2 5" xfId="7253" xr:uid="{00000000-0005-0000-0000-0000DA1A0000}"/>
    <cellStyle name="Normal 12 2 2 3 2 5 2" xfId="7254" xr:uid="{00000000-0005-0000-0000-0000DB1A0000}"/>
    <cellStyle name="Normal 12 2 2 3 2 5 3" xfId="7255" xr:uid="{00000000-0005-0000-0000-0000DC1A0000}"/>
    <cellStyle name="Normal 12 2 2 3 2 5 4" xfId="7256" xr:uid="{00000000-0005-0000-0000-0000DD1A0000}"/>
    <cellStyle name="Normal 12 2 2 3 2 5 5" xfId="7257" xr:uid="{00000000-0005-0000-0000-0000DE1A0000}"/>
    <cellStyle name="Normal 12 2 2 3 2 6" xfId="7258" xr:uid="{00000000-0005-0000-0000-0000DF1A0000}"/>
    <cellStyle name="Normal 12 2 2 3 2 7" xfId="7259" xr:uid="{00000000-0005-0000-0000-0000E01A0000}"/>
    <cellStyle name="Normal 12 2 2 3 2 8" xfId="7260" xr:uid="{00000000-0005-0000-0000-0000E11A0000}"/>
    <cellStyle name="Normal 12 2 2 3 2 9" xfId="7261" xr:uid="{00000000-0005-0000-0000-0000E21A0000}"/>
    <cellStyle name="Normal 12 2 2 3 3" xfId="7262" xr:uid="{00000000-0005-0000-0000-0000E31A0000}"/>
    <cellStyle name="Normal 12 2 2 3 3 10" xfId="7263" xr:uid="{00000000-0005-0000-0000-0000E41A0000}"/>
    <cellStyle name="Normal 12 2 2 3 3 11" xfId="7264" xr:uid="{00000000-0005-0000-0000-0000E51A0000}"/>
    <cellStyle name="Normal 12 2 2 3 3 2" xfId="7265" xr:uid="{00000000-0005-0000-0000-0000E61A0000}"/>
    <cellStyle name="Normal 12 2 2 3 3 2 10" xfId="7266" xr:uid="{00000000-0005-0000-0000-0000E71A0000}"/>
    <cellStyle name="Normal 12 2 2 3 3 2 2" xfId="7267" xr:uid="{00000000-0005-0000-0000-0000E81A0000}"/>
    <cellStyle name="Normal 12 2 2 3 3 2 2 2" xfId="7268" xr:uid="{00000000-0005-0000-0000-0000E91A0000}"/>
    <cellStyle name="Normal 12 2 2 3 3 2 2 2 2" xfId="7269" xr:uid="{00000000-0005-0000-0000-0000EA1A0000}"/>
    <cellStyle name="Normal 12 2 2 3 3 2 2 2 3" xfId="7270" xr:uid="{00000000-0005-0000-0000-0000EB1A0000}"/>
    <cellStyle name="Normal 12 2 2 3 3 2 2 2 4" xfId="7271" xr:uid="{00000000-0005-0000-0000-0000EC1A0000}"/>
    <cellStyle name="Normal 12 2 2 3 3 2 2 2 5" xfId="7272" xr:uid="{00000000-0005-0000-0000-0000ED1A0000}"/>
    <cellStyle name="Normal 12 2 2 3 3 2 2 3" xfId="7273" xr:uid="{00000000-0005-0000-0000-0000EE1A0000}"/>
    <cellStyle name="Normal 12 2 2 3 3 2 2 4" xfId="7274" xr:uid="{00000000-0005-0000-0000-0000EF1A0000}"/>
    <cellStyle name="Normal 12 2 2 3 3 2 2 5" xfId="7275" xr:uid="{00000000-0005-0000-0000-0000F01A0000}"/>
    <cellStyle name="Normal 12 2 2 3 3 2 2 6" xfId="7276" xr:uid="{00000000-0005-0000-0000-0000F11A0000}"/>
    <cellStyle name="Normal 12 2 2 3 3 2 2 7" xfId="7277" xr:uid="{00000000-0005-0000-0000-0000F21A0000}"/>
    <cellStyle name="Normal 12 2 2 3 3 2 2 8" xfId="7278" xr:uid="{00000000-0005-0000-0000-0000F31A0000}"/>
    <cellStyle name="Normal 12 2 2 3 3 2 3" xfId="7279" xr:uid="{00000000-0005-0000-0000-0000F41A0000}"/>
    <cellStyle name="Normal 12 2 2 3 3 2 3 2" xfId="7280" xr:uid="{00000000-0005-0000-0000-0000F51A0000}"/>
    <cellStyle name="Normal 12 2 2 3 3 2 3 2 2" xfId="7281" xr:uid="{00000000-0005-0000-0000-0000F61A0000}"/>
    <cellStyle name="Normal 12 2 2 3 3 2 3 2 3" xfId="7282" xr:uid="{00000000-0005-0000-0000-0000F71A0000}"/>
    <cellStyle name="Normal 12 2 2 3 3 2 3 2 4" xfId="7283" xr:uid="{00000000-0005-0000-0000-0000F81A0000}"/>
    <cellStyle name="Normal 12 2 2 3 3 2 3 2 5" xfId="7284" xr:uid="{00000000-0005-0000-0000-0000F91A0000}"/>
    <cellStyle name="Normal 12 2 2 3 3 2 3 3" xfId="7285" xr:uid="{00000000-0005-0000-0000-0000FA1A0000}"/>
    <cellStyle name="Normal 12 2 2 3 3 2 3 4" xfId="7286" xr:uid="{00000000-0005-0000-0000-0000FB1A0000}"/>
    <cellStyle name="Normal 12 2 2 3 3 2 3 5" xfId="7287" xr:uid="{00000000-0005-0000-0000-0000FC1A0000}"/>
    <cellStyle name="Normal 12 2 2 3 3 2 3 6" xfId="7288" xr:uid="{00000000-0005-0000-0000-0000FD1A0000}"/>
    <cellStyle name="Normal 12 2 2 3 3 2 3 7" xfId="7289" xr:uid="{00000000-0005-0000-0000-0000FE1A0000}"/>
    <cellStyle name="Normal 12 2 2 3 3 2 3 8" xfId="7290" xr:uid="{00000000-0005-0000-0000-0000FF1A0000}"/>
    <cellStyle name="Normal 12 2 2 3 3 2 4" xfId="7291" xr:uid="{00000000-0005-0000-0000-0000001B0000}"/>
    <cellStyle name="Normal 12 2 2 3 3 2 4 2" xfId="7292" xr:uid="{00000000-0005-0000-0000-0000011B0000}"/>
    <cellStyle name="Normal 12 2 2 3 3 2 4 3" xfId="7293" xr:uid="{00000000-0005-0000-0000-0000021B0000}"/>
    <cellStyle name="Normal 12 2 2 3 3 2 4 4" xfId="7294" xr:uid="{00000000-0005-0000-0000-0000031B0000}"/>
    <cellStyle name="Normal 12 2 2 3 3 2 4 5" xfId="7295" xr:uid="{00000000-0005-0000-0000-0000041B0000}"/>
    <cellStyle name="Normal 12 2 2 3 3 2 5" xfId="7296" xr:uid="{00000000-0005-0000-0000-0000051B0000}"/>
    <cellStyle name="Normal 12 2 2 3 3 2 6" xfId="7297" xr:uid="{00000000-0005-0000-0000-0000061B0000}"/>
    <cellStyle name="Normal 12 2 2 3 3 2 7" xfId="7298" xr:uid="{00000000-0005-0000-0000-0000071B0000}"/>
    <cellStyle name="Normal 12 2 2 3 3 2 8" xfId="7299" xr:uid="{00000000-0005-0000-0000-0000081B0000}"/>
    <cellStyle name="Normal 12 2 2 3 3 2 9" xfId="7300" xr:uid="{00000000-0005-0000-0000-0000091B0000}"/>
    <cellStyle name="Normal 12 2 2 3 3 3" xfId="7301" xr:uid="{00000000-0005-0000-0000-00000A1B0000}"/>
    <cellStyle name="Normal 12 2 2 3 3 3 2" xfId="7302" xr:uid="{00000000-0005-0000-0000-00000B1B0000}"/>
    <cellStyle name="Normal 12 2 2 3 3 3 2 2" xfId="7303" xr:uid="{00000000-0005-0000-0000-00000C1B0000}"/>
    <cellStyle name="Normal 12 2 2 3 3 3 2 3" xfId="7304" xr:uid="{00000000-0005-0000-0000-00000D1B0000}"/>
    <cellStyle name="Normal 12 2 2 3 3 3 2 4" xfId="7305" xr:uid="{00000000-0005-0000-0000-00000E1B0000}"/>
    <cellStyle name="Normal 12 2 2 3 3 3 2 5" xfId="7306" xr:uid="{00000000-0005-0000-0000-00000F1B0000}"/>
    <cellStyle name="Normal 12 2 2 3 3 3 3" xfId="7307" xr:uid="{00000000-0005-0000-0000-0000101B0000}"/>
    <cellStyle name="Normal 12 2 2 3 3 3 4" xfId="7308" xr:uid="{00000000-0005-0000-0000-0000111B0000}"/>
    <cellStyle name="Normal 12 2 2 3 3 3 5" xfId="7309" xr:uid="{00000000-0005-0000-0000-0000121B0000}"/>
    <cellStyle name="Normal 12 2 2 3 3 3 6" xfId="7310" xr:uid="{00000000-0005-0000-0000-0000131B0000}"/>
    <cellStyle name="Normal 12 2 2 3 3 3 7" xfId="7311" xr:uid="{00000000-0005-0000-0000-0000141B0000}"/>
    <cellStyle name="Normal 12 2 2 3 3 3 8" xfId="7312" xr:uid="{00000000-0005-0000-0000-0000151B0000}"/>
    <cellStyle name="Normal 12 2 2 3 3 4" xfId="7313" xr:uid="{00000000-0005-0000-0000-0000161B0000}"/>
    <cellStyle name="Normal 12 2 2 3 3 4 2" xfId="7314" xr:uid="{00000000-0005-0000-0000-0000171B0000}"/>
    <cellStyle name="Normal 12 2 2 3 3 4 2 2" xfId="7315" xr:uid="{00000000-0005-0000-0000-0000181B0000}"/>
    <cellStyle name="Normal 12 2 2 3 3 4 2 3" xfId="7316" xr:uid="{00000000-0005-0000-0000-0000191B0000}"/>
    <cellStyle name="Normal 12 2 2 3 3 4 2 4" xfId="7317" xr:uid="{00000000-0005-0000-0000-00001A1B0000}"/>
    <cellStyle name="Normal 12 2 2 3 3 4 2 5" xfId="7318" xr:uid="{00000000-0005-0000-0000-00001B1B0000}"/>
    <cellStyle name="Normal 12 2 2 3 3 4 3" xfId="7319" xr:uid="{00000000-0005-0000-0000-00001C1B0000}"/>
    <cellStyle name="Normal 12 2 2 3 3 4 4" xfId="7320" xr:uid="{00000000-0005-0000-0000-00001D1B0000}"/>
    <cellStyle name="Normal 12 2 2 3 3 4 5" xfId="7321" xr:uid="{00000000-0005-0000-0000-00001E1B0000}"/>
    <cellStyle name="Normal 12 2 2 3 3 4 6" xfId="7322" xr:uid="{00000000-0005-0000-0000-00001F1B0000}"/>
    <cellStyle name="Normal 12 2 2 3 3 4 7" xfId="7323" xr:uid="{00000000-0005-0000-0000-0000201B0000}"/>
    <cellStyle name="Normal 12 2 2 3 3 4 8" xfId="7324" xr:uid="{00000000-0005-0000-0000-0000211B0000}"/>
    <cellStyle name="Normal 12 2 2 3 3 5" xfId="7325" xr:uid="{00000000-0005-0000-0000-0000221B0000}"/>
    <cellStyle name="Normal 12 2 2 3 3 5 2" xfId="7326" xr:uid="{00000000-0005-0000-0000-0000231B0000}"/>
    <cellStyle name="Normal 12 2 2 3 3 5 3" xfId="7327" xr:uid="{00000000-0005-0000-0000-0000241B0000}"/>
    <cellStyle name="Normal 12 2 2 3 3 5 4" xfId="7328" xr:uid="{00000000-0005-0000-0000-0000251B0000}"/>
    <cellStyle name="Normal 12 2 2 3 3 5 5" xfId="7329" xr:uid="{00000000-0005-0000-0000-0000261B0000}"/>
    <cellStyle name="Normal 12 2 2 3 3 6" xfId="7330" xr:uid="{00000000-0005-0000-0000-0000271B0000}"/>
    <cellStyle name="Normal 12 2 2 3 3 7" xfId="7331" xr:uid="{00000000-0005-0000-0000-0000281B0000}"/>
    <cellStyle name="Normal 12 2 2 3 3 8" xfId="7332" xr:uid="{00000000-0005-0000-0000-0000291B0000}"/>
    <cellStyle name="Normal 12 2 2 3 3 9" xfId="7333" xr:uid="{00000000-0005-0000-0000-00002A1B0000}"/>
    <cellStyle name="Normal 12 2 2 3 4" xfId="7334" xr:uid="{00000000-0005-0000-0000-00002B1B0000}"/>
    <cellStyle name="Normal 12 2 2 3 4 10" xfId="7335" xr:uid="{00000000-0005-0000-0000-00002C1B0000}"/>
    <cellStyle name="Normal 12 2 2 3 4 2" xfId="7336" xr:uid="{00000000-0005-0000-0000-00002D1B0000}"/>
    <cellStyle name="Normal 12 2 2 3 4 2 2" xfId="7337" xr:uid="{00000000-0005-0000-0000-00002E1B0000}"/>
    <cellStyle name="Normal 12 2 2 3 4 2 2 2" xfId="7338" xr:uid="{00000000-0005-0000-0000-00002F1B0000}"/>
    <cellStyle name="Normal 12 2 2 3 4 2 2 3" xfId="7339" xr:uid="{00000000-0005-0000-0000-0000301B0000}"/>
    <cellStyle name="Normal 12 2 2 3 4 2 2 4" xfId="7340" xr:uid="{00000000-0005-0000-0000-0000311B0000}"/>
    <cellStyle name="Normal 12 2 2 3 4 2 2 5" xfId="7341" xr:uid="{00000000-0005-0000-0000-0000321B0000}"/>
    <cellStyle name="Normal 12 2 2 3 4 2 3" xfId="7342" xr:uid="{00000000-0005-0000-0000-0000331B0000}"/>
    <cellStyle name="Normal 12 2 2 3 4 2 4" xfId="7343" xr:uid="{00000000-0005-0000-0000-0000341B0000}"/>
    <cellStyle name="Normal 12 2 2 3 4 2 5" xfId="7344" xr:uid="{00000000-0005-0000-0000-0000351B0000}"/>
    <cellStyle name="Normal 12 2 2 3 4 2 6" xfId="7345" xr:uid="{00000000-0005-0000-0000-0000361B0000}"/>
    <cellStyle name="Normal 12 2 2 3 4 2 7" xfId="7346" xr:uid="{00000000-0005-0000-0000-0000371B0000}"/>
    <cellStyle name="Normal 12 2 2 3 4 2 8" xfId="7347" xr:uid="{00000000-0005-0000-0000-0000381B0000}"/>
    <cellStyle name="Normal 12 2 2 3 4 3" xfId="7348" xr:uid="{00000000-0005-0000-0000-0000391B0000}"/>
    <cellStyle name="Normal 12 2 2 3 4 3 2" xfId="7349" xr:uid="{00000000-0005-0000-0000-00003A1B0000}"/>
    <cellStyle name="Normal 12 2 2 3 4 3 2 2" xfId="7350" xr:uid="{00000000-0005-0000-0000-00003B1B0000}"/>
    <cellStyle name="Normal 12 2 2 3 4 3 2 3" xfId="7351" xr:uid="{00000000-0005-0000-0000-00003C1B0000}"/>
    <cellStyle name="Normal 12 2 2 3 4 3 2 4" xfId="7352" xr:uid="{00000000-0005-0000-0000-00003D1B0000}"/>
    <cellStyle name="Normal 12 2 2 3 4 3 2 5" xfId="7353" xr:uid="{00000000-0005-0000-0000-00003E1B0000}"/>
    <cellStyle name="Normal 12 2 2 3 4 3 3" xfId="7354" xr:uid="{00000000-0005-0000-0000-00003F1B0000}"/>
    <cellStyle name="Normal 12 2 2 3 4 3 4" xfId="7355" xr:uid="{00000000-0005-0000-0000-0000401B0000}"/>
    <cellStyle name="Normal 12 2 2 3 4 3 5" xfId="7356" xr:uid="{00000000-0005-0000-0000-0000411B0000}"/>
    <cellStyle name="Normal 12 2 2 3 4 3 6" xfId="7357" xr:uid="{00000000-0005-0000-0000-0000421B0000}"/>
    <cellStyle name="Normal 12 2 2 3 4 3 7" xfId="7358" xr:uid="{00000000-0005-0000-0000-0000431B0000}"/>
    <cellStyle name="Normal 12 2 2 3 4 3 8" xfId="7359" xr:uid="{00000000-0005-0000-0000-0000441B0000}"/>
    <cellStyle name="Normal 12 2 2 3 4 4" xfId="7360" xr:uid="{00000000-0005-0000-0000-0000451B0000}"/>
    <cellStyle name="Normal 12 2 2 3 4 4 2" xfId="7361" xr:uid="{00000000-0005-0000-0000-0000461B0000}"/>
    <cellStyle name="Normal 12 2 2 3 4 4 3" xfId="7362" xr:uid="{00000000-0005-0000-0000-0000471B0000}"/>
    <cellStyle name="Normal 12 2 2 3 4 4 4" xfId="7363" xr:uid="{00000000-0005-0000-0000-0000481B0000}"/>
    <cellStyle name="Normal 12 2 2 3 4 4 5" xfId="7364" xr:uid="{00000000-0005-0000-0000-0000491B0000}"/>
    <cellStyle name="Normal 12 2 2 3 4 5" xfId="7365" xr:uid="{00000000-0005-0000-0000-00004A1B0000}"/>
    <cellStyle name="Normal 12 2 2 3 4 6" xfId="7366" xr:uid="{00000000-0005-0000-0000-00004B1B0000}"/>
    <cellStyle name="Normal 12 2 2 3 4 7" xfId="7367" xr:uid="{00000000-0005-0000-0000-00004C1B0000}"/>
    <cellStyle name="Normal 12 2 2 3 4 8" xfId="7368" xr:uid="{00000000-0005-0000-0000-00004D1B0000}"/>
    <cellStyle name="Normal 12 2 2 3 4 9" xfId="7369" xr:uid="{00000000-0005-0000-0000-00004E1B0000}"/>
    <cellStyle name="Normal 12 2 2 3 5" xfId="7370" xr:uid="{00000000-0005-0000-0000-00004F1B0000}"/>
    <cellStyle name="Normal 12 2 2 3 5 2" xfId="7371" xr:uid="{00000000-0005-0000-0000-0000501B0000}"/>
    <cellStyle name="Normal 12 2 2 3 5 2 2" xfId="7372" xr:uid="{00000000-0005-0000-0000-0000511B0000}"/>
    <cellStyle name="Normal 12 2 2 3 5 2 3" xfId="7373" xr:uid="{00000000-0005-0000-0000-0000521B0000}"/>
    <cellStyle name="Normal 12 2 2 3 5 2 4" xfId="7374" xr:uid="{00000000-0005-0000-0000-0000531B0000}"/>
    <cellStyle name="Normal 12 2 2 3 5 2 5" xfId="7375" xr:uid="{00000000-0005-0000-0000-0000541B0000}"/>
    <cellStyle name="Normal 12 2 2 3 5 3" xfId="7376" xr:uid="{00000000-0005-0000-0000-0000551B0000}"/>
    <cellStyle name="Normal 12 2 2 3 5 4" xfId="7377" xr:uid="{00000000-0005-0000-0000-0000561B0000}"/>
    <cellStyle name="Normal 12 2 2 3 5 5" xfId="7378" xr:uid="{00000000-0005-0000-0000-0000571B0000}"/>
    <cellStyle name="Normal 12 2 2 3 5 6" xfId="7379" xr:uid="{00000000-0005-0000-0000-0000581B0000}"/>
    <cellStyle name="Normal 12 2 2 3 5 7" xfId="7380" xr:uid="{00000000-0005-0000-0000-0000591B0000}"/>
    <cellStyle name="Normal 12 2 2 3 5 8" xfId="7381" xr:uid="{00000000-0005-0000-0000-00005A1B0000}"/>
    <cellStyle name="Normal 12 2 2 3 6" xfId="7382" xr:uid="{00000000-0005-0000-0000-00005B1B0000}"/>
    <cellStyle name="Normal 12 2 2 3 6 2" xfId="7383" xr:uid="{00000000-0005-0000-0000-00005C1B0000}"/>
    <cellStyle name="Normal 12 2 2 3 6 2 2" xfId="7384" xr:uid="{00000000-0005-0000-0000-00005D1B0000}"/>
    <cellStyle name="Normal 12 2 2 3 6 2 3" xfId="7385" xr:uid="{00000000-0005-0000-0000-00005E1B0000}"/>
    <cellStyle name="Normal 12 2 2 3 6 2 4" xfId="7386" xr:uid="{00000000-0005-0000-0000-00005F1B0000}"/>
    <cellStyle name="Normal 12 2 2 3 6 2 5" xfId="7387" xr:uid="{00000000-0005-0000-0000-0000601B0000}"/>
    <cellStyle name="Normal 12 2 2 3 6 3" xfId="7388" xr:uid="{00000000-0005-0000-0000-0000611B0000}"/>
    <cellStyle name="Normal 12 2 2 3 6 4" xfId="7389" xr:uid="{00000000-0005-0000-0000-0000621B0000}"/>
    <cellStyle name="Normal 12 2 2 3 6 5" xfId="7390" xr:uid="{00000000-0005-0000-0000-0000631B0000}"/>
    <cellStyle name="Normal 12 2 2 3 6 6" xfId="7391" xr:uid="{00000000-0005-0000-0000-0000641B0000}"/>
    <cellStyle name="Normal 12 2 2 3 6 7" xfId="7392" xr:uid="{00000000-0005-0000-0000-0000651B0000}"/>
    <cellStyle name="Normal 12 2 2 3 6 8" xfId="7393" xr:uid="{00000000-0005-0000-0000-0000661B0000}"/>
    <cellStyle name="Normal 12 2 2 3 7" xfId="7394" xr:uid="{00000000-0005-0000-0000-0000671B0000}"/>
    <cellStyle name="Normal 12 2 2 3 7 2" xfId="7395" xr:uid="{00000000-0005-0000-0000-0000681B0000}"/>
    <cellStyle name="Normal 12 2 2 3 7 3" xfId="7396" xr:uid="{00000000-0005-0000-0000-0000691B0000}"/>
    <cellStyle name="Normal 12 2 2 3 7 4" xfId="7397" xr:uid="{00000000-0005-0000-0000-00006A1B0000}"/>
    <cellStyle name="Normal 12 2 2 3 7 5" xfId="7398" xr:uid="{00000000-0005-0000-0000-00006B1B0000}"/>
    <cellStyle name="Normal 12 2 2 3 8" xfId="7399" xr:uid="{00000000-0005-0000-0000-00006C1B0000}"/>
    <cellStyle name="Normal 12 2 2 3 9" xfId="7400" xr:uid="{00000000-0005-0000-0000-00006D1B0000}"/>
    <cellStyle name="Normal 12 2 2 4" xfId="7401" xr:uid="{00000000-0005-0000-0000-00006E1B0000}"/>
    <cellStyle name="Normal 12 2 2 4 10" xfId="7402" xr:uid="{00000000-0005-0000-0000-00006F1B0000}"/>
    <cellStyle name="Normal 12 2 2 4 11" xfId="7403" xr:uid="{00000000-0005-0000-0000-0000701B0000}"/>
    <cellStyle name="Normal 12 2 2 4 12" xfId="7404" xr:uid="{00000000-0005-0000-0000-0000711B0000}"/>
    <cellStyle name="Normal 12 2 2 4 13" xfId="7405" xr:uid="{00000000-0005-0000-0000-0000721B0000}"/>
    <cellStyle name="Normal 12 2 2 4 2" xfId="7406" xr:uid="{00000000-0005-0000-0000-0000731B0000}"/>
    <cellStyle name="Normal 12 2 2 4 2 10" xfId="7407" xr:uid="{00000000-0005-0000-0000-0000741B0000}"/>
    <cellStyle name="Normal 12 2 2 4 2 11" xfId="7408" xr:uid="{00000000-0005-0000-0000-0000751B0000}"/>
    <cellStyle name="Normal 12 2 2 4 2 2" xfId="7409" xr:uid="{00000000-0005-0000-0000-0000761B0000}"/>
    <cellStyle name="Normal 12 2 2 4 2 2 10" xfId="7410" xr:uid="{00000000-0005-0000-0000-0000771B0000}"/>
    <cellStyle name="Normal 12 2 2 4 2 2 2" xfId="7411" xr:uid="{00000000-0005-0000-0000-0000781B0000}"/>
    <cellStyle name="Normal 12 2 2 4 2 2 2 2" xfId="7412" xr:uid="{00000000-0005-0000-0000-0000791B0000}"/>
    <cellStyle name="Normal 12 2 2 4 2 2 2 2 2" xfId="7413" xr:uid="{00000000-0005-0000-0000-00007A1B0000}"/>
    <cellStyle name="Normal 12 2 2 4 2 2 2 2 3" xfId="7414" xr:uid="{00000000-0005-0000-0000-00007B1B0000}"/>
    <cellStyle name="Normal 12 2 2 4 2 2 2 2 4" xfId="7415" xr:uid="{00000000-0005-0000-0000-00007C1B0000}"/>
    <cellStyle name="Normal 12 2 2 4 2 2 2 2 5" xfId="7416" xr:uid="{00000000-0005-0000-0000-00007D1B0000}"/>
    <cellStyle name="Normal 12 2 2 4 2 2 2 3" xfId="7417" xr:uid="{00000000-0005-0000-0000-00007E1B0000}"/>
    <cellStyle name="Normal 12 2 2 4 2 2 2 4" xfId="7418" xr:uid="{00000000-0005-0000-0000-00007F1B0000}"/>
    <cellStyle name="Normal 12 2 2 4 2 2 2 5" xfId="7419" xr:uid="{00000000-0005-0000-0000-0000801B0000}"/>
    <cellStyle name="Normal 12 2 2 4 2 2 2 6" xfId="7420" xr:uid="{00000000-0005-0000-0000-0000811B0000}"/>
    <cellStyle name="Normal 12 2 2 4 2 2 2 7" xfId="7421" xr:uid="{00000000-0005-0000-0000-0000821B0000}"/>
    <cellStyle name="Normal 12 2 2 4 2 2 2 8" xfId="7422" xr:uid="{00000000-0005-0000-0000-0000831B0000}"/>
    <cellStyle name="Normal 12 2 2 4 2 2 3" xfId="7423" xr:uid="{00000000-0005-0000-0000-0000841B0000}"/>
    <cellStyle name="Normal 12 2 2 4 2 2 3 2" xfId="7424" xr:uid="{00000000-0005-0000-0000-0000851B0000}"/>
    <cellStyle name="Normal 12 2 2 4 2 2 3 2 2" xfId="7425" xr:uid="{00000000-0005-0000-0000-0000861B0000}"/>
    <cellStyle name="Normal 12 2 2 4 2 2 3 2 3" xfId="7426" xr:uid="{00000000-0005-0000-0000-0000871B0000}"/>
    <cellStyle name="Normal 12 2 2 4 2 2 3 2 4" xfId="7427" xr:uid="{00000000-0005-0000-0000-0000881B0000}"/>
    <cellStyle name="Normal 12 2 2 4 2 2 3 2 5" xfId="7428" xr:uid="{00000000-0005-0000-0000-0000891B0000}"/>
    <cellStyle name="Normal 12 2 2 4 2 2 3 3" xfId="7429" xr:uid="{00000000-0005-0000-0000-00008A1B0000}"/>
    <cellStyle name="Normal 12 2 2 4 2 2 3 4" xfId="7430" xr:uid="{00000000-0005-0000-0000-00008B1B0000}"/>
    <cellStyle name="Normal 12 2 2 4 2 2 3 5" xfId="7431" xr:uid="{00000000-0005-0000-0000-00008C1B0000}"/>
    <cellStyle name="Normal 12 2 2 4 2 2 3 6" xfId="7432" xr:uid="{00000000-0005-0000-0000-00008D1B0000}"/>
    <cellStyle name="Normal 12 2 2 4 2 2 3 7" xfId="7433" xr:uid="{00000000-0005-0000-0000-00008E1B0000}"/>
    <cellStyle name="Normal 12 2 2 4 2 2 3 8" xfId="7434" xr:uid="{00000000-0005-0000-0000-00008F1B0000}"/>
    <cellStyle name="Normal 12 2 2 4 2 2 4" xfId="7435" xr:uid="{00000000-0005-0000-0000-0000901B0000}"/>
    <cellStyle name="Normal 12 2 2 4 2 2 4 2" xfId="7436" xr:uid="{00000000-0005-0000-0000-0000911B0000}"/>
    <cellStyle name="Normal 12 2 2 4 2 2 4 3" xfId="7437" xr:uid="{00000000-0005-0000-0000-0000921B0000}"/>
    <cellStyle name="Normal 12 2 2 4 2 2 4 4" xfId="7438" xr:uid="{00000000-0005-0000-0000-0000931B0000}"/>
    <cellStyle name="Normal 12 2 2 4 2 2 4 5" xfId="7439" xr:uid="{00000000-0005-0000-0000-0000941B0000}"/>
    <cellStyle name="Normal 12 2 2 4 2 2 5" xfId="7440" xr:uid="{00000000-0005-0000-0000-0000951B0000}"/>
    <cellStyle name="Normal 12 2 2 4 2 2 6" xfId="7441" xr:uid="{00000000-0005-0000-0000-0000961B0000}"/>
    <cellStyle name="Normal 12 2 2 4 2 2 7" xfId="7442" xr:uid="{00000000-0005-0000-0000-0000971B0000}"/>
    <cellStyle name="Normal 12 2 2 4 2 2 8" xfId="7443" xr:uid="{00000000-0005-0000-0000-0000981B0000}"/>
    <cellStyle name="Normal 12 2 2 4 2 2 9" xfId="7444" xr:uid="{00000000-0005-0000-0000-0000991B0000}"/>
    <cellStyle name="Normal 12 2 2 4 2 3" xfId="7445" xr:uid="{00000000-0005-0000-0000-00009A1B0000}"/>
    <cellStyle name="Normal 12 2 2 4 2 3 2" xfId="7446" xr:uid="{00000000-0005-0000-0000-00009B1B0000}"/>
    <cellStyle name="Normal 12 2 2 4 2 3 2 2" xfId="7447" xr:uid="{00000000-0005-0000-0000-00009C1B0000}"/>
    <cellStyle name="Normal 12 2 2 4 2 3 2 3" xfId="7448" xr:uid="{00000000-0005-0000-0000-00009D1B0000}"/>
    <cellStyle name="Normal 12 2 2 4 2 3 2 4" xfId="7449" xr:uid="{00000000-0005-0000-0000-00009E1B0000}"/>
    <cellStyle name="Normal 12 2 2 4 2 3 2 5" xfId="7450" xr:uid="{00000000-0005-0000-0000-00009F1B0000}"/>
    <cellStyle name="Normal 12 2 2 4 2 3 3" xfId="7451" xr:uid="{00000000-0005-0000-0000-0000A01B0000}"/>
    <cellStyle name="Normal 12 2 2 4 2 3 4" xfId="7452" xr:uid="{00000000-0005-0000-0000-0000A11B0000}"/>
    <cellStyle name="Normal 12 2 2 4 2 3 5" xfId="7453" xr:uid="{00000000-0005-0000-0000-0000A21B0000}"/>
    <cellStyle name="Normal 12 2 2 4 2 3 6" xfId="7454" xr:uid="{00000000-0005-0000-0000-0000A31B0000}"/>
    <cellStyle name="Normal 12 2 2 4 2 3 7" xfId="7455" xr:uid="{00000000-0005-0000-0000-0000A41B0000}"/>
    <cellStyle name="Normal 12 2 2 4 2 3 8" xfId="7456" xr:uid="{00000000-0005-0000-0000-0000A51B0000}"/>
    <cellStyle name="Normal 12 2 2 4 2 4" xfId="7457" xr:uid="{00000000-0005-0000-0000-0000A61B0000}"/>
    <cellStyle name="Normal 12 2 2 4 2 4 2" xfId="7458" xr:uid="{00000000-0005-0000-0000-0000A71B0000}"/>
    <cellStyle name="Normal 12 2 2 4 2 4 2 2" xfId="7459" xr:uid="{00000000-0005-0000-0000-0000A81B0000}"/>
    <cellStyle name="Normal 12 2 2 4 2 4 2 3" xfId="7460" xr:uid="{00000000-0005-0000-0000-0000A91B0000}"/>
    <cellStyle name="Normal 12 2 2 4 2 4 2 4" xfId="7461" xr:uid="{00000000-0005-0000-0000-0000AA1B0000}"/>
    <cellStyle name="Normal 12 2 2 4 2 4 2 5" xfId="7462" xr:uid="{00000000-0005-0000-0000-0000AB1B0000}"/>
    <cellStyle name="Normal 12 2 2 4 2 4 3" xfId="7463" xr:uid="{00000000-0005-0000-0000-0000AC1B0000}"/>
    <cellStyle name="Normal 12 2 2 4 2 4 4" xfId="7464" xr:uid="{00000000-0005-0000-0000-0000AD1B0000}"/>
    <cellStyle name="Normal 12 2 2 4 2 4 5" xfId="7465" xr:uid="{00000000-0005-0000-0000-0000AE1B0000}"/>
    <cellStyle name="Normal 12 2 2 4 2 4 6" xfId="7466" xr:uid="{00000000-0005-0000-0000-0000AF1B0000}"/>
    <cellStyle name="Normal 12 2 2 4 2 4 7" xfId="7467" xr:uid="{00000000-0005-0000-0000-0000B01B0000}"/>
    <cellStyle name="Normal 12 2 2 4 2 4 8" xfId="7468" xr:uid="{00000000-0005-0000-0000-0000B11B0000}"/>
    <cellStyle name="Normal 12 2 2 4 2 5" xfId="7469" xr:uid="{00000000-0005-0000-0000-0000B21B0000}"/>
    <cellStyle name="Normal 12 2 2 4 2 5 2" xfId="7470" xr:uid="{00000000-0005-0000-0000-0000B31B0000}"/>
    <cellStyle name="Normal 12 2 2 4 2 5 3" xfId="7471" xr:uid="{00000000-0005-0000-0000-0000B41B0000}"/>
    <cellStyle name="Normal 12 2 2 4 2 5 4" xfId="7472" xr:uid="{00000000-0005-0000-0000-0000B51B0000}"/>
    <cellStyle name="Normal 12 2 2 4 2 5 5" xfId="7473" xr:uid="{00000000-0005-0000-0000-0000B61B0000}"/>
    <cellStyle name="Normal 12 2 2 4 2 6" xfId="7474" xr:uid="{00000000-0005-0000-0000-0000B71B0000}"/>
    <cellStyle name="Normal 12 2 2 4 2 7" xfId="7475" xr:uid="{00000000-0005-0000-0000-0000B81B0000}"/>
    <cellStyle name="Normal 12 2 2 4 2 8" xfId="7476" xr:uid="{00000000-0005-0000-0000-0000B91B0000}"/>
    <cellStyle name="Normal 12 2 2 4 2 9" xfId="7477" xr:uid="{00000000-0005-0000-0000-0000BA1B0000}"/>
    <cellStyle name="Normal 12 2 2 4 3" xfId="7478" xr:uid="{00000000-0005-0000-0000-0000BB1B0000}"/>
    <cellStyle name="Normal 12 2 2 4 3 10" xfId="7479" xr:uid="{00000000-0005-0000-0000-0000BC1B0000}"/>
    <cellStyle name="Normal 12 2 2 4 3 11" xfId="7480" xr:uid="{00000000-0005-0000-0000-0000BD1B0000}"/>
    <cellStyle name="Normal 12 2 2 4 3 2" xfId="7481" xr:uid="{00000000-0005-0000-0000-0000BE1B0000}"/>
    <cellStyle name="Normal 12 2 2 4 3 2 10" xfId="7482" xr:uid="{00000000-0005-0000-0000-0000BF1B0000}"/>
    <cellStyle name="Normal 12 2 2 4 3 2 2" xfId="7483" xr:uid="{00000000-0005-0000-0000-0000C01B0000}"/>
    <cellStyle name="Normal 12 2 2 4 3 2 2 2" xfId="7484" xr:uid="{00000000-0005-0000-0000-0000C11B0000}"/>
    <cellStyle name="Normal 12 2 2 4 3 2 2 2 2" xfId="7485" xr:uid="{00000000-0005-0000-0000-0000C21B0000}"/>
    <cellStyle name="Normal 12 2 2 4 3 2 2 2 3" xfId="7486" xr:uid="{00000000-0005-0000-0000-0000C31B0000}"/>
    <cellStyle name="Normal 12 2 2 4 3 2 2 2 4" xfId="7487" xr:uid="{00000000-0005-0000-0000-0000C41B0000}"/>
    <cellStyle name="Normal 12 2 2 4 3 2 2 2 5" xfId="7488" xr:uid="{00000000-0005-0000-0000-0000C51B0000}"/>
    <cellStyle name="Normal 12 2 2 4 3 2 2 3" xfId="7489" xr:uid="{00000000-0005-0000-0000-0000C61B0000}"/>
    <cellStyle name="Normal 12 2 2 4 3 2 2 4" xfId="7490" xr:uid="{00000000-0005-0000-0000-0000C71B0000}"/>
    <cellStyle name="Normal 12 2 2 4 3 2 2 5" xfId="7491" xr:uid="{00000000-0005-0000-0000-0000C81B0000}"/>
    <cellStyle name="Normal 12 2 2 4 3 2 2 6" xfId="7492" xr:uid="{00000000-0005-0000-0000-0000C91B0000}"/>
    <cellStyle name="Normal 12 2 2 4 3 2 2 7" xfId="7493" xr:uid="{00000000-0005-0000-0000-0000CA1B0000}"/>
    <cellStyle name="Normal 12 2 2 4 3 2 2 8" xfId="7494" xr:uid="{00000000-0005-0000-0000-0000CB1B0000}"/>
    <cellStyle name="Normal 12 2 2 4 3 2 3" xfId="7495" xr:uid="{00000000-0005-0000-0000-0000CC1B0000}"/>
    <cellStyle name="Normal 12 2 2 4 3 2 3 2" xfId="7496" xr:uid="{00000000-0005-0000-0000-0000CD1B0000}"/>
    <cellStyle name="Normal 12 2 2 4 3 2 3 2 2" xfId="7497" xr:uid="{00000000-0005-0000-0000-0000CE1B0000}"/>
    <cellStyle name="Normal 12 2 2 4 3 2 3 2 3" xfId="7498" xr:uid="{00000000-0005-0000-0000-0000CF1B0000}"/>
    <cellStyle name="Normal 12 2 2 4 3 2 3 2 4" xfId="7499" xr:uid="{00000000-0005-0000-0000-0000D01B0000}"/>
    <cellStyle name="Normal 12 2 2 4 3 2 3 2 5" xfId="7500" xr:uid="{00000000-0005-0000-0000-0000D11B0000}"/>
    <cellStyle name="Normal 12 2 2 4 3 2 3 3" xfId="7501" xr:uid="{00000000-0005-0000-0000-0000D21B0000}"/>
    <cellStyle name="Normal 12 2 2 4 3 2 3 4" xfId="7502" xr:uid="{00000000-0005-0000-0000-0000D31B0000}"/>
    <cellStyle name="Normal 12 2 2 4 3 2 3 5" xfId="7503" xr:uid="{00000000-0005-0000-0000-0000D41B0000}"/>
    <cellStyle name="Normal 12 2 2 4 3 2 3 6" xfId="7504" xr:uid="{00000000-0005-0000-0000-0000D51B0000}"/>
    <cellStyle name="Normal 12 2 2 4 3 2 3 7" xfId="7505" xr:uid="{00000000-0005-0000-0000-0000D61B0000}"/>
    <cellStyle name="Normal 12 2 2 4 3 2 3 8" xfId="7506" xr:uid="{00000000-0005-0000-0000-0000D71B0000}"/>
    <cellStyle name="Normal 12 2 2 4 3 2 4" xfId="7507" xr:uid="{00000000-0005-0000-0000-0000D81B0000}"/>
    <cellStyle name="Normal 12 2 2 4 3 2 4 2" xfId="7508" xr:uid="{00000000-0005-0000-0000-0000D91B0000}"/>
    <cellStyle name="Normal 12 2 2 4 3 2 4 3" xfId="7509" xr:uid="{00000000-0005-0000-0000-0000DA1B0000}"/>
    <cellStyle name="Normal 12 2 2 4 3 2 4 4" xfId="7510" xr:uid="{00000000-0005-0000-0000-0000DB1B0000}"/>
    <cellStyle name="Normal 12 2 2 4 3 2 4 5" xfId="7511" xr:uid="{00000000-0005-0000-0000-0000DC1B0000}"/>
    <cellStyle name="Normal 12 2 2 4 3 2 5" xfId="7512" xr:uid="{00000000-0005-0000-0000-0000DD1B0000}"/>
    <cellStyle name="Normal 12 2 2 4 3 2 6" xfId="7513" xr:uid="{00000000-0005-0000-0000-0000DE1B0000}"/>
    <cellStyle name="Normal 12 2 2 4 3 2 7" xfId="7514" xr:uid="{00000000-0005-0000-0000-0000DF1B0000}"/>
    <cellStyle name="Normal 12 2 2 4 3 2 8" xfId="7515" xr:uid="{00000000-0005-0000-0000-0000E01B0000}"/>
    <cellStyle name="Normal 12 2 2 4 3 2 9" xfId="7516" xr:uid="{00000000-0005-0000-0000-0000E11B0000}"/>
    <cellStyle name="Normal 12 2 2 4 3 3" xfId="7517" xr:uid="{00000000-0005-0000-0000-0000E21B0000}"/>
    <cellStyle name="Normal 12 2 2 4 3 3 2" xfId="7518" xr:uid="{00000000-0005-0000-0000-0000E31B0000}"/>
    <cellStyle name="Normal 12 2 2 4 3 3 2 2" xfId="7519" xr:uid="{00000000-0005-0000-0000-0000E41B0000}"/>
    <cellStyle name="Normal 12 2 2 4 3 3 2 3" xfId="7520" xr:uid="{00000000-0005-0000-0000-0000E51B0000}"/>
    <cellStyle name="Normal 12 2 2 4 3 3 2 4" xfId="7521" xr:uid="{00000000-0005-0000-0000-0000E61B0000}"/>
    <cellStyle name="Normal 12 2 2 4 3 3 2 5" xfId="7522" xr:uid="{00000000-0005-0000-0000-0000E71B0000}"/>
    <cellStyle name="Normal 12 2 2 4 3 3 3" xfId="7523" xr:uid="{00000000-0005-0000-0000-0000E81B0000}"/>
    <cellStyle name="Normal 12 2 2 4 3 3 4" xfId="7524" xr:uid="{00000000-0005-0000-0000-0000E91B0000}"/>
    <cellStyle name="Normal 12 2 2 4 3 3 5" xfId="7525" xr:uid="{00000000-0005-0000-0000-0000EA1B0000}"/>
    <cellStyle name="Normal 12 2 2 4 3 3 6" xfId="7526" xr:uid="{00000000-0005-0000-0000-0000EB1B0000}"/>
    <cellStyle name="Normal 12 2 2 4 3 3 7" xfId="7527" xr:uid="{00000000-0005-0000-0000-0000EC1B0000}"/>
    <cellStyle name="Normal 12 2 2 4 3 3 8" xfId="7528" xr:uid="{00000000-0005-0000-0000-0000ED1B0000}"/>
    <cellStyle name="Normal 12 2 2 4 3 4" xfId="7529" xr:uid="{00000000-0005-0000-0000-0000EE1B0000}"/>
    <cellStyle name="Normal 12 2 2 4 3 4 2" xfId="7530" xr:uid="{00000000-0005-0000-0000-0000EF1B0000}"/>
    <cellStyle name="Normal 12 2 2 4 3 4 2 2" xfId="7531" xr:uid="{00000000-0005-0000-0000-0000F01B0000}"/>
    <cellStyle name="Normal 12 2 2 4 3 4 2 3" xfId="7532" xr:uid="{00000000-0005-0000-0000-0000F11B0000}"/>
    <cellStyle name="Normal 12 2 2 4 3 4 2 4" xfId="7533" xr:uid="{00000000-0005-0000-0000-0000F21B0000}"/>
    <cellStyle name="Normal 12 2 2 4 3 4 2 5" xfId="7534" xr:uid="{00000000-0005-0000-0000-0000F31B0000}"/>
    <cellStyle name="Normal 12 2 2 4 3 4 3" xfId="7535" xr:uid="{00000000-0005-0000-0000-0000F41B0000}"/>
    <cellStyle name="Normal 12 2 2 4 3 4 4" xfId="7536" xr:uid="{00000000-0005-0000-0000-0000F51B0000}"/>
    <cellStyle name="Normal 12 2 2 4 3 4 5" xfId="7537" xr:uid="{00000000-0005-0000-0000-0000F61B0000}"/>
    <cellStyle name="Normal 12 2 2 4 3 4 6" xfId="7538" xr:uid="{00000000-0005-0000-0000-0000F71B0000}"/>
    <cellStyle name="Normal 12 2 2 4 3 4 7" xfId="7539" xr:uid="{00000000-0005-0000-0000-0000F81B0000}"/>
    <cellStyle name="Normal 12 2 2 4 3 4 8" xfId="7540" xr:uid="{00000000-0005-0000-0000-0000F91B0000}"/>
    <cellStyle name="Normal 12 2 2 4 3 5" xfId="7541" xr:uid="{00000000-0005-0000-0000-0000FA1B0000}"/>
    <cellStyle name="Normal 12 2 2 4 3 5 2" xfId="7542" xr:uid="{00000000-0005-0000-0000-0000FB1B0000}"/>
    <cellStyle name="Normal 12 2 2 4 3 5 3" xfId="7543" xr:uid="{00000000-0005-0000-0000-0000FC1B0000}"/>
    <cellStyle name="Normal 12 2 2 4 3 5 4" xfId="7544" xr:uid="{00000000-0005-0000-0000-0000FD1B0000}"/>
    <cellStyle name="Normal 12 2 2 4 3 5 5" xfId="7545" xr:uid="{00000000-0005-0000-0000-0000FE1B0000}"/>
    <cellStyle name="Normal 12 2 2 4 3 6" xfId="7546" xr:uid="{00000000-0005-0000-0000-0000FF1B0000}"/>
    <cellStyle name="Normal 12 2 2 4 3 7" xfId="7547" xr:uid="{00000000-0005-0000-0000-0000001C0000}"/>
    <cellStyle name="Normal 12 2 2 4 3 8" xfId="7548" xr:uid="{00000000-0005-0000-0000-0000011C0000}"/>
    <cellStyle name="Normal 12 2 2 4 3 9" xfId="7549" xr:uid="{00000000-0005-0000-0000-0000021C0000}"/>
    <cellStyle name="Normal 12 2 2 4 4" xfId="7550" xr:uid="{00000000-0005-0000-0000-0000031C0000}"/>
    <cellStyle name="Normal 12 2 2 4 4 10" xfId="7551" xr:uid="{00000000-0005-0000-0000-0000041C0000}"/>
    <cellStyle name="Normal 12 2 2 4 4 2" xfId="7552" xr:uid="{00000000-0005-0000-0000-0000051C0000}"/>
    <cellStyle name="Normal 12 2 2 4 4 2 2" xfId="7553" xr:uid="{00000000-0005-0000-0000-0000061C0000}"/>
    <cellStyle name="Normal 12 2 2 4 4 2 2 2" xfId="7554" xr:uid="{00000000-0005-0000-0000-0000071C0000}"/>
    <cellStyle name="Normal 12 2 2 4 4 2 2 3" xfId="7555" xr:uid="{00000000-0005-0000-0000-0000081C0000}"/>
    <cellStyle name="Normal 12 2 2 4 4 2 2 4" xfId="7556" xr:uid="{00000000-0005-0000-0000-0000091C0000}"/>
    <cellStyle name="Normal 12 2 2 4 4 2 2 5" xfId="7557" xr:uid="{00000000-0005-0000-0000-00000A1C0000}"/>
    <cellStyle name="Normal 12 2 2 4 4 2 3" xfId="7558" xr:uid="{00000000-0005-0000-0000-00000B1C0000}"/>
    <cellStyle name="Normal 12 2 2 4 4 2 4" xfId="7559" xr:uid="{00000000-0005-0000-0000-00000C1C0000}"/>
    <cellStyle name="Normal 12 2 2 4 4 2 5" xfId="7560" xr:uid="{00000000-0005-0000-0000-00000D1C0000}"/>
    <cellStyle name="Normal 12 2 2 4 4 2 6" xfId="7561" xr:uid="{00000000-0005-0000-0000-00000E1C0000}"/>
    <cellStyle name="Normal 12 2 2 4 4 2 7" xfId="7562" xr:uid="{00000000-0005-0000-0000-00000F1C0000}"/>
    <cellStyle name="Normal 12 2 2 4 4 2 8" xfId="7563" xr:uid="{00000000-0005-0000-0000-0000101C0000}"/>
    <cellStyle name="Normal 12 2 2 4 4 3" xfId="7564" xr:uid="{00000000-0005-0000-0000-0000111C0000}"/>
    <cellStyle name="Normal 12 2 2 4 4 3 2" xfId="7565" xr:uid="{00000000-0005-0000-0000-0000121C0000}"/>
    <cellStyle name="Normal 12 2 2 4 4 3 2 2" xfId="7566" xr:uid="{00000000-0005-0000-0000-0000131C0000}"/>
    <cellStyle name="Normal 12 2 2 4 4 3 2 3" xfId="7567" xr:uid="{00000000-0005-0000-0000-0000141C0000}"/>
    <cellStyle name="Normal 12 2 2 4 4 3 2 4" xfId="7568" xr:uid="{00000000-0005-0000-0000-0000151C0000}"/>
    <cellStyle name="Normal 12 2 2 4 4 3 2 5" xfId="7569" xr:uid="{00000000-0005-0000-0000-0000161C0000}"/>
    <cellStyle name="Normal 12 2 2 4 4 3 3" xfId="7570" xr:uid="{00000000-0005-0000-0000-0000171C0000}"/>
    <cellStyle name="Normal 12 2 2 4 4 3 4" xfId="7571" xr:uid="{00000000-0005-0000-0000-0000181C0000}"/>
    <cellStyle name="Normal 12 2 2 4 4 3 5" xfId="7572" xr:uid="{00000000-0005-0000-0000-0000191C0000}"/>
    <cellStyle name="Normal 12 2 2 4 4 3 6" xfId="7573" xr:uid="{00000000-0005-0000-0000-00001A1C0000}"/>
    <cellStyle name="Normal 12 2 2 4 4 3 7" xfId="7574" xr:uid="{00000000-0005-0000-0000-00001B1C0000}"/>
    <cellStyle name="Normal 12 2 2 4 4 3 8" xfId="7575" xr:uid="{00000000-0005-0000-0000-00001C1C0000}"/>
    <cellStyle name="Normal 12 2 2 4 4 4" xfId="7576" xr:uid="{00000000-0005-0000-0000-00001D1C0000}"/>
    <cellStyle name="Normal 12 2 2 4 4 4 2" xfId="7577" xr:uid="{00000000-0005-0000-0000-00001E1C0000}"/>
    <cellStyle name="Normal 12 2 2 4 4 4 3" xfId="7578" xr:uid="{00000000-0005-0000-0000-00001F1C0000}"/>
    <cellStyle name="Normal 12 2 2 4 4 4 4" xfId="7579" xr:uid="{00000000-0005-0000-0000-0000201C0000}"/>
    <cellStyle name="Normal 12 2 2 4 4 4 5" xfId="7580" xr:uid="{00000000-0005-0000-0000-0000211C0000}"/>
    <cellStyle name="Normal 12 2 2 4 4 5" xfId="7581" xr:uid="{00000000-0005-0000-0000-0000221C0000}"/>
    <cellStyle name="Normal 12 2 2 4 4 6" xfId="7582" xr:uid="{00000000-0005-0000-0000-0000231C0000}"/>
    <cellStyle name="Normal 12 2 2 4 4 7" xfId="7583" xr:uid="{00000000-0005-0000-0000-0000241C0000}"/>
    <cellStyle name="Normal 12 2 2 4 4 8" xfId="7584" xr:uid="{00000000-0005-0000-0000-0000251C0000}"/>
    <cellStyle name="Normal 12 2 2 4 4 9" xfId="7585" xr:uid="{00000000-0005-0000-0000-0000261C0000}"/>
    <cellStyle name="Normal 12 2 2 4 5" xfId="7586" xr:uid="{00000000-0005-0000-0000-0000271C0000}"/>
    <cellStyle name="Normal 12 2 2 4 5 2" xfId="7587" xr:uid="{00000000-0005-0000-0000-0000281C0000}"/>
    <cellStyle name="Normal 12 2 2 4 5 2 2" xfId="7588" xr:uid="{00000000-0005-0000-0000-0000291C0000}"/>
    <cellStyle name="Normal 12 2 2 4 5 2 3" xfId="7589" xr:uid="{00000000-0005-0000-0000-00002A1C0000}"/>
    <cellStyle name="Normal 12 2 2 4 5 2 4" xfId="7590" xr:uid="{00000000-0005-0000-0000-00002B1C0000}"/>
    <cellStyle name="Normal 12 2 2 4 5 2 5" xfId="7591" xr:uid="{00000000-0005-0000-0000-00002C1C0000}"/>
    <cellStyle name="Normal 12 2 2 4 5 3" xfId="7592" xr:uid="{00000000-0005-0000-0000-00002D1C0000}"/>
    <cellStyle name="Normal 12 2 2 4 5 4" xfId="7593" xr:uid="{00000000-0005-0000-0000-00002E1C0000}"/>
    <cellStyle name="Normal 12 2 2 4 5 5" xfId="7594" xr:uid="{00000000-0005-0000-0000-00002F1C0000}"/>
    <cellStyle name="Normal 12 2 2 4 5 6" xfId="7595" xr:uid="{00000000-0005-0000-0000-0000301C0000}"/>
    <cellStyle name="Normal 12 2 2 4 5 7" xfId="7596" xr:uid="{00000000-0005-0000-0000-0000311C0000}"/>
    <cellStyle name="Normal 12 2 2 4 5 8" xfId="7597" xr:uid="{00000000-0005-0000-0000-0000321C0000}"/>
    <cellStyle name="Normal 12 2 2 4 6" xfId="7598" xr:uid="{00000000-0005-0000-0000-0000331C0000}"/>
    <cellStyle name="Normal 12 2 2 4 6 2" xfId="7599" xr:uid="{00000000-0005-0000-0000-0000341C0000}"/>
    <cellStyle name="Normal 12 2 2 4 6 2 2" xfId="7600" xr:uid="{00000000-0005-0000-0000-0000351C0000}"/>
    <cellStyle name="Normal 12 2 2 4 6 2 3" xfId="7601" xr:uid="{00000000-0005-0000-0000-0000361C0000}"/>
    <cellStyle name="Normal 12 2 2 4 6 2 4" xfId="7602" xr:uid="{00000000-0005-0000-0000-0000371C0000}"/>
    <cellStyle name="Normal 12 2 2 4 6 2 5" xfId="7603" xr:uid="{00000000-0005-0000-0000-0000381C0000}"/>
    <cellStyle name="Normal 12 2 2 4 6 3" xfId="7604" xr:uid="{00000000-0005-0000-0000-0000391C0000}"/>
    <cellStyle name="Normal 12 2 2 4 6 4" xfId="7605" xr:uid="{00000000-0005-0000-0000-00003A1C0000}"/>
    <cellStyle name="Normal 12 2 2 4 6 5" xfId="7606" xr:uid="{00000000-0005-0000-0000-00003B1C0000}"/>
    <cellStyle name="Normal 12 2 2 4 6 6" xfId="7607" xr:uid="{00000000-0005-0000-0000-00003C1C0000}"/>
    <cellStyle name="Normal 12 2 2 4 6 7" xfId="7608" xr:uid="{00000000-0005-0000-0000-00003D1C0000}"/>
    <cellStyle name="Normal 12 2 2 4 6 8" xfId="7609" xr:uid="{00000000-0005-0000-0000-00003E1C0000}"/>
    <cellStyle name="Normal 12 2 2 4 7" xfId="7610" xr:uid="{00000000-0005-0000-0000-00003F1C0000}"/>
    <cellStyle name="Normal 12 2 2 4 7 2" xfId="7611" xr:uid="{00000000-0005-0000-0000-0000401C0000}"/>
    <cellStyle name="Normal 12 2 2 4 7 3" xfId="7612" xr:uid="{00000000-0005-0000-0000-0000411C0000}"/>
    <cellStyle name="Normal 12 2 2 4 7 4" xfId="7613" xr:uid="{00000000-0005-0000-0000-0000421C0000}"/>
    <cellStyle name="Normal 12 2 2 4 7 5" xfId="7614" xr:uid="{00000000-0005-0000-0000-0000431C0000}"/>
    <cellStyle name="Normal 12 2 2 4 8" xfId="7615" xr:uid="{00000000-0005-0000-0000-0000441C0000}"/>
    <cellStyle name="Normal 12 2 2 4 9" xfId="7616" xr:uid="{00000000-0005-0000-0000-0000451C0000}"/>
    <cellStyle name="Normal 12 2 2 5" xfId="7617" xr:uid="{00000000-0005-0000-0000-0000461C0000}"/>
    <cellStyle name="Normal 12 2 2 5 10" xfId="7618" xr:uid="{00000000-0005-0000-0000-0000471C0000}"/>
    <cellStyle name="Normal 12 2 2 5 11" xfId="7619" xr:uid="{00000000-0005-0000-0000-0000481C0000}"/>
    <cellStyle name="Normal 12 2 2 5 12" xfId="7620" xr:uid="{00000000-0005-0000-0000-0000491C0000}"/>
    <cellStyle name="Normal 12 2 2 5 13" xfId="7621" xr:uid="{00000000-0005-0000-0000-00004A1C0000}"/>
    <cellStyle name="Normal 12 2 2 5 2" xfId="7622" xr:uid="{00000000-0005-0000-0000-00004B1C0000}"/>
    <cellStyle name="Normal 12 2 2 5 2 10" xfId="7623" xr:uid="{00000000-0005-0000-0000-00004C1C0000}"/>
    <cellStyle name="Normal 12 2 2 5 2 11" xfId="7624" xr:uid="{00000000-0005-0000-0000-00004D1C0000}"/>
    <cellStyle name="Normal 12 2 2 5 2 2" xfId="7625" xr:uid="{00000000-0005-0000-0000-00004E1C0000}"/>
    <cellStyle name="Normal 12 2 2 5 2 2 10" xfId="7626" xr:uid="{00000000-0005-0000-0000-00004F1C0000}"/>
    <cellStyle name="Normal 12 2 2 5 2 2 2" xfId="7627" xr:uid="{00000000-0005-0000-0000-0000501C0000}"/>
    <cellStyle name="Normal 12 2 2 5 2 2 2 2" xfId="7628" xr:uid="{00000000-0005-0000-0000-0000511C0000}"/>
    <cellStyle name="Normal 12 2 2 5 2 2 2 2 2" xfId="7629" xr:uid="{00000000-0005-0000-0000-0000521C0000}"/>
    <cellStyle name="Normal 12 2 2 5 2 2 2 2 3" xfId="7630" xr:uid="{00000000-0005-0000-0000-0000531C0000}"/>
    <cellStyle name="Normal 12 2 2 5 2 2 2 2 4" xfId="7631" xr:uid="{00000000-0005-0000-0000-0000541C0000}"/>
    <cellStyle name="Normal 12 2 2 5 2 2 2 2 5" xfId="7632" xr:uid="{00000000-0005-0000-0000-0000551C0000}"/>
    <cellStyle name="Normal 12 2 2 5 2 2 2 3" xfId="7633" xr:uid="{00000000-0005-0000-0000-0000561C0000}"/>
    <cellStyle name="Normal 12 2 2 5 2 2 2 4" xfId="7634" xr:uid="{00000000-0005-0000-0000-0000571C0000}"/>
    <cellStyle name="Normal 12 2 2 5 2 2 2 5" xfId="7635" xr:uid="{00000000-0005-0000-0000-0000581C0000}"/>
    <cellStyle name="Normal 12 2 2 5 2 2 2 6" xfId="7636" xr:uid="{00000000-0005-0000-0000-0000591C0000}"/>
    <cellStyle name="Normal 12 2 2 5 2 2 2 7" xfId="7637" xr:uid="{00000000-0005-0000-0000-00005A1C0000}"/>
    <cellStyle name="Normal 12 2 2 5 2 2 2 8" xfId="7638" xr:uid="{00000000-0005-0000-0000-00005B1C0000}"/>
    <cellStyle name="Normal 12 2 2 5 2 2 3" xfId="7639" xr:uid="{00000000-0005-0000-0000-00005C1C0000}"/>
    <cellStyle name="Normal 12 2 2 5 2 2 3 2" xfId="7640" xr:uid="{00000000-0005-0000-0000-00005D1C0000}"/>
    <cellStyle name="Normal 12 2 2 5 2 2 3 2 2" xfId="7641" xr:uid="{00000000-0005-0000-0000-00005E1C0000}"/>
    <cellStyle name="Normal 12 2 2 5 2 2 3 2 3" xfId="7642" xr:uid="{00000000-0005-0000-0000-00005F1C0000}"/>
    <cellStyle name="Normal 12 2 2 5 2 2 3 2 4" xfId="7643" xr:uid="{00000000-0005-0000-0000-0000601C0000}"/>
    <cellStyle name="Normal 12 2 2 5 2 2 3 2 5" xfId="7644" xr:uid="{00000000-0005-0000-0000-0000611C0000}"/>
    <cellStyle name="Normal 12 2 2 5 2 2 3 3" xfId="7645" xr:uid="{00000000-0005-0000-0000-0000621C0000}"/>
    <cellStyle name="Normal 12 2 2 5 2 2 3 4" xfId="7646" xr:uid="{00000000-0005-0000-0000-0000631C0000}"/>
    <cellStyle name="Normal 12 2 2 5 2 2 3 5" xfId="7647" xr:uid="{00000000-0005-0000-0000-0000641C0000}"/>
    <cellStyle name="Normal 12 2 2 5 2 2 3 6" xfId="7648" xr:uid="{00000000-0005-0000-0000-0000651C0000}"/>
    <cellStyle name="Normal 12 2 2 5 2 2 3 7" xfId="7649" xr:uid="{00000000-0005-0000-0000-0000661C0000}"/>
    <cellStyle name="Normal 12 2 2 5 2 2 3 8" xfId="7650" xr:uid="{00000000-0005-0000-0000-0000671C0000}"/>
    <cellStyle name="Normal 12 2 2 5 2 2 4" xfId="7651" xr:uid="{00000000-0005-0000-0000-0000681C0000}"/>
    <cellStyle name="Normal 12 2 2 5 2 2 4 2" xfId="7652" xr:uid="{00000000-0005-0000-0000-0000691C0000}"/>
    <cellStyle name="Normal 12 2 2 5 2 2 4 3" xfId="7653" xr:uid="{00000000-0005-0000-0000-00006A1C0000}"/>
    <cellStyle name="Normal 12 2 2 5 2 2 4 4" xfId="7654" xr:uid="{00000000-0005-0000-0000-00006B1C0000}"/>
    <cellStyle name="Normal 12 2 2 5 2 2 4 5" xfId="7655" xr:uid="{00000000-0005-0000-0000-00006C1C0000}"/>
    <cellStyle name="Normal 12 2 2 5 2 2 5" xfId="7656" xr:uid="{00000000-0005-0000-0000-00006D1C0000}"/>
    <cellStyle name="Normal 12 2 2 5 2 2 6" xfId="7657" xr:uid="{00000000-0005-0000-0000-00006E1C0000}"/>
    <cellStyle name="Normal 12 2 2 5 2 2 7" xfId="7658" xr:uid="{00000000-0005-0000-0000-00006F1C0000}"/>
    <cellStyle name="Normal 12 2 2 5 2 2 8" xfId="7659" xr:uid="{00000000-0005-0000-0000-0000701C0000}"/>
    <cellStyle name="Normal 12 2 2 5 2 2 9" xfId="7660" xr:uid="{00000000-0005-0000-0000-0000711C0000}"/>
    <cellStyle name="Normal 12 2 2 5 2 3" xfId="7661" xr:uid="{00000000-0005-0000-0000-0000721C0000}"/>
    <cellStyle name="Normal 12 2 2 5 2 3 2" xfId="7662" xr:uid="{00000000-0005-0000-0000-0000731C0000}"/>
    <cellStyle name="Normal 12 2 2 5 2 3 2 2" xfId="7663" xr:uid="{00000000-0005-0000-0000-0000741C0000}"/>
    <cellStyle name="Normal 12 2 2 5 2 3 2 3" xfId="7664" xr:uid="{00000000-0005-0000-0000-0000751C0000}"/>
    <cellStyle name="Normal 12 2 2 5 2 3 2 4" xfId="7665" xr:uid="{00000000-0005-0000-0000-0000761C0000}"/>
    <cellStyle name="Normal 12 2 2 5 2 3 2 5" xfId="7666" xr:uid="{00000000-0005-0000-0000-0000771C0000}"/>
    <cellStyle name="Normal 12 2 2 5 2 3 3" xfId="7667" xr:uid="{00000000-0005-0000-0000-0000781C0000}"/>
    <cellStyle name="Normal 12 2 2 5 2 3 4" xfId="7668" xr:uid="{00000000-0005-0000-0000-0000791C0000}"/>
    <cellStyle name="Normal 12 2 2 5 2 3 5" xfId="7669" xr:uid="{00000000-0005-0000-0000-00007A1C0000}"/>
    <cellStyle name="Normal 12 2 2 5 2 3 6" xfId="7670" xr:uid="{00000000-0005-0000-0000-00007B1C0000}"/>
    <cellStyle name="Normal 12 2 2 5 2 3 7" xfId="7671" xr:uid="{00000000-0005-0000-0000-00007C1C0000}"/>
    <cellStyle name="Normal 12 2 2 5 2 3 8" xfId="7672" xr:uid="{00000000-0005-0000-0000-00007D1C0000}"/>
    <cellStyle name="Normal 12 2 2 5 2 4" xfId="7673" xr:uid="{00000000-0005-0000-0000-00007E1C0000}"/>
    <cellStyle name="Normal 12 2 2 5 2 4 2" xfId="7674" xr:uid="{00000000-0005-0000-0000-00007F1C0000}"/>
    <cellStyle name="Normal 12 2 2 5 2 4 2 2" xfId="7675" xr:uid="{00000000-0005-0000-0000-0000801C0000}"/>
    <cellStyle name="Normal 12 2 2 5 2 4 2 3" xfId="7676" xr:uid="{00000000-0005-0000-0000-0000811C0000}"/>
    <cellStyle name="Normal 12 2 2 5 2 4 2 4" xfId="7677" xr:uid="{00000000-0005-0000-0000-0000821C0000}"/>
    <cellStyle name="Normal 12 2 2 5 2 4 2 5" xfId="7678" xr:uid="{00000000-0005-0000-0000-0000831C0000}"/>
    <cellStyle name="Normal 12 2 2 5 2 4 3" xfId="7679" xr:uid="{00000000-0005-0000-0000-0000841C0000}"/>
    <cellStyle name="Normal 12 2 2 5 2 4 4" xfId="7680" xr:uid="{00000000-0005-0000-0000-0000851C0000}"/>
    <cellStyle name="Normal 12 2 2 5 2 4 5" xfId="7681" xr:uid="{00000000-0005-0000-0000-0000861C0000}"/>
    <cellStyle name="Normal 12 2 2 5 2 4 6" xfId="7682" xr:uid="{00000000-0005-0000-0000-0000871C0000}"/>
    <cellStyle name="Normal 12 2 2 5 2 4 7" xfId="7683" xr:uid="{00000000-0005-0000-0000-0000881C0000}"/>
    <cellStyle name="Normal 12 2 2 5 2 4 8" xfId="7684" xr:uid="{00000000-0005-0000-0000-0000891C0000}"/>
    <cellStyle name="Normal 12 2 2 5 2 5" xfId="7685" xr:uid="{00000000-0005-0000-0000-00008A1C0000}"/>
    <cellStyle name="Normal 12 2 2 5 2 5 2" xfId="7686" xr:uid="{00000000-0005-0000-0000-00008B1C0000}"/>
    <cellStyle name="Normal 12 2 2 5 2 5 3" xfId="7687" xr:uid="{00000000-0005-0000-0000-00008C1C0000}"/>
    <cellStyle name="Normal 12 2 2 5 2 5 4" xfId="7688" xr:uid="{00000000-0005-0000-0000-00008D1C0000}"/>
    <cellStyle name="Normal 12 2 2 5 2 5 5" xfId="7689" xr:uid="{00000000-0005-0000-0000-00008E1C0000}"/>
    <cellStyle name="Normal 12 2 2 5 2 6" xfId="7690" xr:uid="{00000000-0005-0000-0000-00008F1C0000}"/>
    <cellStyle name="Normal 12 2 2 5 2 7" xfId="7691" xr:uid="{00000000-0005-0000-0000-0000901C0000}"/>
    <cellStyle name="Normal 12 2 2 5 2 8" xfId="7692" xr:uid="{00000000-0005-0000-0000-0000911C0000}"/>
    <cellStyle name="Normal 12 2 2 5 2 9" xfId="7693" xr:uid="{00000000-0005-0000-0000-0000921C0000}"/>
    <cellStyle name="Normal 12 2 2 5 3" xfId="7694" xr:uid="{00000000-0005-0000-0000-0000931C0000}"/>
    <cellStyle name="Normal 12 2 2 5 3 10" xfId="7695" xr:uid="{00000000-0005-0000-0000-0000941C0000}"/>
    <cellStyle name="Normal 12 2 2 5 3 11" xfId="7696" xr:uid="{00000000-0005-0000-0000-0000951C0000}"/>
    <cellStyle name="Normal 12 2 2 5 3 2" xfId="7697" xr:uid="{00000000-0005-0000-0000-0000961C0000}"/>
    <cellStyle name="Normal 12 2 2 5 3 2 10" xfId="7698" xr:uid="{00000000-0005-0000-0000-0000971C0000}"/>
    <cellStyle name="Normal 12 2 2 5 3 2 2" xfId="7699" xr:uid="{00000000-0005-0000-0000-0000981C0000}"/>
    <cellStyle name="Normal 12 2 2 5 3 2 2 2" xfId="7700" xr:uid="{00000000-0005-0000-0000-0000991C0000}"/>
    <cellStyle name="Normal 12 2 2 5 3 2 2 2 2" xfId="7701" xr:uid="{00000000-0005-0000-0000-00009A1C0000}"/>
    <cellStyle name="Normal 12 2 2 5 3 2 2 2 3" xfId="7702" xr:uid="{00000000-0005-0000-0000-00009B1C0000}"/>
    <cellStyle name="Normal 12 2 2 5 3 2 2 2 4" xfId="7703" xr:uid="{00000000-0005-0000-0000-00009C1C0000}"/>
    <cellStyle name="Normal 12 2 2 5 3 2 2 2 5" xfId="7704" xr:uid="{00000000-0005-0000-0000-00009D1C0000}"/>
    <cellStyle name="Normal 12 2 2 5 3 2 2 3" xfId="7705" xr:uid="{00000000-0005-0000-0000-00009E1C0000}"/>
    <cellStyle name="Normal 12 2 2 5 3 2 2 4" xfId="7706" xr:uid="{00000000-0005-0000-0000-00009F1C0000}"/>
    <cellStyle name="Normal 12 2 2 5 3 2 2 5" xfId="7707" xr:uid="{00000000-0005-0000-0000-0000A01C0000}"/>
    <cellStyle name="Normal 12 2 2 5 3 2 2 6" xfId="7708" xr:uid="{00000000-0005-0000-0000-0000A11C0000}"/>
    <cellStyle name="Normal 12 2 2 5 3 2 2 7" xfId="7709" xr:uid="{00000000-0005-0000-0000-0000A21C0000}"/>
    <cellStyle name="Normal 12 2 2 5 3 2 2 8" xfId="7710" xr:uid="{00000000-0005-0000-0000-0000A31C0000}"/>
    <cellStyle name="Normal 12 2 2 5 3 2 3" xfId="7711" xr:uid="{00000000-0005-0000-0000-0000A41C0000}"/>
    <cellStyle name="Normal 12 2 2 5 3 2 3 2" xfId="7712" xr:uid="{00000000-0005-0000-0000-0000A51C0000}"/>
    <cellStyle name="Normal 12 2 2 5 3 2 3 2 2" xfId="7713" xr:uid="{00000000-0005-0000-0000-0000A61C0000}"/>
    <cellStyle name="Normal 12 2 2 5 3 2 3 2 3" xfId="7714" xr:uid="{00000000-0005-0000-0000-0000A71C0000}"/>
    <cellStyle name="Normal 12 2 2 5 3 2 3 2 4" xfId="7715" xr:uid="{00000000-0005-0000-0000-0000A81C0000}"/>
    <cellStyle name="Normal 12 2 2 5 3 2 3 2 5" xfId="7716" xr:uid="{00000000-0005-0000-0000-0000A91C0000}"/>
    <cellStyle name="Normal 12 2 2 5 3 2 3 3" xfId="7717" xr:uid="{00000000-0005-0000-0000-0000AA1C0000}"/>
    <cellStyle name="Normal 12 2 2 5 3 2 3 4" xfId="7718" xr:uid="{00000000-0005-0000-0000-0000AB1C0000}"/>
    <cellStyle name="Normal 12 2 2 5 3 2 3 5" xfId="7719" xr:uid="{00000000-0005-0000-0000-0000AC1C0000}"/>
    <cellStyle name="Normal 12 2 2 5 3 2 3 6" xfId="7720" xr:uid="{00000000-0005-0000-0000-0000AD1C0000}"/>
    <cellStyle name="Normal 12 2 2 5 3 2 3 7" xfId="7721" xr:uid="{00000000-0005-0000-0000-0000AE1C0000}"/>
    <cellStyle name="Normal 12 2 2 5 3 2 3 8" xfId="7722" xr:uid="{00000000-0005-0000-0000-0000AF1C0000}"/>
    <cellStyle name="Normal 12 2 2 5 3 2 4" xfId="7723" xr:uid="{00000000-0005-0000-0000-0000B01C0000}"/>
    <cellStyle name="Normal 12 2 2 5 3 2 4 2" xfId="7724" xr:uid="{00000000-0005-0000-0000-0000B11C0000}"/>
    <cellStyle name="Normal 12 2 2 5 3 2 4 3" xfId="7725" xr:uid="{00000000-0005-0000-0000-0000B21C0000}"/>
    <cellStyle name="Normal 12 2 2 5 3 2 4 4" xfId="7726" xr:uid="{00000000-0005-0000-0000-0000B31C0000}"/>
    <cellStyle name="Normal 12 2 2 5 3 2 4 5" xfId="7727" xr:uid="{00000000-0005-0000-0000-0000B41C0000}"/>
    <cellStyle name="Normal 12 2 2 5 3 2 5" xfId="7728" xr:uid="{00000000-0005-0000-0000-0000B51C0000}"/>
    <cellStyle name="Normal 12 2 2 5 3 2 6" xfId="7729" xr:uid="{00000000-0005-0000-0000-0000B61C0000}"/>
    <cellStyle name="Normal 12 2 2 5 3 2 7" xfId="7730" xr:uid="{00000000-0005-0000-0000-0000B71C0000}"/>
    <cellStyle name="Normal 12 2 2 5 3 2 8" xfId="7731" xr:uid="{00000000-0005-0000-0000-0000B81C0000}"/>
    <cellStyle name="Normal 12 2 2 5 3 2 9" xfId="7732" xr:uid="{00000000-0005-0000-0000-0000B91C0000}"/>
    <cellStyle name="Normal 12 2 2 5 3 3" xfId="7733" xr:uid="{00000000-0005-0000-0000-0000BA1C0000}"/>
    <cellStyle name="Normal 12 2 2 5 3 3 2" xfId="7734" xr:uid="{00000000-0005-0000-0000-0000BB1C0000}"/>
    <cellStyle name="Normal 12 2 2 5 3 3 2 2" xfId="7735" xr:uid="{00000000-0005-0000-0000-0000BC1C0000}"/>
    <cellStyle name="Normal 12 2 2 5 3 3 2 3" xfId="7736" xr:uid="{00000000-0005-0000-0000-0000BD1C0000}"/>
    <cellStyle name="Normal 12 2 2 5 3 3 2 4" xfId="7737" xr:uid="{00000000-0005-0000-0000-0000BE1C0000}"/>
    <cellStyle name="Normal 12 2 2 5 3 3 2 5" xfId="7738" xr:uid="{00000000-0005-0000-0000-0000BF1C0000}"/>
    <cellStyle name="Normal 12 2 2 5 3 3 3" xfId="7739" xr:uid="{00000000-0005-0000-0000-0000C01C0000}"/>
    <cellStyle name="Normal 12 2 2 5 3 3 4" xfId="7740" xr:uid="{00000000-0005-0000-0000-0000C11C0000}"/>
    <cellStyle name="Normal 12 2 2 5 3 3 5" xfId="7741" xr:uid="{00000000-0005-0000-0000-0000C21C0000}"/>
    <cellStyle name="Normal 12 2 2 5 3 3 6" xfId="7742" xr:uid="{00000000-0005-0000-0000-0000C31C0000}"/>
    <cellStyle name="Normal 12 2 2 5 3 3 7" xfId="7743" xr:uid="{00000000-0005-0000-0000-0000C41C0000}"/>
    <cellStyle name="Normal 12 2 2 5 3 3 8" xfId="7744" xr:uid="{00000000-0005-0000-0000-0000C51C0000}"/>
    <cellStyle name="Normal 12 2 2 5 3 4" xfId="7745" xr:uid="{00000000-0005-0000-0000-0000C61C0000}"/>
    <cellStyle name="Normal 12 2 2 5 3 4 2" xfId="7746" xr:uid="{00000000-0005-0000-0000-0000C71C0000}"/>
    <cellStyle name="Normal 12 2 2 5 3 4 2 2" xfId="7747" xr:uid="{00000000-0005-0000-0000-0000C81C0000}"/>
    <cellStyle name="Normal 12 2 2 5 3 4 2 3" xfId="7748" xr:uid="{00000000-0005-0000-0000-0000C91C0000}"/>
    <cellStyle name="Normal 12 2 2 5 3 4 2 4" xfId="7749" xr:uid="{00000000-0005-0000-0000-0000CA1C0000}"/>
    <cellStyle name="Normal 12 2 2 5 3 4 2 5" xfId="7750" xr:uid="{00000000-0005-0000-0000-0000CB1C0000}"/>
    <cellStyle name="Normal 12 2 2 5 3 4 3" xfId="7751" xr:uid="{00000000-0005-0000-0000-0000CC1C0000}"/>
    <cellStyle name="Normal 12 2 2 5 3 4 4" xfId="7752" xr:uid="{00000000-0005-0000-0000-0000CD1C0000}"/>
    <cellStyle name="Normal 12 2 2 5 3 4 5" xfId="7753" xr:uid="{00000000-0005-0000-0000-0000CE1C0000}"/>
    <cellStyle name="Normal 12 2 2 5 3 4 6" xfId="7754" xr:uid="{00000000-0005-0000-0000-0000CF1C0000}"/>
    <cellStyle name="Normal 12 2 2 5 3 4 7" xfId="7755" xr:uid="{00000000-0005-0000-0000-0000D01C0000}"/>
    <cellStyle name="Normal 12 2 2 5 3 4 8" xfId="7756" xr:uid="{00000000-0005-0000-0000-0000D11C0000}"/>
    <cellStyle name="Normal 12 2 2 5 3 5" xfId="7757" xr:uid="{00000000-0005-0000-0000-0000D21C0000}"/>
    <cellStyle name="Normal 12 2 2 5 3 5 2" xfId="7758" xr:uid="{00000000-0005-0000-0000-0000D31C0000}"/>
    <cellStyle name="Normal 12 2 2 5 3 5 3" xfId="7759" xr:uid="{00000000-0005-0000-0000-0000D41C0000}"/>
    <cellStyle name="Normal 12 2 2 5 3 5 4" xfId="7760" xr:uid="{00000000-0005-0000-0000-0000D51C0000}"/>
    <cellStyle name="Normal 12 2 2 5 3 5 5" xfId="7761" xr:uid="{00000000-0005-0000-0000-0000D61C0000}"/>
    <cellStyle name="Normal 12 2 2 5 3 6" xfId="7762" xr:uid="{00000000-0005-0000-0000-0000D71C0000}"/>
    <cellStyle name="Normal 12 2 2 5 3 7" xfId="7763" xr:uid="{00000000-0005-0000-0000-0000D81C0000}"/>
    <cellStyle name="Normal 12 2 2 5 3 8" xfId="7764" xr:uid="{00000000-0005-0000-0000-0000D91C0000}"/>
    <cellStyle name="Normal 12 2 2 5 3 9" xfId="7765" xr:uid="{00000000-0005-0000-0000-0000DA1C0000}"/>
    <cellStyle name="Normal 12 2 2 5 4" xfId="7766" xr:uid="{00000000-0005-0000-0000-0000DB1C0000}"/>
    <cellStyle name="Normal 12 2 2 5 4 10" xfId="7767" xr:uid="{00000000-0005-0000-0000-0000DC1C0000}"/>
    <cellStyle name="Normal 12 2 2 5 4 2" xfId="7768" xr:uid="{00000000-0005-0000-0000-0000DD1C0000}"/>
    <cellStyle name="Normal 12 2 2 5 4 2 2" xfId="7769" xr:uid="{00000000-0005-0000-0000-0000DE1C0000}"/>
    <cellStyle name="Normal 12 2 2 5 4 2 2 2" xfId="7770" xr:uid="{00000000-0005-0000-0000-0000DF1C0000}"/>
    <cellStyle name="Normal 12 2 2 5 4 2 2 3" xfId="7771" xr:uid="{00000000-0005-0000-0000-0000E01C0000}"/>
    <cellStyle name="Normal 12 2 2 5 4 2 2 4" xfId="7772" xr:uid="{00000000-0005-0000-0000-0000E11C0000}"/>
    <cellStyle name="Normal 12 2 2 5 4 2 2 5" xfId="7773" xr:uid="{00000000-0005-0000-0000-0000E21C0000}"/>
    <cellStyle name="Normal 12 2 2 5 4 2 3" xfId="7774" xr:uid="{00000000-0005-0000-0000-0000E31C0000}"/>
    <cellStyle name="Normal 12 2 2 5 4 2 4" xfId="7775" xr:uid="{00000000-0005-0000-0000-0000E41C0000}"/>
    <cellStyle name="Normal 12 2 2 5 4 2 5" xfId="7776" xr:uid="{00000000-0005-0000-0000-0000E51C0000}"/>
    <cellStyle name="Normal 12 2 2 5 4 2 6" xfId="7777" xr:uid="{00000000-0005-0000-0000-0000E61C0000}"/>
    <cellStyle name="Normal 12 2 2 5 4 2 7" xfId="7778" xr:uid="{00000000-0005-0000-0000-0000E71C0000}"/>
    <cellStyle name="Normal 12 2 2 5 4 2 8" xfId="7779" xr:uid="{00000000-0005-0000-0000-0000E81C0000}"/>
    <cellStyle name="Normal 12 2 2 5 4 3" xfId="7780" xr:uid="{00000000-0005-0000-0000-0000E91C0000}"/>
    <cellStyle name="Normal 12 2 2 5 4 3 2" xfId="7781" xr:uid="{00000000-0005-0000-0000-0000EA1C0000}"/>
    <cellStyle name="Normal 12 2 2 5 4 3 2 2" xfId="7782" xr:uid="{00000000-0005-0000-0000-0000EB1C0000}"/>
    <cellStyle name="Normal 12 2 2 5 4 3 2 3" xfId="7783" xr:uid="{00000000-0005-0000-0000-0000EC1C0000}"/>
    <cellStyle name="Normal 12 2 2 5 4 3 2 4" xfId="7784" xr:uid="{00000000-0005-0000-0000-0000ED1C0000}"/>
    <cellStyle name="Normal 12 2 2 5 4 3 2 5" xfId="7785" xr:uid="{00000000-0005-0000-0000-0000EE1C0000}"/>
    <cellStyle name="Normal 12 2 2 5 4 3 3" xfId="7786" xr:uid="{00000000-0005-0000-0000-0000EF1C0000}"/>
    <cellStyle name="Normal 12 2 2 5 4 3 4" xfId="7787" xr:uid="{00000000-0005-0000-0000-0000F01C0000}"/>
    <cellStyle name="Normal 12 2 2 5 4 3 5" xfId="7788" xr:uid="{00000000-0005-0000-0000-0000F11C0000}"/>
    <cellStyle name="Normal 12 2 2 5 4 3 6" xfId="7789" xr:uid="{00000000-0005-0000-0000-0000F21C0000}"/>
    <cellStyle name="Normal 12 2 2 5 4 3 7" xfId="7790" xr:uid="{00000000-0005-0000-0000-0000F31C0000}"/>
    <cellStyle name="Normal 12 2 2 5 4 3 8" xfId="7791" xr:uid="{00000000-0005-0000-0000-0000F41C0000}"/>
    <cellStyle name="Normal 12 2 2 5 4 4" xfId="7792" xr:uid="{00000000-0005-0000-0000-0000F51C0000}"/>
    <cellStyle name="Normal 12 2 2 5 4 4 2" xfId="7793" xr:uid="{00000000-0005-0000-0000-0000F61C0000}"/>
    <cellStyle name="Normal 12 2 2 5 4 4 3" xfId="7794" xr:uid="{00000000-0005-0000-0000-0000F71C0000}"/>
    <cellStyle name="Normal 12 2 2 5 4 4 4" xfId="7795" xr:uid="{00000000-0005-0000-0000-0000F81C0000}"/>
    <cellStyle name="Normal 12 2 2 5 4 4 5" xfId="7796" xr:uid="{00000000-0005-0000-0000-0000F91C0000}"/>
    <cellStyle name="Normal 12 2 2 5 4 5" xfId="7797" xr:uid="{00000000-0005-0000-0000-0000FA1C0000}"/>
    <cellStyle name="Normal 12 2 2 5 4 6" xfId="7798" xr:uid="{00000000-0005-0000-0000-0000FB1C0000}"/>
    <cellStyle name="Normal 12 2 2 5 4 7" xfId="7799" xr:uid="{00000000-0005-0000-0000-0000FC1C0000}"/>
    <cellStyle name="Normal 12 2 2 5 4 8" xfId="7800" xr:uid="{00000000-0005-0000-0000-0000FD1C0000}"/>
    <cellStyle name="Normal 12 2 2 5 4 9" xfId="7801" xr:uid="{00000000-0005-0000-0000-0000FE1C0000}"/>
    <cellStyle name="Normal 12 2 2 5 5" xfId="7802" xr:uid="{00000000-0005-0000-0000-0000FF1C0000}"/>
    <cellStyle name="Normal 12 2 2 5 5 2" xfId="7803" xr:uid="{00000000-0005-0000-0000-0000001D0000}"/>
    <cellStyle name="Normal 12 2 2 5 5 2 2" xfId="7804" xr:uid="{00000000-0005-0000-0000-0000011D0000}"/>
    <cellStyle name="Normal 12 2 2 5 5 2 3" xfId="7805" xr:uid="{00000000-0005-0000-0000-0000021D0000}"/>
    <cellStyle name="Normal 12 2 2 5 5 2 4" xfId="7806" xr:uid="{00000000-0005-0000-0000-0000031D0000}"/>
    <cellStyle name="Normal 12 2 2 5 5 2 5" xfId="7807" xr:uid="{00000000-0005-0000-0000-0000041D0000}"/>
    <cellStyle name="Normal 12 2 2 5 5 3" xfId="7808" xr:uid="{00000000-0005-0000-0000-0000051D0000}"/>
    <cellStyle name="Normal 12 2 2 5 5 4" xfId="7809" xr:uid="{00000000-0005-0000-0000-0000061D0000}"/>
    <cellStyle name="Normal 12 2 2 5 5 5" xfId="7810" xr:uid="{00000000-0005-0000-0000-0000071D0000}"/>
    <cellStyle name="Normal 12 2 2 5 5 6" xfId="7811" xr:uid="{00000000-0005-0000-0000-0000081D0000}"/>
    <cellStyle name="Normal 12 2 2 5 5 7" xfId="7812" xr:uid="{00000000-0005-0000-0000-0000091D0000}"/>
    <cellStyle name="Normal 12 2 2 5 5 8" xfId="7813" xr:uid="{00000000-0005-0000-0000-00000A1D0000}"/>
    <cellStyle name="Normal 12 2 2 5 6" xfId="7814" xr:uid="{00000000-0005-0000-0000-00000B1D0000}"/>
    <cellStyle name="Normal 12 2 2 5 6 2" xfId="7815" xr:uid="{00000000-0005-0000-0000-00000C1D0000}"/>
    <cellStyle name="Normal 12 2 2 5 6 2 2" xfId="7816" xr:uid="{00000000-0005-0000-0000-00000D1D0000}"/>
    <cellStyle name="Normal 12 2 2 5 6 2 3" xfId="7817" xr:uid="{00000000-0005-0000-0000-00000E1D0000}"/>
    <cellStyle name="Normal 12 2 2 5 6 2 4" xfId="7818" xr:uid="{00000000-0005-0000-0000-00000F1D0000}"/>
    <cellStyle name="Normal 12 2 2 5 6 2 5" xfId="7819" xr:uid="{00000000-0005-0000-0000-0000101D0000}"/>
    <cellStyle name="Normal 12 2 2 5 6 3" xfId="7820" xr:uid="{00000000-0005-0000-0000-0000111D0000}"/>
    <cellStyle name="Normal 12 2 2 5 6 4" xfId="7821" xr:uid="{00000000-0005-0000-0000-0000121D0000}"/>
    <cellStyle name="Normal 12 2 2 5 6 5" xfId="7822" xr:uid="{00000000-0005-0000-0000-0000131D0000}"/>
    <cellStyle name="Normal 12 2 2 5 6 6" xfId="7823" xr:uid="{00000000-0005-0000-0000-0000141D0000}"/>
    <cellStyle name="Normal 12 2 2 5 6 7" xfId="7824" xr:uid="{00000000-0005-0000-0000-0000151D0000}"/>
    <cellStyle name="Normal 12 2 2 5 6 8" xfId="7825" xr:uid="{00000000-0005-0000-0000-0000161D0000}"/>
    <cellStyle name="Normal 12 2 2 5 7" xfId="7826" xr:uid="{00000000-0005-0000-0000-0000171D0000}"/>
    <cellStyle name="Normal 12 2 2 5 7 2" xfId="7827" xr:uid="{00000000-0005-0000-0000-0000181D0000}"/>
    <cellStyle name="Normal 12 2 2 5 7 3" xfId="7828" xr:uid="{00000000-0005-0000-0000-0000191D0000}"/>
    <cellStyle name="Normal 12 2 2 5 7 4" xfId="7829" xr:uid="{00000000-0005-0000-0000-00001A1D0000}"/>
    <cellStyle name="Normal 12 2 2 5 7 5" xfId="7830" xr:uid="{00000000-0005-0000-0000-00001B1D0000}"/>
    <cellStyle name="Normal 12 2 2 5 8" xfId="7831" xr:uid="{00000000-0005-0000-0000-00001C1D0000}"/>
    <cellStyle name="Normal 12 2 2 5 9" xfId="7832" xr:uid="{00000000-0005-0000-0000-00001D1D0000}"/>
    <cellStyle name="Normal 12 2 2 6" xfId="7833" xr:uid="{00000000-0005-0000-0000-00001E1D0000}"/>
    <cellStyle name="Normal 12 2 2 6 10" xfId="7834" xr:uid="{00000000-0005-0000-0000-00001F1D0000}"/>
    <cellStyle name="Normal 12 2 2 6 11" xfId="7835" xr:uid="{00000000-0005-0000-0000-0000201D0000}"/>
    <cellStyle name="Normal 12 2 2 6 12" xfId="7836" xr:uid="{00000000-0005-0000-0000-0000211D0000}"/>
    <cellStyle name="Normal 12 2 2 6 13" xfId="7837" xr:uid="{00000000-0005-0000-0000-0000221D0000}"/>
    <cellStyle name="Normal 12 2 2 6 2" xfId="7838" xr:uid="{00000000-0005-0000-0000-0000231D0000}"/>
    <cellStyle name="Normal 12 2 2 6 2 10" xfId="7839" xr:uid="{00000000-0005-0000-0000-0000241D0000}"/>
    <cellStyle name="Normal 12 2 2 6 2 11" xfId="7840" xr:uid="{00000000-0005-0000-0000-0000251D0000}"/>
    <cellStyle name="Normal 12 2 2 6 2 2" xfId="7841" xr:uid="{00000000-0005-0000-0000-0000261D0000}"/>
    <cellStyle name="Normal 12 2 2 6 2 2 10" xfId="7842" xr:uid="{00000000-0005-0000-0000-0000271D0000}"/>
    <cellStyle name="Normal 12 2 2 6 2 2 2" xfId="7843" xr:uid="{00000000-0005-0000-0000-0000281D0000}"/>
    <cellStyle name="Normal 12 2 2 6 2 2 2 2" xfId="7844" xr:uid="{00000000-0005-0000-0000-0000291D0000}"/>
    <cellStyle name="Normal 12 2 2 6 2 2 2 2 2" xfId="7845" xr:uid="{00000000-0005-0000-0000-00002A1D0000}"/>
    <cellStyle name="Normal 12 2 2 6 2 2 2 2 3" xfId="7846" xr:uid="{00000000-0005-0000-0000-00002B1D0000}"/>
    <cellStyle name="Normal 12 2 2 6 2 2 2 2 4" xfId="7847" xr:uid="{00000000-0005-0000-0000-00002C1D0000}"/>
    <cellStyle name="Normal 12 2 2 6 2 2 2 2 5" xfId="7848" xr:uid="{00000000-0005-0000-0000-00002D1D0000}"/>
    <cellStyle name="Normal 12 2 2 6 2 2 2 3" xfId="7849" xr:uid="{00000000-0005-0000-0000-00002E1D0000}"/>
    <cellStyle name="Normal 12 2 2 6 2 2 2 4" xfId="7850" xr:uid="{00000000-0005-0000-0000-00002F1D0000}"/>
    <cellStyle name="Normal 12 2 2 6 2 2 2 5" xfId="7851" xr:uid="{00000000-0005-0000-0000-0000301D0000}"/>
    <cellStyle name="Normal 12 2 2 6 2 2 2 6" xfId="7852" xr:uid="{00000000-0005-0000-0000-0000311D0000}"/>
    <cellStyle name="Normal 12 2 2 6 2 2 2 7" xfId="7853" xr:uid="{00000000-0005-0000-0000-0000321D0000}"/>
    <cellStyle name="Normal 12 2 2 6 2 2 2 8" xfId="7854" xr:uid="{00000000-0005-0000-0000-0000331D0000}"/>
    <cellStyle name="Normal 12 2 2 6 2 2 3" xfId="7855" xr:uid="{00000000-0005-0000-0000-0000341D0000}"/>
    <cellStyle name="Normal 12 2 2 6 2 2 3 2" xfId="7856" xr:uid="{00000000-0005-0000-0000-0000351D0000}"/>
    <cellStyle name="Normal 12 2 2 6 2 2 3 2 2" xfId="7857" xr:uid="{00000000-0005-0000-0000-0000361D0000}"/>
    <cellStyle name="Normal 12 2 2 6 2 2 3 2 3" xfId="7858" xr:uid="{00000000-0005-0000-0000-0000371D0000}"/>
    <cellStyle name="Normal 12 2 2 6 2 2 3 2 4" xfId="7859" xr:uid="{00000000-0005-0000-0000-0000381D0000}"/>
    <cellStyle name="Normal 12 2 2 6 2 2 3 2 5" xfId="7860" xr:uid="{00000000-0005-0000-0000-0000391D0000}"/>
    <cellStyle name="Normal 12 2 2 6 2 2 3 3" xfId="7861" xr:uid="{00000000-0005-0000-0000-00003A1D0000}"/>
    <cellStyle name="Normal 12 2 2 6 2 2 3 4" xfId="7862" xr:uid="{00000000-0005-0000-0000-00003B1D0000}"/>
    <cellStyle name="Normal 12 2 2 6 2 2 3 5" xfId="7863" xr:uid="{00000000-0005-0000-0000-00003C1D0000}"/>
    <cellStyle name="Normal 12 2 2 6 2 2 3 6" xfId="7864" xr:uid="{00000000-0005-0000-0000-00003D1D0000}"/>
    <cellStyle name="Normal 12 2 2 6 2 2 3 7" xfId="7865" xr:uid="{00000000-0005-0000-0000-00003E1D0000}"/>
    <cellStyle name="Normal 12 2 2 6 2 2 3 8" xfId="7866" xr:uid="{00000000-0005-0000-0000-00003F1D0000}"/>
    <cellStyle name="Normal 12 2 2 6 2 2 4" xfId="7867" xr:uid="{00000000-0005-0000-0000-0000401D0000}"/>
    <cellStyle name="Normal 12 2 2 6 2 2 4 2" xfId="7868" xr:uid="{00000000-0005-0000-0000-0000411D0000}"/>
    <cellStyle name="Normal 12 2 2 6 2 2 4 3" xfId="7869" xr:uid="{00000000-0005-0000-0000-0000421D0000}"/>
    <cellStyle name="Normal 12 2 2 6 2 2 4 4" xfId="7870" xr:uid="{00000000-0005-0000-0000-0000431D0000}"/>
    <cellStyle name="Normal 12 2 2 6 2 2 4 5" xfId="7871" xr:uid="{00000000-0005-0000-0000-0000441D0000}"/>
    <cellStyle name="Normal 12 2 2 6 2 2 5" xfId="7872" xr:uid="{00000000-0005-0000-0000-0000451D0000}"/>
    <cellStyle name="Normal 12 2 2 6 2 2 6" xfId="7873" xr:uid="{00000000-0005-0000-0000-0000461D0000}"/>
    <cellStyle name="Normal 12 2 2 6 2 2 7" xfId="7874" xr:uid="{00000000-0005-0000-0000-0000471D0000}"/>
    <cellStyle name="Normal 12 2 2 6 2 2 8" xfId="7875" xr:uid="{00000000-0005-0000-0000-0000481D0000}"/>
    <cellStyle name="Normal 12 2 2 6 2 2 9" xfId="7876" xr:uid="{00000000-0005-0000-0000-0000491D0000}"/>
    <cellStyle name="Normal 12 2 2 6 2 3" xfId="7877" xr:uid="{00000000-0005-0000-0000-00004A1D0000}"/>
    <cellStyle name="Normal 12 2 2 6 2 3 2" xfId="7878" xr:uid="{00000000-0005-0000-0000-00004B1D0000}"/>
    <cellStyle name="Normal 12 2 2 6 2 3 2 2" xfId="7879" xr:uid="{00000000-0005-0000-0000-00004C1D0000}"/>
    <cellStyle name="Normal 12 2 2 6 2 3 2 3" xfId="7880" xr:uid="{00000000-0005-0000-0000-00004D1D0000}"/>
    <cellStyle name="Normal 12 2 2 6 2 3 2 4" xfId="7881" xr:uid="{00000000-0005-0000-0000-00004E1D0000}"/>
    <cellStyle name="Normal 12 2 2 6 2 3 2 5" xfId="7882" xr:uid="{00000000-0005-0000-0000-00004F1D0000}"/>
    <cellStyle name="Normal 12 2 2 6 2 3 3" xfId="7883" xr:uid="{00000000-0005-0000-0000-0000501D0000}"/>
    <cellStyle name="Normal 12 2 2 6 2 3 4" xfId="7884" xr:uid="{00000000-0005-0000-0000-0000511D0000}"/>
    <cellStyle name="Normal 12 2 2 6 2 3 5" xfId="7885" xr:uid="{00000000-0005-0000-0000-0000521D0000}"/>
    <cellStyle name="Normal 12 2 2 6 2 3 6" xfId="7886" xr:uid="{00000000-0005-0000-0000-0000531D0000}"/>
    <cellStyle name="Normal 12 2 2 6 2 3 7" xfId="7887" xr:uid="{00000000-0005-0000-0000-0000541D0000}"/>
    <cellStyle name="Normal 12 2 2 6 2 3 8" xfId="7888" xr:uid="{00000000-0005-0000-0000-0000551D0000}"/>
    <cellStyle name="Normal 12 2 2 6 2 4" xfId="7889" xr:uid="{00000000-0005-0000-0000-0000561D0000}"/>
    <cellStyle name="Normal 12 2 2 6 2 4 2" xfId="7890" xr:uid="{00000000-0005-0000-0000-0000571D0000}"/>
    <cellStyle name="Normal 12 2 2 6 2 4 2 2" xfId="7891" xr:uid="{00000000-0005-0000-0000-0000581D0000}"/>
    <cellStyle name="Normal 12 2 2 6 2 4 2 3" xfId="7892" xr:uid="{00000000-0005-0000-0000-0000591D0000}"/>
    <cellStyle name="Normal 12 2 2 6 2 4 2 4" xfId="7893" xr:uid="{00000000-0005-0000-0000-00005A1D0000}"/>
    <cellStyle name="Normal 12 2 2 6 2 4 2 5" xfId="7894" xr:uid="{00000000-0005-0000-0000-00005B1D0000}"/>
    <cellStyle name="Normal 12 2 2 6 2 4 3" xfId="7895" xr:uid="{00000000-0005-0000-0000-00005C1D0000}"/>
    <cellStyle name="Normal 12 2 2 6 2 4 4" xfId="7896" xr:uid="{00000000-0005-0000-0000-00005D1D0000}"/>
    <cellStyle name="Normal 12 2 2 6 2 4 5" xfId="7897" xr:uid="{00000000-0005-0000-0000-00005E1D0000}"/>
    <cellStyle name="Normal 12 2 2 6 2 4 6" xfId="7898" xr:uid="{00000000-0005-0000-0000-00005F1D0000}"/>
    <cellStyle name="Normal 12 2 2 6 2 4 7" xfId="7899" xr:uid="{00000000-0005-0000-0000-0000601D0000}"/>
    <cellStyle name="Normal 12 2 2 6 2 4 8" xfId="7900" xr:uid="{00000000-0005-0000-0000-0000611D0000}"/>
    <cellStyle name="Normal 12 2 2 6 2 5" xfId="7901" xr:uid="{00000000-0005-0000-0000-0000621D0000}"/>
    <cellStyle name="Normal 12 2 2 6 2 5 2" xfId="7902" xr:uid="{00000000-0005-0000-0000-0000631D0000}"/>
    <cellStyle name="Normal 12 2 2 6 2 5 3" xfId="7903" xr:uid="{00000000-0005-0000-0000-0000641D0000}"/>
    <cellStyle name="Normal 12 2 2 6 2 5 4" xfId="7904" xr:uid="{00000000-0005-0000-0000-0000651D0000}"/>
    <cellStyle name="Normal 12 2 2 6 2 5 5" xfId="7905" xr:uid="{00000000-0005-0000-0000-0000661D0000}"/>
    <cellStyle name="Normal 12 2 2 6 2 6" xfId="7906" xr:uid="{00000000-0005-0000-0000-0000671D0000}"/>
    <cellStyle name="Normal 12 2 2 6 2 7" xfId="7907" xr:uid="{00000000-0005-0000-0000-0000681D0000}"/>
    <cellStyle name="Normal 12 2 2 6 2 8" xfId="7908" xr:uid="{00000000-0005-0000-0000-0000691D0000}"/>
    <cellStyle name="Normal 12 2 2 6 2 9" xfId="7909" xr:uid="{00000000-0005-0000-0000-00006A1D0000}"/>
    <cellStyle name="Normal 12 2 2 6 3" xfId="7910" xr:uid="{00000000-0005-0000-0000-00006B1D0000}"/>
    <cellStyle name="Normal 12 2 2 6 3 10" xfId="7911" xr:uid="{00000000-0005-0000-0000-00006C1D0000}"/>
    <cellStyle name="Normal 12 2 2 6 3 11" xfId="7912" xr:uid="{00000000-0005-0000-0000-00006D1D0000}"/>
    <cellStyle name="Normal 12 2 2 6 3 2" xfId="7913" xr:uid="{00000000-0005-0000-0000-00006E1D0000}"/>
    <cellStyle name="Normal 12 2 2 6 3 2 10" xfId="7914" xr:uid="{00000000-0005-0000-0000-00006F1D0000}"/>
    <cellStyle name="Normal 12 2 2 6 3 2 2" xfId="7915" xr:uid="{00000000-0005-0000-0000-0000701D0000}"/>
    <cellStyle name="Normal 12 2 2 6 3 2 2 2" xfId="7916" xr:uid="{00000000-0005-0000-0000-0000711D0000}"/>
    <cellStyle name="Normal 12 2 2 6 3 2 2 2 2" xfId="7917" xr:uid="{00000000-0005-0000-0000-0000721D0000}"/>
    <cellStyle name="Normal 12 2 2 6 3 2 2 2 3" xfId="7918" xr:uid="{00000000-0005-0000-0000-0000731D0000}"/>
    <cellStyle name="Normal 12 2 2 6 3 2 2 2 4" xfId="7919" xr:uid="{00000000-0005-0000-0000-0000741D0000}"/>
    <cellStyle name="Normal 12 2 2 6 3 2 2 2 5" xfId="7920" xr:uid="{00000000-0005-0000-0000-0000751D0000}"/>
    <cellStyle name="Normal 12 2 2 6 3 2 2 3" xfId="7921" xr:uid="{00000000-0005-0000-0000-0000761D0000}"/>
    <cellStyle name="Normal 12 2 2 6 3 2 2 4" xfId="7922" xr:uid="{00000000-0005-0000-0000-0000771D0000}"/>
    <cellStyle name="Normal 12 2 2 6 3 2 2 5" xfId="7923" xr:uid="{00000000-0005-0000-0000-0000781D0000}"/>
    <cellStyle name="Normal 12 2 2 6 3 2 2 6" xfId="7924" xr:uid="{00000000-0005-0000-0000-0000791D0000}"/>
    <cellStyle name="Normal 12 2 2 6 3 2 2 7" xfId="7925" xr:uid="{00000000-0005-0000-0000-00007A1D0000}"/>
    <cellStyle name="Normal 12 2 2 6 3 2 2 8" xfId="7926" xr:uid="{00000000-0005-0000-0000-00007B1D0000}"/>
    <cellStyle name="Normal 12 2 2 6 3 2 3" xfId="7927" xr:uid="{00000000-0005-0000-0000-00007C1D0000}"/>
    <cellStyle name="Normal 12 2 2 6 3 2 3 2" xfId="7928" xr:uid="{00000000-0005-0000-0000-00007D1D0000}"/>
    <cellStyle name="Normal 12 2 2 6 3 2 3 2 2" xfId="7929" xr:uid="{00000000-0005-0000-0000-00007E1D0000}"/>
    <cellStyle name="Normal 12 2 2 6 3 2 3 2 3" xfId="7930" xr:uid="{00000000-0005-0000-0000-00007F1D0000}"/>
    <cellStyle name="Normal 12 2 2 6 3 2 3 2 4" xfId="7931" xr:uid="{00000000-0005-0000-0000-0000801D0000}"/>
    <cellStyle name="Normal 12 2 2 6 3 2 3 2 5" xfId="7932" xr:uid="{00000000-0005-0000-0000-0000811D0000}"/>
    <cellStyle name="Normal 12 2 2 6 3 2 3 3" xfId="7933" xr:uid="{00000000-0005-0000-0000-0000821D0000}"/>
    <cellStyle name="Normal 12 2 2 6 3 2 3 4" xfId="7934" xr:uid="{00000000-0005-0000-0000-0000831D0000}"/>
    <cellStyle name="Normal 12 2 2 6 3 2 3 5" xfId="7935" xr:uid="{00000000-0005-0000-0000-0000841D0000}"/>
    <cellStyle name="Normal 12 2 2 6 3 2 3 6" xfId="7936" xr:uid="{00000000-0005-0000-0000-0000851D0000}"/>
    <cellStyle name="Normal 12 2 2 6 3 2 3 7" xfId="7937" xr:uid="{00000000-0005-0000-0000-0000861D0000}"/>
    <cellStyle name="Normal 12 2 2 6 3 2 3 8" xfId="7938" xr:uid="{00000000-0005-0000-0000-0000871D0000}"/>
    <cellStyle name="Normal 12 2 2 6 3 2 4" xfId="7939" xr:uid="{00000000-0005-0000-0000-0000881D0000}"/>
    <cellStyle name="Normal 12 2 2 6 3 2 4 2" xfId="7940" xr:uid="{00000000-0005-0000-0000-0000891D0000}"/>
    <cellStyle name="Normal 12 2 2 6 3 2 4 3" xfId="7941" xr:uid="{00000000-0005-0000-0000-00008A1D0000}"/>
    <cellStyle name="Normal 12 2 2 6 3 2 4 4" xfId="7942" xr:uid="{00000000-0005-0000-0000-00008B1D0000}"/>
    <cellStyle name="Normal 12 2 2 6 3 2 4 5" xfId="7943" xr:uid="{00000000-0005-0000-0000-00008C1D0000}"/>
    <cellStyle name="Normal 12 2 2 6 3 2 5" xfId="7944" xr:uid="{00000000-0005-0000-0000-00008D1D0000}"/>
    <cellStyle name="Normal 12 2 2 6 3 2 6" xfId="7945" xr:uid="{00000000-0005-0000-0000-00008E1D0000}"/>
    <cellStyle name="Normal 12 2 2 6 3 2 7" xfId="7946" xr:uid="{00000000-0005-0000-0000-00008F1D0000}"/>
    <cellStyle name="Normal 12 2 2 6 3 2 8" xfId="7947" xr:uid="{00000000-0005-0000-0000-0000901D0000}"/>
    <cellStyle name="Normal 12 2 2 6 3 2 9" xfId="7948" xr:uid="{00000000-0005-0000-0000-0000911D0000}"/>
    <cellStyle name="Normal 12 2 2 6 3 3" xfId="7949" xr:uid="{00000000-0005-0000-0000-0000921D0000}"/>
    <cellStyle name="Normal 12 2 2 6 3 3 2" xfId="7950" xr:uid="{00000000-0005-0000-0000-0000931D0000}"/>
    <cellStyle name="Normal 12 2 2 6 3 3 2 2" xfId="7951" xr:uid="{00000000-0005-0000-0000-0000941D0000}"/>
    <cellStyle name="Normal 12 2 2 6 3 3 2 3" xfId="7952" xr:uid="{00000000-0005-0000-0000-0000951D0000}"/>
    <cellStyle name="Normal 12 2 2 6 3 3 2 4" xfId="7953" xr:uid="{00000000-0005-0000-0000-0000961D0000}"/>
    <cellStyle name="Normal 12 2 2 6 3 3 2 5" xfId="7954" xr:uid="{00000000-0005-0000-0000-0000971D0000}"/>
    <cellStyle name="Normal 12 2 2 6 3 3 3" xfId="7955" xr:uid="{00000000-0005-0000-0000-0000981D0000}"/>
    <cellStyle name="Normal 12 2 2 6 3 3 4" xfId="7956" xr:uid="{00000000-0005-0000-0000-0000991D0000}"/>
    <cellStyle name="Normal 12 2 2 6 3 3 5" xfId="7957" xr:uid="{00000000-0005-0000-0000-00009A1D0000}"/>
    <cellStyle name="Normal 12 2 2 6 3 3 6" xfId="7958" xr:uid="{00000000-0005-0000-0000-00009B1D0000}"/>
    <cellStyle name="Normal 12 2 2 6 3 3 7" xfId="7959" xr:uid="{00000000-0005-0000-0000-00009C1D0000}"/>
    <cellStyle name="Normal 12 2 2 6 3 3 8" xfId="7960" xr:uid="{00000000-0005-0000-0000-00009D1D0000}"/>
    <cellStyle name="Normal 12 2 2 6 3 4" xfId="7961" xr:uid="{00000000-0005-0000-0000-00009E1D0000}"/>
    <cellStyle name="Normal 12 2 2 6 3 4 2" xfId="7962" xr:uid="{00000000-0005-0000-0000-00009F1D0000}"/>
    <cellStyle name="Normal 12 2 2 6 3 4 2 2" xfId="7963" xr:uid="{00000000-0005-0000-0000-0000A01D0000}"/>
    <cellStyle name="Normal 12 2 2 6 3 4 2 3" xfId="7964" xr:uid="{00000000-0005-0000-0000-0000A11D0000}"/>
    <cellStyle name="Normal 12 2 2 6 3 4 2 4" xfId="7965" xr:uid="{00000000-0005-0000-0000-0000A21D0000}"/>
    <cellStyle name="Normal 12 2 2 6 3 4 2 5" xfId="7966" xr:uid="{00000000-0005-0000-0000-0000A31D0000}"/>
    <cellStyle name="Normal 12 2 2 6 3 4 3" xfId="7967" xr:uid="{00000000-0005-0000-0000-0000A41D0000}"/>
    <cellStyle name="Normal 12 2 2 6 3 4 4" xfId="7968" xr:uid="{00000000-0005-0000-0000-0000A51D0000}"/>
    <cellStyle name="Normal 12 2 2 6 3 4 5" xfId="7969" xr:uid="{00000000-0005-0000-0000-0000A61D0000}"/>
    <cellStyle name="Normal 12 2 2 6 3 4 6" xfId="7970" xr:uid="{00000000-0005-0000-0000-0000A71D0000}"/>
    <cellStyle name="Normal 12 2 2 6 3 4 7" xfId="7971" xr:uid="{00000000-0005-0000-0000-0000A81D0000}"/>
    <cellStyle name="Normal 12 2 2 6 3 4 8" xfId="7972" xr:uid="{00000000-0005-0000-0000-0000A91D0000}"/>
    <cellStyle name="Normal 12 2 2 6 3 5" xfId="7973" xr:uid="{00000000-0005-0000-0000-0000AA1D0000}"/>
    <cellStyle name="Normal 12 2 2 6 3 5 2" xfId="7974" xr:uid="{00000000-0005-0000-0000-0000AB1D0000}"/>
    <cellStyle name="Normal 12 2 2 6 3 5 3" xfId="7975" xr:uid="{00000000-0005-0000-0000-0000AC1D0000}"/>
    <cellStyle name="Normal 12 2 2 6 3 5 4" xfId="7976" xr:uid="{00000000-0005-0000-0000-0000AD1D0000}"/>
    <cellStyle name="Normal 12 2 2 6 3 5 5" xfId="7977" xr:uid="{00000000-0005-0000-0000-0000AE1D0000}"/>
    <cellStyle name="Normal 12 2 2 6 3 6" xfId="7978" xr:uid="{00000000-0005-0000-0000-0000AF1D0000}"/>
    <cellStyle name="Normal 12 2 2 6 3 7" xfId="7979" xr:uid="{00000000-0005-0000-0000-0000B01D0000}"/>
    <cellStyle name="Normal 12 2 2 6 3 8" xfId="7980" xr:uid="{00000000-0005-0000-0000-0000B11D0000}"/>
    <cellStyle name="Normal 12 2 2 6 3 9" xfId="7981" xr:uid="{00000000-0005-0000-0000-0000B21D0000}"/>
    <cellStyle name="Normal 12 2 2 6 4" xfId="7982" xr:uid="{00000000-0005-0000-0000-0000B31D0000}"/>
    <cellStyle name="Normal 12 2 2 6 4 10" xfId="7983" xr:uid="{00000000-0005-0000-0000-0000B41D0000}"/>
    <cellStyle name="Normal 12 2 2 6 4 2" xfId="7984" xr:uid="{00000000-0005-0000-0000-0000B51D0000}"/>
    <cellStyle name="Normal 12 2 2 6 4 2 2" xfId="7985" xr:uid="{00000000-0005-0000-0000-0000B61D0000}"/>
    <cellStyle name="Normal 12 2 2 6 4 2 2 2" xfId="7986" xr:uid="{00000000-0005-0000-0000-0000B71D0000}"/>
    <cellStyle name="Normal 12 2 2 6 4 2 2 3" xfId="7987" xr:uid="{00000000-0005-0000-0000-0000B81D0000}"/>
    <cellStyle name="Normal 12 2 2 6 4 2 2 4" xfId="7988" xr:uid="{00000000-0005-0000-0000-0000B91D0000}"/>
    <cellStyle name="Normal 12 2 2 6 4 2 2 5" xfId="7989" xr:uid="{00000000-0005-0000-0000-0000BA1D0000}"/>
    <cellStyle name="Normal 12 2 2 6 4 2 3" xfId="7990" xr:uid="{00000000-0005-0000-0000-0000BB1D0000}"/>
    <cellStyle name="Normal 12 2 2 6 4 2 4" xfId="7991" xr:uid="{00000000-0005-0000-0000-0000BC1D0000}"/>
    <cellStyle name="Normal 12 2 2 6 4 2 5" xfId="7992" xr:uid="{00000000-0005-0000-0000-0000BD1D0000}"/>
    <cellStyle name="Normal 12 2 2 6 4 2 6" xfId="7993" xr:uid="{00000000-0005-0000-0000-0000BE1D0000}"/>
    <cellStyle name="Normal 12 2 2 6 4 2 7" xfId="7994" xr:uid="{00000000-0005-0000-0000-0000BF1D0000}"/>
    <cellStyle name="Normal 12 2 2 6 4 2 8" xfId="7995" xr:uid="{00000000-0005-0000-0000-0000C01D0000}"/>
    <cellStyle name="Normal 12 2 2 6 4 3" xfId="7996" xr:uid="{00000000-0005-0000-0000-0000C11D0000}"/>
    <cellStyle name="Normal 12 2 2 6 4 3 2" xfId="7997" xr:uid="{00000000-0005-0000-0000-0000C21D0000}"/>
    <cellStyle name="Normal 12 2 2 6 4 3 2 2" xfId="7998" xr:uid="{00000000-0005-0000-0000-0000C31D0000}"/>
    <cellStyle name="Normal 12 2 2 6 4 3 2 3" xfId="7999" xr:uid="{00000000-0005-0000-0000-0000C41D0000}"/>
    <cellStyle name="Normal 12 2 2 6 4 3 2 4" xfId="8000" xr:uid="{00000000-0005-0000-0000-0000C51D0000}"/>
    <cellStyle name="Normal 12 2 2 6 4 3 2 5" xfId="8001" xr:uid="{00000000-0005-0000-0000-0000C61D0000}"/>
    <cellStyle name="Normal 12 2 2 6 4 3 3" xfId="8002" xr:uid="{00000000-0005-0000-0000-0000C71D0000}"/>
    <cellStyle name="Normal 12 2 2 6 4 3 4" xfId="8003" xr:uid="{00000000-0005-0000-0000-0000C81D0000}"/>
    <cellStyle name="Normal 12 2 2 6 4 3 5" xfId="8004" xr:uid="{00000000-0005-0000-0000-0000C91D0000}"/>
    <cellStyle name="Normal 12 2 2 6 4 3 6" xfId="8005" xr:uid="{00000000-0005-0000-0000-0000CA1D0000}"/>
    <cellStyle name="Normal 12 2 2 6 4 3 7" xfId="8006" xr:uid="{00000000-0005-0000-0000-0000CB1D0000}"/>
    <cellStyle name="Normal 12 2 2 6 4 3 8" xfId="8007" xr:uid="{00000000-0005-0000-0000-0000CC1D0000}"/>
    <cellStyle name="Normal 12 2 2 6 4 4" xfId="8008" xr:uid="{00000000-0005-0000-0000-0000CD1D0000}"/>
    <cellStyle name="Normal 12 2 2 6 4 4 2" xfId="8009" xr:uid="{00000000-0005-0000-0000-0000CE1D0000}"/>
    <cellStyle name="Normal 12 2 2 6 4 4 3" xfId="8010" xr:uid="{00000000-0005-0000-0000-0000CF1D0000}"/>
    <cellStyle name="Normal 12 2 2 6 4 4 4" xfId="8011" xr:uid="{00000000-0005-0000-0000-0000D01D0000}"/>
    <cellStyle name="Normal 12 2 2 6 4 4 5" xfId="8012" xr:uid="{00000000-0005-0000-0000-0000D11D0000}"/>
    <cellStyle name="Normal 12 2 2 6 4 5" xfId="8013" xr:uid="{00000000-0005-0000-0000-0000D21D0000}"/>
    <cellStyle name="Normal 12 2 2 6 4 6" xfId="8014" xr:uid="{00000000-0005-0000-0000-0000D31D0000}"/>
    <cellStyle name="Normal 12 2 2 6 4 7" xfId="8015" xr:uid="{00000000-0005-0000-0000-0000D41D0000}"/>
    <cellStyle name="Normal 12 2 2 6 4 8" xfId="8016" xr:uid="{00000000-0005-0000-0000-0000D51D0000}"/>
    <cellStyle name="Normal 12 2 2 6 4 9" xfId="8017" xr:uid="{00000000-0005-0000-0000-0000D61D0000}"/>
    <cellStyle name="Normal 12 2 2 6 5" xfId="8018" xr:uid="{00000000-0005-0000-0000-0000D71D0000}"/>
    <cellStyle name="Normal 12 2 2 6 5 2" xfId="8019" xr:uid="{00000000-0005-0000-0000-0000D81D0000}"/>
    <cellStyle name="Normal 12 2 2 6 5 2 2" xfId="8020" xr:uid="{00000000-0005-0000-0000-0000D91D0000}"/>
    <cellStyle name="Normal 12 2 2 6 5 2 3" xfId="8021" xr:uid="{00000000-0005-0000-0000-0000DA1D0000}"/>
    <cellStyle name="Normal 12 2 2 6 5 2 4" xfId="8022" xr:uid="{00000000-0005-0000-0000-0000DB1D0000}"/>
    <cellStyle name="Normal 12 2 2 6 5 2 5" xfId="8023" xr:uid="{00000000-0005-0000-0000-0000DC1D0000}"/>
    <cellStyle name="Normal 12 2 2 6 5 3" xfId="8024" xr:uid="{00000000-0005-0000-0000-0000DD1D0000}"/>
    <cellStyle name="Normal 12 2 2 6 5 4" xfId="8025" xr:uid="{00000000-0005-0000-0000-0000DE1D0000}"/>
    <cellStyle name="Normal 12 2 2 6 5 5" xfId="8026" xr:uid="{00000000-0005-0000-0000-0000DF1D0000}"/>
    <cellStyle name="Normal 12 2 2 6 5 6" xfId="8027" xr:uid="{00000000-0005-0000-0000-0000E01D0000}"/>
    <cellStyle name="Normal 12 2 2 6 5 7" xfId="8028" xr:uid="{00000000-0005-0000-0000-0000E11D0000}"/>
    <cellStyle name="Normal 12 2 2 6 5 8" xfId="8029" xr:uid="{00000000-0005-0000-0000-0000E21D0000}"/>
    <cellStyle name="Normal 12 2 2 6 6" xfId="8030" xr:uid="{00000000-0005-0000-0000-0000E31D0000}"/>
    <cellStyle name="Normal 12 2 2 6 6 2" xfId="8031" xr:uid="{00000000-0005-0000-0000-0000E41D0000}"/>
    <cellStyle name="Normal 12 2 2 6 6 2 2" xfId="8032" xr:uid="{00000000-0005-0000-0000-0000E51D0000}"/>
    <cellStyle name="Normal 12 2 2 6 6 2 3" xfId="8033" xr:uid="{00000000-0005-0000-0000-0000E61D0000}"/>
    <cellStyle name="Normal 12 2 2 6 6 2 4" xfId="8034" xr:uid="{00000000-0005-0000-0000-0000E71D0000}"/>
    <cellStyle name="Normal 12 2 2 6 6 2 5" xfId="8035" xr:uid="{00000000-0005-0000-0000-0000E81D0000}"/>
    <cellStyle name="Normal 12 2 2 6 6 3" xfId="8036" xr:uid="{00000000-0005-0000-0000-0000E91D0000}"/>
    <cellStyle name="Normal 12 2 2 6 6 4" xfId="8037" xr:uid="{00000000-0005-0000-0000-0000EA1D0000}"/>
    <cellStyle name="Normal 12 2 2 6 6 5" xfId="8038" xr:uid="{00000000-0005-0000-0000-0000EB1D0000}"/>
    <cellStyle name="Normal 12 2 2 6 6 6" xfId="8039" xr:uid="{00000000-0005-0000-0000-0000EC1D0000}"/>
    <cellStyle name="Normal 12 2 2 6 6 7" xfId="8040" xr:uid="{00000000-0005-0000-0000-0000ED1D0000}"/>
    <cellStyle name="Normal 12 2 2 6 6 8" xfId="8041" xr:uid="{00000000-0005-0000-0000-0000EE1D0000}"/>
    <cellStyle name="Normal 12 2 2 6 7" xfId="8042" xr:uid="{00000000-0005-0000-0000-0000EF1D0000}"/>
    <cellStyle name="Normal 12 2 2 6 7 2" xfId="8043" xr:uid="{00000000-0005-0000-0000-0000F01D0000}"/>
    <cellStyle name="Normal 12 2 2 6 7 3" xfId="8044" xr:uid="{00000000-0005-0000-0000-0000F11D0000}"/>
    <cellStyle name="Normal 12 2 2 6 7 4" xfId="8045" xr:uid="{00000000-0005-0000-0000-0000F21D0000}"/>
    <cellStyle name="Normal 12 2 2 6 7 5" xfId="8046" xr:uid="{00000000-0005-0000-0000-0000F31D0000}"/>
    <cellStyle name="Normal 12 2 2 6 8" xfId="8047" xr:uid="{00000000-0005-0000-0000-0000F41D0000}"/>
    <cellStyle name="Normal 12 2 2 6 9" xfId="8048" xr:uid="{00000000-0005-0000-0000-0000F51D0000}"/>
    <cellStyle name="Normal 12 2 2 7" xfId="8049" xr:uid="{00000000-0005-0000-0000-0000F61D0000}"/>
    <cellStyle name="Normal 12 2 2 7 10" xfId="8050" xr:uid="{00000000-0005-0000-0000-0000F71D0000}"/>
    <cellStyle name="Normal 12 2 2 7 11" xfId="8051" xr:uid="{00000000-0005-0000-0000-0000F81D0000}"/>
    <cellStyle name="Normal 12 2 2 7 12" xfId="8052" xr:uid="{00000000-0005-0000-0000-0000F91D0000}"/>
    <cellStyle name="Normal 12 2 2 7 13" xfId="8053" xr:uid="{00000000-0005-0000-0000-0000FA1D0000}"/>
    <cellStyle name="Normal 12 2 2 7 2" xfId="8054" xr:uid="{00000000-0005-0000-0000-0000FB1D0000}"/>
    <cellStyle name="Normal 12 2 2 7 2 10" xfId="8055" xr:uid="{00000000-0005-0000-0000-0000FC1D0000}"/>
    <cellStyle name="Normal 12 2 2 7 2 11" xfId="8056" xr:uid="{00000000-0005-0000-0000-0000FD1D0000}"/>
    <cellStyle name="Normal 12 2 2 7 2 2" xfId="8057" xr:uid="{00000000-0005-0000-0000-0000FE1D0000}"/>
    <cellStyle name="Normal 12 2 2 7 2 2 10" xfId="8058" xr:uid="{00000000-0005-0000-0000-0000FF1D0000}"/>
    <cellStyle name="Normal 12 2 2 7 2 2 2" xfId="8059" xr:uid="{00000000-0005-0000-0000-0000001E0000}"/>
    <cellStyle name="Normal 12 2 2 7 2 2 2 2" xfId="8060" xr:uid="{00000000-0005-0000-0000-0000011E0000}"/>
    <cellStyle name="Normal 12 2 2 7 2 2 2 2 2" xfId="8061" xr:uid="{00000000-0005-0000-0000-0000021E0000}"/>
    <cellStyle name="Normal 12 2 2 7 2 2 2 2 3" xfId="8062" xr:uid="{00000000-0005-0000-0000-0000031E0000}"/>
    <cellStyle name="Normal 12 2 2 7 2 2 2 2 4" xfId="8063" xr:uid="{00000000-0005-0000-0000-0000041E0000}"/>
    <cellStyle name="Normal 12 2 2 7 2 2 2 2 5" xfId="8064" xr:uid="{00000000-0005-0000-0000-0000051E0000}"/>
    <cellStyle name="Normal 12 2 2 7 2 2 2 3" xfId="8065" xr:uid="{00000000-0005-0000-0000-0000061E0000}"/>
    <cellStyle name="Normal 12 2 2 7 2 2 2 4" xfId="8066" xr:uid="{00000000-0005-0000-0000-0000071E0000}"/>
    <cellStyle name="Normal 12 2 2 7 2 2 2 5" xfId="8067" xr:uid="{00000000-0005-0000-0000-0000081E0000}"/>
    <cellStyle name="Normal 12 2 2 7 2 2 2 6" xfId="8068" xr:uid="{00000000-0005-0000-0000-0000091E0000}"/>
    <cellStyle name="Normal 12 2 2 7 2 2 2 7" xfId="8069" xr:uid="{00000000-0005-0000-0000-00000A1E0000}"/>
    <cellStyle name="Normal 12 2 2 7 2 2 2 8" xfId="8070" xr:uid="{00000000-0005-0000-0000-00000B1E0000}"/>
    <cellStyle name="Normal 12 2 2 7 2 2 3" xfId="8071" xr:uid="{00000000-0005-0000-0000-00000C1E0000}"/>
    <cellStyle name="Normal 12 2 2 7 2 2 3 2" xfId="8072" xr:uid="{00000000-0005-0000-0000-00000D1E0000}"/>
    <cellStyle name="Normal 12 2 2 7 2 2 3 2 2" xfId="8073" xr:uid="{00000000-0005-0000-0000-00000E1E0000}"/>
    <cellStyle name="Normal 12 2 2 7 2 2 3 2 3" xfId="8074" xr:uid="{00000000-0005-0000-0000-00000F1E0000}"/>
    <cellStyle name="Normal 12 2 2 7 2 2 3 2 4" xfId="8075" xr:uid="{00000000-0005-0000-0000-0000101E0000}"/>
    <cellStyle name="Normal 12 2 2 7 2 2 3 2 5" xfId="8076" xr:uid="{00000000-0005-0000-0000-0000111E0000}"/>
    <cellStyle name="Normal 12 2 2 7 2 2 3 3" xfId="8077" xr:uid="{00000000-0005-0000-0000-0000121E0000}"/>
    <cellStyle name="Normal 12 2 2 7 2 2 3 4" xfId="8078" xr:uid="{00000000-0005-0000-0000-0000131E0000}"/>
    <cellStyle name="Normal 12 2 2 7 2 2 3 5" xfId="8079" xr:uid="{00000000-0005-0000-0000-0000141E0000}"/>
    <cellStyle name="Normal 12 2 2 7 2 2 3 6" xfId="8080" xr:uid="{00000000-0005-0000-0000-0000151E0000}"/>
    <cellStyle name="Normal 12 2 2 7 2 2 3 7" xfId="8081" xr:uid="{00000000-0005-0000-0000-0000161E0000}"/>
    <cellStyle name="Normal 12 2 2 7 2 2 3 8" xfId="8082" xr:uid="{00000000-0005-0000-0000-0000171E0000}"/>
    <cellStyle name="Normal 12 2 2 7 2 2 4" xfId="8083" xr:uid="{00000000-0005-0000-0000-0000181E0000}"/>
    <cellStyle name="Normal 12 2 2 7 2 2 4 2" xfId="8084" xr:uid="{00000000-0005-0000-0000-0000191E0000}"/>
    <cellStyle name="Normal 12 2 2 7 2 2 4 3" xfId="8085" xr:uid="{00000000-0005-0000-0000-00001A1E0000}"/>
    <cellStyle name="Normal 12 2 2 7 2 2 4 4" xfId="8086" xr:uid="{00000000-0005-0000-0000-00001B1E0000}"/>
    <cellStyle name="Normal 12 2 2 7 2 2 4 5" xfId="8087" xr:uid="{00000000-0005-0000-0000-00001C1E0000}"/>
    <cellStyle name="Normal 12 2 2 7 2 2 5" xfId="8088" xr:uid="{00000000-0005-0000-0000-00001D1E0000}"/>
    <cellStyle name="Normal 12 2 2 7 2 2 6" xfId="8089" xr:uid="{00000000-0005-0000-0000-00001E1E0000}"/>
    <cellStyle name="Normal 12 2 2 7 2 2 7" xfId="8090" xr:uid="{00000000-0005-0000-0000-00001F1E0000}"/>
    <cellStyle name="Normal 12 2 2 7 2 2 8" xfId="8091" xr:uid="{00000000-0005-0000-0000-0000201E0000}"/>
    <cellStyle name="Normal 12 2 2 7 2 2 9" xfId="8092" xr:uid="{00000000-0005-0000-0000-0000211E0000}"/>
    <cellStyle name="Normal 12 2 2 7 2 3" xfId="8093" xr:uid="{00000000-0005-0000-0000-0000221E0000}"/>
    <cellStyle name="Normal 12 2 2 7 2 3 2" xfId="8094" xr:uid="{00000000-0005-0000-0000-0000231E0000}"/>
    <cellStyle name="Normal 12 2 2 7 2 3 2 2" xfId="8095" xr:uid="{00000000-0005-0000-0000-0000241E0000}"/>
    <cellStyle name="Normal 12 2 2 7 2 3 2 3" xfId="8096" xr:uid="{00000000-0005-0000-0000-0000251E0000}"/>
    <cellStyle name="Normal 12 2 2 7 2 3 2 4" xfId="8097" xr:uid="{00000000-0005-0000-0000-0000261E0000}"/>
    <cellStyle name="Normal 12 2 2 7 2 3 2 5" xfId="8098" xr:uid="{00000000-0005-0000-0000-0000271E0000}"/>
    <cellStyle name="Normal 12 2 2 7 2 3 3" xfId="8099" xr:uid="{00000000-0005-0000-0000-0000281E0000}"/>
    <cellStyle name="Normal 12 2 2 7 2 3 4" xfId="8100" xr:uid="{00000000-0005-0000-0000-0000291E0000}"/>
    <cellStyle name="Normal 12 2 2 7 2 3 5" xfId="8101" xr:uid="{00000000-0005-0000-0000-00002A1E0000}"/>
    <cellStyle name="Normal 12 2 2 7 2 3 6" xfId="8102" xr:uid="{00000000-0005-0000-0000-00002B1E0000}"/>
    <cellStyle name="Normal 12 2 2 7 2 3 7" xfId="8103" xr:uid="{00000000-0005-0000-0000-00002C1E0000}"/>
    <cellStyle name="Normal 12 2 2 7 2 3 8" xfId="8104" xr:uid="{00000000-0005-0000-0000-00002D1E0000}"/>
    <cellStyle name="Normal 12 2 2 7 2 4" xfId="8105" xr:uid="{00000000-0005-0000-0000-00002E1E0000}"/>
    <cellStyle name="Normal 12 2 2 7 2 4 2" xfId="8106" xr:uid="{00000000-0005-0000-0000-00002F1E0000}"/>
    <cellStyle name="Normal 12 2 2 7 2 4 2 2" xfId="8107" xr:uid="{00000000-0005-0000-0000-0000301E0000}"/>
    <cellStyle name="Normal 12 2 2 7 2 4 2 3" xfId="8108" xr:uid="{00000000-0005-0000-0000-0000311E0000}"/>
    <cellStyle name="Normal 12 2 2 7 2 4 2 4" xfId="8109" xr:uid="{00000000-0005-0000-0000-0000321E0000}"/>
    <cellStyle name="Normal 12 2 2 7 2 4 2 5" xfId="8110" xr:uid="{00000000-0005-0000-0000-0000331E0000}"/>
    <cellStyle name="Normal 12 2 2 7 2 4 3" xfId="8111" xr:uid="{00000000-0005-0000-0000-0000341E0000}"/>
    <cellStyle name="Normal 12 2 2 7 2 4 4" xfId="8112" xr:uid="{00000000-0005-0000-0000-0000351E0000}"/>
    <cellStyle name="Normal 12 2 2 7 2 4 5" xfId="8113" xr:uid="{00000000-0005-0000-0000-0000361E0000}"/>
    <cellStyle name="Normal 12 2 2 7 2 4 6" xfId="8114" xr:uid="{00000000-0005-0000-0000-0000371E0000}"/>
    <cellStyle name="Normal 12 2 2 7 2 4 7" xfId="8115" xr:uid="{00000000-0005-0000-0000-0000381E0000}"/>
    <cellStyle name="Normal 12 2 2 7 2 4 8" xfId="8116" xr:uid="{00000000-0005-0000-0000-0000391E0000}"/>
    <cellStyle name="Normal 12 2 2 7 2 5" xfId="8117" xr:uid="{00000000-0005-0000-0000-00003A1E0000}"/>
    <cellStyle name="Normal 12 2 2 7 2 5 2" xfId="8118" xr:uid="{00000000-0005-0000-0000-00003B1E0000}"/>
    <cellStyle name="Normal 12 2 2 7 2 5 3" xfId="8119" xr:uid="{00000000-0005-0000-0000-00003C1E0000}"/>
    <cellStyle name="Normal 12 2 2 7 2 5 4" xfId="8120" xr:uid="{00000000-0005-0000-0000-00003D1E0000}"/>
    <cellStyle name="Normal 12 2 2 7 2 5 5" xfId="8121" xr:uid="{00000000-0005-0000-0000-00003E1E0000}"/>
    <cellStyle name="Normal 12 2 2 7 2 6" xfId="8122" xr:uid="{00000000-0005-0000-0000-00003F1E0000}"/>
    <cellStyle name="Normal 12 2 2 7 2 7" xfId="8123" xr:uid="{00000000-0005-0000-0000-0000401E0000}"/>
    <cellStyle name="Normal 12 2 2 7 2 8" xfId="8124" xr:uid="{00000000-0005-0000-0000-0000411E0000}"/>
    <cellStyle name="Normal 12 2 2 7 2 9" xfId="8125" xr:uid="{00000000-0005-0000-0000-0000421E0000}"/>
    <cellStyle name="Normal 12 2 2 7 3" xfId="8126" xr:uid="{00000000-0005-0000-0000-0000431E0000}"/>
    <cellStyle name="Normal 12 2 2 7 3 10" xfId="8127" xr:uid="{00000000-0005-0000-0000-0000441E0000}"/>
    <cellStyle name="Normal 12 2 2 7 3 11" xfId="8128" xr:uid="{00000000-0005-0000-0000-0000451E0000}"/>
    <cellStyle name="Normal 12 2 2 7 3 2" xfId="8129" xr:uid="{00000000-0005-0000-0000-0000461E0000}"/>
    <cellStyle name="Normal 12 2 2 7 3 2 10" xfId="8130" xr:uid="{00000000-0005-0000-0000-0000471E0000}"/>
    <cellStyle name="Normal 12 2 2 7 3 2 2" xfId="8131" xr:uid="{00000000-0005-0000-0000-0000481E0000}"/>
    <cellStyle name="Normal 12 2 2 7 3 2 2 2" xfId="8132" xr:uid="{00000000-0005-0000-0000-0000491E0000}"/>
    <cellStyle name="Normal 12 2 2 7 3 2 2 2 2" xfId="8133" xr:uid="{00000000-0005-0000-0000-00004A1E0000}"/>
    <cellStyle name="Normal 12 2 2 7 3 2 2 2 3" xfId="8134" xr:uid="{00000000-0005-0000-0000-00004B1E0000}"/>
    <cellStyle name="Normal 12 2 2 7 3 2 2 2 4" xfId="8135" xr:uid="{00000000-0005-0000-0000-00004C1E0000}"/>
    <cellStyle name="Normal 12 2 2 7 3 2 2 2 5" xfId="8136" xr:uid="{00000000-0005-0000-0000-00004D1E0000}"/>
    <cellStyle name="Normal 12 2 2 7 3 2 2 3" xfId="8137" xr:uid="{00000000-0005-0000-0000-00004E1E0000}"/>
    <cellStyle name="Normal 12 2 2 7 3 2 2 4" xfId="8138" xr:uid="{00000000-0005-0000-0000-00004F1E0000}"/>
    <cellStyle name="Normal 12 2 2 7 3 2 2 5" xfId="8139" xr:uid="{00000000-0005-0000-0000-0000501E0000}"/>
    <cellStyle name="Normal 12 2 2 7 3 2 2 6" xfId="8140" xr:uid="{00000000-0005-0000-0000-0000511E0000}"/>
    <cellStyle name="Normal 12 2 2 7 3 2 2 7" xfId="8141" xr:uid="{00000000-0005-0000-0000-0000521E0000}"/>
    <cellStyle name="Normal 12 2 2 7 3 2 2 8" xfId="8142" xr:uid="{00000000-0005-0000-0000-0000531E0000}"/>
    <cellStyle name="Normal 12 2 2 7 3 2 3" xfId="8143" xr:uid="{00000000-0005-0000-0000-0000541E0000}"/>
    <cellStyle name="Normal 12 2 2 7 3 2 3 2" xfId="8144" xr:uid="{00000000-0005-0000-0000-0000551E0000}"/>
    <cellStyle name="Normal 12 2 2 7 3 2 3 2 2" xfId="8145" xr:uid="{00000000-0005-0000-0000-0000561E0000}"/>
    <cellStyle name="Normal 12 2 2 7 3 2 3 2 3" xfId="8146" xr:uid="{00000000-0005-0000-0000-0000571E0000}"/>
    <cellStyle name="Normal 12 2 2 7 3 2 3 2 4" xfId="8147" xr:uid="{00000000-0005-0000-0000-0000581E0000}"/>
    <cellStyle name="Normal 12 2 2 7 3 2 3 2 5" xfId="8148" xr:uid="{00000000-0005-0000-0000-0000591E0000}"/>
    <cellStyle name="Normal 12 2 2 7 3 2 3 3" xfId="8149" xr:uid="{00000000-0005-0000-0000-00005A1E0000}"/>
    <cellStyle name="Normal 12 2 2 7 3 2 3 4" xfId="8150" xr:uid="{00000000-0005-0000-0000-00005B1E0000}"/>
    <cellStyle name="Normal 12 2 2 7 3 2 3 5" xfId="8151" xr:uid="{00000000-0005-0000-0000-00005C1E0000}"/>
    <cellStyle name="Normal 12 2 2 7 3 2 3 6" xfId="8152" xr:uid="{00000000-0005-0000-0000-00005D1E0000}"/>
    <cellStyle name="Normal 12 2 2 7 3 2 3 7" xfId="8153" xr:uid="{00000000-0005-0000-0000-00005E1E0000}"/>
    <cellStyle name="Normal 12 2 2 7 3 2 3 8" xfId="8154" xr:uid="{00000000-0005-0000-0000-00005F1E0000}"/>
    <cellStyle name="Normal 12 2 2 7 3 2 4" xfId="8155" xr:uid="{00000000-0005-0000-0000-0000601E0000}"/>
    <cellStyle name="Normal 12 2 2 7 3 2 4 2" xfId="8156" xr:uid="{00000000-0005-0000-0000-0000611E0000}"/>
    <cellStyle name="Normal 12 2 2 7 3 2 4 3" xfId="8157" xr:uid="{00000000-0005-0000-0000-0000621E0000}"/>
    <cellStyle name="Normal 12 2 2 7 3 2 4 4" xfId="8158" xr:uid="{00000000-0005-0000-0000-0000631E0000}"/>
    <cellStyle name="Normal 12 2 2 7 3 2 4 5" xfId="8159" xr:uid="{00000000-0005-0000-0000-0000641E0000}"/>
    <cellStyle name="Normal 12 2 2 7 3 2 5" xfId="8160" xr:uid="{00000000-0005-0000-0000-0000651E0000}"/>
    <cellStyle name="Normal 12 2 2 7 3 2 6" xfId="8161" xr:uid="{00000000-0005-0000-0000-0000661E0000}"/>
    <cellStyle name="Normal 12 2 2 7 3 2 7" xfId="8162" xr:uid="{00000000-0005-0000-0000-0000671E0000}"/>
    <cellStyle name="Normal 12 2 2 7 3 2 8" xfId="8163" xr:uid="{00000000-0005-0000-0000-0000681E0000}"/>
    <cellStyle name="Normal 12 2 2 7 3 2 9" xfId="8164" xr:uid="{00000000-0005-0000-0000-0000691E0000}"/>
    <cellStyle name="Normal 12 2 2 7 3 3" xfId="8165" xr:uid="{00000000-0005-0000-0000-00006A1E0000}"/>
    <cellStyle name="Normal 12 2 2 7 3 3 2" xfId="8166" xr:uid="{00000000-0005-0000-0000-00006B1E0000}"/>
    <cellStyle name="Normal 12 2 2 7 3 3 2 2" xfId="8167" xr:uid="{00000000-0005-0000-0000-00006C1E0000}"/>
    <cellStyle name="Normal 12 2 2 7 3 3 2 3" xfId="8168" xr:uid="{00000000-0005-0000-0000-00006D1E0000}"/>
    <cellStyle name="Normal 12 2 2 7 3 3 2 4" xfId="8169" xr:uid="{00000000-0005-0000-0000-00006E1E0000}"/>
    <cellStyle name="Normal 12 2 2 7 3 3 2 5" xfId="8170" xr:uid="{00000000-0005-0000-0000-00006F1E0000}"/>
    <cellStyle name="Normal 12 2 2 7 3 3 3" xfId="8171" xr:uid="{00000000-0005-0000-0000-0000701E0000}"/>
    <cellStyle name="Normal 12 2 2 7 3 3 4" xfId="8172" xr:uid="{00000000-0005-0000-0000-0000711E0000}"/>
    <cellStyle name="Normal 12 2 2 7 3 3 5" xfId="8173" xr:uid="{00000000-0005-0000-0000-0000721E0000}"/>
    <cellStyle name="Normal 12 2 2 7 3 3 6" xfId="8174" xr:uid="{00000000-0005-0000-0000-0000731E0000}"/>
    <cellStyle name="Normal 12 2 2 7 3 3 7" xfId="8175" xr:uid="{00000000-0005-0000-0000-0000741E0000}"/>
    <cellStyle name="Normal 12 2 2 7 3 3 8" xfId="8176" xr:uid="{00000000-0005-0000-0000-0000751E0000}"/>
    <cellStyle name="Normal 12 2 2 7 3 4" xfId="8177" xr:uid="{00000000-0005-0000-0000-0000761E0000}"/>
    <cellStyle name="Normal 12 2 2 7 3 4 2" xfId="8178" xr:uid="{00000000-0005-0000-0000-0000771E0000}"/>
    <cellStyle name="Normal 12 2 2 7 3 4 2 2" xfId="8179" xr:uid="{00000000-0005-0000-0000-0000781E0000}"/>
    <cellStyle name="Normal 12 2 2 7 3 4 2 3" xfId="8180" xr:uid="{00000000-0005-0000-0000-0000791E0000}"/>
    <cellStyle name="Normal 12 2 2 7 3 4 2 4" xfId="8181" xr:uid="{00000000-0005-0000-0000-00007A1E0000}"/>
    <cellStyle name="Normal 12 2 2 7 3 4 2 5" xfId="8182" xr:uid="{00000000-0005-0000-0000-00007B1E0000}"/>
    <cellStyle name="Normal 12 2 2 7 3 4 3" xfId="8183" xr:uid="{00000000-0005-0000-0000-00007C1E0000}"/>
    <cellStyle name="Normal 12 2 2 7 3 4 4" xfId="8184" xr:uid="{00000000-0005-0000-0000-00007D1E0000}"/>
    <cellStyle name="Normal 12 2 2 7 3 4 5" xfId="8185" xr:uid="{00000000-0005-0000-0000-00007E1E0000}"/>
    <cellStyle name="Normal 12 2 2 7 3 4 6" xfId="8186" xr:uid="{00000000-0005-0000-0000-00007F1E0000}"/>
    <cellStyle name="Normal 12 2 2 7 3 4 7" xfId="8187" xr:uid="{00000000-0005-0000-0000-0000801E0000}"/>
    <cellStyle name="Normal 12 2 2 7 3 4 8" xfId="8188" xr:uid="{00000000-0005-0000-0000-0000811E0000}"/>
    <cellStyle name="Normal 12 2 2 7 3 5" xfId="8189" xr:uid="{00000000-0005-0000-0000-0000821E0000}"/>
    <cellStyle name="Normal 12 2 2 7 3 5 2" xfId="8190" xr:uid="{00000000-0005-0000-0000-0000831E0000}"/>
    <cellStyle name="Normal 12 2 2 7 3 5 3" xfId="8191" xr:uid="{00000000-0005-0000-0000-0000841E0000}"/>
    <cellStyle name="Normal 12 2 2 7 3 5 4" xfId="8192" xr:uid="{00000000-0005-0000-0000-0000851E0000}"/>
    <cellStyle name="Normal 12 2 2 7 3 5 5" xfId="8193" xr:uid="{00000000-0005-0000-0000-0000861E0000}"/>
    <cellStyle name="Normal 12 2 2 7 3 6" xfId="8194" xr:uid="{00000000-0005-0000-0000-0000871E0000}"/>
    <cellStyle name="Normal 12 2 2 7 3 7" xfId="8195" xr:uid="{00000000-0005-0000-0000-0000881E0000}"/>
    <cellStyle name="Normal 12 2 2 7 3 8" xfId="8196" xr:uid="{00000000-0005-0000-0000-0000891E0000}"/>
    <cellStyle name="Normal 12 2 2 7 3 9" xfId="8197" xr:uid="{00000000-0005-0000-0000-00008A1E0000}"/>
    <cellStyle name="Normal 12 2 2 7 4" xfId="8198" xr:uid="{00000000-0005-0000-0000-00008B1E0000}"/>
    <cellStyle name="Normal 12 2 2 7 4 10" xfId="8199" xr:uid="{00000000-0005-0000-0000-00008C1E0000}"/>
    <cellStyle name="Normal 12 2 2 7 4 2" xfId="8200" xr:uid="{00000000-0005-0000-0000-00008D1E0000}"/>
    <cellStyle name="Normal 12 2 2 7 4 2 2" xfId="8201" xr:uid="{00000000-0005-0000-0000-00008E1E0000}"/>
    <cellStyle name="Normal 12 2 2 7 4 2 2 2" xfId="8202" xr:uid="{00000000-0005-0000-0000-00008F1E0000}"/>
    <cellStyle name="Normal 12 2 2 7 4 2 2 3" xfId="8203" xr:uid="{00000000-0005-0000-0000-0000901E0000}"/>
    <cellStyle name="Normal 12 2 2 7 4 2 2 4" xfId="8204" xr:uid="{00000000-0005-0000-0000-0000911E0000}"/>
    <cellStyle name="Normal 12 2 2 7 4 2 2 5" xfId="8205" xr:uid="{00000000-0005-0000-0000-0000921E0000}"/>
    <cellStyle name="Normal 12 2 2 7 4 2 3" xfId="8206" xr:uid="{00000000-0005-0000-0000-0000931E0000}"/>
    <cellStyle name="Normal 12 2 2 7 4 2 4" xfId="8207" xr:uid="{00000000-0005-0000-0000-0000941E0000}"/>
    <cellStyle name="Normal 12 2 2 7 4 2 5" xfId="8208" xr:uid="{00000000-0005-0000-0000-0000951E0000}"/>
    <cellStyle name="Normal 12 2 2 7 4 2 6" xfId="8209" xr:uid="{00000000-0005-0000-0000-0000961E0000}"/>
    <cellStyle name="Normal 12 2 2 7 4 2 7" xfId="8210" xr:uid="{00000000-0005-0000-0000-0000971E0000}"/>
    <cellStyle name="Normal 12 2 2 7 4 2 8" xfId="8211" xr:uid="{00000000-0005-0000-0000-0000981E0000}"/>
    <cellStyle name="Normal 12 2 2 7 4 3" xfId="8212" xr:uid="{00000000-0005-0000-0000-0000991E0000}"/>
    <cellStyle name="Normal 12 2 2 7 4 3 2" xfId="8213" xr:uid="{00000000-0005-0000-0000-00009A1E0000}"/>
    <cellStyle name="Normal 12 2 2 7 4 3 2 2" xfId="8214" xr:uid="{00000000-0005-0000-0000-00009B1E0000}"/>
    <cellStyle name="Normal 12 2 2 7 4 3 2 3" xfId="8215" xr:uid="{00000000-0005-0000-0000-00009C1E0000}"/>
    <cellStyle name="Normal 12 2 2 7 4 3 2 4" xfId="8216" xr:uid="{00000000-0005-0000-0000-00009D1E0000}"/>
    <cellStyle name="Normal 12 2 2 7 4 3 2 5" xfId="8217" xr:uid="{00000000-0005-0000-0000-00009E1E0000}"/>
    <cellStyle name="Normal 12 2 2 7 4 3 3" xfId="8218" xr:uid="{00000000-0005-0000-0000-00009F1E0000}"/>
    <cellStyle name="Normal 12 2 2 7 4 3 4" xfId="8219" xr:uid="{00000000-0005-0000-0000-0000A01E0000}"/>
    <cellStyle name="Normal 12 2 2 7 4 3 5" xfId="8220" xr:uid="{00000000-0005-0000-0000-0000A11E0000}"/>
    <cellStyle name="Normal 12 2 2 7 4 3 6" xfId="8221" xr:uid="{00000000-0005-0000-0000-0000A21E0000}"/>
    <cellStyle name="Normal 12 2 2 7 4 3 7" xfId="8222" xr:uid="{00000000-0005-0000-0000-0000A31E0000}"/>
    <cellStyle name="Normal 12 2 2 7 4 3 8" xfId="8223" xr:uid="{00000000-0005-0000-0000-0000A41E0000}"/>
    <cellStyle name="Normal 12 2 2 7 4 4" xfId="8224" xr:uid="{00000000-0005-0000-0000-0000A51E0000}"/>
    <cellStyle name="Normal 12 2 2 7 4 4 2" xfId="8225" xr:uid="{00000000-0005-0000-0000-0000A61E0000}"/>
    <cellStyle name="Normal 12 2 2 7 4 4 3" xfId="8226" xr:uid="{00000000-0005-0000-0000-0000A71E0000}"/>
    <cellStyle name="Normal 12 2 2 7 4 4 4" xfId="8227" xr:uid="{00000000-0005-0000-0000-0000A81E0000}"/>
    <cellStyle name="Normal 12 2 2 7 4 4 5" xfId="8228" xr:uid="{00000000-0005-0000-0000-0000A91E0000}"/>
    <cellStyle name="Normal 12 2 2 7 4 5" xfId="8229" xr:uid="{00000000-0005-0000-0000-0000AA1E0000}"/>
    <cellStyle name="Normal 12 2 2 7 4 6" xfId="8230" xr:uid="{00000000-0005-0000-0000-0000AB1E0000}"/>
    <cellStyle name="Normal 12 2 2 7 4 7" xfId="8231" xr:uid="{00000000-0005-0000-0000-0000AC1E0000}"/>
    <cellStyle name="Normal 12 2 2 7 4 8" xfId="8232" xr:uid="{00000000-0005-0000-0000-0000AD1E0000}"/>
    <cellStyle name="Normal 12 2 2 7 4 9" xfId="8233" xr:uid="{00000000-0005-0000-0000-0000AE1E0000}"/>
    <cellStyle name="Normal 12 2 2 7 5" xfId="8234" xr:uid="{00000000-0005-0000-0000-0000AF1E0000}"/>
    <cellStyle name="Normal 12 2 2 7 5 2" xfId="8235" xr:uid="{00000000-0005-0000-0000-0000B01E0000}"/>
    <cellStyle name="Normal 12 2 2 7 5 2 2" xfId="8236" xr:uid="{00000000-0005-0000-0000-0000B11E0000}"/>
    <cellStyle name="Normal 12 2 2 7 5 2 3" xfId="8237" xr:uid="{00000000-0005-0000-0000-0000B21E0000}"/>
    <cellStyle name="Normal 12 2 2 7 5 2 4" xfId="8238" xr:uid="{00000000-0005-0000-0000-0000B31E0000}"/>
    <cellStyle name="Normal 12 2 2 7 5 2 5" xfId="8239" xr:uid="{00000000-0005-0000-0000-0000B41E0000}"/>
    <cellStyle name="Normal 12 2 2 7 5 3" xfId="8240" xr:uid="{00000000-0005-0000-0000-0000B51E0000}"/>
    <cellStyle name="Normal 12 2 2 7 5 4" xfId="8241" xr:uid="{00000000-0005-0000-0000-0000B61E0000}"/>
    <cellStyle name="Normal 12 2 2 7 5 5" xfId="8242" xr:uid="{00000000-0005-0000-0000-0000B71E0000}"/>
    <cellStyle name="Normal 12 2 2 7 5 6" xfId="8243" xr:uid="{00000000-0005-0000-0000-0000B81E0000}"/>
    <cellStyle name="Normal 12 2 2 7 5 7" xfId="8244" xr:uid="{00000000-0005-0000-0000-0000B91E0000}"/>
    <cellStyle name="Normal 12 2 2 7 5 8" xfId="8245" xr:uid="{00000000-0005-0000-0000-0000BA1E0000}"/>
    <cellStyle name="Normal 12 2 2 7 6" xfId="8246" xr:uid="{00000000-0005-0000-0000-0000BB1E0000}"/>
    <cellStyle name="Normal 12 2 2 7 6 2" xfId="8247" xr:uid="{00000000-0005-0000-0000-0000BC1E0000}"/>
    <cellStyle name="Normal 12 2 2 7 6 2 2" xfId="8248" xr:uid="{00000000-0005-0000-0000-0000BD1E0000}"/>
    <cellStyle name="Normal 12 2 2 7 6 2 3" xfId="8249" xr:uid="{00000000-0005-0000-0000-0000BE1E0000}"/>
    <cellStyle name="Normal 12 2 2 7 6 2 4" xfId="8250" xr:uid="{00000000-0005-0000-0000-0000BF1E0000}"/>
    <cellStyle name="Normal 12 2 2 7 6 2 5" xfId="8251" xr:uid="{00000000-0005-0000-0000-0000C01E0000}"/>
    <cellStyle name="Normal 12 2 2 7 6 3" xfId="8252" xr:uid="{00000000-0005-0000-0000-0000C11E0000}"/>
    <cellStyle name="Normal 12 2 2 7 6 4" xfId="8253" xr:uid="{00000000-0005-0000-0000-0000C21E0000}"/>
    <cellStyle name="Normal 12 2 2 7 6 5" xfId="8254" xr:uid="{00000000-0005-0000-0000-0000C31E0000}"/>
    <cellStyle name="Normal 12 2 2 7 6 6" xfId="8255" xr:uid="{00000000-0005-0000-0000-0000C41E0000}"/>
    <cellStyle name="Normal 12 2 2 7 6 7" xfId="8256" xr:uid="{00000000-0005-0000-0000-0000C51E0000}"/>
    <cellStyle name="Normal 12 2 2 7 6 8" xfId="8257" xr:uid="{00000000-0005-0000-0000-0000C61E0000}"/>
    <cellStyle name="Normal 12 2 2 7 7" xfId="8258" xr:uid="{00000000-0005-0000-0000-0000C71E0000}"/>
    <cellStyle name="Normal 12 2 2 7 7 2" xfId="8259" xr:uid="{00000000-0005-0000-0000-0000C81E0000}"/>
    <cellStyle name="Normal 12 2 2 7 7 3" xfId="8260" xr:uid="{00000000-0005-0000-0000-0000C91E0000}"/>
    <cellStyle name="Normal 12 2 2 7 7 4" xfId="8261" xr:uid="{00000000-0005-0000-0000-0000CA1E0000}"/>
    <cellStyle name="Normal 12 2 2 7 7 5" xfId="8262" xr:uid="{00000000-0005-0000-0000-0000CB1E0000}"/>
    <cellStyle name="Normal 12 2 2 7 8" xfId="8263" xr:uid="{00000000-0005-0000-0000-0000CC1E0000}"/>
    <cellStyle name="Normal 12 2 2 7 9" xfId="8264" xr:uid="{00000000-0005-0000-0000-0000CD1E0000}"/>
    <cellStyle name="Normal 12 2 2 8" xfId="8265" xr:uid="{00000000-0005-0000-0000-0000CE1E0000}"/>
    <cellStyle name="Normal 12 2 2 8 10" xfId="8266" xr:uid="{00000000-0005-0000-0000-0000CF1E0000}"/>
    <cellStyle name="Normal 12 2 2 8 11" xfId="8267" xr:uid="{00000000-0005-0000-0000-0000D01E0000}"/>
    <cellStyle name="Normal 12 2 2 8 12" xfId="8268" xr:uid="{00000000-0005-0000-0000-0000D11E0000}"/>
    <cellStyle name="Normal 12 2 2 8 13" xfId="8269" xr:uid="{00000000-0005-0000-0000-0000D21E0000}"/>
    <cellStyle name="Normal 12 2 2 8 2" xfId="8270" xr:uid="{00000000-0005-0000-0000-0000D31E0000}"/>
    <cellStyle name="Normal 12 2 2 8 2 10" xfId="8271" xr:uid="{00000000-0005-0000-0000-0000D41E0000}"/>
    <cellStyle name="Normal 12 2 2 8 2 11" xfId="8272" xr:uid="{00000000-0005-0000-0000-0000D51E0000}"/>
    <cellStyle name="Normal 12 2 2 8 2 2" xfId="8273" xr:uid="{00000000-0005-0000-0000-0000D61E0000}"/>
    <cellStyle name="Normal 12 2 2 8 2 2 10" xfId="8274" xr:uid="{00000000-0005-0000-0000-0000D71E0000}"/>
    <cellStyle name="Normal 12 2 2 8 2 2 2" xfId="8275" xr:uid="{00000000-0005-0000-0000-0000D81E0000}"/>
    <cellStyle name="Normal 12 2 2 8 2 2 2 2" xfId="8276" xr:uid="{00000000-0005-0000-0000-0000D91E0000}"/>
    <cellStyle name="Normal 12 2 2 8 2 2 2 2 2" xfId="8277" xr:uid="{00000000-0005-0000-0000-0000DA1E0000}"/>
    <cellStyle name="Normal 12 2 2 8 2 2 2 2 3" xfId="8278" xr:uid="{00000000-0005-0000-0000-0000DB1E0000}"/>
    <cellStyle name="Normal 12 2 2 8 2 2 2 2 4" xfId="8279" xr:uid="{00000000-0005-0000-0000-0000DC1E0000}"/>
    <cellStyle name="Normal 12 2 2 8 2 2 2 2 5" xfId="8280" xr:uid="{00000000-0005-0000-0000-0000DD1E0000}"/>
    <cellStyle name="Normal 12 2 2 8 2 2 2 3" xfId="8281" xr:uid="{00000000-0005-0000-0000-0000DE1E0000}"/>
    <cellStyle name="Normal 12 2 2 8 2 2 2 4" xfId="8282" xr:uid="{00000000-0005-0000-0000-0000DF1E0000}"/>
    <cellStyle name="Normal 12 2 2 8 2 2 2 5" xfId="8283" xr:uid="{00000000-0005-0000-0000-0000E01E0000}"/>
    <cellStyle name="Normal 12 2 2 8 2 2 2 6" xfId="8284" xr:uid="{00000000-0005-0000-0000-0000E11E0000}"/>
    <cellStyle name="Normal 12 2 2 8 2 2 2 7" xfId="8285" xr:uid="{00000000-0005-0000-0000-0000E21E0000}"/>
    <cellStyle name="Normal 12 2 2 8 2 2 2 8" xfId="8286" xr:uid="{00000000-0005-0000-0000-0000E31E0000}"/>
    <cellStyle name="Normal 12 2 2 8 2 2 3" xfId="8287" xr:uid="{00000000-0005-0000-0000-0000E41E0000}"/>
    <cellStyle name="Normal 12 2 2 8 2 2 3 2" xfId="8288" xr:uid="{00000000-0005-0000-0000-0000E51E0000}"/>
    <cellStyle name="Normal 12 2 2 8 2 2 3 2 2" xfId="8289" xr:uid="{00000000-0005-0000-0000-0000E61E0000}"/>
    <cellStyle name="Normal 12 2 2 8 2 2 3 2 3" xfId="8290" xr:uid="{00000000-0005-0000-0000-0000E71E0000}"/>
    <cellStyle name="Normal 12 2 2 8 2 2 3 2 4" xfId="8291" xr:uid="{00000000-0005-0000-0000-0000E81E0000}"/>
    <cellStyle name="Normal 12 2 2 8 2 2 3 2 5" xfId="8292" xr:uid="{00000000-0005-0000-0000-0000E91E0000}"/>
    <cellStyle name="Normal 12 2 2 8 2 2 3 3" xfId="8293" xr:uid="{00000000-0005-0000-0000-0000EA1E0000}"/>
    <cellStyle name="Normal 12 2 2 8 2 2 3 4" xfId="8294" xr:uid="{00000000-0005-0000-0000-0000EB1E0000}"/>
    <cellStyle name="Normal 12 2 2 8 2 2 3 5" xfId="8295" xr:uid="{00000000-0005-0000-0000-0000EC1E0000}"/>
    <cellStyle name="Normal 12 2 2 8 2 2 3 6" xfId="8296" xr:uid="{00000000-0005-0000-0000-0000ED1E0000}"/>
    <cellStyle name="Normal 12 2 2 8 2 2 3 7" xfId="8297" xr:uid="{00000000-0005-0000-0000-0000EE1E0000}"/>
    <cellStyle name="Normal 12 2 2 8 2 2 3 8" xfId="8298" xr:uid="{00000000-0005-0000-0000-0000EF1E0000}"/>
    <cellStyle name="Normal 12 2 2 8 2 2 4" xfId="8299" xr:uid="{00000000-0005-0000-0000-0000F01E0000}"/>
    <cellStyle name="Normal 12 2 2 8 2 2 4 2" xfId="8300" xr:uid="{00000000-0005-0000-0000-0000F11E0000}"/>
    <cellStyle name="Normal 12 2 2 8 2 2 4 3" xfId="8301" xr:uid="{00000000-0005-0000-0000-0000F21E0000}"/>
    <cellStyle name="Normal 12 2 2 8 2 2 4 4" xfId="8302" xr:uid="{00000000-0005-0000-0000-0000F31E0000}"/>
    <cellStyle name="Normal 12 2 2 8 2 2 4 5" xfId="8303" xr:uid="{00000000-0005-0000-0000-0000F41E0000}"/>
    <cellStyle name="Normal 12 2 2 8 2 2 5" xfId="8304" xr:uid="{00000000-0005-0000-0000-0000F51E0000}"/>
    <cellStyle name="Normal 12 2 2 8 2 2 6" xfId="8305" xr:uid="{00000000-0005-0000-0000-0000F61E0000}"/>
    <cellStyle name="Normal 12 2 2 8 2 2 7" xfId="8306" xr:uid="{00000000-0005-0000-0000-0000F71E0000}"/>
    <cellStyle name="Normal 12 2 2 8 2 2 8" xfId="8307" xr:uid="{00000000-0005-0000-0000-0000F81E0000}"/>
    <cellStyle name="Normal 12 2 2 8 2 2 9" xfId="8308" xr:uid="{00000000-0005-0000-0000-0000F91E0000}"/>
    <cellStyle name="Normal 12 2 2 8 2 3" xfId="8309" xr:uid="{00000000-0005-0000-0000-0000FA1E0000}"/>
    <cellStyle name="Normal 12 2 2 8 2 3 2" xfId="8310" xr:uid="{00000000-0005-0000-0000-0000FB1E0000}"/>
    <cellStyle name="Normal 12 2 2 8 2 3 2 2" xfId="8311" xr:uid="{00000000-0005-0000-0000-0000FC1E0000}"/>
    <cellStyle name="Normal 12 2 2 8 2 3 2 3" xfId="8312" xr:uid="{00000000-0005-0000-0000-0000FD1E0000}"/>
    <cellStyle name="Normal 12 2 2 8 2 3 2 4" xfId="8313" xr:uid="{00000000-0005-0000-0000-0000FE1E0000}"/>
    <cellStyle name="Normal 12 2 2 8 2 3 2 5" xfId="8314" xr:uid="{00000000-0005-0000-0000-0000FF1E0000}"/>
    <cellStyle name="Normal 12 2 2 8 2 3 3" xfId="8315" xr:uid="{00000000-0005-0000-0000-0000001F0000}"/>
    <cellStyle name="Normal 12 2 2 8 2 3 4" xfId="8316" xr:uid="{00000000-0005-0000-0000-0000011F0000}"/>
    <cellStyle name="Normal 12 2 2 8 2 3 5" xfId="8317" xr:uid="{00000000-0005-0000-0000-0000021F0000}"/>
    <cellStyle name="Normal 12 2 2 8 2 3 6" xfId="8318" xr:uid="{00000000-0005-0000-0000-0000031F0000}"/>
    <cellStyle name="Normal 12 2 2 8 2 3 7" xfId="8319" xr:uid="{00000000-0005-0000-0000-0000041F0000}"/>
    <cellStyle name="Normal 12 2 2 8 2 3 8" xfId="8320" xr:uid="{00000000-0005-0000-0000-0000051F0000}"/>
    <cellStyle name="Normal 12 2 2 8 2 4" xfId="8321" xr:uid="{00000000-0005-0000-0000-0000061F0000}"/>
    <cellStyle name="Normal 12 2 2 8 2 4 2" xfId="8322" xr:uid="{00000000-0005-0000-0000-0000071F0000}"/>
    <cellStyle name="Normal 12 2 2 8 2 4 2 2" xfId="8323" xr:uid="{00000000-0005-0000-0000-0000081F0000}"/>
    <cellStyle name="Normal 12 2 2 8 2 4 2 3" xfId="8324" xr:uid="{00000000-0005-0000-0000-0000091F0000}"/>
    <cellStyle name="Normal 12 2 2 8 2 4 2 4" xfId="8325" xr:uid="{00000000-0005-0000-0000-00000A1F0000}"/>
    <cellStyle name="Normal 12 2 2 8 2 4 2 5" xfId="8326" xr:uid="{00000000-0005-0000-0000-00000B1F0000}"/>
    <cellStyle name="Normal 12 2 2 8 2 4 3" xfId="8327" xr:uid="{00000000-0005-0000-0000-00000C1F0000}"/>
    <cellStyle name="Normal 12 2 2 8 2 4 4" xfId="8328" xr:uid="{00000000-0005-0000-0000-00000D1F0000}"/>
    <cellStyle name="Normal 12 2 2 8 2 4 5" xfId="8329" xr:uid="{00000000-0005-0000-0000-00000E1F0000}"/>
    <cellStyle name="Normal 12 2 2 8 2 4 6" xfId="8330" xr:uid="{00000000-0005-0000-0000-00000F1F0000}"/>
    <cellStyle name="Normal 12 2 2 8 2 4 7" xfId="8331" xr:uid="{00000000-0005-0000-0000-0000101F0000}"/>
    <cellStyle name="Normal 12 2 2 8 2 4 8" xfId="8332" xr:uid="{00000000-0005-0000-0000-0000111F0000}"/>
    <cellStyle name="Normal 12 2 2 8 2 5" xfId="8333" xr:uid="{00000000-0005-0000-0000-0000121F0000}"/>
    <cellStyle name="Normal 12 2 2 8 2 5 2" xfId="8334" xr:uid="{00000000-0005-0000-0000-0000131F0000}"/>
    <cellStyle name="Normal 12 2 2 8 2 5 3" xfId="8335" xr:uid="{00000000-0005-0000-0000-0000141F0000}"/>
    <cellStyle name="Normal 12 2 2 8 2 5 4" xfId="8336" xr:uid="{00000000-0005-0000-0000-0000151F0000}"/>
    <cellStyle name="Normal 12 2 2 8 2 5 5" xfId="8337" xr:uid="{00000000-0005-0000-0000-0000161F0000}"/>
    <cellStyle name="Normal 12 2 2 8 2 6" xfId="8338" xr:uid="{00000000-0005-0000-0000-0000171F0000}"/>
    <cellStyle name="Normal 12 2 2 8 2 7" xfId="8339" xr:uid="{00000000-0005-0000-0000-0000181F0000}"/>
    <cellStyle name="Normal 12 2 2 8 2 8" xfId="8340" xr:uid="{00000000-0005-0000-0000-0000191F0000}"/>
    <cellStyle name="Normal 12 2 2 8 2 9" xfId="8341" xr:uid="{00000000-0005-0000-0000-00001A1F0000}"/>
    <cellStyle name="Normal 12 2 2 8 3" xfId="8342" xr:uid="{00000000-0005-0000-0000-00001B1F0000}"/>
    <cellStyle name="Normal 12 2 2 8 3 10" xfId="8343" xr:uid="{00000000-0005-0000-0000-00001C1F0000}"/>
    <cellStyle name="Normal 12 2 2 8 3 11" xfId="8344" xr:uid="{00000000-0005-0000-0000-00001D1F0000}"/>
    <cellStyle name="Normal 12 2 2 8 3 2" xfId="8345" xr:uid="{00000000-0005-0000-0000-00001E1F0000}"/>
    <cellStyle name="Normal 12 2 2 8 3 2 10" xfId="8346" xr:uid="{00000000-0005-0000-0000-00001F1F0000}"/>
    <cellStyle name="Normal 12 2 2 8 3 2 2" xfId="8347" xr:uid="{00000000-0005-0000-0000-0000201F0000}"/>
    <cellStyle name="Normal 12 2 2 8 3 2 2 2" xfId="8348" xr:uid="{00000000-0005-0000-0000-0000211F0000}"/>
    <cellStyle name="Normal 12 2 2 8 3 2 2 2 2" xfId="8349" xr:uid="{00000000-0005-0000-0000-0000221F0000}"/>
    <cellStyle name="Normal 12 2 2 8 3 2 2 2 3" xfId="8350" xr:uid="{00000000-0005-0000-0000-0000231F0000}"/>
    <cellStyle name="Normal 12 2 2 8 3 2 2 2 4" xfId="8351" xr:uid="{00000000-0005-0000-0000-0000241F0000}"/>
    <cellStyle name="Normal 12 2 2 8 3 2 2 2 5" xfId="8352" xr:uid="{00000000-0005-0000-0000-0000251F0000}"/>
    <cellStyle name="Normal 12 2 2 8 3 2 2 3" xfId="8353" xr:uid="{00000000-0005-0000-0000-0000261F0000}"/>
    <cellStyle name="Normal 12 2 2 8 3 2 2 4" xfId="8354" xr:uid="{00000000-0005-0000-0000-0000271F0000}"/>
    <cellStyle name="Normal 12 2 2 8 3 2 2 5" xfId="8355" xr:uid="{00000000-0005-0000-0000-0000281F0000}"/>
    <cellStyle name="Normal 12 2 2 8 3 2 2 6" xfId="8356" xr:uid="{00000000-0005-0000-0000-0000291F0000}"/>
    <cellStyle name="Normal 12 2 2 8 3 2 2 7" xfId="8357" xr:uid="{00000000-0005-0000-0000-00002A1F0000}"/>
    <cellStyle name="Normal 12 2 2 8 3 2 2 8" xfId="8358" xr:uid="{00000000-0005-0000-0000-00002B1F0000}"/>
    <cellStyle name="Normal 12 2 2 8 3 2 3" xfId="8359" xr:uid="{00000000-0005-0000-0000-00002C1F0000}"/>
    <cellStyle name="Normal 12 2 2 8 3 2 3 2" xfId="8360" xr:uid="{00000000-0005-0000-0000-00002D1F0000}"/>
    <cellStyle name="Normal 12 2 2 8 3 2 3 2 2" xfId="8361" xr:uid="{00000000-0005-0000-0000-00002E1F0000}"/>
    <cellStyle name="Normal 12 2 2 8 3 2 3 2 3" xfId="8362" xr:uid="{00000000-0005-0000-0000-00002F1F0000}"/>
    <cellStyle name="Normal 12 2 2 8 3 2 3 2 4" xfId="8363" xr:uid="{00000000-0005-0000-0000-0000301F0000}"/>
    <cellStyle name="Normal 12 2 2 8 3 2 3 2 5" xfId="8364" xr:uid="{00000000-0005-0000-0000-0000311F0000}"/>
    <cellStyle name="Normal 12 2 2 8 3 2 3 3" xfId="8365" xr:uid="{00000000-0005-0000-0000-0000321F0000}"/>
    <cellStyle name="Normal 12 2 2 8 3 2 3 4" xfId="8366" xr:uid="{00000000-0005-0000-0000-0000331F0000}"/>
    <cellStyle name="Normal 12 2 2 8 3 2 3 5" xfId="8367" xr:uid="{00000000-0005-0000-0000-0000341F0000}"/>
    <cellStyle name="Normal 12 2 2 8 3 2 3 6" xfId="8368" xr:uid="{00000000-0005-0000-0000-0000351F0000}"/>
    <cellStyle name="Normal 12 2 2 8 3 2 3 7" xfId="8369" xr:uid="{00000000-0005-0000-0000-0000361F0000}"/>
    <cellStyle name="Normal 12 2 2 8 3 2 3 8" xfId="8370" xr:uid="{00000000-0005-0000-0000-0000371F0000}"/>
    <cellStyle name="Normal 12 2 2 8 3 2 4" xfId="8371" xr:uid="{00000000-0005-0000-0000-0000381F0000}"/>
    <cellStyle name="Normal 12 2 2 8 3 2 4 2" xfId="8372" xr:uid="{00000000-0005-0000-0000-0000391F0000}"/>
    <cellStyle name="Normal 12 2 2 8 3 2 4 3" xfId="8373" xr:uid="{00000000-0005-0000-0000-00003A1F0000}"/>
    <cellStyle name="Normal 12 2 2 8 3 2 4 4" xfId="8374" xr:uid="{00000000-0005-0000-0000-00003B1F0000}"/>
    <cellStyle name="Normal 12 2 2 8 3 2 4 5" xfId="8375" xr:uid="{00000000-0005-0000-0000-00003C1F0000}"/>
    <cellStyle name="Normal 12 2 2 8 3 2 5" xfId="8376" xr:uid="{00000000-0005-0000-0000-00003D1F0000}"/>
    <cellStyle name="Normal 12 2 2 8 3 2 6" xfId="8377" xr:uid="{00000000-0005-0000-0000-00003E1F0000}"/>
    <cellStyle name="Normal 12 2 2 8 3 2 7" xfId="8378" xr:uid="{00000000-0005-0000-0000-00003F1F0000}"/>
    <cellStyle name="Normal 12 2 2 8 3 2 8" xfId="8379" xr:uid="{00000000-0005-0000-0000-0000401F0000}"/>
    <cellStyle name="Normal 12 2 2 8 3 2 9" xfId="8380" xr:uid="{00000000-0005-0000-0000-0000411F0000}"/>
    <cellStyle name="Normal 12 2 2 8 3 3" xfId="8381" xr:uid="{00000000-0005-0000-0000-0000421F0000}"/>
    <cellStyle name="Normal 12 2 2 8 3 3 2" xfId="8382" xr:uid="{00000000-0005-0000-0000-0000431F0000}"/>
    <cellStyle name="Normal 12 2 2 8 3 3 2 2" xfId="8383" xr:uid="{00000000-0005-0000-0000-0000441F0000}"/>
    <cellStyle name="Normal 12 2 2 8 3 3 2 3" xfId="8384" xr:uid="{00000000-0005-0000-0000-0000451F0000}"/>
    <cellStyle name="Normal 12 2 2 8 3 3 2 4" xfId="8385" xr:uid="{00000000-0005-0000-0000-0000461F0000}"/>
    <cellStyle name="Normal 12 2 2 8 3 3 2 5" xfId="8386" xr:uid="{00000000-0005-0000-0000-0000471F0000}"/>
    <cellStyle name="Normal 12 2 2 8 3 3 3" xfId="8387" xr:uid="{00000000-0005-0000-0000-0000481F0000}"/>
    <cellStyle name="Normal 12 2 2 8 3 3 4" xfId="8388" xr:uid="{00000000-0005-0000-0000-0000491F0000}"/>
    <cellStyle name="Normal 12 2 2 8 3 3 5" xfId="8389" xr:uid="{00000000-0005-0000-0000-00004A1F0000}"/>
    <cellStyle name="Normal 12 2 2 8 3 3 6" xfId="8390" xr:uid="{00000000-0005-0000-0000-00004B1F0000}"/>
    <cellStyle name="Normal 12 2 2 8 3 3 7" xfId="8391" xr:uid="{00000000-0005-0000-0000-00004C1F0000}"/>
    <cellStyle name="Normal 12 2 2 8 3 3 8" xfId="8392" xr:uid="{00000000-0005-0000-0000-00004D1F0000}"/>
    <cellStyle name="Normal 12 2 2 8 3 4" xfId="8393" xr:uid="{00000000-0005-0000-0000-00004E1F0000}"/>
    <cellStyle name="Normal 12 2 2 8 3 4 2" xfId="8394" xr:uid="{00000000-0005-0000-0000-00004F1F0000}"/>
    <cellStyle name="Normal 12 2 2 8 3 4 2 2" xfId="8395" xr:uid="{00000000-0005-0000-0000-0000501F0000}"/>
    <cellStyle name="Normal 12 2 2 8 3 4 2 3" xfId="8396" xr:uid="{00000000-0005-0000-0000-0000511F0000}"/>
    <cellStyle name="Normal 12 2 2 8 3 4 2 4" xfId="8397" xr:uid="{00000000-0005-0000-0000-0000521F0000}"/>
    <cellStyle name="Normal 12 2 2 8 3 4 2 5" xfId="8398" xr:uid="{00000000-0005-0000-0000-0000531F0000}"/>
    <cellStyle name="Normal 12 2 2 8 3 4 3" xfId="8399" xr:uid="{00000000-0005-0000-0000-0000541F0000}"/>
    <cellStyle name="Normal 12 2 2 8 3 4 4" xfId="8400" xr:uid="{00000000-0005-0000-0000-0000551F0000}"/>
    <cellStyle name="Normal 12 2 2 8 3 4 5" xfId="8401" xr:uid="{00000000-0005-0000-0000-0000561F0000}"/>
    <cellStyle name="Normal 12 2 2 8 3 4 6" xfId="8402" xr:uid="{00000000-0005-0000-0000-0000571F0000}"/>
    <cellStyle name="Normal 12 2 2 8 3 4 7" xfId="8403" xr:uid="{00000000-0005-0000-0000-0000581F0000}"/>
    <cellStyle name="Normal 12 2 2 8 3 4 8" xfId="8404" xr:uid="{00000000-0005-0000-0000-0000591F0000}"/>
    <cellStyle name="Normal 12 2 2 8 3 5" xfId="8405" xr:uid="{00000000-0005-0000-0000-00005A1F0000}"/>
    <cellStyle name="Normal 12 2 2 8 3 5 2" xfId="8406" xr:uid="{00000000-0005-0000-0000-00005B1F0000}"/>
    <cellStyle name="Normal 12 2 2 8 3 5 3" xfId="8407" xr:uid="{00000000-0005-0000-0000-00005C1F0000}"/>
    <cellStyle name="Normal 12 2 2 8 3 5 4" xfId="8408" xr:uid="{00000000-0005-0000-0000-00005D1F0000}"/>
    <cellStyle name="Normal 12 2 2 8 3 5 5" xfId="8409" xr:uid="{00000000-0005-0000-0000-00005E1F0000}"/>
    <cellStyle name="Normal 12 2 2 8 3 6" xfId="8410" xr:uid="{00000000-0005-0000-0000-00005F1F0000}"/>
    <cellStyle name="Normal 12 2 2 8 3 7" xfId="8411" xr:uid="{00000000-0005-0000-0000-0000601F0000}"/>
    <cellStyle name="Normal 12 2 2 8 3 8" xfId="8412" xr:uid="{00000000-0005-0000-0000-0000611F0000}"/>
    <cellStyle name="Normal 12 2 2 8 3 9" xfId="8413" xr:uid="{00000000-0005-0000-0000-0000621F0000}"/>
    <cellStyle name="Normal 12 2 2 8 4" xfId="8414" xr:uid="{00000000-0005-0000-0000-0000631F0000}"/>
    <cellStyle name="Normal 12 2 2 8 4 10" xfId="8415" xr:uid="{00000000-0005-0000-0000-0000641F0000}"/>
    <cellStyle name="Normal 12 2 2 8 4 2" xfId="8416" xr:uid="{00000000-0005-0000-0000-0000651F0000}"/>
    <cellStyle name="Normal 12 2 2 8 4 2 2" xfId="8417" xr:uid="{00000000-0005-0000-0000-0000661F0000}"/>
    <cellStyle name="Normal 12 2 2 8 4 2 2 2" xfId="8418" xr:uid="{00000000-0005-0000-0000-0000671F0000}"/>
    <cellStyle name="Normal 12 2 2 8 4 2 2 3" xfId="8419" xr:uid="{00000000-0005-0000-0000-0000681F0000}"/>
    <cellStyle name="Normal 12 2 2 8 4 2 2 4" xfId="8420" xr:uid="{00000000-0005-0000-0000-0000691F0000}"/>
    <cellStyle name="Normal 12 2 2 8 4 2 2 5" xfId="8421" xr:uid="{00000000-0005-0000-0000-00006A1F0000}"/>
    <cellStyle name="Normal 12 2 2 8 4 2 3" xfId="8422" xr:uid="{00000000-0005-0000-0000-00006B1F0000}"/>
    <cellStyle name="Normal 12 2 2 8 4 2 4" xfId="8423" xr:uid="{00000000-0005-0000-0000-00006C1F0000}"/>
    <cellStyle name="Normal 12 2 2 8 4 2 5" xfId="8424" xr:uid="{00000000-0005-0000-0000-00006D1F0000}"/>
    <cellStyle name="Normal 12 2 2 8 4 2 6" xfId="8425" xr:uid="{00000000-0005-0000-0000-00006E1F0000}"/>
    <cellStyle name="Normal 12 2 2 8 4 2 7" xfId="8426" xr:uid="{00000000-0005-0000-0000-00006F1F0000}"/>
    <cellStyle name="Normal 12 2 2 8 4 2 8" xfId="8427" xr:uid="{00000000-0005-0000-0000-0000701F0000}"/>
    <cellStyle name="Normal 12 2 2 8 4 3" xfId="8428" xr:uid="{00000000-0005-0000-0000-0000711F0000}"/>
    <cellStyle name="Normal 12 2 2 8 4 3 2" xfId="8429" xr:uid="{00000000-0005-0000-0000-0000721F0000}"/>
    <cellStyle name="Normal 12 2 2 8 4 3 2 2" xfId="8430" xr:uid="{00000000-0005-0000-0000-0000731F0000}"/>
    <cellStyle name="Normal 12 2 2 8 4 3 2 3" xfId="8431" xr:uid="{00000000-0005-0000-0000-0000741F0000}"/>
    <cellStyle name="Normal 12 2 2 8 4 3 2 4" xfId="8432" xr:uid="{00000000-0005-0000-0000-0000751F0000}"/>
    <cellStyle name="Normal 12 2 2 8 4 3 2 5" xfId="8433" xr:uid="{00000000-0005-0000-0000-0000761F0000}"/>
    <cellStyle name="Normal 12 2 2 8 4 3 3" xfId="8434" xr:uid="{00000000-0005-0000-0000-0000771F0000}"/>
    <cellStyle name="Normal 12 2 2 8 4 3 4" xfId="8435" xr:uid="{00000000-0005-0000-0000-0000781F0000}"/>
    <cellStyle name="Normal 12 2 2 8 4 3 5" xfId="8436" xr:uid="{00000000-0005-0000-0000-0000791F0000}"/>
    <cellStyle name="Normal 12 2 2 8 4 3 6" xfId="8437" xr:uid="{00000000-0005-0000-0000-00007A1F0000}"/>
    <cellStyle name="Normal 12 2 2 8 4 3 7" xfId="8438" xr:uid="{00000000-0005-0000-0000-00007B1F0000}"/>
    <cellStyle name="Normal 12 2 2 8 4 3 8" xfId="8439" xr:uid="{00000000-0005-0000-0000-00007C1F0000}"/>
    <cellStyle name="Normal 12 2 2 8 4 4" xfId="8440" xr:uid="{00000000-0005-0000-0000-00007D1F0000}"/>
    <cellStyle name="Normal 12 2 2 8 4 4 2" xfId="8441" xr:uid="{00000000-0005-0000-0000-00007E1F0000}"/>
    <cellStyle name="Normal 12 2 2 8 4 4 3" xfId="8442" xr:uid="{00000000-0005-0000-0000-00007F1F0000}"/>
    <cellStyle name="Normal 12 2 2 8 4 4 4" xfId="8443" xr:uid="{00000000-0005-0000-0000-0000801F0000}"/>
    <cellStyle name="Normal 12 2 2 8 4 4 5" xfId="8444" xr:uid="{00000000-0005-0000-0000-0000811F0000}"/>
    <cellStyle name="Normal 12 2 2 8 4 5" xfId="8445" xr:uid="{00000000-0005-0000-0000-0000821F0000}"/>
    <cellStyle name="Normal 12 2 2 8 4 6" xfId="8446" xr:uid="{00000000-0005-0000-0000-0000831F0000}"/>
    <cellStyle name="Normal 12 2 2 8 4 7" xfId="8447" xr:uid="{00000000-0005-0000-0000-0000841F0000}"/>
    <cellStyle name="Normal 12 2 2 8 4 8" xfId="8448" xr:uid="{00000000-0005-0000-0000-0000851F0000}"/>
    <cellStyle name="Normal 12 2 2 8 4 9" xfId="8449" xr:uid="{00000000-0005-0000-0000-0000861F0000}"/>
    <cellStyle name="Normal 12 2 2 8 5" xfId="8450" xr:uid="{00000000-0005-0000-0000-0000871F0000}"/>
    <cellStyle name="Normal 12 2 2 8 5 2" xfId="8451" xr:uid="{00000000-0005-0000-0000-0000881F0000}"/>
    <cellStyle name="Normal 12 2 2 8 5 2 2" xfId="8452" xr:uid="{00000000-0005-0000-0000-0000891F0000}"/>
    <cellStyle name="Normal 12 2 2 8 5 2 3" xfId="8453" xr:uid="{00000000-0005-0000-0000-00008A1F0000}"/>
    <cellStyle name="Normal 12 2 2 8 5 2 4" xfId="8454" xr:uid="{00000000-0005-0000-0000-00008B1F0000}"/>
    <cellStyle name="Normal 12 2 2 8 5 2 5" xfId="8455" xr:uid="{00000000-0005-0000-0000-00008C1F0000}"/>
    <cellStyle name="Normal 12 2 2 8 5 3" xfId="8456" xr:uid="{00000000-0005-0000-0000-00008D1F0000}"/>
    <cellStyle name="Normal 12 2 2 8 5 4" xfId="8457" xr:uid="{00000000-0005-0000-0000-00008E1F0000}"/>
    <cellStyle name="Normal 12 2 2 8 5 5" xfId="8458" xr:uid="{00000000-0005-0000-0000-00008F1F0000}"/>
    <cellStyle name="Normal 12 2 2 8 5 6" xfId="8459" xr:uid="{00000000-0005-0000-0000-0000901F0000}"/>
    <cellStyle name="Normal 12 2 2 8 5 7" xfId="8460" xr:uid="{00000000-0005-0000-0000-0000911F0000}"/>
    <cellStyle name="Normal 12 2 2 8 5 8" xfId="8461" xr:uid="{00000000-0005-0000-0000-0000921F0000}"/>
    <cellStyle name="Normal 12 2 2 8 6" xfId="8462" xr:uid="{00000000-0005-0000-0000-0000931F0000}"/>
    <cellStyle name="Normal 12 2 2 8 6 2" xfId="8463" xr:uid="{00000000-0005-0000-0000-0000941F0000}"/>
    <cellStyle name="Normal 12 2 2 8 6 2 2" xfId="8464" xr:uid="{00000000-0005-0000-0000-0000951F0000}"/>
    <cellStyle name="Normal 12 2 2 8 6 2 3" xfId="8465" xr:uid="{00000000-0005-0000-0000-0000961F0000}"/>
    <cellStyle name="Normal 12 2 2 8 6 2 4" xfId="8466" xr:uid="{00000000-0005-0000-0000-0000971F0000}"/>
    <cellStyle name="Normal 12 2 2 8 6 2 5" xfId="8467" xr:uid="{00000000-0005-0000-0000-0000981F0000}"/>
    <cellStyle name="Normal 12 2 2 8 6 3" xfId="8468" xr:uid="{00000000-0005-0000-0000-0000991F0000}"/>
    <cellStyle name="Normal 12 2 2 8 6 4" xfId="8469" xr:uid="{00000000-0005-0000-0000-00009A1F0000}"/>
    <cellStyle name="Normal 12 2 2 8 6 5" xfId="8470" xr:uid="{00000000-0005-0000-0000-00009B1F0000}"/>
    <cellStyle name="Normal 12 2 2 8 6 6" xfId="8471" xr:uid="{00000000-0005-0000-0000-00009C1F0000}"/>
    <cellStyle name="Normal 12 2 2 8 6 7" xfId="8472" xr:uid="{00000000-0005-0000-0000-00009D1F0000}"/>
    <cellStyle name="Normal 12 2 2 8 6 8" xfId="8473" xr:uid="{00000000-0005-0000-0000-00009E1F0000}"/>
    <cellStyle name="Normal 12 2 2 8 7" xfId="8474" xr:uid="{00000000-0005-0000-0000-00009F1F0000}"/>
    <cellStyle name="Normal 12 2 2 8 7 2" xfId="8475" xr:uid="{00000000-0005-0000-0000-0000A01F0000}"/>
    <cellStyle name="Normal 12 2 2 8 7 3" xfId="8476" xr:uid="{00000000-0005-0000-0000-0000A11F0000}"/>
    <cellStyle name="Normal 12 2 2 8 7 4" xfId="8477" xr:uid="{00000000-0005-0000-0000-0000A21F0000}"/>
    <cellStyle name="Normal 12 2 2 8 7 5" xfId="8478" xr:uid="{00000000-0005-0000-0000-0000A31F0000}"/>
    <cellStyle name="Normal 12 2 2 8 8" xfId="8479" xr:uid="{00000000-0005-0000-0000-0000A41F0000}"/>
    <cellStyle name="Normal 12 2 2 8 9" xfId="8480" xr:uid="{00000000-0005-0000-0000-0000A51F0000}"/>
    <cellStyle name="Normal 12 2 2 9" xfId="8481" xr:uid="{00000000-0005-0000-0000-0000A61F0000}"/>
    <cellStyle name="Normal 12 2 2 9 10" xfId="8482" xr:uid="{00000000-0005-0000-0000-0000A71F0000}"/>
    <cellStyle name="Normal 12 2 2 9 11" xfId="8483" xr:uid="{00000000-0005-0000-0000-0000A81F0000}"/>
    <cellStyle name="Normal 12 2 2 9 2" xfId="8484" xr:uid="{00000000-0005-0000-0000-0000A91F0000}"/>
    <cellStyle name="Normal 12 2 2 9 2 10" xfId="8485" xr:uid="{00000000-0005-0000-0000-0000AA1F0000}"/>
    <cellStyle name="Normal 12 2 2 9 2 2" xfId="8486" xr:uid="{00000000-0005-0000-0000-0000AB1F0000}"/>
    <cellStyle name="Normal 12 2 2 9 2 2 2" xfId="8487" xr:uid="{00000000-0005-0000-0000-0000AC1F0000}"/>
    <cellStyle name="Normal 12 2 2 9 2 2 2 2" xfId="8488" xr:uid="{00000000-0005-0000-0000-0000AD1F0000}"/>
    <cellStyle name="Normal 12 2 2 9 2 2 2 3" xfId="8489" xr:uid="{00000000-0005-0000-0000-0000AE1F0000}"/>
    <cellStyle name="Normal 12 2 2 9 2 2 2 4" xfId="8490" xr:uid="{00000000-0005-0000-0000-0000AF1F0000}"/>
    <cellStyle name="Normal 12 2 2 9 2 2 2 5" xfId="8491" xr:uid="{00000000-0005-0000-0000-0000B01F0000}"/>
    <cellStyle name="Normal 12 2 2 9 2 2 3" xfId="8492" xr:uid="{00000000-0005-0000-0000-0000B11F0000}"/>
    <cellStyle name="Normal 12 2 2 9 2 2 4" xfId="8493" xr:uid="{00000000-0005-0000-0000-0000B21F0000}"/>
    <cellStyle name="Normal 12 2 2 9 2 2 5" xfId="8494" xr:uid="{00000000-0005-0000-0000-0000B31F0000}"/>
    <cellStyle name="Normal 12 2 2 9 2 2 6" xfId="8495" xr:uid="{00000000-0005-0000-0000-0000B41F0000}"/>
    <cellStyle name="Normal 12 2 2 9 2 2 7" xfId="8496" xr:uid="{00000000-0005-0000-0000-0000B51F0000}"/>
    <cellStyle name="Normal 12 2 2 9 2 2 8" xfId="8497" xr:uid="{00000000-0005-0000-0000-0000B61F0000}"/>
    <cellStyle name="Normal 12 2 2 9 2 3" xfId="8498" xr:uid="{00000000-0005-0000-0000-0000B71F0000}"/>
    <cellStyle name="Normal 12 2 2 9 2 3 2" xfId="8499" xr:uid="{00000000-0005-0000-0000-0000B81F0000}"/>
    <cellStyle name="Normal 12 2 2 9 2 3 2 2" xfId="8500" xr:uid="{00000000-0005-0000-0000-0000B91F0000}"/>
    <cellStyle name="Normal 12 2 2 9 2 3 2 3" xfId="8501" xr:uid="{00000000-0005-0000-0000-0000BA1F0000}"/>
    <cellStyle name="Normal 12 2 2 9 2 3 2 4" xfId="8502" xr:uid="{00000000-0005-0000-0000-0000BB1F0000}"/>
    <cellStyle name="Normal 12 2 2 9 2 3 2 5" xfId="8503" xr:uid="{00000000-0005-0000-0000-0000BC1F0000}"/>
    <cellStyle name="Normal 12 2 2 9 2 3 3" xfId="8504" xr:uid="{00000000-0005-0000-0000-0000BD1F0000}"/>
    <cellStyle name="Normal 12 2 2 9 2 3 4" xfId="8505" xr:uid="{00000000-0005-0000-0000-0000BE1F0000}"/>
    <cellStyle name="Normal 12 2 2 9 2 3 5" xfId="8506" xr:uid="{00000000-0005-0000-0000-0000BF1F0000}"/>
    <cellStyle name="Normal 12 2 2 9 2 3 6" xfId="8507" xr:uid="{00000000-0005-0000-0000-0000C01F0000}"/>
    <cellStyle name="Normal 12 2 2 9 2 3 7" xfId="8508" xr:uid="{00000000-0005-0000-0000-0000C11F0000}"/>
    <cellStyle name="Normal 12 2 2 9 2 3 8" xfId="8509" xr:uid="{00000000-0005-0000-0000-0000C21F0000}"/>
    <cellStyle name="Normal 12 2 2 9 2 4" xfId="8510" xr:uid="{00000000-0005-0000-0000-0000C31F0000}"/>
    <cellStyle name="Normal 12 2 2 9 2 4 2" xfId="8511" xr:uid="{00000000-0005-0000-0000-0000C41F0000}"/>
    <cellStyle name="Normal 12 2 2 9 2 4 3" xfId="8512" xr:uid="{00000000-0005-0000-0000-0000C51F0000}"/>
    <cellStyle name="Normal 12 2 2 9 2 4 4" xfId="8513" xr:uid="{00000000-0005-0000-0000-0000C61F0000}"/>
    <cellStyle name="Normal 12 2 2 9 2 4 5" xfId="8514" xr:uid="{00000000-0005-0000-0000-0000C71F0000}"/>
    <cellStyle name="Normal 12 2 2 9 2 5" xfId="8515" xr:uid="{00000000-0005-0000-0000-0000C81F0000}"/>
    <cellStyle name="Normal 12 2 2 9 2 6" xfId="8516" xr:uid="{00000000-0005-0000-0000-0000C91F0000}"/>
    <cellStyle name="Normal 12 2 2 9 2 7" xfId="8517" xr:uid="{00000000-0005-0000-0000-0000CA1F0000}"/>
    <cellStyle name="Normal 12 2 2 9 2 8" xfId="8518" xr:uid="{00000000-0005-0000-0000-0000CB1F0000}"/>
    <cellStyle name="Normal 12 2 2 9 2 9" xfId="8519" xr:uid="{00000000-0005-0000-0000-0000CC1F0000}"/>
    <cellStyle name="Normal 12 2 2 9 3" xfId="8520" xr:uid="{00000000-0005-0000-0000-0000CD1F0000}"/>
    <cellStyle name="Normal 12 2 2 9 3 2" xfId="8521" xr:uid="{00000000-0005-0000-0000-0000CE1F0000}"/>
    <cellStyle name="Normal 12 2 2 9 3 2 2" xfId="8522" xr:uid="{00000000-0005-0000-0000-0000CF1F0000}"/>
    <cellStyle name="Normal 12 2 2 9 3 2 3" xfId="8523" xr:uid="{00000000-0005-0000-0000-0000D01F0000}"/>
    <cellStyle name="Normal 12 2 2 9 3 2 4" xfId="8524" xr:uid="{00000000-0005-0000-0000-0000D11F0000}"/>
    <cellStyle name="Normal 12 2 2 9 3 2 5" xfId="8525" xr:uid="{00000000-0005-0000-0000-0000D21F0000}"/>
    <cellStyle name="Normal 12 2 2 9 3 3" xfId="8526" xr:uid="{00000000-0005-0000-0000-0000D31F0000}"/>
    <cellStyle name="Normal 12 2 2 9 3 4" xfId="8527" xr:uid="{00000000-0005-0000-0000-0000D41F0000}"/>
    <cellStyle name="Normal 12 2 2 9 3 5" xfId="8528" xr:uid="{00000000-0005-0000-0000-0000D51F0000}"/>
    <cellStyle name="Normal 12 2 2 9 3 6" xfId="8529" xr:uid="{00000000-0005-0000-0000-0000D61F0000}"/>
    <cellStyle name="Normal 12 2 2 9 3 7" xfId="8530" xr:uid="{00000000-0005-0000-0000-0000D71F0000}"/>
    <cellStyle name="Normal 12 2 2 9 3 8" xfId="8531" xr:uid="{00000000-0005-0000-0000-0000D81F0000}"/>
    <cellStyle name="Normal 12 2 2 9 4" xfId="8532" xr:uid="{00000000-0005-0000-0000-0000D91F0000}"/>
    <cellStyle name="Normal 12 2 2 9 4 2" xfId="8533" xr:uid="{00000000-0005-0000-0000-0000DA1F0000}"/>
    <cellStyle name="Normal 12 2 2 9 4 2 2" xfId="8534" xr:uid="{00000000-0005-0000-0000-0000DB1F0000}"/>
    <cellStyle name="Normal 12 2 2 9 4 2 3" xfId="8535" xr:uid="{00000000-0005-0000-0000-0000DC1F0000}"/>
    <cellStyle name="Normal 12 2 2 9 4 2 4" xfId="8536" xr:uid="{00000000-0005-0000-0000-0000DD1F0000}"/>
    <cellStyle name="Normal 12 2 2 9 4 2 5" xfId="8537" xr:uid="{00000000-0005-0000-0000-0000DE1F0000}"/>
    <cellStyle name="Normal 12 2 2 9 4 3" xfId="8538" xr:uid="{00000000-0005-0000-0000-0000DF1F0000}"/>
    <cellStyle name="Normal 12 2 2 9 4 4" xfId="8539" xr:uid="{00000000-0005-0000-0000-0000E01F0000}"/>
    <cellStyle name="Normal 12 2 2 9 4 5" xfId="8540" xr:uid="{00000000-0005-0000-0000-0000E11F0000}"/>
    <cellStyle name="Normal 12 2 2 9 4 6" xfId="8541" xr:uid="{00000000-0005-0000-0000-0000E21F0000}"/>
    <cellStyle name="Normal 12 2 2 9 4 7" xfId="8542" xr:uid="{00000000-0005-0000-0000-0000E31F0000}"/>
    <cellStyle name="Normal 12 2 2 9 4 8" xfId="8543" xr:uid="{00000000-0005-0000-0000-0000E41F0000}"/>
    <cellStyle name="Normal 12 2 2 9 5" xfId="8544" xr:uid="{00000000-0005-0000-0000-0000E51F0000}"/>
    <cellStyle name="Normal 12 2 2 9 5 2" xfId="8545" xr:uid="{00000000-0005-0000-0000-0000E61F0000}"/>
    <cellStyle name="Normal 12 2 2 9 5 3" xfId="8546" xr:uid="{00000000-0005-0000-0000-0000E71F0000}"/>
    <cellStyle name="Normal 12 2 2 9 5 4" xfId="8547" xr:uid="{00000000-0005-0000-0000-0000E81F0000}"/>
    <cellStyle name="Normal 12 2 2 9 5 5" xfId="8548" xr:uid="{00000000-0005-0000-0000-0000E91F0000}"/>
    <cellStyle name="Normal 12 2 2 9 6" xfId="8549" xr:uid="{00000000-0005-0000-0000-0000EA1F0000}"/>
    <cellStyle name="Normal 12 2 2 9 7" xfId="8550" xr:uid="{00000000-0005-0000-0000-0000EB1F0000}"/>
    <cellStyle name="Normal 12 2 2 9 8" xfId="8551" xr:uid="{00000000-0005-0000-0000-0000EC1F0000}"/>
    <cellStyle name="Normal 12 2 2 9 9" xfId="8552" xr:uid="{00000000-0005-0000-0000-0000ED1F0000}"/>
    <cellStyle name="Normal 12 2 20" xfId="8553" xr:uid="{00000000-0005-0000-0000-0000EE1F0000}"/>
    <cellStyle name="Normal 12 2 21" xfId="8554" xr:uid="{00000000-0005-0000-0000-0000EF1F0000}"/>
    <cellStyle name="Normal 12 2 22" xfId="8555" xr:uid="{00000000-0005-0000-0000-0000F01F0000}"/>
    <cellStyle name="Normal 12 2 3" xfId="8556" xr:uid="{00000000-0005-0000-0000-0000F11F0000}"/>
    <cellStyle name="Normal 12 2 3 10" xfId="8557" xr:uid="{00000000-0005-0000-0000-0000F21F0000}"/>
    <cellStyle name="Normal 12 2 3 10 10" xfId="8558" xr:uid="{00000000-0005-0000-0000-0000F31F0000}"/>
    <cellStyle name="Normal 12 2 3 10 11" xfId="8559" xr:uid="{00000000-0005-0000-0000-0000F41F0000}"/>
    <cellStyle name="Normal 12 2 3 10 2" xfId="8560" xr:uid="{00000000-0005-0000-0000-0000F51F0000}"/>
    <cellStyle name="Normal 12 2 3 10 2 10" xfId="8561" xr:uid="{00000000-0005-0000-0000-0000F61F0000}"/>
    <cellStyle name="Normal 12 2 3 10 2 2" xfId="8562" xr:uid="{00000000-0005-0000-0000-0000F71F0000}"/>
    <cellStyle name="Normal 12 2 3 10 2 2 2" xfId="8563" xr:uid="{00000000-0005-0000-0000-0000F81F0000}"/>
    <cellStyle name="Normal 12 2 3 10 2 2 2 2" xfId="8564" xr:uid="{00000000-0005-0000-0000-0000F91F0000}"/>
    <cellStyle name="Normal 12 2 3 10 2 2 2 3" xfId="8565" xr:uid="{00000000-0005-0000-0000-0000FA1F0000}"/>
    <cellStyle name="Normal 12 2 3 10 2 2 2 4" xfId="8566" xr:uid="{00000000-0005-0000-0000-0000FB1F0000}"/>
    <cellStyle name="Normal 12 2 3 10 2 2 2 5" xfId="8567" xr:uid="{00000000-0005-0000-0000-0000FC1F0000}"/>
    <cellStyle name="Normal 12 2 3 10 2 2 3" xfId="8568" xr:uid="{00000000-0005-0000-0000-0000FD1F0000}"/>
    <cellStyle name="Normal 12 2 3 10 2 2 4" xfId="8569" xr:uid="{00000000-0005-0000-0000-0000FE1F0000}"/>
    <cellStyle name="Normal 12 2 3 10 2 2 5" xfId="8570" xr:uid="{00000000-0005-0000-0000-0000FF1F0000}"/>
    <cellStyle name="Normal 12 2 3 10 2 2 6" xfId="8571" xr:uid="{00000000-0005-0000-0000-000000200000}"/>
    <cellStyle name="Normal 12 2 3 10 2 2 7" xfId="8572" xr:uid="{00000000-0005-0000-0000-000001200000}"/>
    <cellStyle name="Normal 12 2 3 10 2 2 8" xfId="8573" xr:uid="{00000000-0005-0000-0000-000002200000}"/>
    <cellStyle name="Normal 12 2 3 10 2 3" xfId="8574" xr:uid="{00000000-0005-0000-0000-000003200000}"/>
    <cellStyle name="Normal 12 2 3 10 2 3 2" xfId="8575" xr:uid="{00000000-0005-0000-0000-000004200000}"/>
    <cellStyle name="Normal 12 2 3 10 2 3 2 2" xfId="8576" xr:uid="{00000000-0005-0000-0000-000005200000}"/>
    <cellStyle name="Normal 12 2 3 10 2 3 2 3" xfId="8577" xr:uid="{00000000-0005-0000-0000-000006200000}"/>
    <cellStyle name="Normal 12 2 3 10 2 3 2 4" xfId="8578" xr:uid="{00000000-0005-0000-0000-000007200000}"/>
    <cellStyle name="Normal 12 2 3 10 2 3 2 5" xfId="8579" xr:uid="{00000000-0005-0000-0000-000008200000}"/>
    <cellStyle name="Normal 12 2 3 10 2 3 3" xfId="8580" xr:uid="{00000000-0005-0000-0000-000009200000}"/>
    <cellStyle name="Normal 12 2 3 10 2 3 4" xfId="8581" xr:uid="{00000000-0005-0000-0000-00000A200000}"/>
    <cellStyle name="Normal 12 2 3 10 2 3 5" xfId="8582" xr:uid="{00000000-0005-0000-0000-00000B200000}"/>
    <cellStyle name="Normal 12 2 3 10 2 3 6" xfId="8583" xr:uid="{00000000-0005-0000-0000-00000C200000}"/>
    <cellStyle name="Normal 12 2 3 10 2 3 7" xfId="8584" xr:uid="{00000000-0005-0000-0000-00000D200000}"/>
    <cellStyle name="Normal 12 2 3 10 2 3 8" xfId="8585" xr:uid="{00000000-0005-0000-0000-00000E200000}"/>
    <cellStyle name="Normal 12 2 3 10 2 4" xfId="8586" xr:uid="{00000000-0005-0000-0000-00000F200000}"/>
    <cellStyle name="Normal 12 2 3 10 2 4 2" xfId="8587" xr:uid="{00000000-0005-0000-0000-000010200000}"/>
    <cellStyle name="Normal 12 2 3 10 2 4 3" xfId="8588" xr:uid="{00000000-0005-0000-0000-000011200000}"/>
    <cellStyle name="Normal 12 2 3 10 2 4 4" xfId="8589" xr:uid="{00000000-0005-0000-0000-000012200000}"/>
    <cellStyle name="Normal 12 2 3 10 2 4 5" xfId="8590" xr:uid="{00000000-0005-0000-0000-000013200000}"/>
    <cellStyle name="Normal 12 2 3 10 2 5" xfId="8591" xr:uid="{00000000-0005-0000-0000-000014200000}"/>
    <cellStyle name="Normal 12 2 3 10 2 6" xfId="8592" xr:uid="{00000000-0005-0000-0000-000015200000}"/>
    <cellStyle name="Normal 12 2 3 10 2 7" xfId="8593" xr:uid="{00000000-0005-0000-0000-000016200000}"/>
    <cellStyle name="Normal 12 2 3 10 2 8" xfId="8594" xr:uid="{00000000-0005-0000-0000-000017200000}"/>
    <cellStyle name="Normal 12 2 3 10 2 9" xfId="8595" xr:uid="{00000000-0005-0000-0000-000018200000}"/>
    <cellStyle name="Normal 12 2 3 10 3" xfId="8596" xr:uid="{00000000-0005-0000-0000-000019200000}"/>
    <cellStyle name="Normal 12 2 3 10 3 2" xfId="8597" xr:uid="{00000000-0005-0000-0000-00001A200000}"/>
    <cellStyle name="Normal 12 2 3 10 3 2 2" xfId="8598" xr:uid="{00000000-0005-0000-0000-00001B200000}"/>
    <cellStyle name="Normal 12 2 3 10 3 2 3" xfId="8599" xr:uid="{00000000-0005-0000-0000-00001C200000}"/>
    <cellStyle name="Normal 12 2 3 10 3 2 4" xfId="8600" xr:uid="{00000000-0005-0000-0000-00001D200000}"/>
    <cellStyle name="Normal 12 2 3 10 3 2 5" xfId="8601" xr:uid="{00000000-0005-0000-0000-00001E200000}"/>
    <cellStyle name="Normal 12 2 3 10 3 3" xfId="8602" xr:uid="{00000000-0005-0000-0000-00001F200000}"/>
    <cellStyle name="Normal 12 2 3 10 3 4" xfId="8603" xr:uid="{00000000-0005-0000-0000-000020200000}"/>
    <cellStyle name="Normal 12 2 3 10 3 5" xfId="8604" xr:uid="{00000000-0005-0000-0000-000021200000}"/>
    <cellStyle name="Normal 12 2 3 10 3 6" xfId="8605" xr:uid="{00000000-0005-0000-0000-000022200000}"/>
    <cellStyle name="Normal 12 2 3 10 3 7" xfId="8606" xr:uid="{00000000-0005-0000-0000-000023200000}"/>
    <cellStyle name="Normal 12 2 3 10 3 8" xfId="8607" xr:uid="{00000000-0005-0000-0000-000024200000}"/>
    <cellStyle name="Normal 12 2 3 10 4" xfId="8608" xr:uid="{00000000-0005-0000-0000-000025200000}"/>
    <cellStyle name="Normal 12 2 3 10 4 2" xfId="8609" xr:uid="{00000000-0005-0000-0000-000026200000}"/>
    <cellStyle name="Normal 12 2 3 10 4 2 2" xfId="8610" xr:uid="{00000000-0005-0000-0000-000027200000}"/>
    <cellStyle name="Normal 12 2 3 10 4 2 3" xfId="8611" xr:uid="{00000000-0005-0000-0000-000028200000}"/>
    <cellStyle name="Normal 12 2 3 10 4 2 4" xfId="8612" xr:uid="{00000000-0005-0000-0000-000029200000}"/>
    <cellStyle name="Normal 12 2 3 10 4 2 5" xfId="8613" xr:uid="{00000000-0005-0000-0000-00002A200000}"/>
    <cellStyle name="Normal 12 2 3 10 4 3" xfId="8614" xr:uid="{00000000-0005-0000-0000-00002B200000}"/>
    <cellStyle name="Normal 12 2 3 10 4 4" xfId="8615" xr:uid="{00000000-0005-0000-0000-00002C200000}"/>
    <cellStyle name="Normal 12 2 3 10 4 5" xfId="8616" xr:uid="{00000000-0005-0000-0000-00002D200000}"/>
    <cellStyle name="Normal 12 2 3 10 4 6" xfId="8617" xr:uid="{00000000-0005-0000-0000-00002E200000}"/>
    <cellStyle name="Normal 12 2 3 10 4 7" xfId="8618" xr:uid="{00000000-0005-0000-0000-00002F200000}"/>
    <cellStyle name="Normal 12 2 3 10 4 8" xfId="8619" xr:uid="{00000000-0005-0000-0000-000030200000}"/>
    <cellStyle name="Normal 12 2 3 10 5" xfId="8620" xr:uid="{00000000-0005-0000-0000-000031200000}"/>
    <cellStyle name="Normal 12 2 3 10 5 2" xfId="8621" xr:uid="{00000000-0005-0000-0000-000032200000}"/>
    <cellStyle name="Normal 12 2 3 10 5 3" xfId="8622" xr:uid="{00000000-0005-0000-0000-000033200000}"/>
    <cellStyle name="Normal 12 2 3 10 5 4" xfId="8623" xr:uid="{00000000-0005-0000-0000-000034200000}"/>
    <cellStyle name="Normal 12 2 3 10 5 5" xfId="8624" xr:uid="{00000000-0005-0000-0000-000035200000}"/>
    <cellStyle name="Normal 12 2 3 10 6" xfId="8625" xr:uid="{00000000-0005-0000-0000-000036200000}"/>
    <cellStyle name="Normal 12 2 3 10 7" xfId="8626" xr:uid="{00000000-0005-0000-0000-000037200000}"/>
    <cellStyle name="Normal 12 2 3 10 8" xfId="8627" xr:uid="{00000000-0005-0000-0000-000038200000}"/>
    <cellStyle name="Normal 12 2 3 10 9" xfId="8628" xr:uid="{00000000-0005-0000-0000-000039200000}"/>
    <cellStyle name="Normal 12 2 3 11" xfId="8629" xr:uid="{00000000-0005-0000-0000-00003A200000}"/>
    <cellStyle name="Normal 12 2 3 11 10" xfId="8630" xr:uid="{00000000-0005-0000-0000-00003B200000}"/>
    <cellStyle name="Normal 12 2 3 11 2" xfId="8631" xr:uid="{00000000-0005-0000-0000-00003C200000}"/>
    <cellStyle name="Normal 12 2 3 11 2 2" xfId="8632" xr:uid="{00000000-0005-0000-0000-00003D200000}"/>
    <cellStyle name="Normal 12 2 3 11 2 2 2" xfId="8633" xr:uid="{00000000-0005-0000-0000-00003E200000}"/>
    <cellStyle name="Normal 12 2 3 11 2 2 3" xfId="8634" xr:uid="{00000000-0005-0000-0000-00003F200000}"/>
    <cellStyle name="Normal 12 2 3 11 2 2 4" xfId="8635" xr:uid="{00000000-0005-0000-0000-000040200000}"/>
    <cellStyle name="Normal 12 2 3 11 2 2 5" xfId="8636" xr:uid="{00000000-0005-0000-0000-000041200000}"/>
    <cellStyle name="Normal 12 2 3 11 2 3" xfId="8637" xr:uid="{00000000-0005-0000-0000-000042200000}"/>
    <cellStyle name="Normal 12 2 3 11 2 4" xfId="8638" xr:uid="{00000000-0005-0000-0000-000043200000}"/>
    <cellStyle name="Normal 12 2 3 11 2 5" xfId="8639" xr:uid="{00000000-0005-0000-0000-000044200000}"/>
    <cellStyle name="Normal 12 2 3 11 2 6" xfId="8640" xr:uid="{00000000-0005-0000-0000-000045200000}"/>
    <cellStyle name="Normal 12 2 3 11 2 7" xfId="8641" xr:uid="{00000000-0005-0000-0000-000046200000}"/>
    <cellStyle name="Normal 12 2 3 11 2 8" xfId="8642" xr:uid="{00000000-0005-0000-0000-000047200000}"/>
    <cellStyle name="Normal 12 2 3 11 3" xfId="8643" xr:uid="{00000000-0005-0000-0000-000048200000}"/>
    <cellStyle name="Normal 12 2 3 11 3 2" xfId="8644" xr:uid="{00000000-0005-0000-0000-000049200000}"/>
    <cellStyle name="Normal 12 2 3 11 3 2 2" xfId="8645" xr:uid="{00000000-0005-0000-0000-00004A200000}"/>
    <cellStyle name="Normal 12 2 3 11 3 2 3" xfId="8646" xr:uid="{00000000-0005-0000-0000-00004B200000}"/>
    <cellStyle name="Normal 12 2 3 11 3 2 4" xfId="8647" xr:uid="{00000000-0005-0000-0000-00004C200000}"/>
    <cellStyle name="Normal 12 2 3 11 3 2 5" xfId="8648" xr:uid="{00000000-0005-0000-0000-00004D200000}"/>
    <cellStyle name="Normal 12 2 3 11 3 3" xfId="8649" xr:uid="{00000000-0005-0000-0000-00004E200000}"/>
    <cellStyle name="Normal 12 2 3 11 3 4" xfId="8650" xr:uid="{00000000-0005-0000-0000-00004F200000}"/>
    <cellStyle name="Normal 12 2 3 11 3 5" xfId="8651" xr:uid="{00000000-0005-0000-0000-000050200000}"/>
    <cellStyle name="Normal 12 2 3 11 3 6" xfId="8652" xr:uid="{00000000-0005-0000-0000-000051200000}"/>
    <cellStyle name="Normal 12 2 3 11 3 7" xfId="8653" xr:uid="{00000000-0005-0000-0000-000052200000}"/>
    <cellStyle name="Normal 12 2 3 11 3 8" xfId="8654" xr:uid="{00000000-0005-0000-0000-000053200000}"/>
    <cellStyle name="Normal 12 2 3 11 4" xfId="8655" xr:uid="{00000000-0005-0000-0000-000054200000}"/>
    <cellStyle name="Normal 12 2 3 11 4 2" xfId="8656" xr:uid="{00000000-0005-0000-0000-000055200000}"/>
    <cellStyle name="Normal 12 2 3 11 4 3" xfId="8657" xr:uid="{00000000-0005-0000-0000-000056200000}"/>
    <cellStyle name="Normal 12 2 3 11 4 4" xfId="8658" xr:uid="{00000000-0005-0000-0000-000057200000}"/>
    <cellStyle name="Normal 12 2 3 11 4 5" xfId="8659" xr:uid="{00000000-0005-0000-0000-000058200000}"/>
    <cellStyle name="Normal 12 2 3 11 5" xfId="8660" xr:uid="{00000000-0005-0000-0000-000059200000}"/>
    <cellStyle name="Normal 12 2 3 11 6" xfId="8661" xr:uid="{00000000-0005-0000-0000-00005A200000}"/>
    <cellStyle name="Normal 12 2 3 11 7" xfId="8662" xr:uid="{00000000-0005-0000-0000-00005B200000}"/>
    <cellStyle name="Normal 12 2 3 11 8" xfId="8663" xr:uid="{00000000-0005-0000-0000-00005C200000}"/>
    <cellStyle name="Normal 12 2 3 11 9" xfId="8664" xr:uid="{00000000-0005-0000-0000-00005D200000}"/>
    <cellStyle name="Normal 12 2 3 12" xfId="8665" xr:uid="{00000000-0005-0000-0000-00005E200000}"/>
    <cellStyle name="Normal 12 2 3 12 2" xfId="8666" xr:uid="{00000000-0005-0000-0000-00005F200000}"/>
    <cellStyle name="Normal 12 2 3 12 2 2" xfId="8667" xr:uid="{00000000-0005-0000-0000-000060200000}"/>
    <cellStyle name="Normal 12 2 3 12 2 3" xfId="8668" xr:uid="{00000000-0005-0000-0000-000061200000}"/>
    <cellStyle name="Normal 12 2 3 12 2 4" xfId="8669" xr:uid="{00000000-0005-0000-0000-000062200000}"/>
    <cellStyle name="Normal 12 2 3 12 2 5" xfId="8670" xr:uid="{00000000-0005-0000-0000-000063200000}"/>
    <cellStyle name="Normal 12 2 3 12 3" xfId="8671" xr:uid="{00000000-0005-0000-0000-000064200000}"/>
    <cellStyle name="Normal 12 2 3 12 4" xfId="8672" xr:uid="{00000000-0005-0000-0000-000065200000}"/>
    <cellStyle name="Normal 12 2 3 12 5" xfId="8673" xr:uid="{00000000-0005-0000-0000-000066200000}"/>
    <cellStyle name="Normal 12 2 3 12 6" xfId="8674" xr:uid="{00000000-0005-0000-0000-000067200000}"/>
    <cellStyle name="Normal 12 2 3 12 7" xfId="8675" xr:uid="{00000000-0005-0000-0000-000068200000}"/>
    <cellStyle name="Normal 12 2 3 12 8" xfId="8676" xr:uid="{00000000-0005-0000-0000-000069200000}"/>
    <cellStyle name="Normal 12 2 3 13" xfId="8677" xr:uid="{00000000-0005-0000-0000-00006A200000}"/>
    <cellStyle name="Normal 12 2 3 13 2" xfId="8678" xr:uid="{00000000-0005-0000-0000-00006B200000}"/>
    <cellStyle name="Normal 12 2 3 13 2 2" xfId="8679" xr:uid="{00000000-0005-0000-0000-00006C200000}"/>
    <cellStyle name="Normal 12 2 3 13 2 3" xfId="8680" xr:uid="{00000000-0005-0000-0000-00006D200000}"/>
    <cellStyle name="Normal 12 2 3 13 2 4" xfId="8681" xr:uid="{00000000-0005-0000-0000-00006E200000}"/>
    <cellStyle name="Normal 12 2 3 13 2 5" xfId="8682" xr:uid="{00000000-0005-0000-0000-00006F200000}"/>
    <cellStyle name="Normal 12 2 3 13 3" xfId="8683" xr:uid="{00000000-0005-0000-0000-000070200000}"/>
    <cellStyle name="Normal 12 2 3 13 4" xfId="8684" xr:uid="{00000000-0005-0000-0000-000071200000}"/>
    <cellStyle name="Normal 12 2 3 13 5" xfId="8685" xr:uid="{00000000-0005-0000-0000-000072200000}"/>
    <cellStyle name="Normal 12 2 3 13 6" xfId="8686" xr:uid="{00000000-0005-0000-0000-000073200000}"/>
    <cellStyle name="Normal 12 2 3 13 7" xfId="8687" xr:uid="{00000000-0005-0000-0000-000074200000}"/>
    <cellStyle name="Normal 12 2 3 13 8" xfId="8688" xr:uid="{00000000-0005-0000-0000-000075200000}"/>
    <cellStyle name="Normal 12 2 3 14" xfId="8689" xr:uid="{00000000-0005-0000-0000-000076200000}"/>
    <cellStyle name="Normal 12 2 3 14 2" xfId="8690" xr:uid="{00000000-0005-0000-0000-000077200000}"/>
    <cellStyle name="Normal 12 2 3 14 3" xfId="8691" xr:uid="{00000000-0005-0000-0000-000078200000}"/>
    <cellStyle name="Normal 12 2 3 14 4" xfId="8692" xr:uid="{00000000-0005-0000-0000-000079200000}"/>
    <cellStyle name="Normal 12 2 3 14 5" xfId="8693" xr:uid="{00000000-0005-0000-0000-00007A200000}"/>
    <cellStyle name="Normal 12 2 3 15" xfId="8694" xr:uid="{00000000-0005-0000-0000-00007B200000}"/>
    <cellStyle name="Normal 12 2 3 16" xfId="8695" xr:uid="{00000000-0005-0000-0000-00007C200000}"/>
    <cellStyle name="Normal 12 2 3 17" xfId="8696" xr:uid="{00000000-0005-0000-0000-00007D200000}"/>
    <cellStyle name="Normal 12 2 3 18" xfId="8697" xr:uid="{00000000-0005-0000-0000-00007E200000}"/>
    <cellStyle name="Normal 12 2 3 19" xfId="8698" xr:uid="{00000000-0005-0000-0000-00007F200000}"/>
    <cellStyle name="Normal 12 2 3 2" xfId="8699" xr:uid="{00000000-0005-0000-0000-000080200000}"/>
    <cellStyle name="Normal 12 2 3 2 10" xfId="8700" xr:uid="{00000000-0005-0000-0000-000081200000}"/>
    <cellStyle name="Normal 12 2 3 2 11" xfId="8701" xr:uid="{00000000-0005-0000-0000-000082200000}"/>
    <cellStyle name="Normal 12 2 3 2 12" xfId="8702" xr:uid="{00000000-0005-0000-0000-000083200000}"/>
    <cellStyle name="Normal 12 2 3 2 13" xfId="8703" xr:uid="{00000000-0005-0000-0000-000084200000}"/>
    <cellStyle name="Normal 12 2 3 2 2" xfId="8704" xr:uid="{00000000-0005-0000-0000-000085200000}"/>
    <cellStyle name="Normal 12 2 3 2 2 10" xfId="8705" xr:uid="{00000000-0005-0000-0000-000086200000}"/>
    <cellStyle name="Normal 12 2 3 2 2 11" xfId="8706" xr:uid="{00000000-0005-0000-0000-000087200000}"/>
    <cellStyle name="Normal 12 2 3 2 2 2" xfId="8707" xr:uid="{00000000-0005-0000-0000-000088200000}"/>
    <cellStyle name="Normal 12 2 3 2 2 2 10" xfId="8708" xr:uid="{00000000-0005-0000-0000-000089200000}"/>
    <cellStyle name="Normal 12 2 3 2 2 2 2" xfId="8709" xr:uid="{00000000-0005-0000-0000-00008A200000}"/>
    <cellStyle name="Normal 12 2 3 2 2 2 2 2" xfId="8710" xr:uid="{00000000-0005-0000-0000-00008B200000}"/>
    <cellStyle name="Normal 12 2 3 2 2 2 2 2 2" xfId="8711" xr:uid="{00000000-0005-0000-0000-00008C200000}"/>
    <cellStyle name="Normal 12 2 3 2 2 2 2 2 3" xfId="8712" xr:uid="{00000000-0005-0000-0000-00008D200000}"/>
    <cellStyle name="Normal 12 2 3 2 2 2 2 2 4" xfId="8713" xr:uid="{00000000-0005-0000-0000-00008E200000}"/>
    <cellStyle name="Normal 12 2 3 2 2 2 2 2 5" xfId="8714" xr:uid="{00000000-0005-0000-0000-00008F200000}"/>
    <cellStyle name="Normal 12 2 3 2 2 2 2 3" xfId="8715" xr:uid="{00000000-0005-0000-0000-000090200000}"/>
    <cellStyle name="Normal 12 2 3 2 2 2 2 4" xfId="8716" xr:uid="{00000000-0005-0000-0000-000091200000}"/>
    <cellStyle name="Normal 12 2 3 2 2 2 2 5" xfId="8717" xr:uid="{00000000-0005-0000-0000-000092200000}"/>
    <cellStyle name="Normal 12 2 3 2 2 2 2 6" xfId="8718" xr:uid="{00000000-0005-0000-0000-000093200000}"/>
    <cellStyle name="Normal 12 2 3 2 2 2 2 7" xfId="8719" xr:uid="{00000000-0005-0000-0000-000094200000}"/>
    <cellStyle name="Normal 12 2 3 2 2 2 2 8" xfId="8720" xr:uid="{00000000-0005-0000-0000-000095200000}"/>
    <cellStyle name="Normal 12 2 3 2 2 2 3" xfId="8721" xr:uid="{00000000-0005-0000-0000-000096200000}"/>
    <cellStyle name="Normal 12 2 3 2 2 2 3 2" xfId="8722" xr:uid="{00000000-0005-0000-0000-000097200000}"/>
    <cellStyle name="Normal 12 2 3 2 2 2 3 2 2" xfId="8723" xr:uid="{00000000-0005-0000-0000-000098200000}"/>
    <cellStyle name="Normal 12 2 3 2 2 2 3 2 3" xfId="8724" xr:uid="{00000000-0005-0000-0000-000099200000}"/>
    <cellStyle name="Normal 12 2 3 2 2 2 3 2 4" xfId="8725" xr:uid="{00000000-0005-0000-0000-00009A200000}"/>
    <cellStyle name="Normal 12 2 3 2 2 2 3 2 5" xfId="8726" xr:uid="{00000000-0005-0000-0000-00009B200000}"/>
    <cellStyle name="Normal 12 2 3 2 2 2 3 3" xfId="8727" xr:uid="{00000000-0005-0000-0000-00009C200000}"/>
    <cellStyle name="Normal 12 2 3 2 2 2 3 4" xfId="8728" xr:uid="{00000000-0005-0000-0000-00009D200000}"/>
    <cellStyle name="Normal 12 2 3 2 2 2 3 5" xfId="8729" xr:uid="{00000000-0005-0000-0000-00009E200000}"/>
    <cellStyle name="Normal 12 2 3 2 2 2 3 6" xfId="8730" xr:uid="{00000000-0005-0000-0000-00009F200000}"/>
    <cellStyle name="Normal 12 2 3 2 2 2 3 7" xfId="8731" xr:uid="{00000000-0005-0000-0000-0000A0200000}"/>
    <cellStyle name="Normal 12 2 3 2 2 2 3 8" xfId="8732" xr:uid="{00000000-0005-0000-0000-0000A1200000}"/>
    <cellStyle name="Normal 12 2 3 2 2 2 4" xfId="8733" xr:uid="{00000000-0005-0000-0000-0000A2200000}"/>
    <cellStyle name="Normal 12 2 3 2 2 2 4 2" xfId="8734" xr:uid="{00000000-0005-0000-0000-0000A3200000}"/>
    <cellStyle name="Normal 12 2 3 2 2 2 4 3" xfId="8735" xr:uid="{00000000-0005-0000-0000-0000A4200000}"/>
    <cellStyle name="Normal 12 2 3 2 2 2 4 4" xfId="8736" xr:uid="{00000000-0005-0000-0000-0000A5200000}"/>
    <cellStyle name="Normal 12 2 3 2 2 2 4 5" xfId="8737" xr:uid="{00000000-0005-0000-0000-0000A6200000}"/>
    <cellStyle name="Normal 12 2 3 2 2 2 5" xfId="8738" xr:uid="{00000000-0005-0000-0000-0000A7200000}"/>
    <cellStyle name="Normal 12 2 3 2 2 2 6" xfId="8739" xr:uid="{00000000-0005-0000-0000-0000A8200000}"/>
    <cellStyle name="Normal 12 2 3 2 2 2 7" xfId="8740" xr:uid="{00000000-0005-0000-0000-0000A9200000}"/>
    <cellStyle name="Normal 12 2 3 2 2 2 8" xfId="8741" xr:uid="{00000000-0005-0000-0000-0000AA200000}"/>
    <cellStyle name="Normal 12 2 3 2 2 2 9" xfId="8742" xr:uid="{00000000-0005-0000-0000-0000AB200000}"/>
    <cellStyle name="Normal 12 2 3 2 2 3" xfId="8743" xr:uid="{00000000-0005-0000-0000-0000AC200000}"/>
    <cellStyle name="Normal 12 2 3 2 2 3 2" xfId="8744" xr:uid="{00000000-0005-0000-0000-0000AD200000}"/>
    <cellStyle name="Normal 12 2 3 2 2 3 2 2" xfId="8745" xr:uid="{00000000-0005-0000-0000-0000AE200000}"/>
    <cellStyle name="Normal 12 2 3 2 2 3 2 3" xfId="8746" xr:uid="{00000000-0005-0000-0000-0000AF200000}"/>
    <cellStyle name="Normal 12 2 3 2 2 3 2 4" xfId="8747" xr:uid="{00000000-0005-0000-0000-0000B0200000}"/>
    <cellStyle name="Normal 12 2 3 2 2 3 2 5" xfId="8748" xr:uid="{00000000-0005-0000-0000-0000B1200000}"/>
    <cellStyle name="Normal 12 2 3 2 2 3 3" xfId="8749" xr:uid="{00000000-0005-0000-0000-0000B2200000}"/>
    <cellStyle name="Normal 12 2 3 2 2 3 4" xfId="8750" xr:uid="{00000000-0005-0000-0000-0000B3200000}"/>
    <cellStyle name="Normal 12 2 3 2 2 3 5" xfId="8751" xr:uid="{00000000-0005-0000-0000-0000B4200000}"/>
    <cellStyle name="Normal 12 2 3 2 2 3 6" xfId="8752" xr:uid="{00000000-0005-0000-0000-0000B5200000}"/>
    <cellStyle name="Normal 12 2 3 2 2 3 7" xfId="8753" xr:uid="{00000000-0005-0000-0000-0000B6200000}"/>
    <cellStyle name="Normal 12 2 3 2 2 3 8" xfId="8754" xr:uid="{00000000-0005-0000-0000-0000B7200000}"/>
    <cellStyle name="Normal 12 2 3 2 2 4" xfId="8755" xr:uid="{00000000-0005-0000-0000-0000B8200000}"/>
    <cellStyle name="Normal 12 2 3 2 2 4 2" xfId="8756" xr:uid="{00000000-0005-0000-0000-0000B9200000}"/>
    <cellStyle name="Normal 12 2 3 2 2 4 2 2" xfId="8757" xr:uid="{00000000-0005-0000-0000-0000BA200000}"/>
    <cellStyle name="Normal 12 2 3 2 2 4 2 3" xfId="8758" xr:uid="{00000000-0005-0000-0000-0000BB200000}"/>
    <cellStyle name="Normal 12 2 3 2 2 4 2 4" xfId="8759" xr:uid="{00000000-0005-0000-0000-0000BC200000}"/>
    <cellStyle name="Normal 12 2 3 2 2 4 2 5" xfId="8760" xr:uid="{00000000-0005-0000-0000-0000BD200000}"/>
    <cellStyle name="Normal 12 2 3 2 2 4 3" xfId="8761" xr:uid="{00000000-0005-0000-0000-0000BE200000}"/>
    <cellStyle name="Normal 12 2 3 2 2 4 4" xfId="8762" xr:uid="{00000000-0005-0000-0000-0000BF200000}"/>
    <cellStyle name="Normal 12 2 3 2 2 4 5" xfId="8763" xr:uid="{00000000-0005-0000-0000-0000C0200000}"/>
    <cellStyle name="Normal 12 2 3 2 2 4 6" xfId="8764" xr:uid="{00000000-0005-0000-0000-0000C1200000}"/>
    <cellStyle name="Normal 12 2 3 2 2 4 7" xfId="8765" xr:uid="{00000000-0005-0000-0000-0000C2200000}"/>
    <cellStyle name="Normal 12 2 3 2 2 4 8" xfId="8766" xr:uid="{00000000-0005-0000-0000-0000C3200000}"/>
    <cellStyle name="Normal 12 2 3 2 2 5" xfId="8767" xr:uid="{00000000-0005-0000-0000-0000C4200000}"/>
    <cellStyle name="Normal 12 2 3 2 2 5 2" xfId="8768" xr:uid="{00000000-0005-0000-0000-0000C5200000}"/>
    <cellStyle name="Normal 12 2 3 2 2 5 3" xfId="8769" xr:uid="{00000000-0005-0000-0000-0000C6200000}"/>
    <cellStyle name="Normal 12 2 3 2 2 5 4" xfId="8770" xr:uid="{00000000-0005-0000-0000-0000C7200000}"/>
    <cellStyle name="Normal 12 2 3 2 2 5 5" xfId="8771" xr:uid="{00000000-0005-0000-0000-0000C8200000}"/>
    <cellStyle name="Normal 12 2 3 2 2 6" xfId="8772" xr:uid="{00000000-0005-0000-0000-0000C9200000}"/>
    <cellStyle name="Normal 12 2 3 2 2 7" xfId="8773" xr:uid="{00000000-0005-0000-0000-0000CA200000}"/>
    <cellStyle name="Normal 12 2 3 2 2 8" xfId="8774" xr:uid="{00000000-0005-0000-0000-0000CB200000}"/>
    <cellStyle name="Normal 12 2 3 2 2 9" xfId="8775" xr:uid="{00000000-0005-0000-0000-0000CC200000}"/>
    <cellStyle name="Normal 12 2 3 2 3" xfId="8776" xr:uid="{00000000-0005-0000-0000-0000CD200000}"/>
    <cellStyle name="Normal 12 2 3 2 3 10" xfId="8777" xr:uid="{00000000-0005-0000-0000-0000CE200000}"/>
    <cellStyle name="Normal 12 2 3 2 3 11" xfId="8778" xr:uid="{00000000-0005-0000-0000-0000CF200000}"/>
    <cellStyle name="Normal 12 2 3 2 3 2" xfId="8779" xr:uid="{00000000-0005-0000-0000-0000D0200000}"/>
    <cellStyle name="Normal 12 2 3 2 3 2 10" xfId="8780" xr:uid="{00000000-0005-0000-0000-0000D1200000}"/>
    <cellStyle name="Normal 12 2 3 2 3 2 2" xfId="8781" xr:uid="{00000000-0005-0000-0000-0000D2200000}"/>
    <cellStyle name="Normal 12 2 3 2 3 2 2 2" xfId="8782" xr:uid="{00000000-0005-0000-0000-0000D3200000}"/>
    <cellStyle name="Normal 12 2 3 2 3 2 2 2 2" xfId="8783" xr:uid="{00000000-0005-0000-0000-0000D4200000}"/>
    <cellStyle name="Normal 12 2 3 2 3 2 2 2 3" xfId="8784" xr:uid="{00000000-0005-0000-0000-0000D5200000}"/>
    <cellStyle name="Normal 12 2 3 2 3 2 2 2 4" xfId="8785" xr:uid="{00000000-0005-0000-0000-0000D6200000}"/>
    <cellStyle name="Normal 12 2 3 2 3 2 2 2 5" xfId="8786" xr:uid="{00000000-0005-0000-0000-0000D7200000}"/>
    <cellStyle name="Normal 12 2 3 2 3 2 2 3" xfId="8787" xr:uid="{00000000-0005-0000-0000-0000D8200000}"/>
    <cellStyle name="Normal 12 2 3 2 3 2 2 4" xfId="8788" xr:uid="{00000000-0005-0000-0000-0000D9200000}"/>
    <cellStyle name="Normal 12 2 3 2 3 2 2 5" xfId="8789" xr:uid="{00000000-0005-0000-0000-0000DA200000}"/>
    <cellStyle name="Normal 12 2 3 2 3 2 2 6" xfId="8790" xr:uid="{00000000-0005-0000-0000-0000DB200000}"/>
    <cellStyle name="Normal 12 2 3 2 3 2 2 7" xfId="8791" xr:uid="{00000000-0005-0000-0000-0000DC200000}"/>
    <cellStyle name="Normal 12 2 3 2 3 2 2 8" xfId="8792" xr:uid="{00000000-0005-0000-0000-0000DD200000}"/>
    <cellStyle name="Normal 12 2 3 2 3 2 3" xfId="8793" xr:uid="{00000000-0005-0000-0000-0000DE200000}"/>
    <cellStyle name="Normal 12 2 3 2 3 2 3 2" xfId="8794" xr:uid="{00000000-0005-0000-0000-0000DF200000}"/>
    <cellStyle name="Normal 12 2 3 2 3 2 3 2 2" xfId="8795" xr:uid="{00000000-0005-0000-0000-0000E0200000}"/>
    <cellStyle name="Normal 12 2 3 2 3 2 3 2 3" xfId="8796" xr:uid="{00000000-0005-0000-0000-0000E1200000}"/>
    <cellStyle name="Normal 12 2 3 2 3 2 3 2 4" xfId="8797" xr:uid="{00000000-0005-0000-0000-0000E2200000}"/>
    <cellStyle name="Normal 12 2 3 2 3 2 3 2 5" xfId="8798" xr:uid="{00000000-0005-0000-0000-0000E3200000}"/>
    <cellStyle name="Normal 12 2 3 2 3 2 3 3" xfId="8799" xr:uid="{00000000-0005-0000-0000-0000E4200000}"/>
    <cellStyle name="Normal 12 2 3 2 3 2 3 4" xfId="8800" xr:uid="{00000000-0005-0000-0000-0000E5200000}"/>
    <cellStyle name="Normal 12 2 3 2 3 2 3 5" xfId="8801" xr:uid="{00000000-0005-0000-0000-0000E6200000}"/>
    <cellStyle name="Normal 12 2 3 2 3 2 3 6" xfId="8802" xr:uid="{00000000-0005-0000-0000-0000E7200000}"/>
    <cellStyle name="Normal 12 2 3 2 3 2 3 7" xfId="8803" xr:uid="{00000000-0005-0000-0000-0000E8200000}"/>
    <cellStyle name="Normal 12 2 3 2 3 2 3 8" xfId="8804" xr:uid="{00000000-0005-0000-0000-0000E9200000}"/>
    <cellStyle name="Normal 12 2 3 2 3 2 4" xfId="8805" xr:uid="{00000000-0005-0000-0000-0000EA200000}"/>
    <cellStyle name="Normal 12 2 3 2 3 2 4 2" xfId="8806" xr:uid="{00000000-0005-0000-0000-0000EB200000}"/>
    <cellStyle name="Normal 12 2 3 2 3 2 4 3" xfId="8807" xr:uid="{00000000-0005-0000-0000-0000EC200000}"/>
    <cellStyle name="Normal 12 2 3 2 3 2 4 4" xfId="8808" xr:uid="{00000000-0005-0000-0000-0000ED200000}"/>
    <cellStyle name="Normal 12 2 3 2 3 2 4 5" xfId="8809" xr:uid="{00000000-0005-0000-0000-0000EE200000}"/>
    <cellStyle name="Normal 12 2 3 2 3 2 5" xfId="8810" xr:uid="{00000000-0005-0000-0000-0000EF200000}"/>
    <cellStyle name="Normal 12 2 3 2 3 2 6" xfId="8811" xr:uid="{00000000-0005-0000-0000-0000F0200000}"/>
    <cellStyle name="Normal 12 2 3 2 3 2 7" xfId="8812" xr:uid="{00000000-0005-0000-0000-0000F1200000}"/>
    <cellStyle name="Normal 12 2 3 2 3 2 8" xfId="8813" xr:uid="{00000000-0005-0000-0000-0000F2200000}"/>
    <cellStyle name="Normal 12 2 3 2 3 2 9" xfId="8814" xr:uid="{00000000-0005-0000-0000-0000F3200000}"/>
    <cellStyle name="Normal 12 2 3 2 3 3" xfId="8815" xr:uid="{00000000-0005-0000-0000-0000F4200000}"/>
    <cellStyle name="Normal 12 2 3 2 3 3 2" xfId="8816" xr:uid="{00000000-0005-0000-0000-0000F5200000}"/>
    <cellStyle name="Normal 12 2 3 2 3 3 2 2" xfId="8817" xr:uid="{00000000-0005-0000-0000-0000F6200000}"/>
    <cellStyle name="Normal 12 2 3 2 3 3 2 3" xfId="8818" xr:uid="{00000000-0005-0000-0000-0000F7200000}"/>
    <cellStyle name="Normal 12 2 3 2 3 3 2 4" xfId="8819" xr:uid="{00000000-0005-0000-0000-0000F8200000}"/>
    <cellStyle name="Normal 12 2 3 2 3 3 2 5" xfId="8820" xr:uid="{00000000-0005-0000-0000-0000F9200000}"/>
    <cellStyle name="Normal 12 2 3 2 3 3 3" xfId="8821" xr:uid="{00000000-0005-0000-0000-0000FA200000}"/>
    <cellStyle name="Normal 12 2 3 2 3 3 4" xfId="8822" xr:uid="{00000000-0005-0000-0000-0000FB200000}"/>
    <cellStyle name="Normal 12 2 3 2 3 3 5" xfId="8823" xr:uid="{00000000-0005-0000-0000-0000FC200000}"/>
    <cellStyle name="Normal 12 2 3 2 3 3 6" xfId="8824" xr:uid="{00000000-0005-0000-0000-0000FD200000}"/>
    <cellStyle name="Normal 12 2 3 2 3 3 7" xfId="8825" xr:uid="{00000000-0005-0000-0000-0000FE200000}"/>
    <cellStyle name="Normal 12 2 3 2 3 3 8" xfId="8826" xr:uid="{00000000-0005-0000-0000-0000FF200000}"/>
    <cellStyle name="Normal 12 2 3 2 3 4" xfId="8827" xr:uid="{00000000-0005-0000-0000-000000210000}"/>
    <cellStyle name="Normal 12 2 3 2 3 4 2" xfId="8828" xr:uid="{00000000-0005-0000-0000-000001210000}"/>
    <cellStyle name="Normal 12 2 3 2 3 4 2 2" xfId="8829" xr:uid="{00000000-0005-0000-0000-000002210000}"/>
    <cellStyle name="Normal 12 2 3 2 3 4 2 3" xfId="8830" xr:uid="{00000000-0005-0000-0000-000003210000}"/>
    <cellStyle name="Normal 12 2 3 2 3 4 2 4" xfId="8831" xr:uid="{00000000-0005-0000-0000-000004210000}"/>
    <cellStyle name="Normal 12 2 3 2 3 4 2 5" xfId="8832" xr:uid="{00000000-0005-0000-0000-000005210000}"/>
    <cellStyle name="Normal 12 2 3 2 3 4 3" xfId="8833" xr:uid="{00000000-0005-0000-0000-000006210000}"/>
    <cellStyle name="Normal 12 2 3 2 3 4 4" xfId="8834" xr:uid="{00000000-0005-0000-0000-000007210000}"/>
    <cellStyle name="Normal 12 2 3 2 3 4 5" xfId="8835" xr:uid="{00000000-0005-0000-0000-000008210000}"/>
    <cellStyle name="Normal 12 2 3 2 3 4 6" xfId="8836" xr:uid="{00000000-0005-0000-0000-000009210000}"/>
    <cellStyle name="Normal 12 2 3 2 3 4 7" xfId="8837" xr:uid="{00000000-0005-0000-0000-00000A210000}"/>
    <cellStyle name="Normal 12 2 3 2 3 4 8" xfId="8838" xr:uid="{00000000-0005-0000-0000-00000B210000}"/>
    <cellStyle name="Normal 12 2 3 2 3 5" xfId="8839" xr:uid="{00000000-0005-0000-0000-00000C210000}"/>
    <cellStyle name="Normal 12 2 3 2 3 5 2" xfId="8840" xr:uid="{00000000-0005-0000-0000-00000D210000}"/>
    <cellStyle name="Normal 12 2 3 2 3 5 3" xfId="8841" xr:uid="{00000000-0005-0000-0000-00000E210000}"/>
    <cellStyle name="Normal 12 2 3 2 3 5 4" xfId="8842" xr:uid="{00000000-0005-0000-0000-00000F210000}"/>
    <cellStyle name="Normal 12 2 3 2 3 5 5" xfId="8843" xr:uid="{00000000-0005-0000-0000-000010210000}"/>
    <cellStyle name="Normal 12 2 3 2 3 6" xfId="8844" xr:uid="{00000000-0005-0000-0000-000011210000}"/>
    <cellStyle name="Normal 12 2 3 2 3 7" xfId="8845" xr:uid="{00000000-0005-0000-0000-000012210000}"/>
    <cellStyle name="Normal 12 2 3 2 3 8" xfId="8846" xr:uid="{00000000-0005-0000-0000-000013210000}"/>
    <cellStyle name="Normal 12 2 3 2 3 9" xfId="8847" xr:uid="{00000000-0005-0000-0000-000014210000}"/>
    <cellStyle name="Normal 12 2 3 2 4" xfId="8848" xr:uid="{00000000-0005-0000-0000-000015210000}"/>
    <cellStyle name="Normal 12 2 3 2 4 10" xfId="8849" xr:uid="{00000000-0005-0000-0000-000016210000}"/>
    <cellStyle name="Normal 12 2 3 2 4 2" xfId="8850" xr:uid="{00000000-0005-0000-0000-000017210000}"/>
    <cellStyle name="Normal 12 2 3 2 4 2 2" xfId="8851" xr:uid="{00000000-0005-0000-0000-000018210000}"/>
    <cellStyle name="Normal 12 2 3 2 4 2 2 2" xfId="8852" xr:uid="{00000000-0005-0000-0000-000019210000}"/>
    <cellStyle name="Normal 12 2 3 2 4 2 2 3" xfId="8853" xr:uid="{00000000-0005-0000-0000-00001A210000}"/>
    <cellStyle name="Normal 12 2 3 2 4 2 2 4" xfId="8854" xr:uid="{00000000-0005-0000-0000-00001B210000}"/>
    <cellStyle name="Normal 12 2 3 2 4 2 2 5" xfId="8855" xr:uid="{00000000-0005-0000-0000-00001C210000}"/>
    <cellStyle name="Normal 12 2 3 2 4 2 3" xfId="8856" xr:uid="{00000000-0005-0000-0000-00001D210000}"/>
    <cellStyle name="Normal 12 2 3 2 4 2 4" xfId="8857" xr:uid="{00000000-0005-0000-0000-00001E210000}"/>
    <cellStyle name="Normal 12 2 3 2 4 2 5" xfId="8858" xr:uid="{00000000-0005-0000-0000-00001F210000}"/>
    <cellStyle name="Normal 12 2 3 2 4 2 6" xfId="8859" xr:uid="{00000000-0005-0000-0000-000020210000}"/>
    <cellStyle name="Normal 12 2 3 2 4 2 7" xfId="8860" xr:uid="{00000000-0005-0000-0000-000021210000}"/>
    <cellStyle name="Normal 12 2 3 2 4 2 8" xfId="8861" xr:uid="{00000000-0005-0000-0000-000022210000}"/>
    <cellStyle name="Normal 12 2 3 2 4 3" xfId="8862" xr:uid="{00000000-0005-0000-0000-000023210000}"/>
    <cellStyle name="Normal 12 2 3 2 4 3 2" xfId="8863" xr:uid="{00000000-0005-0000-0000-000024210000}"/>
    <cellStyle name="Normal 12 2 3 2 4 3 2 2" xfId="8864" xr:uid="{00000000-0005-0000-0000-000025210000}"/>
    <cellStyle name="Normal 12 2 3 2 4 3 2 3" xfId="8865" xr:uid="{00000000-0005-0000-0000-000026210000}"/>
    <cellStyle name="Normal 12 2 3 2 4 3 2 4" xfId="8866" xr:uid="{00000000-0005-0000-0000-000027210000}"/>
    <cellStyle name="Normal 12 2 3 2 4 3 2 5" xfId="8867" xr:uid="{00000000-0005-0000-0000-000028210000}"/>
    <cellStyle name="Normal 12 2 3 2 4 3 3" xfId="8868" xr:uid="{00000000-0005-0000-0000-000029210000}"/>
    <cellStyle name="Normal 12 2 3 2 4 3 4" xfId="8869" xr:uid="{00000000-0005-0000-0000-00002A210000}"/>
    <cellStyle name="Normal 12 2 3 2 4 3 5" xfId="8870" xr:uid="{00000000-0005-0000-0000-00002B210000}"/>
    <cellStyle name="Normal 12 2 3 2 4 3 6" xfId="8871" xr:uid="{00000000-0005-0000-0000-00002C210000}"/>
    <cellStyle name="Normal 12 2 3 2 4 3 7" xfId="8872" xr:uid="{00000000-0005-0000-0000-00002D210000}"/>
    <cellStyle name="Normal 12 2 3 2 4 3 8" xfId="8873" xr:uid="{00000000-0005-0000-0000-00002E210000}"/>
    <cellStyle name="Normal 12 2 3 2 4 4" xfId="8874" xr:uid="{00000000-0005-0000-0000-00002F210000}"/>
    <cellStyle name="Normal 12 2 3 2 4 4 2" xfId="8875" xr:uid="{00000000-0005-0000-0000-000030210000}"/>
    <cellStyle name="Normal 12 2 3 2 4 4 3" xfId="8876" xr:uid="{00000000-0005-0000-0000-000031210000}"/>
    <cellStyle name="Normal 12 2 3 2 4 4 4" xfId="8877" xr:uid="{00000000-0005-0000-0000-000032210000}"/>
    <cellStyle name="Normal 12 2 3 2 4 4 5" xfId="8878" xr:uid="{00000000-0005-0000-0000-000033210000}"/>
    <cellStyle name="Normal 12 2 3 2 4 5" xfId="8879" xr:uid="{00000000-0005-0000-0000-000034210000}"/>
    <cellStyle name="Normal 12 2 3 2 4 6" xfId="8880" xr:uid="{00000000-0005-0000-0000-000035210000}"/>
    <cellStyle name="Normal 12 2 3 2 4 7" xfId="8881" xr:uid="{00000000-0005-0000-0000-000036210000}"/>
    <cellStyle name="Normal 12 2 3 2 4 8" xfId="8882" xr:uid="{00000000-0005-0000-0000-000037210000}"/>
    <cellStyle name="Normal 12 2 3 2 4 9" xfId="8883" xr:uid="{00000000-0005-0000-0000-000038210000}"/>
    <cellStyle name="Normal 12 2 3 2 5" xfId="8884" xr:uid="{00000000-0005-0000-0000-000039210000}"/>
    <cellStyle name="Normal 12 2 3 2 5 2" xfId="8885" xr:uid="{00000000-0005-0000-0000-00003A210000}"/>
    <cellStyle name="Normal 12 2 3 2 5 2 2" xfId="8886" xr:uid="{00000000-0005-0000-0000-00003B210000}"/>
    <cellStyle name="Normal 12 2 3 2 5 2 3" xfId="8887" xr:uid="{00000000-0005-0000-0000-00003C210000}"/>
    <cellStyle name="Normal 12 2 3 2 5 2 4" xfId="8888" xr:uid="{00000000-0005-0000-0000-00003D210000}"/>
    <cellStyle name="Normal 12 2 3 2 5 2 5" xfId="8889" xr:uid="{00000000-0005-0000-0000-00003E210000}"/>
    <cellStyle name="Normal 12 2 3 2 5 3" xfId="8890" xr:uid="{00000000-0005-0000-0000-00003F210000}"/>
    <cellStyle name="Normal 12 2 3 2 5 4" xfId="8891" xr:uid="{00000000-0005-0000-0000-000040210000}"/>
    <cellStyle name="Normal 12 2 3 2 5 5" xfId="8892" xr:uid="{00000000-0005-0000-0000-000041210000}"/>
    <cellStyle name="Normal 12 2 3 2 5 6" xfId="8893" xr:uid="{00000000-0005-0000-0000-000042210000}"/>
    <cellStyle name="Normal 12 2 3 2 5 7" xfId="8894" xr:uid="{00000000-0005-0000-0000-000043210000}"/>
    <cellStyle name="Normal 12 2 3 2 5 8" xfId="8895" xr:uid="{00000000-0005-0000-0000-000044210000}"/>
    <cellStyle name="Normal 12 2 3 2 6" xfId="8896" xr:uid="{00000000-0005-0000-0000-000045210000}"/>
    <cellStyle name="Normal 12 2 3 2 6 2" xfId="8897" xr:uid="{00000000-0005-0000-0000-000046210000}"/>
    <cellStyle name="Normal 12 2 3 2 6 2 2" xfId="8898" xr:uid="{00000000-0005-0000-0000-000047210000}"/>
    <cellStyle name="Normal 12 2 3 2 6 2 3" xfId="8899" xr:uid="{00000000-0005-0000-0000-000048210000}"/>
    <cellStyle name="Normal 12 2 3 2 6 2 4" xfId="8900" xr:uid="{00000000-0005-0000-0000-000049210000}"/>
    <cellStyle name="Normal 12 2 3 2 6 2 5" xfId="8901" xr:uid="{00000000-0005-0000-0000-00004A210000}"/>
    <cellStyle name="Normal 12 2 3 2 6 3" xfId="8902" xr:uid="{00000000-0005-0000-0000-00004B210000}"/>
    <cellStyle name="Normal 12 2 3 2 6 4" xfId="8903" xr:uid="{00000000-0005-0000-0000-00004C210000}"/>
    <cellStyle name="Normal 12 2 3 2 6 5" xfId="8904" xr:uid="{00000000-0005-0000-0000-00004D210000}"/>
    <cellStyle name="Normal 12 2 3 2 6 6" xfId="8905" xr:uid="{00000000-0005-0000-0000-00004E210000}"/>
    <cellStyle name="Normal 12 2 3 2 6 7" xfId="8906" xr:uid="{00000000-0005-0000-0000-00004F210000}"/>
    <cellStyle name="Normal 12 2 3 2 6 8" xfId="8907" xr:uid="{00000000-0005-0000-0000-000050210000}"/>
    <cellStyle name="Normal 12 2 3 2 7" xfId="8908" xr:uid="{00000000-0005-0000-0000-000051210000}"/>
    <cellStyle name="Normal 12 2 3 2 7 2" xfId="8909" xr:uid="{00000000-0005-0000-0000-000052210000}"/>
    <cellStyle name="Normal 12 2 3 2 7 3" xfId="8910" xr:uid="{00000000-0005-0000-0000-000053210000}"/>
    <cellStyle name="Normal 12 2 3 2 7 4" xfId="8911" xr:uid="{00000000-0005-0000-0000-000054210000}"/>
    <cellStyle name="Normal 12 2 3 2 7 5" xfId="8912" xr:uid="{00000000-0005-0000-0000-000055210000}"/>
    <cellStyle name="Normal 12 2 3 2 8" xfId="8913" xr:uid="{00000000-0005-0000-0000-000056210000}"/>
    <cellStyle name="Normal 12 2 3 2 9" xfId="8914" xr:uid="{00000000-0005-0000-0000-000057210000}"/>
    <cellStyle name="Normal 12 2 3 20" xfId="8915" xr:uid="{00000000-0005-0000-0000-000058210000}"/>
    <cellStyle name="Normal 12 2 3 3" xfId="8916" xr:uid="{00000000-0005-0000-0000-000059210000}"/>
    <cellStyle name="Normal 12 2 3 3 10" xfId="8917" xr:uid="{00000000-0005-0000-0000-00005A210000}"/>
    <cellStyle name="Normal 12 2 3 3 11" xfId="8918" xr:uid="{00000000-0005-0000-0000-00005B210000}"/>
    <cellStyle name="Normal 12 2 3 3 12" xfId="8919" xr:uid="{00000000-0005-0000-0000-00005C210000}"/>
    <cellStyle name="Normal 12 2 3 3 13" xfId="8920" xr:uid="{00000000-0005-0000-0000-00005D210000}"/>
    <cellStyle name="Normal 12 2 3 3 2" xfId="8921" xr:uid="{00000000-0005-0000-0000-00005E210000}"/>
    <cellStyle name="Normal 12 2 3 3 2 10" xfId="8922" xr:uid="{00000000-0005-0000-0000-00005F210000}"/>
    <cellStyle name="Normal 12 2 3 3 2 11" xfId="8923" xr:uid="{00000000-0005-0000-0000-000060210000}"/>
    <cellStyle name="Normal 12 2 3 3 2 2" xfId="8924" xr:uid="{00000000-0005-0000-0000-000061210000}"/>
    <cellStyle name="Normal 12 2 3 3 2 2 10" xfId="8925" xr:uid="{00000000-0005-0000-0000-000062210000}"/>
    <cellStyle name="Normal 12 2 3 3 2 2 2" xfId="8926" xr:uid="{00000000-0005-0000-0000-000063210000}"/>
    <cellStyle name="Normal 12 2 3 3 2 2 2 2" xfId="8927" xr:uid="{00000000-0005-0000-0000-000064210000}"/>
    <cellStyle name="Normal 12 2 3 3 2 2 2 2 2" xfId="8928" xr:uid="{00000000-0005-0000-0000-000065210000}"/>
    <cellStyle name="Normal 12 2 3 3 2 2 2 2 3" xfId="8929" xr:uid="{00000000-0005-0000-0000-000066210000}"/>
    <cellStyle name="Normal 12 2 3 3 2 2 2 2 4" xfId="8930" xr:uid="{00000000-0005-0000-0000-000067210000}"/>
    <cellStyle name="Normal 12 2 3 3 2 2 2 2 5" xfId="8931" xr:uid="{00000000-0005-0000-0000-000068210000}"/>
    <cellStyle name="Normal 12 2 3 3 2 2 2 3" xfId="8932" xr:uid="{00000000-0005-0000-0000-000069210000}"/>
    <cellStyle name="Normal 12 2 3 3 2 2 2 4" xfId="8933" xr:uid="{00000000-0005-0000-0000-00006A210000}"/>
    <cellStyle name="Normal 12 2 3 3 2 2 2 5" xfId="8934" xr:uid="{00000000-0005-0000-0000-00006B210000}"/>
    <cellStyle name="Normal 12 2 3 3 2 2 2 6" xfId="8935" xr:uid="{00000000-0005-0000-0000-00006C210000}"/>
    <cellStyle name="Normal 12 2 3 3 2 2 2 7" xfId="8936" xr:uid="{00000000-0005-0000-0000-00006D210000}"/>
    <cellStyle name="Normal 12 2 3 3 2 2 2 8" xfId="8937" xr:uid="{00000000-0005-0000-0000-00006E210000}"/>
    <cellStyle name="Normal 12 2 3 3 2 2 3" xfId="8938" xr:uid="{00000000-0005-0000-0000-00006F210000}"/>
    <cellStyle name="Normal 12 2 3 3 2 2 3 2" xfId="8939" xr:uid="{00000000-0005-0000-0000-000070210000}"/>
    <cellStyle name="Normal 12 2 3 3 2 2 3 2 2" xfId="8940" xr:uid="{00000000-0005-0000-0000-000071210000}"/>
    <cellStyle name="Normal 12 2 3 3 2 2 3 2 3" xfId="8941" xr:uid="{00000000-0005-0000-0000-000072210000}"/>
    <cellStyle name="Normal 12 2 3 3 2 2 3 2 4" xfId="8942" xr:uid="{00000000-0005-0000-0000-000073210000}"/>
    <cellStyle name="Normal 12 2 3 3 2 2 3 2 5" xfId="8943" xr:uid="{00000000-0005-0000-0000-000074210000}"/>
    <cellStyle name="Normal 12 2 3 3 2 2 3 3" xfId="8944" xr:uid="{00000000-0005-0000-0000-000075210000}"/>
    <cellStyle name="Normal 12 2 3 3 2 2 3 4" xfId="8945" xr:uid="{00000000-0005-0000-0000-000076210000}"/>
    <cellStyle name="Normal 12 2 3 3 2 2 3 5" xfId="8946" xr:uid="{00000000-0005-0000-0000-000077210000}"/>
    <cellStyle name="Normal 12 2 3 3 2 2 3 6" xfId="8947" xr:uid="{00000000-0005-0000-0000-000078210000}"/>
    <cellStyle name="Normal 12 2 3 3 2 2 3 7" xfId="8948" xr:uid="{00000000-0005-0000-0000-000079210000}"/>
    <cellStyle name="Normal 12 2 3 3 2 2 3 8" xfId="8949" xr:uid="{00000000-0005-0000-0000-00007A210000}"/>
    <cellStyle name="Normal 12 2 3 3 2 2 4" xfId="8950" xr:uid="{00000000-0005-0000-0000-00007B210000}"/>
    <cellStyle name="Normal 12 2 3 3 2 2 4 2" xfId="8951" xr:uid="{00000000-0005-0000-0000-00007C210000}"/>
    <cellStyle name="Normal 12 2 3 3 2 2 4 3" xfId="8952" xr:uid="{00000000-0005-0000-0000-00007D210000}"/>
    <cellStyle name="Normal 12 2 3 3 2 2 4 4" xfId="8953" xr:uid="{00000000-0005-0000-0000-00007E210000}"/>
    <cellStyle name="Normal 12 2 3 3 2 2 4 5" xfId="8954" xr:uid="{00000000-0005-0000-0000-00007F210000}"/>
    <cellStyle name="Normal 12 2 3 3 2 2 5" xfId="8955" xr:uid="{00000000-0005-0000-0000-000080210000}"/>
    <cellStyle name="Normal 12 2 3 3 2 2 6" xfId="8956" xr:uid="{00000000-0005-0000-0000-000081210000}"/>
    <cellStyle name="Normal 12 2 3 3 2 2 7" xfId="8957" xr:uid="{00000000-0005-0000-0000-000082210000}"/>
    <cellStyle name="Normal 12 2 3 3 2 2 8" xfId="8958" xr:uid="{00000000-0005-0000-0000-000083210000}"/>
    <cellStyle name="Normal 12 2 3 3 2 2 9" xfId="8959" xr:uid="{00000000-0005-0000-0000-000084210000}"/>
    <cellStyle name="Normal 12 2 3 3 2 3" xfId="8960" xr:uid="{00000000-0005-0000-0000-000085210000}"/>
    <cellStyle name="Normal 12 2 3 3 2 3 2" xfId="8961" xr:uid="{00000000-0005-0000-0000-000086210000}"/>
    <cellStyle name="Normal 12 2 3 3 2 3 2 2" xfId="8962" xr:uid="{00000000-0005-0000-0000-000087210000}"/>
    <cellStyle name="Normal 12 2 3 3 2 3 2 3" xfId="8963" xr:uid="{00000000-0005-0000-0000-000088210000}"/>
    <cellStyle name="Normal 12 2 3 3 2 3 2 4" xfId="8964" xr:uid="{00000000-0005-0000-0000-000089210000}"/>
    <cellStyle name="Normal 12 2 3 3 2 3 2 5" xfId="8965" xr:uid="{00000000-0005-0000-0000-00008A210000}"/>
    <cellStyle name="Normal 12 2 3 3 2 3 3" xfId="8966" xr:uid="{00000000-0005-0000-0000-00008B210000}"/>
    <cellStyle name="Normal 12 2 3 3 2 3 4" xfId="8967" xr:uid="{00000000-0005-0000-0000-00008C210000}"/>
    <cellStyle name="Normal 12 2 3 3 2 3 5" xfId="8968" xr:uid="{00000000-0005-0000-0000-00008D210000}"/>
    <cellStyle name="Normal 12 2 3 3 2 3 6" xfId="8969" xr:uid="{00000000-0005-0000-0000-00008E210000}"/>
    <cellStyle name="Normal 12 2 3 3 2 3 7" xfId="8970" xr:uid="{00000000-0005-0000-0000-00008F210000}"/>
    <cellStyle name="Normal 12 2 3 3 2 3 8" xfId="8971" xr:uid="{00000000-0005-0000-0000-000090210000}"/>
    <cellStyle name="Normal 12 2 3 3 2 4" xfId="8972" xr:uid="{00000000-0005-0000-0000-000091210000}"/>
    <cellStyle name="Normal 12 2 3 3 2 4 2" xfId="8973" xr:uid="{00000000-0005-0000-0000-000092210000}"/>
    <cellStyle name="Normal 12 2 3 3 2 4 2 2" xfId="8974" xr:uid="{00000000-0005-0000-0000-000093210000}"/>
    <cellStyle name="Normal 12 2 3 3 2 4 2 3" xfId="8975" xr:uid="{00000000-0005-0000-0000-000094210000}"/>
    <cellStyle name="Normal 12 2 3 3 2 4 2 4" xfId="8976" xr:uid="{00000000-0005-0000-0000-000095210000}"/>
    <cellStyle name="Normal 12 2 3 3 2 4 2 5" xfId="8977" xr:uid="{00000000-0005-0000-0000-000096210000}"/>
    <cellStyle name="Normal 12 2 3 3 2 4 3" xfId="8978" xr:uid="{00000000-0005-0000-0000-000097210000}"/>
    <cellStyle name="Normal 12 2 3 3 2 4 4" xfId="8979" xr:uid="{00000000-0005-0000-0000-000098210000}"/>
    <cellStyle name="Normal 12 2 3 3 2 4 5" xfId="8980" xr:uid="{00000000-0005-0000-0000-000099210000}"/>
    <cellStyle name="Normal 12 2 3 3 2 4 6" xfId="8981" xr:uid="{00000000-0005-0000-0000-00009A210000}"/>
    <cellStyle name="Normal 12 2 3 3 2 4 7" xfId="8982" xr:uid="{00000000-0005-0000-0000-00009B210000}"/>
    <cellStyle name="Normal 12 2 3 3 2 4 8" xfId="8983" xr:uid="{00000000-0005-0000-0000-00009C210000}"/>
    <cellStyle name="Normal 12 2 3 3 2 5" xfId="8984" xr:uid="{00000000-0005-0000-0000-00009D210000}"/>
    <cellStyle name="Normal 12 2 3 3 2 5 2" xfId="8985" xr:uid="{00000000-0005-0000-0000-00009E210000}"/>
    <cellStyle name="Normal 12 2 3 3 2 5 3" xfId="8986" xr:uid="{00000000-0005-0000-0000-00009F210000}"/>
    <cellStyle name="Normal 12 2 3 3 2 5 4" xfId="8987" xr:uid="{00000000-0005-0000-0000-0000A0210000}"/>
    <cellStyle name="Normal 12 2 3 3 2 5 5" xfId="8988" xr:uid="{00000000-0005-0000-0000-0000A1210000}"/>
    <cellStyle name="Normal 12 2 3 3 2 6" xfId="8989" xr:uid="{00000000-0005-0000-0000-0000A2210000}"/>
    <cellStyle name="Normal 12 2 3 3 2 7" xfId="8990" xr:uid="{00000000-0005-0000-0000-0000A3210000}"/>
    <cellStyle name="Normal 12 2 3 3 2 8" xfId="8991" xr:uid="{00000000-0005-0000-0000-0000A4210000}"/>
    <cellStyle name="Normal 12 2 3 3 2 9" xfId="8992" xr:uid="{00000000-0005-0000-0000-0000A5210000}"/>
    <cellStyle name="Normal 12 2 3 3 3" xfId="8993" xr:uid="{00000000-0005-0000-0000-0000A6210000}"/>
    <cellStyle name="Normal 12 2 3 3 3 10" xfId="8994" xr:uid="{00000000-0005-0000-0000-0000A7210000}"/>
    <cellStyle name="Normal 12 2 3 3 3 11" xfId="8995" xr:uid="{00000000-0005-0000-0000-0000A8210000}"/>
    <cellStyle name="Normal 12 2 3 3 3 2" xfId="8996" xr:uid="{00000000-0005-0000-0000-0000A9210000}"/>
    <cellStyle name="Normal 12 2 3 3 3 2 10" xfId="8997" xr:uid="{00000000-0005-0000-0000-0000AA210000}"/>
    <cellStyle name="Normal 12 2 3 3 3 2 2" xfId="8998" xr:uid="{00000000-0005-0000-0000-0000AB210000}"/>
    <cellStyle name="Normal 12 2 3 3 3 2 2 2" xfId="8999" xr:uid="{00000000-0005-0000-0000-0000AC210000}"/>
    <cellStyle name="Normal 12 2 3 3 3 2 2 2 2" xfId="9000" xr:uid="{00000000-0005-0000-0000-0000AD210000}"/>
    <cellStyle name="Normal 12 2 3 3 3 2 2 2 3" xfId="9001" xr:uid="{00000000-0005-0000-0000-0000AE210000}"/>
    <cellStyle name="Normal 12 2 3 3 3 2 2 2 4" xfId="9002" xr:uid="{00000000-0005-0000-0000-0000AF210000}"/>
    <cellStyle name="Normal 12 2 3 3 3 2 2 2 5" xfId="9003" xr:uid="{00000000-0005-0000-0000-0000B0210000}"/>
    <cellStyle name="Normal 12 2 3 3 3 2 2 3" xfId="9004" xr:uid="{00000000-0005-0000-0000-0000B1210000}"/>
    <cellStyle name="Normal 12 2 3 3 3 2 2 4" xfId="9005" xr:uid="{00000000-0005-0000-0000-0000B2210000}"/>
    <cellStyle name="Normal 12 2 3 3 3 2 2 5" xfId="9006" xr:uid="{00000000-0005-0000-0000-0000B3210000}"/>
    <cellStyle name="Normal 12 2 3 3 3 2 2 6" xfId="9007" xr:uid="{00000000-0005-0000-0000-0000B4210000}"/>
    <cellStyle name="Normal 12 2 3 3 3 2 2 7" xfId="9008" xr:uid="{00000000-0005-0000-0000-0000B5210000}"/>
    <cellStyle name="Normal 12 2 3 3 3 2 2 8" xfId="9009" xr:uid="{00000000-0005-0000-0000-0000B6210000}"/>
    <cellStyle name="Normal 12 2 3 3 3 2 3" xfId="9010" xr:uid="{00000000-0005-0000-0000-0000B7210000}"/>
    <cellStyle name="Normal 12 2 3 3 3 2 3 2" xfId="9011" xr:uid="{00000000-0005-0000-0000-0000B8210000}"/>
    <cellStyle name="Normal 12 2 3 3 3 2 3 2 2" xfId="9012" xr:uid="{00000000-0005-0000-0000-0000B9210000}"/>
    <cellStyle name="Normal 12 2 3 3 3 2 3 2 3" xfId="9013" xr:uid="{00000000-0005-0000-0000-0000BA210000}"/>
    <cellStyle name="Normal 12 2 3 3 3 2 3 2 4" xfId="9014" xr:uid="{00000000-0005-0000-0000-0000BB210000}"/>
    <cellStyle name="Normal 12 2 3 3 3 2 3 2 5" xfId="9015" xr:uid="{00000000-0005-0000-0000-0000BC210000}"/>
    <cellStyle name="Normal 12 2 3 3 3 2 3 3" xfId="9016" xr:uid="{00000000-0005-0000-0000-0000BD210000}"/>
    <cellStyle name="Normal 12 2 3 3 3 2 3 4" xfId="9017" xr:uid="{00000000-0005-0000-0000-0000BE210000}"/>
    <cellStyle name="Normal 12 2 3 3 3 2 3 5" xfId="9018" xr:uid="{00000000-0005-0000-0000-0000BF210000}"/>
    <cellStyle name="Normal 12 2 3 3 3 2 3 6" xfId="9019" xr:uid="{00000000-0005-0000-0000-0000C0210000}"/>
    <cellStyle name="Normal 12 2 3 3 3 2 3 7" xfId="9020" xr:uid="{00000000-0005-0000-0000-0000C1210000}"/>
    <cellStyle name="Normal 12 2 3 3 3 2 3 8" xfId="9021" xr:uid="{00000000-0005-0000-0000-0000C2210000}"/>
    <cellStyle name="Normal 12 2 3 3 3 2 4" xfId="9022" xr:uid="{00000000-0005-0000-0000-0000C3210000}"/>
    <cellStyle name="Normal 12 2 3 3 3 2 4 2" xfId="9023" xr:uid="{00000000-0005-0000-0000-0000C4210000}"/>
    <cellStyle name="Normal 12 2 3 3 3 2 4 3" xfId="9024" xr:uid="{00000000-0005-0000-0000-0000C5210000}"/>
    <cellStyle name="Normal 12 2 3 3 3 2 4 4" xfId="9025" xr:uid="{00000000-0005-0000-0000-0000C6210000}"/>
    <cellStyle name="Normal 12 2 3 3 3 2 4 5" xfId="9026" xr:uid="{00000000-0005-0000-0000-0000C7210000}"/>
    <cellStyle name="Normal 12 2 3 3 3 2 5" xfId="9027" xr:uid="{00000000-0005-0000-0000-0000C8210000}"/>
    <cellStyle name="Normal 12 2 3 3 3 2 6" xfId="9028" xr:uid="{00000000-0005-0000-0000-0000C9210000}"/>
    <cellStyle name="Normal 12 2 3 3 3 2 7" xfId="9029" xr:uid="{00000000-0005-0000-0000-0000CA210000}"/>
    <cellStyle name="Normal 12 2 3 3 3 2 8" xfId="9030" xr:uid="{00000000-0005-0000-0000-0000CB210000}"/>
    <cellStyle name="Normal 12 2 3 3 3 2 9" xfId="9031" xr:uid="{00000000-0005-0000-0000-0000CC210000}"/>
    <cellStyle name="Normal 12 2 3 3 3 3" xfId="9032" xr:uid="{00000000-0005-0000-0000-0000CD210000}"/>
    <cellStyle name="Normal 12 2 3 3 3 3 2" xfId="9033" xr:uid="{00000000-0005-0000-0000-0000CE210000}"/>
    <cellStyle name="Normal 12 2 3 3 3 3 2 2" xfId="9034" xr:uid="{00000000-0005-0000-0000-0000CF210000}"/>
    <cellStyle name="Normal 12 2 3 3 3 3 2 3" xfId="9035" xr:uid="{00000000-0005-0000-0000-0000D0210000}"/>
    <cellStyle name="Normal 12 2 3 3 3 3 2 4" xfId="9036" xr:uid="{00000000-0005-0000-0000-0000D1210000}"/>
    <cellStyle name="Normal 12 2 3 3 3 3 2 5" xfId="9037" xr:uid="{00000000-0005-0000-0000-0000D2210000}"/>
    <cellStyle name="Normal 12 2 3 3 3 3 3" xfId="9038" xr:uid="{00000000-0005-0000-0000-0000D3210000}"/>
    <cellStyle name="Normal 12 2 3 3 3 3 4" xfId="9039" xr:uid="{00000000-0005-0000-0000-0000D4210000}"/>
    <cellStyle name="Normal 12 2 3 3 3 3 5" xfId="9040" xr:uid="{00000000-0005-0000-0000-0000D5210000}"/>
    <cellStyle name="Normal 12 2 3 3 3 3 6" xfId="9041" xr:uid="{00000000-0005-0000-0000-0000D6210000}"/>
    <cellStyle name="Normal 12 2 3 3 3 3 7" xfId="9042" xr:uid="{00000000-0005-0000-0000-0000D7210000}"/>
    <cellStyle name="Normal 12 2 3 3 3 3 8" xfId="9043" xr:uid="{00000000-0005-0000-0000-0000D8210000}"/>
    <cellStyle name="Normal 12 2 3 3 3 4" xfId="9044" xr:uid="{00000000-0005-0000-0000-0000D9210000}"/>
    <cellStyle name="Normal 12 2 3 3 3 4 2" xfId="9045" xr:uid="{00000000-0005-0000-0000-0000DA210000}"/>
    <cellStyle name="Normal 12 2 3 3 3 4 2 2" xfId="9046" xr:uid="{00000000-0005-0000-0000-0000DB210000}"/>
    <cellStyle name="Normal 12 2 3 3 3 4 2 3" xfId="9047" xr:uid="{00000000-0005-0000-0000-0000DC210000}"/>
    <cellStyle name="Normal 12 2 3 3 3 4 2 4" xfId="9048" xr:uid="{00000000-0005-0000-0000-0000DD210000}"/>
    <cellStyle name="Normal 12 2 3 3 3 4 2 5" xfId="9049" xr:uid="{00000000-0005-0000-0000-0000DE210000}"/>
    <cellStyle name="Normal 12 2 3 3 3 4 3" xfId="9050" xr:uid="{00000000-0005-0000-0000-0000DF210000}"/>
    <cellStyle name="Normal 12 2 3 3 3 4 4" xfId="9051" xr:uid="{00000000-0005-0000-0000-0000E0210000}"/>
    <cellStyle name="Normal 12 2 3 3 3 4 5" xfId="9052" xr:uid="{00000000-0005-0000-0000-0000E1210000}"/>
    <cellStyle name="Normal 12 2 3 3 3 4 6" xfId="9053" xr:uid="{00000000-0005-0000-0000-0000E2210000}"/>
    <cellStyle name="Normal 12 2 3 3 3 4 7" xfId="9054" xr:uid="{00000000-0005-0000-0000-0000E3210000}"/>
    <cellStyle name="Normal 12 2 3 3 3 4 8" xfId="9055" xr:uid="{00000000-0005-0000-0000-0000E4210000}"/>
    <cellStyle name="Normal 12 2 3 3 3 5" xfId="9056" xr:uid="{00000000-0005-0000-0000-0000E5210000}"/>
    <cellStyle name="Normal 12 2 3 3 3 5 2" xfId="9057" xr:uid="{00000000-0005-0000-0000-0000E6210000}"/>
    <cellStyle name="Normal 12 2 3 3 3 5 3" xfId="9058" xr:uid="{00000000-0005-0000-0000-0000E7210000}"/>
    <cellStyle name="Normal 12 2 3 3 3 5 4" xfId="9059" xr:uid="{00000000-0005-0000-0000-0000E8210000}"/>
    <cellStyle name="Normal 12 2 3 3 3 5 5" xfId="9060" xr:uid="{00000000-0005-0000-0000-0000E9210000}"/>
    <cellStyle name="Normal 12 2 3 3 3 6" xfId="9061" xr:uid="{00000000-0005-0000-0000-0000EA210000}"/>
    <cellStyle name="Normal 12 2 3 3 3 7" xfId="9062" xr:uid="{00000000-0005-0000-0000-0000EB210000}"/>
    <cellStyle name="Normal 12 2 3 3 3 8" xfId="9063" xr:uid="{00000000-0005-0000-0000-0000EC210000}"/>
    <cellStyle name="Normal 12 2 3 3 3 9" xfId="9064" xr:uid="{00000000-0005-0000-0000-0000ED210000}"/>
    <cellStyle name="Normal 12 2 3 3 4" xfId="9065" xr:uid="{00000000-0005-0000-0000-0000EE210000}"/>
    <cellStyle name="Normal 12 2 3 3 4 10" xfId="9066" xr:uid="{00000000-0005-0000-0000-0000EF210000}"/>
    <cellStyle name="Normal 12 2 3 3 4 2" xfId="9067" xr:uid="{00000000-0005-0000-0000-0000F0210000}"/>
    <cellStyle name="Normal 12 2 3 3 4 2 2" xfId="9068" xr:uid="{00000000-0005-0000-0000-0000F1210000}"/>
    <cellStyle name="Normal 12 2 3 3 4 2 2 2" xfId="9069" xr:uid="{00000000-0005-0000-0000-0000F2210000}"/>
    <cellStyle name="Normal 12 2 3 3 4 2 2 3" xfId="9070" xr:uid="{00000000-0005-0000-0000-0000F3210000}"/>
    <cellStyle name="Normal 12 2 3 3 4 2 2 4" xfId="9071" xr:uid="{00000000-0005-0000-0000-0000F4210000}"/>
    <cellStyle name="Normal 12 2 3 3 4 2 2 5" xfId="9072" xr:uid="{00000000-0005-0000-0000-0000F5210000}"/>
    <cellStyle name="Normal 12 2 3 3 4 2 3" xfId="9073" xr:uid="{00000000-0005-0000-0000-0000F6210000}"/>
    <cellStyle name="Normal 12 2 3 3 4 2 4" xfId="9074" xr:uid="{00000000-0005-0000-0000-0000F7210000}"/>
    <cellStyle name="Normal 12 2 3 3 4 2 5" xfId="9075" xr:uid="{00000000-0005-0000-0000-0000F8210000}"/>
    <cellStyle name="Normal 12 2 3 3 4 2 6" xfId="9076" xr:uid="{00000000-0005-0000-0000-0000F9210000}"/>
    <cellStyle name="Normal 12 2 3 3 4 2 7" xfId="9077" xr:uid="{00000000-0005-0000-0000-0000FA210000}"/>
    <cellStyle name="Normal 12 2 3 3 4 2 8" xfId="9078" xr:uid="{00000000-0005-0000-0000-0000FB210000}"/>
    <cellStyle name="Normal 12 2 3 3 4 3" xfId="9079" xr:uid="{00000000-0005-0000-0000-0000FC210000}"/>
    <cellStyle name="Normal 12 2 3 3 4 3 2" xfId="9080" xr:uid="{00000000-0005-0000-0000-0000FD210000}"/>
    <cellStyle name="Normal 12 2 3 3 4 3 2 2" xfId="9081" xr:uid="{00000000-0005-0000-0000-0000FE210000}"/>
    <cellStyle name="Normal 12 2 3 3 4 3 2 3" xfId="9082" xr:uid="{00000000-0005-0000-0000-0000FF210000}"/>
    <cellStyle name="Normal 12 2 3 3 4 3 2 4" xfId="9083" xr:uid="{00000000-0005-0000-0000-000000220000}"/>
    <cellStyle name="Normal 12 2 3 3 4 3 2 5" xfId="9084" xr:uid="{00000000-0005-0000-0000-000001220000}"/>
    <cellStyle name="Normal 12 2 3 3 4 3 3" xfId="9085" xr:uid="{00000000-0005-0000-0000-000002220000}"/>
    <cellStyle name="Normal 12 2 3 3 4 3 4" xfId="9086" xr:uid="{00000000-0005-0000-0000-000003220000}"/>
    <cellStyle name="Normal 12 2 3 3 4 3 5" xfId="9087" xr:uid="{00000000-0005-0000-0000-000004220000}"/>
    <cellStyle name="Normal 12 2 3 3 4 3 6" xfId="9088" xr:uid="{00000000-0005-0000-0000-000005220000}"/>
    <cellStyle name="Normal 12 2 3 3 4 3 7" xfId="9089" xr:uid="{00000000-0005-0000-0000-000006220000}"/>
    <cellStyle name="Normal 12 2 3 3 4 3 8" xfId="9090" xr:uid="{00000000-0005-0000-0000-000007220000}"/>
    <cellStyle name="Normal 12 2 3 3 4 4" xfId="9091" xr:uid="{00000000-0005-0000-0000-000008220000}"/>
    <cellStyle name="Normal 12 2 3 3 4 4 2" xfId="9092" xr:uid="{00000000-0005-0000-0000-000009220000}"/>
    <cellStyle name="Normal 12 2 3 3 4 4 3" xfId="9093" xr:uid="{00000000-0005-0000-0000-00000A220000}"/>
    <cellStyle name="Normal 12 2 3 3 4 4 4" xfId="9094" xr:uid="{00000000-0005-0000-0000-00000B220000}"/>
    <cellStyle name="Normal 12 2 3 3 4 4 5" xfId="9095" xr:uid="{00000000-0005-0000-0000-00000C220000}"/>
    <cellStyle name="Normal 12 2 3 3 4 5" xfId="9096" xr:uid="{00000000-0005-0000-0000-00000D220000}"/>
    <cellStyle name="Normal 12 2 3 3 4 6" xfId="9097" xr:uid="{00000000-0005-0000-0000-00000E220000}"/>
    <cellStyle name="Normal 12 2 3 3 4 7" xfId="9098" xr:uid="{00000000-0005-0000-0000-00000F220000}"/>
    <cellStyle name="Normal 12 2 3 3 4 8" xfId="9099" xr:uid="{00000000-0005-0000-0000-000010220000}"/>
    <cellStyle name="Normal 12 2 3 3 4 9" xfId="9100" xr:uid="{00000000-0005-0000-0000-000011220000}"/>
    <cellStyle name="Normal 12 2 3 3 5" xfId="9101" xr:uid="{00000000-0005-0000-0000-000012220000}"/>
    <cellStyle name="Normal 12 2 3 3 5 2" xfId="9102" xr:uid="{00000000-0005-0000-0000-000013220000}"/>
    <cellStyle name="Normal 12 2 3 3 5 2 2" xfId="9103" xr:uid="{00000000-0005-0000-0000-000014220000}"/>
    <cellStyle name="Normal 12 2 3 3 5 2 3" xfId="9104" xr:uid="{00000000-0005-0000-0000-000015220000}"/>
    <cellStyle name="Normal 12 2 3 3 5 2 4" xfId="9105" xr:uid="{00000000-0005-0000-0000-000016220000}"/>
    <cellStyle name="Normal 12 2 3 3 5 2 5" xfId="9106" xr:uid="{00000000-0005-0000-0000-000017220000}"/>
    <cellStyle name="Normal 12 2 3 3 5 3" xfId="9107" xr:uid="{00000000-0005-0000-0000-000018220000}"/>
    <cellStyle name="Normal 12 2 3 3 5 4" xfId="9108" xr:uid="{00000000-0005-0000-0000-000019220000}"/>
    <cellStyle name="Normal 12 2 3 3 5 5" xfId="9109" xr:uid="{00000000-0005-0000-0000-00001A220000}"/>
    <cellStyle name="Normal 12 2 3 3 5 6" xfId="9110" xr:uid="{00000000-0005-0000-0000-00001B220000}"/>
    <cellStyle name="Normal 12 2 3 3 5 7" xfId="9111" xr:uid="{00000000-0005-0000-0000-00001C220000}"/>
    <cellStyle name="Normal 12 2 3 3 5 8" xfId="9112" xr:uid="{00000000-0005-0000-0000-00001D220000}"/>
    <cellStyle name="Normal 12 2 3 3 6" xfId="9113" xr:uid="{00000000-0005-0000-0000-00001E220000}"/>
    <cellStyle name="Normal 12 2 3 3 6 2" xfId="9114" xr:uid="{00000000-0005-0000-0000-00001F220000}"/>
    <cellStyle name="Normal 12 2 3 3 6 2 2" xfId="9115" xr:uid="{00000000-0005-0000-0000-000020220000}"/>
    <cellStyle name="Normal 12 2 3 3 6 2 3" xfId="9116" xr:uid="{00000000-0005-0000-0000-000021220000}"/>
    <cellStyle name="Normal 12 2 3 3 6 2 4" xfId="9117" xr:uid="{00000000-0005-0000-0000-000022220000}"/>
    <cellStyle name="Normal 12 2 3 3 6 2 5" xfId="9118" xr:uid="{00000000-0005-0000-0000-000023220000}"/>
    <cellStyle name="Normal 12 2 3 3 6 3" xfId="9119" xr:uid="{00000000-0005-0000-0000-000024220000}"/>
    <cellStyle name="Normal 12 2 3 3 6 4" xfId="9120" xr:uid="{00000000-0005-0000-0000-000025220000}"/>
    <cellStyle name="Normal 12 2 3 3 6 5" xfId="9121" xr:uid="{00000000-0005-0000-0000-000026220000}"/>
    <cellStyle name="Normal 12 2 3 3 6 6" xfId="9122" xr:uid="{00000000-0005-0000-0000-000027220000}"/>
    <cellStyle name="Normal 12 2 3 3 6 7" xfId="9123" xr:uid="{00000000-0005-0000-0000-000028220000}"/>
    <cellStyle name="Normal 12 2 3 3 6 8" xfId="9124" xr:uid="{00000000-0005-0000-0000-000029220000}"/>
    <cellStyle name="Normal 12 2 3 3 7" xfId="9125" xr:uid="{00000000-0005-0000-0000-00002A220000}"/>
    <cellStyle name="Normal 12 2 3 3 7 2" xfId="9126" xr:uid="{00000000-0005-0000-0000-00002B220000}"/>
    <cellStyle name="Normal 12 2 3 3 7 3" xfId="9127" xr:uid="{00000000-0005-0000-0000-00002C220000}"/>
    <cellStyle name="Normal 12 2 3 3 7 4" xfId="9128" xr:uid="{00000000-0005-0000-0000-00002D220000}"/>
    <cellStyle name="Normal 12 2 3 3 7 5" xfId="9129" xr:uid="{00000000-0005-0000-0000-00002E220000}"/>
    <cellStyle name="Normal 12 2 3 3 8" xfId="9130" xr:uid="{00000000-0005-0000-0000-00002F220000}"/>
    <cellStyle name="Normal 12 2 3 3 9" xfId="9131" xr:uid="{00000000-0005-0000-0000-000030220000}"/>
    <cellStyle name="Normal 12 2 3 4" xfId="9132" xr:uid="{00000000-0005-0000-0000-000031220000}"/>
    <cellStyle name="Normal 12 2 3 4 10" xfId="9133" xr:uid="{00000000-0005-0000-0000-000032220000}"/>
    <cellStyle name="Normal 12 2 3 4 11" xfId="9134" xr:uid="{00000000-0005-0000-0000-000033220000}"/>
    <cellStyle name="Normal 12 2 3 4 12" xfId="9135" xr:uid="{00000000-0005-0000-0000-000034220000}"/>
    <cellStyle name="Normal 12 2 3 4 13" xfId="9136" xr:uid="{00000000-0005-0000-0000-000035220000}"/>
    <cellStyle name="Normal 12 2 3 4 2" xfId="9137" xr:uid="{00000000-0005-0000-0000-000036220000}"/>
    <cellStyle name="Normal 12 2 3 4 2 10" xfId="9138" xr:uid="{00000000-0005-0000-0000-000037220000}"/>
    <cellStyle name="Normal 12 2 3 4 2 11" xfId="9139" xr:uid="{00000000-0005-0000-0000-000038220000}"/>
    <cellStyle name="Normal 12 2 3 4 2 2" xfId="9140" xr:uid="{00000000-0005-0000-0000-000039220000}"/>
    <cellStyle name="Normal 12 2 3 4 2 2 10" xfId="9141" xr:uid="{00000000-0005-0000-0000-00003A220000}"/>
    <cellStyle name="Normal 12 2 3 4 2 2 2" xfId="9142" xr:uid="{00000000-0005-0000-0000-00003B220000}"/>
    <cellStyle name="Normal 12 2 3 4 2 2 2 2" xfId="9143" xr:uid="{00000000-0005-0000-0000-00003C220000}"/>
    <cellStyle name="Normal 12 2 3 4 2 2 2 2 2" xfId="9144" xr:uid="{00000000-0005-0000-0000-00003D220000}"/>
    <cellStyle name="Normal 12 2 3 4 2 2 2 2 3" xfId="9145" xr:uid="{00000000-0005-0000-0000-00003E220000}"/>
    <cellStyle name="Normal 12 2 3 4 2 2 2 2 4" xfId="9146" xr:uid="{00000000-0005-0000-0000-00003F220000}"/>
    <cellStyle name="Normal 12 2 3 4 2 2 2 2 5" xfId="9147" xr:uid="{00000000-0005-0000-0000-000040220000}"/>
    <cellStyle name="Normal 12 2 3 4 2 2 2 3" xfId="9148" xr:uid="{00000000-0005-0000-0000-000041220000}"/>
    <cellStyle name="Normal 12 2 3 4 2 2 2 4" xfId="9149" xr:uid="{00000000-0005-0000-0000-000042220000}"/>
    <cellStyle name="Normal 12 2 3 4 2 2 2 5" xfId="9150" xr:uid="{00000000-0005-0000-0000-000043220000}"/>
    <cellStyle name="Normal 12 2 3 4 2 2 2 6" xfId="9151" xr:uid="{00000000-0005-0000-0000-000044220000}"/>
    <cellStyle name="Normal 12 2 3 4 2 2 2 7" xfId="9152" xr:uid="{00000000-0005-0000-0000-000045220000}"/>
    <cellStyle name="Normal 12 2 3 4 2 2 2 8" xfId="9153" xr:uid="{00000000-0005-0000-0000-000046220000}"/>
    <cellStyle name="Normal 12 2 3 4 2 2 3" xfId="9154" xr:uid="{00000000-0005-0000-0000-000047220000}"/>
    <cellStyle name="Normal 12 2 3 4 2 2 3 2" xfId="9155" xr:uid="{00000000-0005-0000-0000-000048220000}"/>
    <cellStyle name="Normal 12 2 3 4 2 2 3 2 2" xfId="9156" xr:uid="{00000000-0005-0000-0000-000049220000}"/>
    <cellStyle name="Normal 12 2 3 4 2 2 3 2 3" xfId="9157" xr:uid="{00000000-0005-0000-0000-00004A220000}"/>
    <cellStyle name="Normal 12 2 3 4 2 2 3 2 4" xfId="9158" xr:uid="{00000000-0005-0000-0000-00004B220000}"/>
    <cellStyle name="Normal 12 2 3 4 2 2 3 2 5" xfId="9159" xr:uid="{00000000-0005-0000-0000-00004C220000}"/>
    <cellStyle name="Normal 12 2 3 4 2 2 3 3" xfId="9160" xr:uid="{00000000-0005-0000-0000-00004D220000}"/>
    <cellStyle name="Normal 12 2 3 4 2 2 3 4" xfId="9161" xr:uid="{00000000-0005-0000-0000-00004E220000}"/>
    <cellStyle name="Normal 12 2 3 4 2 2 3 5" xfId="9162" xr:uid="{00000000-0005-0000-0000-00004F220000}"/>
    <cellStyle name="Normal 12 2 3 4 2 2 3 6" xfId="9163" xr:uid="{00000000-0005-0000-0000-000050220000}"/>
    <cellStyle name="Normal 12 2 3 4 2 2 3 7" xfId="9164" xr:uid="{00000000-0005-0000-0000-000051220000}"/>
    <cellStyle name="Normal 12 2 3 4 2 2 3 8" xfId="9165" xr:uid="{00000000-0005-0000-0000-000052220000}"/>
    <cellStyle name="Normal 12 2 3 4 2 2 4" xfId="9166" xr:uid="{00000000-0005-0000-0000-000053220000}"/>
    <cellStyle name="Normal 12 2 3 4 2 2 4 2" xfId="9167" xr:uid="{00000000-0005-0000-0000-000054220000}"/>
    <cellStyle name="Normal 12 2 3 4 2 2 4 3" xfId="9168" xr:uid="{00000000-0005-0000-0000-000055220000}"/>
    <cellStyle name="Normal 12 2 3 4 2 2 4 4" xfId="9169" xr:uid="{00000000-0005-0000-0000-000056220000}"/>
    <cellStyle name="Normal 12 2 3 4 2 2 4 5" xfId="9170" xr:uid="{00000000-0005-0000-0000-000057220000}"/>
    <cellStyle name="Normal 12 2 3 4 2 2 5" xfId="9171" xr:uid="{00000000-0005-0000-0000-000058220000}"/>
    <cellStyle name="Normal 12 2 3 4 2 2 6" xfId="9172" xr:uid="{00000000-0005-0000-0000-000059220000}"/>
    <cellStyle name="Normal 12 2 3 4 2 2 7" xfId="9173" xr:uid="{00000000-0005-0000-0000-00005A220000}"/>
    <cellStyle name="Normal 12 2 3 4 2 2 8" xfId="9174" xr:uid="{00000000-0005-0000-0000-00005B220000}"/>
    <cellStyle name="Normal 12 2 3 4 2 2 9" xfId="9175" xr:uid="{00000000-0005-0000-0000-00005C220000}"/>
    <cellStyle name="Normal 12 2 3 4 2 3" xfId="9176" xr:uid="{00000000-0005-0000-0000-00005D220000}"/>
    <cellStyle name="Normal 12 2 3 4 2 3 2" xfId="9177" xr:uid="{00000000-0005-0000-0000-00005E220000}"/>
    <cellStyle name="Normal 12 2 3 4 2 3 2 2" xfId="9178" xr:uid="{00000000-0005-0000-0000-00005F220000}"/>
    <cellStyle name="Normal 12 2 3 4 2 3 2 3" xfId="9179" xr:uid="{00000000-0005-0000-0000-000060220000}"/>
    <cellStyle name="Normal 12 2 3 4 2 3 2 4" xfId="9180" xr:uid="{00000000-0005-0000-0000-000061220000}"/>
    <cellStyle name="Normal 12 2 3 4 2 3 2 5" xfId="9181" xr:uid="{00000000-0005-0000-0000-000062220000}"/>
    <cellStyle name="Normal 12 2 3 4 2 3 3" xfId="9182" xr:uid="{00000000-0005-0000-0000-000063220000}"/>
    <cellStyle name="Normal 12 2 3 4 2 3 4" xfId="9183" xr:uid="{00000000-0005-0000-0000-000064220000}"/>
    <cellStyle name="Normal 12 2 3 4 2 3 5" xfId="9184" xr:uid="{00000000-0005-0000-0000-000065220000}"/>
    <cellStyle name="Normal 12 2 3 4 2 3 6" xfId="9185" xr:uid="{00000000-0005-0000-0000-000066220000}"/>
    <cellStyle name="Normal 12 2 3 4 2 3 7" xfId="9186" xr:uid="{00000000-0005-0000-0000-000067220000}"/>
    <cellStyle name="Normal 12 2 3 4 2 3 8" xfId="9187" xr:uid="{00000000-0005-0000-0000-000068220000}"/>
    <cellStyle name="Normal 12 2 3 4 2 4" xfId="9188" xr:uid="{00000000-0005-0000-0000-000069220000}"/>
    <cellStyle name="Normal 12 2 3 4 2 4 2" xfId="9189" xr:uid="{00000000-0005-0000-0000-00006A220000}"/>
    <cellStyle name="Normal 12 2 3 4 2 4 2 2" xfId="9190" xr:uid="{00000000-0005-0000-0000-00006B220000}"/>
    <cellStyle name="Normal 12 2 3 4 2 4 2 3" xfId="9191" xr:uid="{00000000-0005-0000-0000-00006C220000}"/>
    <cellStyle name="Normal 12 2 3 4 2 4 2 4" xfId="9192" xr:uid="{00000000-0005-0000-0000-00006D220000}"/>
    <cellStyle name="Normal 12 2 3 4 2 4 2 5" xfId="9193" xr:uid="{00000000-0005-0000-0000-00006E220000}"/>
    <cellStyle name="Normal 12 2 3 4 2 4 3" xfId="9194" xr:uid="{00000000-0005-0000-0000-00006F220000}"/>
    <cellStyle name="Normal 12 2 3 4 2 4 4" xfId="9195" xr:uid="{00000000-0005-0000-0000-000070220000}"/>
    <cellStyle name="Normal 12 2 3 4 2 4 5" xfId="9196" xr:uid="{00000000-0005-0000-0000-000071220000}"/>
    <cellStyle name="Normal 12 2 3 4 2 4 6" xfId="9197" xr:uid="{00000000-0005-0000-0000-000072220000}"/>
    <cellStyle name="Normal 12 2 3 4 2 4 7" xfId="9198" xr:uid="{00000000-0005-0000-0000-000073220000}"/>
    <cellStyle name="Normal 12 2 3 4 2 4 8" xfId="9199" xr:uid="{00000000-0005-0000-0000-000074220000}"/>
    <cellStyle name="Normal 12 2 3 4 2 5" xfId="9200" xr:uid="{00000000-0005-0000-0000-000075220000}"/>
    <cellStyle name="Normal 12 2 3 4 2 5 2" xfId="9201" xr:uid="{00000000-0005-0000-0000-000076220000}"/>
    <cellStyle name="Normal 12 2 3 4 2 5 3" xfId="9202" xr:uid="{00000000-0005-0000-0000-000077220000}"/>
    <cellStyle name="Normal 12 2 3 4 2 5 4" xfId="9203" xr:uid="{00000000-0005-0000-0000-000078220000}"/>
    <cellStyle name="Normal 12 2 3 4 2 5 5" xfId="9204" xr:uid="{00000000-0005-0000-0000-000079220000}"/>
    <cellStyle name="Normal 12 2 3 4 2 6" xfId="9205" xr:uid="{00000000-0005-0000-0000-00007A220000}"/>
    <cellStyle name="Normal 12 2 3 4 2 7" xfId="9206" xr:uid="{00000000-0005-0000-0000-00007B220000}"/>
    <cellStyle name="Normal 12 2 3 4 2 8" xfId="9207" xr:uid="{00000000-0005-0000-0000-00007C220000}"/>
    <cellStyle name="Normal 12 2 3 4 2 9" xfId="9208" xr:uid="{00000000-0005-0000-0000-00007D220000}"/>
    <cellStyle name="Normal 12 2 3 4 3" xfId="9209" xr:uid="{00000000-0005-0000-0000-00007E220000}"/>
    <cellStyle name="Normal 12 2 3 4 3 10" xfId="9210" xr:uid="{00000000-0005-0000-0000-00007F220000}"/>
    <cellStyle name="Normal 12 2 3 4 3 11" xfId="9211" xr:uid="{00000000-0005-0000-0000-000080220000}"/>
    <cellStyle name="Normal 12 2 3 4 3 2" xfId="9212" xr:uid="{00000000-0005-0000-0000-000081220000}"/>
    <cellStyle name="Normal 12 2 3 4 3 2 10" xfId="9213" xr:uid="{00000000-0005-0000-0000-000082220000}"/>
    <cellStyle name="Normal 12 2 3 4 3 2 2" xfId="9214" xr:uid="{00000000-0005-0000-0000-000083220000}"/>
    <cellStyle name="Normal 12 2 3 4 3 2 2 2" xfId="9215" xr:uid="{00000000-0005-0000-0000-000084220000}"/>
    <cellStyle name="Normal 12 2 3 4 3 2 2 2 2" xfId="9216" xr:uid="{00000000-0005-0000-0000-000085220000}"/>
    <cellStyle name="Normal 12 2 3 4 3 2 2 2 3" xfId="9217" xr:uid="{00000000-0005-0000-0000-000086220000}"/>
    <cellStyle name="Normal 12 2 3 4 3 2 2 2 4" xfId="9218" xr:uid="{00000000-0005-0000-0000-000087220000}"/>
    <cellStyle name="Normal 12 2 3 4 3 2 2 2 5" xfId="9219" xr:uid="{00000000-0005-0000-0000-000088220000}"/>
    <cellStyle name="Normal 12 2 3 4 3 2 2 3" xfId="9220" xr:uid="{00000000-0005-0000-0000-000089220000}"/>
    <cellStyle name="Normal 12 2 3 4 3 2 2 4" xfId="9221" xr:uid="{00000000-0005-0000-0000-00008A220000}"/>
    <cellStyle name="Normal 12 2 3 4 3 2 2 5" xfId="9222" xr:uid="{00000000-0005-0000-0000-00008B220000}"/>
    <cellStyle name="Normal 12 2 3 4 3 2 2 6" xfId="9223" xr:uid="{00000000-0005-0000-0000-00008C220000}"/>
    <cellStyle name="Normal 12 2 3 4 3 2 2 7" xfId="9224" xr:uid="{00000000-0005-0000-0000-00008D220000}"/>
    <cellStyle name="Normal 12 2 3 4 3 2 2 8" xfId="9225" xr:uid="{00000000-0005-0000-0000-00008E220000}"/>
    <cellStyle name="Normal 12 2 3 4 3 2 3" xfId="9226" xr:uid="{00000000-0005-0000-0000-00008F220000}"/>
    <cellStyle name="Normal 12 2 3 4 3 2 3 2" xfId="9227" xr:uid="{00000000-0005-0000-0000-000090220000}"/>
    <cellStyle name="Normal 12 2 3 4 3 2 3 2 2" xfId="9228" xr:uid="{00000000-0005-0000-0000-000091220000}"/>
    <cellStyle name="Normal 12 2 3 4 3 2 3 2 3" xfId="9229" xr:uid="{00000000-0005-0000-0000-000092220000}"/>
    <cellStyle name="Normal 12 2 3 4 3 2 3 2 4" xfId="9230" xr:uid="{00000000-0005-0000-0000-000093220000}"/>
    <cellStyle name="Normal 12 2 3 4 3 2 3 2 5" xfId="9231" xr:uid="{00000000-0005-0000-0000-000094220000}"/>
    <cellStyle name="Normal 12 2 3 4 3 2 3 3" xfId="9232" xr:uid="{00000000-0005-0000-0000-000095220000}"/>
    <cellStyle name="Normal 12 2 3 4 3 2 3 4" xfId="9233" xr:uid="{00000000-0005-0000-0000-000096220000}"/>
    <cellStyle name="Normal 12 2 3 4 3 2 3 5" xfId="9234" xr:uid="{00000000-0005-0000-0000-000097220000}"/>
    <cellStyle name="Normal 12 2 3 4 3 2 3 6" xfId="9235" xr:uid="{00000000-0005-0000-0000-000098220000}"/>
    <cellStyle name="Normal 12 2 3 4 3 2 3 7" xfId="9236" xr:uid="{00000000-0005-0000-0000-000099220000}"/>
    <cellStyle name="Normal 12 2 3 4 3 2 3 8" xfId="9237" xr:uid="{00000000-0005-0000-0000-00009A220000}"/>
    <cellStyle name="Normal 12 2 3 4 3 2 4" xfId="9238" xr:uid="{00000000-0005-0000-0000-00009B220000}"/>
    <cellStyle name="Normal 12 2 3 4 3 2 4 2" xfId="9239" xr:uid="{00000000-0005-0000-0000-00009C220000}"/>
    <cellStyle name="Normal 12 2 3 4 3 2 4 3" xfId="9240" xr:uid="{00000000-0005-0000-0000-00009D220000}"/>
    <cellStyle name="Normal 12 2 3 4 3 2 4 4" xfId="9241" xr:uid="{00000000-0005-0000-0000-00009E220000}"/>
    <cellStyle name="Normal 12 2 3 4 3 2 4 5" xfId="9242" xr:uid="{00000000-0005-0000-0000-00009F220000}"/>
    <cellStyle name="Normal 12 2 3 4 3 2 5" xfId="9243" xr:uid="{00000000-0005-0000-0000-0000A0220000}"/>
    <cellStyle name="Normal 12 2 3 4 3 2 6" xfId="9244" xr:uid="{00000000-0005-0000-0000-0000A1220000}"/>
    <cellStyle name="Normal 12 2 3 4 3 2 7" xfId="9245" xr:uid="{00000000-0005-0000-0000-0000A2220000}"/>
    <cellStyle name="Normal 12 2 3 4 3 2 8" xfId="9246" xr:uid="{00000000-0005-0000-0000-0000A3220000}"/>
    <cellStyle name="Normal 12 2 3 4 3 2 9" xfId="9247" xr:uid="{00000000-0005-0000-0000-0000A4220000}"/>
    <cellStyle name="Normal 12 2 3 4 3 3" xfId="9248" xr:uid="{00000000-0005-0000-0000-0000A5220000}"/>
    <cellStyle name="Normal 12 2 3 4 3 3 2" xfId="9249" xr:uid="{00000000-0005-0000-0000-0000A6220000}"/>
    <cellStyle name="Normal 12 2 3 4 3 3 2 2" xfId="9250" xr:uid="{00000000-0005-0000-0000-0000A7220000}"/>
    <cellStyle name="Normal 12 2 3 4 3 3 2 3" xfId="9251" xr:uid="{00000000-0005-0000-0000-0000A8220000}"/>
    <cellStyle name="Normal 12 2 3 4 3 3 2 4" xfId="9252" xr:uid="{00000000-0005-0000-0000-0000A9220000}"/>
    <cellStyle name="Normal 12 2 3 4 3 3 2 5" xfId="9253" xr:uid="{00000000-0005-0000-0000-0000AA220000}"/>
    <cellStyle name="Normal 12 2 3 4 3 3 3" xfId="9254" xr:uid="{00000000-0005-0000-0000-0000AB220000}"/>
    <cellStyle name="Normal 12 2 3 4 3 3 4" xfId="9255" xr:uid="{00000000-0005-0000-0000-0000AC220000}"/>
    <cellStyle name="Normal 12 2 3 4 3 3 5" xfId="9256" xr:uid="{00000000-0005-0000-0000-0000AD220000}"/>
    <cellStyle name="Normal 12 2 3 4 3 3 6" xfId="9257" xr:uid="{00000000-0005-0000-0000-0000AE220000}"/>
    <cellStyle name="Normal 12 2 3 4 3 3 7" xfId="9258" xr:uid="{00000000-0005-0000-0000-0000AF220000}"/>
    <cellStyle name="Normal 12 2 3 4 3 3 8" xfId="9259" xr:uid="{00000000-0005-0000-0000-0000B0220000}"/>
    <cellStyle name="Normal 12 2 3 4 3 4" xfId="9260" xr:uid="{00000000-0005-0000-0000-0000B1220000}"/>
    <cellStyle name="Normal 12 2 3 4 3 4 2" xfId="9261" xr:uid="{00000000-0005-0000-0000-0000B2220000}"/>
    <cellStyle name="Normal 12 2 3 4 3 4 2 2" xfId="9262" xr:uid="{00000000-0005-0000-0000-0000B3220000}"/>
    <cellStyle name="Normal 12 2 3 4 3 4 2 3" xfId="9263" xr:uid="{00000000-0005-0000-0000-0000B4220000}"/>
    <cellStyle name="Normal 12 2 3 4 3 4 2 4" xfId="9264" xr:uid="{00000000-0005-0000-0000-0000B5220000}"/>
    <cellStyle name="Normal 12 2 3 4 3 4 2 5" xfId="9265" xr:uid="{00000000-0005-0000-0000-0000B6220000}"/>
    <cellStyle name="Normal 12 2 3 4 3 4 3" xfId="9266" xr:uid="{00000000-0005-0000-0000-0000B7220000}"/>
    <cellStyle name="Normal 12 2 3 4 3 4 4" xfId="9267" xr:uid="{00000000-0005-0000-0000-0000B8220000}"/>
    <cellStyle name="Normal 12 2 3 4 3 4 5" xfId="9268" xr:uid="{00000000-0005-0000-0000-0000B9220000}"/>
    <cellStyle name="Normal 12 2 3 4 3 4 6" xfId="9269" xr:uid="{00000000-0005-0000-0000-0000BA220000}"/>
    <cellStyle name="Normal 12 2 3 4 3 4 7" xfId="9270" xr:uid="{00000000-0005-0000-0000-0000BB220000}"/>
    <cellStyle name="Normal 12 2 3 4 3 4 8" xfId="9271" xr:uid="{00000000-0005-0000-0000-0000BC220000}"/>
    <cellStyle name="Normal 12 2 3 4 3 5" xfId="9272" xr:uid="{00000000-0005-0000-0000-0000BD220000}"/>
    <cellStyle name="Normal 12 2 3 4 3 5 2" xfId="9273" xr:uid="{00000000-0005-0000-0000-0000BE220000}"/>
    <cellStyle name="Normal 12 2 3 4 3 5 3" xfId="9274" xr:uid="{00000000-0005-0000-0000-0000BF220000}"/>
    <cellStyle name="Normal 12 2 3 4 3 5 4" xfId="9275" xr:uid="{00000000-0005-0000-0000-0000C0220000}"/>
    <cellStyle name="Normal 12 2 3 4 3 5 5" xfId="9276" xr:uid="{00000000-0005-0000-0000-0000C1220000}"/>
    <cellStyle name="Normal 12 2 3 4 3 6" xfId="9277" xr:uid="{00000000-0005-0000-0000-0000C2220000}"/>
    <cellStyle name="Normal 12 2 3 4 3 7" xfId="9278" xr:uid="{00000000-0005-0000-0000-0000C3220000}"/>
    <cellStyle name="Normal 12 2 3 4 3 8" xfId="9279" xr:uid="{00000000-0005-0000-0000-0000C4220000}"/>
    <cellStyle name="Normal 12 2 3 4 3 9" xfId="9280" xr:uid="{00000000-0005-0000-0000-0000C5220000}"/>
    <cellStyle name="Normal 12 2 3 4 4" xfId="9281" xr:uid="{00000000-0005-0000-0000-0000C6220000}"/>
    <cellStyle name="Normal 12 2 3 4 4 10" xfId="9282" xr:uid="{00000000-0005-0000-0000-0000C7220000}"/>
    <cellStyle name="Normal 12 2 3 4 4 2" xfId="9283" xr:uid="{00000000-0005-0000-0000-0000C8220000}"/>
    <cellStyle name="Normal 12 2 3 4 4 2 2" xfId="9284" xr:uid="{00000000-0005-0000-0000-0000C9220000}"/>
    <cellStyle name="Normal 12 2 3 4 4 2 2 2" xfId="9285" xr:uid="{00000000-0005-0000-0000-0000CA220000}"/>
    <cellStyle name="Normal 12 2 3 4 4 2 2 3" xfId="9286" xr:uid="{00000000-0005-0000-0000-0000CB220000}"/>
    <cellStyle name="Normal 12 2 3 4 4 2 2 4" xfId="9287" xr:uid="{00000000-0005-0000-0000-0000CC220000}"/>
    <cellStyle name="Normal 12 2 3 4 4 2 2 5" xfId="9288" xr:uid="{00000000-0005-0000-0000-0000CD220000}"/>
    <cellStyle name="Normal 12 2 3 4 4 2 3" xfId="9289" xr:uid="{00000000-0005-0000-0000-0000CE220000}"/>
    <cellStyle name="Normal 12 2 3 4 4 2 4" xfId="9290" xr:uid="{00000000-0005-0000-0000-0000CF220000}"/>
    <cellStyle name="Normal 12 2 3 4 4 2 5" xfId="9291" xr:uid="{00000000-0005-0000-0000-0000D0220000}"/>
    <cellStyle name="Normal 12 2 3 4 4 2 6" xfId="9292" xr:uid="{00000000-0005-0000-0000-0000D1220000}"/>
    <cellStyle name="Normal 12 2 3 4 4 2 7" xfId="9293" xr:uid="{00000000-0005-0000-0000-0000D2220000}"/>
    <cellStyle name="Normal 12 2 3 4 4 2 8" xfId="9294" xr:uid="{00000000-0005-0000-0000-0000D3220000}"/>
    <cellStyle name="Normal 12 2 3 4 4 3" xfId="9295" xr:uid="{00000000-0005-0000-0000-0000D4220000}"/>
    <cellStyle name="Normal 12 2 3 4 4 3 2" xfId="9296" xr:uid="{00000000-0005-0000-0000-0000D5220000}"/>
    <cellStyle name="Normal 12 2 3 4 4 3 2 2" xfId="9297" xr:uid="{00000000-0005-0000-0000-0000D6220000}"/>
    <cellStyle name="Normal 12 2 3 4 4 3 2 3" xfId="9298" xr:uid="{00000000-0005-0000-0000-0000D7220000}"/>
    <cellStyle name="Normal 12 2 3 4 4 3 2 4" xfId="9299" xr:uid="{00000000-0005-0000-0000-0000D8220000}"/>
    <cellStyle name="Normal 12 2 3 4 4 3 2 5" xfId="9300" xr:uid="{00000000-0005-0000-0000-0000D9220000}"/>
    <cellStyle name="Normal 12 2 3 4 4 3 3" xfId="9301" xr:uid="{00000000-0005-0000-0000-0000DA220000}"/>
    <cellStyle name="Normal 12 2 3 4 4 3 4" xfId="9302" xr:uid="{00000000-0005-0000-0000-0000DB220000}"/>
    <cellStyle name="Normal 12 2 3 4 4 3 5" xfId="9303" xr:uid="{00000000-0005-0000-0000-0000DC220000}"/>
    <cellStyle name="Normal 12 2 3 4 4 3 6" xfId="9304" xr:uid="{00000000-0005-0000-0000-0000DD220000}"/>
    <cellStyle name="Normal 12 2 3 4 4 3 7" xfId="9305" xr:uid="{00000000-0005-0000-0000-0000DE220000}"/>
    <cellStyle name="Normal 12 2 3 4 4 3 8" xfId="9306" xr:uid="{00000000-0005-0000-0000-0000DF220000}"/>
    <cellStyle name="Normal 12 2 3 4 4 4" xfId="9307" xr:uid="{00000000-0005-0000-0000-0000E0220000}"/>
    <cellStyle name="Normal 12 2 3 4 4 4 2" xfId="9308" xr:uid="{00000000-0005-0000-0000-0000E1220000}"/>
    <cellStyle name="Normal 12 2 3 4 4 4 3" xfId="9309" xr:uid="{00000000-0005-0000-0000-0000E2220000}"/>
    <cellStyle name="Normal 12 2 3 4 4 4 4" xfId="9310" xr:uid="{00000000-0005-0000-0000-0000E3220000}"/>
    <cellStyle name="Normal 12 2 3 4 4 4 5" xfId="9311" xr:uid="{00000000-0005-0000-0000-0000E4220000}"/>
    <cellStyle name="Normal 12 2 3 4 4 5" xfId="9312" xr:uid="{00000000-0005-0000-0000-0000E5220000}"/>
    <cellStyle name="Normal 12 2 3 4 4 6" xfId="9313" xr:uid="{00000000-0005-0000-0000-0000E6220000}"/>
    <cellStyle name="Normal 12 2 3 4 4 7" xfId="9314" xr:uid="{00000000-0005-0000-0000-0000E7220000}"/>
    <cellStyle name="Normal 12 2 3 4 4 8" xfId="9315" xr:uid="{00000000-0005-0000-0000-0000E8220000}"/>
    <cellStyle name="Normal 12 2 3 4 4 9" xfId="9316" xr:uid="{00000000-0005-0000-0000-0000E9220000}"/>
    <cellStyle name="Normal 12 2 3 4 5" xfId="9317" xr:uid="{00000000-0005-0000-0000-0000EA220000}"/>
    <cellStyle name="Normal 12 2 3 4 5 2" xfId="9318" xr:uid="{00000000-0005-0000-0000-0000EB220000}"/>
    <cellStyle name="Normal 12 2 3 4 5 2 2" xfId="9319" xr:uid="{00000000-0005-0000-0000-0000EC220000}"/>
    <cellStyle name="Normal 12 2 3 4 5 2 3" xfId="9320" xr:uid="{00000000-0005-0000-0000-0000ED220000}"/>
    <cellStyle name="Normal 12 2 3 4 5 2 4" xfId="9321" xr:uid="{00000000-0005-0000-0000-0000EE220000}"/>
    <cellStyle name="Normal 12 2 3 4 5 2 5" xfId="9322" xr:uid="{00000000-0005-0000-0000-0000EF220000}"/>
    <cellStyle name="Normal 12 2 3 4 5 3" xfId="9323" xr:uid="{00000000-0005-0000-0000-0000F0220000}"/>
    <cellStyle name="Normal 12 2 3 4 5 4" xfId="9324" xr:uid="{00000000-0005-0000-0000-0000F1220000}"/>
    <cellStyle name="Normal 12 2 3 4 5 5" xfId="9325" xr:uid="{00000000-0005-0000-0000-0000F2220000}"/>
    <cellStyle name="Normal 12 2 3 4 5 6" xfId="9326" xr:uid="{00000000-0005-0000-0000-0000F3220000}"/>
    <cellStyle name="Normal 12 2 3 4 5 7" xfId="9327" xr:uid="{00000000-0005-0000-0000-0000F4220000}"/>
    <cellStyle name="Normal 12 2 3 4 5 8" xfId="9328" xr:uid="{00000000-0005-0000-0000-0000F5220000}"/>
    <cellStyle name="Normal 12 2 3 4 6" xfId="9329" xr:uid="{00000000-0005-0000-0000-0000F6220000}"/>
    <cellStyle name="Normal 12 2 3 4 6 2" xfId="9330" xr:uid="{00000000-0005-0000-0000-0000F7220000}"/>
    <cellStyle name="Normal 12 2 3 4 6 2 2" xfId="9331" xr:uid="{00000000-0005-0000-0000-0000F8220000}"/>
    <cellStyle name="Normal 12 2 3 4 6 2 3" xfId="9332" xr:uid="{00000000-0005-0000-0000-0000F9220000}"/>
    <cellStyle name="Normal 12 2 3 4 6 2 4" xfId="9333" xr:uid="{00000000-0005-0000-0000-0000FA220000}"/>
    <cellStyle name="Normal 12 2 3 4 6 2 5" xfId="9334" xr:uid="{00000000-0005-0000-0000-0000FB220000}"/>
    <cellStyle name="Normal 12 2 3 4 6 3" xfId="9335" xr:uid="{00000000-0005-0000-0000-0000FC220000}"/>
    <cellStyle name="Normal 12 2 3 4 6 4" xfId="9336" xr:uid="{00000000-0005-0000-0000-0000FD220000}"/>
    <cellStyle name="Normal 12 2 3 4 6 5" xfId="9337" xr:uid="{00000000-0005-0000-0000-0000FE220000}"/>
    <cellStyle name="Normal 12 2 3 4 6 6" xfId="9338" xr:uid="{00000000-0005-0000-0000-0000FF220000}"/>
    <cellStyle name="Normal 12 2 3 4 6 7" xfId="9339" xr:uid="{00000000-0005-0000-0000-000000230000}"/>
    <cellStyle name="Normal 12 2 3 4 6 8" xfId="9340" xr:uid="{00000000-0005-0000-0000-000001230000}"/>
    <cellStyle name="Normal 12 2 3 4 7" xfId="9341" xr:uid="{00000000-0005-0000-0000-000002230000}"/>
    <cellStyle name="Normal 12 2 3 4 7 2" xfId="9342" xr:uid="{00000000-0005-0000-0000-000003230000}"/>
    <cellStyle name="Normal 12 2 3 4 7 3" xfId="9343" xr:uid="{00000000-0005-0000-0000-000004230000}"/>
    <cellStyle name="Normal 12 2 3 4 7 4" xfId="9344" xr:uid="{00000000-0005-0000-0000-000005230000}"/>
    <cellStyle name="Normal 12 2 3 4 7 5" xfId="9345" xr:uid="{00000000-0005-0000-0000-000006230000}"/>
    <cellStyle name="Normal 12 2 3 4 8" xfId="9346" xr:uid="{00000000-0005-0000-0000-000007230000}"/>
    <cellStyle name="Normal 12 2 3 4 9" xfId="9347" xr:uid="{00000000-0005-0000-0000-000008230000}"/>
    <cellStyle name="Normal 12 2 3 5" xfId="9348" xr:uid="{00000000-0005-0000-0000-000009230000}"/>
    <cellStyle name="Normal 12 2 3 5 10" xfId="9349" xr:uid="{00000000-0005-0000-0000-00000A230000}"/>
    <cellStyle name="Normal 12 2 3 5 11" xfId="9350" xr:uid="{00000000-0005-0000-0000-00000B230000}"/>
    <cellStyle name="Normal 12 2 3 5 12" xfId="9351" xr:uid="{00000000-0005-0000-0000-00000C230000}"/>
    <cellStyle name="Normal 12 2 3 5 13" xfId="9352" xr:uid="{00000000-0005-0000-0000-00000D230000}"/>
    <cellStyle name="Normal 12 2 3 5 2" xfId="9353" xr:uid="{00000000-0005-0000-0000-00000E230000}"/>
    <cellStyle name="Normal 12 2 3 5 2 10" xfId="9354" xr:uid="{00000000-0005-0000-0000-00000F230000}"/>
    <cellStyle name="Normal 12 2 3 5 2 11" xfId="9355" xr:uid="{00000000-0005-0000-0000-000010230000}"/>
    <cellStyle name="Normal 12 2 3 5 2 2" xfId="9356" xr:uid="{00000000-0005-0000-0000-000011230000}"/>
    <cellStyle name="Normal 12 2 3 5 2 2 10" xfId="9357" xr:uid="{00000000-0005-0000-0000-000012230000}"/>
    <cellStyle name="Normal 12 2 3 5 2 2 2" xfId="9358" xr:uid="{00000000-0005-0000-0000-000013230000}"/>
    <cellStyle name="Normal 12 2 3 5 2 2 2 2" xfId="9359" xr:uid="{00000000-0005-0000-0000-000014230000}"/>
    <cellStyle name="Normal 12 2 3 5 2 2 2 2 2" xfId="9360" xr:uid="{00000000-0005-0000-0000-000015230000}"/>
    <cellStyle name="Normal 12 2 3 5 2 2 2 2 3" xfId="9361" xr:uid="{00000000-0005-0000-0000-000016230000}"/>
    <cellStyle name="Normal 12 2 3 5 2 2 2 2 4" xfId="9362" xr:uid="{00000000-0005-0000-0000-000017230000}"/>
    <cellStyle name="Normal 12 2 3 5 2 2 2 2 5" xfId="9363" xr:uid="{00000000-0005-0000-0000-000018230000}"/>
    <cellStyle name="Normal 12 2 3 5 2 2 2 3" xfId="9364" xr:uid="{00000000-0005-0000-0000-000019230000}"/>
    <cellStyle name="Normal 12 2 3 5 2 2 2 4" xfId="9365" xr:uid="{00000000-0005-0000-0000-00001A230000}"/>
    <cellStyle name="Normal 12 2 3 5 2 2 2 5" xfId="9366" xr:uid="{00000000-0005-0000-0000-00001B230000}"/>
    <cellStyle name="Normal 12 2 3 5 2 2 2 6" xfId="9367" xr:uid="{00000000-0005-0000-0000-00001C230000}"/>
    <cellStyle name="Normal 12 2 3 5 2 2 2 7" xfId="9368" xr:uid="{00000000-0005-0000-0000-00001D230000}"/>
    <cellStyle name="Normal 12 2 3 5 2 2 2 8" xfId="9369" xr:uid="{00000000-0005-0000-0000-00001E230000}"/>
    <cellStyle name="Normal 12 2 3 5 2 2 3" xfId="9370" xr:uid="{00000000-0005-0000-0000-00001F230000}"/>
    <cellStyle name="Normal 12 2 3 5 2 2 3 2" xfId="9371" xr:uid="{00000000-0005-0000-0000-000020230000}"/>
    <cellStyle name="Normal 12 2 3 5 2 2 3 2 2" xfId="9372" xr:uid="{00000000-0005-0000-0000-000021230000}"/>
    <cellStyle name="Normal 12 2 3 5 2 2 3 2 3" xfId="9373" xr:uid="{00000000-0005-0000-0000-000022230000}"/>
    <cellStyle name="Normal 12 2 3 5 2 2 3 2 4" xfId="9374" xr:uid="{00000000-0005-0000-0000-000023230000}"/>
    <cellStyle name="Normal 12 2 3 5 2 2 3 2 5" xfId="9375" xr:uid="{00000000-0005-0000-0000-000024230000}"/>
    <cellStyle name="Normal 12 2 3 5 2 2 3 3" xfId="9376" xr:uid="{00000000-0005-0000-0000-000025230000}"/>
    <cellStyle name="Normal 12 2 3 5 2 2 3 4" xfId="9377" xr:uid="{00000000-0005-0000-0000-000026230000}"/>
    <cellStyle name="Normal 12 2 3 5 2 2 3 5" xfId="9378" xr:uid="{00000000-0005-0000-0000-000027230000}"/>
    <cellStyle name="Normal 12 2 3 5 2 2 3 6" xfId="9379" xr:uid="{00000000-0005-0000-0000-000028230000}"/>
    <cellStyle name="Normal 12 2 3 5 2 2 3 7" xfId="9380" xr:uid="{00000000-0005-0000-0000-000029230000}"/>
    <cellStyle name="Normal 12 2 3 5 2 2 3 8" xfId="9381" xr:uid="{00000000-0005-0000-0000-00002A230000}"/>
    <cellStyle name="Normal 12 2 3 5 2 2 4" xfId="9382" xr:uid="{00000000-0005-0000-0000-00002B230000}"/>
    <cellStyle name="Normal 12 2 3 5 2 2 4 2" xfId="9383" xr:uid="{00000000-0005-0000-0000-00002C230000}"/>
    <cellStyle name="Normal 12 2 3 5 2 2 4 3" xfId="9384" xr:uid="{00000000-0005-0000-0000-00002D230000}"/>
    <cellStyle name="Normal 12 2 3 5 2 2 4 4" xfId="9385" xr:uid="{00000000-0005-0000-0000-00002E230000}"/>
    <cellStyle name="Normal 12 2 3 5 2 2 4 5" xfId="9386" xr:uid="{00000000-0005-0000-0000-00002F230000}"/>
    <cellStyle name="Normal 12 2 3 5 2 2 5" xfId="9387" xr:uid="{00000000-0005-0000-0000-000030230000}"/>
    <cellStyle name="Normal 12 2 3 5 2 2 6" xfId="9388" xr:uid="{00000000-0005-0000-0000-000031230000}"/>
    <cellStyle name="Normal 12 2 3 5 2 2 7" xfId="9389" xr:uid="{00000000-0005-0000-0000-000032230000}"/>
    <cellStyle name="Normal 12 2 3 5 2 2 8" xfId="9390" xr:uid="{00000000-0005-0000-0000-000033230000}"/>
    <cellStyle name="Normal 12 2 3 5 2 2 9" xfId="9391" xr:uid="{00000000-0005-0000-0000-000034230000}"/>
    <cellStyle name="Normal 12 2 3 5 2 3" xfId="9392" xr:uid="{00000000-0005-0000-0000-000035230000}"/>
    <cellStyle name="Normal 12 2 3 5 2 3 2" xfId="9393" xr:uid="{00000000-0005-0000-0000-000036230000}"/>
    <cellStyle name="Normal 12 2 3 5 2 3 2 2" xfId="9394" xr:uid="{00000000-0005-0000-0000-000037230000}"/>
    <cellStyle name="Normal 12 2 3 5 2 3 2 3" xfId="9395" xr:uid="{00000000-0005-0000-0000-000038230000}"/>
    <cellStyle name="Normal 12 2 3 5 2 3 2 4" xfId="9396" xr:uid="{00000000-0005-0000-0000-000039230000}"/>
    <cellStyle name="Normal 12 2 3 5 2 3 2 5" xfId="9397" xr:uid="{00000000-0005-0000-0000-00003A230000}"/>
    <cellStyle name="Normal 12 2 3 5 2 3 3" xfId="9398" xr:uid="{00000000-0005-0000-0000-00003B230000}"/>
    <cellStyle name="Normal 12 2 3 5 2 3 4" xfId="9399" xr:uid="{00000000-0005-0000-0000-00003C230000}"/>
    <cellStyle name="Normal 12 2 3 5 2 3 5" xfId="9400" xr:uid="{00000000-0005-0000-0000-00003D230000}"/>
    <cellStyle name="Normal 12 2 3 5 2 3 6" xfId="9401" xr:uid="{00000000-0005-0000-0000-00003E230000}"/>
    <cellStyle name="Normal 12 2 3 5 2 3 7" xfId="9402" xr:uid="{00000000-0005-0000-0000-00003F230000}"/>
    <cellStyle name="Normal 12 2 3 5 2 3 8" xfId="9403" xr:uid="{00000000-0005-0000-0000-000040230000}"/>
    <cellStyle name="Normal 12 2 3 5 2 4" xfId="9404" xr:uid="{00000000-0005-0000-0000-000041230000}"/>
    <cellStyle name="Normal 12 2 3 5 2 4 2" xfId="9405" xr:uid="{00000000-0005-0000-0000-000042230000}"/>
    <cellStyle name="Normal 12 2 3 5 2 4 2 2" xfId="9406" xr:uid="{00000000-0005-0000-0000-000043230000}"/>
    <cellStyle name="Normal 12 2 3 5 2 4 2 3" xfId="9407" xr:uid="{00000000-0005-0000-0000-000044230000}"/>
    <cellStyle name="Normal 12 2 3 5 2 4 2 4" xfId="9408" xr:uid="{00000000-0005-0000-0000-000045230000}"/>
    <cellStyle name="Normal 12 2 3 5 2 4 2 5" xfId="9409" xr:uid="{00000000-0005-0000-0000-000046230000}"/>
    <cellStyle name="Normal 12 2 3 5 2 4 3" xfId="9410" xr:uid="{00000000-0005-0000-0000-000047230000}"/>
    <cellStyle name="Normal 12 2 3 5 2 4 4" xfId="9411" xr:uid="{00000000-0005-0000-0000-000048230000}"/>
    <cellStyle name="Normal 12 2 3 5 2 4 5" xfId="9412" xr:uid="{00000000-0005-0000-0000-000049230000}"/>
    <cellStyle name="Normal 12 2 3 5 2 4 6" xfId="9413" xr:uid="{00000000-0005-0000-0000-00004A230000}"/>
    <cellStyle name="Normal 12 2 3 5 2 4 7" xfId="9414" xr:uid="{00000000-0005-0000-0000-00004B230000}"/>
    <cellStyle name="Normal 12 2 3 5 2 4 8" xfId="9415" xr:uid="{00000000-0005-0000-0000-00004C230000}"/>
    <cellStyle name="Normal 12 2 3 5 2 5" xfId="9416" xr:uid="{00000000-0005-0000-0000-00004D230000}"/>
    <cellStyle name="Normal 12 2 3 5 2 5 2" xfId="9417" xr:uid="{00000000-0005-0000-0000-00004E230000}"/>
    <cellStyle name="Normal 12 2 3 5 2 5 3" xfId="9418" xr:uid="{00000000-0005-0000-0000-00004F230000}"/>
    <cellStyle name="Normal 12 2 3 5 2 5 4" xfId="9419" xr:uid="{00000000-0005-0000-0000-000050230000}"/>
    <cellStyle name="Normal 12 2 3 5 2 5 5" xfId="9420" xr:uid="{00000000-0005-0000-0000-000051230000}"/>
    <cellStyle name="Normal 12 2 3 5 2 6" xfId="9421" xr:uid="{00000000-0005-0000-0000-000052230000}"/>
    <cellStyle name="Normal 12 2 3 5 2 7" xfId="9422" xr:uid="{00000000-0005-0000-0000-000053230000}"/>
    <cellStyle name="Normal 12 2 3 5 2 8" xfId="9423" xr:uid="{00000000-0005-0000-0000-000054230000}"/>
    <cellStyle name="Normal 12 2 3 5 2 9" xfId="9424" xr:uid="{00000000-0005-0000-0000-000055230000}"/>
    <cellStyle name="Normal 12 2 3 5 3" xfId="9425" xr:uid="{00000000-0005-0000-0000-000056230000}"/>
    <cellStyle name="Normal 12 2 3 5 3 10" xfId="9426" xr:uid="{00000000-0005-0000-0000-000057230000}"/>
    <cellStyle name="Normal 12 2 3 5 3 11" xfId="9427" xr:uid="{00000000-0005-0000-0000-000058230000}"/>
    <cellStyle name="Normal 12 2 3 5 3 2" xfId="9428" xr:uid="{00000000-0005-0000-0000-000059230000}"/>
    <cellStyle name="Normal 12 2 3 5 3 2 10" xfId="9429" xr:uid="{00000000-0005-0000-0000-00005A230000}"/>
    <cellStyle name="Normal 12 2 3 5 3 2 2" xfId="9430" xr:uid="{00000000-0005-0000-0000-00005B230000}"/>
    <cellStyle name="Normal 12 2 3 5 3 2 2 2" xfId="9431" xr:uid="{00000000-0005-0000-0000-00005C230000}"/>
    <cellStyle name="Normal 12 2 3 5 3 2 2 2 2" xfId="9432" xr:uid="{00000000-0005-0000-0000-00005D230000}"/>
    <cellStyle name="Normal 12 2 3 5 3 2 2 2 3" xfId="9433" xr:uid="{00000000-0005-0000-0000-00005E230000}"/>
    <cellStyle name="Normal 12 2 3 5 3 2 2 2 4" xfId="9434" xr:uid="{00000000-0005-0000-0000-00005F230000}"/>
    <cellStyle name="Normal 12 2 3 5 3 2 2 2 5" xfId="9435" xr:uid="{00000000-0005-0000-0000-000060230000}"/>
    <cellStyle name="Normal 12 2 3 5 3 2 2 3" xfId="9436" xr:uid="{00000000-0005-0000-0000-000061230000}"/>
    <cellStyle name="Normal 12 2 3 5 3 2 2 4" xfId="9437" xr:uid="{00000000-0005-0000-0000-000062230000}"/>
    <cellStyle name="Normal 12 2 3 5 3 2 2 5" xfId="9438" xr:uid="{00000000-0005-0000-0000-000063230000}"/>
    <cellStyle name="Normal 12 2 3 5 3 2 2 6" xfId="9439" xr:uid="{00000000-0005-0000-0000-000064230000}"/>
    <cellStyle name="Normal 12 2 3 5 3 2 2 7" xfId="9440" xr:uid="{00000000-0005-0000-0000-000065230000}"/>
    <cellStyle name="Normal 12 2 3 5 3 2 2 8" xfId="9441" xr:uid="{00000000-0005-0000-0000-000066230000}"/>
    <cellStyle name="Normal 12 2 3 5 3 2 3" xfId="9442" xr:uid="{00000000-0005-0000-0000-000067230000}"/>
    <cellStyle name="Normal 12 2 3 5 3 2 3 2" xfId="9443" xr:uid="{00000000-0005-0000-0000-000068230000}"/>
    <cellStyle name="Normal 12 2 3 5 3 2 3 2 2" xfId="9444" xr:uid="{00000000-0005-0000-0000-000069230000}"/>
    <cellStyle name="Normal 12 2 3 5 3 2 3 2 3" xfId="9445" xr:uid="{00000000-0005-0000-0000-00006A230000}"/>
    <cellStyle name="Normal 12 2 3 5 3 2 3 2 4" xfId="9446" xr:uid="{00000000-0005-0000-0000-00006B230000}"/>
    <cellStyle name="Normal 12 2 3 5 3 2 3 2 5" xfId="9447" xr:uid="{00000000-0005-0000-0000-00006C230000}"/>
    <cellStyle name="Normal 12 2 3 5 3 2 3 3" xfId="9448" xr:uid="{00000000-0005-0000-0000-00006D230000}"/>
    <cellStyle name="Normal 12 2 3 5 3 2 3 4" xfId="9449" xr:uid="{00000000-0005-0000-0000-00006E230000}"/>
    <cellStyle name="Normal 12 2 3 5 3 2 3 5" xfId="9450" xr:uid="{00000000-0005-0000-0000-00006F230000}"/>
    <cellStyle name="Normal 12 2 3 5 3 2 3 6" xfId="9451" xr:uid="{00000000-0005-0000-0000-000070230000}"/>
    <cellStyle name="Normal 12 2 3 5 3 2 3 7" xfId="9452" xr:uid="{00000000-0005-0000-0000-000071230000}"/>
    <cellStyle name="Normal 12 2 3 5 3 2 3 8" xfId="9453" xr:uid="{00000000-0005-0000-0000-000072230000}"/>
    <cellStyle name="Normal 12 2 3 5 3 2 4" xfId="9454" xr:uid="{00000000-0005-0000-0000-000073230000}"/>
    <cellStyle name="Normal 12 2 3 5 3 2 4 2" xfId="9455" xr:uid="{00000000-0005-0000-0000-000074230000}"/>
    <cellStyle name="Normal 12 2 3 5 3 2 4 3" xfId="9456" xr:uid="{00000000-0005-0000-0000-000075230000}"/>
    <cellStyle name="Normal 12 2 3 5 3 2 4 4" xfId="9457" xr:uid="{00000000-0005-0000-0000-000076230000}"/>
    <cellStyle name="Normal 12 2 3 5 3 2 4 5" xfId="9458" xr:uid="{00000000-0005-0000-0000-000077230000}"/>
    <cellStyle name="Normal 12 2 3 5 3 2 5" xfId="9459" xr:uid="{00000000-0005-0000-0000-000078230000}"/>
    <cellStyle name="Normal 12 2 3 5 3 2 6" xfId="9460" xr:uid="{00000000-0005-0000-0000-000079230000}"/>
    <cellStyle name="Normal 12 2 3 5 3 2 7" xfId="9461" xr:uid="{00000000-0005-0000-0000-00007A230000}"/>
    <cellStyle name="Normal 12 2 3 5 3 2 8" xfId="9462" xr:uid="{00000000-0005-0000-0000-00007B230000}"/>
    <cellStyle name="Normal 12 2 3 5 3 2 9" xfId="9463" xr:uid="{00000000-0005-0000-0000-00007C230000}"/>
    <cellStyle name="Normal 12 2 3 5 3 3" xfId="9464" xr:uid="{00000000-0005-0000-0000-00007D230000}"/>
    <cellStyle name="Normal 12 2 3 5 3 3 2" xfId="9465" xr:uid="{00000000-0005-0000-0000-00007E230000}"/>
    <cellStyle name="Normal 12 2 3 5 3 3 2 2" xfId="9466" xr:uid="{00000000-0005-0000-0000-00007F230000}"/>
    <cellStyle name="Normal 12 2 3 5 3 3 2 3" xfId="9467" xr:uid="{00000000-0005-0000-0000-000080230000}"/>
    <cellStyle name="Normal 12 2 3 5 3 3 2 4" xfId="9468" xr:uid="{00000000-0005-0000-0000-000081230000}"/>
    <cellStyle name="Normal 12 2 3 5 3 3 2 5" xfId="9469" xr:uid="{00000000-0005-0000-0000-000082230000}"/>
    <cellStyle name="Normal 12 2 3 5 3 3 3" xfId="9470" xr:uid="{00000000-0005-0000-0000-000083230000}"/>
    <cellStyle name="Normal 12 2 3 5 3 3 4" xfId="9471" xr:uid="{00000000-0005-0000-0000-000084230000}"/>
    <cellStyle name="Normal 12 2 3 5 3 3 5" xfId="9472" xr:uid="{00000000-0005-0000-0000-000085230000}"/>
    <cellStyle name="Normal 12 2 3 5 3 3 6" xfId="9473" xr:uid="{00000000-0005-0000-0000-000086230000}"/>
    <cellStyle name="Normal 12 2 3 5 3 3 7" xfId="9474" xr:uid="{00000000-0005-0000-0000-000087230000}"/>
    <cellStyle name="Normal 12 2 3 5 3 3 8" xfId="9475" xr:uid="{00000000-0005-0000-0000-000088230000}"/>
    <cellStyle name="Normal 12 2 3 5 3 4" xfId="9476" xr:uid="{00000000-0005-0000-0000-000089230000}"/>
    <cellStyle name="Normal 12 2 3 5 3 4 2" xfId="9477" xr:uid="{00000000-0005-0000-0000-00008A230000}"/>
    <cellStyle name="Normal 12 2 3 5 3 4 2 2" xfId="9478" xr:uid="{00000000-0005-0000-0000-00008B230000}"/>
    <cellStyle name="Normal 12 2 3 5 3 4 2 3" xfId="9479" xr:uid="{00000000-0005-0000-0000-00008C230000}"/>
    <cellStyle name="Normal 12 2 3 5 3 4 2 4" xfId="9480" xr:uid="{00000000-0005-0000-0000-00008D230000}"/>
    <cellStyle name="Normal 12 2 3 5 3 4 2 5" xfId="9481" xr:uid="{00000000-0005-0000-0000-00008E230000}"/>
    <cellStyle name="Normal 12 2 3 5 3 4 3" xfId="9482" xr:uid="{00000000-0005-0000-0000-00008F230000}"/>
    <cellStyle name="Normal 12 2 3 5 3 4 4" xfId="9483" xr:uid="{00000000-0005-0000-0000-000090230000}"/>
    <cellStyle name="Normal 12 2 3 5 3 4 5" xfId="9484" xr:uid="{00000000-0005-0000-0000-000091230000}"/>
    <cellStyle name="Normal 12 2 3 5 3 4 6" xfId="9485" xr:uid="{00000000-0005-0000-0000-000092230000}"/>
    <cellStyle name="Normal 12 2 3 5 3 4 7" xfId="9486" xr:uid="{00000000-0005-0000-0000-000093230000}"/>
    <cellStyle name="Normal 12 2 3 5 3 4 8" xfId="9487" xr:uid="{00000000-0005-0000-0000-000094230000}"/>
    <cellStyle name="Normal 12 2 3 5 3 5" xfId="9488" xr:uid="{00000000-0005-0000-0000-000095230000}"/>
    <cellStyle name="Normal 12 2 3 5 3 5 2" xfId="9489" xr:uid="{00000000-0005-0000-0000-000096230000}"/>
    <cellStyle name="Normal 12 2 3 5 3 5 3" xfId="9490" xr:uid="{00000000-0005-0000-0000-000097230000}"/>
    <cellStyle name="Normal 12 2 3 5 3 5 4" xfId="9491" xr:uid="{00000000-0005-0000-0000-000098230000}"/>
    <cellStyle name="Normal 12 2 3 5 3 5 5" xfId="9492" xr:uid="{00000000-0005-0000-0000-000099230000}"/>
    <cellStyle name="Normal 12 2 3 5 3 6" xfId="9493" xr:uid="{00000000-0005-0000-0000-00009A230000}"/>
    <cellStyle name="Normal 12 2 3 5 3 7" xfId="9494" xr:uid="{00000000-0005-0000-0000-00009B230000}"/>
    <cellStyle name="Normal 12 2 3 5 3 8" xfId="9495" xr:uid="{00000000-0005-0000-0000-00009C230000}"/>
    <cellStyle name="Normal 12 2 3 5 3 9" xfId="9496" xr:uid="{00000000-0005-0000-0000-00009D230000}"/>
    <cellStyle name="Normal 12 2 3 5 4" xfId="9497" xr:uid="{00000000-0005-0000-0000-00009E230000}"/>
    <cellStyle name="Normal 12 2 3 5 4 10" xfId="9498" xr:uid="{00000000-0005-0000-0000-00009F230000}"/>
    <cellStyle name="Normal 12 2 3 5 4 2" xfId="9499" xr:uid="{00000000-0005-0000-0000-0000A0230000}"/>
    <cellStyle name="Normal 12 2 3 5 4 2 2" xfId="9500" xr:uid="{00000000-0005-0000-0000-0000A1230000}"/>
    <cellStyle name="Normal 12 2 3 5 4 2 2 2" xfId="9501" xr:uid="{00000000-0005-0000-0000-0000A2230000}"/>
    <cellStyle name="Normal 12 2 3 5 4 2 2 3" xfId="9502" xr:uid="{00000000-0005-0000-0000-0000A3230000}"/>
    <cellStyle name="Normal 12 2 3 5 4 2 2 4" xfId="9503" xr:uid="{00000000-0005-0000-0000-0000A4230000}"/>
    <cellStyle name="Normal 12 2 3 5 4 2 2 5" xfId="9504" xr:uid="{00000000-0005-0000-0000-0000A5230000}"/>
    <cellStyle name="Normal 12 2 3 5 4 2 3" xfId="9505" xr:uid="{00000000-0005-0000-0000-0000A6230000}"/>
    <cellStyle name="Normal 12 2 3 5 4 2 4" xfId="9506" xr:uid="{00000000-0005-0000-0000-0000A7230000}"/>
    <cellStyle name="Normal 12 2 3 5 4 2 5" xfId="9507" xr:uid="{00000000-0005-0000-0000-0000A8230000}"/>
    <cellStyle name="Normal 12 2 3 5 4 2 6" xfId="9508" xr:uid="{00000000-0005-0000-0000-0000A9230000}"/>
    <cellStyle name="Normal 12 2 3 5 4 2 7" xfId="9509" xr:uid="{00000000-0005-0000-0000-0000AA230000}"/>
    <cellStyle name="Normal 12 2 3 5 4 2 8" xfId="9510" xr:uid="{00000000-0005-0000-0000-0000AB230000}"/>
    <cellStyle name="Normal 12 2 3 5 4 3" xfId="9511" xr:uid="{00000000-0005-0000-0000-0000AC230000}"/>
    <cellStyle name="Normal 12 2 3 5 4 3 2" xfId="9512" xr:uid="{00000000-0005-0000-0000-0000AD230000}"/>
    <cellStyle name="Normal 12 2 3 5 4 3 2 2" xfId="9513" xr:uid="{00000000-0005-0000-0000-0000AE230000}"/>
    <cellStyle name="Normal 12 2 3 5 4 3 2 3" xfId="9514" xr:uid="{00000000-0005-0000-0000-0000AF230000}"/>
    <cellStyle name="Normal 12 2 3 5 4 3 2 4" xfId="9515" xr:uid="{00000000-0005-0000-0000-0000B0230000}"/>
    <cellStyle name="Normal 12 2 3 5 4 3 2 5" xfId="9516" xr:uid="{00000000-0005-0000-0000-0000B1230000}"/>
    <cellStyle name="Normal 12 2 3 5 4 3 3" xfId="9517" xr:uid="{00000000-0005-0000-0000-0000B2230000}"/>
    <cellStyle name="Normal 12 2 3 5 4 3 4" xfId="9518" xr:uid="{00000000-0005-0000-0000-0000B3230000}"/>
    <cellStyle name="Normal 12 2 3 5 4 3 5" xfId="9519" xr:uid="{00000000-0005-0000-0000-0000B4230000}"/>
    <cellStyle name="Normal 12 2 3 5 4 3 6" xfId="9520" xr:uid="{00000000-0005-0000-0000-0000B5230000}"/>
    <cellStyle name="Normal 12 2 3 5 4 3 7" xfId="9521" xr:uid="{00000000-0005-0000-0000-0000B6230000}"/>
    <cellStyle name="Normal 12 2 3 5 4 3 8" xfId="9522" xr:uid="{00000000-0005-0000-0000-0000B7230000}"/>
    <cellStyle name="Normal 12 2 3 5 4 4" xfId="9523" xr:uid="{00000000-0005-0000-0000-0000B8230000}"/>
    <cellStyle name="Normal 12 2 3 5 4 4 2" xfId="9524" xr:uid="{00000000-0005-0000-0000-0000B9230000}"/>
    <cellStyle name="Normal 12 2 3 5 4 4 3" xfId="9525" xr:uid="{00000000-0005-0000-0000-0000BA230000}"/>
    <cellStyle name="Normal 12 2 3 5 4 4 4" xfId="9526" xr:uid="{00000000-0005-0000-0000-0000BB230000}"/>
    <cellStyle name="Normal 12 2 3 5 4 4 5" xfId="9527" xr:uid="{00000000-0005-0000-0000-0000BC230000}"/>
    <cellStyle name="Normal 12 2 3 5 4 5" xfId="9528" xr:uid="{00000000-0005-0000-0000-0000BD230000}"/>
    <cellStyle name="Normal 12 2 3 5 4 6" xfId="9529" xr:uid="{00000000-0005-0000-0000-0000BE230000}"/>
    <cellStyle name="Normal 12 2 3 5 4 7" xfId="9530" xr:uid="{00000000-0005-0000-0000-0000BF230000}"/>
    <cellStyle name="Normal 12 2 3 5 4 8" xfId="9531" xr:uid="{00000000-0005-0000-0000-0000C0230000}"/>
    <cellStyle name="Normal 12 2 3 5 4 9" xfId="9532" xr:uid="{00000000-0005-0000-0000-0000C1230000}"/>
    <cellStyle name="Normal 12 2 3 5 5" xfId="9533" xr:uid="{00000000-0005-0000-0000-0000C2230000}"/>
    <cellStyle name="Normal 12 2 3 5 5 2" xfId="9534" xr:uid="{00000000-0005-0000-0000-0000C3230000}"/>
    <cellStyle name="Normal 12 2 3 5 5 2 2" xfId="9535" xr:uid="{00000000-0005-0000-0000-0000C4230000}"/>
    <cellStyle name="Normal 12 2 3 5 5 2 3" xfId="9536" xr:uid="{00000000-0005-0000-0000-0000C5230000}"/>
    <cellStyle name="Normal 12 2 3 5 5 2 4" xfId="9537" xr:uid="{00000000-0005-0000-0000-0000C6230000}"/>
    <cellStyle name="Normal 12 2 3 5 5 2 5" xfId="9538" xr:uid="{00000000-0005-0000-0000-0000C7230000}"/>
    <cellStyle name="Normal 12 2 3 5 5 3" xfId="9539" xr:uid="{00000000-0005-0000-0000-0000C8230000}"/>
    <cellStyle name="Normal 12 2 3 5 5 4" xfId="9540" xr:uid="{00000000-0005-0000-0000-0000C9230000}"/>
    <cellStyle name="Normal 12 2 3 5 5 5" xfId="9541" xr:uid="{00000000-0005-0000-0000-0000CA230000}"/>
    <cellStyle name="Normal 12 2 3 5 5 6" xfId="9542" xr:uid="{00000000-0005-0000-0000-0000CB230000}"/>
    <cellStyle name="Normal 12 2 3 5 5 7" xfId="9543" xr:uid="{00000000-0005-0000-0000-0000CC230000}"/>
    <cellStyle name="Normal 12 2 3 5 5 8" xfId="9544" xr:uid="{00000000-0005-0000-0000-0000CD230000}"/>
    <cellStyle name="Normal 12 2 3 5 6" xfId="9545" xr:uid="{00000000-0005-0000-0000-0000CE230000}"/>
    <cellStyle name="Normal 12 2 3 5 6 2" xfId="9546" xr:uid="{00000000-0005-0000-0000-0000CF230000}"/>
    <cellStyle name="Normal 12 2 3 5 6 2 2" xfId="9547" xr:uid="{00000000-0005-0000-0000-0000D0230000}"/>
    <cellStyle name="Normal 12 2 3 5 6 2 3" xfId="9548" xr:uid="{00000000-0005-0000-0000-0000D1230000}"/>
    <cellStyle name="Normal 12 2 3 5 6 2 4" xfId="9549" xr:uid="{00000000-0005-0000-0000-0000D2230000}"/>
    <cellStyle name="Normal 12 2 3 5 6 2 5" xfId="9550" xr:uid="{00000000-0005-0000-0000-0000D3230000}"/>
    <cellStyle name="Normal 12 2 3 5 6 3" xfId="9551" xr:uid="{00000000-0005-0000-0000-0000D4230000}"/>
    <cellStyle name="Normal 12 2 3 5 6 4" xfId="9552" xr:uid="{00000000-0005-0000-0000-0000D5230000}"/>
    <cellStyle name="Normal 12 2 3 5 6 5" xfId="9553" xr:uid="{00000000-0005-0000-0000-0000D6230000}"/>
    <cellStyle name="Normal 12 2 3 5 6 6" xfId="9554" xr:uid="{00000000-0005-0000-0000-0000D7230000}"/>
    <cellStyle name="Normal 12 2 3 5 6 7" xfId="9555" xr:uid="{00000000-0005-0000-0000-0000D8230000}"/>
    <cellStyle name="Normal 12 2 3 5 6 8" xfId="9556" xr:uid="{00000000-0005-0000-0000-0000D9230000}"/>
    <cellStyle name="Normal 12 2 3 5 7" xfId="9557" xr:uid="{00000000-0005-0000-0000-0000DA230000}"/>
    <cellStyle name="Normal 12 2 3 5 7 2" xfId="9558" xr:uid="{00000000-0005-0000-0000-0000DB230000}"/>
    <cellStyle name="Normal 12 2 3 5 7 3" xfId="9559" xr:uid="{00000000-0005-0000-0000-0000DC230000}"/>
    <cellStyle name="Normal 12 2 3 5 7 4" xfId="9560" xr:uid="{00000000-0005-0000-0000-0000DD230000}"/>
    <cellStyle name="Normal 12 2 3 5 7 5" xfId="9561" xr:uid="{00000000-0005-0000-0000-0000DE230000}"/>
    <cellStyle name="Normal 12 2 3 5 8" xfId="9562" xr:uid="{00000000-0005-0000-0000-0000DF230000}"/>
    <cellStyle name="Normal 12 2 3 5 9" xfId="9563" xr:uid="{00000000-0005-0000-0000-0000E0230000}"/>
    <cellStyle name="Normal 12 2 3 6" xfId="9564" xr:uid="{00000000-0005-0000-0000-0000E1230000}"/>
    <cellStyle name="Normal 12 2 3 6 10" xfId="9565" xr:uid="{00000000-0005-0000-0000-0000E2230000}"/>
    <cellStyle name="Normal 12 2 3 6 11" xfId="9566" xr:uid="{00000000-0005-0000-0000-0000E3230000}"/>
    <cellStyle name="Normal 12 2 3 6 12" xfId="9567" xr:uid="{00000000-0005-0000-0000-0000E4230000}"/>
    <cellStyle name="Normal 12 2 3 6 13" xfId="9568" xr:uid="{00000000-0005-0000-0000-0000E5230000}"/>
    <cellStyle name="Normal 12 2 3 6 2" xfId="9569" xr:uid="{00000000-0005-0000-0000-0000E6230000}"/>
    <cellStyle name="Normal 12 2 3 6 2 10" xfId="9570" xr:uid="{00000000-0005-0000-0000-0000E7230000}"/>
    <cellStyle name="Normal 12 2 3 6 2 11" xfId="9571" xr:uid="{00000000-0005-0000-0000-0000E8230000}"/>
    <cellStyle name="Normal 12 2 3 6 2 2" xfId="9572" xr:uid="{00000000-0005-0000-0000-0000E9230000}"/>
    <cellStyle name="Normal 12 2 3 6 2 2 10" xfId="9573" xr:uid="{00000000-0005-0000-0000-0000EA230000}"/>
    <cellStyle name="Normal 12 2 3 6 2 2 2" xfId="9574" xr:uid="{00000000-0005-0000-0000-0000EB230000}"/>
    <cellStyle name="Normal 12 2 3 6 2 2 2 2" xfId="9575" xr:uid="{00000000-0005-0000-0000-0000EC230000}"/>
    <cellStyle name="Normal 12 2 3 6 2 2 2 2 2" xfId="9576" xr:uid="{00000000-0005-0000-0000-0000ED230000}"/>
    <cellStyle name="Normal 12 2 3 6 2 2 2 2 3" xfId="9577" xr:uid="{00000000-0005-0000-0000-0000EE230000}"/>
    <cellStyle name="Normal 12 2 3 6 2 2 2 2 4" xfId="9578" xr:uid="{00000000-0005-0000-0000-0000EF230000}"/>
    <cellStyle name="Normal 12 2 3 6 2 2 2 2 5" xfId="9579" xr:uid="{00000000-0005-0000-0000-0000F0230000}"/>
    <cellStyle name="Normal 12 2 3 6 2 2 2 3" xfId="9580" xr:uid="{00000000-0005-0000-0000-0000F1230000}"/>
    <cellStyle name="Normal 12 2 3 6 2 2 2 4" xfId="9581" xr:uid="{00000000-0005-0000-0000-0000F2230000}"/>
    <cellStyle name="Normal 12 2 3 6 2 2 2 5" xfId="9582" xr:uid="{00000000-0005-0000-0000-0000F3230000}"/>
    <cellStyle name="Normal 12 2 3 6 2 2 2 6" xfId="9583" xr:uid="{00000000-0005-0000-0000-0000F4230000}"/>
    <cellStyle name="Normal 12 2 3 6 2 2 2 7" xfId="9584" xr:uid="{00000000-0005-0000-0000-0000F5230000}"/>
    <cellStyle name="Normal 12 2 3 6 2 2 2 8" xfId="9585" xr:uid="{00000000-0005-0000-0000-0000F6230000}"/>
    <cellStyle name="Normal 12 2 3 6 2 2 3" xfId="9586" xr:uid="{00000000-0005-0000-0000-0000F7230000}"/>
    <cellStyle name="Normal 12 2 3 6 2 2 3 2" xfId="9587" xr:uid="{00000000-0005-0000-0000-0000F8230000}"/>
    <cellStyle name="Normal 12 2 3 6 2 2 3 2 2" xfId="9588" xr:uid="{00000000-0005-0000-0000-0000F9230000}"/>
    <cellStyle name="Normal 12 2 3 6 2 2 3 2 3" xfId="9589" xr:uid="{00000000-0005-0000-0000-0000FA230000}"/>
    <cellStyle name="Normal 12 2 3 6 2 2 3 2 4" xfId="9590" xr:uid="{00000000-0005-0000-0000-0000FB230000}"/>
    <cellStyle name="Normal 12 2 3 6 2 2 3 2 5" xfId="9591" xr:uid="{00000000-0005-0000-0000-0000FC230000}"/>
    <cellStyle name="Normal 12 2 3 6 2 2 3 3" xfId="9592" xr:uid="{00000000-0005-0000-0000-0000FD230000}"/>
    <cellStyle name="Normal 12 2 3 6 2 2 3 4" xfId="9593" xr:uid="{00000000-0005-0000-0000-0000FE230000}"/>
    <cellStyle name="Normal 12 2 3 6 2 2 3 5" xfId="9594" xr:uid="{00000000-0005-0000-0000-0000FF230000}"/>
    <cellStyle name="Normal 12 2 3 6 2 2 3 6" xfId="9595" xr:uid="{00000000-0005-0000-0000-000000240000}"/>
    <cellStyle name="Normal 12 2 3 6 2 2 3 7" xfId="9596" xr:uid="{00000000-0005-0000-0000-000001240000}"/>
    <cellStyle name="Normal 12 2 3 6 2 2 3 8" xfId="9597" xr:uid="{00000000-0005-0000-0000-000002240000}"/>
    <cellStyle name="Normal 12 2 3 6 2 2 4" xfId="9598" xr:uid="{00000000-0005-0000-0000-000003240000}"/>
    <cellStyle name="Normal 12 2 3 6 2 2 4 2" xfId="9599" xr:uid="{00000000-0005-0000-0000-000004240000}"/>
    <cellStyle name="Normal 12 2 3 6 2 2 4 3" xfId="9600" xr:uid="{00000000-0005-0000-0000-000005240000}"/>
    <cellStyle name="Normal 12 2 3 6 2 2 4 4" xfId="9601" xr:uid="{00000000-0005-0000-0000-000006240000}"/>
    <cellStyle name="Normal 12 2 3 6 2 2 4 5" xfId="9602" xr:uid="{00000000-0005-0000-0000-000007240000}"/>
    <cellStyle name="Normal 12 2 3 6 2 2 5" xfId="9603" xr:uid="{00000000-0005-0000-0000-000008240000}"/>
    <cellStyle name="Normal 12 2 3 6 2 2 6" xfId="9604" xr:uid="{00000000-0005-0000-0000-000009240000}"/>
    <cellStyle name="Normal 12 2 3 6 2 2 7" xfId="9605" xr:uid="{00000000-0005-0000-0000-00000A240000}"/>
    <cellStyle name="Normal 12 2 3 6 2 2 8" xfId="9606" xr:uid="{00000000-0005-0000-0000-00000B240000}"/>
    <cellStyle name="Normal 12 2 3 6 2 2 9" xfId="9607" xr:uid="{00000000-0005-0000-0000-00000C240000}"/>
    <cellStyle name="Normal 12 2 3 6 2 3" xfId="9608" xr:uid="{00000000-0005-0000-0000-00000D240000}"/>
    <cellStyle name="Normal 12 2 3 6 2 3 2" xfId="9609" xr:uid="{00000000-0005-0000-0000-00000E240000}"/>
    <cellStyle name="Normal 12 2 3 6 2 3 2 2" xfId="9610" xr:uid="{00000000-0005-0000-0000-00000F240000}"/>
    <cellStyle name="Normal 12 2 3 6 2 3 2 3" xfId="9611" xr:uid="{00000000-0005-0000-0000-000010240000}"/>
    <cellStyle name="Normal 12 2 3 6 2 3 2 4" xfId="9612" xr:uid="{00000000-0005-0000-0000-000011240000}"/>
    <cellStyle name="Normal 12 2 3 6 2 3 2 5" xfId="9613" xr:uid="{00000000-0005-0000-0000-000012240000}"/>
    <cellStyle name="Normal 12 2 3 6 2 3 3" xfId="9614" xr:uid="{00000000-0005-0000-0000-000013240000}"/>
    <cellStyle name="Normal 12 2 3 6 2 3 4" xfId="9615" xr:uid="{00000000-0005-0000-0000-000014240000}"/>
    <cellStyle name="Normal 12 2 3 6 2 3 5" xfId="9616" xr:uid="{00000000-0005-0000-0000-000015240000}"/>
    <cellStyle name="Normal 12 2 3 6 2 3 6" xfId="9617" xr:uid="{00000000-0005-0000-0000-000016240000}"/>
    <cellStyle name="Normal 12 2 3 6 2 3 7" xfId="9618" xr:uid="{00000000-0005-0000-0000-000017240000}"/>
    <cellStyle name="Normal 12 2 3 6 2 3 8" xfId="9619" xr:uid="{00000000-0005-0000-0000-000018240000}"/>
    <cellStyle name="Normal 12 2 3 6 2 4" xfId="9620" xr:uid="{00000000-0005-0000-0000-000019240000}"/>
    <cellStyle name="Normal 12 2 3 6 2 4 2" xfId="9621" xr:uid="{00000000-0005-0000-0000-00001A240000}"/>
    <cellStyle name="Normal 12 2 3 6 2 4 2 2" xfId="9622" xr:uid="{00000000-0005-0000-0000-00001B240000}"/>
    <cellStyle name="Normal 12 2 3 6 2 4 2 3" xfId="9623" xr:uid="{00000000-0005-0000-0000-00001C240000}"/>
    <cellStyle name="Normal 12 2 3 6 2 4 2 4" xfId="9624" xr:uid="{00000000-0005-0000-0000-00001D240000}"/>
    <cellStyle name="Normal 12 2 3 6 2 4 2 5" xfId="9625" xr:uid="{00000000-0005-0000-0000-00001E240000}"/>
    <cellStyle name="Normal 12 2 3 6 2 4 3" xfId="9626" xr:uid="{00000000-0005-0000-0000-00001F240000}"/>
    <cellStyle name="Normal 12 2 3 6 2 4 4" xfId="9627" xr:uid="{00000000-0005-0000-0000-000020240000}"/>
    <cellStyle name="Normal 12 2 3 6 2 4 5" xfId="9628" xr:uid="{00000000-0005-0000-0000-000021240000}"/>
    <cellStyle name="Normal 12 2 3 6 2 4 6" xfId="9629" xr:uid="{00000000-0005-0000-0000-000022240000}"/>
    <cellStyle name="Normal 12 2 3 6 2 4 7" xfId="9630" xr:uid="{00000000-0005-0000-0000-000023240000}"/>
    <cellStyle name="Normal 12 2 3 6 2 4 8" xfId="9631" xr:uid="{00000000-0005-0000-0000-000024240000}"/>
    <cellStyle name="Normal 12 2 3 6 2 5" xfId="9632" xr:uid="{00000000-0005-0000-0000-000025240000}"/>
    <cellStyle name="Normal 12 2 3 6 2 5 2" xfId="9633" xr:uid="{00000000-0005-0000-0000-000026240000}"/>
    <cellStyle name="Normal 12 2 3 6 2 5 3" xfId="9634" xr:uid="{00000000-0005-0000-0000-000027240000}"/>
    <cellStyle name="Normal 12 2 3 6 2 5 4" xfId="9635" xr:uid="{00000000-0005-0000-0000-000028240000}"/>
    <cellStyle name="Normal 12 2 3 6 2 5 5" xfId="9636" xr:uid="{00000000-0005-0000-0000-000029240000}"/>
    <cellStyle name="Normal 12 2 3 6 2 6" xfId="9637" xr:uid="{00000000-0005-0000-0000-00002A240000}"/>
    <cellStyle name="Normal 12 2 3 6 2 7" xfId="9638" xr:uid="{00000000-0005-0000-0000-00002B240000}"/>
    <cellStyle name="Normal 12 2 3 6 2 8" xfId="9639" xr:uid="{00000000-0005-0000-0000-00002C240000}"/>
    <cellStyle name="Normal 12 2 3 6 2 9" xfId="9640" xr:uid="{00000000-0005-0000-0000-00002D240000}"/>
    <cellStyle name="Normal 12 2 3 6 3" xfId="9641" xr:uid="{00000000-0005-0000-0000-00002E240000}"/>
    <cellStyle name="Normal 12 2 3 6 3 10" xfId="9642" xr:uid="{00000000-0005-0000-0000-00002F240000}"/>
    <cellStyle name="Normal 12 2 3 6 3 11" xfId="9643" xr:uid="{00000000-0005-0000-0000-000030240000}"/>
    <cellStyle name="Normal 12 2 3 6 3 2" xfId="9644" xr:uid="{00000000-0005-0000-0000-000031240000}"/>
    <cellStyle name="Normal 12 2 3 6 3 2 10" xfId="9645" xr:uid="{00000000-0005-0000-0000-000032240000}"/>
    <cellStyle name="Normal 12 2 3 6 3 2 2" xfId="9646" xr:uid="{00000000-0005-0000-0000-000033240000}"/>
    <cellStyle name="Normal 12 2 3 6 3 2 2 2" xfId="9647" xr:uid="{00000000-0005-0000-0000-000034240000}"/>
    <cellStyle name="Normal 12 2 3 6 3 2 2 2 2" xfId="9648" xr:uid="{00000000-0005-0000-0000-000035240000}"/>
    <cellStyle name="Normal 12 2 3 6 3 2 2 2 3" xfId="9649" xr:uid="{00000000-0005-0000-0000-000036240000}"/>
    <cellStyle name="Normal 12 2 3 6 3 2 2 2 4" xfId="9650" xr:uid="{00000000-0005-0000-0000-000037240000}"/>
    <cellStyle name="Normal 12 2 3 6 3 2 2 2 5" xfId="9651" xr:uid="{00000000-0005-0000-0000-000038240000}"/>
    <cellStyle name="Normal 12 2 3 6 3 2 2 3" xfId="9652" xr:uid="{00000000-0005-0000-0000-000039240000}"/>
    <cellStyle name="Normal 12 2 3 6 3 2 2 4" xfId="9653" xr:uid="{00000000-0005-0000-0000-00003A240000}"/>
    <cellStyle name="Normal 12 2 3 6 3 2 2 5" xfId="9654" xr:uid="{00000000-0005-0000-0000-00003B240000}"/>
    <cellStyle name="Normal 12 2 3 6 3 2 2 6" xfId="9655" xr:uid="{00000000-0005-0000-0000-00003C240000}"/>
    <cellStyle name="Normal 12 2 3 6 3 2 2 7" xfId="9656" xr:uid="{00000000-0005-0000-0000-00003D240000}"/>
    <cellStyle name="Normal 12 2 3 6 3 2 2 8" xfId="9657" xr:uid="{00000000-0005-0000-0000-00003E240000}"/>
    <cellStyle name="Normal 12 2 3 6 3 2 3" xfId="9658" xr:uid="{00000000-0005-0000-0000-00003F240000}"/>
    <cellStyle name="Normal 12 2 3 6 3 2 3 2" xfId="9659" xr:uid="{00000000-0005-0000-0000-000040240000}"/>
    <cellStyle name="Normal 12 2 3 6 3 2 3 2 2" xfId="9660" xr:uid="{00000000-0005-0000-0000-000041240000}"/>
    <cellStyle name="Normal 12 2 3 6 3 2 3 2 3" xfId="9661" xr:uid="{00000000-0005-0000-0000-000042240000}"/>
    <cellStyle name="Normal 12 2 3 6 3 2 3 2 4" xfId="9662" xr:uid="{00000000-0005-0000-0000-000043240000}"/>
    <cellStyle name="Normal 12 2 3 6 3 2 3 2 5" xfId="9663" xr:uid="{00000000-0005-0000-0000-000044240000}"/>
    <cellStyle name="Normal 12 2 3 6 3 2 3 3" xfId="9664" xr:uid="{00000000-0005-0000-0000-000045240000}"/>
    <cellStyle name="Normal 12 2 3 6 3 2 3 4" xfId="9665" xr:uid="{00000000-0005-0000-0000-000046240000}"/>
    <cellStyle name="Normal 12 2 3 6 3 2 3 5" xfId="9666" xr:uid="{00000000-0005-0000-0000-000047240000}"/>
    <cellStyle name="Normal 12 2 3 6 3 2 3 6" xfId="9667" xr:uid="{00000000-0005-0000-0000-000048240000}"/>
    <cellStyle name="Normal 12 2 3 6 3 2 3 7" xfId="9668" xr:uid="{00000000-0005-0000-0000-000049240000}"/>
    <cellStyle name="Normal 12 2 3 6 3 2 3 8" xfId="9669" xr:uid="{00000000-0005-0000-0000-00004A240000}"/>
    <cellStyle name="Normal 12 2 3 6 3 2 4" xfId="9670" xr:uid="{00000000-0005-0000-0000-00004B240000}"/>
    <cellStyle name="Normal 12 2 3 6 3 2 4 2" xfId="9671" xr:uid="{00000000-0005-0000-0000-00004C240000}"/>
    <cellStyle name="Normal 12 2 3 6 3 2 4 3" xfId="9672" xr:uid="{00000000-0005-0000-0000-00004D240000}"/>
    <cellStyle name="Normal 12 2 3 6 3 2 4 4" xfId="9673" xr:uid="{00000000-0005-0000-0000-00004E240000}"/>
    <cellStyle name="Normal 12 2 3 6 3 2 4 5" xfId="9674" xr:uid="{00000000-0005-0000-0000-00004F240000}"/>
    <cellStyle name="Normal 12 2 3 6 3 2 5" xfId="9675" xr:uid="{00000000-0005-0000-0000-000050240000}"/>
    <cellStyle name="Normal 12 2 3 6 3 2 6" xfId="9676" xr:uid="{00000000-0005-0000-0000-000051240000}"/>
    <cellStyle name="Normal 12 2 3 6 3 2 7" xfId="9677" xr:uid="{00000000-0005-0000-0000-000052240000}"/>
    <cellStyle name="Normal 12 2 3 6 3 2 8" xfId="9678" xr:uid="{00000000-0005-0000-0000-000053240000}"/>
    <cellStyle name="Normal 12 2 3 6 3 2 9" xfId="9679" xr:uid="{00000000-0005-0000-0000-000054240000}"/>
    <cellStyle name="Normal 12 2 3 6 3 3" xfId="9680" xr:uid="{00000000-0005-0000-0000-000055240000}"/>
    <cellStyle name="Normal 12 2 3 6 3 3 2" xfId="9681" xr:uid="{00000000-0005-0000-0000-000056240000}"/>
    <cellStyle name="Normal 12 2 3 6 3 3 2 2" xfId="9682" xr:uid="{00000000-0005-0000-0000-000057240000}"/>
    <cellStyle name="Normal 12 2 3 6 3 3 2 3" xfId="9683" xr:uid="{00000000-0005-0000-0000-000058240000}"/>
    <cellStyle name="Normal 12 2 3 6 3 3 2 4" xfId="9684" xr:uid="{00000000-0005-0000-0000-000059240000}"/>
    <cellStyle name="Normal 12 2 3 6 3 3 2 5" xfId="9685" xr:uid="{00000000-0005-0000-0000-00005A240000}"/>
    <cellStyle name="Normal 12 2 3 6 3 3 3" xfId="9686" xr:uid="{00000000-0005-0000-0000-00005B240000}"/>
    <cellStyle name="Normal 12 2 3 6 3 3 4" xfId="9687" xr:uid="{00000000-0005-0000-0000-00005C240000}"/>
    <cellStyle name="Normal 12 2 3 6 3 3 5" xfId="9688" xr:uid="{00000000-0005-0000-0000-00005D240000}"/>
    <cellStyle name="Normal 12 2 3 6 3 3 6" xfId="9689" xr:uid="{00000000-0005-0000-0000-00005E240000}"/>
    <cellStyle name="Normal 12 2 3 6 3 3 7" xfId="9690" xr:uid="{00000000-0005-0000-0000-00005F240000}"/>
    <cellStyle name="Normal 12 2 3 6 3 3 8" xfId="9691" xr:uid="{00000000-0005-0000-0000-000060240000}"/>
    <cellStyle name="Normal 12 2 3 6 3 4" xfId="9692" xr:uid="{00000000-0005-0000-0000-000061240000}"/>
    <cellStyle name="Normal 12 2 3 6 3 4 2" xfId="9693" xr:uid="{00000000-0005-0000-0000-000062240000}"/>
    <cellStyle name="Normal 12 2 3 6 3 4 2 2" xfId="9694" xr:uid="{00000000-0005-0000-0000-000063240000}"/>
    <cellStyle name="Normal 12 2 3 6 3 4 2 3" xfId="9695" xr:uid="{00000000-0005-0000-0000-000064240000}"/>
    <cellStyle name="Normal 12 2 3 6 3 4 2 4" xfId="9696" xr:uid="{00000000-0005-0000-0000-000065240000}"/>
    <cellStyle name="Normal 12 2 3 6 3 4 2 5" xfId="9697" xr:uid="{00000000-0005-0000-0000-000066240000}"/>
    <cellStyle name="Normal 12 2 3 6 3 4 3" xfId="9698" xr:uid="{00000000-0005-0000-0000-000067240000}"/>
    <cellStyle name="Normal 12 2 3 6 3 4 4" xfId="9699" xr:uid="{00000000-0005-0000-0000-000068240000}"/>
    <cellStyle name="Normal 12 2 3 6 3 4 5" xfId="9700" xr:uid="{00000000-0005-0000-0000-000069240000}"/>
    <cellStyle name="Normal 12 2 3 6 3 4 6" xfId="9701" xr:uid="{00000000-0005-0000-0000-00006A240000}"/>
    <cellStyle name="Normal 12 2 3 6 3 4 7" xfId="9702" xr:uid="{00000000-0005-0000-0000-00006B240000}"/>
    <cellStyle name="Normal 12 2 3 6 3 4 8" xfId="9703" xr:uid="{00000000-0005-0000-0000-00006C240000}"/>
    <cellStyle name="Normal 12 2 3 6 3 5" xfId="9704" xr:uid="{00000000-0005-0000-0000-00006D240000}"/>
    <cellStyle name="Normal 12 2 3 6 3 5 2" xfId="9705" xr:uid="{00000000-0005-0000-0000-00006E240000}"/>
    <cellStyle name="Normal 12 2 3 6 3 5 3" xfId="9706" xr:uid="{00000000-0005-0000-0000-00006F240000}"/>
    <cellStyle name="Normal 12 2 3 6 3 5 4" xfId="9707" xr:uid="{00000000-0005-0000-0000-000070240000}"/>
    <cellStyle name="Normal 12 2 3 6 3 5 5" xfId="9708" xr:uid="{00000000-0005-0000-0000-000071240000}"/>
    <cellStyle name="Normal 12 2 3 6 3 6" xfId="9709" xr:uid="{00000000-0005-0000-0000-000072240000}"/>
    <cellStyle name="Normal 12 2 3 6 3 7" xfId="9710" xr:uid="{00000000-0005-0000-0000-000073240000}"/>
    <cellStyle name="Normal 12 2 3 6 3 8" xfId="9711" xr:uid="{00000000-0005-0000-0000-000074240000}"/>
    <cellStyle name="Normal 12 2 3 6 3 9" xfId="9712" xr:uid="{00000000-0005-0000-0000-000075240000}"/>
    <cellStyle name="Normal 12 2 3 6 4" xfId="9713" xr:uid="{00000000-0005-0000-0000-000076240000}"/>
    <cellStyle name="Normal 12 2 3 6 4 10" xfId="9714" xr:uid="{00000000-0005-0000-0000-000077240000}"/>
    <cellStyle name="Normal 12 2 3 6 4 2" xfId="9715" xr:uid="{00000000-0005-0000-0000-000078240000}"/>
    <cellStyle name="Normal 12 2 3 6 4 2 2" xfId="9716" xr:uid="{00000000-0005-0000-0000-000079240000}"/>
    <cellStyle name="Normal 12 2 3 6 4 2 2 2" xfId="9717" xr:uid="{00000000-0005-0000-0000-00007A240000}"/>
    <cellStyle name="Normal 12 2 3 6 4 2 2 3" xfId="9718" xr:uid="{00000000-0005-0000-0000-00007B240000}"/>
    <cellStyle name="Normal 12 2 3 6 4 2 2 4" xfId="9719" xr:uid="{00000000-0005-0000-0000-00007C240000}"/>
    <cellStyle name="Normal 12 2 3 6 4 2 2 5" xfId="9720" xr:uid="{00000000-0005-0000-0000-00007D240000}"/>
    <cellStyle name="Normal 12 2 3 6 4 2 3" xfId="9721" xr:uid="{00000000-0005-0000-0000-00007E240000}"/>
    <cellStyle name="Normal 12 2 3 6 4 2 4" xfId="9722" xr:uid="{00000000-0005-0000-0000-00007F240000}"/>
    <cellStyle name="Normal 12 2 3 6 4 2 5" xfId="9723" xr:uid="{00000000-0005-0000-0000-000080240000}"/>
    <cellStyle name="Normal 12 2 3 6 4 2 6" xfId="9724" xr:uid="{00000000-0005-0000-0000-000081240000}"/>
    <cellStyle name="Normal 12 2 3 6 4 2 7" xfId="9725" xr:uid="{00000000-0005-0000-0000-000082240000}"/>
    <cellStyle name="Normal 12 2 3 6 4 2 8" xfId="9726" xr:uid="{00000000-0005-0000-0000-000083240000}"/>
    <cellStyle name="Normal 12 2 3 6 4 3" xfId="9727" xr:uid="{00000000-0005-0000-0000-000084240000}"/>
    <cellStyle name="Normal 12 2 3 6 4 3 2" xfId="9728" xr:uid="{00000000-0005-0000-0000-000085240000}"/>
    <cellStyle name="Normal 12 2 3 6 4 3 2 2" xfId="9729" xr:uid="{00000000-0005-0000-0000-000086240000}"/>
    <cellStyle name="Normal 12 2 3 6 4 3 2 3" xfId="9730" xr:uid="{00000000-0005-0000-0000-000087240000}"/>
    <cellStyle name="Normal 12 2 3 6 4 3 2 4" xfId="9731" xr:uid="{00000000-0005-0000-0000-000088240000}"/>
    <cellStyle name="Normal 12 2 3 6 4 3 2 5" xfId="9732" xr:uid="{00000000-0005-0000-0000-000089240000}"/>
    <cellStyle name="Normal 12 2 3 6 4 3 3" xfId="9733" xr:uid="{00000000-0005-0000-0000-00008A240000}"/>
    <cellStyle name="Normal 12 2 3 6 4 3 4" xfId="9734" xr:uid="{00000000-0005-0000-0000-00008B240000}"/>
    <cellStyle name="Normal 12 2 3 6 4 3 5" xfId="9735" xr:uid="{00000000-0005-0000-0000-00008C240000}"/>
    <cellStyle name="Normal 12 2 3 6 4 3 6" xfId="9736" xr:uid="{00000000-0005-0000-0000-00008D240000}"/>
    <cellStyle name="Normal 12 2 3 6 4 3 7" xfId="9737" xr:uid="{00000000-0005-0000-0000-00008E240000}"/>
    <cellStyle name="Normal 12 2 3 6 4 3 8" xfId="9738" xr:uid="{00000000-0005-0000-0000-00008F240000}"/>
    <cellStyle name="Normal 12 2 3 6 4 4" xfId="9739" xr:uid="{00000000-0005-0000-0000-000090240000}"/>
    <cellStyle name="Normal 12 2 3 6 4 4 2" xfId="9740" xr:uid="{00000000-0005-0000-0000-000091240000}"/>
    <cellStyle name="Normal 12 2 3 6 4 4 3" xfId="9741" xr:uid="{00000000-0005-0000-0000-000092240000}"/>
    <cellStyle name="Normal 12 2 3 6 4 4 4" xfId="9742" xr:uid="{00000000-0005-0000-0000-000093240000}"/>
    <cellStyle name="Normal 12 2 3 6 4 4 5" xfId="9743" xr:uid="{00000000-0005-0000-0000-000094240000}"/>
    <cellStyle name="Normal 12 2 3 6 4 5" xfId="9744" xr:uid="{00000000-0005-0000-0000-000095240000}"/>
    <cellStyle name="Normal 12 2 3 6 4 6" xfId="9745" xr:uid="{00000000-0005-0000-0000-000096240000}"/>
    <cellStyle name="Normal 12 2 3 6 4 7" xfId="9746" xr:uid="{00000000-0005-0000-0000-000097240000}"/>
    <cellStyle name="Normal 12 2 3 6 4 8" xfId="9747" xr:uid="{00000000-0005-0000-0000-000098240000}"/>
    <cellStyle name="Normal 12 2 3 6 4 9" xfId="9748" xr:uid="{00000000-0005-0000-0000-000099240000}"/>
    <cellStyle name="Normal 12 2 3 6 5" xfId="9749" xr:uid="{00000000-0005-0000-0000-00009A240000}"/>
    <cellStyle name="Normal 12 2 3 6 5 2" xfId="9750" xr:uid="{00000000-0005-0000-0000-00009B240000}"/>
    <cellStyle name="Normal 12 2 3 6 5 2 2" xfId="9751" xr:uid="{00000000-0005-0000-0000-00009C240000}"/>
    <cellStyle name="Normal 12 2 3 6 5 2 3" xfId="9752" xr:uid="{00000000-0005-0000-0000-00009D240000}"/>
    <cellStyle name="Normal 12 2 3 6 5 2 4" xfId="9753" xr:uid="{00000000-0005-0000-0000-00009E240000}"/>
    <cellStyle name="Normal 12 2 3 6 5 2 5" xfId="9754" xr:uid="{00000000-0005-0000-0000-00009F240000}"/>
    <cellStyle name="Normal 12 2 3 6 5 3" xfId="9755" xr:uid="{00000000-0005-0000-0000-0000A0240000}"/>
    <cellStyle name="Normal 12 2 3 6 5 4" xfId="9756" xr:uid="{00000000-0005-0000-0000-0000A1240000}"/>
    <cellStyle name="Normal 12 2 3 6 5 5" xfId="9757" xr:uid="{00000000-0005-0000-0000-0000A2240000}"/>
    <cellStyle name="Normal 12 2 3 6 5 6" xfId="9758" xr:uid="{00000000-0005-0000-0000-0000A3240000}"/>
    <cellStyle name="Normal 12 2 3 6 5 7" xfId="9759" xr:uid="{00000000-0005-0000-0000-0000A4240000}"/>
    <cellStyle name="Normal 12 2 3 6 5 8" xfId="9760" xr:uid="{00000000-0005-0000-0000-0000A5240000}"/>
    <cellStyle name="Normal 12 2 3 6 6" xfId="9761" xr:uid="{00000000-0005-0000-0000-0000A6240000}"/>
    <cellStyle name="Normal 12 2 3 6 6 2" xfId="9762" xr:uid="{00000000-0005-0000-0000-0000A7240000}"/>
    <cellStyle name="Normal 12 2 3 6 6 2 2" xfId="9763" xr:uid="{00000000-0005-0000-0000-0000A8240000}"/>
    <cellStyle name="Normal 12 2 3 6 6 2 3" xfId="9764" xr:uid="{00000000-0005-0000-0000-0000A9240000}"/>
    <cellStyle name="Normal 12 2 3 6 6 2 4" xfId="9765" xr:uid="{00000000-0005-0000-0000-0000AA240000}"/>
    <cellStyle name="Normal 12 2 3 6 6 2 5" xfId="9766" xr:uid="{00000000-0005-0000-0000-0000AB240000}"/>
    <cellStyle name="Normal 12 2 3 6 6 3" xfId="9767" xr:uid="{00000000-0005-0000-0000-0000AC240000}"/>
    <cellStyle name="Normal 12 2 3 6 6 4" xfId="9768" xr:uid="{00000000-0005-0000-0000-0000AD240000}"/>
    <cellStyle name="Normal 12 2 3 6 6 5" xfId="9769" xr:uid="{00000000-0005-0000-0000-0000AE240000}"/>
    <cellStyle name="Normal 12 2 3 6 6 6" xfId="9770" xr:uid="{00000000-0005-0000-0000-0000AF240000}"/>
    <cellStyle name="Normal 12 2 3 6 6 7" xfId="9771" xr:uid="{00000000-0005-0000-0000-0000B0240000}"/>
    <cellStyle name="Normal 12 2 3 6 6 8" xfId="9772" xr:uid="{00000000-0005-0000-0000-0000B1240000}"/>
    <cellStyle name="Normal 12 2 3 6 7" xfId="9773" xr:uid="{00000000-0005-0000-0000-0000B2240000}"/>
    <cellStyle name="Normal 12 2 3 6 7 2" xfId="9774" xr:uid="{00000000-0005-0000-0000-0000B3240000}"/>
    <cellStyle name="Normal 12 2 3 6 7 3" xfId="9775" xr:uid="{00000000-0005-0000-0000-0000B4240000}"/>
    <cellStyle name="Normal 12 2 3 6 7 4" xfId="9776" xr:uid="{00000000-0005-0000-0000-0000B5240000}"/>
    <cellStyle name="Normal 12 2 3 6 7 5" xfId="9777" xr:uid="{00000000-0005-0000-0000-0000B6240000}"/>
    <cellStyle name="Normal 12 2 3 6 8" xfId="9778" xr:uid="{00000000-0005-0000-0000-0000B7240000}"/>
    <cellStyle name="Normal 12 2 3 6 9" xfId="9779" xr:uid="{00000000-0005-0000-0000-0000B8240000}"/>
    <cellStyle name="Normal 12 2 3 7" xfId="9780" xr:uid="{00000000-0005-0000-0000-0000B9240000}"/>
    <cellStyle name="Normal 12 2 3 7 10" xfId="9781" xr:uid="{00000000-0005-0000-0000-0000BA240000}"/>
    <cellStyle name="Normal 12 2 3 7 11" xfId="9782" xr:uid="{00000000-0005-0000-0000-0000BB240000}"/>
    <cellStyle name="Normal 12 2 3 7 12" xfId="9783" xr:uid="{00000000-0005-0000-0000-0000BC240000}"/>
    <cellStyle name="Normal 12 2 3 7 13" xfId="9784" xr:uid="{00000000-0005-0000-0000-0000BD240000}"/>
    <cellStyle name="Normal 12 2 3 7 2" xfId="9785" xr:uid="{00000000-0005-0000-0000-0000BE240000}"/>
    <cellStyle name="Normal 12 2 3 7 2 10" xfId="9786" xr:uid="{00000000-0005-0000-0000-0000BF240000}"/>
    <cellStyle name="Normal 12 2 3 7 2 11" xfId="9787" xr:uid="{00000000-0005-0000-0000-0000C0240000}"/>
    <cellStyle name="Normal 12 2 3 7 2 2" xfId="9788" xr:uid="{00000000-0005-0000-0000-0000C1240000}"/>
    <cellStyle name="Normal 12 2 3 7 2 2 10" xfId="9789" xr:uid="{00000000-0005-0000-0000-0000C2240000}"/>
    <cellStyle name="Normal 12 2 3 7 2 2 2" xfId="9790" xr:uid="{00000000-0005-0000-0000-0000C3240000}"/>
    <cellStyle name="Normal 12 2 3 7 2 2 2 2" xfId="9791" xr:uid="{00000000-0005-0000-0000-0000C4240000}"/>
    <cellStyle name="Normal 12 2 3 7 2 2 2 2 2" xfId="9792" xr:uid="{00000000-0005-0000-0000-0000C5240000}"/>
    <cellStyle name="Normal 12 2 3 7 2 2 2 2 3" xfId="9793" xr:uid="{00000000-0005-0000-0000-0000C6240000}"/>
    <cellStyle name="Normal 12 2 3 7 2 2 2 2 4" xfId="9794" xr:uid="{00000000-0005-0000-0000-0000C7240000}"/>
    <cellStyle name="Normal 12 2 3 7 2 2 2 2 5" xfId="9795" xr:uid="{00000000-0005-0000-0000-0000C8240000}"/>
    <cellStyle name="Normal 12 2 3 7 2 2 2 3" xfId="9796" xr:uid="{00000000-0005-0000-0000-0000C9240000}"/>
    <cellStyle name="Normal 12 2 3 7 2 2 2 4" xfId="9797" xr:uid="{00000000-0005-0000-0000-0000CA240000}"/>
    <cellStyle name="Normal 12 2 3 7 2 2 2 5" xfId="9798" xr:uid="{00000000-0005-0000-0000-0000CB240000}"/>
    <cellStyle name="Normal 12 2 3 7 2 2 2 6" xfId="9799" xr:uid="{00000000-0005-0000-0000-0000CC240000}"/>
    <cellStyle name="Normal 12 2 3 7 2 2 2 7" xfId="9800" xr:uid="{00000000-0005-0000-0000-0000CD240000}"/>
    <cellStyle name="Normal 12 2 3 7 2 2 2 8" xfId="9801" xr:uid="{00000000-0005-0000-0000-0000CE240000}"/>
    <cellStyle name="Normal 12 2 3 7 2 2 3" xfId="9802" xr:uid="{00000000-0005-0000-0000-0000CF240000}"/>
    <cellStyle name="Normal 12 2 3 7 2 2 3 2" xfId="9803" xr:uid="{00000000-0005-0000-0000-0000D0240000}"/>
    <cellStyle name="Normal 12 2 3 7 2 2 3 2 2" xfId="9804" xr:uid="{00000000-0005-0000-0000-0000D1240000}"/>
    <cellStyle name="Normal 12 2 3 7 2 2 3 2 3" xfId="9805" xr:uid="{00000000-0005-0000-0000-0000D2240000}"/>
    <cellStyle name="Normal 12 2 3 7 2 2 3 2 4" xfId="9806" xr:uid="{00000000-0005-0000-0000-0000D3240000}"/>
    <cellStyle name="Normal 12 2 3 7 2 2 3 2 5" xfId="9807" xr:uid="{00000000-0005-0000-0000-0000D4240000}"/>
    <cellStyle name="Normal 12 2 3 7 2 2 3 3" xfId="9808" xr:uid="{00000000-0005-0000-0000-0000D5240000}"/>
    <cellStyle name="Normal 12 2 3 7 2 2 3 4" xfId="9809" xr:uid="{00000000-0005-0000-0000-0000D6240000}"/>
    <cellStyle name="Normal 12 2 3 7 2 2 3 5" xfId="9810" xr:uid="{00000000-0005-0000-0000-0000D7240000}"/>
    <cellStyle name="Normal 12 2 3 7 2 2 3 6" xfId="9811" xr:uid="{00000000-0005-0000-0000-0000D8240000}"/>
    <cellStyle name="Normal 12 2 3 7 2 2 3 7" xfId="9812" xr:uid="{00000000-0005-0000-0000-0000D9240000}"/>
    <cellStyle name="Normal 12 2 3 7 2 2 3 8" xfId="9813" xr:uid="{00000000-0005-0000-0000-0000DA240000}"/>
    <cellStyle name="Normal 12 2 3 7 2 2 4" xfId="9814" xr:uid="{00000000-0005-0000-0000-0000DB240000}"/>
    <cellStyle name="Normal 12 2 3 7 2 2 4 2" xfId="9815" xr:uid="{00000000-0005-0000-0000-0000DC240000}"/>
    <cellStyle name="Normal 12 2 3 7 2 2 4 3" xfId="9816" xr:uid="{00000000-0005-0000-0000-0000DD240000}"/>
    <cellStyle name="Normal 12 2 3 7 2 2 4 4" xfId="9817" xr:uid="{00000000-0005-0000-0000-0000DE240000}"/>
    <cellStyle name="Normal 12 2 3 7 2 2 4 5" xfId="9818" xr:uid="{00000000-0005-0000-0000-0000DF240000}"/>
    <cellStyle name="Normal 12 2 3 7 2 2 5" xfId="9819" xr:uid="{00000000-0005-0000-0000-0000E0240000}"/>
    <cellStyle name="Normal 12 2 3 7 2 2 6" xfId="9820" xr:uid="{00000000-0005-0000-0000-0000E1240000}"/>
    <cellStyle name="Normal 12 2 3 7 2 2 7" xfId="9821" xr:uid="{00000000-0005-0000-0000-0000E2240000}"/>
    <cellStyle name="Normal 12 2 3 7 2 2 8" xfId="9822" xr:uid="{00000000-0005-0000-0000-0000E3240000}"/>
    <cellStyle name="Normal 12 2 3 7 2 2 9" xfId="9823" xr:uid="{00000000-0005-0000-0000-0000E4240000}"/>
    <cellStyle name="Normal 12 2 3 7 2 3" xfId="9824" xr:uid="{00000000-0005-0000-0000-0000E5240000}"/>
    <cellStyle name="Normal 12 2 3 7 2 3 2" xfId="9825" xr:uid="{00000000-0005-0000-0000-0000E6240000}"/>
    <cellStyle name="Normal 12 2 3 7 2 3 2 2" xfId="9826" xr:uid="{00000000-0005-0000-0000-0000E7240000}"/>
    <cellStyle name="Normal 12 2 3 7 2 3 2 3" xfId="9827" xr:uid="{00000000-0005-0000-0000-0000E8240000}"/>
    <cellStyle name="Normal 12 2 3 7 2 3 2 4" xfId="9828" xr:uid="{00000000-0005-0000-0000-0000E9240000}"/>
    <cellStyle name="Normal 12 2 3 7 2 3 2 5" xfId="9829" xr:uid="{00000000-0005-0000-0000-0000EA240000}"/>
    <cellStyle name="Normal 12 2 3 7 2 3 3" xfId="9830" xr:uid="{00000000-0005-0000-0000-0000EB240000}"/>
    <cellStyle name="Normal 12 2 3 7 2 3 4" xfId="9831" xr:uid="{00000000-0005-0000-0000-0000EC240000}"/>
    <cellStyle name="Normal 12 2 3 7 2 3 5" xfId="9832" xr:uid="{00000000-0005-0000-0000-0000ED240000}"/>
    <cellStyle name="Normal 12 2 3 7 2 3 6" xfId="9833" xr:uid="{00000000-0005-0000-0000-0000EE240000}"/>
    <cellStyle name="Normal 12 2 3 7 2 3 7" xfId="9834" xr:uid="{00000000-0005-0000-0000-0000EF240000}"/>
    <cellStyle name="Normal 12 2 3 7 2 3 8" xfId="9835" xr:uid="{00000000-0005-0000-0000-0000F0240000}"/>
    <cellStyle name="Normal 12 2 3 7 2 4" xfId="9836" xr:uid="{00000000-0005-0000-0000-0000F1240000}"/>
    <cellStyle name="Normal 12 2 3 7 2 4 2" xfId="9837" xr:uid="{00000000-0005-0000-0000-0000F2240000}"/>
    <cellStyle name="Normal 12 2 3 7 2 4 2 2" xfId="9838" xr:uid="{00000000-0005-0000-0000-0000F3240000}"/>
    <cellStyle name="Normal 12 2 3 7 2 4 2 3" xfId="9839" xr:uid="{00000000-0005-0000-0000-0000F4240000}"/>
    <cellStyle name="Normal 12 2 3 7 2 4 2 4" xfId="9840" xr:uid="{00000000-0005-0000-0000-0000F5240000}"/>
    <cellStyle name="Normal 12 2 3 7 2 4 2 5" xfId="9841" xr:uid="{00000000-0005-0000-0000-0000F6240000}"/>
    <cellStyle name="Normal 12 2 3 7 2 4 3" xfId="9842" xr:uid="{00000000-0005-0000-0000-0000F7240000}"/>
    <cellStyle name="Normal 12 2 3 7 2 4 4" xfId="9843" xr:uid="{00000000-0005-0000-0000-0000F8240000}"/>
    <cellStyle name="Normal 12 2 3 7 2 4 5" xfId="9844" xr:uid="{00000000-0005-0000-0000-0000F9240000}"/>
    <cellStyle name="Normal 12 2 3 7 2 4 6" xfId="9845" xr:uid="{00000000-0005-0000-0000-0000FA240000}"/>
    <cellStyle name="Normal 12 2 3 7 2 4 7" xfId="9846" xr:uid="{00000000-0005-0000-0000-0000FB240000}"/>
    <cellStyle name="Normal 12 2 3 7 2 4 8" xfId="9847" xr:uid="{00000000-0005-0000-0000-0000FC240000}"/>
    <cellStyle name="Normal 12 2 3 7 2 5" xfId="9848" xr:uid="{00000000-0005-0000-0000-0000FD240000}"/>
    <cellStyle name="Normal 12 2 3 7 2 5 2" xfId="9849" xr:uid="{00000000-0005-0000-0000-0000FE240000}"/>
    <cellStyle name="Normal 12 2 3 7 2 5 3" xfId="9850" xr:uid="{00000000-0005-0000-0000-0000FF240000}"/>
    <cellStyle name="Normal 12 2 3 7 2 5 4" xfId="9851" xr:uid="{00000000-0005-0000-0000-000000250000}"/>
    <cellStyle name="Normal 12 2 3 7 2 5 5" xfId="9852" xr:uid="{00000000-0005-0000-0000-000001250000}"/>
    <cellStyle name="Normal 12 2 3 7 2 6" xfId="9853" xr:uid="{00000000-0005-0000-0000-000002250000}"/>
    <cellStyle name="Normal 12 2 3 7 2 7" xfId="9854" xr:uid="{00000000-0005-0000-0000-000003250000}"/>
    <cellStyle name="Normal 12 2 3 7 2 8" xfId="9855" xr:uid="{00000000-0005-0000-0000-000004250000}"/>
    <cellStyle name="Normal 12 2 3 7 2 9" xfId="9856" xr:uid="{00000000-0005-0000-0000-000005250000}"/>
    <cellStyle name="Normal 12 2 3 7 3" xfId="9857" xr:uid="{00000000-0005-0000-0000-000006250000}"/>
    <cellStyle name="Normal 12 2 3 7 3 10" xfId="9858" xr:uid="{00000000-0005-0000-0000-000007250000}"/>
    <cellStyle name="Normal 12 2 3 7 3 11" xfId="9859" xr:uid="{00000000-0005-0000-0000-000008250000}"/>
    <cellStyle name="Normal 12 2 3 7 3 2" xfId="9860" xr:uid="{00000000-0005-0000-0000-000009250000}"/>
    <cellStyle name="Normal 12 2 3 7 3 2 10" xfId="9861" xr:uid="{00000000-0005-0000-0000-00000A250000}"/>
    <cellStyle name="Normal 12 2 3 7 3 2 2" xfId="9862" xr:uid="{00000000-0005-0000-0000-00000B250000}"/>
    <cellStyle name="Normal 12 2 3 7 3 2 2 2" xfId="9863" xr:uid="{00000000-0005-0000-0000-00000C250000}"/>
    <cellStyle name="Normal 12 2 3 7 3 2 2 2 2" xfId="9864" xr:uid="{00000000-0005-0000-0000-00000D250000}"/>
    <cellStyle name="Normal 12 2 3 7 3 2 2 2 3" xfId="9865" xr:uid="{00000000-0005-0000-0000-00000E250000}"/>
    <cellStyle name="Normal 12 2 3 7 3 2 2 2 4" xfId="9866" xr:uid="{00000000-0005-0000-0000-00000F250000}"/>
    <cellStyle name="Normal 12 2 3 7 3 2 2 2 5" xfId="9867" xr:uid="{00000000-0005-0000-0000-000010250000}"/>
    <cellStyle name="Normal 12 2 3 7 3 2 2 3" xfId="9868" xr:uid="{00000000-0005-0000-0000-000011250000}"/>
    <cellStyle name="Normal 12 2 3 7 3 2 2 4" xfId="9869" xr:uid="{00000000-0005-0000-0000-000012250000}"/>
    <cellStyle name="Normal 12 2 3 7 3 2 2 5" xfId="9870" xr:uid="{00000000-0005-0000-0000-000013250000}"/>
    <cellStyle name="Normal 12 2 3 7 3 2 2 6" xfId="9871" xr:uid="{00000000-0005-0000-0000-000014250000}"/>
    <cellStyle name="Normal 12 2 3 7 3 2 2 7" xfId="9872" xr:uid="{00000000-0005-0000-0000-000015250000}"/>
    <cellStyle name="Normal 12 2 3 7 3 2 2 8" xfId="9873" xr:uid="{00000000-0005-0000-0000-000016250000}"/>
    <cellStyle name="Normal 12 2 3 7 3 2 3" xfId="9874" xr:uid="{00000000-0005-0000-0000-000017250000}"/>
    <cellStyle name="Normal 12 2 3 7 3 2 3 2" xfId="9875" xr:uid="{00000000-0005-0000-0000-000018250000}"/>
    <cellStyle name="Normal 12 2 3 7 3 2 3 2 2" xfId="9876" xr:uid="{00000000-0005-0000-0000-000019250000}"/>
    <cellStyle name="Normal 12 2 3 7 3 2 3 2 3" xfId="9877" xr:uid="{00000000-0005-0000-0000-00001A250000}"/>
    <cellStyle name="Normal 12 2 3 7 3 2 3 2 4" xfId="9878" xr:uid="{00000000-0005-0000-0000-00001B250000}"/>
    <cellStyle name="Normal 12 2 3 7 3 2 3 2 5" xfId="9879" xr:uid="{00000000-0005-0000-0000-00001C250000}"/>
    <cellStyle name="Normal 12 2 3 7 3 2 3 3" xfId="9880" xr:uid="{00000000-0005-0000-0000-00001D250000}"/>
    <cellStyle name="Normal 12 2 3 7 3 2 3 4" xfId="9881" xr:uid="{00000000-0005-0000-0000-00001E250000}"/>
    <cellStyle name="Normal 12 2 3 7 3 2 3 5" xfId="9882" xr:uid="{00000000-0005-0000-0000-00001F250000}"/>
    <cellStyle name="Normal 12 2 3 7 3 2 3 6" xfId="9883" xr:uid="{00000000-0005-0000-0000-000020250000}"/>
    <cellStyle name="Normal 12 2 3 7 3 2 3 7" xfId="9884" xr:uid="{00000000-0005-0000-0000-000021250000}"/>
    <cellStyle name="Normal 12 2 3 7 3 2 3 8" xfId="9885" xr:uid="{00000000-0005-0000-0000-000022250000}"/>
    <cellStyle name="Normal 12 2 3 7 3 2 4" xfId="9886" xr:uid="{00000000-0005-0000-0000-000023250000}"/>
    <cellStyle name="Normal 12 2 3 7 3 2 4 2" xfId="9887" xr:uid="{00000000-0005-0000-0000-000024250000}"/>
    <cellStyle name="Normal 12 2 3 7 3 2 4 3" xfId="9888" xr:uid="{00000000-0005-0000-0000-000025250000}"/>
    <cellStyle name="Normal 12 2 3 7 3 2 4 4" xfId="9889" xr:uid="{00000000-0005-0000-0000-000026250000}"/>
    <cellStyle name="Normal 12 2 3 7 3 2 4 5" xfId="9890" xr:uid="{00000000-0005-0000-0000-000027250000}"/>
    <cellStyle name="Normal 12 2 3 7 3 2 5" xfId="9891" xr:uid="{00000000-0005-0000-0000-000028250000}"/>
    <cellStyle name="Normal 12 2 3 7 3 2 6" xfId="9892" xr:uid="{00000000-0005-0000-0000-000029250000}"/>
    <cellStyle name="Normal 12 2 3 7 3 2 7" xfId="9893" xr:uid="{00000000-0005-0000-0000-00002A250000}"/>
    <cellStyle name="Normal 12 2 3 7 3 2 8" xfId="9894" xr:uid="{00000000-0005-0000-0000-00002B250000}"/>
    <cellStyle name="Normal 12 2 3 7 3 2 9" xfId="9895" xr:uid="{00000000-0005-0000-0000-00002C250000}"/>
    <cellStyle name="Normal 12 2 3 7 3 3" xfId="9896" xr:uid="{00000000-0005-0000-0000-00002D250000}"/>
    <cellStyle name="Normal 12 2 3 7 3 3 2" xfId="9897" xr:uid="{00000000-0005-0000-0000-00002E250000}"/>
    <cellStyle name="Normal 12 2 3 7 3 3 2 2" xfId="9898" xr:uid="{00000000-0005-0000-0000-00002F250000}"/>
    <cellStyle name="Normal 12 2 3 7 3 3 2 3" xfId="9899" xr:uid="{00000000-0005-0000-0000-000030250000}"/>
    <cellStyle name="Normal 12 2 3 7 3 3 2 4" xfId="9900" xr:uid="{00000000-0005-0000-0000-000031250000}"/>
    <cellStyle name="Normal 12 2 3 7 3 3 2 5" xfId="9901" xr:uid="{00000000-0005-0000-0000-000032250000}"/>
    <cellStyle name="Normal 12 2 3 7 3 3 3" xfId="9902" xr:uid="{00000000-0005-0000-0000-000033250000}"/>
    <cellStyle name="Normal 12 2 3 7 3 3 4" xfId="9903" xr:uid="{00000000-0005-0000-0000-000034250000}"/>
    <cellStyle name="Normal 12 2 3 7 3 3 5" xfId="9904" xr:uid="{00000000-0005-0000-0000-000035250000}"/>
    <cellStyle name="Normal 12 2 3 7 3 3 6" xfId="9905" xr:uid="{00000000-0005-0000-0000-000036250000}"/>
    <cellStyle name="Normal 12 2 3 7 3 3 7" xfId="9906" xr:uid="{00000000-0005-0000-0000-000037250000}"/>
    <cellStyle name="Normal 12 2 3 7 3 3 8" xfId="9907" xr:uid="{00000000-0005-0000-0000-000038250000}"/>
    <cellStyle name="Normal 12 2 3 7 3 4" xfId="9908" xr:uid="{00000000-0005-0000-0000-000039250000}"/>
    <cellStyle name="Normal 12 2 3 7 3 4 2" xfId="9909" xr:uid="{00000000-0005-0000-0000-00003A250000}"/>
    <cellStyle name="Normal 12 2 3 7 3 4 2 2" xfId="9910" xr:uid="{00000000-0005-0000-0000-00003B250000}"/>
    <cellStyle name="Normal 12 2 3 7 3 4 2 3" xfId="9911" xr:uid="{00000000-0005-0000-0000-00003C250000}"/>
    <cellStyle name="Normal 12 2 3 7 3 4 2 4" xfId="9912" xr:uid="{00000000-0005-0000-0000-00003D250000}"/>
    <cellStyle name="Normal 12 2 3 7 3 4 2 5" xfId="9913" xr:uid="{00000000-0005-0000-0000-00003E250000}"/>
    <cellStyle name="Normal 12 2 3 7 3 4 3" xfId="9914" xr:uid="{00000000-0005-0000-0000-00003F250000}"/>
    <cellStyle name="Normal 12 2 3 7 3 4 4" xfId="9915" xr:uid="{00000000-0005-0000-0000-000040250000}"/>
    <cellStyle name="Normal 12 2 3 7 3 4 5" xfId="9916" xr:uid="{00000000-0005-0000-0000-000041250000}"/>
    <cellStyle name="Normal 12 2 3 7 3 4 6" xfId="9917" xr:uid="{00000000-0005-0000-0000-000042250000}"/>
    <cellStyle name="Normal 12 2 3 7 3 4 7" xfId="9918" xr:uid="{00000000-0005-0000-0000-000043250000}"/>
    <cellStyle name="Normal 12 2 3 7 3 4 8" xfId="9919" xr:uid="{00000000-0005-0000-0000-000044250000}"/>
    <cellStyle name="Normal 12 2 3 7 3 5" xfId="9920" xr:uid="{00000000-0005-0000-0000-000045250000}"/>
    <cellStyle name="Normal 12 2 3 7 3 5 2" xfId="9921" xr:uid="{00000000-0005-0000-0000-000046250000}"/>
    <cellStyle name="Normal 12 2 3 7 3 5 3" xfId="9922" xr:uid="{00000000-0005-0000-0000-000047250000}"/>
    <cellStyle name="Normal 12 2 3 7 3 5 4" xfId="9923" xr:uid="{00000000-0005-0000-0000-000048250000}"/>
    <cellStyle name="Normal 12 2 3 7 3 5 5" xfId="9924" xr:uid="{00000000-0005-0000-0000-000049250000}"/>
    <cellStyle name="Normal 12 2 3 7 3 6" xfId="9925" xr:uid="{00000000-0005-0000-0000-00004A250000}"/>
    <cellStyle name="Normal 12 2 3 7 3 7" xfId="9926" xr:uid="{00000000-0005-0000-0000-00004B250000}"/>
    <cellStyle name="Normal 12 2 3 7 3 8" xfId="9927" xr:uid="{00000000-0005-0000-0000-00004C250000}"/>
    <cellStyle name="Normal 12 2 3 7 3 9" xfId="9928" xr:uid="{00000000-0005-0000-0000-00004D250000}"/>
    <cellStyle name="Normal 12 2 3 7 4" xfId="9929" xr:uid="{00000000-0005-0000-0000-00004E250000}"/>
    <cellStyle name="Normal 12 2 3 7 4 10" xfId="9930" xr:uid="{00000000-0005-0000-0000-00004F250000}"/>
    <cellStyle name="Normal 12 2 3 7 4 2" xfId="9931" xr:uid="{00000000-0005-0000-0000-000050250000}"/>
    <cellStyle name="Normal 12 2 3 7 4 2 2" xfId="9932" xr:uid="{00000000-0005-0000-0000-000051250000}"/>
    <cellStyle name="Normal 12 2 3 7 4 2 2 2" xfId="9933" xr:uid="{00000000-0005-0000-0000-000052250000}"/>
    <cellStyle name="Normal 12 2 3 7 4 2 2 3" xfId="9934" xr:uid="{00000000-0005-0000-0000-000053250000}"/>
    <cellStyle name="Normal 12 2 3 7 4 2 2 4" xfId="9935" xr:uid="{00000000-0005-0000-0000-000054250000}"/>
    <cellStyle name="Normal 12 2 3 7 4 2 2 5" xfId="9936" xr:uid="{00000000-0005-0000-0000-000055250000}"/>
    <cellStyle name="Normal 12 2 3 7 4 2 3" xfId="9937" xr:uid="{00000000-0005-0000-0000-000056250000}"/>
    <cellStyle name="Normal 12 2 3 7 4 2 4" xfId="9938" xr:uid="{00000000-0005-0000-0000-000057250000}"/>
    <cellStyle name="Normal 12 2 3 7 4 2 5" xfId="9939" xr:uid="{00000000-0005-0000-0000-000058250000}"/>
    <cellStyle name="Normal 12 2 3 7 4 2 6" xfId="9940" xr:uid="{00000000-0005-0000-0000-000059250000}"/>
    <cellStyle name="Normal 12 2 3 7 4 2 7" xfId="9941" xr:uid="{00000000-0005-0000-0000-00005A250000}"/>
    <cellStyle name="Normal 12 2 3 7 4 2 8" xfId="9942" xr:uid="{00000000-0005-0000-0000-00005B250000}"/>
    <cellStyle name="Normal 12 2 3 7 4 3" xfId="9943" xr:uid="{00000000-0005-0000-0000-00005C250000}"/>
    <cellStyle name="Normal 12 2 3 7 4 3 2" xfId="9944" xr:uid="{00000000-0005-0000-0000-00005D250000}"/>
    <cellStyle name="Normal 12 2 3 7 4 3 2 2" xfId="9945" xr:uid="{00000000-0005-0000-0000-00005E250000}"/>
    <cellStyle name="Normal 12 2 3 7 4 3 2 3" xfId="9946" xr:uid="{00000000-0005-0000-0000-00005F250000}"/>
    <cellStyle name="Normal 12 2 3 7 4 3 2 4" xfId="9947" xr:uid="{00000000-0005-0000-0000-000060250000}"/>
    <cellStyle name="Normal 12 2 3 7 4 3 2 5" xfId="9948" xr:uid="{00000000-0005-0000-0000-000061250000}"/>
    <cellStyle name="Normal 12 2 3 7 4 3 3" xfId="9949" xr:uid="{00000000-0005-0000-0000-000062250000}"/>
    <cellStyle name="Normal 12 2 3 7 4 3 4" xfId="9950" xr:uid="{00000000-0005-0000-0000-000063250000}"/>
    <cellStyle name="Normal 12 2 3 7 4 3 5" xfId="9951" xr:uid="{00000000-0005-0000-0000-000064250000}"/>
    <cellStyle name="Normal 12 2 3 7 4 3 6" xfId="9952" xr:uid="{00000000-0005-0000-0000-000065250000}"/>
    <cellStyle name="Normal 12 2 3 7 4 3 7" xfId="9953" xr:uid="{00000000-0005-0000-0000-000066250000}"/>
    <cellStyle name="Normal 12 2 3 7 4 3 8" xfId="9954" xr:uid="{00000000-0005-0000-0000-000067250000}"/>
    <cellStyle name="Normal 12 2 3 7 4 4" xfId="9955" xr:uid="{00000000-0005-0000-0000-000068250000}"/>
    <cellStyle name="Normal 12 2 3 7 4 4 2" xfId="9956" xr:uid="{00000000-0005-0000-0000-000069250000}"/>
    <cellStyle name="Normal 12 2 3 7 4 4 3" xfId="9957" xr:uid="{00000000-0005-0000-0000-00006A250000}"/>
    <cellStyle name="Normal 12 2 3 7 4 4 4" xfId="9958" xr:uid="{00000000-0005-0000-0000-00006B250000}"/>
    <cellStyle name="Normal 12 2 3 7 4 4 5" xfId="9959" xr:uid="{00000000-0005-0000-0000-00006C250000}"/>
    <cellStyle name="Normal 12 2 3 7 4 5" xfId="9960" xr:uid="{00000000-0005-0000-0000-00006D250000}"/>
    <cellStyle name="Normal 12 2 3 7 4 6" xfId="9961" xr:uid="{00000000-0005-0000-0000-00006E250000}"/>
    <cellStyle name="Normal 12 2 3 7 4 7" xfId="9962" xr:uid="{00000000-0005-0000-0000-00006F250000}"/>
    <cellStyle name="Normal 12 2 3 7 4 8" xfId="9963" xr:uid="{00000000-0005-0000-0000-000070250000}"/>
    <cellStyle name="Normal 12 2 3 7 4 9" xfId="9964" xr:uid="{00000000-0005-0000-0000-000071250000}"/>
    <cellStyle name="Normal 12 2 3 7 5" xfId="9965" xr:uid="{00000000-0005-0000-0000-000072250000}"/>
    <cellStyle name="Normal 12 2 3 7 5 2" xfId="9966" xr:uid="{00000000-0005-0000-0000-000073250000}"/>
    <cellStyle name="Normal 12 2 3 7 5 2 2" xfId="9967" xr:uid="{00000000-0005-0000-0000-000074250000}"/>
    <cellStyle name="Normal 12 2 3 7 5 2 3" xfId="9968" xr:uid="{00000000-0005-0000-0000-000075250000}"/>
    <cellStyle name="Normal 12 2 3 7 5 2 4" xfId="9969" xr:uid="{00000000-0005-0000-0000-000076250000}"/>
    <cellStyle name="Normal 12 2 3 7 5 2 5" xfId="9970" xr:uid="{00000000-0005-0000-0000-000077250000}"/>
    <cellStyle name="Normal 12 2 3 7 5 3" xfId="9971" xr:uid="{00000000-0005-0000-0000-000078250000}"/>
    <cellStyle name="Normal 12 2 3 7 5 4" xfId="9972" xr:uid="{00000000-0005-0000-0000-000079250000}"/>
    <cellStyle name="Normal 12 2 3 7 5 5" xfId="9973" xr:uid="{00000000-0005-0000-0000-00007A250000}"/>
    <cellStyle name="Normal 12 2 3 7 5 6" xfId="9974" xr:uid="{00000000-0005-0000-0000-00007B250000}"/>
    <cellStyle name="Normal 12 2 3 7 5 7" xfId="9975" xr:uid="{00000000-0005-0000-0000-00007C250000}"/>
    <cellStyle name="Normal 12 2 3 7 5 8" xfId="9976" xr:uid="{00000000-0005-0000-0000-00007D250000}"/>
    <cellStyle name="Normal 12 2 3 7 6" xfId="9977" xr:uid="{00000000-0005-0000-0000-00007E250000}"/>
    <cellStyle name="Normal 12 2 3 7 6 2" xfId="9978" xr:uid="{00000000-0005-0000-0000-00007F250000}"/>
    <cellStyle name="Normal 12 2 3 7 6 2 2" xfId="9979" xr:uid="{00000000-0005-0000-0000-000080250000}"/>
    <cellStyle name="Normal 12 2 3 7 6 2 3" xfId="9980" xr:uid="{00000000-0005-0000-0000-000081250000}"/>
    <cellStyle name="Normal 12 2 3 7 6 2 4" xfId="9981" xr:uid="{00000000-0005-0000-0000-000082250000}"/>
    <cellStyle name="Normal 12 2 3 7 6 2 5" xfId="9982" xr:uid="{00000000-0005-0000-0000-000083250000}"/>
    <cellStyle name="Normal 12 2 3 7 6 3" xfId="9983" xr:uid="{00000000-0005-0000-0000-000084250000}"/>
    <cellStyle name="Normal 12 2 3 7 6 4" xfId="9984" xr:uid="{00000000-0005-0000-0000-000085250000}"/>
    <cellStyle name="Normal 12 2 3 7 6 5" xfId="9985" xr:uid="{00000000-0005-0000-0000-000086250000}"/>
    <cellStyle name="Normal 12 2 3 7 6 6" xfId="9986" xr:uid="{00000000-0005-0000-0000-000087250000}"/>
    <cellStyle name="Normal 12 2 3 7 6 7" xfId="9987" xr:uid="{00000000-0005-0000-0000-000088250000}"/>
    <cellStyle name="Normal 12 2 3 7 6 8" xfId="9988" xr:uid="{00000000-0005-0000-0000-000089250000}"/>
    <cellStyle name="Normal 12 2 3 7 7" xfId="9989" xr:uid="{00000000-0005-0000-0000-00008A250000}"/>
    <cellStyle name="Normal 12 2 3 7 7 2" xfId="9990" xr:uid="{00000000-0005-0000-0000-00008B250000}"/>
    <cellStyle name="Normal 12 2 3 7 7 3" xfId="9991" xr:uid="{00000000-0005-0000-0000-00008C250000}"/>
    <cellStyle name="Normal 12 2 3 7 7 4" xfId="9992" xr:uid="{00000000-0005-0000-0000-00008D250000}"/>
    <cellStyle name="Normal 12 2 3 7 7 5" xfId="9993" xr:uid="{00000000-0005-0000-0000-00008E250000}"/>
    <cellStyle name="Normal 12 2 3 7 8" xfId="9994" xr:uid="{00000000-0005-0000-0000-00008F250000}"/>
    <cellStyle name="Normal 12 2 3 7 9" xfId="9995" xr:uid="{00000000-0005-0000-0000-000090250000}"/>
    <cellStyle name="Normal 12 2 3 8" xfId="9996" xr:uid="{00000000-0005-0000-0000-000091250000}"/>
    <cellStyle name="Normal 12 2 3 8 10" xfId="9997" xr:uid="{00000000-0005-0000-0000-000092250000}"/>
    <cellStyle name="Normal 12 2 3 8 11" xfId="9998" xr:uid="{00000000-0005-0000-0000-000093250000}"/>
    <cellStyle name="Normal 12 2 3 8 12" xfId="9999" xr:uid="{00000000-0005-0000-0000-000094250000}"/>
    <cellStyle name="Normal 12 2 3 8 13" xfId="10000" xr:uid="{00000000-0005-0000-0000-000095250000}"/>
    <cellStyle name="Normal 12 2 3 8 2" xfId="10001" xr:uid="{00000000-0005-0000-0000-000096250000}"/>
    <cellStyle name="Normal 12 2 3 8 2 10" xfId="10002" xr:uid="{00000000-0005-0000-0000-000097250000}"/>
    <cellStyle name="Normal 12 2 3 8 2 11" xfId="10003" xr:uid="{00000000-0005-0000-0000-000098250000}"/>
    <cellStyle name="Normal 12 2 3 8 2 2" xfId="10004" xr:uid="{00000000-0005-0000-0000-000099250000}"/>
    <cellStyle name="Normal 12 2 3 8 2 2 10" xfId="10005" xr:uid="{00000000-0005-0000-0000-00009A250000}"/>
    <cellStyle name="Normal 12 2 3 8 2 2 2" xfId="10006" xr:uid="{00000000-0005-0000-0000-00009B250000}"/>
    <cellStyle name="Normal 12 2 3 8 2 2 2 2" xfId="10007" xr:uid="{00000000-0005-0000-0000-00009C250000}"/>
    <cellStyle name="Normal 12 2 3 8 2 2 2 2 2" xfId="10008" xr:uid="{00000000-0005-0000-0000-00009D250000}"/>
    <cellStyle name="Normal 12 2 3 8 2 2 2 2 3" xfId="10009" xr:uid="{00000000-0005-0000-0000-00009E250000}"/>
    <cellStyle name="Normal 12 2 3 8 2 2 2 2 4" xfId="10010" xr:uid="{00000000-0005-0000-0000-00009F250000}"/>
    <cellStyle name="Normal 12 2 3 8 2 2 2 2 5" xfId="10011" xr:uid="{00000000-0005-0000-0000-0000A0250000}"/>
    <cellStyle name="Normal 12 2 3 8 2 2 2 3" xfId="10012" xr:uid="{00000000-0005-0000-0000-0000A1250000}"/>
    <cellStyle name="Normal 12 2 3 8 2 2 2 4" xfId="10013" xr:uid="{00000000-0005-0000-0000-0000A2250000}"/>
    <cellStyle name="Normal 12 2 3 8 2 2 2 5" xfId="10014" xr:uid="{00000000-0005-0000-0000-0000A3250000}"/>
    <cellStyle name="Normal 12 2 3 8 2 2 2 6" xfId="10015" xr:uid="{00000000-0005-0000-0000-0000A4250000}"/>
    <cellStyle name="Normal 12 2 3 8 2 2 2 7" xfId="10016" xr:uid="{00000000-0005-0000-0000-0000A5250000}"/>
    <cellStyle name="Normal 12 2 3 8 2 2 2 8" xfId="10017" xr:uid="{00000000-0005-0000-0000-0000A6250000}"/>
    <cellStyle name="Normal 12 2 3 8 2 2 3" xfId="10018" xr:uid="{00000000-0005-0000-0000-0000A7250000}"/>
    <cellStyle name="Normal 12 2 3 8 2 2 3 2" xfId="10019" xr:uid="{00000000-0005-0000-0000-0000A8250000}"/>
    <cellStyle name="Normal 12 2 3 8 2 2 3 2 2" xfId="10020" xr:uid="{00000000-0005-0000-0000-0000A9250000}"/>
    <cellStyle name="Normal 12 2 3 8 2 2 3 2 3" xfId="10021" xr:uid="{00000000-0005-0000-0000-0000AA250000}"/>
    <cellStyle name="Normal 12 2 3 8 2 2 3 2 4" xfId="10022" xr:uid="{00000000-0005-0000-0000-0000AB250000}"/>
    <cellStyle name="Normal 12 2 3 8 2 2 3 2 5" xfId="10023" xr:uid="{00000000-0005-0000-0000-0000AC250000}"/>
    <cellStyle name="Normal 12 2 3 8 2 2 3 3" xfId="10024" xr:uid="{00000000-0005-0000-0000-0000AD250000}"/>
    <cellStyle name="Normal 12 2 3 8 2 2 3 4" xfId="10025" xr:uid="{00000000-0005-0000-0000-0000AE250000}"/>
    <cellStyle name="Normal 12 2 3 8 2 2 3 5" xfId="10026" xr:uid="{00000000-0005-0000-0000-0000AF250000}"/>
    <cellStyle name="Normal 12 2 3 8 2 2 3 6" xfId="10027" xr:uid="{00000000-0005-0000-0000-0000B0250000}"/>
    <cellStyle name="Normal 12 2 3 8 2 2 3 7" xfId="10028" xr:uid="{00000000-0005-0000-0000-0000B1250000}"/>
    <cellStyle name="Normal 12 2 3 8 2 2 3 8" xfId="10029" xr:uid="{00000000-0005-0000-0000-0000B2250000}"/>
    <cellStyle name="Normal 12 2 3 8 2 2 4" xfId="10030" xr:uid="{00000000-0005-0000-0000-0000B3250000}"/>
    <cellStyle name="Normal 12 2 3 8 2 2 4 2" xfId="10031" xr:uid="{00000000-0005-0000-0000-0000B4250000}"/>
    <cellStyle name="Normal 12 2 3 8 2 2 4 3" xfId="10032" xr:uid="{00000000-0005-0000-0000-0000B5250000}"/>
    <cellStyle name="Normal 12 2 3 8 2 2 4 4" xfId="10033" xr:uid="{00000000-0005-0000-0000-0000B6250000}"/>
    <cellStyle name="Normal 12 2 3 8 2 2 4 5" xfId="10034" xr:uid="{00000000-0005-0000-0000-0000B7250000}"/>
    <cellStyle name="Normal 12 2 3 8 2 2 5" xfId="10035" xr:uid="{00000000-0005-0000-0000-0000B8250000}"/>
    <cellStyle name="Normal 12 2 3 8 2 2 6" xfId="10036" xr:uid="{00000000-0005-0000-0000-0000B9250000}"/>
    <cellStyle name="Normal 12 2 3 8 2 2 7" xfId="10037" xr:uid="{00000000-0005-0000-0000-0000BA250000}"/>
    <cellStyle name="Normal 12 2 3 8 2 2 8" xfId="10038" xr:uid="{00000000-0005-0000-0000-0000BB250000}"/>
    <cellStyle name="Normal 12 2 3 8 2 2 9" xfId="10039" xr:uid="{00000000-0005-0000-0000-0000BC250000}"/>
    <cellStyle name="Normal 12 2 3 8 2 3" xfId="10040" xr:uid="{00000000-0005-0000-0000-0000BD250000}"/>
    <cellStyle name="Normal 12 2 3 8 2 3 2" xfId="10041" xr:uid="{00000000-0005-0000-0000-0000BE250000}"/>
    <cellStyle name="Normal 12 2 3 8 2 3 2 2" xfId="10042" xr:uid="{00000000-0005-0000-0000-0000BF250000}"/>
    <cellStyle name="Normal 12 2 3 8 2 3 2 3" xfId="10043" xr:uid="{00000000-0005-0000-0000-0000C0250000}"/>
    <cellStyle name="Normal 12 2 3 8 2 3 2 4" xfId="10044" xr:uid="{00000000-0005-0000-0000-0000C1250000}"/>
    <cellStyle name="Normal 12 2 3 8 2 3 2 5" xfId="10045" xr:uid="{00000000-0005-0000-0000-0000C2250000}"/>
    <cellStyle name="Normal 12 2 3 8 2 3 3" xfId="10046" xr:uid="{00000000-0005-0000-0000-0000C3250000}"/>
    <cellStyle name="Normal 12 2 3 8 2 3 4" xfId="10047" xr:uid="{00000000-0005-0000-0000-0000C4250000}"/>
    <cellStyle name="Normal 12 2 3 8 2 3 5" xfId="10048" xr:uid="{00000000-0005-0000-0000-0000C5250000}"/>
    <cellStyle name="Normal 12 2 3 8 2 3 6" xfId="10049" xr:uid="{00000000-0005-0000-0000-0000C6250000}"/>
    <cellStyle name="Normal 12 2 3 8 2 3 7" xfId="10050" xr:uid="{00000000-0005-0000-0000-0000C7250000}"/>
    <cellStyle name="Normal 12 2 3 8 2 3 8" xfId="10051" xr:uid="{00000000-0005-0000-0000-0000C8250000}"/>
    <cellStyle name="Normal 12 2 3 8 2 4" xfId="10052" xr:uid="{00000000-0005-0000-0000-0000C9250000}"/>
    <cellStyle name="Normal 12 2 3 8 2 4 2" xfId="10053" xr:uid="{00000000-0005-0000-0000-0000CA250000}"/>
    <cellStyle name="Normal 12 2 3 8 2 4 2 2" xfId="10054" xr:uid="{00000000-0005-0000-0000-0000CB250000}"/>
    <cellStyle name="Normal 12 2 3 8 2 4 2 3" xfId="10055" xr:uid="{00000000-0005-0000-0000-0000CC250000}"/>
    <cellStyle name="Normal 12 2 3 8 2 4 2 4" xfId="10056" xr:uid="{00000000-0005-0000-0000-0000CD250000}"/>
    <cellStyle name="Normal 12 2 3 8 2 4 2 5" xfId="10057" xr:uid="{00000000-0005-0000-0000-0000CE250000}"/>
    <cellStyle name="Normal 12 2 3 8 2 4 3" xfId="10058" xr:uid="{00000000-0005-0000-0000-0000CF250000}"/>
    <cellStyle name="Normal 12 2 3 8 2 4 4" xfId="10059" xr:uid="{00000000-0005-0000-0000-0000D0250000}"/>
    <cellStyle name="Normal 12 2 3 8 2 4 5" xfId="10060" xr:uid="{00000000-0005-0000-0000-0000D1250000}"/>
    <cellStyle name="Normal 12 2 3 8 2 4 6" xfId="10061" xr:uid="{00000000-0005-0000-0000-0000D2250000}"/>
    <cellStyle name="Normal 12 2 3 8 2 4 7" xfId="10062" xr:uid="{00000000-0005-0000-0000-0000D3250000}"/>
    <cellStyle name="Normal 12 2 3 8 2 4 8" xfId="10063" xr:uid="{00000000-0005-0000-0000-0000D4250000}"/>
    <cellStyle name="Normal 12 2 3 8 2 5" xfId="10064" xr:uid="{00000000-0005-0000-0000-0000D5250000}"/>
    <cellStyle name="Normal 12 2 3 8 2 5 2" xfId="10065" xr:uid="{00000000-0005-0000-0000-0000D6250000}"/>
    <cellStyle name="Normal 12 2 3 8 2 5 3" xfId="10066" xr:uid="{00000000-0005-0000-0000-0000D7250000}"/>
    <cellStyle name="Normal 12 2 3 8 2 5 4" xfId="10067" xr:uid="{00000000-0005-0000-0000-0000D8250000}"/>
    <cellStyle name="Normal 12 2 3 8 2 5 5" xfId="10068" xr:uid="{00000000-0005-0000-0000-0000D9250000}"/>
    <cellStyle name="Normal 12 2 3 8 2 6" xfId="10069" xr:uid="{00000000-0005-0000-0000-0000DA250000}"/>
    <cellStyle name="Normal 12 2 3 8 2 7" xfId="10070" xr:uid="{00000000-0005-0000-0000-0000DB250000}"/>
    <cellStyle name="Normal 12 2 3 8 2 8" xfId="10071" xr:uid="{00000000-0005-0000-0000-0000DC250000}"/>
    <cellStyle name="Normal 12 2 3 8 2 9" xfId="10072" xr:uid="{00000000-0005-0000-0000-0000DD250000}"/>
    <cellStyle name="Normal 12 2 3 8 3" xfId="10073" xr:uid="{00000000-0005-0000-0000-0000DE250000}"/>
    <cellStyle name="Normal 12 2 3 8 3 10" xfId="10074" xr:uid="{00000000-0005-0000-0000-0000DF250000}"/>
    <cellStyle name="Normal 12 2 3 8 3 11" xfId="10075" xr:uid="{00000000-0005-0000-0000-0000E0250000}"/>
    <cellStyle name="Normal 12 2 3 8 3 2" xfId="10076" xr:uid="{00000000-0005-0000-0000-0000E1250000}"/>
    <cellStyle name="Normal 12 2 3 8 3 2 10" xfId="10077" xr:uid="{00000000-0005-0000-0000-0000E2250000}"/>
    <cellStyle name="Normal 12 2 3 8 3 2 2" xfId="10078" xr:uid="{00000000-0005-0000-0000-0000E3250000}"/>
    <cellStyle name="Normal 12 2 3 8 3 2 2 2" xfId="10079" xr:uid="{00000000-0005-0000-0000-0000E4250000}"/>
    <cellStyle name="Normal 12 2 3 8 3 2 2 2 2" xfId="10080" xr:uid="{00000000-0005-0000-0000-0000E5250000}"/>
    <cellStyle name="Normal 12 2 3 8 3 2 2 2 3" xfId="10081" xr:uid="{00000000-0005-0000-0000-0000E6250000}"/>
    <cellStyle name="Normal 12 2 3 8 3 2 2 2 4" xfId="10082" xr:uid="{00000000-0005-0000-0000-0000E7250000}"/>
    <cellStyle name="Normal 12 2 3 8 3 2 2 2 5" xfId="10083" xr:uid="{00000000-0005-0000-0000-0000E8250000}"/>
    <cellStyle name="Normal 12 2 3 8 3 2 2 3" xfId="10084" xr:uid="{00000000-0005-0000-0000-0000E9250000}"/>
    <cellStyle name="Normal 12 2 3 8 3 2 2 4" xfId="10085" xr:uid="{00000000-0005-0000-0000-0000EA250000}"/>
    <cellStyle name="Normal 12 2 3 8 3 2 2 5" xfId="10086" xr:uid="{00000000-0005-0000-0000-0000EB250000}"/>
    <cellStyle name="Normal 12 2 3 8 3 2 2 6" xfId="10087" xr:uid="{00000000-0005-0000-0000-0000EC250000}"/>
    <cellStyle name="Normal 12 2 3 8 3 2 2 7" xfId="10088" xr:uid="{00000000-0005-0000-0000-0000ED250000}"/>
    <cellStyle name="Normal 12 2 3 8 3 2 2 8" xfId="10089" xr:uid="{00000000-0005-0000-0000-0000EE250000}"/>
    <cellStyle name="Normal 12 2 3 8 3 2 3" xfId="10090" xr:uid="{00000000-0005-0000-0000-0000EF250000}"/>
    <cellStyle name="Normal 12 2 3 8 3 2 3 2" xfId="10091" xr:uid="{00000000-0005-0000-0000-0000F0250000}"/>
    <cellStyle name="Normal 12 2 3 8 3 2 3 2 2" xfId="10092" xr:uid="{00000000-0005-0000-0000-0000F1250000}"/>
    <cellStyle name="Normal 12 2 3 8 3 2 3 2 3" xfId="10093" xr:uid="{00000000-0005-0000-0000-0000F2250000}"/>
    <cellStyle name="Normal 12 2 3 8 3 2 3 2 4" xfId="10094" xr:uid="{00000000-0005-0000-0000-0000F3250000}"/>
    <cellStyle name="Normal 12 2 3 8 3 2 3 2 5" xfId="10095" xr:uid="{00000000-0005-0000-0000-0000F4250000}"/>
    <cellStyle name="Normal 12 2 3 8 3 2 3 3" xfId="10096" xr:uid="{00000000-0005-0000-0000-0000F5250000}"/>
    <cellStyle name="Normal 12 2 3 8 3 2 3 4" xfId="10097" xr:uid="{00000000-0005-0000-0000-0000F6250000}"/>
    <cellStyle name="Normal 12 2 3 8 3 2 3 5" xfId="10098" xr:uid="{00000000-0005-0000-0000-0000F7250000}"/>
    <cellStyle name="Normal 12 2 3 8 3 2 3 6" xfId="10099" xr:uid="{00000000-0005-0000-0000-0000F8250000}"/>
    <cellStyle name="Normal 12 2 3 8 3 2 3 7" xfId="10100" xr:uid="{00000000-0005-0000-0000-0000F9250000}"/>
    <cellStyle name="Normal 12 2 3 8 3 2 3 8" xfId="10101" xr:uid="{00000000-0005-0000-0000-0000FA250000}"/>
    <cellStyle name="Normal 12 2 3 8 3 2 4" xfId="10102" xr:uid="{00000000-0005-0000-0000-0000FB250000}"/>
    <cellStyle name="Normal 12 2 3 8 3 2 4 2" xfId="10103" xr:uid="{00000000-0005-0000-0000-0000FC250000}"/>
    <cellStyle name="Normal 12 2 3 8 3 2 4 3" xfId="10104" xr:uid="{00000000-0005-0000-0000-0000FD250000}"/>
    <cellStyle name="Normal 12 2 3 8 3 2 4 4" xfId="10105" xr:uid="{00000000-0005-0000-0000-0000FE250000}"/>
    <cellStyle name="Normal 12 2 3 8 3 2 4 5" xfId="10106" xr:uid="{00000000-0005-0000-0000-0000FF250000}"/>
    <cellStyle name="Normal 12 2 3 8 3 2 5" xfId="10107" xr:uid="{00000000-0005-0000-0000-000000260000}"/>
    <cellStyle name="Normal 12 2 3 8 3 2 6" xfId="10108" xr:uid="{00000000-0005-0000-0000-000001260000}"/>
    <cellStyle name="Normal 12 2 3 8 3 2 7" xfId="10109" xr:uid="{00000000-0005-0000-0000-000002260000}"/>
    <cellStyle name="Normal 12 2 3 8 3 2 8" xfId="10110" xr:uid="{00000000-0005-0000-0000-000003260000}"/>
    <cellStyle name="Normal 12 2 3 8 3 2 9" xfId="10111" xr:uid="{00000000-0005-0000-0000-000004260000}"/>
    <cellStyle name="Normal 12 2 3 8 3 3" xfId="10112" xr:uid="{00000000-0005-0000-0000-000005260000}"/>
    <cellStyle name="Normal 12 2 3 8 3 3 2" xfId="10113" xr:uid="{00000000-0005-0000-0000-000006260000}"/>
    <cellStyle name="Normal 12 2 3 8 3 3 2 2" xfId="10114" xr:uid="{00000000-0005-0000-0000-000007260000}"/>
    <cellStyle name="Normal 12 2 3 8 3 3 2 3" xfId="10115" xr:uid="{00000000-0005-0000-0000-000008260000}"/>
    <cellStyle name="Normal 12 2 3 8 3 3 2 4" xfId="10116" xr:uid="{00000000-0005-0000-0000-000009260000}"/>
    <cellStyle name="Normal 12 2 3 8 3 3 2 5" xfId="10117" xr:uid="{00000000-0005-0000-0000-00000A260000}"/>
    <cellStyle name="Normal 12 2 3 8 3 3 3" xfId="10118" xr:uid="{00000000-0005-0000-0000-00000B260000}"/>
    <cellStyle name="Normal 12 2 3 8 3 3 4" xfId="10119" xr:uid="{00000000-0005-0000-0000-00000C260000}"/>
    <cellStyle name="Normal 12 2 3 8 3 3 5" xfId="10120" xr:uid="{00000000-0005-0000-0000-00000D260000}"/>
    <cellStyle name="Normal 12 2 3 8 3 3 6" xfId="10121" xr:uid="{00000000-0005-0000-0000-00000E260000}"/>
    <cellStyle name="Normal 12 2 3 8 3 3 7" xfId="10122" xr:uid="{00000000-0005-0000-0000-00000F260000}"/>
    <cellStyle name="Normal 12 2 3 8 3 3 8" xfId="10123" xr:uid="{00000000-0005-0000-0000-000010260000}"/>
    <cellStyle name="Normal 12 2 3 8 3 4" xfId="10124" xr:uid="{00000000-0005-0000-0000-000011260000}"/>
    <cellStyle name="Normal 12 2 3 8 3 4 2" xfId="10125" xr:uid="{00000000-0005-0000-0000-000012260000}"/>
    <cellStyle name="Normal 12 2 3 8 3 4 2 2" xfId="10126" xr:uid="{00000000-0005-0000-0000-000013260000}"/>
    <cellStyle name="Normal 12 2 3 8 3 4 2 3" xfId="10127" xr:uid="{00000000-0005-0000-0000-000014260000}"/>
    <cellStyle name="Normal 12 2 3 8 3 4 2 4" xfId="10128" xr:uid="{00000000-0005-0000-0000-000015260000}"/>
    <cellStyle name="Normal 12 2 3 8 3 4 2 5" xfId="10129" xr:uid="{00000000-0005-0000-0000-000016260000}"/>
    <cellStyle name="Normal 12 2 3 8 3 4 3" xfId="10130" xr:uid="{00000000-0005-0000-0000-000017260000}"/>
    <cellStyle name="Normal 12 2 3 8 3 4 4" xfId="10131" xr:uid="{00000000-0005-0000-0000-000018260000}"/>
    <cellStyle name="Normal 12 2 3 8 3 4 5" xfId="10132" xr:uid="{00000000-0005-0000-0000-000019260000}"/>
    <cellStyle name="Normal 12 2 3 8 3 4 6" xfId="10133" xr:uid="{00000000-0005-0000-0000-00001A260000}"/>
    <cellStyle name="Normal 12 2 3 8 3 4 7" xfId="10134" xr:uid="{00000000-0005-0000-0000-00001B260000}"/>
    <cellStyle name="Normal 12 2 3 8 3 4 8" xfId="10135" xr:uid="{00000000-0005-0000-0000-00001C260000}"/>
    <cellStyle name="Normal 12 2 3 8 3 5" xfId="10136" xr:uid="{00000000-0005-0000-0000-00001D260000}"/>
    <cellStyle name="Normal 12 2 3 8 3 5 2" xfId="10137" xr:uid="{00000000-0005-0000-0000-00001E260000}"/>
    <cellStyle name="Normal 12 2 3 8 3 5 3" xfId="10138" xr:uid="{00000000-0005-0000-0000-00001F260000}"/>
    <cellStyle name="Normal 12 2 3 8 3 5 4" xfId="10139" xr:uid="{00000000-0005-0000-0000-000020260000}"/>
    <cellStyle name="Normal 12 2 3 8 3 5 5" xfId="10140" xr:uid="{00000000-0005-0000-0000-000021260000}"/>
    <cellStyle name="Normal 12 2 3 8 3 6" xfId="10141" xr:uid="{00000000-0005-0000-0000-000022260000}"/>
    <cellStyle name="Normal 12 2 3 8 3 7" xfId="10142" xr:uid="{00000000-0005-0000-0000-000023260000}"/>
    <cellStyle name="Normal 12 2 3 8 3 8" xfId="10143" xr:uid="{00000000-0005-0000-0000-000024260000}"/>
    <cellStyle name="Normal 12 2 3 8 3 9" xfId="10144" xr:uid="{00000000-0005-0000-0000-000025260000}"/>
    <cellStyle name="Normal 12 2 3 8 4" xfId="10145" xr:uid="{00000000-0005-0000-0000-000026260000}"/>
    <cellStyle name="Normal 12 2 3 8 4 10" xfId="10146" xr:uid="{00000000-0005-0000-0000-000027260000}"/>
    <cellStyle name="Normal 12 2 3 8 4 2" xfId="10147" xr:uid="{00000000-0005-0000-0000-000028260000}"/>
    <cellStyle name="Normal 12 2 3 8 4 2 2" xfId="10148" xr:uid="{00000000-0005-0000-0000-000029260000}"/>
    <cellStyle name="Normal 12 2 3 8 4 2 2 2" xfId="10149" xr:uid="{00000000-0005-0000-0000-00002A260000}"/>
    <cellStyle name="Normal 12 2 3 8 4 2 2 3" xfId="10150" xr:uid="{00000000-0005-0000-0000-00002B260000}"/>
    <cellStyle name="Normal 12 2 3 8 4 2 2 4" xfId="10151" xr:uid="{00000000-0005-0000-0000-00002C260000}"/>
    <cellStyle name="Normal 12 2 3 8 4 2 2 5" xfId="10152" xr:uid="{00000000-0005-0000-0000-00002D260000}"/>
    <cellStyle name="Normal 12 2 3 8 4 2 3" xfId="10153" xr:uid="{00000000-0005-0000-0000-00002E260000}"/>
    <cellStyle name="Normal 12 2 3 8 4 2 4" xfId="10154" xr:uid="{00000000-0005-0000-0000-00002F260000}"/>
    <cellStyle name="Normal 12 2 3 8 4 2 5" xfId="10155" xr:uid="{00000000-0005-0000-0000-000030260000}"/>
    <cellStyle name="Normal 12 2 3 8 4 2 6" xfId="10156" xr:uid="{00000000-0005-0000-0000-000031260000}"/>
    <cellStyle name="Normal 12 2 3 8 4 2 7" xfId="10157" xr:uid="{00000000-0005-0000-0000-000032260000}"/>
    <cellStyle name="Normal 12 2 3 8 4 2 8" xfId="10158" xr:uid="{00000000-0005-0000-0000-000033260000}"/>
    <cellStyle name="Normal 12 2 3 8 4 3" xfId="10159" xr:uid="{00000000-0005-0000-0000-000034260000}"/>
    <cellStyle name="Normal 12 2 3 8 4 3 2" xfId="10160" xr:uid="{00000000-0005-0000-0000-000035260000}"/>
    <cellStyle name="Normal 12 2 3 8 4 3 2 2" xfId="10161" xr:uid="{00000000-0005-0000-0000-000036260000}"/>
    <cellStyle name="Normal 12 2 3 8 4 3 2 3" xfId="10162" xr:uid="{00000000-0005-0000-0000-000037260000}"/>
    <cellStyle name="Normal 12 2 3 8 4 3 2 4" xfId="10163" xr:uid="{00000000-0005-0000-0000-000038260000}"/>
    <cellStyle name="Normal 12 2 3 8 4 3 2 5" xfId="10164" xr:uid="{00000000-0005-0000-0000-000039260000}"/>
    <cellStyle name="Normal 12 2 3 8 4 3 3" xfId="10165" xr:uid="{00000000-0005-0000-0000-00003A260000}"/>
    <cellStyle name="Normal 12 2 3 8 4 3 4" xfId="10166" xr:uid="{00000000-0005-0000-0000-00003B260000}"/>
    <cellStyle name="Normal 12 2 3 8 4 3 5" xfId="10167" xr:uid="{00000000-0005-0000-0000-00003C260000}"/>
    <cellStyle name="Normal 12 2 3 8 4 3 6" xfId="10168" xr:uid="{00000000-0005-0000-0000-00003D260000}"/>
    <cellStyle name="Normal 12 2 3 8 4 3 7" xfId="10169" xr:uid="{00000000-0005-0000-0000-00003E260000}"/>
    <cellStyle name="Normal 12 2 3 8 4 3 8" xfId="10170" xr:uid="{00000000-0005-0000-0000-00003F260000}"/>
    <cellStyle name="Normal 12 2 3 8 4 4" xfId="10171" xr:uid="{00000000-0005-0000-0000-000040260000}"/>
    <cellStyle name="Normal 12 2 3 8 4 4 2" xfId="10172" xr:uid="{00000000-0005-0000-0000-000041260000}"/>
    <cellStyle name="Normal 12 2 3 8 4 4 3" xfId="10173" xr:uid="{00000000-0005-0000-0000-000042260000}"/>
    <cellStyle name="Normal 12 2 3 8 4 4 4" xfId="10174" xr:uid="{00000000-0005-0000-0000-000043260000}"/>
    <cellStyle name="Normal 12 2 3 8 4 4 5" xfId="10175" xr:uid="{00000000-0005-0000-0000-000044260000}"/>
    <cellStyle name="Normal 12 2 3 8 4 5" xfId="10176" xr:uid="{00000000-0005-0000-0000-000045260000}"/>
    <cellStyle name="Normal 12 2 3 8 4 6" xfId="10177" xr:uid="{00000000-0005-0000-0000-000046260000}"/>
    <cellStyle name="Normal 12 2 3 8 4 7" xfId="10178" xr:uid="{00000000-0005-0000-0000-000047260000}"/>
    <cellStyle name="Normal 12 2 3 8 4 8" xfId="10179" xr:uid="{00000000-0005-0000-0000-000048260000}"/>
    <cellStyle name="Normal 12 2 3 8 4 9" xfId="10180" xr:uid="{00000000-0005-0000-0000-000049260000}"/>
    <cellStyle name="Normal 12 2 3 8 5" xfId="10181" xr:uid="{00000000-0005-0000-0000-00004A260000}"/>
    <cellStyle name="Normal 12 2 3 8 5 2" xfId="10182" xr:uid="{00000000-0005-0000-0000-00004B260000}"/>
    <cellStyle name="Normal 12 2 3 8 5 2 2" xfId="10183" xr:uid="{00000000-0005-0000-0000-00004C260000}"/>
    <cellStyle name="Normal 12 2 3 8 5 2 3" xfId="10184" xr:uid="{00000000-0005-0000-0000-00004D260000}"/>
    <cellStyle name="Normal 12 2 3 8 5 2 4" xfId="10185" xr:uid="{00000000-0005-0000-0000-00004E260000}"/>
    <cellStyle name="Normal 12 2 3 8 5 2 5" xfId="10186" xr:uid="{00000000-0005-0000-0000-00004F260000}"/>
    <cellStyle name="Normal 12 2 3 8 5 3" xfId="10187" xr:uid="{00000000-0005-0000-0000-000050260000}"/>
    <cellStyle name="Normal 12 2 3 8 5 4" xfId="10188" xr:uid="{00000000-0005-0000-0000-000051260000}"/>
    <cellStyle name="Normal 12 2 3 8 5 5" xfId="10189" xr:uid="{00000000-0005-0000-0000-000052260000}"/>
    <cellStyle name="Normal 12 2 3 8 5 6" xfId="10190" xr:uid="{00000000-0005-0000-0000-000053260000}"/>
    <cellStyle name="Normal 12 2 3 8 5 7" xfId="10191" xr:uid="{00000000-0005-0000-0000-000054260000}"/>
    <cellStyle name="Normal 12 2 3 8 5 8" xfId="10192" xr:uid="{00000000-0005-0000-0000-000055260000}"/>
    <cellStyle name="Normal 12 2 3 8 6" xfId="10193" xr:uid="{00000000-0005-0000-0000-000056260000}"/>
    <cellStyle name="Normal 12 2 3 8 6 2" xfId="10194" xr:uid="{00000000-0005-0000-0000-000057260000}"/>
    <cellStyle name="Normal 12 2 3 8 6 2 2" xfId="10195" xr:uid="{00000000-0005-0000-0000-000058260000}"/>
    <cellStyle name="Normal 12 2 3 8 6 2 3" xfId="10196" xr:uid="{00000000-0005-0000-0000-000059260000}"/>
    <cellStyle name="Normal 12 2 3 8 6 2 4" xfId="10197" xr:uid="{00000000-0005-0000-0000-00005A260000}"/>
    <cellStyle name="Normal 12 2 3 8 6 2 5" xfId="10198" xr:uid="{00000000-0005-0000-0000-00005B260000}"/>
    <cellStyle name="Normal 12 2 3 8 6 3" xfId="10199" xr:uid="{00000000-0005-0000-0000-00005C260000}"/>
    <cellStyle name="Normal 12 2 3 8 6 4" xfId="10200" xr:uid="{00000000-0005-0000-0000-00005D260000}"/>
    <cellStyle name="Normal 12 2 3 8 6 5" xfId="10201" xr:uid="{00000000-0005-0000-0000-00005E260000}"/>
    <cellStyle name="Normal 12 2 3 8 6 6" xfId="10202" xr:uid="{00000000-0005-0000-0000-00005F260000}"/>
    <cellStyle name="Normal 12 2 3 8 6 7" xfId="10203" xr:uid="{00000000-0005-0000-0000-000060260000}"/>
    <cellStyle name="Normal 12 2 3 8 6 8" xfId="10204" xr:uid="{00000000-0005-0000-0000-000061260000}"/>
    <cellStyle name="Normal 12 2 3 8 7" xfId="10205" xr:uid="{00000000-0005-0000-0000-000062260000}"/>
    <cellStyle name="Normal 12 2 3 8 7 2" xfId="10206" xr:uid="{00000000-0005-0000-0000-000063260000}"/>
    <cellStyle name="Normal 12 2 3 8 7 3" xfId="10207" xr:uid="{00000000-0005-0000-0000-000064260000}"/>
    <cellStyle name="Normal 12 2 3 8 7 4" xfId="10208" xr:uid="{00000000-0005-0000-0000-000065260000}"/>
    <cellStyle name="Normal 12 2 3 8 7 5" xfId="10209" xr:uid="{00000000-0005-0000-0000-000066260000}"/>
    <cellStyle name="Normal 12 2 3 8 8" xfId="10210" xr:uid="{00000000-0005-0000-0000-000067260000}"/>
    <cellStyle name="Normal 12 2 3 8 9" xfId="10211" xr:uid="{00000000-0005-0000-0000-000068260000}"/>
    <cellStyle name="Normal 12 2 3 9" xfId="10212" xr:uid="{00000000-0005-0000-0000-000069260000}"/>
    <cellStyle name="Normal 12 2 3 9 10" xfId="10213" xr:uid="{00000000-0005-0000-0000-00006A260000}"/>
    <cellStyle name="Normal 12 2 3 9 11" xfId="10214" xr:uid="{00000000-0005-0000-0000-00006B260000}"/>
    <cellStyle name="Normal 12 2 3 9 2" xfId="10215" xr:uid="{00000000-0005-0000-0000-00006C260000}"/>
    <cellStyle name="Normal 12 2 3 9 2 10" xfId="10216" xr:uid="{00000000-0005-0000-0000-00006D260000}"/>
    <cellStyle name="Normal 12 2 3 9 2 2" xfId="10217" xr:uid="{00000000-0005-0000-0000-00006E260000}"/>
    <cellStyle name="Normal 12 2 3 9 2 2 2" xfId="10218" xr:uid="{00000000-0005-0000-0000-00006F260000}"/>
    <cellStyle name="Normal 12 2 3 9 2 2 2 2" xfId="10219" xr:uid="{00000000-0005-0000-0000-000070260000}"/>
    <cellStyle name="Normal 12 2 3 9 2 2 2 3" xfId="10220" xr:uid="{00000000-0005-0000-0000-000071260000}"/>
    <cellStyle name="Normal 12 2 3 9 2 2 2 4" xfId="10221" xr:uid="{00000000-0005-0000-0000-000072260000}"/>
    <cellStyle name="Normal 12 2 3 9 2 2 2 5" xfId="10222" xr:uid="{00000000-0005-0000-0000-000073260000}"/>
    <cellStyle name="Normal 12 2 3 9 2 2 3" xfId="10223" xr:uid="{00000000-0005-0000-0000-000074260000}"/>
    <cellStyle name="Normal 12 2 3 9 2 2 4" xfId="10224" xr:uid="{00000000-0005-0000-0000-000075260000}"/>
    <cellStyle name="Normal 12 2 3 9 2 2 5" xfId="10225" xr:uid="{00000000-0005-0000-0000-000076260000}"/>
    <cellStyle name="Normal 12 2 3 9 2 2 6" xfId="10226" xr:uid="{00000000-0005-0000-0000-000077260000}"/>
    <cellStyle name="Normal 12 2 3 9 2 2 7" xfId="10227" xr:uid="{00000000-0005-0000-0000-000078260000}"/>
    <cellStyle name="Normal 12 2 3 9 2 2 8" xfId="10228" xr:uid="{00000000-0005-0000-0000-000079260000}"/>
    <cellStyle name="Normal 12 2 3 9 2 3" xfId="10229" xr:uid="{00000000-0005-0000-0000-00007A260000}"/>
    <cellStyle name="Normal 12 2 3 9 2 3 2" xfId="10230" xr:uid="{00000000-0005-0000-0000-00007B260000}"/>
    <cellStyle name="Normal 12 2 3 9 2 3 2 2" xfId="10231" xr:uid="{00000000-0005-0000-0000-00007C260000}"/>
    <cellStyle name="Normal 12 2 3 9 2 3 2 3" xfId="10232" xr:uid="{00000000-0005-0000-0000-00007D260000}"/>
    <cellStyle name="Normal 12 2 3 9 2 3 2 4" xfId="10233" xr:uid="{00000000-0005-0000-0000-00007E260000}"/>
    <cellStyle name="Normal 12 2 3 9 2 3 2 5" xfId="10234" xr:uid="{00000000-0005-0000-0000-00007F260000}"/>
    <cellStyle name="Normal 12 2 3 9 2 3 3" xfId="10235" xr:uid="{00000000-0005-0000-0000-000080260000}"/>
    <cellStyle name="Normal 12 2 3 9 2 3 4" xfId="10236" xr:uid="{00000000-0005-0000-0000-000081260000}"/>
    <cellStyle name="Normal 12 2 3 9 2 3 5" xfId="10237" xr:uid="{00000000-0005-0000-0000-000082260000}"/>
    <cellStyle name="Normal 12 2 3 9 2 3 6" xfId="10238" xr:uid="{00000000-0005-0000-0000-000083260000}"/>
    <cellStyle name="Normal 12 2 3 9 2 3 7" xfId="10239" xr:uid="{00000000-0005-0000-0000-000084260000}"/>
    <cellStyle name="Normal 12 2 3 9 2 3 8" xfId="10240" xr:uid="{00000000-0005-0000-0000-000085260000}"/>
    <cellStyle name="Normal 12 2 3 9 2 4" xfId="10241" xr:uid="{00000000-0005-0000-0000-000086260000}"/>
    <cellStyle name="Normal 12 2 3 9 2 4 2" xfId="10242" xr:uid="{00000000-0005-0000-0000-000087260000}"/>
    <cellStyle name="Normal 12 2 3 9 2 4 3" xfId="10243" xr:uid="{00000000-0005-0000-0000-000088260000}"/>
    <cellStyle name="Normal 12 2 3 9 2 4 4" xfId="10244" xr:uid="{00000000-0005-0000-0000-000089260000}"/>
    <cellStyle name="Normal 12 2 3 9 2 4 5" xfId="10245" xr:uid="{00000000-0005-0000-0000-00008A260000}"/>
    <cellStyle name="Normal 12 2 3 9 2 5" xfId="10246" xr:uid="{00000000-0005-0000-0000-00008B260000}"/>
    <cellStyle name="Normal 12 2 3 9 2 6" xfId="10247" xr:uid="{00000000-0005-0000-0000-00008C260000}"/>
    <cellStyle name="Normal 12 2 3 9 2 7" xfId="10248" xr:uid="{00000000-0005-0000-0000-00008D260000}"/>
    <cellStyle name="Normal 12 2 3 9 2 8" xfId="10249" xr:uid="{00000000-0005-0000-0000-00008E260000}"/>
    <cellStyle name="Normal 12 2 3 9 2 9" xfId="10250" xr:uid="{00000000-0005-0000-0000-00008F260000}"/>
    <cellStyle name="Normal 12 2 3 9 3" xfId="10251" xr:uid="{00000000-0005-0000-0000-000090260000}"/>
    <cellStyle name="Normal 12 2 3 9 3 2" xfId="10252" xr:uid="{00000000-0005-0000-0000-000091260000}"/>
    <cellStyle name="Normal 12 2 3 9 3 2 2" xfId="10253" xr:uid="{00000000-0005-0000-0000-000092260000}"/>
    <cellStyle name="Normal 12 2 3 9 3 2 3" xfId="10254" xr:uid="{00000000-0005-0000-0000-000093260000}"/>
    <cellStyle name="Normal 12 2 3 9 3 2 4" xfId="10255" xr:uid="{00000000-0005-0000-0000-000094260000}"/>
    <cellStyle name="Normal 12 2 3 9 3 2 5" xfId="10256" xr:uid="{00000000-0005-0000-0000-000095260000}"/>
    <cellStyle name="Normal 12 2 3 9 3 3" xfId="10257" xr:uid="{00000000-0005-0000-0000-000096260000}"/>
    <cellStyle name="Normal 12 2 3 9 3 4" xfId="10258" xr:uid="{00000000-0005-0000-0000-000097260000}"/>
    <cellStyle name="Normal 12 2 3 9 3 5" xfId="10259" xr:uid="{00000000-0005-0000-0000-000098260000}"/>
    <cellStyle name="Normal 12 2 3 9 3 6" xfId="10260" xr:uid="{00000000-0005-0000-0000-000099260000}"/>
    <cellStyle name="Normal 12 2 3 9 3 7" xfId="10261" xr:uid="{00000000-0005-0000-0000-00009A260000}"/>
    <cellStyle name="Normal 12 2 3 9 3 8" xfId="10262" xr:uid="{00000000-0005-0000-0000-00009B260000}"/>
    <cellStyle name="Normal 12 2 3 9 4" xfId="10263" xr:uid="{00000000-0005-0000-0000-00009C260000}"/>
    <cellStyle name="Normal 12 2 3 9 4 2" xfId="10264" xr:uid="{00000000-0005-0000-0000-00009D260000}"/>
    <cellStyle name="Normal 12 2 3 9 4 2 2" xfId="10265" xr:uid="{00000000-0005-0000-0000-00009E260000}"/>
    <cellStyle name="Normal 12 2 3 9 4 2 3" xfId="10266" xr:uid="{00000000-0005-0000-0000-00009F260000}"/>
    <cellStyle name="Normal 12 2 3 9 4 2 4" xfId="10267" xr:uid="{00000000-0005-0000-0000-0000A0260000}"/>
    <cellStyle name="Normal 12 2 3 9 4 2 5" xfId="10268" xr:uid="{00000000-0005-0000-0000-0000A1260000}"/>
    <cellStyle name="Normal 12 2 3 9 4 3" xfId="10269" xr:uid="{00000000-0005-0000-0000-0000A2260000}"/>
    <cellStyle name="Normal 12 2 3 9 4 4" xfId="10270" xr:uid="{00000000-0005-0000-0000-0000A3260000}"/>
    <cellStyle name="Normal 12 2 3 9 4 5" xfId="10271" xr:uid="{00000000-0005-0000-0000-0000A4260000}"/>
    <cellStyle name="Normal 12 2 3 9 4 6" xfId="10272" xr:uid="{00000000-0005-0000-0000-0000A5260000}"/>
    <cellStyle name="Normal 12 2 3 9 4 7" xfId="10273" xr:uid="{00000000-0005-0000-0000-0000A6260000}"/>
    <cellStyle name="Normal 12 2 3 9 4 8" xfId="10274" xr:uid="{00000000-0005-0000-0000-0000A7260000}"/>
    <cellStyle name="Normal 12 2 3 9 5" xfId="10275" xr:uid="{00000000-0005-0000-0000-0000A8260000}"/>
    <cellStyle name="Normal 12 2 3 9 5 2" xfId="10276" xr:uid="{00000000-0005-0000-0000-0000A9260000}"/>
    <cellStyle name="Normal 12 2 3 9 5 3" xfId="10277" xr:uid="{00000000-0005-0000-0000-0000AA260000}"/>
    <cellStyle name="Normal 12 2 3 9 5 4" xfId="10278" xr:uid="{00000000-0005-0000-0000-0000AB260000}"/>
    <cellStyle name="Normal 12 2 3 9 5 5" xfId="10279" xr:uid="{00000000-0005-0000-0000-0000AC260000}"/>
    <cellStyle name="Normal 12 2 3 9 6" xfId="10280" xr:uid="{00000000-0005-0000-0000-0000AD260000}"/>
    <cellStyle name="Normal 12 2 3 9 7" xfId="10281" xr:uid="{00000000-0005-0000-0000-0000AE260000}"/>
    <cellStyle name="Normal 12 2 3 9 8" xfId="10282" xr:uid="{00000000-0005-0000-0000-0000AF260000}"/>
    <cellStyle name="Normal 12 2 3 9 9" xfId="10283" xr:uid="{00000000-0005-0000-0000-0000B0260000}"/>
    <cellStyle name="Normal 12 2 4" xfId="10284" xr:uid="{00000000-0005-0000-0000-0000B1260000}"/>
    <cellStyle name="Normal 12 2 4 10" xfId="10285" xr:uid="{00000000-0005-0000-0000-0000B2260000}"/>
    <cellStyle name="Normal 12 2 4 11" xfId="10286" xr:uid="{00000000-0005-0000-0000-0000B3260000}"/>
    <cellStyle name="Normal 12 2 4 12" xfId="10287" xr:uid="{00000000-0005-0000-0000-0000B4260000}"/>
    <cellStyle name="Normal 12 2 4 13" xfId="10288" xr:uid="{00000000-0005-0000-0000-0000B5260000}"/>
    <cellStyle name="Normal 12 2 4 2" xfId="10289" xr:uid="{00000000-0005-0000-0000-0000B6260000}"/>
    <cellStyle name="Normal 12 2 4 2 10" xfId="10290" xr:uid="{00000000-0005-0000-0000-0000B7260000}"/>
    <cellStyle name="Normal 12 2 4 2 11" xfId="10291" xr:uid="{00000000-0005-0000-0000-0000B8260000}"/>
    <cellStyle name="Normal 12 2 4 2 2" xfId="10292" xr:uid="{00000000-0005-0000-0000-0000B9260000}"/>
    <cellStyle name="Normal 12 2 4 2 2 10" xfId="10293" xr:uid="{00000000-0005-0000-0000-0000BA260000}"/>
    <cellStyle name="Normal 12 2 4 2 2 2" xfId="10294" xr:uid="{00000000-0005-0000-0000-0000BB260000}"/>
    <cellStyle name="Normal 12 2 4 2 2 2 2" xfId="10295" xr:uid="{00000000-0005-0000-0000-0000BC260000}"/>
    <cellStyle name="Normal 12 2 4 2 2 2 2 2" xfId="10296" xr:uid="{00000000-0005-0000-0000-0000BD260000}"/>
    <cellStyle name="Normal 12 2 4 2 2 2 2 3" xfId="10297" xr:uid="{00000000-0005-0000-0000-0000BE260000}"/>
    <cellStyle name="Normal 12 2 4 2 2 2 2 4" xfId="10298" xr:uid="{00000000-0005-0000-0000-0000BF260000}"/>
    <cellStyle name="Normal 12 2 4 2 2 2 2 5" xfId="10299" xr:uid="{00000000-0005-0000-0000-0000C0260000}"/>
    <cellStyle name="Normal 12 2 4 2 2 2 3" xfId="10300" xr:uid="{00000000-0005-0000-0000-0000C1260000}"/>
    <cellStyle name="Normal 12 2 4 2 2 2 4" xfId="10301" xr:uid="{00000000-0005-0000-0000-0000C2260000}"/>
    <cellStyle name="Normal 12 2 4 2 2 2 5" xfId="10302" xr:uid="{00000000-0005-0000-0000-0000C3260000}"/>
    <cellStyle name="Normal 12 2 4 2 2 2 6" xfId="10303" xr:uid="{00000000-0005-0000-0000-0000C4260000}"/>
    <cellStyle name="Normal 12 2 4 2 2 2 7" xfId="10304" xr:uid="{00000000-0005-0000-0000-0000C5260000}"/>
    <cellStyle name="Normal 12 2 4 2 2 2 8" xfId="10305" xr:uid="{00000000-0005-0000-0000-0000C6260000}"/>
    <cellStyle name="Normal 12 2 4 2 2 3" xfId="10306" xr:uid="{00000000-0005-0000-0000-0000C7260000}"/>
    <cellStyle name="Normal 12 2 4 2 2 3 2" xfId="10307" xr:uid="{00000000-0005-0000-0000-0000C8260000}"/>
    <cellStyle name="Normal 12 2 4 2 2 3 2 2" xfId="10308" xr:uid="{00000000-0005-0000-0000-0000C9260000}"/>
    <cellStyle name="Normal 12 2 4 2 2 3 2 3" xfId="10309" xr:uid="{00000000-0005-0000-0000-0000CA260000}"/>
    <cellStyle name="Normal 12 2 4 2 2 3 2 4" xfId="10310" xr:uid="{00000000-0005-0000-0000-0000CB260000}"/>
    <cellStyle name="Normal 12 2 4 2 2 3 2 5" xfId="10311" xr:uid="{00000000-0005-0000-0000-0000CC260000}"/>
    <cellStyle name="Normal 12 2 4 2 2 3 3" xfId="10312" xr:uid="{00000000-0005-0000-0000-0000CD260000}"/>
    <cellStyle name="Normal 12 2 4 2 2 3 4" xfId="10313" xr:uid="{00000000-0005-0000-0000-0000CE260000}"/>
    <cellStyle name="Normal 12 2 4 2 2 3 5" xfId="10314" xr:uid="{00000000-0005-0000-0000-0000CF260000}"/>
    <cellStyle name="Normal 12 2 4 2 2 3 6" xfId="10315" xr:uid="{00000000-0005-0000-0000-0000D0260000}"/>
    <cellStyle name="Normal 12 2 4 2 2 3 7" xfId="10316" xr:uid="{00000000-0005-0000-0000-0000D1260000}"/>
    <cellStyle name="Normal 12 2 4 2 2 3 8" xfId="10317" xr:uid="{00000000-0005-0000-0000-0000D2260000}"/>
    <cellStyle name="Normal 12 2 4 2 2 4" xfId="10318" xr:uid="{00000000-0005-0000-0000-0000D3260000}"/>
    <cellStyle name="Normal 12 2 4 2 2 4 2" xfId="10319" xr:uid="{00000000-0005-0000-0000-0000D4260000}"/>
    <cellStyle name="Normal 12 2 4 2 2 4 3" xfId="10320" xr:uid="{00000000-0005-0000-0000-0000D5260000}"/>
    <cellStyle name="Normal 12 2 4 2 2 4 4" xfId="10321" xr:uid="{00000000-0005-0000-0000-0000D6260000}"/>
    <cellStyle name="Normal 12 2 4 2 2 4 5" xfId="10322" xr:uid="{00000000-0005-0000-0000-0000D7260000}"/>
    <cellStyle name="Normal 12 2 4 2 2 5" xfId="10323" xr:uid="{00000000-0005-0000-0000-0000D8260000}"/>
    <cellStyle name="Normal 12 2 4 2 2 6" xfId="10324" xr:uid="{00000000-0005-0000-0000-0000D9260000}"/>
    <cellStyle name="Normal 12 2 4 2 2 7" xfId="10325" xr:uid="{00000000-0005-0000-0000-0000DA260000}"/>
    <cellStyle name="Normal 12 2 4 2 2 8" xfId="10326" xr:uid="{00000000-0005-0000-0000-0000DB260000}"/>
    <cellStyle name="Normal 12 2 4 2 2 9" xfId="10327" xr:uid="{00000000-0005-0000-0000-0000DC260000}"/>
    <cellStyle name="Normal 12 2 4 2 3" xfId="10328" xr:uid="{00000000-0005-0000-0000-0000DD260000}"/>
    <cellStyle name="Normal 12 2 4 2 3 2" xfId="10329" xr:uid="{00000000-0005-0000-0000-0000DE260000}"/>
    <cellStyle name="Normal 12 2 4 2 3 2 2" xfId="10330" xr:uid="{00000000-0005-0000-0000-0000DF260000}"/>
    <cellStyle name="Normal 12 2 4 2 3 2 3" xfId="10331" xr:uid="{00000000-0005-0000-0000-0000E0260000}"/>
    <cellStyle name="Normal 12 2 4 2 3 2 4" xfId="10332" xr:uid="{00000000-0005-0000-0000-0000E1260000}"/>
    <cellStyle name="Normal 12 2 4 2 3 2 5" xfId="10333" xr:uid="{00000000-0005-0000-0000-0000E2260000}"/>
    <cellStyle name="Normal 12 2 4 2 3 3" xfId="10334" xr:uid="{00000000-0005-0000-0000-0000E3260000}"/>
    <cellStyle name="Normal 12 2 4 2 3 4" xfId="10335" xr:uid="{00000000-0005-0000-0000-0000E4260000}"/>
    <cellStyle name="Normal 12 2 4 2 3 5" xfId="10336" xr:uid="{00000000-0005-0000-0000-0000E5260000}"/>
    <cellStyle name="Normal 12 2 4 2 3 6" xfId="10337" xr:uid="{00000000-0005-0000-0000-0000E6260000}"/>
    <cellStyle name="Normal 12 2 4 2 3 7" xfId="10338" xr:uid="{00000000-0005-0000-0000-0000E7260000}"/>
    <cellStyle name="Normal 12 2 4 2 3 8" xfId="10339" xr:uid="{00000000-0005-0000-0000-0000E8260000}"/>
    <cellStyle name="Normal 12 2 4 2 4" xfId="10340" xr:uid="{00000000-0005-0000-0000-0000E9260000}"/>
    <cellStyle name="Normal 12 2 4 2 4 2" xfId="10341" xr:uid="{00000000-0005-0000-0000-0000EA260000}"/>
    <cellStyle name="Normal 12 2 4 2 4 2 2" xfId="10342" xr:uid="{00000000-0005-0000-0000-0000EB260000}"/>
    <cellStyle name="Normal 12 2 4 2 4 2 3" xfId="10343" xr:uid="{00000000-0005-0000-0000-0000EC260000}"/>
    <cellStyle name="Normal 12 2 4 2 4 2 4" xfId="10344" xr:uid="{00000000-0005-0000-0000-0000ED260000}"/>
    <cellStyle name="Normal 12 2 4 2 4 2 5" xfId="10345" xr:uid="{00000000-0005-0000-0000-0000EE260000}"/>
    <cellStyle name="Normal 12 2 4 2 4 3" xfId="10346" xr:uid="{00000000-0005-0000-0000-0000EF260000}"/>
    <cellStyle name="Normal 12 2 4 2 4 4" xfId="10347" xr:uid="{00000000-0005-0000-0000-0000F0260000}"/>
    <cellStyle name="Normal 12 2 4 2 4 5" xfId="10348" xr:uid="{00000000-0005-0000-0000-0000F1260000}"/>
    <cellStyle name="Normal 12 2 4 2 4 6" xfId="10349" xr:uid="{00000000-0005-0000-0000-0000F2260000}"/>
    <cellStyle name="Normal 12 2 4 2 4 7" xfId="10350" xr:uid="{00000000-0005-0000-0000-0000F3260000}"/>
    <cellStyle name="Normal 12 2 4 2 4 8" xfId="10351" xr:uid="{00000000-0005-0000-0000-0000F4260000}"/>
    <cellStyle name="Normal 12 2 4 2 5" xfId="10352" xr:uid="{00000000-0005-0000-0000-0000F5260000}"/>
    <cellStyle name="Normal 12 2 4 2 5 2" xfId="10353" xr:uid="{00000000-0005-0000-0000-0000F6260000}"/>
    <cellStyle name="Normal 12 2 4 2 5 3" xfId="10354" xr:uid="{00000000-0005-0000-0000-0000F7260000}"/>
    <cellStyle name="Normal 12 2 4 2 5 4" xfId="10355" xr:uid="{00000000-0005-0000-0000-0000F8260000}"/>
    <cellStyle name="Normal 12 2 4 2 5 5" xfId="10356" xr:uid="{00000000-0005-0000-0000-0000F9260000}"/>
    <cellStyle name="Normal 12 2 4 2 6" xfId="10357" xr:uid="{00000000-0005-0000-0000-0000FA260000}"/>
    <cellStyle name="Normal 12 2 4 2 7" xfId="10358" xr:uid="{00000000-0005-0000-0000-0000FB260000}"/>
    <cellStyle name="Normal 12 2 4 2 8" xfId="10359" xr:uid="{00000000-0005-0000-0000-0000FC260000}"/>
    <cellStyle name="Normal 12 2 4 2 9" xfId="10360" xr:uid="{00000000-0005-0000-0000-0000FD260000}"/>
    <cellStyle name="Normal 12 2 4 3" xfId="10361" xr:uid="{00000000-0005-0000-0000-0000FE260000}"/>
    <cellStyle name="Normal 12 2 4 3 10" xfId="10362" xr:uid="{00000000-0005-0000-0000-0000FF260000}"/>
    <cellStyle name="Normal 12 2 4 3 11" xfId="10363" xr:uid="{00000000-0005-0000-0000-000000270000}"/>
    <cellStyle name="Normal 12 2 4 3 2" xfId="10364" xr:uid="{00000000-0005-0000-0000-000001270000}"/>
    <cellStyle name="Normal 12 2 4 3 2 10" xfId="10365" xr:uid="{00000000-0005-0000-0000-000002270000}"/>
    <cellStyle name="Normal 12 2 4 3 2 2" xfId="10366" xr:uid="{00000000-0005-0000-0000-000003270000}"/>
    <cellStyle name="Normal 12 2 4 3 2 2 2" xfId="10367" xr:uid="{00000000-0005-0000-0000-000004270000}"/>
    <cellStyle name="Normal 12 2 4 3 2 2 2 2" xfId="10368" xr:uid="{00000000-0005-0000-0000-000005270000}"/>
    <cellStyle name="Normal 12 2 4 3 2 2 2 3" xfId="10369" xr:uid="{00000000-0005-0000-0000-000006270000}"/>
    <cellStyle name="Normal 12 2 4 3 2 2 2 4" xfId="10370" xr:uid="{00000000-0005-0000-0000-000007270000}"/>
    <cellStyle name="Normal 12 2 4 3 2 2 2 5" xfId="10371" xr:uid="{00000000-0005-0000-0000-000008270000}"/>
    <cellStyle name="Normal 12 2 4 3 2 2 3" xfId="10372" xr:uid="{00000000-0005-0000-0000-000009270000}"/>
    <cellStyle name="Normal 12 2 4 3 2 2 4" xfId="10373" xr:uid="{00000000-0005-0000-0000-00000A270000}"/>
    <cellStyle name="Normal 12 2 4 3 2 2 5" xfId="10374" xr:uid="{00000000-0005-0000-0000-00000B270000}"/>
    <cellStyle name="Normal 12 2 4 3 2 2 6" xfId="10375" xr:uid="{00000000-0005-0000-0000-00000C270000}"/>
    <cellStyle name="Normal 12 2 4 3 2 2 7" xfId="10376" xr:uid="{00000000-0005-0000-0000-00000D270000}"/>
    <cellStyle name="Normal 12 2 4 3 2 2 8" xfId="10377" xr:uid="{00000000-0005-0000-0000-00000E270000}"/>
    <cellStyle name="Normal 12 2 4 3 2 3" xfId="10378" xr:uid="{00000000-0005-0000-0000-00000F270000}"/>
    <cellStyle name="Normal 12 2 4 3 2 3 2" xfId="10379" xr:uid="{00000000-0005-0000-0000-000010270000}"/>
    <cellStyle name="Normal 12 2 4 3 2 3 2 2" xfId="10380" xr:uid="{00000000-0005-0000-0000-000011270000}"/>
    <cellStyle name="Normal 12 2 4 3 2 3 2 3" xfId="10381" xr:uid="{00000000-0005-0000-0000-000012270000}"/>
    <cellStyle name="Normal 12 2 4 3 2 3 2 4" xfId="10382" xr:uid="{00000000-0005-0000-0000-000013270000}"/>
    <cellStyle name="Normal 12 2 4 3 2 3 2 5" xfId="10383" xr:uid="{00000000-0005-0000-0000-000014270000}"/>
    <cellStyle name="Normal 12 2 4 3 2 3 3" xfId="10384" xr:uid="{00000000-0005-0000-0000-000015270000}"/>
    <cellStyle name="Normal 12 2 4 3 2 3 4" xfId="10385" xr:uid="{00000000-0005-0000-0000-000016270000}"/>
    <cellStyle name="Normal 12 2 4 3 2 3 5" xfId="10386" xr:uid="{00000000-0005-0000-0000-000017270000}"/>
    <cellStyle name="Normal 12 2 4 3 2 3 6" xfId="10387" xr:uid="{00000000-0005-0000-0000-000018270000}"/>
    <cellStyle name="Normal 12 2 4 3 2 3 7" xfId="10388" xr:uid="{00000000-0005-0000-0000-000019270000}"/>
    <cellStyle name="Normal 12 2 4 3 2 3 8" xfId="10389" xr:uid="{00000000-0005-0000-0000-00001A270000}"/>
    <cellStyle name="Normal 12 2 4 3 2 4" xfId="10390" xr:uid="{00000000-0005-0000-0000-00001B270000}"/>
    <cellStyle name="Normal 12 2 4 3 2 4 2" xfId="10391" xr:uid="{00000000-0005-0000-0000-00001C270000}"/>
    <cellStyle name="Normal 12 2 4 3 2 4 3" xfId="10392" xr:uid="{00000000-0005-0000-0000-00001D270000}"/>
    <cellStyle name="Normal 12 2 4 3 2 4 4" xfId="10393" xr:uid="{00000000-0005-0000-0000-00001E270000}"/>
    <cellStyle name="Normal 12 2 4 3 2 4 5" xfId="10394" xr:uid="{00000000-0005-0000-0000-00001F270000}"/>
    <cellStyle name="Normal 12 2 4 3 2 5" xfId="10395" xr:uid="{00000000-0005-0000-0000-000020270000}"/>
    <cellStyle name="Normal 12 2 4 3 2 6" xfId="10396" xr:uid="{00000000-0005-0000-0000-000021270000}"/>
    <cellStyle name="Normal 12 2 4 3 2 7" xfId="10397" xr:uid="{00000000-0005-0000-0000-000022270000}"/>
    <cellStyle name="Normal 12 2 4 3 2 8" xfId="10398" xr:uid="{00000000-0005-0000-0000-000023270000}"/>
    <cellStyle name="Normal 12 2 4 3 2 9" xfId="10399" xr:uid="{00000000-0005-0000-0000-000024270000}"/>
    <cellStyle name="Normal 12 2 4 3 3" xfId="10400" xr:uid="{00000000-0005-0000-0000-000025270000}"/>
    <cellStyle name="Normal 12 2 4 3 3 2" xfId="10401" xr:uid="{00000000-0005-0000-0000-000026270000}"/>
    <cellStyle name="Normal 12 2 4 3 3 2 2" xfId="10402" xr:uid="{00000000-0005-0000-0000-000027270000}"/>
    <cellStyle name="Normal 12 2 4 3 3 2 3" xfId="10403" xr:uid="{00000000-0005-0000-0000-000028270000}"/>
    <cellStyle name="Normal 12 2 4 3 3 2 4" xfId="10404" xr:uid="{00000000-0005-0000-0000-000029270000}"/>
    <cellStyle name="Normal 12 2 4 3 3 2 5" xfId="10405" xr:uid="{00000000-0005-0000-0000-00002A270000}"/>
    <cellStyle name="Normal 12 2 4 3 3 3" xfId="10406" xr:uid="{00000000-0005-0000-0000-00002B270000}"/>
    <cellStyle name="Normal 12 2 4 3 3 4" xfId="10407" xr:uid="{00000000-0005-0000-0000-00002C270000}"/>
    <cellStyle name="Normal 12 2 4 3 3 5" xfId="10408" xr:uid="{00000000-0005-0000-0000-00002D270000}"/>
    <cellStyle name="Normal 12 2 4 3 3 6" xfId="10409" xr:uid="{00000000-0005-0000-0000-00002E270000}"/>
    <cellStyle name="Normal 12 2 4 3 3 7" xfId="10410" xr:uid="{00000000-0005-0000-0000-00002F270000}"/>
    <cellStyle name="Normal 12 2 4 3 3 8" xfId="10411" xr:uid="{00000000-0005-0000-0000-000030270000}"/>
    <cellStyle name="Normal 12 2 4 3 4" xfId="10412" xr:uid="{00000000-0005-0000-0000-000031270000}"/>
    <cellStyle name="Normal 12 2 4 3 4 2" xfId="10413" xr:uid="{00000000-0005-0000-0000-000032270000}"/>
    <cellStyle name="Normal 12 2 4 3 4 2 2" xfId="10414" xr:uid="{00000000-0005-0000-0000-000033270000}"/>
    <cellStyle name="Normal 12 2 4 3 4 2 3" xfId="10415" xr:uid="{00000000-0005-0000-0000-000034270000}"/>
    <cellStyle name="Normal 12 2 4 3 4 2 4" xfId="10416" xr:uid="{00000000-0005-0000-0000-000035270000}"/>
    <cellStyle name="Normal 12 2 4 3 4 2 5" xfId="10417" xr:uid="{00000000-0005-0000-0000-000036270000}"/>
    <cellStyle name="Normal 12 2 4 3 4 3" xfId="10418" xr:uid="{00000000-0005-0000-0000-000037270000}"/>
    <cellStyle name="Normal 12 2 4 3 4 4" xfId="10419" xr:uid="{00000000-0005-0000-0000-000038270000}"/>
    <cellStyle name="Normal 12 2 4 3 4 5" xfId="10420" xr:uid="{00000000-0005-0000-0000-000039270000}"/>
    <cellStyle name="Normal 12 2 4 3 4 6" xfId="10421" xr:uid="{00000000-0005-0000-0000-00003A270000}"/>
    <cellStyle name="Normal 12 2 4 3 4 7" xfId="10422" xr:uid="{00000000-0005-0000-0000-00003B270000}"/>
    <cellStyle name="Normal 12 2 4 3 4 8" xfId="10423" xr:uid="{00000000-0005-0000-0000-00003C270000}"/>
    <cellStyle name="Normal 12 2 4 3 5" xfId="10424" xr:uid="{00000000-0005-0000-0000-00003D270000}"/>
    <cellStyle name="Normal 12 2 4 3 5 2" xfId="10425" xr:uid="{00000000-0005-0000-0000-00003E270000}"/>
    <cellStyle name="Normal 12 2 4 3 5 3" xfId="10426" xr:uid="{00000000-0005-0000-0000-00003F270000}"/>
    <cellStyle name="Normal 12 2 4 3 5 4" xfId="10427" xr:uid="{00000000-0005-0000-0000-000040270000}"/>
    <cellStyle name="Normal 12 2 4 3 5 5" xfId="10428" xr:uid="{00000000-0005-0000-0000-000041270000}"/>
    <cellStyle name="Normal 12 2 4 3 6" xfId="10429" xr:uid="{00000000-0005-0000-0000-000042270000}"/>
    <cellStyle name="Normal 12 2 4 3 7" xfId="10430" xr:uid="{00000000-0005-0000-0000-000043270000}"/>
    <cellStyle name="Normal 12 2 4 3 8" xfId="10431" xr:uid="{00000000-0005-0000-0000-000044270000}"/>
    <cellStyle name="Normal 12 2 4 3 9" xfId="10432" xr:uid="{00000000-0005-0000-0000-000045270000}"/>
    <cellStyle name="Normal 12 2 4 4" xfId="10433" xr:uid="{00000000-0005-0000-0000-000046270000}"/>
    <cellStyle name="Normal 12 2 4 4 10" xfId="10434" xr:uid="{00000000-0005-0000-0000-000047270000}"/>
    <cellStyle name="Normal 12 2 4 4 2" xfId="10435" xr:uid="{00000000-0005-0000-0000-000048270000}"/>
    <cellStyle name="Normal 12 2 4 4 2 2" xfId="10436" xr:uid="{00000000-0005-0000-0000-000049270000}"/>
    <cellStyle name="Normal 12 2 4 4 2 2 2" xfId="10437" xr:uid="{00000000-0005-0000-0000-00004A270000}"/>
    <cellStyle name="Normal 12 2 4 4 2 2 3" xfId="10438" xr:uid="{00000000-0005-0000-0000-00004B270000}"/>
    <cellStyle name="Normal 12 2 4 4 2 2 4" xfId="10439" xr:uid="{00000000-0005-0000-0000-00004C270000}"/>
    <cellStyle name="Normal 12 2 4 4 2 2 5" xfId="10440" xr:uid="{00000000-0005-0000-0000-00004D270000}"/>
    <cellStyle name="Normal 12 2 4 4 2 3" xfId="10441" xr:uid="{00000000-0005-0000-0000-00004E270000}"/>
    <cellStyle name="Normal 12 2 4 4 2 4" xfId="10442" xr:uid="{00000000-0005-0000-0000-00004F270000}"/>
    <cellStyle name="Normal 12 2 4 4 2 5" xfId="10443" xr:uid="{00000000-0005-0000-0000-000050270000}"/>
    <cellStyle name="Normal 12 2 4 4 2 6" xfId="10444" xr:uid="{00000000-0005-0000-0000-000051270000}"/>
    <cellStyle name="Normal 12 2 4 4 2 7" xfId="10445" xr:uid="{00000000-0005-0000-0000-000052270000}"/>
    <cellStyle name="Normal 12 2 4 4 2 8" xfId="10446" xr:uid="{00000000-0005-0000-0000-000053270000}"/>
    <cellStyle name="Normal 12 2 4 4 3" xfId="10447" xr:uid="{00000000-0005-0000-0000-000054270000}"/>
    <cellStyle name="Normal 12 2 4 4 3 2" xfId="10448" xr:uid="{00000000-0005-0000-0000-000055270000}"/>
    <cellStyle name="Normal 12 2 4 4 3 2 2" xfId="10449" xr:uid="{00000000-0005-0000-0000-000056270000}"/>
    <cellStyle name="Normal 12 2 4 4 3 2 3" xfId="10450" xr:uid="{00000000-0005-0000-0000-000057270000}"/>
    <cellStyle name="Normal 12 2 4 4 3 2 4" xfId="10451" xr:uid="{00000000-0005-0000-0000-000058270000}"/>
    <cellStyle name="Normal 12 2 4 4 3 2 5" xfId="10452" xr:uid="{00000000-0005-0000-0000-000059270000}"/>
    <cellStyle name="Normal 12 2 4 4 3 3" xfId="10453" xr:uid="{00000000-0005-0000-0000-00005A270000}"/>
    <cellStyle name="Normal 12 2 4 4 3 4" xfId="10454" xr:uid="{00000000-0005-0000-0000-00005B270000}"/>
    <cellStyle name="Normal 12 2 4 4 3 5" xfId="10455" xr:uid="{00000000-0005-0000-0000-00005C270000}"/>
    <cellStyle name="Normal 12 2 4 4 3 6" xfId="10456" xr:uid="{00000000-0005-0000-0000-00005D270000}"/>
    <cellStyle name="Normal 12 2 4 4 3 7" xfId="10457" xr:uid="{00000000-0005-0000-0000-00005E270000}"/>
    <cellStyle name="Normal 12 2 4 4 3 8" xfId="10458" xr:uid="{00000000-0005-0000-0000-00005F270000}"/>
    <cellStyle name="Normal 12 2 4 4 4" xfId="10459" xr:uid="{00000000-0005-0000-0000-000060270000}"/>
    <cellStyle name="Normal 12 2 4 4 4 2" xfId="10460" xr:uid="{00000000-0005-0000-0000-000061270000}"/>
    <cellStyle name="Normal 12 2 4 4 4 3" xfId="10461" xr:uid="{00000000-0005-0000-0000-000062270000}"/>
    <cellStyle name="Normal 12 2 4 4 4 4" xfId="10462" xr:uid="{00000000-0005-0000-0000-000063270000}"/>
    <cellStyle name="Normal 12 2 4 4 4 5" xfId="10463" xr:uid="{00000000-0005-0000-0000-000064270000}"/>
    <cellStyle name="Normal 12 2 4 4 5" xfId="10464" xr:uid="{00000000-0005-0000-0000-000065270000}"/>
    <cellStyle name="Normal 12 2 4 4 6" xfId="10465" xr:uid="{00000000-0005-0000-0000-000066270000}"/>
    <cellStyle name="Normal 12 2 4 4 7" xfId="10466" xr:uid="{00000000-0005-0000-0000-000067270000}"/>
    <cellStyle name="Normal 12 2 4 4 8" xfId="10467" xr:uid="{00000000-0005-0000-0000-000068270000}"/>
    <cellStyle name="Normal 12 2 4 4 9" xfId="10468" xr:uid="{00000000-0005-0000-0000-000069270000}"/>
    <cellStyle name="Normal 12 2 4 5" xfId="10469" xr:uid="{00000000-0005-0000-0000-00006A270000}"/>
    <cellStyle name="Normal 12 2 4 5 2" xfId="10470" xr:uid="{00000000-0005-0000-0000-00006B270000}"/>
    <cellStyle name="Normal 12 2 4 5 2 2" xfId="10471" xr:uid="{00000000-0005-0000-0000-00006C270000}"/>
    <cellStyle name="Normal 12 2 4 5 2 3" xfId="10472" xr:uid="{00000000-0005-0000-0000-00006D270000}"/>
    <cellStyle name="Normal 12 2 4 5 2 4" xfId="10473" xr:uid="{00000000-0005-0000-0000-00006E270000}"/>
    <cellStyle name="Normal 12 2 4 5 2 5" xfId="10474" xr:uid="{00000000-0005-0000-0000-00006F270000}"/>
    <cellStyle name="Normal 12 2 4 5 3" xfId="10475" xr:uid="{00000000-0005-0000-0000-000070270000}"/>
    <cellStyle name="Normal 12 2 4 5 4" xfId="10476" xr:uid="{00000000-0005-0000-0000-000071270000}"/>
    <cellStyle name="Normal 12 2 4 5 5" xfId="10477" xr:uid="{00000000-0005-0000-0000-000072270000}"/>
    <cellStyle name="Normal 12 2 4 5 6" xfId="10478" xr:uid="{00000000-0005-0000-0000-000073270000}"/>
    <cellStyle name="Normal 12 2 4 5 7" xfId="10479" xr:uid="{00000000-0005-0000-0000-000074270000}"/>
    <cellStyle name="Normal 12 2 4 5 8" xfId="10480" xr:uid="{00000000-0005-0000-0000-000075270000}"/>
    <cellStyle name="Normal 12 2 4 6" xfId="10481" xr:uid="{00000000-0005-0000-0000-000076270000}"/>
    <cellStyle name="Normal 12 2 4 6 2" xfId="10482" xr:uid="{00000000-0005-0000-0000-000077270000}"/>
    <cellStyle name="Normal 12 2 4 6 2 2" xfId="10483" xr:uid="{00000000-0005-0000-0000-000078270000}"/>
    <cellStyle name="Normal 12 2 4 6 2 3" xfId="10484" xr:uid="{00000000-0005-0000-0000-000079270000}"/>
    <cellStyle name="Normal 12 2 4 6 2 4" xfId="10485" xr:uid="{00000000-0005-0000-0000-00007A270000}"/>
    <cellStyle name="Normal 12 2 4 6 2 5" xfId="10486" xr:uid="{00000000-0005-0000-0000-00007B270000}"/>
    <cellStyle name="Normal 12 2 4 6 3" xfId="10487" xr:uid="{00000000-0005-0000-0000-00007C270000}"/>
    <cellStyle name="Normal 12 2 4 6 4" xfId="10488" xr:uid="{00000000-0005-0000-0000-00007D270000}"/>
    <cellStyle name="Normal 12 2 4 6 5" xfId="10489" xr:uid="{00000000-0005-0000-0000-00007E270000}"/>
    <cellStyle name="Normal 12 2 4 6 6" xfId="10490" xr:uid="{00000000-0005-0000-0000-00007F270000}"/>
    <cellStyle name="Normal 12 2 4 6 7" xfId="10491" xr:uid="{00000000-0005-0000-0000-000080270000}"/>
    <cellStyle name="Normal 12 2 4 6 8" xfId="10492" xr:uid="{00000000-0005-0000-0000-000081270000}"/>
    <cellStyle name="Normal 12 2 4 7" xfId="10493" xr:uid="{00000000-0005-0000-0000-000082270000}"/>
    <cellStyle name="Normal 12 2 4 7 2" xfId="10494" xr:uid="{00000000-0005-0000-0000-000083270000}"/>
    <cellStyle name="Normal 12 2 4 7 3" xfId="10495" xr:uid="{00000000-0005-0000-0000-000084270000}"/>
    <cellStyle name="Normal 12 2 4 7 4" xfId="10496" xr:uid="{00000000-0005-0000-0000-000085270000}"/>
    <cellStyle name="Normal 12 2 4 7 5" xfId="10497" xr:uid="{00000000-0005-0000-0000-000086270000}"/>
    <cellStyle name="Normal 12 2 4 8" xfId="10498" xr:uid="{00000000-0005-0000-0000-000087270000}"/>
    <cellStyle name="Normal 12 2 4 9" xfId="10499" xr:uid="{00000000-0005-0000-0000-000088270000}"/>
    <cellStyle name="Normal 12 2 5" xfId="10500" xr:uid="{00000000-0005-0000-0000-000089270000}"/>
    <cellStyle name="Normal 12 2 5 10" xfId="10501" xr:uid="{00000000-0005-0000-0000-00008A270000}"/>
    <cellStyle name="Normal 12 2 5 11" xfId="10502" xr:uid="{00000000-0005-0000-0000-00008B270000}"/>
    <cellStyle name="Normal 12 2 5 12" xfId="10503" xr:uid="{00000000-0005-0000-0000-00008C270000}"/>
    <cellStyle name="Normal 12 2 5 13" xfId="10504" xr:uid="{00000000-0005-0000-0000-00008D270000}"/>
    <cellStyle name="Normal 12 2 5 2" xfId="10505" xr:uid="{00000000-0005-0000-0000-00008E270000}"/>
    <cellStyle name="Normal 12 2 5 2 10" xfId="10506" xr:uid="{00000000-0005-0000-0000-00008F270000}"/>
    <cellStyle name="Normal 12 2 5 2 11" xfId="10507" xr:uid="{00000000-0005-0000-0000-000090270000}"/>
    <cellStyle name="Normal 12 2 5 2 2" xfId="10508" xr:uid="{00000000-0005-0000-0000-000091270000}"/>
    <cellStyle name="Normal 12 2 5 2 2 10" xfId="10509" xr:uid="{00000000-0005-0000-0000-000092270000}"/>
    <cellStyle name="Normal 12 2 5 2 2 2" xfId="10510" xr:uid="{00000000-0005-0000-0000-000093270000}"/>
    <cellStyle name="Normal 12 2 5 2 2 2 2" xfId="10511" xr:uid="{00000000-0005-0000-0000-000094270000}"/>
    <cellStyle name="Normal 12 2 5 2 2 2 2 2" xfId="10512" xr:uid="{00000000-0005-0000-0000-000095270000}"/>
    <cellStyle name="Normal 12 2 5 2 2 2 2 3" xfId="10513" xr:uid="{00000000-0005-0000-0000-000096270000}"/>
    <cellStyle name="Normal 12 2 5 2 2 2 2 4" xfId="10514" xr:uid="{00000000-0005-0000-0000-000097270000}"/>
    <cellStyle name="Normal 12 2 5 2 2 2 2 5" xfId="10515" xr:uid="{00000000-0005-0000-0000-000098270000}"/>
    <cellStyle name="Normal 12 2 5 2 2 2 3" xfId="10516" xr:uid="{00000000-0005-0000-0000-000099270000}"/>
    <cellStyle name="Normal 12 2 5 2 2 2 4" xfId="10517" xr:uid="{00000000-0005-0000-0000-00009A270000}"/>
    <cellStyle name="Normal 12 2 5 2 2 2 5" xfId="10518" xr:uid="{00000000-0005-0000-0000-00009B270000}"/>
    <cellStyle name="Normal 12 2 5 2 2 2 6" xfId="10519" xr:uid="{00000000-0005-0000-0000-00009C270000}"/>
    <cellStyle name="Normal 12 2 5 2 2 2 7" xfId="10520" xr:uid="{00000000-0005-0000-0000-00009D270000}"/>
    <cellStyle name="Normal 12 2 5 2 2 2 8" xfId="10521" xr:uid="{00000000-0005-0000-0000-00009E270000}"/>
    <cellStyle name="Normal 12 2 5 2 2 3" xfId="10522" xr:uid="{00000000-0005-0000-0000-00009F270000}"/>
    <cellStyle name="Normal 12 2 5 2 2 3 2" xfId="10523" xr:uid="{00000000-0005-0000-0000-0000A0270000}"/>
    <cellStyle name="Normal 12 2 5 2 2 3 2 2" xfId="10524" xr:uid="{00000000-0005-0000-0000-0000A1270000}"/>
    <cellStyle name="Normal 12 2 5 2 2 3 2 3" xfId="10525" xr:uid="{00000000-0005-0000-0000-0000A2270000}"/>
    <cellStyle name="Normal 12 2 5 2 2 3 2 4" xfId="10526" xr:uid="{00000000-0005-0000-0000-0000A3270000}"/>
    <cellStyle name="Normal 12 2 5 2 2 3 2 5" xfId="10527" xr:uid="{00000000-0005-0000-0000-0000A4270000}"/>
    <cellStyle name="Normal 12 2 5 2 2 3 3" xfId="10528" xr:uid="{00000000-0005-0000-0000-0000A5270000}"/>
    <cellStyle name="Normal 12 2 5 2 2 3 4" xfId="10529" xr:uid="{00000000-0005-0000-0000-0000A6270000}"/>
    <cellStyle name="Normal 12 2 5 2 2 3 5" xfId="10530" xr:uid="{00000000-0005-0000-0000-0000A7270000}"/>
    <cellStyle name="Normal 12 2 5 2 2 3 6" xfId="10531" xr:uid="{00000000-0005-0000-0000-0000A8270000}"/>
    <cellStyle name="Normal 12 2 5 2 2 3 7" xfId="10532" xr:uid="{00000000-0005-0000-0000-0000A9270000}"/>
    <cellStyle name="Normal 12 2 5 2 2 3 8" xfId="10533" xr:uid="{00000000-0005-0000-0000-0000AA270000}"/>
    <cellStyle name="Normal 12 2 5 2 2 4" xfId="10534" xr:uid="{00000000-0005-0000-0000-0000AB270000}"/>
    <cellStyle name="Normal 12 2 5 2 2 4 2" xfId="10535" xr:uid="{00000000-0005-0000-0000-0000AC270000}"/>
    <cellStyle name="Normal 12 2 5 2 2 4 3" xfId="10536" xr:uid="{00000000-0005-0000-0000-0000AD270000}"/>
    <cellStyle name="Normal 12 2 5 2 2 4 4" xfId="10537" xr:uid="{00000000-0005-0000-0000-0000AE270000}"/>
    <cellStyle name="Normal 12 2 5 2 2 4 5" xfId="10538" xr:uid="{00000000-0005-0000-0000-0000AF270000}"/>
    <cellStyle name="Normal 12 2 5 2 2 5" xfId="10539" xr:uid="{00000000-0005-0000-0000-0000B0270000}"/>
    <cellStyle name="Normal 12 2 5 2 2 6" xfId="10540" xr:uid="{00000000-0005-0000-0000-0000B1270000}"/>
    <cellStyle name="Normal 12 2 5 2 2 7" xfId="10541" xr:uid="{00000000-0005-0000-0000-0000B2270000}"/>
    <cellStyle name="Normal 12 2 5 2 2 8" xfId="10542" xr:uid="{00000000-0005-0000-0000-0000B3270000}"/>
    <cellStyle name="Normal 12 2 5 2 2 9" xfId="10543" xr:uid="{00000000-0005-0000-0000-0000B4270000}"/>
    <cellStyle name="Normal 12 2 5 2 3" xfId="10544" xr:uid="{00000000-0005-0000-0000-0000B5270000}"/>
    <cellStyle name="Normal 12 2 5 2 3 2" xfId="10545" xr:uid="{00000000-0005-0000-0000-0000B6270000}"/>
    <cellStyle name="Normal 12 2 5 2 3 2 2" xfId="10546" xr:uid="{00000000-0005-0000-0000-0000B7270000}"/>
    <cellStyle name="Normal 12 2 5 2 3 2 3" xfId="10547" xr:uid="{00000000-0005-0000-0000-0000B8270000}"/>
    <cellStyle name="Normal 12 2 5 2 3 2 4" xfId="10548" xr:uid="{00000000-0005-0000-0000-0000B9270000}"/>
    <cellStyle name="Normal 12 2 5 2 3 2 5" xfId="10549" xr:uid="{00000000-0005-0000-0000-0000BA270000}"/>
    <cellStyle name="Normal 12 2 5 2 3 3" xfId="10550" xr:uid="{00000000-0005-0000-0000-0000BB270000}"/>
    <cellStyle name="Normal 12 2 5 2 3 4" xfId="10551" xr:uid="{00000000-0005-0000-0000-0000BC270000}"/>
    <cellStyle name="Normal 12 2 5 2 3 5" xfId="10552" xr:uid="{00000000-0005-0000-0000-0000BD270000}"/>
    <cellStyle name="Normal 12 2 5 2 3 6" xfId="10553" xr:uid="{00000000-0005-0000-0000-0000BE270000}"/>
    <cellStyle name="Normal 12 2 5 2 3 7" xfId="10554" xr:uid="{00000000-0005-0000-0000-0000BF270000}"/>
    <cellStyle name="Normal 12 2 5 2 3 8" xfId="10555" xr:uid="{00000000-0005-0000-0000-0000C0270000}"/>
    <cellStyle name="Normal 12 2 5 2 4" xfId="10556" xr:uid="{00000000-0005-0000-0000-0000C1270000}"/>
    <cellStyle name="Normal 12 2 5 2 4 2" xfId="10557" xr:uid="{00000000-0005-0000-0000-0000C2270000}"/>
    <cellStyle name="Normal 12 2 5 2 4 2 2" xfId="10558" xr:uid="{00000000-0005-0000-0000-0000C3270000}"/>
    <cellStyle name="Normal 12 2 5 2 4 2 3" xfId="10559" xr:uid="{00000000-0005-0000-0000-0000C4270000}"/>
    <cellStyle name="Normal 12 2 5 2 4 2 4" xfId="10560" xr:uid="{00000000-0005-0000-0000-0000C5270000}"/>
    <cellStyle name="Normal 12 2 5 2 4 2 5" xfId="10561" xr:uid="{00000000-0005-0000-0000-0000C6270000}"/>
    <cellStyle name="Normal 12 2 5 2 4 3" xfId="10562" xr:uid="{00000000-0005-0000-0000-0000C7270000}"/>
    <cellStyle name="Normal 12 2 5 2 4 4" xfId="10563" xr:uid="{00000000-0005-0000-0000-0000C8270000}"/>
    <cellStyle name="Normal 12 2 5 2 4 5" xfId="10564" xr:uid="{00000000-0005-0000-0000-0000C9270000}"/>
    <cellStyle name="Normal 12 2 5 2 4 6" xfId="10565" xr:uid="{00000000-0005-0000-0000-0000CA270000}"/>
    <cellStyle name="Normal 12 2 5 2 4 7" xfId="10566" xr:uid="{00000000-0005-0000-0000-0000CB270000}"/>
    <cellStyle name="Normal 12 2 5 2 4 8" xfId="10567" xr:uid="{00000000-0005-0000-0000-0000CC270000}"/>
    <cellStyle name="Normal 12 2 5 2 5" xfId="10568" xr:uid="{00000000-0005-0000-0000-0000CD270000}"/>
    <cellStyle name="Normal 12 2 5 2 5 2" xfId="10569" xr:uid="{00000000-0005-0000-0000-0000CE270000}"/>
    <cellStyle name="Normal 12 2 5 2 5 3" xfId="10570" xr:uid="{00000000-0005-0000-0000-0000CF270000}"/>
    <cellStyle name="Normal 12 2 5 2 5 4" xfId="10571" xr:uid="{00000000-0005-0000-0000-0000D0270000}"/>
    <cellStyle name="Normal 12 2 5 2 5 5" xfId="10572" xr:uid="{00000000-0005-0000-0000-0000D1270000}"/>
    <cellStyle name="Normal 12 2 5 2 6" xfId="10573" xr:uid="{00000000-0005-0000-0000-0000D2270000}"/>
    <cellStyle name="Normal 12 2 5 2 7" xfId="10574" xr:uid="{00000000-0005-0000-0000-0000D3270000}"/>
    <cellStyle name="Normal 12 2 5 2 8" xfId="10575" xr:uid="{00000000-0005-0000-0000-0000D4270000}"/>
    <cellStyle name="Normal 12 2 5 2 9" xfId="10576" xr:uid="{00000000-0005-0000-0000-0000D5270000}"/>
    <cellStyle name="Normal 12 2 5 3" xfId="10577" xr:uid="{00000000-0005-0000-0000-0000D6270000}"/>
    <cellStyle name="Normal 12 2 5 3 10" xfId="10578" xr:uid="{00000000-0005-0000-0000-0000D7270000}"/>
    <cellStyle name="Normal 12 2 5 3 11" xfId="10579" xr:uid="{00000000-0005-0000-0000-0000D8270000}"/>
    <cellStyle name="Normal 12 2 5 3 2" xfId="10580" xr:uid="{00000000-0005-0000-0000-0000D9270000}"/>
    <cellStyle name="Normal 12 2 5 3 2 10" xfId="10581" xr:uid="{00000000-0005-0000-0000-0000DA270000}"/>
    <cellStyle name="Normal 12 2 5 3 2 2" xfId="10582" xr:uid="{00000000-0005-0000-0000-0000DB270000}"/>
    <cellStyle name="Normal 12 2 5 3 2 2 2" xfId="10583" xr:uid="{00000000-0005-0000-0000-0000DC270000}"/>
    <cellStyle name="Normal 12 2 5 3 2 2 2 2" xfId="10584" xr:uid="{00000000-0005-0000-0000-0000DD270000}"/>
    <cellStyle name="Normal 12 2 5 3 2 2 2 3" xfId="10585" xr:uid="{00000000-0005-0000-0000-0000DE270000}"/>
    <cellStyle name="Normal 12 2 5 3 2 2 2 4" xfId="10586" xr:uid="{00000000-0005-0000-0000-0000DF270000}"/>
    <cellStyle name="Normal 12 2 5 3 2 2 2 5" xfId="10587" xr:uid="{00000000-0005-0000-0000-0000E0270000}"/>
    <cellStyle name="Normal 12 2 5 3 2 2 3" xfId="10588" xr:uid="{00000000-0005-0000-0000-0000E1270000}"/>
    <cellStyle name="Normal 12 2 5 3 2 2 4" xfId="10589" xr:uid="{00000000-0005-0000-0000-0000E2270000}"/>
    <cellStyle name="Normal 12 2 5 3 2 2 5" xfId="10590" xr:uid="{00000000-0005-0000-0000-0000E3270000}"/>
    <cellStyle name="Normal 12 2 5 3 2 2 6" xfId="10591" xr:uid="{00000000-0005-0000-0000-0000E4270000}"/>
    <cellStyle name="Normal 12 2 5 3 2 2 7" xfId="10592" xr:uid="{00000000-0005-0000-0000-0000E5270000}"/>
    <cellStyle name="Normal 12 2 5 3 2 2 8" xfId="10593" xr:uid="{00000000-0005-0000-0000-0000E6270000}"/>
    <cellStyle name="Normal 12 2 5 3 2 3" xfId="10594" xr:uid="{00000000-0005-0000-0000-0000E7270000}"/>
    <cellStyle name="Normal 12 2 5 3 2 3 2" xfId="10595" xr:uid="{00000000-0005-0000-0000-0000E8270000}"/>
    <cellStyle name="Normal 12 2 5 3 2 3 2 2" xfId="10596" xr:uid="{00000000-0005-0000-0000-0000E9270000}"/>
    <cellStyle name="Normal 12 2 5 3 2 3 2 3" xfId="10597" xr:uid="{00000000-0005-0000-0000-0000EA270000}"/>
    <cellStyle name="Normal 12 2 5 3 2 3 2 4" xfId="10598" xr:uid="{00000000-0005-0000-0000-0000EB270000}"/>
    <cellStyle name="Normal 12 2 5 3 2 3 2 5" xfId="10599" xr:uid="{00000000-0005-0000-0000-0000EC270000}"/>
    <cellStyle name="Normal 12 2 5 3 2 3 3" xfId="10600" xr:uid="{00000000-0005-0000-0000-0000ED270000}"/>
    <cellStyle name="Normal 12 2 5 3 2 3 4" xfId="10601" xr:uid="{00000000-0005-0000-0000-0000EE270000}"/>
    <cellStyle name="Normal 12 2 5 3 2 3 5" xfId="10602" xr:uid="{00000000-0005-0000-0000-0000EF270000}"/>
    <cellStyle name="Normal 12 2 5 3 2 3 6" xfId="10603" xr:uid="{00000000-0005-0000-0000-0000F0270000}"/>
    <cellStyle name="Normal 12 2 5 3 2 3 7" xfId="10604" xr:uid="{00000000-0005-0000-0000-0000F1270000}"/>
    <cellStyle name="Normal 12 2 5 3 2 3 8" xfId="10605" xr:uid="{00000000-0005-0000-0000-0000F2270000}"/>
    <cellStyle name="Normal 12 2 5 3 2 4" xfId="10606" xr:uid="{00000000-0005-0000-0000-0000F3270000}"/>
    <cellStyle name="Normal 12 2 5 3 2 4 2" xfId="10607" xr:uid="{00000000-0005-0000-0000-0000F4270000}"/>
    <cellStyle name="Normal 12 2 5 3 2 4 3" xfId="10608" xr:uid="{00000000-0005-0000-0000-0000F5270000}"/>
    <cellStyle name="Normal 12 2 5 3 2 4 4" xfId="10609" xr:uid="{00000000-0005-0000-0000-0000F6270000}"/>
    <cellStyle name="Normal 12 2 5 3 2 4 5" xfId="10610" xr:uid="{00000000-0005-0000-0000-0000F7270000}"/>
    <cellStyle name="Normal 12 2 5 3 2 5" xfId="10611" xr:uid="{00000000-0005-0000-0000-0000F8270000}"/>
    <cellStyle name="Normal 12 2 5 3 2 6" xfId="10612" xr:uid="{00000000-0005-0000-0000-0000F9270000}"/>
    <cellStyle name="Normal 12 2 5 3 2 7" xfId="10613" xr:uid="{00000000-0005-0000-0000-0000FA270000}"/>
    <cellStyle name="Normal 12 2 5 3 2 8" xfId="10614" xr:uid="{00000000-0005-0000-0000-0000FB270000}"/>
    <cellStyle name="Normal 12 2 5 3 2 9" xfId="10615" xr:uid="{00000000-0005-0000-0000-0000FC270000}"/>
    <cellStyle name="Normal 12 2 5 3 3" xfId="10616" xr:uid="{00000000-0005-0000-0000-0000FD270000}"/>
    <cellStyle name="Normal 12 2 5 3 3 2" xfId="10617" xr:uid="{00000000-0005-0000-0000-0000FE270000}"/>
    <cellStyle name="Normal 12 2 5 3 3 2 2" xfId="10618" xr:uid="{00000000-0005-0000-0000-0000FF270000}"/>
    <cellStyle name="Normal 12 2 5 3 3 2 3" xfId="10619" xr:uid="{00000000-0005-0000-0000-000000280000}"/>
    <cellStyle name="Normal 12 2 5 3 3 2 4" xfId="10620" xr:uid="{00000000-0005-0000-0000-000001280000}"/>
    <cellStyle name="Normal 12 2 5 3 3 2 5" xfId="10621" xr:uid="{00000000-0005-0000-0000-000002280000}"/>
    <cellStyle name="Normal 12 2 5 3 3 3" xfId="10622" xr:uid="{00000000-0005-0000-0000-000003280000}"/>
    <cellStyle name="Normal 12 2 5 3 3 4" xfId="10623" xr:uid="{00000000-0005-0000-0000-000004280000}"/>
    <cellStyle name="Normal 12 2 5 3 3 5" xfId="10624" xr:uid="{00000000-0005-0000-0000-000005280000}"/>
    <cellStyle name="Normal 12 2 5 3 3 6" xfId="10625" xr:uid="{00000000-0005-0000-0000-000006280000}"/>
    <cellStyle name="Normal 12 2 5 3 3 7" xfId="10626" xr:uid="{00000000-0005-0000-0000-000007280000}"/>
    <cellStyle name="Normal 12 2 5 3 3 8" xfId="10627" xr:uid="{00000000-0005-0000-0000-000008280000}"/>
    <cellStyle name="Normal 12 2 5 3 4" xfId="10628" xr:uid="{00000000-0005-0000-0000-000009280000}"/>
    <cellStyle name="Normal 12 2 5 3 4 2" xfId="10629" xr:uid="{00000000-0005-0000-0000-00000A280000}"/>
    <cellStyle name="Normal 12 2 5 3 4 2 2" xfId="10630" xr:uid="{00000000-0005-0000-0000-00000B280000}"/>
    <cellStyle name="Normal 12 2 5 3 4 2 3" xfId="10631" xr:uid="{00000000-0005-0000-0000-00000C280000}"/>
    <cellStyle name="Normal 12 2 5 3 4 2 4" xfId="10632" xr:uid="{00000000-0005-0000-0000-00000D280000}"/>
    <cellStyle name="Normal 12 2 5 3 4 2 5" xfId="10633" xr:uid="{00000000-0005-0000-0000-00000E280000}"/>
    <cellStyle name="Normal 12 2 5 3 4 3" xfId="10634" xr:uid="{00000000-0005-0000-0000-00000F280000}"/>
    <cellStyle name="Normal 12 2 5 3 4 4" xfId="10635" xr:uid="{00000000-0005-0000-0000-000010280000}"/>
    <cellStyle name="Normal 12 2 5 3 4 5" xfId="10636" xr:uid="{00000000-0005-0000-0000-000011280000}"/>
    <cellStyle name="Normal 12 2 5 3 4 6" xfId="10637" xr:uid="{00000000-0005-0000-0000-000012280000}"/>
    <cellStyle name="Normal 12 2 5 3 4 7" xfId="10638" xr:uid="{00000000-0005-0000-0000-000013280000}"/>
    <cellStyle name="Normal 12 2 5 3 4 8" xfId="10639" xr:uid="{00000000-0005-0000-0000-000014280000}"/>
    <cellStyle name="Normal 12 2 5 3 5" xfId="10640" xr:uid="{00000000-0005-0000-0000-000015280000}"/>
    <cellStyle name="Normal 12 2 5 3 5 2" xfId="10641" xr:uid="{00000000-0005-0000-0000-000016280000}"/>
    <cellStyle name="Normal 12 2 5 3 5 3" xfId="10642" xr:uid="{00000000-0005-0000-0000-000017280000}"/>
    <cellStyle name="Normal 12 2 5 3 5 4" xfId="10643" xr:uid="{00000000-0005-0000-0000-000018280000}"/>
    <cellStyle name="Normal 12 2 5 3 5 5" xfId="10644" xr:uid="{00000000-0005-0000-0000-000019280000}"/>
    <cellStyle name="Normal 12 2 5 3 6" xfId="10645" xr:uid="{00000000-0005-0000-0000-00001A280000}"/>
    <cellStyle name="Normal 12 2 5 3 7" xfId="10646" xr:uid="{00000000-0005-0000-0000-00001B280000}"/>
    <cellStyle name="Normal 12 2 5 3 8" xfId="10647" xr:uid="{00000000-0005-0000-0000-00001C280000}"/>
    <cellStyle name="Normal 12 2 5 3 9" xfId="10648" xr:uid="{00000000-0005-0000-0000-00001D280000}"/>
    <cellStyle name="Normal 12 2 5 4" xfId="10649" xr:uid="{00000000-0005-0000-0000-00001E280000}"/>
    <cellStyle name="Normal 12 2 5 4 10" xfId="10650" xr:uid="{00000000-0005-0000-0000-00001F280000}"/>
    <cellStyle name="Normal 12 2 5 4 2" xfId="10651" xr:uid="{00000000-0005-0000-0000-000020280000}"/>
    <cellStyle name="Normal 12 2 5 4 2 2" xfId="10652" xr:uid="{00000000-0005-0000-0000-000021280000}"/>
    <cellStyle name="Normal 12 2 5 4 2 2 2" xfId="10653" xr:uid="{00000000-0005-0000-0000-000022280000}"/>
    <cellStyle name="Normal 12 2 5 4 2 2 3" xfId="10654" xr:uid="{00000000-0005-0000-0000-000023280000}"/>
    <cellStyle name="Normal 12 2 5 4 2 2 4" xfId="10655" xr:uid="{00000000-0005-0000-0000-000024280000}"/>
    <cellStyle name="Normal 12 2 5 4 2 2 5" xfId="10656" xr:uid="{00000000-0005-0000-0000-000025280000}"/>
    <cellStyle name="Normal 12 2 5 4 2 3" xfId="10657" xr:uid="{00000000-0005-0000-0000-000026280000}"/>
    <cellStyle name="Normal 12 2 5 4 2 4" xfId="10658" xr:uid="{00000000-0005-0000-0000-000027280000}"/>
    <cellStyle name="Normal 12 2 5 4 2 5" xfId="10659" xr:uid="{00000000-0005-0000-0000-000028280000}"/>
    <cellStyle name="Normal 12 2 5 4 2 6" xfId="10660" xr:uid="{00000000-0005-0000-0000-000029280000}"/>
    <cellStyle name="Normal 12 2 5 4 2 7" xfId="10661" xr:uid="{00000000-0005-0000-0000-00002A280000}"/>
    <cellStyle name="Normal 12 2 5 4 2 8" xfId="10662" xr:uid="{00000000-0005-0000-0000-00002B280000}"/>
    <cellStyle name="Normal 12 2 5 4 3" xfId="10663" xr:uid="{00000000-0005-0000-0000-00002C280000}"/>
    <cellStyle name="Normal 12 2 5 4 3 2" xfId="10664" xr:uid="{00000000-0005-0000-0000-00002D280000}"/>
    <cellStyle name="Normal 12 2 5 4 3 2 2" xfId="10665" xr:uid="{00000000-0005-0000-0000-00002E280000}"/>
    <cellStyle name="Normal 12 2 5 4 3 2 3" xfId="10666" xr:uid="{00000000-0005-0000-0000-00002F280000}"/>
    <cellStyle name="Normal 12 2 5 4 3 2 4" xfId="10667" xr:uid="{00000000-0005-0000-0000-000030280000}"/>
    <cellStyle name="Normal 12 2 5 4 3 2 5" xfId="10668" xr:uid="{00000000-0005-0000-0000-000031280000}"/>
    <cellStyle name="Normal 12 2 5 4 3 3" xfId="10669" xr:uid="{00000000-0005-0000-0000-000032280000}"/>
    <cellStyle name="Normal 12 2 5 4 3 4" xfId="10670" xr:uid="{00000000-0005-0000-0000-000033280000}"/>
    <cellStyle name="Normal 12 2 5 4 3 5" xfId="10671" xr:uid="{00000000-0005-0000-0000-000034280000}"/>
    <cellStyle name="Normal 12 2 5 4 3 6" xfId="10672" xr:uid="{00000000-0005-0000-0000-000035280000}"/>
    <cellStyle name="Normal 12 2 5 4 3 7" xfId="10673" xr:uid="{00000000-0005-0000-0000-000036280000}"/>
    <cellStyle name="Normal 12 2 5 4 3 8" xfId="10674" xr:uid="{00000000-0005-0000-0000-000037280000}"/>
    <cellStyle name="Normal 12 2 5 4 4" xfId="10675" xr:uid="{00000000-0005-0000-0000-000038280000}"/>
    <cellStyle name="Normal 12 2 5 4 4 2" xfId="10676" xr:uid="{00000000-0005-0000-0000-000039280000}"/>
    <cellStyle name="Normal 12 2 5 4 4 3" xfId="10677" xr:uid="{00000000-0005-0000-0000-00003A280000}"/>
    <cellStyle name="Normal 12 2 5 4 4 4" xfId="10678" xr:uid="{00000000-0005-0000-0000-00003B280000}"/>
    <cellStyle name="Normal 12 2 5 4 4 5" xfId="10679" xr:uid="{00000000-0005-0000-0000-00003C280000}"/>
    <cellStyle name="Normal 12 2 5 4 5" xfId="10680" xr:uid="{00000000-0005-0000-0000-00003D280000}"/>
    <cellStyle name="Normal 12 2 5 4 6" xfId="10681" xr:uid="{00000000-0005-0000-0000-00003E280000}"/>
    <cellStyle name="Normal 12 2 5 4 7" xfId="10682" xr:uid="{00000000-0005-0000-0000-00003F280000}"/>
    <cellStyle name="Normal 12 2 5 4 8" xfId="10683" xr:uid="{00000000-0005-0000-0000-000040280000}"/>
    <cellStyle name="Normal 12 2 5 4 9" xfId="10684" xr:uid="{00000000-0005-0000-0000-000041280000}"/>
    <cellStyle name="Normal 12 2 5 5" xfId="10685" xr:uid="{00000000-0005-0000-0000-000042280000}"/>
    <cellStyle name="Normal 12 2 5 5 2" xfId="10686" xr:uid="{00000000-0005-0000-0000-000043280000}"/>
    <cellStyle name="Normal 12 2 5 5 2 2" xfId="10687" xr:uid="{00000000-0005-0000-0000-000044280000}"/>
    <cellStyle name="Normal 12 2 5 5 2 3" xfId="10688" xr:uid="{00000000-0005-0000-0000-000045280000}"/>
    <cellStyle name="Normal 12 2 5 5 2 4" xfId="10689" xr:uid="{00000000-0005-0000-0000-000046280000}"/>
    <cellStyle name="Normal 12 2 5 5 2 5" xfId="10690" xr:uid="{00000000-0005-0000-0000-000047280000}"/>
    <cellStyle name="Normal 12 2 5 5 3" xfId="10691" xr:uid="{00000000-0005-0000-0000-000048280000}"/>
    <cellStyle name="Normal 12 2 5 5 4" xfId="10692" xr:uid="{00000000-0005-0000-0000-000049280000}"/>
    <cellStyle name="Normal 12 2 5 5 5" xfId="10693" xr:uid="{00000000-0005-0000-0000-00004A280000}"/>
    <cellStyle name="Normal 12 2 5 5 6" xfId="10694" xr:uid="{00000000-0005-0000-0000-00004B280000}"/>
    <cellStyle name="Normal 12 2 5 5 7" xfId="10695" xr:uid="{00000000-0005-0000-0000-00004C280000}"/>
    <cellStyle name="Normal 12 2 5 5 8" xfId="10696" xr:uid="{00000000-0005-0000-0000-00004D280000}"/>
    <cellStyle name="Normal 12 2 5 6" xfId="10697" xr:uid="{00000000-0005-0000-0000-00004E280000}"/>
    <cellStyle name="Normal 12 2 5 6 2" xfId="10698" xr:uid="{00000000-0005-0000-0000-00004F280000}"/>
    <cellStyle name="Normal 12 2 5 6 2 2" xfId="10699" xr:uid="{00000000-0005-0000-0000-000050280000}"/>
    <cellStyle name="Normal 12 2 5 6 2 3" xfId="10700" xr:uid="{00000000-0005-0000-0000-000051280000}"/>
    <cellStyle name="Normal 12 2 5 6 2 4" xfId="10701" xr:uid="{00000000-0005-0000-0000-000052280000}"/>
    <cellStyle name="Normal 12 2 5 6 2 5" xfId="10702" xr:uid="{00000000-0005-0000-0000-000053280000}"/>
    <cellStyle name="Normal 12 2 5 6 3" xfId="10703" xr:uid="{00000000-0005-0000-0000-000054280000}"/>
    <cellStyle name="Normal 12 2 5 6 4" xfId="10704" xr:uid="{00000000-0005-0000-0000-000055280000}"/>
    <cellStyle name="Normal 12 2 5 6 5" xfId="10705" xr:uid="{00000000-0005-0000-0000-000056280000}"/>
    <cellStyle name="Normal 12 2 5 6 6" xfId="10706" xr:uid="{00000000-0005-0000-0000-000057280000}"/>
    <cellStyle name="Normal 12 2 5 6 7" xfId="10707" xr:uid="{00000000-0005-0000-0000-000058280000}"/>
    <cellStyle name="Normal 12 2 5 6 8" xfId="10708" xr:uid="{00000000-0005-0000-0000-000059280000}"/>
    <cellStyle name="Normal 12 2 5 7" xfId="10709" xr:uid="{00000000-0005-0000-0000-00005A280000}"/>
    <cellStyle name="Normal 12 2 5 7 2" xfId="10710" xr:uid="{00000000-0005-0000-0000-00005B280000}"/>
    <cellStyle name="Normal 12 2 5 7 3" xfId="10711" xr:uid="{00000000-0005-0000-0000-00005C280000}"/>
    <cellStyle name="Normal 12 2 5 7 4" xfId="10712" xr:uid="{00000000-0005-0000-0000-00005D280000}"/>
    <cellStyle name="Normal 12 2 5 7 5" xfId="10713" xr:uid="{00000000-0005-0000-0000-00005E280000}"/>
    <cellStyle name="Normal 12 2 5 8" xfId="10714" xr:uid="{00000000-0005-0000-0000-00005F280000}"/>
    <cellStyle name="Normal 12 2 5 9" xfId="10715" xr:uid="{00000000-0005-0000-0000-000060280000}"/>
    <cellStyle name="Normal 12 2 6" xfId="10716" xr:uid="{00000000-0005-0000-0000-000061280000}"/>
    <cellStyle name="Normal 12 2 6 10" xfId="10717" xr:uid="{00000000-0005-0000-0000-000062280000}"/>
    <cellStyle name="Normal 12 2 6 11" xfId="10718" xr:uid="{00000000-0005-0000-0000-000063280000}"/>
    <cellStyle name="Normal 12 2 6 12" xfId="10719" xr:uid="{00000000-0005-0000-0000-000064280000}"/>
    <cellStyle name="Normal 12 2 6 13" xfId="10720" xr:uid="{00000000-0005-0000-0000-000065280000}"/>
    <cellStyle name="Normal 12 2 6 2" xfId="10721" xr:uid="{00000000-0005-0000-0000-000066280000}"/>
    <cellStyle name="Normal 12 2 6 2 10" xfId="10722" xr:uid="{00000000-0005-0000-0000-000067280000}"/>
    <cellStyle name="Normal 12 2 6 2 11" xfId="10723" xr:uid="{00000000-0005-0000-0000-000068280000}"/>
    <cellStyle name="Normal 12 2 6 2 2" xfId="10724" xr:uid="{00000000-0005-0000-0000-000069280000}"/>
    <cellStyle name="Normal 12 2 6 2 2 10" xfId="10725" xr:uid="{00000000-0005-0000-0000-00006A280000}"/>
    <cellStyle name="Normal 12 2 6 2 2 2" xfId="10726" xr:uid="{00000000-0005-0000-0000-00006B280000}"/>
    <cellStyle name="Normal 12 2 6 2 2 2 2" xfId="10727" xr:uid="{00000000-0005-0000-0000-00006C280000}"/>
    <cellStyle name="Normal 12 2 6 2 2 2 2 2" xfId="10728" xr:uid="{00000000-0005-0000-0000-00006D280000}"/>
    <cellStyle name="Normal 12 2 6 2 2 2 2 3" xfId="10729" xr:uid="{00000000-0005-0000-0000-00006E280000}"/>
    <cellStyle name="Normal 12 2 6 2 2 2 2 4" xfId="10730" xr:uid="{00000000-0005-0000-0000-00006F280000}"/>
    <cellStyle name="Normal 12 2 6 2 2 2 2 5" xfId="10731" xr:uid="{00000000-0005-0000-0000-000070280000}"/>
    <cellStyle name="Normal 12 2 6 2 2 2 3" xfId="10732" xr:uid="{00000000-0005-0000-0000-000071280000}"/>
    <cellStyle name="Normal 12 2 6 2 2 2 4" xfId="10733" xr:uid="{00000000-0005-0000-0000-000072280000}"/>
    <cellStyle name="Normal 12 2 6 2 2 2 5" xfId="10734" xr:uid="{00000000-0005-0000-0000-000073280000}"/>
    <cellStyle name="Normal 12 2 6 2 2 2 6" xfId="10735" xr:uid="{00000000-0005-0000-0000-000074280000}"/>
    <cellStyle name="Normal 12 2 6 2 2 2 7" xfId="10736" xr:uid="{00000000-0005-0000-0000-000075280000}"/>
    <cellStyle name="Normal 12 2 6 2 2 2 8" xfId="10737" xr:uid="{00000000-0005-0000-0000-000076280000}"/>
    <cellStyle name="Normal 12 2 6 2 2 3" xfId="10738" xr:uid="{00000000-0005-0000-0000-000077280000}"/>
    <cellStyle name="Normal 12 2 6 2 2 3 2" xfId="10739" xr:uid="{00000000-0005-0000-0000-000078280000}"/>
    <cellStyle name="Normal 12 2 6 2 2 3 2 2" xfId="10740" xr:uid="{00000000-0005-0000-0000-000079280000}"/>
    <cellStyle name="Normal 12 2 6 2 2 3 2 3" xfId="10741" xr:uid="{00000000-0005-0000-0000-00007A280000}"/>
    <cellStyle name="Normal 12 2 6 2 2 3 2 4" xfId="10742" xr:uid="{00000000-0005-0000-0000-00007B280000}"/>
    <cellStyle name="Normal 12 2 6 2 2 3 2 5" xfId="10743" xr:uid="{00000000-0005-0000-0000-00007C280000}"/>
    <cellStyle name="Normal 12 2 6 2 2 3 3" xfId="10744" xr:uid="{00000000-0005-0000-0000-00007D280000}"/>
    <cellStyle name="Normal 12 2 6 2 2 3 4" xfId="10745" xr:uid="{00000000-0005-0000-0000-00007E280000}"/>
    <cellStyle name="Normal 12 2 6 2 2 3 5" xfId="10746" xr:uid="{00000000-0005-0000-0000-00007F280000}"/>
    <cellStyle name="Normal 12 2 6 2 2 3 6" xfId="10747" xr:uid="{00000000-0005-0000-0000-000080280000}"/>
    <cellStyle name="Normal 12 2 6 2 2 3 7" xfId="10748" xr:uid="{00000000-0005-0000-0000-000081280000}"/>
    <cellStyle name="Normal 12 2 6 2 2 3 8" xfId="10749" xr:uid="{00000000-0005-0000-0000-000082280000}"/>
    <cellStyle name="Normal 12 2 6 2 2 4" xfId="10750" xr:uid="{00000000-0005-0000-0000-000083280000}"/>
    <cellStyle name="Normal 12 2 6 2 2 4 2" xfId="10751" xr:uid="{00000000-0005-0000-0000-000084280000}"/>
    <cellStyle name="Normal 12 2 6 2 2 4 3" xfId="10752" xr:uid="{00000000-0005-0000-0000-000085280000}"/>
    <cellStyle name="Normal 12 2 6 2 2 4 4" xfId="10753" xr:uid="{00000000-0005-0000-0000-000086280000}"/>
    <cellStyle name="Normal 12 2 6 2 2 4 5" xfId="10754" xr:uid="{00000000-0005-0000-0000-000087280000}"/>
    <cellStyle name="Normal 12 2 6 2 2 5" xfId="10755" xr:uid="{00000000-0005-0000-0000-000088280000}"/>
    <cellStyle name="Normal 12 2 6 2 2 6" xfId="10756" xr:uid="{00000000-0005-0000-0000-000089280000}"/>
    <cellStyle name="Normal 12 2 6 2 2 7" xfId="10757" xr:uid="{00000000-0005-0000-0000-00008A280000}"/>
    <cellStyle name="Normal 12 2 6 2 2 8" xfId="10758" xr:uid="{00000000-0005-0000-0000-00008B280000}"/>
    <cellStyle name="Normal 12 2 6 2 2 9" xfId="10759" xr:uid="{00000000-0005-0000-0000-00008C280000}"/>
    <cellStyle name="Normal 12 2 6 2 3" xfId="10760" xr:uid="{00000000-0005-0000-0000-00008D280000}"/>
    <cellStyle name="Normal 12 2 6 2 3 2" xfId="10761" xr:uid="{00000000-0005-0000-0000-00008E280000}"/>
    <cellStyle name="Normal 12 2 6 2 3 2 2" xfId="10762" xr:uid="{00000000-0005-0000-0000-00008F280000}"/>
    <cellStyle name="Normal 12 2 6 2 3 2 3" xfId="10763" xr:uid="{00000000-0005-0000-0000-000090280000}"/>
    <cellStyle name="Normal 12 2 6 2 3 2 4" xfId="10764" xr:uid="{00000000-0005-0000-0000-000091280000}"/>
    <cellStyle name="Normal 12 2 6 2 3 2 5" xfId="10765" xr:uid="{00000000-0005-0000-0000-000092280000}"/>
    <cellStyle name="Normal 12 2 6 2 3 3" xfId="10766" xr:uid="{00000000-0005-0000-0000-000093280000}"/>
    <cellStyle name="Normal 12 2 6 2 3 4" xfId="10767" xr:uid="{00000000-0005-0000-0000-000094280000}"/>
    <cellStyle name="Normal 12 2 6 2 3 5" xfId="10768" xr:uid="{00000000-0005-0000-0000-000095280000}"/>
    <cellStyle name="Normal 12 2 6 2 3 6" xfId="10769" xr:uid="{00000000-0005-0000-0000-000096280000}"/>
    <cellStyle name="Normal 12 2 6 2 3 7" xfId="10770" xr:uid="{00000000-0005-0000-0000-000097280000}"/>
    <cellStyle name="Normal 12 2 6 2 3 8" xfId="10771" xr:uid="{00000000-0005-0000-0000-000098280000}"/>
    <cellStyle name="Normal 12 2 6 2 4" xfId="10772" xr:uid="{00000000-0005-0000-0000-000099280000}"/>
    <cellStyle name="Normal 12 2 6 2 4 2" xfId="10773" xr:uid="{00000000-0005-0000-0000-00009A280000}"/>
    <cellStyle name="Normal 12 2 6 2 4 2 2" xfId="10774" xr:uid="{00000000-0005-0000-0000-00009B280000}"/>
    <cellStyle name="Normal 12 2 6 2 4 2 3" xfId="10775" xr:uid="{00000000-0005-0000-0000-00009C280000}"/>
    <cellStyle name="Normal 12 2 6 2 4 2 4" xfId="10776" xr:uid="{00000000-0005-0000-0000-00009D280000}"/>
    <cellStyle name="Normal 12 2 6 2 4 2 5" xfId="10777" xr:uid="{00000000-0005-0000-0000-00009E280000}"/>
    <cellStyle name="Normal 12 2 6 2 4 3" xfId="10778" xr:uid="{00000000-0005-0000-0000-00009F280000}"/>
    <cellStyle name="Normal 12 2 6 2 4 4" xfId="10779" xr:uid="{00000000-0005-0000-0000-0000A0280000}"/>
    <cellStyle name="Normal 12 2 6 2 4 5" xfId="10780" xr:uid="{00000000-0005-0000-0000-0000A1280000}"/>
    <cellStyle name="Normal 12 2 6 2 4 6" xfId="10781" xr:uid="{00000000-0005-0000-0000-0000A2280000}"/>
    <cellStyle name="Normal 12 2 6 2 4 7" xfId="10782" xr:uid="{00000000-0005-0000-0000-0000A3280000}"/>
    <cellStyle name="Normal 12 2 6 2 4 8" xfId="10783" xr:uid="{00000000-0005-0000-0000-0000A4280000}"/>
    <cellStyle name="Normal 12 2 6 2 5" xfId="10784" xr:uid="{00000000-0005-0000-0000-0000A5280000}"/>
    <cellStyle name="Normal 12 2 6 2 5 2" xfId="10785" xr:uid="{00000000-0005-0000-0000-0000A6280000}"/>
    <cellStyle name="Normal 12 2 6 2 5 3" xfId="10786" xr:uid="{00000000-0005-0000-0000-0000A7280000}"/>
    <cellStyle name="Normal 12 2 6 2 5 4" xfId="10787" xr:uid="{00000000-0005-0000-0000-0000A8280000}"/>
    <cellStyle name="Normal 12 2 6 2 5 5" xfId="10788" xr:uid="{00000000-0005-0000-0000-0000A9280000}"/>
    <cellStyle name="Normal 12 2 6 2 6" xfId="10789" xr:uid="{00000000-0005-0000-0000-0000AA280000}"/>
    <cellStyle name="Normal 12 2 6 2 7" xfId="10790" xr:uid="{00000000-0005-0000-0000-0000AB280000}"/>
    <cellStyle name="Normal 12 2 6 2 8" xfId="10791" xr:uid="{00000000-0005-0000-0000-0000AC280000}"/>
    <cellStyle name="Normal 12 2 6 2 9" xfId="10792" xr:uid="{00000000-0005-0000-0000-0000AD280000}"/>
    <cellStyle name="Normal 12 2 6 3" xfId="10793" xr:uid="{00000000-0005-0000-0000-0000AE280000}"/>
    <cellStyle name="Normal 12 2 6 3 10" xfId="10794" xr:uid="{00000000-0005-0000-0000-0000AF280000}"/>
    <cellStyle name="Normal 12 2 6 3 11" xfId="10795" xr:uid="{00000000-0005-0000-0000-0000B0280000}"/>
    <cellStyle name="Normal 12 2 6 3 2" xfId="10796" xr:uid="{00000000-0005-0000-0000-0000B1280000}"/>
    <cellStyle name="Normal 12 2 6 3 2 10" xfId="10797" xr:uid="{00000000-0005-0000-0000-0000B2280000}"/>
    <cellStyle name="Normal 12 2 6 3 2 2" xfId="10798" xr:uid="{00000000-0005-0000-0000-0000B3280000}"/>
    <cellStyle name="Normal 12 2 6 3 2 2 2" xfId="10799" xr:uid="{00000000-0005-0000-0000-0000B4280000}"/>
    <cellStyle name="Normal 12 2 6 3 2 2 2 2" xfId="10800" xr:uid="{00000000-0005-0000-0000-0000B5280000}"/>
    <cellStyle name="Normal 12 2 6 3 2 2 2 3" xfId="10801" xr:uid="{00000000-0005-0000-0000-0000B6280000}"/>
    <cellStyle name="Normal 12 2 6 3 2 2 2 4" xfId="10802" xr:uid="{00000000-0005-0000-0000-0000B7280000}"/>
    <cellStyle name="Normal 12 2 6 3 2 2 2 5" xfId="10803" xr:uid="{00000000-0005-0000-0000-0000B8280000}"/>
    <cellStyle name="Normal 12 2 6 3 2 2 3" xfId="10804" xr:uid="{00000000-0005-0000-0000-0000B9280000}"/>
    <cellStyle name="Normal 12 2 6 3 2 2 4" xfId="10805" xr:uid="{00000000-0005-0000-0000-0000BA280000}"/>
    <cellStyle name="Normal 12 2 6 3 2 2 5" xfId="10806" xr:uid="{00000000-0005-0000-0000-0000BB280000}"/>
    <cellStyle name="Normal 12 2 6 3 2 2 6" xfId="10807" xr:uid="{00000000-0005-0000-0000-0000BC280000}"/>
    <cellStyle name="Normal 12 2 6 3 2 2 7" xfId="10808" xr:uid="{00000000-0005-0000-0000-0000BD280000}"/>
    <cellStyle name="Normal 12 2 6 3 2 2 8" xfId="10809" xr:uid="{00000000-0005-0000-0000-0000BE280000}"/>
    <cellStyle name="Normal 12 2 6 3 2 3" xfId="10810" xr:uid="{00000000-0005-0000-0000-0000BF280000}"/>
    <cellStyle name="Normal 12 2 6 3 2 3 2" xfId="10811" xr:uid="{00000000-0005-0000-0000-0000C0280000}"/>
    <cellStyle name="Normal 12 2 6 3 2 3 2 2" xfId="10812" xr:uid="{00000000-0005-0000-0000-0000C1280000}"/>
    <cellStyle name="Normal 12 2 6 3 2 3 2 3" xfId="10813" xr:uid="{00000000-0005-0000-0000-0000C2280000}"/>
    <cellStyle name="Normal 12 2 6 3 2 3 2 4" xfId="10814" xr:uid="{00000000-0005-0000-0000-0000C3280000}"/>
    <cellStyle name="Normal 12 2 6 3 2 3 2 5" xfId="10815" xr:uid="{00000000-0005-0000-0000-0000C4280000}"/>
    <cellStyle name="Normal 12 2 6 3 2 3 3" xfId="10816" xr:uid="{00000000-0005-0000-0000-0000C5280000}"/>
    <cellStyle name="Normal 12 2 6 3 2 3 4" xfId="10817" xr:uid="{00000000-0005-0000-0000-0000C6280000}"/>
    <cellStyle name="Normal 12 2 6 3 2 3 5" xfId="10818" xr:uid="{00000000-0005-0000-0000-0000C7280000}"/>
    <cellStyle name="Normal 12 2 6 3 2 3 6" xfId="10819" xr:uid="{00000000-0005-0000-0000-0000C8280000}"/>
    <cellStyle name="Normal 12 2 6 3 2 3 7" xfId="10820" xr:uid="{00000000-0005-0000-0000-0000C9280000}"/>
    <cellStyle name="Normal 12 2 6 3 2 3 8" xfId="10821" xr:uid="{00000000-0005-0000-0000-0000CA280000}"/>
    <cellStyle name="Normal 12 2 6 3 2 4" xfId="10822" xr:uid="{00000000-0005-0000-0000-0000CB280000}"/>
    <cellStyle name="Normal 12 2 6 3 2 4 2" xfId="10823" xr:uid="{00000000-0005-0000-0000-0000CC280000}"/>
    <cellStyle name="Normal 12 2 6 3 2 4 3" xfId="10824" xr:uid="{00000000-0005-0000-0000-0000CD280000}"/>
    <cellStyle name="Normal 12 2 6 3 2 4 4" xfId="10825" xr:uid="{00000000-0005-0000-0000-0000CE280000}"/>
    <cellStyle name="Normal 12 2 6 3 2 4 5" xfId="10826" xr:uid="{00000000-0005-0000-0000-0000CF280000}"/>
    <cellStyle name="Normal 12 2 6 3 2 5" xfId="10827" xr:uid="{00000000-0005-0000-0000-0000D0280000}"/>
    <cellStyle name="Normal 12 2 6 3 2 6" xfId="10828" xr:uid="{00000000-0005-0000-0000-0000D1280000}"/>
    <cellStyle name="Normal 12 2 6 3 2 7" xfId="10829" xr:uid="{00000000-0005-0000-0000-0000D2280000}"/>
    <cellStyle name="Normal 12 2 6 3 2 8" xfId="10830" xr:uid="{00000000-0005-0000-0000-0000D3280000}"/>
    <cellStyle name="Normal 12 2 6 3 2 9" xfId="10831" xr:uid="{00000000-0005-0000-0000-0000D4280000}"/>
    <cellStyle name="Normal 12 2 6 3 3" xfId="10832" xr:uid="{00000000-0005-0000-0000-0000D5280000}"/>
    <cellStyle name="Normal 12 2 6 3 3 2" xfId="10833" xr:uid="{00000000-0005-0000-0000-0000D6280000}"/>
    <cellStyle name="Normal 12 2 6 3 3 2 2" xfId="10834" xr:uid="{00000000-0005-0000-0000-0000D7280000}"/>
    <cellStyle name="Normal 12 2 6 3 3 2 3" xfId="10835" xr:uid="{00000000-0005-0000-0000-0000D8280000}"/>
    <cellStyle name="Normal 12 2 6 3 3 2 4" xfId="10836" xr:uid="{00000000-0005-0000-0000-0000D9280000}"/>
    <cellStyle name="Normal 12 2 6 3 3 2 5" xfId="10837" xr:uid="{00000000-0005-0000-0000-0000DA280000}"/>
    <cellStyle name="Normal 12 2 6 3 3 3" xfId="10838" xr:uid="{00000000-0005-0000-0000-0000DB280000}"/>
    <cellStyle name="Normal 12 2 6 3 3 4" xfId="10839" xr:uid="{00000000-0005-0000-0000-0000DC280000}"/>
    <cellStyle name="Normal 12 2 6 3 3 5" xfId="10840" xr:uid="{00000000-0005-0000-0000-0000DD280000}"/>
    <cellStyle name="Normal 12 2 6 3 3 6" xfId="10841" xr:uid="{00000000-0005-0000-0000-0000DE280000}"/>
    <cellStyle name="Normal 12 2 6 3 3 7" xfId="10842" xr:uid="{00000000-0005-0000-0000-0000DF280000}"/>
    <cellStyle name="Normal 12 2 6 3 3 8" xfId="10843" xr:uid="{00000000-0005-0000-0000-0000E0280000}"/>
    <cellStyle name="Normal 12 2 6 3 4" xfId="10844" xr:uid="{00000000-0005-0000-0000-0000E1280000}"/>
    <cellStyle name="Normal 12 2 6 3 4 2" xfId="10845" xr:uid="{00000000-0005-0000-0000-0000E2280000}"/>
    <cellStyle name="Normal 12 2 6 3 4 2 2" xfId="10846" xr:uid="{00000000-0005-0000-0000-0000E3280000}"/>
    <cellStyle name="Normal 12 2 6 3 4 2 3" xfId="10847" xr:uid="{00000000-0005-0000-0000-0000E4280000}"/>
    <cellStyle name="Normal 12 2 6 3 4 2 4" xfId="10848" xr:uid="{00000000-0005-0000-0000-0000E5280000}"/>
    <cellStyle name="Normal 12 2 6 3 4 2 5" xfId="10849" xr:uid="{00000000-0005-0000-0000-0000E6280000}"/>
    <cellStyle name="Normal 12 2 6 3 4 3" xfId="10850" xr:uid="{00000000-0005-0000-0000-0000E7280000}"/>
    <cellStyle name="Normal 12 2 6 3 4 4" xfId="10851" xr:uid="{00000000-0005-0000-0000-0000E8280000}"/>
    <cellStyle name="Normal 12 2 6 3 4 5" xfId="10852" xr:uid="{00000000-0005-0000-0000-0000E9280000}"/>
    <cellStyle name="Normal 12 2 6 3 4 6" xfId="10853" xr:uid="{00000000-0005-0000-0000-0000EA280000}"/>
    <cellStyle name="Normal 12 2 6 3 4 7" xfId="10854" xr:uid="{00000000-0005-0000-0000-0000EB280000}"/>
    <cellStyle name="Normal 12 2 6 3 4 8" xfId="10855" xr:uid="{00000000-0005-0000-0000-0000EC280000}"/>
    <cellStyle name="Normal 12 2 6 3 5" xfId="10856" xr:uid="{00000000-0005-0000-0000-0000ED280000}"/>
    <cellStyle name="Normal 12 2 6 3 5 2" xfId="10857" xr:uid="{00000000-0005-0000-0000-0000EE280000}"/>
    <cellStyle name="Normal 12 2 6 3 5 3" xfId="10858" xr:uid="{00000000-0005-0000-0000-0000EF280000}"/>
    <cellStyle name="Normal 12 2 6 3 5 4" xfId="10859" xr:uid="{00000000-0005-0000-0000-0000F0280000}"/>
    <cellStyle name="Normal 12 2 6 3 5 5" xfId="10860" xr:uid="{00000000-0005-0000-0000-0000F1280000}"/>
    <cellStyle name="Normal 12 2 6 3 6" xfId="10861" xr:uid="{00000000-0005-0000-0000-0000F2280000}"/>
    <cellStyle name="Normal 12 2 6 3 7" xfId="10862" xr:uid="{00000000-0005-0000-0000-0000F3280000}"/>
    <cellStyle name="Normal 12 2 6 3 8" xfId="10863" xr:uid="{00000000-0005-0000-0000-0000F4280000}"/>
    <cellStyle name="Normal 12 2 6 3 9" xfId="10864" xr:uid="{00000000-0005-0000-0000-0000F5280000}"/>
    <cellStyle name="Normal 12 2 6 4" xfId="10865" xr:uid="{00000000-0005-0000-0000-0000F6280000}"/>
    <cellStyle name="Normal 12 2 6 4 10" xfId="10866" xr:uid="{00000000-0005-0000-0000-0000F7280000}"/>
    <cellStyle name="Normal 12 2 6 4 2" xfId="10867" xr:uid="{00000000-0005-0000-0000-0000F8280000}"/>
    <cellStyle name="Normal 12 2 6 4 2 2" xfId="10868" xr:uid="{00000000-0005-0000-0000-0000F9280000}"/>
    <cellStyle name="Normal 12 2 6 4 2 2 2" xfId="10869" xr:uid="{00000000-0005-0000-0000-0000FA280000}"/>
    <cellStyle name="Normal 12 2 6 4 2 2 3" xfId="10870" xr:uid="{00000000-0005-0000-0000-0000FB280000}"/>
    <cellStyle name="Normal 12 2 6 4 2 2 4" xfId="10871" xr:uid="{00000000-0005-0000-0000-0000FC280000}"/>
    <cellStyle name="Normal 12 2 6 4 2 2 5" xfId="10872" xr:uid="{00000000-0005-0000-0000-0000FD280000}"/>
    <cellStyle name="Normal 12 2 6 4 2 3" xfId="10873" xr:uid="{00000000-0005-0000-0000-0000FE280000}"/>
    <cellStyle name="Normal 12 2 6 4 2 4" xfId="10874" xr:uid="{00000000-0005-0000-0000-0000FF280000}"/>
    <cellStyle name="Normal 12 2 6 4 2 5" xfId="10875" xr:uid="{00000000-0005-0000-0000-000000290000}"/>
    <cellStyle name="Normal 12 2 6 4 2 6" xfId="10876" xr:uid="{00000000-0005-0000-0000-000001290000}"/>
    <cellStyle name="Normal 12 2 6 4 2 7" xfId="10877" xr:uid="{00000000-0005-0000-0000-000002290000}"/>
    <cellStyle name="Normal 12 2 6 4 2 8" xfId="10878" xr:uid="{00000000-0005-0000-0000-000003290000}"/>
    <cellStyle name="Normal 12 2 6 4 3" xfId="10879" xr:uid="{00000000-0005-0000-0000-000004290000}"/>
    <cellStyle name="Normal 12 2 6 4 3 2" xfId="10880" xr:uid="{00000000-0005-0000-0000-000005290000}"/>
    <cellStyle name="Normal 12 2 6 4 3 2 2" xfId="10881" xr:uid="{00000000-0005-0000-0000-000006290000}"/>
    <cellStyle name="Normal 12 2 6 4 3 2 3" xfId="10882" xr:uid="{00000000-0005-0000-0000-000007290000}"/>
    <cellStyle name="Normal 12 2 6 4 3 2 4" xfId="10883" xr:uid="{00000000-0005-0000-0000-000008290000}"/>
    <cellStyle name="Normal 12 2 6 4 3 2 5" xfId="10884" xr:uid="{00000000-0005-0000-0000-000009290000}"/>
    <cellStyle name="Normal 12 2 6 4 3 3" xfId="10885" xr:uid="{00000000-0005-0000-0000-00000A290000}"/>
    <cellStyle name="Normal 12 2 6 4 3 4" xfId="10886" xr:uid="{00000000-0005-0000-0000-00000B290000}"/>
    <cellStyle name="Normal 12 2 6 4 3 5" xfId="10887" xr:uid="{00000000-0005-0000-0000-00000C290000}"/>
    <cellStyle name="Normal 12 2 6 4 3 6" xfId="10888" xr:uid="{00000000-0005-0000-0000-00000D290000}"/>
    <cellStyle name="Normal 12 2 6 4 3 7" xfId="10889" xr:uid="{00000000-0005-0000-0000-00000E290000}"/>
    <cellStyle name="Normal 12 2 6 4 3 8" xfId="10890" xr:uid="{00000000-0005-0000-0000-00000F290000}"/>
    <cellStyle name="Normal 12 2 6 4 4" xfId="10891" xr:uid="{00000000-0005-0000-0000-000010290000}"/>
    <cellStyle name="Normal 12 2 6 4 4 2" xfId="10892" xr:uid="{00000000-0005-0000-0000-000011290000}"/>
    <cellStyle name="Normal 12 2 6 4 4 3" xfId="10893" xr:uid="{00000000-0005-0000-0000-000012290000}"/>
    <cellStyle name="Normal 12 2 6 4 4 4" xfId="10894" xr:uid="{00000000-0005-0000-0000-000013290000}"/>
    <cellStyle name="Normal 12 2 6 4 4 5" xfId="10895" xr:uid="{00000000-0005-0000-0000-000014290000}"/>
    <cellStyle name="Normal 12 2 6 4 5" xfId="10896" xr:uid="{00000000-0005-0000-0000-000015290000}"/>
    <cellStyle name="Normal 12 2 6 4 6" xfId="10897" xr:uid="{00000000-0005-0000-0000-000016290000}"/>
    <cellStyle name="Normal 12 2 6 4 7" xfId="10898" xr:uid="{00000000-0005-0000-0000-000017290000}"/>
    <cellStyle name="Normal 12 2 6 4 8" xfId="10899" xr:uid="{00000000-0005-0000-0000-000018290000}"/>
    <cellStyle name="Normal 12 2 6 4 9" xfId="10900" xr:uid="{00000000-0005-0000-0000-000019290000}"/>
    <cellStyle name="Normal 12 2 6 5" xfId="10901" xr:uid="{00000000-0005-0000-0000-00001A290000}"/>
    <cellStyle name="Normal 12 2 6 5 2" xfId="10902" xr:uid="{00000000-0005-0000-0000-00001B290000}"/>
    <cellStyle name="Normal 12 2 6 5 2 2" xfId="10903" xr:uid="{00000000-0005-0000-0000-00001C290000}"/>
    <cellStyle name="Normal 12 2 6 5 2 3" xfId="10904" xr:uid="{00000000-0005-0000-0000-00001D290000}"/>
    <cellStyle name="Normal 12 2 6 5 2 4" xfId="10905" xr:uid="{00000000-0005-0000-0000-00001E290000}"/>
    <cellStyle name="Normal 12 2 6 5 2 5" xfId="10906" xr:uid="{00000000-0005-0000-0000-00001F290000}"/>
    <cellStyle name="Normal 12 2 6 5 3" xfId="10907" xr:uid="{00000000-0005-0000-0000-000020290000}"/>
    <cellStyle name="Normal 12 2 6 5 4" xfId="10908" xr:uid="{00000000-0005-0000-0000-000021290000}"/>
    <cellStyle name="Normal 12 2 6 5 5" xfId="10909" xr:uid="{00000000-0005-0000-0000-000022290000}"/>
    <cellStyle name="Normal 12 2 6 5 6" xfId="10910" xr:uid="{00000000-0005-0000-0000-000023290000}"/>
    <cellStyle name="Normal 12 2 6 5 7" xfId="10911" xr:uid="{00000000-0005-0000-0000-000024290000}"/>
    <cellStyle name="Normal 12 2 6 5 8" xfId="10912" xr:uid="{00000000-0005-0000-0000-000025290000}"/>
    <cellStyle name="Normal 12 2 6 6" xfId="10913" xr:uid="{00000000-0005-0000-0000-000026290000}"/>
    <cellStyle name="Normal 12 2 6 6 2" xfId="10914" xr:uid="{00000000-0005-0000-0000-000027290000}"/>
    <cellStyle name="Normal 12 2 6 6 2 2" xfId="10915" xr:uid="{00000000-0005-0000-0000-000028290000}"/>
    <cellStyle name="Normal 12 2 6 6 2 3" xfId="10916" xr:uid="{00000000-0005-0000-0000-000029290000}"/>
    <cellStyle name="Normal 12 2 6 6 2 4" xfId="10917" xr:uid="{00000000-0005-0000-0000-00002A290000}"/>
    <cellStyle name="Normal 12 2 6 6 2 5" xfId="10918" xr:uid="{00000000-0005-0000-0000-00002B290000}"/>
    <cellStyle name="Normal 12 2 6 6 3" xfId="10919" xr:uid="{00000000-0005-0000-0000-00002C290000}"/>
    <cellStyle name="Normal 12 2 6 6 4" xfId="10920" xr:uid="{00000000-0005-0000-0000-00002D290000}"/>
    <cellStyle name="Normal 12 2 6 6 5" xfId="10921" xr:uid="{00000000-0005-0000-0000-00002E290000}"/>
    <cellStyle name="Normal 12 2 6 6 6" xfId="10922" xr:uid="{00000000-0005-0000-0000-00002F290000}"/>
    <cellStyle name="Normal 12 2 6 6 7" xfId="10923" xr:uid="{00000000-0005-0000-0000-000030290000}"/>
    <cellStyle name="Normal 12 2 6 6 8" xfId="10924" xr:uid="{00000000-0005-0000-0000-000031290000}"/>
    <cellStyle name="Normal 12 2 6 7" xfId="10925" xr:uid="{00000000-0005-0000-0000-000032290000}"/>
    <cellStyle name="Normal 12 2 6 7 2" xfId="10926" xr:uid="{00000000-0005-0000-0000-000033290000}"/>
    <cellStyle name="Normal 12 2 6 7 3" xfId="10927" xr:uid="{00000000-0005-0000-0000-000034290000}"/>
    <cellStyle name="Normal 12 2 6 7 4" xfId="10928" xr:uid="{00000000-0005-0000-0000-000035290000}"/>
    <cellStyle name="Normal 12 2 6 7 5" xfId="10929" xr:uid="{00000000-0005-0000-0000-000036290000}"/>
    <cellStyle name="Normal 12 2 6 8" xfId="10930" xr:uid="{00000000-0005-0000-0000-000037290000}"/>
    <cellStyle name="Normal 12 2 6 9" xfId="10931" xr:uid="{00000000-0005-0000-0000-000038290000}"/>
    <cellStyle name="Normal 12 2 7" xfId="10932" xr:uid="{00000000-0005-0000-0000-000039290000}"/>
    <cellStyle name="Normal 12 2 7 10" xfId="10933" xr:uid="{00000000-0005-0000-0000-00003A290000}"/>
    <cellStyle name="Normal 12 2 7 11" xfId="10934" xr:uid="{00000000-0005-0000-0000-00003B290000}"/>
    <cellStyle name="Normal 12 2 7 12" xfId="10935" xr:uid="{00000000-0005-0000-0000-00003C290000}"/>
    <cellStyle name="Normal 12 2 7 13" xfId="10936" xr:uid="{00000000-0005-0000-0000-00003D290000}"/>
    <cellStyle name="Normal 12 2 7 2" xfId="10937" xr:uid="{00000000-0005-0000-0000-00003E290000}"/>
    <cellStyle name="Normal 12 2 7 2 10" xfId="10938" xr:uid="{00000000-0005-0000-0000-00003F290000}"/>
    <cellStyle name="Normal 12 2 7 2 11" xfId="10939" xr:uid="{00000000-0005-0000-0000-000040290000}"/>
    <cellStyle name="Normal 12 2 7 2 2" xfId="10940" xr:uid="{00000000-0005-0000-0000-000041290000}"/>
    <cellStyle name="Normal 12 2 7 2 2 10" xfId="10941" xr:uid="{00000000-0005-0000-0000-000042290000}"/>
    <cellStyle name="Normal 12 2 7 2 2 2" xfId="10942" xr:uid="{00000000-0005-0000-0000-000043290000}"/>
    <cellStyle name="Normal 12 2 7 2 2 2 2" xfId="10943" xr:uid="{00000000-0005-0000-0000-000044290000}"/>
    <cellStyle name="Normal 12 2 7 2 2 2 2 2" xfId="10944" xr:uid="{00000000-0005-0000-0000-000045290000}"/>
    <cellStyle name="Normal 12 2 7 2 2 2 2 3" xfId="10945" xr:uid="{00000000-0005-0000-0000-000046290000}"/>
    <cellStyle name="Normal 12 2 7 2 2 2 2 4" xfId="10946" xr:uid="{00000000-0005-0000-0000-000047290000}"/>
    <cellStyle name="Normal 12 2 7 2 2 2 2 5" xfId="10947" xr:uid="{00000000-0005-0000-0000-000048290000}"/>
    <cellStyle name="Normal 12 2 7 2 2 2 3" xfId="10948" xr:uid="{00000000-0005-0000-0000-000049290000}"/>
    <cellStyle name="Normal 12 2 7 2 2 2 4" xfId="10949" xr:uid="{00000000-0005-0000-0000-00004A290000}"/>
    <cellStyle name="Normal 12 2 7 2 2 2 5" xfId="10950" xr:uid="{00000000-0005-0000-0000-00004B290000}"/>
    <cellStyle name="Normal 12 2 7 2 2 2 6" xfId="10951" xr:uid="{00000000-0005-0000-0000-00004C290000}"/>
    <cellStyle name="Normal 12 2 7 2 2 2 7" xfId="10952" xr:uid="{00000000-0005-0000-0000-00004D290000}"/>
    <cellStyle name="Normal 12 2 7 2 2 2 8" xfId="10953" xr:uid="{00000000-0005-0000-0000-00004E290000}"/>
    <cellStyle name="Normal 12 2 7 2 2 3" xfId="10954" xr:uid="{00000000-0005-0000-0000-00004F290000}"/>
    <cellStyle name="Normal 12 2 7 2 2 3 2" xfId="10955" xr:uid="{00000000-0005-0000-0000-000050290000}"/>
    <cellStyle name="Normal 12 2 7 2 2 3 2 2" xfId="10956" xr:uid="{00000000-0005-0000-0000-000051290000}"/>
    <cellStyle name="Normal 12 2 7 2 2 3 2 3" xfId="10957" xr:uid="{00000000-0005-0000-0000-000052290000}"/>
    <cellStyle name="Normal 12 2 7 2 2 3 2 4" xfId="10958" xr:uid="{00000000-0005-0000-0000-000053290000}"/>
    <cellStyle name="Normal 12 2 7 2 2 3 2 5" xfId="10959" xr:uid="{00000000-0005-0000-0000-000054290000}"/>
    <cellStyle name="Normal 12 2 7 2 2 3 3" xfId="10960" xr:uid="{00000000-0005-0000-0000-000055290000}"/>
    <cellStyle name="Normal 12 2 7 2 2 3 4" xfId="10961" xr:uid="{00000000-0005-0000-0000-000056290000}"/>
    <cellStyle name="Normal 12 2 7 2 2 3 5" xfId="10962" xr:uid="{00000000-0005-0000-0000-000057290000}"/>
    <cellStyle name="Normal 12 2 7 2 2 3 6" xfId="10963" xr:uid="{00000000-0005-0000-0000-000058290000}"/>
    <cellStyle name="Normal 12 2 7 2 2 3 7" xfId="10964" xr:uid="{00000000-0005-0000-0000-000059290000}"/>
    <cellStyle name="Normal 12 2 7 2 2 3 8" xfId="10965" xr:uid="{00000000-0005-0000-0000-00005A290000}"/>
    <cellStyle name="Normal 12 2 7 2 2 4" xfId="10966" xr:uid="{00000000-0005-0000-0000-00005B290000}"/>
    <cellStyle name="Normal 12 2 7 2 2 4 2" xfId="10967" xr:uid="{00000000-0005-0000-0000-00005C290000}"/>
    <cellStyle name="Normal 12 2 7 2 2 4 3" xfId="10968" xr:uid="{00000000-0005-0000-0000-00005D290000}"/>
    <cellStyle name="Normal 12 2 7 2 2 4 4" xfId="10969" xr:uid="{00000000-0005-0000-0000-00005E290000}"/>
    <cellStyle name="Normal 12 2 7 2 2 4 5" xfId="10970" xr:uid="{00000000-0005-0000-0000-00005F290000}"/>
    <cellStyle name="Normal 12 2 7 2 2 5" xfId="10971" xr:uid="{00000000-0005-0000-0000-000060290000}"/>
    <cellStyle name="Normal 12 2 7 2 2 6" xfId="10972" xr:uid="{00000000-0005-0000-0000-000061290000}"/>
    <cellStyle name="Normal 12 2 7 2 2 7" xfId="10973" xr:uid="{00000000-0005-0000-0000-000062290000}"/>
    <cellStyle name="Normal 12 2 7 2 2 8" xfId="10974" xr:uid="{00000000-0005-0000-0000-000063290000}"/>
    <cellStyle name="Normal 12 2 7 2 2 9" xfId="10975" xr:uid="{00000000-0005-0000-0000-000064290000}"/>
    <cellStyle name="Normal 12 2 7 2 3" xfId="10976" xr:uid="{00000000-0005-0000-0000-000065290000}"/>
    <cellStyle name="Normal 12 2 7 2 3 2" xfId="10977" xr:uid="{00000000-0005-0000-0000-000066290000}"/>
    <cellStyle name="Normal 12 2 7 2 3 2 2" xfId="10978" xr:uid="{00000000-0005-0000-0000-000067290000}"/>
    <cellStyle name="Normal 12 2 7 2 3 2 3" xfId="10979" xr:uid="{00000000-0005-0000-0000-000068290000}"/>
    <cellStyle name="Normal 12 2 7 2 3 2 4" xfId="10980" xr:uid="{00000000-0005-0000-0000-000069290000}"/>
    <cellStyle name="Normal 12 2 7 2 3 2 5" xfId="10981" xr:uid="{00000000-0005-0000-0000-00006A290000}"/>
    <cellStyle name="Normal 12 2 7 2 3 3" xfId="10982" xr:uid="{00000000-0005-0000-0000-00006B290000}"/>
    <cellStyle name="Normal 12 2 7 2 3 4" xfId="10983" xr:uid="{00000000-0005-0000-0000-00006C290000}"/>
    <cellStyle name="Normal 12 2 7 2 3 5" xfId="10984" xr:uid="{00000000-0005-0000-0000-00006D290000}"/>
    <cellStyle name="Normal 12 2 7 2 3 6" xfId="10985" xr:uid="{00000000-0005-0000-0000-00006E290000}"/>
    <cellStyle name="Normal 12 2 7 2 3 7" xfId="10986" xr:uid="{00000000-0005-0000-0000-00006F290000}"/>
    <cellStyle name="Normal 12 2 7 2 3 8" xfId="10987" xr:uid="{00000000-0005-0000-0000-000070290000}"/>
    <cellStyle name="Normal 12 2 7 2 4" xfId="10988" xr:uid="{00000000-0005-0000-0000-000071290000}"/>
    <cellStyle name="Normal 12 2 7 2 4 2" xfId="10989" xr:uid="{00000000-0005-0000-0000-000072290000}"/>
    <cellStyle name="Normal 12 2 7 2 4 2 2" xfId="10990" xr:uid="{00000000-0005-0000-0000-000073290000}"/>
    <cellStyle name="Normal 12 2 7 2 4 2 3" xfId="10991" xr:uid="{00000000-0005-0000-0000-000074290000}"/>
    <cellStyle name="Normal 12 2 7 2 4 2 4" xfId="10992" xr:uid="{00000000-0005-0000-0000-000075290000}"/>
    <cellStyle name="Normal 12 2 7 2 4 2 5" xfId="10993" xr:uid="{00000000-0005-0000-0000-000076290000}"/>
    <cellStyle name="Normal 12 2 7 2 4 3" xfId="10994" xr:uid="{00000000-0005-0000-0000-000077290000}"/>
    <cellStyle name="Normal 12 2 7 2 4 4" xfId="10995" xr:uid="{00000000-0005-0000-0000-000078290000}"/>
    <cellStyle name="Normal 12 2 7 2 4 5" xfId="10996" xr:uid="{00000000-0005-0000-0000-000079290000}"/>
    <cellStyle name="Normal 12 2 7 2 4 6" xfId="10997" xr:uid="{00000000-0005-0000-0000-00007A290000}"/>
    <cellStyle name="Normal 12 2 7 2 4 7" xfId="10998" xr:uid="{00000000-0005-0000-0000-00007B290000}"/>
    <cellStyle name="Normal 12 2 7 2 4 8" xfId="10999" xr:uid="{00000000-0005-0000-0000-00007C290000}"/>
    <cellStyle name="Normal 12 2 7 2 5" xfId="11000" xr:uid="{00000000-0005-0000-0000-00007D290000}"/>
    <cellStyle name="Normal 12 2 7 2 5 2" xfId="11001" xr:uid="{00000000-0005-0000-0000-00007E290000}"/>
    <cellStyle name="Normal 12 2 7 2 5 3" xfId="11002" xr:uid="{00000000-0005-0000-0000-00007F290000}"/>
    <cellStyle name="Normal 12 2 7 2 5 4" xfId="11003" xr:uid="{00000000-0005-0000-0000-000080290000}"/>
    <cellStyle name="Normal 12 2 7 2 5 5" xfId="11004" xr:uid="{00000000-0005-0000-0000-000081290000}"/>
    <cellStyle name="Normal 12 2 7 2 6" xfId="11005" xr:uid="{00000000-0005-0000-0000-000082290000}"/>
    <cellStyle name="Normal 12 2 7 2 7" xfId="11006" xr:uid="{00000000-0005-0000-0000-000083290000}"/>
    <cellStyle name="Normal 12 2 7 2 8" xfId="11007" xr:uid="{00000000-0005-0000-0000-000084290000}"/>
    <cellStyle name="Normal 12 2 7 2 9" xfId="11008" xr:uid="{00000000-0005-0000-0000-000085290000}"/>
    <cellStyle name="Normal 12 2 7 3" xfId="11009" xr:uid="{00000000-0005-0000-0000-000086290000}"/>
    <cellStyle name="Normal 12 2 7 3 10" xfId="11010" xr:uid="{00000000-0005-0000-0000-000087290000}"/>
    <cellStyle name="Normal 12 2 7 3 11" xfId="11011" xr:uid="{00000000-0005-0000-0000-000088290000}"/>
    <cellStyle name="Normal 12 2 7 3 2" xfId="11012" xr:uid="{00000000-0005-0000-0000-000089290000}"/>
    <cellStyle name="Normal 12 2 7 3 2 10" xfId="11013" xr:uid="{00000000-0005-0000-0000-00008A290000}"/>
    <cellStyle name="Normal 12 2 7 3 2 2" xfId="11014" xr:uid="{00000000-0005-0000-0000-00008B290000}"/>
    <cellStyle name="Normal 12 2 7 3 2 2 2" xfId="11015" xr:uid="{00000000-0005-0000-0000-00008C290000}"/>
    <cellStyle name="Normal 12 2 7 3 2 2 2 2" xfId="11016" xr:uid="{00000000-0005-0000-0000-00008D290000}"/>
    <cellStyle name="Normal 12 2 7 3 2 2 2 3" xfId="11017" xr:uid="{00000000-0005-0000-0000-00008E290000}"/>
    <cellStyle name="Normal 12 2 7 3 2 2 2 4" xfId="11018" xr:uid="{00000000-0005-0000-0000-00008F290000}"/>
    <cellStyle name="Normal 12 2 7 3 2 2 2 5" xfId="11019" xr:uid="{00000000-0005-0000-0000-000090290000}"/>
    <cellStyle name="Normal 12 2 7 3 2 2 3" xfId="11020" xr:uid="{00000000-0005-0000-0000-000091290000}"/>
    <cellStyle name="Normal 12 2 7 3 2 2 4" xfId="11021" xr:uid="{00000000-0005-0000-0000-000092290000}"/>
    <cellStyle name="Normal 12 2 7 3 2 2 5" xfId="11022" xr:uid="{00000000-0005-0000-0000-000093290000}"/>
    <cellStyle name="Normal 12 2 7 3 2 2 6" xfId="11023" xr:uid="{00000000-0005-0000-0000-000094290000}"/>
    <cellStyle name="Normal 12 2 7 3 2 2 7" xfId="11024" xr:uid="{00000000-0005-0000-0000-000095290000}"/>
    <cellStyle name="Normal 12 2 7 3 2 2 8" xfId="11025" xr:uid="{00000000-0005-0000-0000-000096290000}"/>
    <cellStyle name="Normal 12 2 7 3 2 3" xfId="11026" xr:uid="{00000000-0005-0000-0000-000097290000}"/>
    <cellStyle name="Normal 12 2 7 3 2 3 2" xfId="11027" xr:uid="{00000000-0005-0000-0000-000098290000}"/>
    <cellStyle name="Normal 12 2 7 3 2 3 2 2" xfId="11028" xr:uid="{00000000-0005-0000-0000-000099290000}"/>
    <cellStyle name="Normal 12 2 7 3 2 3 2 3" xfId="11029" xr:uid="{00000000-0005-0000-0000-00009A290000}"/>
    <cellStyle name="Normal 12 2 7 3 2 3 2 4" xfId="11030" xr:uid="{00000000-0005-0000-0000-00009B290000}"/>
    <cellStyle name="Normal 12 2 7 3 2 3 2 5" xfId="11031" xr:uid="{00000000-0005-0000-0000-00009C290000}"/>
    <cellStyle name="Normal 12 2 7 3 2 3 3" xfId="11032" xr:uid="{00000000-0005-0000-0000-00009D290000}"/>
    <cellStyle name="Normal 12 2 7 3 2 3 4" xfId="11033" xr:uid="{00000000-0005-0000-0000-00009E290000}"/>
    <cellStyle name="Normal 12 2 7 3 2 3 5" xfId="11034" xr:uid="{00000000-0005-0000-0000-00009F290000}"/>
    <cellStyle name="Normal 12 2 7 3 2 3 6" xfId="11035" xr:uid="{00000000-0005-0000-0000-0000A0290000}"/>
    <cellStyle name="Normal 12 2 7 3 2 3 7" xfId="11036" xr:uid="{00000000-0005-0000-0000-0000A1290000}"/>
    <cellStyle name="Normal 12 2 7 3 2 3 8" xfId="11037" xr:uid="{00000000-0005-0000-0000-0000A2290000}"/>
    <cellStyle name="Normal 12 2 7 3 2 4" xfId="11038" xr:uid="{00000000-0005-0000-0000-0000A3290000}"/>
    <cellStyle name="Normal 12 2 7 3 2 4 2" xfId="11039" xr:uid="{00000000-0005-0000-0000-0000A4290000}"/>
    <cellStyle name="Normal 12 2 7 3 2 4 3" xfId="11040" xr:uid="{00000000-0005-0000-0000-0000A5290000}"/>
    <cellStyle name="Normal 12 2 7 3 2 4 4" xfId="11041" xr:uid="{00000000-0005-0000-0000-0000A6290000}"/>
    <cellStyle name="Normal 12 2 7 3 2 4 5" xfId="11042" xr:uid="{00000000-0005-0000-0000-0000A7290000}"/>
    <cellStyle name="Normal 12 2 7 3 2 5" xfId="11043" xr:uid="{00000000-0005-0000-0000-0000A8290000}"/>
    <cellStyle name="Normal 12 2 7 3 2 6" xfId="11044" xr:uid="{00000000-0005-0000-0000-0000A9290000}"/>
    <cellStyle name="Normal 12 2 7 3 2 7" xfId="11045" xr:uid="{00000000-0005-0000-0000-0000AA290000}"/>
    <cellStyle name="Normal 12 2 7 3 2 8" xfId="11046" xr:uid="{00000000-0005-0000-0000-0000AB290000}"/>
    <cellStyle name="Normal 12 2 7 3 2 9" xfId="11047" xr:uid="{00000000-0005-0000-0000-0000AC290000}"/>
    <cellStyle name="Normal 12 2 7 3 3" xfId="11048" xr:uid="{00000000-0005-0000-0000-0000AD290000}"/>
    <cellStyle name="Normal 12 2 7 3 3 2" xfId="11049" xr:uid="{00000000-0005-0000-0000-0000AE290000}"/>
    <cellStyle name="Normal 12 2 7 3 3 2 2" xfId="11050" xr:uid="{00000000-0005-0000-0000-0000AF290000}"/>
    <cellStyle name="Normal 12 2 7 3 3 2 3" xfId="11051" xr:uid="{00000000-0005-0000-0000-0000B0290000}"/>
    <cellStyle name="Normal 12 2 7 3 3 2 4" xfId="11052" xr:uid="{00000000-0005-0000-0000-0000B1290000}"/>
    <cellStyle name="Normal 12 2 7 3 3 2 5" xfId="11053" xr:uid="{00000000-0005-0000-0000-0000B2290000}"/>
    <cellStyle name="Normal 12 2 7 3 3 3" xfId="11054" xr:uid="{00000000-0005-0000-0000-0000B3290000}"/>
    <cellStyle name="Normal 12 2 7 3 3 4" xfId="11055" xr:uid="{00000000-0005-0000-0000-0000B4290000}"/>
    <cellStyle name="Normal 12 2 7 3 3 5" xfId="11056" xr:uid="{00000000-0005-0000-0000-0000B5290000}"/>
    <cellStyle name="Normal 12 2 7 3 3 6" xfId="11057" xr:uid="{00000000-0005-0000-0000-0000B6290000}"/>
    <cellStyle name="Normal 12 2 7 3 3 7" xfId="11058" xr:uid="{00000000-0005-0000-0000-0000B7290000}"/>
    <cellStyle name="Normal 12 2 7 3 3 8" xfId="11059" xr:uid="{00000000-0005-0000-0000-0000B8290000}"/>
    <cellStyle name="Normal 12 2 7 3 4" xfId="11060" xr:uid="{00000000-0005-0000-0000-0000B9290000}"/>
    <cellStyle name="Normal 12 2 7 3 4 2" xfId="11061" xr:uid="{00000000-0005-0000-0000-0000BA290000}"/>
    <cellStyle name="Normal 12 2 7 3 4 2 2" xfId="11062" xr:uid="{00000000-0005-0000-0000-0000BB290000}"/>
    <cellStyle name="Normal 12 2 7 3 4 2 3" xfId="11063" xr:uid="{00000000-0005-0000-0000-0000BC290000}"/>
    <cellStyle name="Normal 12 2 7 3 4 2 4" xfId="11064" xr:uid="{00000000-0005-0000-0000-0000BD290000}"/>
    <cellStyle name="Normal 12 2 7 3 4 2 5" xfId="11065" xr:uid="{00000000-0005-0000-0000-0000BE290000}"/>
    <cellStyle name="Normal 12 2 7 3 4 3" xfId="11066" xr:uid="{00000000-0005-0000-0000-0000BF290000}"/>
    <cellStyle name="Normal 12 2 7 3 4 4" xfId="11067" xr:uid="{00000000-0005-0000-0000-0000C0290000}"/>
    <cellStyle name="Normal 12 2 7 3 4 5" xfId="11068" xr:uid="{00000000-0005-0000-0000-0000C1290000}"/>
    <cellStyle name="Normal 12 2 7 3 4 6" xfId="11069" xr:uid="{00000000-0005-0000-0000-0000C2290000}"/>
    <cellStyle name="Normal 12 2 7 3 4 7" xfId="11070" xr:uid="{00000000-0005-0000-0000-0000C3290000}"/>
    <cellStyle name="Normal 12 2 7 3 4 8" xfId="11071" xr:uid="{00000000-0005-0000-0000-0000C4290000}"/>
    <cellStyle name="Normal 12 2 7 3 5" xfId="11072" xr:uid="{00000000-0005-0000-0000-0000C5290000}"/>
    <cellStyle name="Normal 12 2 7 3 5 2" xfId="11073" xr:uid="{00000000-0005-0000-0000-0000C6290000}"/>
    <cellStyle name="Normal 12 2 7 3 5 3" xfId="11074" xr:uid="{00000000-0005-0000-0000-0000C7290000}"/>
    <cellStyle name="Normal 12 2 7 3 5 4" xfId="11075" xr:uid="{00000000-0005-0000-0000-0000C8290000}"/>
    <cellStyle name="Normal 12 2 7 3 5 5" xfId="11076" xr:uid="{00000000-0005-0000-0000-0000C9290000}"/>
    <cellStyle name="Normal 12 2 7 3 6" xfId="11077" xr:uid="{00000000-0005-0000-0000-0000CA290000}"/>
    <cellStyle name="Normal 12 2 7 3 7" xfId="11078" xr:uid="{00000000-0005-0000-0000-0000CB290000}"/>
    <cellStyle name="Normal 12 2 7 3 8" xfId="11079" xr:uid="{00000000-0005-0000-0000-0000CC290000}"/>
    <cellStyle name="Normal 12 2 7 3 9" xfId="11080" xr:uid="{00000000-0005-0000-0000-0000CD290000}"/>
    <cellStyle name="Normal 12 2 7 4" xfId="11081" xr:uid="{00000000-0005-0000-0000-0000CE290000}"/>
    <cellStyle name="Normal 12 2 7 4 10" xfId="11082" xr:uid="{00000000-0005-0000-0000-0000CF290000}"/>
    <cellStyle name="Normal 12 2 7 4 2" xfId="11083" xr:uid="{00000000-0005-0000-0000-0000D0290000}"/>
    <cellStyle name="Normal 12 2 7 4 2 2" xfId="11084" xr:uid="{00000000-0005-0000-0000-0000D1290000}"/>
    <cellStyle name="Normal 12 2 7 4 2 2 2" xfId="11085" xr:uid="{00000000-0005-0000-0000-0000D2290000}"/>
    <cellStyle name="Normal 12 2 7 4 2 2 3" xfId="11086" xr:uid="{00000000-0005-0000-0000-0000D3290000}"/>
    <cellStyle name="Normal 12 2 7 4 2 2 4" xfId="11087" xr:uid="{00000000-0005-0000-0000-0000D4290000}"/>
    <cellStyle name="Normal 12 2 7 4 2 2 5" xfId="11088" xr:uid="{00000000-0005-0000-0000-0000D5290000}"/>
    <cellStyle name="Normal 12 2 7 4 2 3" xfId="11089" xr:uid="{00000000-0005-0000-0000-0000D6290000}"/>
    <cellStyle name="Normal 12 2 7 4 2 4" xfId="11090" xr:uid="{00000000-0005-0000-0000-0000D7290000}"/>
    <cellStyle name="Normal 12 2 7 4 2 5" xfId="11091" xr:uid="{00000000-0005-0000-0000-0000D8290000}"/>
    <cellStyle name="Normal 12 2 7 4 2 6" xfId="11092" xr:uid="{00000000-0005-0000-0000-0000D9290000}"/>
    <cellStyle name="Normal 12 2 7 4 2 7" xfId="11093" xr:uid="{00000000-0005-0000-0000-0000DA290000}"/>
    <cellStyle name="Normal 12 2 7 4 2 8" xfId="11094" xr:uid="{00000000-0005-0000-0000-0000DB290000}"/>
    <cellStyle name="Normal 12 2 7 4 3" xfId="11095" xr:uid="{00000000-0005-0000-0000-0000DC290000}"/>
    <cellStyle name="Normal 12 2 7 4 3 2" xfId="11096" xr:uid="{00000000-0005-0000-0000-0000DD290000}"/>
    <cellStyle name="Normal 12 2 7 4 3 2 2" xfId="11097" xr:uid="{00000000-0005-0000-0000-0000DE290000}"/>
    <cellStyle name="Normal 12 2 7 4 3 2 3" xfId="11098" xr:uid="{00000000-0005-0000-0000-0000DF290000}"/>
    <cellStyle name="Normal 12 2 7 4 3 2 4" xfId="11099" xr:uid="{00000000-0005-0000-0000-0000E0290000}"/>
    <cellStyle name="Normal 12 2 7 4 3 2 5" xfId="11100" xr:uid="{00000000-0005-0000-0000-0000E1290000}"/>
    <cellStyle name="Normal 12 2 7 4 3 3" xfId="11101" xr:uid="{00000000-0005-0000-0000-0000E2290000}"/>
    <cellStyle name="Normal 12 2 7 4 3 4" xfId="11102" xr:uid="{00000000-0005-0000-0000-0000E3290000}"/>
    <cellStyle name="Normal 12 2 7 4 3 5" xfId="11103" xr:uid="{00000000-0005-0000-0000-0000E4290000}"/>
    <cellStyle name="Normal 12 2 7 4 3 6" xfId="11104" xr:uid="{00000000-0005-0000-0000-0000E5290000}"/>
    <cellStyle name="Normal 12 2 7 4 3 7" xfId="11105" xr:uid="{00000000-0005-0000-0000-0000E6290000}"/>
    <cellStyle name="Normal 12 2 7 4 3 8" xfId="11106" xr:uid="{00000000-0005-0000-0000-0000E7290000}"/>
    <cellStyle name="Normal 12 2 7 4 4" xfId="11107" xr:uid="{00000000-0005-0000-0000-0000E8290000}"/>
    <cellStyle name="Normal 12 2 7 4 4 2" xfId="11108" xr:uid="{00000000-0005-0000-0000-0000E9290000}"/>
    <cellStyle name="Normal 12 2 7 4 4 3" xfId="11109" xr:uid="{00000000-0005-0000-0000-0000EA290000}"/>
    <cellStyle name="Normal 12 2 7 4 4 4" xfId="11110" xr:uid="{00000000-0005-0000-0000-0000EB290000}"/>
    <cellStyle name="Normal 12 2 7 4 4 5" xfId="11111" xr:uid="{00000000-0005-0000-0000-0000EC290000}"/>
    <cellStyle name="Normal 12 2 7 4 5" xfId="11112" xr:uid="{00000000-0005-0000-0000-0000ED290000}"/>
    <cellStyle name="Normal 12 2 7 4 6" xfId="11113" xr:uid="{00000000-0005-0000-0000-0000EE290000}"/>
    <cellStyle name="Normal 12 2 7 4 7" xfId="11114" xr:uid="{00000000-0005-0000-0000-0000EF290000}"/>
    <cellStyle name="Normal 12 2 7 4 8" xfId="11115" xr:uid="{00000000-0005-0000-0000-0000F0290000}"/>
    <cellStyle name="Normal 12 2 7 4 9" xfId="11116" xr:uid="{00000000-0005-0000-0000-0000F1290000}"/>
    <cellStyle name="Normal 12 2 7 5" xfId="11117" xr:uid="{00000000-0005-0000-0000-0000F2290000}"/>
    <cellStyle name="Normal 12 2 7 5 2" xfId="11118" xr:uid="{00000000-0005-0000-0000-0000F3290000}"/>
    <cellStyle name="Normal 12 2 7 5 2 2" xfId="11119" xr:uid="{00000000-0005-0000-0000-0000F4290000}"/>
    <cellStyle name="Normal 12 2 7 5 2 3" xfId="11120" xr:uid="{00000000-0005-0000-0000-0000F5290000}"/>
    <cellStyle name="Normal 12 2 7 5 2 4" xfId="11121" xr:uid="{00000000-0005-0000-0000-0000F6290000}"/>
    <cellStyle name="Normal 12 2 7 5 2 5" xfId="11122" xr:uid="{00000000-0005-0000-0000-0000F7290000}"/>
    <cellStyle name="Normal 12 2 7 5 3" xfId="11123" xr:uid="{00000000-0005-0000-0000-0000F8290000}"/>
    <cellStyle name="Normal 12 2 7 5 4" xfId="11124" xr:uid="{00000000-0005-0000-0000-0000F9290000}"/>
    <cellStyle name="Normal 12 2 7 5 5" xfId="11125" xr:uid="{00000000-0005-0000-0000-0000FA290000}"/>
    <cellStyle name="Normal 12 2 7 5 6" xfId="11126" xr:uid="{00000000-0005-0000-0000-0000FB290000}"/>
    <cellStyle name="Normal 12 2 7 5 7" xfId="11127" xr:uid="{00000000-0005-0000-0000-0000FC290000}"/>
    <cellStyle name="Normal 12 2 7 5 8" xfId="11128" xr:uid="{00000000-0005-0000-0000-0000FD290000}"/>
    <cellStyle name="Normal 12 2 7 6" xfId="11129" xr:uid="{00000000-0005-0000-0000-0000FE290000}"/>
    <cellStyle name="Normal 12 2 7 6 2" xfId="11130" xr:uid="{00000000-0005-0000-0000-0000FF290000}"/>
    <cellStyle name="Normal 12 2 7 6 2 2" xfId="11131" xr:uid="{00000000-0005-0000-0000-0000002A0000}"/>
    <cellStyle name="Normal 12 2 7 6 2 3" xfId="11132" xr:uid="{00000000-0005-0000-0000-0000012A0000}"/>
    <cellStyle name="Normal 12 2 7 6 2 4" xfId="11133" xr:uid="{00000000-0005-0000-0000-0000022A0000}"/>
    <cellStyle name="Normal 12 2 7 6 2 5" xfId="11134" xr:uid="{00000000-0005-0000-0000-0000032A0000}"/>
    <cellStyle name="Normal 12 2 7 6 3" xfId="11135" xr:uid="{00000000-0005-0000-0000-0000042A0000}"/>
    <cellStyle name="Normal 12 2 7 6 4" xfId="11136" xr:uid="{00000000-0005-0000-0000-0000052A0000}"/>
    <cellStyle name="Normal 12 2 7 6 5" xfId="11137" xr:uid="{00000000-0005-0000-0000-0000062A0000}"/>
    <cellStyle name="Normal 12 2 7 6 6" xfId="11138" xr:uid="{00000000-0005-0000-0000-0000072A0000}"/>
    <cellStyle name="Normal 12 2 7 6 7" xfId="11139" xr:uid="{00000000-0005-0000-0000-0000082A0000}"/>
    <cellStyle name="Normal 12 2 7 6 8" xfId="11140" xr:uid="{00000000-0005-0000-0000-0000092A0000}"/>
    <cellStyle name="Normal 12 2 7 7" xfId="11141" xr:uid="{00000000-0005-0000-0000-00000A2A0000}"/>
    <cellStyle name="Normal 12 2 7 7 2" xfId="11142" xr:uid="{00000000-0005-0000-0000-00000B2A0000}"/>
    <cellStyle name="Normal 12 2 7 7 3" xfId="11143" xr:uid="{00000000-0005-0000-0000-00000C2A0000}"/>
    <cellStyle name="Normal 12 2 7 7 4" xfId="11144" xr:uid="{00000000-0005-0000-0000-00000D2A0000}"/>
    <cellStyle name="Normal 12 2 7 7 5" xfId="11145" xr:uid="{00000000-0005-0000-0000-00000E2A0000}"/>
    <cellStyle name="Normal 12 2 7 8" xfId="11146" xr:uid="{00000000-0005-0000-0000-00000F2A0000}"/>
    <cellStyle name="Normal 12 2 7 9" xfId="11147" xr:uid="{00000000-0005-0000-0000-0000102A0000}"/>
    <cellStyle name="Normal 12 2 8" xfId="11148" xr:uid="{00000000-0005-0000-0000-0000112A0000}"/>
    <cellStyle name="Normal 12 2 8 10" xfId="11149" xr:uid="{00000000-0005-0000-0000-0000122A0000}"/>
    <cellStyle name="Normal 12 2 8 11" xfId="11150" xr:uid="{00000000-0005-0000-0000-0000132A0000}"/>
    <cellStyle name="Normal 12 2 8 12" xfId="11151" xr:uid="{00000000-0005-0000-0000-0000142A0000}"/>
    <cellStyle name="Normal 12 2 8 13" xfId="11152" xr:uid="{00000000-0005-0000-0000-0000152A0000}"/>
    <cellStyle name="Normal 12 2 8 2" xfId="11153" xr:uid="{00000000-0005-0000-0000-0000162A0000}"/>
    <cellStyle name="Normal 12 2 8 2 10" xfId="11154" xr:uid="{00000000-0005-0000-0000-0000172A0000}"/>
    <cellStyle name="Normal 12 2 8 2 11" xfId="11155" xr:uid="{00000000-0005-0000-0000-0000182A0000}"/>
    <cellStyle name="Normal 12 2 8 2 2" xfId="11156" xr:uid="{00000000-0005-0000-0000-0000192A0000}"/>
    <cellStyle name="Normal 12 2 8 2 2 10" xfId="11157" xr:uid="{00000000-0005-0000-0000-00001A2A0000}"/>
    <cellStyle name="Normal 12 2 8 2 2 2" xfId="11158" xr:uid="{00000000-0005-0000-0000-00001B2A0000}"/>
    <cellStyle name="Normal 12 2 8 2 2 2 2" xfId="11159" xr:uid="{00000000-0005-0000-0000-00001C2A0000}"/>
    <cellStyle name="Normal 12 2 8 2 2 2 2 2" xfId="11160" xr:uid="{00000000-0005-0000-0000-00001D2A0000}"/>
    <cellStyle name="Normal 12 2 8 2 2 2 2 3" xfId="11161" xr:uid="{00000000-0005-0000-0000-00001E2A0000}"/>
    <cellStyle name="Normal 12 2 8 2 2 2 2 4" xfId="11162" xr:uid="{00000000-0005-0000-0000-00001F2A0000}"/>
    <cellStyle name="Normal 12 2 8 2 2 2 2 5" xfId="11163" xr:uid="{00000000-0005-0000-0000-0000202A0000}"/>
    <cellStyle name="Normal 12 2 8 2 2 2 3" xfId="11164" xr:uid="{00000000-0005-0000-0000-0000212A0000}"/>
    <cellStyle name="Normal 12 2 8 2 2 2 4" xfId="11165" xr:uid="{00000000-0005-0000-0000-0000222A0000}"/>
    <cellStyle name="Normal 12 2 8 2 2 2 5" xfId="11166" xr:uid="{00000000-0005-0000-0000-0000232A0000}"/>
    <cellStyle name="Normal 12 2 8 2 2 2 6" xfId="11167" xr:uid="{00000000-0005-0000-0000-0000242A0000}"/>
    <cellStyle name="Normal 12 2 8 2 2 2 7" xfId="11168" xr:uid="{00000000-0005-0000-0000-0000252A0000}"/>
    <cellStyle name="Normal 12 2 8 2 2 2 8" xfId="11169" xr:uid="{00000000-0005-0000-0000-0000262A0000}"/>
    <cellStyle name="Normal 12 2 8 2 2 3" xfId="11170" xr:uid="{00000000-0005-0000-0000-0000272A0000}"/>
    <cellStyle name="Normal 12 2 8 2 2 3 2" xfId="11171" xr:uid="{00000000-0005-0000-0000-0000282A0000}"/>
    <cellStyle name="Normal 12 2 8 2 2 3 2 2" xfId="11172" xr:uid="{00000000-0005-0000-0000-0000292A0000}"/>
    <cellStyle name="Normal 12 2 8 2 2 3 2 3" xfId="11173" xr:uid="{00000000-0005-0000-0000-00002A2A0000}"/>
    <cellStyle name="Normal 12 2 8 2 2 3 2 4" xfId="11174" xr:uid="{00000000-0005-0000-0000-00002B2A0000}"/>
    <cellStyle name="Normal 12 2 8 2 2 3 2 5" xfId="11175" xr:uid="{00000000-0005-0000-0000-00002C2A0000}"/>
    <cellStyle name="Normal 12 2 8 2 2 3 3" xfId="11176" xr:uid="{00000000-0005-0000-0000-00002D2A0000}"/>
    <cellStyle name="Normal 12 2 8 2 2 3 4" xfId="11177" xr:uid="{00000000-0005-0000-0000-00002E2A0000}"/>
    <cellStyle name="Normal 12 2 8 2 2 3 5" xfId="11178" xr:uid="{00000000-0005-0000-0000-00002F2A0000}"/>
    <cellStyle name="Normal 12 2 8 2 2 3 6" xfId="11179" xr:uid="{00000000-0005-0000-0000-0000302A0000}"/>
    <cellStyle name="Normal 12 2 8 2 2 3 7" xfId="11180" xr:uid="{00000000-0005-0000-0000-0000312A0000}"/>
    <cellStyle name="Normal 12 2 8 2 2 3 8" xfId="11181" xr:uid="{00000000-0005-0000-0000-0000322A0000}"/>
    <cellStyle name="Normal 12 2 8 2 2 4" xfId="11182" xr:uid="{00000000-0005-0000-0000-0000332A0000}"/>
    <cellStyle name="Normal 12 2 8 2 2 4 2" xfId="11183" xr:uid="{00000000-0005-0000-0000-0000342A0000}"/>
    <cellStyle name="Normal 12 2 8 2 2 4 3" xfId="11184" xr:uid="{00000000-0005-0000-0000-0000352A0000}"/>
    <cellStyle name="Normal 12 2 8 2 2 4 4" xfId="11185" xr:uid="{00000000-0005-0000-0000-0000362A0000}"/>
    <cellStyle name="Normal 12 2 8 2 2 4 5" xfId="11186" xr:uid="{00000000-0005-0000-0000-0000372A0000}"/>
    <cellStyle name="Normal 12 2 8 2 2 5" xfId="11187" xr:uid="{00000000-0005-0000-0000-0000382A0000}"/>
    <cellStyle name="Normal 12 2 8 2 2 6" xfId="11188" xr:uid="{00000000-0005-0000-0000-0000392A0000}"/>
    <cellStyle name="Normal 12 2 8 2 2 7" xfId="11189" xr:uid="{00000000-0005-0000-0000-00003A2A0000}"/>
    <cellStyle name="Normal 12 2 8 2 2 8" xfId="11190" xr:uid="{00000000-0005-0000-0000-00003B2A0000}"/>
    <cellStyle name="Normal 12 2 8 2 2 9" xfId="11191" xr:uid="{00000000-0005-0000-0000-00003C2A0000}"/>
    <cellStyle name="Normal 12 2 8 2 3" xfId="11192" xr:uid="{00000000-0005-0000-0000-00003D2A0000}"/>
    <cellStyle name="Normal 12 2 8 2 3 2" xfId="11193" xr:uid="{00000000-0005-0000-0000-00003E2A0000}"/>
    <cellStyle name="Normal 12 2 8 2 3 2 2" xfId="11194" xr:uid="{00000000-0005-0000-0000-00003F2A0000}"/>
    <cellStyle name="Normal 12 2 8 2 3 2 3" xfId="11195" xr:uid="{00000000-0005-0000-0000-0000402A0000}"/>
    <cellStyle name="Normal 12 2 8 2 3 2 4" xfId="11196" xr:uid="{00000000-0005-0000-0000-0000412A0000}"/>
    <cellStyle name="Normal 12 2 8 2 3 2 5" xfId="11197" xr:uid="{00000000-0005-0000-0000-0000422A0000}"/>
    <cellStyle name="Normal 12 2 8 2 3 3" xfId="11198" xr:uid="{00000000-0005-0000-0000-0000432A0000}"/>
    <cellStyle name="Normal 12 2 8 2 3 4" xfId="11199" xr:uid="{00000000-0005-0000-0000-0000442A0000}"/>
    <cellStyle name="Normal 12 2 8 2 3 5" xfId="11200" xr:uid="{00000000-0005-0000-0000-0000452A0000}"/>
    <cellStyle name="Normal 12 2 8 2 3 6" xfId="11201" xr:uid="{00000000-0005-0000-0000-0000462A0000}"/>
    <cellStyle name="Normal 12 2 8 2 3 7" xfId="11202" xr:uid="{00000000-0005-0000-0000-0000472A0000}"/>
    <cellStyle name="Normal 12 2 8 2 3 8" xfId="11203" xr:uid="{00000000-0005-0000-0000-0000482A0000}"/>
    <cellStyle name="Normal 12 2 8 2 4" xfId="11204" xr:uid="{00000000-0005-0000-0000-0000492A0000}"/>
    <cellStyle name="Normal 12 2 8 2 4 2" xfId="11205" xr:uid="{00000000-0005-0000-0000-00004A2A0000}"/>
    <cellStyle name="Normal 12 2 8 2 4 2 2" xfId="11206" xr:uid="{00000000-0005-0000-0000-00004B2A0000}"/>
    <cellStyle name="Normal 12 2 8 2 4 2 3" xfId="11207" xr:uid="{00000000-0005-0000-0000-00004C2A0000}"/>
    <cellStyle name="Normal 12 2 8 2 4 2 4" xfId="11208" xr:uid="{00000000-0005-0000-0000-00004D2A0000}"/>
    <cellStyle name="Normal 12 2 8 2 4 2 5" xfId="11209" xr:uid="{00000000-0005-0000-0000-00004E2A0000}"/>
    <cellStyle name="Normal 12 2 8 2 4 3" xfId="11210" xr:uid="{00000000-0005-0000-0000-00004F2A0000}"/>
    <cellStyle name="Normal 12 2 8 2 4 4" xfId="11211" xr:uid="{00000000-0005-0000-0000-0000502A0000}"/>
    <cellStyle name="Normal 12 2 8 2 4 5" xfId="11212" xr:uid="{00000000-0005-0000-0000-0000512A0000}"/>
    <cellStyle name="Normal 12 2 8 2 4 6" xfId="11213" xr:uid="{00000000-0005-0000-0000-0000522A0000}"/>
    <cellStyle name="Normal 12 2 8 2 4 7" xfId="11214" xr:uid="{00000000-0005-0000-0000-0000532A0000}"/>
    <cellStyle name="Normal 12 2 8 2 4 8" xfId="11215" xr:uid="{00000000-0005-0000-0000-0000542A0000}"/>
    <cellStyle name="Normal 12 2 8 2 5" xfId="11216" xr:uid="{00000000-0005-0000-0000-0000552A0000}"/>
    <cellStyle name="Normal 12 2 8 2 5 2" xfId="11217" xr:uid="{00000000-0005-0000-0000-0000562A0000}"/>
    <cellStyle name="Normal 12 2 8 2 5 3" xfId="11218" xr:uid="{00000000-0005-0000-0000-0000572A0000}"/>
    <cellStyle name="Normal 12 2 8 2 5 4" xfId="11219" xr:uid="{00000000-0005-0000-0000-0000582A0000}"/>
    <cellStyle name="Normal 12 2 8 2 5 5" xfId="11220" xr:uid="{00000000-0005-0000-0000-0000592A0000}"/>
    <cellStyle name="Normal 12 2 8 2 6" xfId="11221" xr:uid="{00000000-0005-0000-0000-00005A2A0000}"/>
    <cellStyle name="Normal 12 2 8 2 7" xfId="11222" xr:uid="{00000000-0005-0000-0000-00005B2A0000}"/>
    <cellStyle name="Normal 12 2 8 2 8" xfId="11223" xr:uid="{00000000-0005-0000-0000-00005C2A0000}"/>
    <cellStyle name="Normal 12 2 8 2 9" xfId="11224" xr:uid="{00000000-0005-0000-0000-00005D2A0000}"/>
    <cellStyle name="Normal 12 2 8 3" xfId="11225" xr:uid="{00000000-0005-0000-0000-00005E2A0000}"/>
    <cellStyle name="Normal 12 2 8 3 10" xfId="11226" xr:uid="{00000000-0005-0000-0000-00005F2A0000}"/>
    <cellStyle name="Normal 12 2 8 3 11" xfId="11227" xr:uid="{00000000-0005-0000-0000-0000602A0000}"/>
    <cellStyle name="Normal 12 2 8 3 2" xfId="11228" xr:uid="{00000000-0005-0000-0000-0000612A0000}"/>
    <cellStyle name="Normal 12 2 8 3 2 10" xfId="11229" xr:uid="{00000000-0005-0000-0000-0000622A0000}"/>
    <cellStyle name="Normal 12 2 8 3 2 2" xfId="11230" xr:uid="{00000000-0005-0000-0000-0000632A0000}"/>
    <cellStyle name="Normal 12 2 8 3 2 2 2" xfId="11231" xr:uid="{00000000-0005-0000-0000-0000642A0000}"/>
    <cellStyle name="Normal 12 2 8 3 2 2 2 2" xfId="11232" xr:uid="{00000000-0005-0000-0000-0000652A0000}"/>
    <cellStyle name="Normal 12 2 8 3 2 2 2 3" xfId="11233" xr:uid="{00000000-0005-0000-0000-0000662A0000}"/>
    <cellStyle name="Normal 12 2 8 3 2 2 2 4" xfId="11234" xr:uid="{00000000-0005-0000-0000-0000672A0000}"/>
    <cellStyle name="Normal 12 2 8 3 2 2 2 5" xfId="11235" xr:uid="{00000000-0005-0000-0000-0000682A0000}"/>
    <cellStyle name="Normal 12 2 8 3 2 2 3" xfId="11236" xr:uid="{00000000-0005-0000-0000-0000692A0000}"/>
    <cellStyle name="Normal 12 2 8 3 2 2 4" xfId="11237" xr:uid="{00000000-0005-0000-0000-00006A2A0000}"/>
    <cellStyle name="Normal 12 2 8 3 2 2 5" xfId="11238" xr:uid="{00000000-0005-0000-0000-00006B2A0000}"/>
    <cellStyle name="Normal 12 2 8 3 2 2 6" xfId="11239" xr:uid="{00000000-0005-0000-0000-00006C2A0000}"/>
    <cellStyle name="Normal 12 2 8 3 2 2 7" xfId="11240" xr:uid="{00000000-0005-0000-0000-00006D2A0000}"/>
    <cellStyle name="Normal 12 2 8 3 2 2 8" xfId="11241" xr:uid="{00000000-0005-0000-0000-00006E2A0000}"/>
    <cellStyle name="Normal 12 2 8 3 2 3" xfId="11242" xr:uid="{00000000-0005-0000-0000-00006F2A0000}"/>
    <cellStyle name="Normal 12 2 8 3 2 3 2" xfId="11243" xr:uid="{00000000-0005-0000-0000-0000702A0000}"/>
    <cellStyle name="Normal 12 2 8 3 2 3 2 2" xfId="11244" xr:uid="{00000000-0005-0000-0000-0000712A0000}"/>
    <cellStyle name="Normal 12 2 8 3 2 3 2 3" xfId="11245" xr:uid="{00000000-0005-0000-0000-0000722A0000}"/>
    <cellStyle name="Normal 12 2 8 3 2 3 2 4" xfId="11246" xr:uid="{00000000-0005-0000-0000-0000732A0000}"/>
    <cellStyle name="Normal 12 2 8 3 2 3 2 5" xfId="11247" xr:uid="{00000000-0005-0000-0000-0000742A0000}"/>
    <cellStyle name="Normal 12 2 8 3 2 3 3" xfId="11248" xr:uid="{00000000-0005-0000-0000-0000752A0000}"/>
    <cellStyle name="Normal 12 2 8 3 2 3 4" xfId="11249" xr:uid="{00000000-0005-0000-0000-0000762A0000}"/>
    <cellStyle name="Normal 12 2 8 3 2 3 5" xfId="11250" xr:uid="{00000000-0005-0000-0000-0000772A0000}"/>
    <cellStyle name="Normal 12 2 8 3 2 3 6" xfId="11251" xr:uid="{00000000-0005-0000-0000-0000782A0000}"/>
    <cellStyle name="Normal 12 2 8 3 2 3 7" xfId="11252" xr:uid="{00000000-0005-0000-0000-0000792A0000}"/>
    <cellStyle name="Normal 12 2 8 3 2 3 8" xfId="11253" xr:uid="{00000000-0005-0000-0000-00007A2A0000}"/>
    <cellStyle name="Normal 12 2 8 3 2 4" xfId="11254" xr:uid="{00000000-0005-0000-0000-00007B2A0000}"/>
    <cellStyle name="Normal 12 2 8 3 2 4 2" xfId="11255" xr:uid="{00000000-0005-0000-0000-00007C2A0000}"/>
    <cellStyle name="Normal 12 2 8 3 2 4 3" xfId="11256" xr:uid="{00000000-0005-0000-0000-00007D2A0000}"/>
    <cellStyle name="Normal 12 2 8 3 2 4 4" xfId="11257" xr:uid="{00000000-0005-0000-0000-00007E2A0000}"/>
    <cellStyle name="Normal 12 2 8 3 2 4 5" xfId="11258" xr:uid="{00000000-0005-0000-0000-00007F2A0000}"/>
    <cellStyle name="Normal 12 2 8 3 2 5" xfId="11259" xr:uid="{00000000-0005-0000-0000-0000802A0000}"/>
    <cellStyle name="Normal 12 2 8 3 2 6" xfId="11260" xr:uid="{00000000-0005-0000-0000-0000812A0000}"/>
    <cellStyle name="Normal 12 2 8 3 2 7" xfId="11261" xr:uid="{00000000-0005-0000-0000-0000822A0000}"/>
    <cellStyle name="Normal 12 2 8 3 2 8" xfId="11262" xr:uid="{00000000-0005-0000-0000-0000832A0000}"/>
    <cellStyle name="Normal 12 2 8 3 2 9" xfId="11263" xr:uid="{00000000-0005-0000-0000-0000842A0000}"/>
    <cellStyle name="Normal 12 2 8 3 3" xfId="11264" xr:uid="{00000000-0005-0000-0000-0000852A0000}"/>
    <cellStyle name="Normal 12 2 8 3 3 2" xfId="11265" xr:uid="{00000000-0005-0000-0000-0000862A0000}"/>
    <cellStyle name="Normal 12 2 8 3 3 2 2" xfId="11266" xr:uid="{00000000-0005-0000-0000-0000872A0000}"/>
    <cellStyle name="Normal 12 2 8 3 3 2 3" xfId="11267" xr:uid="{00000000-0005-0000-0000-0000882A0000}"/>
    <cellStyle name="Normal 12 2 8 3 3 2 4" xfId="11268" xr:uid="{00000000-0005-0000-0000-0000892A0000}"/>
    <cellStyle name="Normal 12 2 8 3 3 2 5" xfId="11269" xr:uid="{00000000-0005-0000-0000-00008A2A0000}"/>
    <cellStyle name="Normal 12 2 8 3 3 3" xfId="11270" xr:uid="{00000000-0005-0000-0000-00008B2A0000}"/>
    <cellStyle name="Normal 12 2 8 3 3 4" xfId="11271" xr:uid="{00000000-0005-0000-0000-00008C2A0000}"/>
    <cellStyle name="Normal 12 2 8 3 3 5" xfId="11272" xr:uid="{00000000-0005-0000-0000-00008D2A0000}"/>
    <cellStyle name="Normal 12 2 8 3 3 6" xfId="11273" xr:uid="{00000000-0005-0000-0000-00008E2A0000}"/>
    <cellStyle name="Normal 12 2 8 3 3 7" xfId="11274" xr:uid="{00000000-0005-0000-0000-00008F2A0000}"/>
    <cellStyle name="Normal 12 2 8 3 3 8" xfId="11275" xr:uid="{00000000-0005-0000-0000-0000902A0000}"/>
    <cellStyle name="Normal 12 2 8 3 4" xfId="11276" xr:uid="{00000000-0005-0000-0000-0000912A0000}"/>
    <cellStyle name="Normal 12 2 8 3 4 2" xfId="11277" xr:uid="{00000000-0005-0000-0000-0000922A0000}"/>
    <cellStyle name="Normal 12 2 8 3 4 2 2" xfId="11278" xr:uid="{00000000-0005-0000-0000-0000932A0000}"/>
    <cellStyle name="Normal 12 2 8 3 4 2 3" xfId="11279" xr:uid="{00000000-0005-0000-0000-0000942A0000}"/>
    <cellStyle name="Normal 12 2 8 3 4 2 4" xfId="11280" xr:uid="{00000000-0005-0000-0000-0000952A0000}"/>
    <cellStyle name="Normal 12 2 8 3 4 2 5" xfId="11281" xr:uid="{00000000-0005-0000-0000-0000962A0000}"/>
    <cellStyle name="Normal 12 2 8 3 4 3" xfId="11282" xr:uid="{00000000-0005-0000-0000-0000972A0000}"/>
    <cellStyle name="Normal 12 2 8 3 4 4" xfId="11283" xr:uid="{00000000-0005-0000-0000-0000982A0000}"/>
    <cellStyle name="Normal 12 2 8 3 4 5" xfId="11284" xr:uid="{00000000-0005-0000-0000-0000992A0000}"/>
    <cellStyle name="Normal 12 2 8 3 4 6" xfId="11285" xr:uid="{00000000-0005-0000-0000-00009A2A0000}"/>
    <cellStyle name="Normal 12 2 8 3 4 7" xfId="11286" xr:uid="{00000000-0005-0000-0000-00009B2A0000}"/>
    <cellStyle name="Normal 12 2 8 3 4 8" xfId="11287" xr:uid="{00000000-0005-0000-0000-00009C2A0000}"/>
    <cellStyle name="Normal 12 2 8 3 5" xfId="11288" xr:uid="{00000000-0005-0000-0000-00009D2A0000}"/>
    <cellStyle name="Normal 12 2 8 3 5 2" xfId="11289" xr:uid="{00000000-0005-0000-0000-00009E2A0000}"/>
    <cellStyle name="Normal 12 2 8 3 5 3" xfId="11290" xr:uid="{00000000-0005-0000-0000-00009F2A0000}"/>
    <cellStyle name="Normal 12 2 8 3 5 4" xfId="11291" xr:uid="{00000000-0005-0000-0000-0000A02A0000}"/>
    <cellStyle name="Normal 12 2 8 3 5 5" xfId="11292" xr:uid="{00000000-0005-0000-0000-0000A12A0000}"/>
    <cellStyle name="Normal 12 2 8 3 6" xfId="11293" xr:uid="{00000000-0005-0000-0000-0000A22A0000}"/>
    <cellStyle name="Normal 12 2 8 3 7" xfId="11294" xr:uid="{00000000-0005-0000-0000-0000A32A0000}"/>
    <cellStyle name="Normal 12 2 8 3 8" xfId="11295" xr:uid="{00000000-0005-0000-0000-0000A42A0000}"/>
    <cellStyle name="Normal 12 2 8 3 9" xfId="11296" xr:uid="{00000000-0005-0000-0000-0000A52A0000}"/>
    <cellStyle name="Normal 12 2 8 4" xfId="11297" xr:uid="{00000000-0005-0000-0000-0000A62A0000}"/>
    <cellStyle name="Normal 12 2 8 4 10" xfId="11298" xr:uid="{00000000-0005-0000-0000-0000A72A0000}"/>
    <cellStyle name="Normal 12 2 8 4 2" xfId="11299" xr:uid="{00000000-0005-0000-0000-0000A82A0000}"/>
    <cellStyle name="Normal 12 2 8 4 2 2" xfId="11300" xr:uid="{00000000-0005-0000-0000-0000A92A0000}"/>
    <cellStyle name="Normal 12 2 8 4 2 2 2" xfId="11301" xr:uid="{00000000-0005-0000-0000-0000AA2A0000}"/>
    <cellStyle name="Normal 12 2 8 4 2 2 3" xfId="11302" xr:uid="{00000000-0005-0000-0000-0000AB2A0000}"/>
    <cellStyle name="Normal 12 2 8 4 2 2 4" xfId="11303" xr:uid="{00000000-0005-0000-0000-0000AC2A0000}"/>
    <cellStyle name="Normal 12 2 8 4 2 2 5" xfId="11304" xr:uid="{00000000-0005-0000-0000-0000AD2A0000}"/>
    <cellStyle name="Normal 12 2 8 4 2 3" xfId="11305" xr:uid="{00000000-0005-0000-0000-0000AE2A0000}"/>
    <cellStyle name="Normal 12 2 8 4 2 4" xfId="11306" xr:uid="{00000000-0005-0000-0000-0000AF2A0000}"/>
    <cellStyle name="Normal 12 2 8 4 2 5" xfId="11307" xr:uid="{00000000-0005-0000-0000-0000B02A0000}"/>
    <cellStyle name="Normal 12 2 8 4 2 6" xfId="11308" xr:uid="{00000000-0005-0000-0000-0000B12A0000}"/>
    <cellStyle name="Normal 12 2 8 4 2 7" xfId="11309" xr:uid="{00000000-0005-0000-0000-0000B22A0000}"/>
    <cellStyle name="Normal 12 2 8 4 2 8" xfId="11310" xr:uid="{00000000-0005-0000-0000-0000B32A0000}"/>
    <cellStyle name="Normal 12 2 8 4 3" xfId="11311" xr:uid="{00000000-0005-0000-0000-0000B42A0000}"/>
    <cellStyle name="Normal 12 2 8 4 3 2" xfId="11312" xr:uid="{00000000-0005-0000-0000-0000B52A0000}"/>
    <cellStyle name="Normal 12 2 8 4 3 2 2" xfId="11313" xr:uid="{00000000-0005-0000-0000-0000B62A0000}"/>
    <cellStyle name="Normal 12 2 8 4 3 2 3" xfId="11314" xr:uid="{00000000-0005-0000-0000-0000B72A0000}"/>
    <cellStyle name="Normal 12 2 8 4 3 2 4" xfId="11315" xr:uid="{00000000-0005-0000-0000-0000B82A0000}"/>
    <cellStyle name="Normal 12 2 8 4 3 2 5" xfId="11316" xr:uid="{00000000-0005-0000-0000-0000B92A0000}"/>
    <cellStyle name="Normal 12 2 8 4 3 3" xfId="11317" xr:uid="{00000000-0005-0000-0000-0000BA2A0000}"/>
    <cellStyle name="Normal 12 2 8 4 3 4" xfId="11318" xr:uid="{00000000-0005-0000-0000-0000BB2A0000}"/>
    <cellStyle name="Normal 12 2 8 4 3 5" xfId="11319" xr:uid="{00000000-0005-0000-0000-0000BC2A0000}"/>
    <cellStyle name="Normal 12 2 8 4 3 6" xfId="11320" xr:uid="{00000000-0005-0000-0000-0000BD2A0000}"/>
    <cellStyle name="Normal 12 2 8 4 3 7" xfId="11321" xr:uid="{00000000-0005-0000-0000-0000BE2A0000}"/>
    <cellStyle name="Normal 12 2 8 4 3 8" xfId="11322" xr:uid="{00000000-0005-0000-0000-0000BF2A0000}"/>
    <cellStyle name="Normal 12 2 8 4 4" xfId="11323" xr:uid="{00000000-0005-0000-0000-0000C02A0000}"/>
    <cellStyle name="Normal 12 2 8 4 4 2" xfId="11324" xr:uid="{00000000-0005-0000-0000-0000C12A0000}"/>
    <cellStyle name="Normal 12 2 8 4 4 3" xfId="11325" xr:uid="{00000000-0005-0000-0000-0000C22A0000}"/>
    <cellStyle name="Normal 12 2 8 4 4 4" xfId="11326" xr:uid="{00000000-0005-0000-0000-0000C32A0000}"/>
    <cellStyle name="Normal 12 2 8 4 4 5" xfId="11327" xr:uid="{00000000-0005-0000-0000-0000C42A0000}"/>
    <cellStyle name="Normal 12 2 8 4 5" xfId="11328" xr:uid="{00000000-0005-0000-0000-0000C52A0000}"/>
    <cellStyle name="Normal 12 2 8 4 6" xfId="11329" xr:uid="{00000000-0005-0000-0000-0000C62A0000}"/>
    <cellStyle name="Normal 12 2 8 4 7" xfId="11330" xr:uid="{00000000-0005-0000-0000-0000C72A0000}"/>
    <cellStyle name="Normal 12 2 8 4 8" xfId="11331" xr:uid="{00000000-0005-0000-0000-0000C82A0000}"/>
    <cellStyle name="Normal 12 2 8 4 9" xfId="11332" xr:uid="{00000000-0005-0000-0000-0000C92A0000}"/>
    <cellStyle name="Normal 12 2 8 5" xfId="11333" xr:uid="{00000000-0005-0000-0000-0000CA2A0000}"/>
    <cellStyle name="Normal 12 2 8 5 2" xfId="11334" xr:uid="{00000000-0005-0000-0000-0000CB2A0000}"/>
    <cellStyle name="Normal 12 2 8 5 2 2" xfId="11335" xr:uid="{00000000-0005-0000-0000-0000CC2A0000}"/>
    <cellStyle name="Normal 12 2 8 5 2 3" xfId="11336" xr:uid="{00000000-0005-0000-0000-0000CD2A0000}"/>
    <cellStyle name="Normal 12 2 8 5 2 4" xfId="11337" xr:uid="{00000000-0005-0000-0000-0000CE2A0000}"/>
    <cellStyle name="Normal 12 2 8 5 2 5" xfId="11338" xr:uid="{00000000-0005-0000-0000-0000CF2A0000}"/>
    <cellStyle name="Normal 12 2 8 5 3" xfId="11339" xr:uid="{00000000-0005-0000-0000-0000D02A0000}"/>
    <cellStyle name="Normal 12 2 8 5 4" xfId="11340" xr:uid="{00000000-0005-0000-0000-0000D12A0000}"/>
    <cellStyle name="Normal 12 2 8 5 5" xfId="11341" xr:uid="{00000000-0005-0000-0000-0000D22A0000}"/>
    <cellStyle name="Normal 12 2 8 5 6" xfId="11342" xr:uid="{00000000-0005-0000-0000-0000D32A0000}"/>
    <cellStyle name="Normal 12 2 8 5 7" xfId="11343" xr:uid="{00000000-0005-0000-0000-0000D42A0000}"/>
    <cellStyle name="Normal 12 2 8 5 8" xfId="11344" xr:uid="{00000000-0005-0000-0000-0000D52A0000}"/>
    <cellStyle name="Normal 12 2 8 6" xfId="11345" xr:uid="{00000000-0005-0000-0000-0000D62A0000}"/>
    <cellStyle name="Normal 12 2 8 6 2" xfId="11346" xr:uid="{00000000-0005-0000-0000-0000D72A0000}"/>
    <cellStyle name="Normal 12 2 8 6 2 2" xfId="11347" xr:uid="{00000000-0005-0000-0000-0000D82A0000}"/>
    <cellStyle name="Normal 12 2 8 6 2 3" xfId="11348" xr:uid="{00000000-0005-0000-0000-0000D92A0000}"/>
    <cellStyle name="Normal 12 2 8 6 2 4" xfId="11349" xr:uid="{00000000-0005-0000-0000-0000DA2A0000}"/>
    <cellStyle name="Normal 12 2 8 6 2 5" xfId="11350" xr:uid="{00000000-0005-0000-0000-0000DB2A0000}"/>
    <cellStyle name="Normal 12 2 8 6 3" xfId="11351" xr:uid="{00000000-0005-0000-0000-0000DC2A0000}"/>
    <cellStyle name="Normal 12 2 8 6 4" xfId="11352" xr:uid="{00000000-0005-0000-0000-0000DD2A0000}"/>
    <cellStyle name="Normal 12 2 8 6 5" xfId="11353" xr:uid="{00000000-0005-0000-0000-0000DE2A0000}"/>
    <cellStyle name="Normal 12 2 8 6 6" xfId="11354" xr:uid="{00000000-0005-0000-0000-0000DF2A0000}"/>
    <cellStyle name="Normal 12 2 8 6 7" xfId="11355" xr:uid="{00000000-0005-0000-0000-0000E02A0000}"/>
    <cellStyle name="Normal 12 2 8 6 8" xfId="11356" xr:uid="{00000000-0005-0000-0000-0000E12A0000}"/>
    <cellStyle name="Normal 12 2 8 7" xfId="11357" xr:uid="{00000000-0005-0000-0000-0000E22A0000}"/>
    <cellStyle name="Normal 12 2 8 7 2" xfId="11358" xr:uid="{00000000-0005-0000-0000-0000E32A0000}"/>
    <cellStyle name="Normal 12 2 8 7 3" xfId="11359" xr:uid="{00000000-0005-0000-0000-0000E42A0000}"/>
    <cellStyle name="Normal 12 2 8 7 4" xfId="11360" xr:uid="{00000000-0005-0000-0000-0000E52A0000}"/>
    <cellStyle name="Normal 12 2 8 7 5" xfId="11361" xr:uid="{00000000-0005-0000-0000-0000E62A0000}"/>
    <cellStyle name="Normal 12 2 8 8" xfId="11362" xr:uid="{00000000-0005-0000-0000-0000E72A0000}"/>
    <cellStyle name="Normal 12 2 8 9" xfId="11363" xr:uid="{00000000-0005-0000-0000-0000E82A0000}"/>
    <cellStyle name="Normal 12 2 9" xfId="11364" xr:uid="{00000000-0005-0000-0000-0000E92A0000}"/>
    <cellStyle name="Normal 12 2 9 10" xfId="11365" xr:uid="{00000000-0005-0000-0000-0000EA2A0000}"/>
    <cellStyle name="Normal 12 2 9 11" xfId="11366" xr:uid="{00000000-0005-0000-0000-0000EB2A0000}"/>
    <cellStyle name="Normal 12 2 9 12" xfId="11367" xr:uid="{00000000-0005-0000-0000-0000EC2A0000}"/>
    <cellStyle name="Normal 12 2 9 13" xfId="11368" xr:uid="{00000000-0005-0000-0000-0000ED2A0000}"/>
    <cellStyle name="Normal 12 2 9 2" xfId="11369" xr:uid="{00000000-0005-0000-0000-0000EE2A0000}"/>
    <cellStyle name="Normal 12 2 9 2 10" xfId="11370" xr:uid="{00000000-0005-0000-0000-0000EF2A0000}"/>
    <cellStyle name="Normal 12 2 9 2 11" xfId="11371" xr:uid="{00000000-0005-0000-0000-0000F02A0000}"/>
    <cellStyle name="Normal 12 2 9 2 2" xfId="11372" xr:uid="{00000000-0005-0000-0000-0000F12A0000}"/>
    <cellStyle name="Normal 12 2 9 2 2 10" xfId="11373" xr:uid="{00000000-0005-0000-0000-0000F22A0000}"/>
    <cellStyle name="Normal 12 2 9 2 2 2" xfId="11374" xr:uid="{00000000-0005-0000-0000-0000F32A0000}"/>
    <cellStyle name="Normal 12 2 9 2 2 2 2" xfId="11375" xr:uid="{00000000-0005-0000-0000-0000F42A0000}"/>
    <cellStyle name="Normal 12 2 9 2 2 2 2 2" xfId="11376" xr:uid="{00000000-0005-0000-0000-0000F52A0000}"/>
    <cellStyle name="Normal 12 2 9 2 2 2 2 3" xfId="11377" xr:uid="{00000000-0005-0000-0000-0000F62A0000}"/>
    <cellStyle name="Normal 12 2 9 2 2 2 2 4" xfId="11378" xr:uid="{00000000-0005-0000-0000-0000F72A0000}"/>
    <cellStyle name="Normal 12 2 9 2 2 2 2 5" xfId="11379" xr:uid="{00000000-0005-0000-0000-0000F82A0000}"/>
    <cellStyle name="Normal 12 2 9 2 2 2 3" xfId="11380" xr:uid="{00000000-0005-0000-0000-0000F92A0000}"/>
    <cellStyle name="Normal 12 2 9 2 2 2 4" xfId="11381" xr:uid="{00000000-0005-0000-0000-0000FA2A0000}"/>
    <cellStyle name="Normal 12 2 9 2 2 2 5" xfId="11382" xr:uid="{00000000-0005-0000-0000-0000FB2A0000}"/>
    <cellStyle name="Normal 12 2 9 2 2 2 6" xfId="11383" xr:uid="{00000000-0005-0000-0000-0000FC2A0000}"/>
    <cellStyle name="Normal 12 2 9 2 2 2 7" xfId="11384" xr:uid="{00000000-0005-0000-0000-0000FD2A0000}"/>
    <cellStyle name="Normal 12 2 9 2 2 2 8" xfId="11385" xr:uid="{00000000-0005-0000-0000-0000FE2A0000}"/>
    <cellStyle name="Normal 12 2 9 2 2 3" xfId="11386" xr:uid="{00000000-0005-0000-0000-0000FF2A0000}"/>
    <cellStyle name="Normal 12 2 9 2 2 3 2" xfId="11387" xr:uid="{00000000-0005-0000-0000-0000002B0000}"/>
    <cellStyle name="Normal 12 2 9 2 2 3 2 2" xfId="11388" xr:uid="{00000000-0005-0000-0000-0000012B0000}"/>
    <cellStyle name="Normal 12 2 9 2 2 3 2 3" xfId="11389" xr:uid="{00000000-0005-0000-0000-0000022B0000}"/>
    <cellStyle name="Normal 12 2 9 2 2 3 2 4" xfId="11390" xr:uid="{00000000-0005-0000-0000-0000032B0000}"/>
    <cellStyle name="Normal 12 2 9 2 2 3 2 5" xfId="11391" xr:uid="{00000000-0005-0000-0000-0000042B0000}"/>
    <cellStyle name="Normal 12 2 9 2 2 3 3" xfId="11392" xr:uid="{00000000-0005-0000-0000-0000052B0000}"/>
    <cellStyle name="Normal 12 2 9 2 2 3 4" xfId="11393" xr:uid="{00000000-0005-0000-0000-0000062B0000}"/>
    <cellStyle name="Normal 12 2 9 2 2 3 5" xfId="11394" xr:uid="{00000000-0005-0000-0000-0000072B0000}"/>
    <cellStyle name="Normal 12 2 9 2 2 3 6" xfId="11395" xr:uid="{00000000-0005-0000-0000-0000082B0000}"/>
    <cellStyle name="Normal 12 2 9 2 2 3 7" xfId="11396" xr:uid="{00000000-0005-0000-0000-0000092B0000}"/>
    <cellStyle name="Normal 12 2 9 2 2 3 8" xfId="11397" xr:uid="{00000000-0005-0000-0000-00000A2B0000}"/>
    <cellStyle name="Normal 12 2 9 2 2 4" xfId="11398" xr:uid="{00000000-0005-0000-0000-00000B2B0000}"/>
    <cellStyle name="Normal 12 2 9 2 2 4 2" xfId="11399" xr:uid="{00000000-0005-0000-0000-00000C2B0000}"/>
    <cellStyle name="Normal 12 2 9 2 2 4 3" xfId="11400" xr:uid="{00000000-0005-0000-0000-00000D2B0000}"/>
    <cellStyle name="Normal 12 2 9 2 2 4 4" xfId="11401" xr:uid="{00000000-0005-0000-0000-00000E2B0000}"/>
    <cellStyle name="Normal 12 2 9 2 2 4 5" xfId="11402" xr:uid="{00000000-0005-0000-0000-00000F2B0000}"/>
    <cellStyle name="Normal 12 2 9 2 2 5" xfId="11403" xr:uid="{00000000-0005-0000-0000-0000102B0000}"/>
    <cellStyle name="Normal 12 2 9 2 2 6" xfId="11404" xr:uid="{00000000-0005-0000-0000-0000112B0000}"/>
    <cellStyle name="Normal 12 2 9 2 2 7" xfId="11405" xr:uid="{00000000-0005-0000-0000-0000122B0000}"/>
    <cellStyle name="Normal 12 2 9 2 2 8" xfId="11406" xr:uid="{00000000-0005-0000-0000-0000132B0000}"/>
    <cellStyle name="Normal 12 2 9 2 2 9" xfId="11407" xr:uid="{00000000-0005-0000-0000-0000142B0000}"/>
    <cellStyle name="Normal 12 2 9 2 3" xfId="11408" xr:uid="{00000000-0005-0000-0000-0000152B0000}"/>
    <cellStyle name="Normal 12 2 9 2 3 2" xfId="11409" xr:uid="{00000000-0005-0000-0000-0000162B0000}"/>
    <cellStyle name="Normal 12 2 9 2 3 2 2" xfId="11410" xr:uid="{00000000-0005-0000-0000-0000172B0000}"/>
    <cellStyle name="Normal 12 2 9 2 3 2 3" xfId="11411" xr:uid="{00000000-0005-0000-0000-0000182B0000}"/>
    <cellStyle name="Normal 12 2 9 2 3 2 4" xfId="11412" xr:uid="{00000000-0005-0000-0000-0000192B0000}"/>
    <cellStyle name="Normal 12 2 9 2 3 2 5" xfId="11413" xr:uid="{00000000-0005-0000-0000-00001A2B0000}"/>
    <cellStyle name="Normal 12 2 9 2 3 3" xfId="11414" xr:uid="{00000000-0005-0000-0000-00001B2B0000}"/>
    <cellStyle name="Normal 12 2 9 2 3 4" xfId="11415" xr:uid="{00000000-0005-0000-0000-00001C2B0000}"/>
    <cellStyle name="Normal 12 2 9 2 3 5" xfId="11416" xr:uid="{00000000-0005-0000-0000-00001D2B0000}"/>
    <cellStyle name="Normal 12 2 9 2 3 6" xfId="11417" xr:uid="{00000000-0005-0000-0000-00001E2B0000}"/>
    <cellStyle name="Normal 12 2 9 2 3 7" xfId="11418" xr:uid="{00000000-0005-0000-0000-00001F2B0000}"/>
    <cellStyle name="Normal 12 2 9 2 3 8" xfId="11419" xr:uid="{00000000-0005-0000-0000-0000202B0000}"/>
    <cellStyle name="Normal 12 2 9 2 4" xfId="11420" xr:uid="{00000000-0005-0000-0000-0000212B0000}"/>
    <cellStyle name="Normal 12 2 9 2 4 2" xfId="11421" xr:uid="{00000000-0005-0000-0000-0000222B0000}"/>
    <cellStyle name="Normal 12 2 9 2 4 2 2" xfId="11422" xr:uid="{00000000-0005-0000-0000-0000232B0000}"/>
    <cellStyle name="Normal 12 2 9 2 4 2 3" xfId="11423" xr:uid="{00000000-0005-0000-0000-0000242B0000}"/>
    <cellStyle name="Normal 12 2 9 2 4 2 4" xfId="11424" xr:uid="{00000000-0005-0000-0000-0000252B0000}"/>
    <cellStyle name="Normal 12 2 9 2 4 2 5" xfId="11425" xr:uid="{00000000-0005-0000-0000-0000262B0000}"/>
    <cellStyle name="Normal 12 2 9 2 4 3" xfId="11426" xr:uid="{00000000-0005-0000-0000-0000272B0000}"/>
    <cellStyle name="Normal 12 2 9 2 4 4" xfId="11427" xr:uid="{00000000-0005-0000-0000-0000282B0000}"/>
    <cellStyle name="Normal 12 2 9 2 4 5" xfId="11428" xr:uid="{00000000-0005-0000-0000-0000292B0000}"/>
    <cellStyle name="Normal 12 2 9 2 4 6" xfId="11429" xr:uid="{00000000-0005-0000-0000-00002A2B0000}"/>
    <cellStyle name="Normal 12 2 9 2 4 7" xfId="11430" xr:uid="{00000000-0005-0000-0000-00002B2B0000}"/>
    <cellStyle name="Normal 12 2 9 2 4 8" xfId="11431" xr:uid="{00000000-0005-0000-0000-00002C2B0000}"/>
    <cellStyle name="Normal 12 2 9 2 5" xfId="11432" xr:uid="{00000000-0005-0000-0000-00002D2B0000}"/>
    <cellStyle name="Normal 12 2 9 2 5 2" xfId="11433" xr:uid="{00000000-0005-0000-0000-00002E2B0000}"/>
    <cellStyle name="Normal 12 2 9 2 5 3" xfId="11434" xr:uid="{00000000-0005-0000-0000-00002F2B0000}"/>
    <cellStyle name="Normal 12 2 9 2 5 4" xfId="11435" xr:uid="{00000000-0005-0000-0000-0000302B0000}"/>
    <cellStyle name="Normal 12 2 9 2 5 5" xfId="11436" xr:uid="{00000000-0005-0000-0000-0000312B0000}"/>
    <cellStyle name="Normal 12 2 9 2 6" xfId="11437" xr:uid="{00000000-0005-0000-0000-0000322B0000}"/>
    <cellStyle name="Normal 12 2 9 2 7" xfId="11438" xr:uid="{00000000-0005-0000-0000-0000332B0000}"/>
    <cellStyle name="Normal 12 2 9 2 8" xfId="11439" xr:uid="{00000000-0005-0000-0000-0000342B0000}"/>
    <cellStyle name="Normal 12 2 9 2 9" xfId="11440" xr:uid="{00000000-0005-0000-0000-0000352B0000}"/>
    <cellStyle name="Normal 12 2 9 3" xfId="11441" xr:uid="{00000000-0005-0000-0000-0000362B0000}"/>
    <cellStyle name="Normal 12 2 9 3 10" xfId="11442" xr:uid="{00000000-0005-0000-0000-0000372B0000}"/>
    <cellStyle name="Normal 12 2 9 3 11" xfId="11443" xr:uid="{00000000-0005-0000-0000-0000382B0000}"/>
    <cellStyle name="Normal 12 2 9 3 2" xfId="11444" xr:uid="{00000000-0005-0000-0000-0000392B0000}"/>
    <cellStyle name="Normal 12 2 9 3 2 10" xfId="11445" xr:uid="{00000000-0005-0000-0000-00003A2B0000}"/>
    <cellStyle name="Normal 12 2 9 3 2 2" xfId="11446" xr:uid="{00000000-0005-0000-0000-00003B2B0000}"/>
    <cellStyle name="Normal 12 2 9 3 2 2 2" xfId="11447" xr:uid="{00000000-0005-0000-0000-00003C2B0000}"/>
    <cellStyle name="Normal 12 2 9 3 2 2 2 2" xfId="11448" xr:uid="{00000000-0005-0000-0000-00003D2B0000}"/>
    <cellStyle name="Normal 12 2 9 3 2 2 2 3" xfId="11449" xr:uid="{00000000-0005-0000-0000-00003E2B0000}"/>
    <cellStyle name="Normal 12 2 9 3 2 2 2 4" xfId="11450" xr:uid="{00000000-0005-0000-0000-00003F2B0000}"/>
    <cellStyle name="Normal 12 2 9 3 2 2 2 5" xfId="11451" xr:uid="{00000000-0005-0000-0000-0000402B0000}"/>
    <cellStyle name="Normal 12 2 9 3 2 2 3" xfId="11452" xr:uid="{00000000-0005-0000-0000-0000412B0000}"/>
    <cellStyle name="Normal 12 2 9 3 2 2 4" xfId="11453" xr:uid="{00000000-0005-0000-0000-0000422B0000}"/>
    <cellStyle name="Normal 12 2 9 3 2 2 5" xfId="11454" xr:uid="{00000000-0005-0000-0000-0000432B0000}"/>
    <cellStyle name="Normal 12 2 9 3 2 2 6" xfId="11455" xr:uid="{00000000-0005-0000-0000-0000442B0000}"/>
    <cellStyle name="Normal 12 2 9 3 2 2 7" xfId="11456" xr:uid="{00000000-0005-0000-0000-0000452B0000}"/>
    <cellStyle name="Normal 12 2 9 3 2 2 8" xfId="11457" xr:uid="{00000000-0005-0000-0000-0000462B0000}"/>
    <cellStyle name="Normal 12 2 9 3 2 3" xfId="11458" xr:uid="{00000000-0005-0000-0000-0000472B0000}"/>
    <cellStyle name="Normal 12 2 9 3 2 3 2" xfId="11459" xr:uid="{00000000-0005-0000-0000-0000482B0000}"/>
    <cellStyle name="Normal 12 2 9 3 2 3 2 2" xfId="11460" xr:uid="{00000000-0005-0000-0000-0000492B0000}"/>
    <cellStyle name="Normal 12 2 9 3 2 3 2 3" xfId="11461" xr:uid="{00000000-0005-0000-0000-00004A2B0000}"/>
    <cellStyle name="Normal 12 2 9 3 2 3 2 4" xfId="11462" xr:uid="{00000000-0005-0000-0000-00004B2B0000}"/>
    <cellStyle name="Normal 12 2 9 3 2 3 2 5" xfId="11463" xr:uid="{00000000-0005-0000-0000-00004C2B0000}"/>
    <cellStyle name="Normal 12 2 9 3 2 3 3" xfId="11464" xr:uid="{00000000-0005-0000-0000-00004D2B0000}"/>
    <cellStyle name="Normal 12 2 9 3 2 3 4" xfId="11465" xr:uid="{00000000-0005-0000-0000-00004E2B0000}"/>
    <cellStyle name="Normal 12 2 9 3 2 3 5" xfId="11466" xr:uid="{00000000-0005-0000-0000-00004F2B0000}"/>
    <cellStyle name="Normal 12 2 9 3 2 3 6" xfId="11467" xr:uid="{00000000-0005-0000-0000-0000502B0000}"/>
    <cellStyle name="Normal 12 2 9 3 2 3 7" xfId="11468" xr:uid="{00000000-0005-0000-0000-0000512B0000}"/>
    <cellStyle name="Normal 12 2 9 3 2 3 8" xfId="11469" xr:uid="{00000000-0005-0000-0000-0000522B0000}"/>
    <cellStyle name="Normal 12 2 9 3 2 4" xfId="11470" xr:uid="{00000000-0005-0000-0000-0000532B0000}"/>
    <cellStyle name="Normal 12 2 9 3 2 4 2" xfId="11471" xr:uid="{00000000-0005-0000-0000-0000542B0000}"/>
    <cellStyle name="Normal 12 2 9 3 2 4 3" xfId="11472" xr:uid="{00000000-0005-0000-0000-0000552B0000}"/>
    <cellStyle name="Normal 12 2 9 3 2 4 4" xfId="11473" xr:uid="{00000000-0005-0000-0000-0000562B0000}"/>
    <cellStyle name="Normal 12 2 9 3 2 4 5" xfId="11474" xr:uid="{00000000-0005-0000-0000-0000572B0000}"/>
    <cellStyle name="Normal 12 2 9 3 2 5" xfId="11475" xr:uid="{00000000-0005-0000-0000-0000582B0000}"/>
    <cellStyle name="Normal 12 2 9 3 2 6" xfId="11476" xr:uid="{00000000-0005-0000-0000-0000592B0000}"/>
    <cellStyle name="Normal 12 2 9 3 2 7" xfId="11477" xr:uid="{00000000-0005-0000-0000-00005A2B0000}"/>
    <cellStyle name="Normal 12 2 9 3 2 8" xfId="11478" xr:uid="{00000000-0005-0000-0000-00005B2B0000}"/>
    <cellStyle name="Normal 12 2 9 3 2 9" xfId="11479" xr:uid="{00000000-0005-0000-0000-00005C2B0000}"/>
    <cellStyle name="Normal 12 2 9 3 3" xfId="11480" xr:uid="{00000000-0005-0000-0000-00005D2B0000}"/>
    <cellStyle name="Normal 12 2 9 3 3 2" xfId="11481" xr:uid="{00000000-0005-0000-0000-00005E2B0000}"/>
    <cellStyle name="Normal 12 2 9 3 3 2 2" xfId="11482" xr:uid="{00000000-0005-0000-0000-00005F2B0000}"/>
    <cellStyle name="Normal 12 2 9 3 3 2 3" xfId="11483" xr:uid="{00000000-0005-0000-0000-0000602B0000}"/>
    <cellStyle name="Normal 12 2 9 3 3 2 4" xfId="11484" xr:uid="{00000000-0005-0000-0000-0000612B0000}"/>
    <cellStyle name="Normal 12 2 9 3 3 2 5" xfId="11485" xr:uid="{00000000-0005-0000-0000-0000622B0000}"/>
    <cellStyle name="Normal 12 2 9 3 3 3" xfId="11486" xr:uid="{00000000-0005-0000-0000-0000632B0000}"/>
    <cellStyle name="Normal 12 2 9 3 3 4" xfId="11487" xr:uid="{00000000-0005-0000-0000-0000642B0000}"/>
    <cellStyle name="Normal 12 2 9 3 3 5" xfId="11488" xr:uid="{00000000-0005-0000-0000-0000652B0000}"/>
    <cellStyle name="Normal 12 2 9 3 3 6" xfId="11489" xr:uid="{00000000-0005-0000-0000-0000662B0000}"/>
    <cellStyle name="Normal 12 2 9 3 3 7" xfId="11490" xr:uid="{00000000-0005-0000-0000-0000672B0000}"/>
    <cellStyle name="Normal 12 2 9 3 3 8" xfId="11491" xr:uid="{00000000-0005-0000-0000-0000682B0000}"/>
    <cellStyle name="Normal 12 2 9 3 4" xfId="11492" xr:uid="{00000000-0005-0000-0000-0000692B0000}"/>
    <cellStyle name="Normal 12 2 9 3 4 2" xfId="11493" xr:uid="{00000000-0005-0000-0000-00006A2B0000}"/>
    <cellStyle name="Normal 12 2 9 3 4 2 2" xfId="11494" xr:uid="{00000000-0005-0000-0000-00006B2B0000}"/>
    <cellStyle name="Normal 12 2 9 3 4 2 3" xfId="11495" xr:uid="{00000000-0005-0000-0000-00006C2B0000}"/>
    <cellStyle name="Normal 12 2 9 3 4 2 4" xfId="11496" xr:uid="{00000000-0005-0000-0000-00006D2B0000}"/>
    <cellStyle name="Normal 12 2 9 3 4 2 5" xfId="11497" xr:uid="{00000000-0005-0000-0000-00006E2B0000}"/>
    <cellStyle name="Normal 12 2 9 3 4 3" xfId="11498" xr:uid="{00000000-0005-0000-0000-00006F2B0000}"/>
    <cellStyle name="Normal 12 2 9 3 4 4" xfId="11499" xr:uid="{00000000-0005-0000-0000-0000702B0000}"/>
    <cellStyle name="Normal 12 2 9 3 4 5" xfId="11500" xr:uid="{00000000-0005-0000-0000-0000712B0000}"/>
    <cellStyle name="Normal 12 2 9 3 4 6" xfId="11501" xr:uid="{00000000-0005-0000-0000-0000722B0000}"/>
    <cellStyle name="Normal 12 2 9 3 4 7" xfId="11502" xr:uid="{00000000-0005-0000-0000-0000732B0000}"/>
    <cellStyle name="Normal 12 2 9 3 4 8" xfId="11503" xr:uid="{00000000-0005-0000-0000-0000742B0000}"/>
    <cellStyle name="Normal 12 2 9 3 5" xfId="11504" xr:uid="{00000000-0005-0000-0000-0000752B0000}"/>
    <cellStyle name="Normal 12 2 9 3 5 2" xfId="11505" xr:uid="{00000000-0005-0000-0000-0000762B0000}"/>
    <cellStyle name="Normal 12 2 9 3 5 3" xfId="11506" xr:uid="{00000000-0005-0000-0000-0000772B0000}"/>
    <cellStyle name="Normal 12 2 9 3 5 4" xfId="11507" xr:uid="{00000000-0005-0000-0000-0000782B0000}"/>
    <cellStyle name="Normal 12 2 9 3 5 5" xfId="11508" xr:uid="{00000000-0005-0000-0000-0000792B0000}"/>
    <cellStyle name="Normal 12 2 9 3 6" xfId="11509" xr:uid="{00000000-0005-0000-0000-00007A2B0000}"/>
    <cellStyle name="Normal 12 2 9 3 7" xfId="11510" xr:uid="{00000000-0005-0000-0000-00007B2B0000}"/>
    <cellStyle name="Normal 12 2 9 3 8" xfId="11511" xr:uid="{00000000-0005-0000-0000-00007C2B0000}"/>
    <cellStyle name="Normal 12 2 9 3 9" xfId="11512" xr:uid="{00000000-0005-0000-0000-00007D2B0000}"/>
    <cellStyle name="Normal 12 2 9 4" xfId="11513" xr:uid="{00000000-0005-0000-0000-00007E2B0000}"/>
    <cellStyle name="Normal 12 2 9 4 10" xfId="11514" xr:uid="{00000000-0005-0000-0000-00007F2B0000}"/>
    <cellStyle name="Normal 12 2 9 4 2" xfId="11515" xr:uid="{00000000-0005-0000-0000-0000802B0000}"/>
    <cellStyle name="Normal 12 2 9 4 2 2" xfId="11516" xr:uid="{00000000-0005-0000-0000-0000812B0000}"/>
    <cellStyle name="Normal 12 2 9 4 2 2 2" xfId="11517" xr:uid="{00000000-0005-0000-0000-0000822B0000}"/>
    <cellStyle name="Normal 12 2 9 4 2 2 3" xfId="11518" xr:uid="{00000000-0005-0000-0000-0000832B0000}"/>
    <cellStyle name="Normal 12 2 9 4 2 2 4" xfId="11519" xr:uid="{00000000-0005-0000-0000-0000842B0000}"/>
    <cellStyle name="Normal 12 2 9 4 2 2 5" xfId="11520" xr:uid="{00000000-0005-0000-0000-0000852B0000}"/>
    <cellStyle name="Normal 12 2 9 4 2 3" xfId="11521" xr:uid="{00000000-0005-0000-0000-0000862B0000}"/>
    <cellStyle name="Normal 12 2 9 4 2 4" xfId="11522" xr:uid="{00000000-0005-0000-0000-0000872B0000}"/>
    <cellStyle name="Normal 12 2 9 4 2 5" xfId="11523" xr:uid="{00000000-0005-0000-0000-0000882B0000}"/>
    <cellStyle name="Normal 12 2 9 4 2 6" xfId="11524" xr:uid="{00000000-0005-0000-0000-0000892B0000}"/>
    <cellStyle name="Normal 12 2 9 4 2 7" xfId="11525" xr:uid="{00000000-0005-0000-0000-00008A2B0000}"/>
    <cellStyle name="Normal 12 2 9 4 2 8" xfId="11526" xr:uid="{00000000-0005-0000-0000-00008B2B0000}"/>
    <cellStyle name="Normal 12 2 9 4 3" xfId="11527" xr:uid="{00000000-0005-0000-0000-00008C2B0000}"/>
    <cellStyle name="Normal 12 2 9 4 3 2" xfId="11528" xr:uid="{00000000-0005-0000-0000-00008D2B0000}"/>
    <cellStyle name="Normal 12 2 9 4 3 2 2" xfId="11529" xr:uid="{00000000-0005-0000-0000-00008E2B0000}"/>
    <cellStyle name="Normal 12 2 9 4 3 2 3" xfId="11530" xr:uid="{00000000-0005-0000-0000-00008F2B0000}"/>
    <cellStyle name="Normal 12 2 9 4 3 2 4" xfId="11531" xr:uid="{00000000-0005-0000-0000-0000902B0000}"/>
    <cellStyle name="Normal 12 2 9 4 3 2 5" xfId="11532" xr:uid="{00000000-0005-0000-0000-0000912B0000}"/>
    <cellStyle name="Normal 12 2 9 4 3 3" xfId="11533" xr:uid="{00000000-0005-0000-0000-0000922B0000}"/>
    <cellStyle name="Normal 12 2 9 4 3 4" xfId="11534" xr:uid="{00000000-0005-0000-0000-0000932B0000}"/>
    <cellStyle name="Normal 12 2 9 4 3 5" xfId="11535" xr:uid="{00000000-0005-0000-0000-0000942B0000}"/>
    <cellStyle name="Normal 12 2 9 4 3 6" xfId="11536" xr:uid="{00000000-0005-0000-0000-0000952B0000}"/>
    <cellStyle name="Normal 12 2 9 4 3 7" xfId="11537" xr:uid="{00000000-0005-0000-0000-0000962B0000}"/>
    <cellStyle name="Normal 12 2 9 4 3 8" xfId="11538" xr:uid="{00000000-0005-0000-0000-0000972B0000}"/>
    <cellStyle name="Normal 12 2 9 4 4" xfId="11539" xr:uid="{00000000-0005-0000-0000-0000982B0000}"/>
    <cellStyle name="Normal 12 2 9 4 4 2" xfId="11540" xr:uid="{00000000-0005-0000-0000-0000992B0000}"/>
    <cellStyle name="Normal 12 2 9 4 4 3" xfId="11541" xr:uid="{00000000-0005-0000-0000-00009A2B0000}"/>
    <cellStyle name="Normal 12 2 9 4 4 4" xfId="11542" xr:uid="{00000000-0005-0000-0000-00009B2B0000}"/>
    <cellStyle name="Normal 12 2 9 4 4 5" xfId="11543" xr:uid="{00000000-0005-0000-0000-00009C2B0000}"/>
    <cellStyle name="Normal 12 2 9 4 5" xfId="11544" xr:uid="{00000000-0005-0000-0000-00009D2B0000}"/>
    <cellStyle name="Normal 12 2 9 4 6" xfId="11545" xr:uid="{00000000-0005-0000-0000-00009E2B0000}"/>
    <cellStyle name="Normal 12 2 9 4 7" xfId="11546" xr:uid="{00000000-0005-0000-0000-00009F2B0000}"/>
    <cellStyle name="Normal 12 2 9 4 8" xfId="11547" xr:uid="{00000000-0005-0000-0000-0000A02B0000}"/>
    <cellStyle name="Normal 12 2 9 4 9" xfId="11548" xr:uid="{00000000-0005-0000-0000-0000A12B0000}"/>
    <cellStyle name="Normal 12 2 9 5" xfId="11549" xr:uid="{00000000-0005-0000-0000-0000A22B0000}"/>
    <cellStyle name="Normal 12 2 9 5 2" xfId="11550" xr:uid="{00000000-0005-0000-0000-0000A32B0000}"/>
    <cellStyle name="Normal 12 2 9 5 2 2" xfId="11551" xr:uid="{00000000-0005-0000-0000-0000A42B0000}"/>
    <cellStyle name="Normal 12 2 9 5 2 3" xfId="11552" xr:uid="{00000000-0005-0000-0000-0000A52B0000}"/>
    <cellStyle name="Normal 12 2 9 5 2 4" xfId="11553" xr:uid="{00000000-0005-0000-0000-0000A62B0000}"/>
    <cellStyle name="Normal 12 2 9 5 2 5" xfId="11554" xr:uid="{00000000-0005-0000-0000-0000A72B0000}"/>
    <cellStyle name="Normal 12 2 9 5 3" xfId="11555" xr:uid="{00000000-0005-0000-0000-0000A82B0000}"/>
    <cellStyle name="Normal 12 2 9 5 4" xfId="11556" xr:uid="{00000000-0005-0000-0000-0000A92B0000}"/>
    <cellStyle name="Normal 12 2 9 5 5" xfId="11557" xr:uid="{00000000-0005-0000-0000-0000AA2B0000}"/>
    <cellStyle name="Normal 12 2 9 5 6" xfId="11558" xr:uid="{00000000-0005-0000-0000-0000AB2B0000}"/>
    <cellStyle name="Normal 12 2 9 5 7" xfId="11559" xr:uid="{00000000-0005-0000-0000-0000AC2B0000}"/>
    <cellStyle name="Normal 12 2 9 5 8" xfId="11560" xr:uid="{00000000-0005-0000-0000-0000AD2B0000}"/>
    <cellStyle name="Normal 12 2 9 6" xfId="11561" xr:uid="{00000000-0005-0000-0000-0000AE2B0000}"/>
    <cellStyle name="Normal 12 2 9 6 2" xfId="11562" xr:uid="{00000000-0005-0000-0000-0000AF2B0000}"/>
    <cellStyle name="Normal 12 2 9 6 2 2" xfId="11563" xr:uid="{00000000-0005-0000-0000-0000B02B0000}"/>
    <cellStyle name="Normal 12 2 9 6 2 3" xfId="11564" xr:uid="{00000000-0005-0000-0000-0000B12B0000}"/>
    <cellStyle name="Normal 12 2 9 6 2 4" xfId="11565" xr:uid="{00000000-0005-0000-0000-0000B22B0000}"/>
    <cellStyle name="Normal 12 2 9 6 2 5" xfId="11566" xr:uid="{00000000-0005-0000-0000-0000B32B0000}"/>
    <cellStyle name="Normal 12 2 9 6 3" xfId="11567" xr:uid="{00000000-0005-0000-0000-0000B42B0000}"/>
    <cellStyle name="Normal 12 2 9 6 4" xfId="11568" xr:uid="{00000000-0005-0000-0000-0000B52B0000}"/>
    <cellStyle name="Normal 12 2 9 6 5" xfId="11569" xr:uid="{00000000-0005-0000-0000-0000B62B0000}"/>
    <cellStyle name="Normal 12 2 9 6 6" xfId="11570" xr:uid="{00000000-0005-0000-0000-0000B72B0000}"/>
    <cellStyle name="Normal 12 2 9 6 7" xfId="11571" xr:uid="{00000000-0005-0000-0000-0000B82B0000}"/>
    <cellStyle name="Normal 12 2 9 6 8" xfId="11572" xr:uid="{00000000-0005-0000-0000-0000B92B0000}"/>
    <cellStyle name="Normal 12 2 9 7" xfId="11573" xr:uid="{00000000-0005-0000-0000-0000BA2B0000}"/>
    <cellStyle name="Normal 12 2 9 7 2" xfId="11574" xr:uid="{00000000-0005-0000-0000-0000BB2B0000}"/>
    <cellStyle name="Normal 12 2 9 7 3" xfId="11575" xr:uid="{00000000-0005-0000-0000-0000BC2B0000}"/>
    <cellStyle name="Normal 12 2 9 7 4" xfId="11576" xr:uid="{00000000-0005-0000-0000-0000BD2B0000}"/>
    <cellStyle name="Normal 12 2 9 7 5" xfId="11577" xr:uid="{00000000-0005-0000-0000-0000BE2B0000}"/>
    <cellStyle name="Normal 12 2 9 8" xfId="11578" xr:uid="{00000000-0005-0000-0000-0000BF2B0000}"/>
    <cellStyle name="Normal 12 2 9 9" xfId="11579" xr:uid="{00000000-0005-0000-0000-0000C02B0000}"/>
    <cellStyle name="Normal 12 20" xfId="11580" xr:uid="{00000000-0005-0000-0000-0000C12B0000}"/>
    <cellStyle name="Normal 12 20 10" xfId="11581" xr:uid="{00000000-0005-0000-0000-0000C22B0000}"/>
    <cellStyle name="Normal 12 20 11" xfId="11582" xr:uid="{00000000-0005-0000-0000-0000C32B0000}"/>
    <cellStyle name="Normal 12 20 12" xfId="11583" xr:uid="{00000000-0005-0000-0000-0000C42B0000}"/>
    <cellStyle name="Normal 12 20 13" xfId="11584" xr:uid="{00000000-0005-0000-0000-0000C52B0000}"/>
    <cellStyle name="Normal 12 20 2" xfId="11585" xr:uid="{00000000-0005-0000-0000-0000C62B0000}"/>
    <cellStyle name="Normal 12 20 2 10" xfId="11586" xr:uid="{00000000-0005-0000-0000-0000C72B0000}"/>
    <cellStyle name="Normal 12 20 2 11" xfId="11587" xr:uid="{00000000-0005-0000-0000-0000C82B0000}"/>
    <cellStyle name="Normal 12 20 2 2" xfId="11588" xr:uid="{00000000-0005-0000-0000-0000C92B0000}"/>
    <cellStyle name="Normal 12 20 2 2 10" xfId="11589" xr:uid="{00000000-0005-0000-0000-0000CA2B0000}"/>
    <cellStyle name="Normal 12 20 2 2 2" xfId="11590" xr:uid="{00000000-0005-0000-0000-0000CB2B0000}"/>
    <cellStyle name="Normal 12 20 2 2 2 2" xfId="11591" xr:uid="{00000000-0005-0000-0000-0000CC2B0000}"/>
    <cellStyle name="Normal 12 20 2 2 2 2 2" xfId="11592" xr:uid="{00000000-0005-0000-0000-0000CD2B0000}"/>
    <cellStyle name="Normal 12 20 2 2 2 2 3" xfId="11593" xr:uid="{00000000-0005-0000-0000-0000CE2B0000}"/>
    <cellStyle name="Normal 12 20 2 2 2 2 4" xfId="11594" xr:uid="{00000000-0005-0000-0000-0000CF2B0000}"/>
    <cellStyle name="Normal 12 20 2 2 2 2 5" xfId="11595" xr:uid="{00000000-0005-0000-0000-0000D02B0000}"/>
    <cellStyle name="Normal 12 20 2 2 2 3" xfId="11596" xr:uid="{00000000-0005-0000-0000-0000D12B0000}"/>
    <cellStyle name="Normal 12 20 2 2 2 4" xfId="11597" xr:uid="{00000000-0005-0000-0000-0000D22B0000}"/>
    <cellStyle name="Normal 12 20 2 2 2 5" xfId="11598" xr:uid="{00000000-0005-0000-0000-0000D32B0000}"/>
    <cellStyle name="Normal 12 20 2 2 2 6" xfId="11599" xr:uid="{00000000-0005-0000-0000-0000D42B0000}"/>
    <cellStyle name="Normal 12 20 2 2 2 7" xfId="11600" xr:uid="{00000000-0005-0000-0000-0000D52B0000}"/>
    <cellStyle name="Normal 12 20 2 2 2 8" xfId="11601" xr:uid="{00000000-0005-0000-0000-0000D62B0000}"/>
    <cellStyle name="Normal 12 20 2 2 3" xfId="11602" xr:uid="{00000000-0005-0000-0000-0000D72B0000}"/>
    <cellStyle name="Normal 12 20 2 2 3 2" xfId="11603" xr:uid="{00000000-0005-0000-0000-0000D82B0000}"/>
    <cellStyle name="Normal 12 20 2 2 3 2 2" xfId="11604" xr:uid="{00000000-0005-0000-0000-0000D92B0000}"/>
    <cellStyle name="Normal 12 20 2 2 3 2 3" xfId="11605" xr:uid="{00000000-0005-0000-0000-0000DA2B0000}"/>
    <cellStyle name="Normal 12 20 2 2 3 2 4" xfId="11606" xr:uid="{00000000-0005-0000-0000-0000DB2B0000}"/>
    <cellStyle name="Normal 12 20 2 2 3 2 5" xfId="11607" xr:uid="{00000000-0005-0000-0000-0000DC2B0000}"/>
    <cellStyle name="Normal 12 20 2 2 3 3" xfId="11608" xr:uid="{00000000-0005-0000-0000-0000DD2B0000}"/>
    <cellStyle name="Normal 12 20 2 2 3 4" xfId="11609" xr:uid="{00000000-0005-0000-0000-0000DE2B0000}"/>
    <cellStyle name="Normal 12 20 2 2 3 5" xfId="11610" xr:uid="{00000000-0005-0000-0000-0000DF2B0000}"/>
    <cellStyle name="Normal 12 20 2 2 3 6" xfId="11611" xr:uid="{00000000-0005-0000-0000-0000E02B0000}"/>
    <cellStyle name="Normal 12 20 2 2 3 7" xfId="11612" xr:uid="{00000000-0005-0000-0000-0000E12B0000}"/>
    <cellStyle name="Normal 12 20 2 2 3 8" xfId="11613" xr:uid="{00000000-0005-0000-0000-0000E22B0000}"/>
    <cellStyle name="Normal 12 20 2 2 4" xfId="11614" xr:uid="{00000000-0005-0000-0000-0000E32B0000}"/>
    <cellStyle name="Normal 12 20 2 2 4 2" xfId="11615" xr:uid="{00000000-0005-0000-0000-0000E42B0000}"/>
    <cellStyle name="Normal 12 20 2 2 4 3" xfId="11616" xr:uid="{00000000-0005-0000-0000-0000E52B0000}"/>
    <cellStyle name="Normal 12 20 2 2 4 4" xfId="11617" xr:uid="{00000000-0005-0000-0000-0000E62B0000}"/>
    <cellStyle name="Normal 12 20 2 2 4 5" xfId="11618" xr:uid="{00000000-0005-0000-0000-0000E72B0000}"/>
    <cellStyle name="Normal 12 20 2 2 5" xfId="11619" xr:uid="{00000000-0005-0000-0000-0000E82B0000}"/>
    <cellStyle name="Normal 12 20 2 2 6" xfId="11620" xr:uid="{00000000-0005-0000-0000-0000E92B0000}"/>
    <cellStyle name="Normal 12 20 2 2 7" xfId="11621" xr:uid="{00000000-0005-0000-0000-0000EA2B0000}"/>
    <cellStyle name="Normal 12 20 2 2 8" xfId="11622" xr:uid="{00000000-0005-0000-0000-0000EB2B0000}"/>
    <cellStyle name="Normal 12 20 2 2 9" xfId="11623" xr:uid="{00000000-0005-0000-0000-0000EC2B0000}"/>
    <cellStyle name="Normal 12 20 2 3" xfId="11624" xr:uid="{00000000-0005-0000-0000-0000ED2B0000}"/>
    <cellStyle name="Normal 12 20 2 3 2" xfId="11625" xr:uid="{00000000-0005-0000-0000-0000EE2B0000}"/>
    <cellStyle name="Normal 12 20 2 3 2 2" xfId="11626" xr:uid="{00000000-0005-0000-0000-0000EF2B0000}"/>
    <cellStyle name="Normal 12 20 2 3 2 3" xfId="11627" xr:uid="{00000000-0005-0000-0000-0000F02B0000}"/>
    <cellStyle name="Normal 12 20 2 3 2 4" xfId="11628" xr:uid="{00000000-0005-0000-0000-0000F12B0000}"/>
    <cellStyle name="Normal 12 20 2 3 2 5" xfId="11629" xr:uid="{00000000-0005-0000-0000-0000F22B0000}"/>
    <cellStyle name="Normal 12 20 2 3 3" xfId="11630" xr:uid="{00000000-0005-0000-0000-0000F32B0000}"/>
    <cellStyle name="Normal 12 20 2 3 4" xfId="11631" xr:uid="{00000000-0005-0000-0000-0000F42B0000}"/>
    <cellStyle name="Normal 12 20 2 3 5" xfId="11632" xr:uid="{00000000-0005-0000-0000-0000F52B0000}"/>
    <cellStyle name="Normal 12 20 2 3 6" xfId="11633" xr:uid="{00000000-0005-0000-0000-0000F62B0000}"/>
    <cellStyle name="Normal 12 20 2 3 7" xfId="11634" xr:uid="{00000000-0005-0000-0000-0000F72B0000}"/>
    <cellStyle name="Normal 12 20 2 3 8" xfId="11635" xr:uid="{00000000-0005-0000-0000-0000F82B0000}"/>
    <cellStyle name="Normal 12 20 2 4" xfId="11636" xr:uid="{00000000-0005-0000-0000-0000F92B0000}"/>
    <cellStyle name="Normal 12 20 2 4 2" xfId="11637" xr:uid="{00000000-0005-0000-0000-0000FA2B0000}"/>
    <cellStyle name="Normal 12 20 2 4 2 2" xfId="11638" xr:uid="{00000000-0005-0000-0000-0000FB2B0000}"/>
    <cellStyle name="Normal 12 20 2 4 2 3" xfId="11639" xr:uid="{00000000-0005-0000-0000-0000FC2B0000}"/>
    <cellStyle name="Normal 12 20 2 4 2 4" xfId="11640" xr:uid="{00000000-0005-0000-0000-0000FD2B0000}"/>
    <cellStyle name="Normal 12 20 2 4 2 5" xfId="11641" xr:uid="{00000000-0005-0000-0000-0000FE2B0000}"/>
    <cellStyle name="Normal 12 20 2 4 3" xfId="11642" xr:uid="{00000000-0005-0000-0000-0000FF2B0000}"/>
    <cellStyle name="Normal 12 20 2 4 4" xfId="11643" xr:uid="{00000000-0005-0000-0000-0000002C0000}"/>
    <cellStyle name="Normal 12 20 2 4 5" xfId="11644" xr:uid="{00000000-0005-0000-0000-0000012C0000}"/>
    <cellStyle name="Normal 12 20 2 4 6" xfId="11645" xr:uid="{00000000-0005-0000-0000-0000022C0000}"/>
    <cellStyle name="Normal 12 20 2 4 7" xfId="11646" xr:uid="{00000000-0005-0000-0000-0000032C0000}"/>
    <cellStyle name="Normal 12 20 2 4 8" xfId="11647" xr:uid="{00000000-0005-0000-0000-0000042C0000}"/>
    <cellStyle name="Normal 12 20 2 5" xfId="11648" xr:uid="{00000000-0005-0000-0000-0000052C0000}"/>
    <cellStyle name="Normal 12 20 2 5 2" xfId="11649" xr:uid="{00000000-0005-0000-0000-0000062C0000}"/>
    <cellStyle name="Normal 12 20 2 5 3" xfId="11650" xr:uid="{00000000-0005-0000-0000-0000072C0000}"/>
    <cellStyle name="Normal 12 20 2 5 4" xfId="11651" xr:uid="{00000000-0005-0000-0000-0000082C0000}"/>
    <cellStyle name="Normal 12 20 2 5 5" xfId="11652" xr:uid="{00000000-0005-0000-0000-0000092C0000}"/>
    <cellStyle name="Normal 12 20 2 6" xfId="11653" xr:uid="{00000000-0005-0000-0000-00000A2C0000}"/>
    <cellStyle name="Normal 12 20 2 7" xfId="11654" xr:uid="{00000000-0005-0000-0000-00000B2C0000}"/>
    <cellStyle name="Normal 12 20 2 8" xfId="11655" xr:uid="{00000000-0005-0000-0000-00000C2C0000}"/>
    <cellStyle name="Normal 12 20 2 9" xfId="11656" xr:uid="{00000000-0005-0000-0000-00000D2C0000}"/>
    <cellStyle name="Normal 12 20 3" xfId="11657" xr:uid="{00000000-0005-0000-0000-00000E2C0000}"/>
    <cellStyle name="Normal 12 20 3 10" xfId="11658" xr:uid="{00000000-0005-0000-0000-00000F2C0000}"/>
    <cellStyle name="Normal 12 20 3 11" xfId="11659" xr:uid="{00000000-0005-0000-0000-0000102C0000}"/>
    <cellStyle name="Normal 12 20 3 2" xfId="11660" xr:uid="{00000000-0005-0000-0000-0000112C0000}"/>
    <cellStyle name="Normal 12 20 3 2 10" xfId="11661" xr:uid="{00000000-0005-0000-0000-0000122C0000}"/>
    <cellStyle name="Normal 12 20 3 2 2" xfId="11662" xr:uid="{00000000-0005-0000-0000-0000132C0000}"/>
    <cellStyle name="Normal 12 20 3 2 2 2" xfId="11663" xr:uid="{00000000-0005-0000-0000-0000142C0000}"/>
    <cellStyle name="Normal 12 20 3 2 2 2 2" xfId="11664" xr:uid="{00000000-0005-0000-0000-0000152C0000}"/>
    <cellStyle name="Normal 12 20 3 2 2 2 3" xfId="11665" xr:uid="{00000000-0005-0000-0000-0000162C0000}"/>
    <cellStyle name="Normal 12 20 3 2 2 2 4" xfId="11666" xr:uid="{00000000-0005-0000-0000-0000172C0000}"/>
    <cellStyle name="Normal 12 20 3 2 2 2 5" xfId="11667" xr:uid="{00000000-0005-0000-0000-0000182C0000}"/>
    <cellStyle name="Normal 12 20 3 2 2 3" xfId="11668" xr:uid="{00000000-0005-0000-0000-0000192C0000}"/>
    <cellStyle name="Normal 12 20 3 2 2 4" xfId="11669" xr:uid="{00000000-0005-0000-0000-00001A2C0000}"/>
    <cellStyle name="Normal 12 20 3 2 2 5" xfId="11670" xr:uid="{00000000-0005-0000-0000-00001B2C0000}"/>
    <cellStyle name="Normal 12 20 3 2 2 6" xfId="11671" xr:uid="{00000000-0005-0000-0000-00001C2C0000}"/>
    <cellStyle name="Normal 12 20 3 2 2 7" xfId="11672" xr:uid="{00000000-0005-0000-0000-00001D2C0000}"/>
    <cellStyle name="Normal 12 20 3 2 2 8" xfId="11673" xr:uid="{00000000-0005-0000-0000-00001E2C0000}"/>
    <cellStyle name="Normal 12 20 3 2 3" xfId="11674" xr:uid="{00000000-0005-0000-0000-00001F2C0000}"/>
    <cellStyle name="Normal 12 20 3 2 3 2" xfId="11675" xr:uid="{00000000-0005-0000-0000-0000202C0000}"/>
    <cellStyle name="Normal 12 20 3 2 3 2 2" xfId="11676" xr:uid="{00000000-0005-0000-0000-0000212C0000}"/>
    <cellStyle name="Normal 12 20 3 2 3 2 3" xfId="11677" xr:uid="{00000000-0005-0000-0000-0000222C0000}"/>
    <cellStyle name="Normal 12 20 3 2 3 2 4" xfId="11678" xr:uid="{00000000-0005-0000-0000-0000232C0000}"/>
    <cellStyle name="Normal 12 20 3 2 3 2 5" xfId="11679" xr:uid="{00000000-0005-0000-0000-0000242C0000}"/>
    <cellStyle name="Normal 12 20 3 2 3 3" xfId="11680" xr:uid="{00000000-0005-0000-0000-0000252C0000}"/>
    <cellStyle name="Normal 12 20 3 2 3 4" xfId="11681" xr:uid="{00000000-0005-0000-0000-0000262C0000}"/>
    <cellStyle name="Normal 12 20 3 2 3 5" xfId="11682" xr:uid="{00000000-0005-0000-0000-0000272C0000}"/>
    <cellStyle name="Normal 12 20 3 2 3 6" xfId="11683" xr:uid="{00000000-0005-0000-0000-0000282C0000}"/>
    <cellStyle name="Normal 12 20 3 2 3 7" xfId="11684" xr:uid="{00000000-0005-0000-0000-0000292C0000}"/>
    <cellStyle name="Normal 12 20 3 2 3 8" xfId="11685" xr:uid="{00000000-0005-0000-0000-00002A2C0000}"/>
    <cellStyle name="Normal 12 20 3 2 4" xfId="11686" xr:uid="{00000000-0005-0000-0000-00002B2C0000}"/>
    <cellStyle name="Normal 12 20 3 2 4 2" xfId="11687" xr:uid="{00000000-0005-0000-0000-00002C2C0000}"/>
    <cellStyle name="Normal 12 20 3 2 4 3" xfId="11688" xr:uid="{00000000-0005-0000-0000-00002D2C0000}"/>
    <cellStyle name="Normal 12 20 3 2 4 4" xfId="11689" xr:uid="{00000000-0005-0000-0000-00002E2C0000}"/>
    <cellStyle name="Normal 12 20 3 2 4 5" xfId="11690" xr:uid="{00000000-0005-0000-0000-00002F2C0000}"/>
    <cellStyle name="Normal 12 20 3 2 5" xfId="11691" xr:uid="{00000000-0005-0000-0000-0000302C0000}"/>
    <cellStyle name="Normal 12 20 3 2 6" xfId="11692" xr:uid="{00000000-0005-0000-0000-0000312C0000}"/>
    <cellStyle name="Normal 12 20 3 2 7" xfId="11693" xr:uid="{00000000-0005-0000-0000-0000322C0000}"/>
    <cellStyle name="Normal 12 20 3 2 8" xfId="11694" xr:uid="{00000000-0005-0000-0000-0000332C0000}"/>
    <cellStyle name="Normal 12 20 3 2 9" xfId="11695" xr:uid="{00000000-0005-0000-0000-0000342C0000}"/>
    <cellStyle name="Normal 12 20 3 3" xfId="11696" xr:uid="{00000000-0005-0000-0000-0000352C0000}"/>
    <cellStyle name="Normal 12 20 3 3 2" xfId="11697" xr:uid="{00000000-0005-0000-0000-0000362C0000}"/>
    <cellStyle name="Normal 12 20 3 3 2 2" xfId="11698" xr:uid="{00000000-0005-0000-0000-0000372C0000}"/>
    <cellStyle name="Normal 12 20 3 3 2 3" xfId="11699" xr:uid="{00000000-0005-0000-0000-0000382C0000}"/>
    <cellStyle name="Normal 12 20 3 3 2 4" xfId="11700" xr:uid="{00000000-0005-0000-0000-0000392C0000}"/>
    <cellStyle name="Normal 12 20 3 3 2 5" xfId="11701" xr:uid="{00000000-0005-0000-0000-00003A2C0000}"/>
    <cellStyle name="Normal 12 20 3 3 3" xfId="11702" xr:uid="{00000000-0005-0000-0000-00003B2C0000}"/>
    <cellStyle name="Normal 12 20 3 3 4" xfId="11703" xr:uid="{00000000-0005-0000-0000-00003C2C0000}"/>
    <cellStyle name="Normal 12 20 3 3 5" xfId="11704" xr:uid="{00000000-0005-0000-0000-00003D2C0000}"/>
    <cellStyle name="Normal 12 20 3 3 6" xfId="11705" xr:uid="{00000000-0005-0000-0000-00003E2C0000}"/>
    <cellStyle name="Normal 12 20 3 3 7" xfId="11706" xr:uid="{00000000-0005-0000-0000-00003F2C0000}"/>
    <cellStyle name="Normal 12 20 3 3 8" xfId="11707" xr:uid="{00000000-0005-0000-0000-0000402C0000}"/>
    <cellStyle name="Normal 12 20 3 4" xfId="11708" xr:uid="{00000000-0005-0000-0000-0000412C0000}"/>
    <cellStyle name="Normal 12 20 3 4 2" xfId="11709" xr:uid="{00000000-0005-0000-0000-0000422C0000}"/>
    <cellStyle name="Normal 12 20 3 4 2 2" xfId="11710" xr:uid="{00000000-0005-0000-0000-0000432C0000}"/>
    <cellStyle name="Normal 12 20 3 4 2 3" xfId="11711" xr:uid="{00000000-0005-0000-0000-0000442C0000}"/>
    <cellStyle name="Normal 12 20 3 4 2 4" xfId="11712" xr:uid="{00000000-0005-0000-0000-0000452C0000}"/>
    <cellStyle name="Normal 12 20 3 4 2 5" xfId="11713" xr:uid="{00000000-0005-0000-0000-0000462C0000}"/>
    <cellStyle name="Normal 12 20 3 4 3" xfId="11714" xr:uid="{00000000-0005-0000-0000-0000472C0000}"/>
    <cellStyle name="Normal 12 20 3 4 4" xfId="11715" xr:uid="{00000000-0005-0000-0000-0000482C0000}"/>
    <cellStyle name="Normal 12 20 3 4 5" xfId="11716" xr:uid="{00000000-0005-0000-0000-0000492C0000}"/>
    <cellStyle name="Normal 12 20 3 4 6" xfId="11717" xr:uid="{00000000-0005-0000-0000-00004A2C0000}"/>
    <cellStyle name="Normal 12 20 3 4 7" xfId="11718" xr:uid="{00000000-0005-0000-0000-00004B2C0000}"/>
    <cellStyle name="Normal 12 20 3 4 8" xfId="11719" xr:uid="{00000000-0005-0000-0000-00004C2C0000}"/>
    <cellStyle name="Normal 12 20 3 5" xfId="11720" xr:uid="{00000000-0005-0000-0000-00004D2C0000}"/>
    <cellStyle name="Normal 12 20 3 5 2" xfId="11721" xr:uid="{00000000-0005-0000-0000-00004E2C0000}"/>
    <cellStyle name="Normal 12 20 3 5 3" xfId="11722" xr:uid="{00000000-0005-0000-0000-00004F2C0000}"/>
    <cellStyle name="Normal 12 20 3 5 4" xfId="11723" xr:uid="{00000000-0005-0000-0000-0000502C0000}"/>
    <cellStyle name="Normal 12 20 3 5 5" xfId="11724" xr:uid="{00000000-0005-0000-0000-0000512C0000}"/>
    <cellStyle name="Normal 12 20 3 6" xfId="11725" xr:uid="{00000000-0005-0000-0000-0000522C0000}"/>
    <cellStyle name="Normal 12 20 3 7" xfId="11726" xr:uid="{00000000-0005-0000-0000-0000532C0000}"/>
    <cellStyle name="Normal 12 20 3 8" xfId="11727" xr:uid="{00000000-0005-0000-0000-0000542C0000}"/>
    <cellStyle name="Normal 12 20 3 9" xfId="11728" xr:uid="{00000000-0005-0000-0000-0000552C0000}"/>
    <cellStyle name="Normal 12 20 4" xfId="11729" xr:uid="{00000000-0005-0000-0000-0000562C0000}"/>
    <cellStyle name="Normal 12 20 4 10" xfId="11730" xr:uid="{00000000-0005-0000-0000-0000572C0000}"/>
    <cellStyle name="Normal 12 20 4 2" xfId="11731" xr:uid="{00000000-0005-0000-0000-0000582C0000}"/>
    <cellStyle name="Normal 12 20 4 2 2" xfId="11732" xr:uid="{00000000-0005-0000-0000-0000592C0000}"/>
    <cellStyle name="Normal 12 20 4 2 2 2" xfId="11733" xr:uid="{00000000-0005-0000-0000-00005A2C0000}"/>
    <cellStyle name="Normal 12 20 4 2 2 3" xfId="11734" xr:uid="{00000000-0005-0000-0000-00005B2C0000}"/>
    <cellStyle name="Normal 12 20 4 2 2 4" xfId="11735" xr:uid="{00000000-0005-0000-0000-00005C2C0000}"/>
    <cellStyle name="Normal 12 20 4 2 2 5" xfId="11736" xr:uid="{00000000-0005-0000-0000-00005D2C0000}"/>
    <cellStyle name="Normal 12 20 4 2 3" xfId="11737" xr:uid="{00000000-0005-0000-0000-00005E2C0000}"/>
    <cellStyle name="Normal 12 20 4 2 4" xfId="11738" xr:uid="{00000000-0005-0000-0000-00005F2C0000}"/>
    <cellStyle name="Normal 12 20 4 2 5" xfId="11739" xr:uid="{00000000-0005-0000-0000-0000602C0000}"/>
    <cellStyle name="Normal 12 20 4 2 6" xfId="11740" xr:uid="{00000000-0005-0000-0000-0000612C0000}"/>
    <cellStyle name="Normal 12 20 4 2 7" xfId="11741" xr:uid="{00000000-0005-0000-0000-0000622C0000}"/>
    <cellStyle name="Normal 12 20 4 2 8" xfId="11742" xr:uid="{00000000-0005-0000-0000-0000632C0000}"/>
    <cellStyle name="Normal 12 20 4 3" xfId="11743" xr:uid="{00000000-0005-0000-0000-0000642C0000}"/>
    <cellStyle name="Normal 12 20 4 3 2" xfId="11744" xr:uid="{00000000-0005-0000-0000-0000652C0000}"/>
    <cellStyle name="Normal 12 20 4 3 2 2" xfId="11745" xr:uid="{00000000-0005-0000-0000-0000662C0000}"/>
    <cellStyle name="Normal 12 20 4 3 2 3" xfId="11746" xr:uid="{00000000-0005-0000-0000-0000672C0000}"/>
    <cellStyle name="Normal 12 20 4 3 2 4" xfId="11747" xr:uid="{00000000-0005-0000-0000-0000682C0000}"/>
    <cellStyle name="Normal 12 20 4 3 2 5" xfId="11748" xr:uid="{00000000-0005-0000-0000-0000692C0000}"/>
    <cellStyle name="Normal 12 20 4 3 3" xfId="11749" xr:uid="{00000000-0005-0000-0000-00006A2C0000}"/>
    <cellStyle name="Normal 12 20 4 3 4" xfId="11750" xr:uid="{00000000-0005-0000-0000-00006B2C0000}"/>
    <cellStyle name="Normal 12 20 4 3 5" xfId="11751" xr:uid="{00000000-0005-0000-0000-00006C2C0000}"/>
    <cellStyle name="Normal 12 20 4 3 6" xfId="11752" xr:uid="{00000000-0005-0000-0000-00006D2C0000}"/>
    <cellStyle name="Normal 12 20 4 3 7" xfId="11753" xr:uid="{00000000-0005-0000-0000-00006E2C0000}"/>
    <cellStyle name="Normal 12 20 4 3 8" xfId="11754" xr:uid="{00000000-0005-0000-0000-00006F2C0000}"/>
    <cellStyle name="Normal 12 20 4 4" xfId="11755" xr:uid="{00000000-0005-0000-0000-0000702C0000}"/>
    <cellStyle name="Normal 12 20 4 4 2" xfId="11756" xr:uid="{00000000-0005-0000-0000-0000712C0000}"/>
    <cellStyle name="Normal 12 20 4 4 3" xfId="11757" xr:uid="{00000000-0005-0000-0000-0000722C0000}"/>
    <cellStyle name="Normal 12 20 4 4 4" xfId="11758" xr:uid="{00000000-0005-0000-0000-0000732C0000}"/>
    <cellStyle name="Normal 12 20 4 4 5" xfId="11759" xr:uid="{00000000-0005-0000-0000-0000742C0000}"/>
    <cellStyle name="Normal 12 20 4 5" xfId="11760" xr:uid="{00000000-0005-0000-0000-0000752C0000}"/>
    <cellStyle name="Normal 12 20 4 6" xfId="11761" xr:uid="{00000000-0005-0000-0000-0000762C0000}"/>
    <cellStyle name="Normal 12 20 4 7" xfId="11762" xr:uid="{00000000-0005-0000-0000-0000772C0000}"/>
    <cellStyle name="Normal 12 20 4 8" xfId="11763" xr:uid="{00000000-0005-0000-0000-0000782C0000}"/>
    <cellStyle name="Normal 12 20 4 9" xfId="11764" xr:uid="{00000000-0005-0000-0000-0000792C0000}"/>
    <cellStyle name="Normal 12 20 5" xfId="11765" xr:uid="{00000000-0005-0000-0000-00007A2C0000}"/>
    <cellStyle name="Normal 12 20 5 2" xfId="11766" xr:uid="{00000000-0005-0000-0000-00007B2C0000}"/>
    <cellStyle name="Normal 12 20 5 2 2" xfId="11767" xr:uid="{00000000-0005-0000-0000-00007C2C0000}"/>
    <cellStyle name="Normal 12 20 5 2 3" xfId="11768" xr:uid="{00000000-0005-0000-0000-00007D2C0000}"/>
    <cellStyle name="Normal 12 20 5 2 4" xfId="11769" xr:uid="{00000000-0005-0000-0000-00007E2C0000}"/>
    <cellStyle name="Normal 12 20 5 2 5" xfId="11770" xr:uid="{00000000-0005-0000-0000-00007F2C0000}"/>
    <cellStyle name="Normal 12 20 5 3" xfId="11771" xr:uid="{00000000-0005-0000-0000-0000802C0000}"/>
    <cellStyle name="Normal 12 20 5 4" xfId="11772" xr:uid="{00000000-0005-0000-0000-0000812C0000}"/>
    <cellStyle name="Normal 12 20 5 5" xfId="11773" xr:uid="{00000000-0005-0000-0000-0000822C0000}"/>
    <cellStyle name="Normal 12 20 5 6" xfId="11774" xr:uid="{00000000-0005-0000-0000-0000832C0000}"/>
    <cellStyle name="Normal 12 20 5 7" xfId="11775" xr:uid="{00000000-0005-0000-0000-0000842C0000}"/>
    <cellStyle name="Normal 12 20 5 8" xfId="11776" xr:uid="{00000000-0005-0000-0000-0000852C0000}"/>
    <cellStyle name="Normal 12 20 6" xfId="11777" xr:uid="{00000000-0005-0000-0000-0000862C0000}"/>
    <cellStyle name="Normal 12 20 6 2" xfId="11778" xr:uid="{00000000-0005-0000-0000-0000872C0000}"/>
    <cellStyle name="Normal 12 20 6 2 2" xfId="11779" xr:uid="{00000000-0005-0000-0000-0000882C0000}"/>
    <cellStyle name="Normal 12 20 6 2 3" xfId="11780" xr:uid="{00000000-0005-0000-0000-0000892C0000}"/>
    <cellStyle name="Normal 12 20 6 2 4" xfId="11781" xr:uid="{00000000-0005-0000-0000-00008A2C0000}"/>
    <cellStyle name="Normal 12 20 6 2 5" xfId="11782" xr:uid="{00000000-0005-0000-0000-00008B2C0000}"/>
    <cellStyle name="Normal 12 20 6 3" xfId="11783" xr:uid="{00000000-0005-0000-0000-00008C2C0000}"/>
    <cellStyle name="Normal 12 20 6 4" xfId="11784" xr:uid="{00000000-0005-0000-0000-00008D2C0000}"/>
    <cellStyle name="Normal 12 20 6 5" xfId="11785" xr:uid="{00000000-0005-0000-0000-00008E2C0000}"/>
    <cellStyle name="Normal 12 20 6 6" xfId="11786" xr:uid="{00000000-0005-0000-0000-00008F2C0000}"/>
    <cellStyle name="Normal 12 20 6 7" xfId="11787" xr:uid="{00000000-0005-0000-0000-0000902C0000}"/>
    <cellStyle name="Normal 12 20 6 8" xfId="11788" xr:uid="{00000000-0005-0000-0000-0000912C0000}"/>
    <cellStyle name="Normal 12 20 7" xfId="11789" xr:uid="{00000000-0005-0000-0000-0000922C0000}"/>
    <cellStyle name="Normal 12 20 7 2" xfId="11790" xr:uid="{00000000-0005-0000-0000-0000932C0000}"/>
    <cellStyle name="Normal 12 20 7 3" xfId="11791" xr:uid="{00000000-0005-0000-0000-0000942C0000}"/>
    <cellStyle name="Normal 12 20 7 4" xfId="11792" xr:uid="{00000000-0005-0000-0000-0000952C0000}"/>
    <cellStyle name="Normal 12 20 7 5" xfId="11793" xr:uid="{00000000-0005-0000-0000-0000962C0000}"/>
    <cellStyle name="Normal 12 20 8" xfId="11794" xr:uid="{00000000-0005-0000-0000-0000972C0000}"/>
    <cellStyle name="Normal 12 20 9" xfId="11795" xr:uid="{00000000-0005-0000-0000-0000982C0000}"/>
    <cellStyle name="Normal 12 21" xfId="11796" xr:uid="{00000000-0005-0000-0000-0000992C0000}"/>
    <cellStyle name="Normal 12 21 10" xfId="11797" xr:uid="{00000000-0005-0000-0000-00009A2C0000}"/>
    <cellStyle name="Normal 12 21 11" xfId="11798" xr:uid="{00000000-0005-0000-0000-00009B2C0000}"/>
    <cellStyle name="Normal 12 21 2" xfId="11799" xr:uid="{00000000-0005-0000-0000-00009C2C0000}"/>
    <cellStyle name="Normal 12 21 2 10" xfId="11800" xr:uid="{00000000-0005-0000-0000-00009D2C0000}"/>
    <cellStyle name="Normal 12 21 2 2" xfId="11801" xr:uid="{00000000-0005-0000-0000-00009E2C0000}"/>
    <cellStyle name="Normal 12 21 2 2 2" xfId="11802" xr:uid="{00000000-0005-0000-0000-00009F2C0000}"/>
    <cellStyle name="Normal 12 21 2 2 2 2" xfId="11803" xr:uid="{00000000-0005-0000-0000-0000A02C0000}"/>
    <cellStyle name="Normal 12 21 2 2 2 3" xfId="11804" xr:uid="{00000000-0005-0000-0000-0000A12C0000}"/>
    <cellStyle name="Normal 12 21 2 2 2 4" xfId="11805" xr:uid="{00000000-0005-0000-0000-0000A22C0000}"/>
    <cellStyle name="Normal 12 21 2 2 2 5" xfId="11806" xr:uid="{00000000-0005-0000-0000-0000A32C0000}"/>
    <cellStyle name="Normal 12 21 2 2 3" xfId="11807" xr:uid="{00000000-0005-0000-0000-0000A42C0000}"/>
    <cellStyle name="Normal 12 21 2 2 4" xfId="11808" xr:uid="{00000000-0005-0000-0000-0000A52C0000}"/>
    <cellStyle name="Normal 12 21 2 2 5" xfId="11809" xr:uid="{00000000-0005-0000-0000-0000A62C0000}"/>
    <cellStyle name="Normal 12 21 2 2 6" xfId="11810" xr:uid="{00000000-0005-0000-0000-0000A72C0000}"/>
    <cellStyle name="Normal 12 21 2 2 7" xfId="11811" xr:uid="{00000000-0005-0000-0000-0000A82C0000}"/>
    <cellStyle name="Normal 12 21 2 2 8" xfId="11812" xr:uid="{00000000-0005-0000-0000-0000A92C0000}"/>
    <cellStyle name="Normal 12 21 2 3" xfId="11813" xr:uid="{00000000-0005-0000-0000-0000AA2C0000}"/>
    <cellStyle name="Normal 12 21 2 3 2" xfId="11814" xr:uid="{00000000-0005-0000-0000-0000AB2C0000}"/>
    <cellStyle name="Normal 12 21 2 3 2 2" xfId="11815" xr:uid="{00000000-0005-0000-0000-0000AC2C0000}"/>
    <cellStyle name="Normal 12 21 2 3 2 3" xfId="11816" xr:uid="{00000000-0005-0000-0000-0000AD2C0000}"/>
    <cellStyle name="Normal 12 21 2 3 2 4" xfId="11817" xr:uid="{00000000-0005-0000-0000-0000AE2C0000}"/>
    <cellStyle name="Normal 12 21 2 3 2 5" xfId="11818" xr:uid="{00000000-0005-0000-0000-0000AF2C0000}"/>
    <cellStyle name="Normal 12 21 2 3 3" xfId="11819" xr:uid="{00000000-0005-0000-0000-0000B02C0000}"/>
    <cellStyle name="Normal 12 21 2 3 4" xfId="11820" xr:uid="{00000000-0005-0000-0000-0000B12C0000}"/>
    <cellStyle name="Normal 12 21 2 3 5" xfId="11821" xr:uid="{00000000-0005-0000-0000-0000B22C0000}"/>
    <cellStyle name="Normal 12 21 2 3 6" xfId="11822" xr:uid="{00000000-0005-0000-0000-0000B32C0000}"/>
    <cellStyle name="Normal 12 21 2 3 7" xfId="11823" xr:uid="{00000000-0005-0000-0000-0000B42C0000}"/>
    <cellStyle name="Normal 12 21 2 3 8" xfId="11824" xr:uid="{00000000-0005-0000-0000-0000B52C0000}"/>
    <cellStyle name="Normal 12 21 2 4" xfId="11825" xr:uid="{00000000-0005-0000-0000-0000B62C0000}"/>
    <cellStyle name="Normal 12 21 2 4 2" xfId="11826" xr:uid="{00000000-0005-0000-0000-0000B72C0000}"/>
    <cellStyle name="Normal 12 21 2 4 3" xfId="11827" xr:uid="{00000000-0005-0000-0000-0000B82C0000}"/>
    <cellStyle name="Normal 12 21 2 4 4" xfId="11828" xr:uid="{00000000-0005-0000-0000-0000B92C0000}"/>
    <cellStyle name="Normal 12 21 2 4 5" xfId="11829" xr:uid="{00000000-0005-0000-0000-0000BA2C0000}"/>
    <cellStyle name="Normal 12 21 2 5" xfId="11830" xr:uid="{00000000-0005-0000-0000-0000BB2C0000}"/>
    <cellStyle name="Normal 12 21 2 6" xfId="11831" xr:uid="{00000000-0005-0000-0000-0000BC2C0000}"/>
    <cellStyle name="Normal 12 21 2 7" xfId="11832" xr:uid="{00000000-0005-0000-0000-0000BD2C0000}"/>
    <cellStyle name="Normal 12 21 2 8" xfId="11833" xr:uid="{00000000-0005-0000-0000-0000BE2C0000}"/>
    <cellStyle name="Normal 12 21 2 9" xfId="11834" xr:uid="{00000000-0005-0000-0000-0000BF2C0000}"/>
    <cellStyle name="Normal 12 21 3" xfId="11835" xr:uid="{00000000-0005-0000-0000-0000C02C0000}"/>
    <cellStyle name="Normal 12 21 3 2" xfId="11836" xr:uid="{00000000-0005-0000-0000-0000C12C0000}"/>
    <cellStyle name="Normal 12 21 3 2 2" xfId="11837" xr:uid="{00000000-0005-0000-0000-0000C22C0000}"/>
    <cellStyle name="Normal 12 21 3 2 3" xfId="11838" xr:uid="{00000000-0005-0000-0000-0000C32C0000}"/>
    <cellStyle name="Normal 12 21 3 2 4" xfId="11839" xr:uid="{00000000-0005-0000-0000-0000C42C0000}"/>
    <cellStyle name="Normal 12 21 3 2 5" xfId="11840" xr:uid="{00000000-0005-0000-0000-0000C52C0000}"/>
    <cellStyle name="Normal 12 21 3 3" xfId="11841" xr:uid="{00000000-0005-0000-0000-0000C62C0000}"/>
    <cellStyle name="Normal 12 21 3 4" xfId="11842" xr:uid="{00000000-0005-0000-0000-0000C72C0000}"/>
    <cellStyle name="Normal 12 21 3 5" xfId="11843" xr:uid="{00000000-0005-0000-0000-0000C82C0000}"/>
    <cellStyle name="Normal 12 21 3 6" xfId="11844" xr:uid="{00000000-0005-0000-0000-0000C92C0000}"/>
    <cellStyle name="Normal 12 21 3 7" xfId="11845" xr:uid="{00000000-0005-0000-0000-0000CA2C0000}"/>
    <cellStyle name="Normal 12 21 3 8" xfId="11846" xr:uid="{00000000-0005-0000-0000-0000CB2C0000}"/>
    <cellStyle name="Normal 12 21 4" xfId="11847" xr:uid="{00000000-0005-0000-0000-0000CC2C0000}"/>
    <cellStyle name="Normal 12 21 4 2" xfId="11848" xr:uid="{00000000-0005-0000-0000-0000CD2C0000}"/>
    <cellStyle name="Normal 12 21 4 2 2" xfId="11849" xr:uid="{00000000-0005-0000-0000-0000CE2C0000}"/>
    <cellStyle name="Normal 12 21 4 2 3" xfId="11850" xr:uid="{00000000-0005-0000-0000-0000CF2C0000}"/>
    <cellStyle name="Normal 12 21 4 2 4" xfId="11851" xr:uid="{00000000-0005-0000-0000-0000D02C0000}"/>
    <cellStyle name="Normal 12 21 4 2 5" xfId="11852" xr:uid="{00000000-0005-0000-0000-0000D12C0000}"/>
    <cellStyle name="Normal 12 21 4 3" xfId="11853" xr:uid="{00000000-0005-0000-0000-0000D22C0000}"/>
    <cellStyle name="Normal 12 21 4 4" xfId="11854" xr:uid="{00000000-0005-0000-0000-0000D32C0000}"/>
    <cellStyle name="Normal 12 21 4 5" xfId="11855" xr:uid="{00000000-0005-0000-0000-0000D42C0000}"/>
    <cellStyle name="Normal 12 21 4 6" xfId="11856" xr:uid="{00000000-0005-0000-0000-0000D52C0000}"/>
    <cellStyle name="Normal 12 21 4 7" xfId="11857" xr:uid="{00000000-0005-0000-0000-0000D62C0000}"/>
    <cellStyle name="Normal 12 21 4 8" xfId="11858" xr:uid="{00000000-0005-0000-0000-0000D72C0000}"/>
    <cellStyle name="Normal 12 21 5" xfId="11859" xr:uid="{00000000-0005-0000-0000-0000D82C0000}"/>
    <cellStyle name="Normal 12 21 5 2" xfId="11860" xr:uid="{00000000-0005-0000-0000-0000D92C0000}"/>
    <cellStyle name="Normal 12 21 5 3" xfId="11861" xr:uid="{00000000-0005-0000-0000-0000DA2C0000}"/>
    <cellStyle name="Normal 12 21 5 4" xfId="11862" xr:uid="{00000000-0005-0000-0000-0000DB2C0000}"/>
    <cellStyle name="Normal 12 21 5 5" xfId="11863" xr:uid="{00000000-0005-0000-0000-0000DC2C0000}"/>
    <cellStyle name="Normal 12 21 6" xfId="11864" xr:uid="{00000000-0005-0000-0000-0000DD2C0000}"/>
    <cellStyle name="Normal 12 21 7" xfId="11865" xr:uid="{00000000-0005-0000-0000-0000DE2C0000}"/>
    <cellStyle name="Normal 12 21 8" xfId="11866" xr:uid="{00000000-0005-0000-0000-0000DF2C0000}"/>
    <cellStyle name="Normal 12 21 9" xfId="11867" xr:uid="{00000000-0005-0000-0000-0000E02C0000}"/>
    <cellStyle name="Normal 12 22" xfId="11868" xr:uid="{00000000-0005-0000-0000-0000E12C0000}"/>
    <cellStyle name="Normal 12 22 10" xfId="11869" xr:uid="{00000000-0005-0000-0000-0000E22C0000}"/>
    <cellStyle name="Normal 12 22 11" xfId="11870" xr:uid="{00000000-0005-0000-0000-0000E32C0000}"/>
    <cellStyle name="Normal 12 22 2" xfId="11871" xr:uid="{00000000-0005-0000-0000-0000E42C0000}"/>
    <cellStyle name="Normal 12 22 2 10" xfId="11872" xr:uid="{00000000-0005-0000-0000-0000E52C0000}"/>
    <cellStyle name="Normal 12 22 2 2" xfId="11873" xr:uid="{00000000-0005-0000-0000-0000E62C0000}"/>
    <cellStyle name="Normal 12 22 2 2 2" xfId="11874" xr:uid="{00000000-0005-0000-0000-0000E72C0000}"/>
    <cellStyle name="Normal 12 22 2 2 2 2" xfId="11875" xr:uid="{00000000-0005-0000-0000-0000E82C0000}"/>
    <cellStyle name="Normal 12 22 2 2 2 3" xfId="11876" xr:uid="{00000000-0005-0000-0000-0000E92C0000}"/>
    <cellStyle name="Normal 12 22 2 2 2 4" xfId="11877" xr:uid="{00000000-0005-0000-0000-0000EA2C0000}"/>
    <cellStyle name="Normal 12 22 2 2 2 5" xfId="11878" xr:uid="{00000000-0005-0000-0000-0000EB2C0000}"/>
    <cellStyle name="Normal 12 22 2 2 3" xfId="11879" xr:uid="{00000000-0005-0000-0000-0000EC2C0000}"/>
    <cellStyle name="Normal 12 22 2 2 4" xfId="11880" xr:uid="{00000000-0005-0000-0000-0000ED2C0000}"/>
    <cellStyle name="Normal 12 22 2 2 5" xfId="11881" xr:uid="{00000000-0005-0000-0000-0000EE2C0000}"/>
    <cellStyle name="Normal 12 22 2 2 6" xfId="11882" xr:uid="{00000000-0005-0000-0000-0000EF2C0000}"/>
    <cellStyle name="Normal 12 22 2 2 7" xfId="11883" xr:uid="{00000000-0005-0000-0000-0000F02C0000}"/>
    <cellStyle name="Normal 12 22 2 2 8" xfId="11884" xr:uid="{00000000-0005-0000-0000-0000F12C0000}"/>
    <cellStyle name="Normal 12 22 2 3" xfId="11885" xr:uid="{00000000-0005-0000-0000-0000F22C0000}"/>
    <cellStyle name="Normal 12 22 2 3 2" xfId="11886" xr:uid="{00000000-0005-0000-0000-0000F32C0000}"/>
    <cellStyle name="Normal 12 22 2 3 2 2" xfId="11887" xr:uid="{00000000-0005-0000-0000-0000F42C0000}"/>
    <cellStyle name="Normal 12 22 2 3 2 3" xfId="11888" xr:uid="{00000000-0005-0000-0000-0000F52C0000}"/>
    <cellStyle name="Normal 12 22 2 3 2 4" xfId="11889" xr:uid="{00000000-0005-0000-0000-0000F62C0000}"/>
    <cellStyle name="Normal 12 22 2 3 2 5" xfId="11890" xr:uid="{00000000-0005-0000-0000-0000F72C0000}"/>
    <cellStyle name="Normal 12 22 2 3 3" xfId="11891" xr:uid="{00000000-0005-0000-0000-0000F82C0000}"/>
    <cellStyle name="Normal 12 22 2 3 4" xfId="11892" xr:uid="{00000000-0005-0000-0000-0000F92C0000}"/>
    <cellStyle name="Normal 12 22 2 3 5" xfId="11893" xr:uid="{00000000-0005-0000-0000-0000FA2C0000}"/>
    <cellStyle name="Normal 12 22 2 3 6" xfId="11894" xr:uid="{00000000-0005-0000-0000-0000FB2C0000}"/>
    <cellStyle name="Normal 12 22 2 3 7" xfId="11895" xr:uid="{00000000-0005-0000-0000-0000FC2C0000}"/>
    <cellStyle name="Normal 12 22 2 3 8" xfId="11896" xr:uid="{00000000-0005-0000-0000-0000FD2C0000}"/>
    <cellStyle name="Normal 12 22 2 4" xfId="11897" xr:uid="{00000000-0005-0000-0000-0000FE2C0000}"/>
    <cellStyle name="Normal 12 22 2 4 2" xfId="11898" xr:uid="{00000000-0005-0000-0000-0000FF2C0000}"/>
    <cellStyle name="Normal 12 22 2 4 3" xfId="11899" xr:uid="{00000000-0005-0000-0000-0000002D0000}"/>
    <cellStyle name="Normal 12 22 2 4 4" xfId="11900" xr:uid="{00000000-0005-0000-0000-0000012D0000}"/>
    <cellStyle name="Normal 12 22 2 4 5" xfId="11901" xr:uid="{00000000-0005-0000-0000-0000022D0000}"/>
    <cellStyle name="Normal 12 22 2 5" xfId="11902" xr:uid="{00000000-0005-0000-0000-0000032D0000}"/>
    <cellStyle name="Normal 12 22 2 6" xfId="11903" xr:uid="{00000000-0005-0000-0000-0000042D0000}"/>
    <cellStyle name="Normal 12 22 2 7" xfId="11904" xr:uid="{00000000-0005-0000-0000-0000052D0000}"/>
    <cellStyle name="Normal 12 22 2 8" xfId="11905" xr:uid="{00000000-0005-0000-0000-0000062D0000}"/>
    <cellStyle name="Normal 12 22 2 9" xfId="11906" xr:uid="{00000000-0005-0000-0000-0000072D0000}"/>
    <cellStyle name="Normal 12 22 3" xfId="11907" xr:uid="{00000000-0005-0000-0000-0000082D0000}"/>
    <cellStyle name="Normal 12 22 3 2" xfId="11908" xr:uid="{00000000-0005-0000-0000-0000092D0000}"/>
    <cellStyle name="Normal 12 22 3 2 2" xfId="11909" xr:uid="{00000000-0005-0000-0000-00000A2D0000}"/>
    <cellStyle name="Normal 12 22 3 2 3" xfId="11910" xr:uid="{00000000-0005-0000-0000-00000B2D0000}"/>
    <cellStyle name="Normal 12 22 3 2 4" xfId="11911" xr:uid="{00000000-0005-0000-0000-00000C2D0000}"/>
    <cellStyle name="Normal 12 22 3 2 5" xfId="11912" xr:uid="{00000000-0005-0000-0000-00000D2D0000}"/>
    <cellStyle name="Normal 12 22 3 3" xfId="11913" xr:uid="{00000000-0005-0000-0000-00000E2D0000}"/>
    <cellStyle name="Normal 12 22 3 4" xfId="11914" xr:uid="{00000000-0005-0000-0000-00000F2D0000}"/>
    <cellStyle name="Normal 12 22 3 5" xfId="11915" xr:uid="{00000000-0005-0000-0000-0000102D0000}"/>
    <cellStyle name="Normal 12 22 3 6" xfId="11916" xr:uid="{00000000-0005-0000-0000-0000112D0000}"/>
    <cellStyle name="Normal 12 22 3 7" xfId="11917" xr:uid="{00000000-0005-0000-0000-0000122D0000}"/>
    <cellStyle name="Normal 12 22 3 8" xfId="11918" xr:uid="{00000000-0005-0000-0000-0000132D0000}"/>
    <cellStyle name="Normal 12 22 4" xfId="11919" xr:uid="{00000000-0005-0000-0000-0000142D0000}"/>
    <cellStyle name="Normal 12 22 4 2" xfId="11920" xr:uid="{00000000-0005-0000-0000-0000152D0000}"/>
    <cellStyle name="Normal 12 22 4 2 2" xfId="11921" xr:uid="{00000000-0005-0000-0000-0000162D0000}"/>
    <cellStyle name="Normal 12 22 4 2 3" xfId="11922" xr:uid="{00000000-0005-0000-0000-0000172D0000}"/>
    <cellStyle name="Normal 12 22 4 2 4" xfId="11923" xr:uid="{00000000-0005-0000-0000-0000182D0000}"/>
    <cellStyle name="Normal 12 22 4 2 5" xfId="11924" xr:uid="{00000000-0005-0000-0000-0000192D0000}"/>
    <cellStyle name="Normal 12 22 4 3" xfId="11925" xr:uid="{00000000-0005-0000-0000-00001A2D0000}"/>
    <cellStyle name="Normal 12 22 4 4" xfId="11926" xr:uid="{00000000-0005-0000-0000-00001B2D0000}"/>
    <cellStyle name="Normal 12 22 4 5" xfId="11927" xr:uid="{00000000-0005-0000-0000-00001C2D0000}"/>
    <cellStyle name="Normal 12 22 4 6" xfId="11928" xr:uid="{00000000-0005-0000-0000-00001D2D0000}"/>
    <cellStyle name="Normal 12 22 4 7" xfId="11929" xr:uid="{00000000-0005-0000-0000-00001E2D0000}"/>
    <cellStyle name="Normal 12 22 4 8" xfId="11930" xr:uid="{00000000-0005-0000-0000-00001F2D0000}"/>
    <cellStyle name="Normal 12 22 5" xfId="11931" xr:uid="{00000000-0005-0000-0000-0000202D0000}"/>
    <cellStyle name="Normal 12 22 5 2" xfId="11932" xr:uid="{00000000-0005-0000-0000-0000212D0000}"/>
    <cellStyle name="Normal 12 22 5 3" xfId="11933" xr:uid="{00000000-0005-0000-0000-0000222D0000}"/>
    <cellStyle name="Normal 12 22 5 4" xfId="11934" xr:uid="{00000000-0005-0000-0000-0000232D0000}"/>
    <cellStyle name="Normal 12 22 5 5" xfId="11935" xr:uid="{00000000-0005-0000-0000-0000242D0000}"/>
    <cellStyle name="Normal 12 22 6" xfId="11936" xr:uid="{00000000-0005-0000-0000-0000252D0000}"/>
    <cellStyle name="Normal 12 22 7" xfId="11937" xr:uid="{00000000-0005-0000-0000-0000262D0000}"/>
    <cellStyle name="Normal 12 22 8" xfId="11938" xr:uid="{00000000-0005-0000-0000-0000272D0000}"/>
    <cellStyle name="Normal 12 22 9" xfId="11939" xr:uid="{00000000-0005-0000-0000-0000282D0000}"/>
    <cellStyle name="Normal 12 23" xfId="11940" xr:uid="{00000000-0005-0000-0000-0000292D0000}"/>
    <cellStyle name="Normal 12 23 10" xfId="11941" xr:uid="{00000000-0005-0000-0000-00002A2D0000}"/>
    <cellStyle name="Normal 12 23 2" xfId="11942" xr:uid="{00000000-0005-0000-0000-00002B2D0000}"/>
    <cellStyle name="Normal 12 23 2 2" xfId="11943" xr:uid="{00000000-0005-0000-0000-00002C2D0000}"/>
    <cellStyle name="Normal 12 23 2 2 2" xfId="11944" xr:uid="{00000000-0005-0000-0000-00002D2D0000}"/>
    <cellStyle name="Normal 12 23 2 2 3" xfId="11945" xr:uid="{00000000-0005-0000-0000-00002E2D0000}"/>
    <cellStyle name="Normal 12 23 2 2 4" xfId="11946" xr:uid="{00000000-0005-0000-0000-00002F2D0000}"/>
    <cellStyle name="Normal 12 23 2 2 5" xfId="11947" xr:uid="{00000000-0005-0000-0000-0000302D0000}"/>
    <cellStyle name="Normal 12 23 2 3" xfId="11948" xr:uid="{00000000-0005-0000-0000-0000312D0000}"/>
    <cellStyle name="Normal 12 23 2 4" xfId="11949" xr:uid="{00000000-0005-0000-0000-0000322D0000}"/>
    <cellStyle name="Normal 12 23 2 5" xfId="11950" xr:uid="{00000000-0005-0000-0000-0000332D0000}"/>
    <cellStyle name="Normal 12 23 2 6" xfId="11951" xr:uid="{00000000-0005-0000-0000-0000342D0000}"/>
    <cellStyle name="Normal 12 23 2 7" xfId="11952" xr:uid="{00000000-0005-0000-0000-0000352D0000}"/>
    <cellStyle name="Normal 12 23 2 8" xfId="11953" xr:uid="{00000000-0005-0000-0000-0000362D0000}"/>
    <cellStyle name="Normal 12 23 3" xfId="11954" xr:uid="{00000000-0005-0000-0000-0000372D0000}"/>
    <cellStyle name="Normal 12 23 3 2" xfId="11955" xr:uid="{00000000-0005-0000-0000-0000382D0000}"/>
    <cellStyle name="Normal 12 23 3 2 2" xfId="11956" xr:uid="{00000000-0005-0000-0000-0000392D0000}"/>
    <cellStyle name="Normal 12 23 3 2 3" xfId="11957" xr:uid="{00000000-0005-0000-0000-00003A2D0000}"/>
    <cellStyle name="Normal 12 23 3 2 4" xfId="11958" xr:uid="{00000000-0005-0000-0000-00003B2D0000}"/>
    <cellStyle name="Normal 12 23 3 2 5" xfId="11959" xr:uid="{00000000-0005-0000-0000-00003C2D0000}"/>
    <cellStyle name="Normal 12 23 3 3" xfId="11960" xr:uid="{00000000-0005-0000-0000-00003D2D0000}"/>
    <cellStyle name="Normal 12 23 3 4" xfId="11961" xr:uid="{00000000-0005-0000-0000-00003E2D0000}"/>
    <cellStyle name="Normal 12 23 3 5" xfId="11962" xr:uid="{00000000-0005-0000-0000-00003F2D0000}"/>
    <cellStyle name="Normal 12 23 3 6" xfId="11963" xr:uid="{00000000-0005-0000-0000-0000402D0000}"/>
    <cellStyle name="Normal 12 23 3 7" xfId="11964" xr:uid="{00000000-0005-0000-0000-0000412D0000}"/>
    <cellStyle name="Normal 12 23 3 8" xfId="11965" xr:uid="{00000000-0005-0000-0000-0000422D0000}"/>
    <cellStyle name="Normal 12 23 4" xfId="11966" xr:uid="{00000000-0005-0000-0000-0000432D0000}"/>
    <cellStyle name="Normal 12 23 4 2" xfId="11967" xr:uid="{00000000-0005-0000-0000-0000442D0000}"/>
    <cellStyle name="Normal 12 23 4 3" xfId="11968" xr:uid="{00000000-0005-0000-0000-0000452D0000}"/>
    <cellStyle name="Normal 12 23 4 4" xfId="11969" xr:uid="{00000000-0005-0000-0000-0000462D0000}"/>
    <cellStyle name="Normal 12 23 4 5" xfId="11970" xr:uid="{00000000-0005-0000-0000-0000472D0000}"/>
    <cellStyle name="Normal 12 23 5" xfId="11971" xr:uid="{00000000-0005-0000-0000-0000482D0000}"/>
    <cellStyle name="Normal 12 23 6" xfId="11972" xr:uid="{00000000-0005-0000-0000-0000492D0000}"/>
    <cellStyle name="Normal 12 23 7" xfId="11973" xr:uid="{00000000-0005-0000-0000-00004A2D0000}"/>
    <cellStyle name="Normal 12 23 8" xfId="11974" xr:uid="{00000000-0005-0000-0000-00004B2D0000}"/>
    <cellStyle name="Normal 12 23 9" xfId="11975" xr:uid="{00000000-0005-0000-0000-00004C2D0000}"/>
    <cellStyle name="Normal 12 24" xfId="11976" xr:uid="{00000000-0005-0000-0000-00004D2D0000}"/>
    <cellStyle name="Normal 12 24 2" xfId="11977" xr:uid="{00000000-0005-0000-0000-00004E2D0000}"/>
    <cellStyle name="Normal 12 24 2 2" xfId="11978" xr:uid="{00000000-0005-0000-0000-00004F2D0000}"/>
    <cellStyle name="Normal 12 24 2 3" xfId="11979" xr:uid="{00000000-0005-0000-0000-0000502D0000}"/>
    <cellStyle name="Normal 12 24 2 4" xfId="11980" xr:uid="{00000000-0005-0000-0000-0000512D0000}"/>
    <cellStyle name="Normal 12 24 2 5" xfId="11981" xr:uid="{00000000-0005-0000-0000-0000522D0000}"/>
    <cellStyle name="Normal 12 24 3" xfId="11982" xr:uid="{00000000-0005-0000-0000-0000532D0000}"/>
    <cellStyle name="Normal 12 24 4" xfId="11983" xr:uid="{00000000-0005-0000-0000-0000542D0000}"/>
    <cellStyle name="Normal 12 24 5" xfId="11984" xr:uid="{00000000-0005-0000-0000-0000552D0000}"/>
    <cellStyle name="Normal 12 24 6" xfId="11985" xr:uid="{00000000-0005-0000-0000-0000562D0000}"/>
    <cellStyle name="Normal 12 24 7" xfId="11986" xr:uid="{00000000-0005-0000-0000-0000572D0000}"/>
    <cellStyle name="Normal 12 24 8" xfId="11987" xr:uid="{00000000-0005-0000-0000-0000582D0000}"/>
    <cellStyle name="Normal 12 25" xfId="11988" xr:uid="{00000000-0005-0000-0000-0000592D0000}"/>
    <cellStyle name="Normal 12 25 2" xfId="11989" xr:uid="{00000000-0005-0000-0000-00005A2D0000}"/>
    <cellStyle name="Normal 12 25 2 2" xfId="11990" xr:uid="{00000000-0005-0000-0000-00005B2D0000}"/>
    <cellStyle name="Normal 12 25 2 3" xfId="11991" xr:uid="{00000000-0005-0000-0000-00005C2D0000}"/>
    <cellStyle name="Normal 12 25 2 4" xfId="11992" xr:uid="{00000000-0005-0000-0000-00005D2D0000}"/>
    <cellStyle name="Normal 12 25 2 5" xfId="11993" xr:uid="{00000000-0005-0000-0000-00005E2D0000}"/>
    <cellStyle name="Normal 12 25 3" xfId="11994" xr:uid="{00000000-0005-0000-0000-00005F2D0000}"/>
    <cellStyle name="Normal 12 25 4" xfId="11995" xr:uid="{00000000-0005-0000-0000-0000602D0000}"/>
    <cellStyle name="Normal 12 25 5" xfId="11996" xr:uid="{00000000-0005-0000-0000-0000612D0000}"/>
    <cellStyle name="Normal 12 25 6" xfId="11997" xr:uid="{00000000-0005-0000-0000-0000622D0000}"/>
    <cellStyle name="Normal 12 25 7" xfId="11998" xr:uid="{00000000-0005-0000-0000-0000632D0000}"/>
    <cellStyle name="Normal 12 25 8" xfId="11999" xr:uid="{00000000-0005-0000-0000-0000642D0000}"/>
    <cellStyle name="Normal 12 26" xfId="12000" xr:uid="{00000000-0005-0000-0000-0000652D0000}"/>
    <cellStyle name="Normal 12 26 2" xfId="12001" xr:uid="{00000000-0005-0000-0000-0000662D0000}"/>
    <cellStyle name="Normal 12 26 3" xfId="12002" xr:uid="{00000000-0005-0000-0000-0000672D0000}"/>
    <cellStyle name="Normal 12 26 4" xfId="12003" xr:uid="{00000000-0005-0000-0000-0000682D0000}"/>
    <cellStyle name="Normal 12 26 5" xfId="12004" xr:uid="{00000000-0005-0000-0000-0000692D0000}"/>
    <cellStyle name="Normal 12 27" xfId="12005" xr:uid="{00000000-0005-0000-0000-00006A2D0000}"/>
    <cellStyle name="Normal 12 28" xfId="12006" xr:uid="{00000000-0005-0000-0000-00006B2D0000}"/>
    <cellStyle name="Normal 12 29" xfId="12007" xr:uid="{00000000-0005-0000-0000-00006C2D0000}"/>
    <cellStyle name="Normal 12 3" xfId="12008" xr:uid="{00000000-0005-0000-0000-00006D2D0000}"/>
    <cellStyle name="Normal 12 3 10" xfId="12009" xr:uid="{00000000-0005-0000-0000-00006E2D0000}"/>
    <cellStyle name="Normal 12 3 10 10" xfId="12010" xr:uid="{00000000-0005-0000-0000-00006F2D0000}"/>
    <cellStyle name="Normal 12 3 10 11" xfId="12011" xr:uid="{00000000-0005-0000-0000-0000702D0000}"/>
    <cellStyle name="Normal 12 3 10 2" xfId="12012" xr:uid="{00000000-0005-0000-0000-0000712D0000}"/>
    <cellStyle name="Normal 12 3 10 2 10" xfId="12013" xr:uid="{00000000-0005-0000-0000-0000722D0000}"/>
    <cellStyle name="Normal 12 3 10 2 2" xfId="12014" xr:uid="{00000000-0005-0000-0000-0000732D0000}"/>
    <cellStyle name="Normal 12 3 10 2 2 2" xfId="12015" xr:uid="{00000000-0005-0000-0000-0000742D0000}"/>
    <cellStyle name="Normal 12 3 10 2 2 2 2" xfId="12016" xr:uid="{00000000-0005-0000-0000-0000752D0000}"/>
    <cellStyle name="Normal 12 3 10 2 2 2 3" xfId="12017" xr:uid="{00000000-0005-0000-0000-0000762D0000}"/>
    <cellStyle name="Normal 12 3 10 2 2 2 4" xfId="12018" xr:uid="{00000000-0005-0000-0000-0000772D0000}"/>
    <cellStyle name="Normal 12 3 10 2 2 2 5" xfId="12019" xr:uid="{00000000-0005-0000-0000-0000782D0000}"/>
    <cellStyle name="Normal 12 3 10 2 2 3" xfId="12020" xr:uid="{00000000-0005-0000-0000-0000792D0000}"/>
    <cellStyle name="Normal 12 3 10 2 2 4" xfId="12021" xr:uid="{00000000-0005-0000-0000-00007A2D0000}"/>
    <cellStyle name="Normal 12 3 10 2 2 5" xfId="12022" xr:uid="{00000000-0005-0000-0000-00007B2D0000}"/>
    <cellStyle name="Normal 12 3 10 2 2 6" xfId="12023" xr:uid="{00000000-0005-0000-0000-00007C2D0000}"/>
    <cellStyle name="Normal 12 3 10 2 2 7" xfId="12024" xr:uid="{00000000-0005-0000-0000-00007D2D0000}"/>
    <cellStyle name="Normal 12 3 10 2 2 8" xfId="12025" xr:uid="{00000000-0005-0000-0000-00007E2D0000}"/>
    <cellStyle name="Normal 12 3 10 2 3" xfId="12026" xr:uid="{00000000-0005-0000-0000-00007F2D0000}"/>
    <cellStyle name="Normal 12 3 10 2 3 2" xfId="12027" xr:uid="{00000000-0005-0000-0000-0000802D0000}"/>
    <cellStyle name="Normal 12 3 10 2 3 2 2" xfId="12028" xr:uid="{00000000-0005-0000-0000-0000812D0000}"/>
    <cellStyle name="Normal 12 3 10 2 3 2 3" xfId="12029" xr:uid="{00000000-0005-0000-0000-0000822D0000}"/>
    <cellStyle name="Normal 12 3 10 2 3 2 4" xfId="12030" xr:uid="{00000000-0005-0000-0000-0000832D0000}"/>
    <cellStyle name="Normal 12 3 10 2 3 2 5" xfId="12031" xr:uid="{00000000-0005-0000-0000-0000842D0000}"/>
    <cellStyle name="Normal 12 3 10 2 3 3" xfId="12032" xr:uid="{00000000-0005-0000-0000-0000852D0000}"/>
    <cellStyle name="Normal 12 3 10 2 3 4" xfId="12033" xr:uid="{00000000-0005-0000-0000-0000862D0000}"/>
    <cellStyle name="Normal 12 3 10 2 3 5" xfId="12034" xr:uid="{00000000-0005-0000-0000-0000872D0000}"/>
    <cellStyle name="Normal 12 3 10 2 3 6" xfId="12035" xr:uid="{00000000-0005-0000-0000-0000882D0000}"/>
    <cellStyle name="Normal 12 3 10 2 3 7" xfId="12036" xr:uid="{00000000-0005-0000-0000-0000892D0000}"/>
    <cellStyle name="Normal 12 3 10 2 3 8" xfId="12037" xr:uid="{00000000-0005-0000-0000-00008A2D0000}"/>
    <cellStyle name="Normal 12 3 10 2 4" xfId="12038" xr:uid="{00000000-0005-0000-0000-00008B2D0000}"/>
    <cellStyle name="Normal 12 3 10 2 4 2" xfId="12039" xr:uid="{00000000-0005-0000-0000-00008C2D0000}"/>
    <cellStyle name="Normal 12 3 10 2 4 3" xfId="12040" xr:uid="{00000000-0005-0000-0000-00008D2D0000}"/>
    <cellStyle name="Normal 12 3 10 2 4 4" xfId="12041" xr:uid="{00000000-0005-0000-0000-00008E2D0000}"/>
    <cellStyle name="Normal 12 3 10 2 4 5" xfId="12042" xr:uid="{00000000-0005-0000-0000-00008F2D0000}"/>
    <cellStyle name="Normal 12 3 10 2 5" xfId="12043" xr:uid="{00000000-0005-0000-0000-0000902D0000}"/>
    <cellStyle name="Normal 12 3 10 2 6" xfId="12044" xr:uid="{00000000-0005-0000-0000-0000912D0000}"/>
    <cellStyle name="Normal 12 3 10 2 7" xfId="12045" xr:uid="{00000000-0005-0000-0000-0000922D0000}"/>
    <cellStyle name="Normal 12 3 10 2 8" xfId="12046" xr:uid="{00000000-0005-0000-0000-0000932D0000}"/>
    <cellStyle name="Normal 12 3 10 2 9" xfId="12047" xr:uid="{00000000-0005-0000-0000-0000942D0000}"/>
    <cellStyle name="Normal 12 3 10 3" xfId="12048" xr:uid="{00000000-0005-0000-0000-0000952D0000}"/>
    <cellStyle name="Normal 12 3 10 3 2" xfId="12049" xr:uid="{00000000-0005-0000-0000-0000962D0000}"/>
    <cellStyle name="Normal 12 3 10 3 2 2" xfId="12050" xr:uid="{00000000-0005-0000-0000-0000972D0000}"/>
    <cellStyle name="Normal 12 3 10 3 2 3" xfId="12051" xr:uid="{00000000-0005-0000-0000-0000982D0000}"/>
    <cellStyle name="Normal 12 3 10 3 2 4" xfId="12052" xr:uid="{00000000-0005-0000-0000-0000992D0000}"/>
    <cellStyle name="Normal 12 3 10 3 2 5" xfId="12053" xr:uid="{00000000-0005-0000-0000-00009A2D0000}"/>
    <cellStyle name="Normal 12 3 10 3 3" xfId="12054" xr:uid="{00000000-0005-0000-0000-00009B2D0000}"/>
    <cellStyle name="Normal 12 3 10 3 4" xfId="12055" xr:uid="{00000000-0005-0000-0000-00009C2D0000}"/>
    <cellStyle name="Normal 12 3 10 3 5" xfId="12056" xr:uid="{00000000-0005-0000-0000-00009D2D0000}"/>
    <cellStyle name="Normal 12 3 10 3 6" xfId="12057" xr:uid="{00000000-0005-0000-0000-00009E2D0000}"/>
    <cellStyle name="Normal 12 3 10 3 7" xfId="12058" xr:uid="{00000000-0005-0000-0000-00009F2D0000}"/>
    <cellStyle name="Normal 12 3 10 3 8" xfId="12059" xr:uid="{00000000-0005-0000-0000-0000A02D0000}"/>
    <cellStyle name="Normal 12 3 10 4" xfId="12060" xr:uid="{00000000-0005-0000-0000-0000A12D0000}"/>
    <cellStyle name="Normal 12 3 10 4 2" xfId="12061" xr:uid="{00000000-0005-0000-0000-0000A22D0000}"/>
    <cellStyle name="Normal 12 3 10 4 2 2" xfId="12062" xr:uid="{00000000-0005-0000-0000-0000A32D0000}"/>
    <cellStyle name="Normal 12 3 10 4 2 3" xfId="12063" xr:uid="{00000000-0005-0000-0000-0000A42D0000}"/>
    <cellStyle name="Normal 12 3 10 4 2 4" xfId="12064" xr:uid="{00000000-0005-0000-0000-0000A52D0000}"/>
    <cellStyle name="Normal 12 3 10 4 2 5" xfId="12065" xr:uid="{00000000-0005-0000-0000-0000A62D0000}"/>
    <cellStyle name="Normal 12 3 10 4 3" xfId="12066" xr:uid="{00000000-0005-0000-0000-0000A72D0000}"/>
    <cellStyle name="Normal 12 3 10 4 4" xfId="12067" xr:uid="{00000000-0005-0000-0000-0000A82D0000}"/>
    <cellStyle name="Normal 12 3 10 4 5" xfId="12068" xr:uid="{00000000-0005-0000-0000-0000A92D0000}"/>
    <cellStyle name="Normal 12 3 10 4 6" xfId="12069" xr:uid="{00000000-0005-0000-0000-0000AA2D0000}"/>
    <cellStyle name="Normal 12 3 10 4 7" xfId="12070" xr:uid="{00000000-0005-0000-0000-0000AB2D0000}"/>
    <cellStyle name="Normal 12 3 10 4 8" xfId="12071" xr:uid="{00000000-0005-0000-0000-0000AC2D0000}"/>
    <cellStyle name="Normal 12 3 10 5" xfId="12072" xr:uid="{00000000-0005-0000-0000-0000AD2D0000}"/>
    <cellStyle name="Normal 12 3 10 5 2" xfId="12073" xr:uid="{00000000-0005-0000-0000-0000AE2D0000}"/>
    <cellStyle name="Normal 12 3 10 5 3" xfId="12074" xr:uid="{00000000-0005-0000-0000-0000AF2D0000}"/>
    <cellStyle name="Normal 12 3 10 5 4" xfId="12075" xr:uid="{00000000-0005-0000-0000-0000B02D0000}"/>
    <cellStyle name="Normal 12 3 10 5 5" xfId="12076" xr:uid="{00000000-0005-0000-0000-0000B12D0000}"/>
    <cellStyle name="Normal 12 3 10 6" xfId="12077" xr:uid="{00000000-0005-0000-0000-0000B22D0000}"/>
    <cellStyle name="Normal 12 3 10 7" xfId="12078" xr:uid="{00000000-0005-0000-0000-0000B32D0000}"/>
    <cellStyle name="Normal 12 3 10 8" xfId="12079" xr:uid="{00000000-0005-0000-0000-0000B42D0000}"/>
    <cellStyle name="Normal 12 3 10 9" xfId="12080" xr:uid="{00000000-0005-0000-0000-0000B52D0000}"/>
    <cellStyle name="Normal 12 3 11" xfId="12081" xr:uid="{00000000-0005-0000-0000-0000B62D0000}"/>
    <cellStyle name="Normal 12 3 11 10" xfId="12082" xr:uid="{00000000-0005-0000-0000-0000B72D0000}"/>
    <cellStyle name="Normal 12 3 11 2" xfId="12083" xr:uid="{00000000-0005-0000-0000-0000B82D0000}"/>
    <cellStyle name="Normal 12 3 11 2 2" xfId="12084" xr:uid="{00000000-0005-0000-0000-0000B92D0000}"/>
    <cellStyle name="Normal 12 3 11 2 2 2" xfId="12085" xr:uid="{00000000-0005-0000-0000-0000BA2D0000}"/>
    <cellStyle name="Normal 12 3 11 2 2 3" xfId="12086" xr:uid="{00000000-0005-0000-0000-0000BB2D0000}"/>
    <cellStyle name="Normal 12 3 11 2 2 4" xfId="12087" xr:uid="{00000000-0005-0000-0000-0000BC2D0000}"/>
    <cellStyle name="Normal 12 3 11 2 2 5" xfId="12088" xr:uid="{00000000-0005-0000-0000-0000BD2D0000}"/>
    <cellStyle name="Normal 12 3 11 2 3" xfId="12089" xr:uid="{00000000-0005-0000-0000-0000BE2D0000}"/>
    <cellStyle name="Normal 12 3 11 2 4" xfId="12090" xr:uid="{00000000-0005-0000-0000-0000BF2D0000}"/>
    <cellStyle name="Normal 12 3 11 2 5" xfId="12091" xr:uid="{00000000-0005-0000-0000-0000C02D0000}"/>
    <cellStyle name="Normal 12 3 11 2 6" xfId="12092" xr:uid="{00000000-0005-0000-0000-0000C12D0000}"/>
    <cellStyle name="Normal 12 3 11 2 7" xfId="12093" xr:uid="{00000000-0005-0000-0000-0000C22D0000}"/>
    <cellStyle name="Normal 12 3 11 2 8" xfId="12094" xr:uid="{00000000-0005-0000-0000-0000C32D0000}"/>
    <cellStyle name="Normal 12 3 11 3" xfId="12095" xr:uid="{00000000-0005-0000-0000-0000C42D0000}"/>
    <cellStyle name="Normal 12 3 11 3 2" xfId="12096" xr:uid="{00000000-0005-0000-0000-0000C52D0000}"/>
    <cellStyle name="Normal 12 3 11 3 2 2" xfId="12097" xr:uid="{00000000-0005-0000-0000-0000C62D0000}"/>
    <cellStyle name="Normal 12 3 11 3 2 3" xfId="12098" xr:uid="{00000000-0005-0000-0000-0000C72D0000}"/>
    <cellStyle name="Normal 12 3 11 3 2 4" xfId="12099" xr:uid="{00000000-0005-0000-0000-0000C82D0000}"/>
    <cellStyle name="Normal 12 3 11 3 2 5" xfId="12100" xr:uid="{00000000-0005-0000-0000-0000C92D0000}"/>
    <cellStyle name="Normal 12 3 11 3 3" xfId="12101" xr:uid="{00000000-0005-0000-0000-0000CA2D0000}"/>
    <cellStyle name="Normal 12 3 11 3 4" xfId="12102" xr:uid="{00000000-0005-0000-0000-0000CB2D0000}"/>
    <cellStyle name="Normal 12 3 11 3 5" xfId="12103" xr:uid="{00000000-0005-0000-0000-0000CC2D0000}"/>
    <cellStyle name="Normal 12 3 11 3 6" xfId="12104" xr:uid="{00000000-0005-0000-0000-0000CD2D0000}"/>
    <cellStyle name="Normal 12 3 11 3 7" xfId="12105" xr:uid="{00000000-0005-0000-0000-0000CE2D0000}"/>
    <cellStyle name="Normal 12 3 11 3 8" xfId="12106" xr:uid="{00000000-0005-0000-0000-0000CF2D0000}"/>
    <cellStyle name="Normal 12 3 11 4" xfId="12107" xr:uid="{00000000-0005-0000-0000-0000D02D0000}"/>
    <cellStyle name="Normal 12 3 11 4 2" xfId="12108" xr:uid="{00000000-0005-0000-0000-0000D12D0000}"/>
    <cellStyle name="Normal 12 3 11 4 3" xfId="12109" xr:uid="{00000000-0005-0000-0000-0000D22D0000}"/>
    <cellStyle name="Normal 12 3 11 4 4" xfId="12110" xr:uid="{00000000-0005-0000-0000-0000D32D0000}"/>
    <cellStyle name="Normal 12 3 11 4 5" xfId="12111" xr:uid="{00000000-0005-0000-0000-0000D42D0000}"/>
    <cellStyle name="Normal 12 3 11 5" xfId="12112" xr:uid="{00000000-0005-0000-0000-0000D52D0000}"/>
    <cellStyle name="Normal 12 3 11 6" xfId="12113" xr:uid="{00000000-0005-0000-0000-0000D62D0000}"/>
    <cellStyle name="Normal 12 3 11 7" xfId="12114" xr:uid="{00000000-0005-0000-0000-0000D72D0000}"/>
    <cellStyle name="Normal 12 3 11 8" xfId="12115" xr:uid="{00000000-0005-0000-0000-0000D82D0000}"/>
    <cellStyle name="Normal 12 3 11 9" xfId="12116" xr:uid="{00000000-0005-0000-0000-0000D92D0000}"/>
    <cellStyle name="Normal 12 3 12" xfId="12117" xr:uid="{00000000-0005-0000-0000-0000DA2D0000}"/>
    <cellStyle name="Normal 12 3 12 2" xfId="12118" xr:uid="{00000000-0005-0000-0000-0000DB2D0000}"/>
    <cellStyle name="Normal 12 3 12 2 2" xfId="12119" xr:uid="{00000000-0005-0000-0000-0000DC2D0000}"/>
    <cellStyle name="Normal 12 3 12 2 3" xfId="12120" xr:uid="{00000000-0005-0000-0000-0000DD2D0000}"/>
    <cellStyle name="Normal 12 3 12 2 4" xfId="12121" xr:uid="{00000000-0005-0000-0000-0000DE2D0000}"/>
    <cellStyle name="Normal 12 3 12 2 5" xfId="12122" xr:uid="{00000000-0005-0000-0000-0000DF2D0000}"/>
    <cellStyle name="Normal 12 3 12 3" xfId="12123" xr:uid="{00000000-0005-0000-0000-0000E02D0000}"/>
    <cellStyle name="Normal 12 3 12 4" xfId="12124" xr:uid="{00000000-0005-0000-0000-0000E12D0000}"/>
    <cellStyle name="Normal 12 3 12 5" xfId="12125" xr:uid="{00000000-0005-0000-0000-0000E22D0000}"/>
    <cellStyle name="Normal 12 3 12 6" xfId="12126" xr:uid="{00000000-0005-0000-0000-0000E32D0000}"/>
    <cellStyle name="Normal 12 3 12 7" xfId="12127" xr:uid="{00000000-0005-0000-0000-0000E42D0000}"/>
    <cellStyle name="Normal 12 3 12 8" xfId="12128" xr:uid="{00000000-0005-0000-0000-0000E52D0000}"/>
    <cellStyle name="Normal 12 3 13" xfId="12129" xr:uid="{00000000-0005-0000-0000-0000E62D0000}"/>
    <cellStyle name="Normal 12 3 13 2" xfId="12130" xr:uid="{00000000-0005-0000-0000-0000E72D0000}"/>
    <cellStyle name="Normal 12 3 13 2 2" xfId="12131" xr:uid="{00000000-0005-0000-0000-0000E82D0000}"/>
    <cellStyle name="Normal 12 3 13 2 3" xfId="12132" xr:uid="{00000000-0005-0000-0000-0000E92D0000}"/>
    <cellStyle name="Normal 12 3 13 2 4" xfId="12133" xr:uid="{00000000-0005-0000-0000-0000EA2D0000}"/>
    <cellStyle name="Normal 12 3 13 2 5" xfId="12134" xr:uid="{00000000-0005-0000-0000-0000EB2D0000}"/>
    <cellStyle name="Normal 12 3 13 3" xfId="12135" xr:uid="{00000000-0005-0000-0000-0000EC2D0000}"/>
    <cellStyle name="Normal 12 3 13 4" xfId="12136" xr:uid="{00000000-0005-0000-0000-0000ED2D0000}"/>
    <cellStyle name="Normal 12 3 13 5" xfId="12137" xr:uid="{00000000-0005-0000-0000-0000EE2D0000}"/>
    <cellStyle name="Normal 12 3 13 6" xfId="12138" xr:uid="{00000000-0005-0000-0000-0000EF2D0000}"/>
    <cellStyle name="Normal 12 3 13 7" xfId="12139" xr:uid="{00000000-0005-0000-0000-0000F02D0000}"/>
    <cellStyle name="Normal 12 3 13 8" xfId="12140" xr:uid="{00000000-0005-0000-0000-0000F12D0000}"/>
    <cellStyle name="Normal 12 3 14" xfId="12141" xr:uid="{00000000-0005-0000-0000-0000F22D0000}"/>
    <cellStyle name="Normal 12 3 14 2" xfId="12142" xr:uid="{00000000-0005-0000-0000-0000F32D0000}"/>
    <cellStyle name="Normal 12 3 14 3" xfId="12143" xr:uid="{00000000-0005-0000-0000-0000F42D0000}"/>
    <cellStyle name="Normal 12 3 14 4" xfId="12144" xr:uid="{00000000-0005-0000-0000-0000F52D0000}"/>
    <cellStyle name="Normal 12 3 14 5" xfId="12145" xr:uid="{00000000-0005-0000-0000-0000F62D0000}"/>
    <cellStyle name="Normal 12 3 15" xfId="12146" xr:uid="{00000000-0005-0000-0000-0000F72D0000}"/>
    <cellStyle name="Normal 12 3 16" xfId="12147" xr:uid="{00000000-0005-0000-0000-0000F82D0000}"/>
    <cellStyle name="Normal 12 3 17" xfId="12148" xr:uid="{00000000-0005-0000-0000-0000F92D0000}"/>
    <cellStyle name="Normal 12 3 18" xfId="12149" xr:uid="{00000000-0005-0000-0000-0000FA2D0000}"/>
    <cellStyle name="Normal 12 3 19" xfId="12150" xr:uid="{00000000-0005-0000-0000-0000FB2D0000}"/>
    <cellStyle name="Normal 12 3 2" xfId="12151" xr:uid="{00000000-0005-0000-0000-0000FC2D0000}"/>
    <cellStyle name="Normal 12 3 2 10" xfId="12152" xr:uid="{00000000-0005-0000-0000-0000FD2D0000}"/>
    <cellStyle name="Normal 12 3 2 11" xfId="12153" xr:uid="{00000000-0005-0000-0000-0000FE2D0000}"/>
    <cellStyle name="Normal 12 3 2 12" xfId="12154" xr:uid="{00000000-0005-0000-0000-0000FF2D0000}"/>
    <cellStyle name="Normal 12 3 2 13" xfId="12155" xr:uid="{00000000-0005-0000-0000-0000002E0000}"/>
    <cellStyle name="Normal 12 3 2 2" xfId="12156" xr:uid="{00000000-0005-0000-0000-0000012E0000}"/>
    <cellStyle name="Normal 12 3 2 2 10" xfId="12157" xr:uid="{00000000-0005-0000-0000-0000022E0000}"/>
    <cellStyle name="Normal 12 3 2 2 11" xfId="12158" xr:uid="{00000000-0005-0000-0000-0000032E0000}"/>
    <cellStyle name="Normal 12 3 2 2 2" xfId="12159" xr:uid="{00000000-0005-0000-0000-0000042E0000}"/>
    <cellStyle name="Normal 12 3 2 2 2 10" xfId="12160" xr:uid="{00000000-0005-0000-0000-0000052E0000}"/>
    <cellStyle name="Normal 12 3 2 2 2 2" xfId="12161" xr:uid="{00000000-0005-0000-0000-0000062E0000}"/>
    <cellStyle name="Normal 12 3 2 2 2 2 2" xfId="12162" xr:uid="{00000000-0005-0000-0000-0000072E0000}"/>
    <cellStyle name="Normal 12 3 2 2 2 2 2 2" xfId="12163" xr:uid="{00000000-0005-0000-0000-0000082E0000}"/>
    <cellStyle name="Normal 12 3 2 2 2 2 2 3" xfId="12164" xr:uid="{00000000-0005-0000-0000-0000092E0000}"/>
    <cellStyle name="Normal 12 3 2 2 2 2 2 4" xfId="12165" xr:uid="{00000000-0005-0000-0000-00000A2E0000}"/>
    <cellStyle name="Normal 12 3 2 2 2 2 2 5" xfId="12166" xr:uid="{00000000-0005-0000-0000-00000B2E0000}"/>
    <cellStyle name="Normal 12 3 2 2 2 2 3" xfId="12167" xr:uid="{00000000-0005-0000-0000-00000C2E0000}"/>
    <cellStyle name="Normal 12 3 2 2 2 2 4" xfId="12168" xr:uid="{00000000-0005-0000-0000-00000D2E0000}"/>
    <cellStyle name="Normal 12 3 2 2 2 2 5" xfId="12169" xr:uid="{00000000-0005-0000-0000-00000E2E0000}"/>
    <cellStyle name="Normal 12 3 2 2 2 2 6" xfId="12170" xr:uid="{00000000-0005-0000-0000-00000F2E0000}"/>
    <cellStyle name="Normal 12 3 2 2 2 2 7" xfId="12171" xr:uid="{00000000-0005-0000-0000-0000102E0000}"/>
    <cellStyle name="Normal 12 3 2 2 2 2 8" xfId="12172" xr:uid="{00000000-0005-0000-0000-0000112E0000}"/>
    <cellStyle name="Normal 12 3 2 2 2 3" xfId="12173" xr:uid="{00000000-0005-0000-0000-0000122E0000}"/>
    <cellStyle name="Normal 12 3 2 2 2 3 2" xfId="12174" xr:uid="{00000000-0005-0000-0000-0000132E0000}"/>
    <cellStyle name="Normal 12 3 2 2 2 3 2 2" xfId="12175" xr:uid="{00000000-0005-0000-0000-0000142E0000}"/>
    <cellStyle name="Normal 12 3 2 2 2 3 2 3" xfId="12176" xr:uid="{00000000-0005-0000-0000-0000152E0000}"/>
    <cellStyle name="Normal 12 3 2 2 2 3 2 4" xfId="12177" xr:uid="{00000000-0005-0000-0000-0000162E0000}"/>
    <cellStyle name="Normal 12 3 2 2 2 3 2 5" xfId="12178" xr:uid="{00000000-0005-0000-0000-0000172E0000}"/>
    <cellStyle name="Normal 12 3 2 2 2 3 3" xfId="12179" xr:uid="{00000000-0005-0000-0000-0000182E0000}"/>
    <cellStyle name="Normal 12 3 2 2 2 3 4" xfId="12180" xr:uid="{00000000-0005-0000-0000-0000192E0000}"/>
    <cellStyle name="Normal 12 3 2 2 2 3 5" xfId="12181" xr:uid="{00000000-0005-0000-0000-00001A2E0000}"/>
    <cellStyle name="Normal 12 3 2 2 2 3 6" xfId="12182" xr:uid="{00000000-0005-0000-0000-00001B2E0000}"/>
    <cellStyle name="Normal 12 3 2 2 2 3 7" xfId="12183" xr:uid="{00000000-0005-0000-0000-00001C2E0000}"/>
    <cellStyle name="Normal 12 3 2 2 2 3 8" xfId="12184" xr:uid="{00000000-0005-0000-0000-00001D2E0000}"/>
    <cellStyle name="Normal 12 3 2 2 2 4" xfId="12185" xr:uid="{00000000-0005-0000-0000-00001E2E0000}"/>
    <cellStyle name="Normal 12 3 2 2 2 4 2" xfId="12186" xr:uid="{00000000-0005-0000-0000-00001F2E0000}"/>
    <cellStyle name="Normal 12 3 2 2 2 4 3" xfId="12187" xr:uid="{00000000-0005-0000-0000-0000202E0000}"/>
    <cellStyle name="Normal 12 3 2 2 2 4 4" xfId="12188" xr:uid="{00000000-0005-0000-0000-0000212E0000}"/>
    <cellStyle name="Normal 12 3 2 2 2 4 5" xfId="12189" xr:uid="{00000000-0005-0000-0000-0000222E0000}"/>
    <cellStyle name="Normal 12 3 2 2 2 5" xfId="12190" xr:uid="{00000000-0005-0000-0000-0000232E0000}"/>
    <cellStyle name="Normal 12 3 2 2 2 6" xfId="12191" xr:uid="{00000000-0005-0000-0000-0000242E0000}"/>
    <cellStyle name="Normal 12 3 2 2 2 7" xfId="12192" xr:uid="{00000000-0005-0000-0000-0000252E0000}"/>
    <cellStyle name="Normal 12 3 2 2 2 8" xfId="12193" xr:uid="{00000000-0005-0000-0000-0000262E0000}"/>
    <cellStyle name="Normal 12 3 2 2 2 9" xfId="12194" xr:uid="{00000000-0005-0000-0000-0000272E0000}"/>
    <cellStyle name="Normal 12 3 2 2 3" xfId="12195" xr:uid="{00000000-0005-0000-0000-0000282E0000}"/>
    <cellStyle name="Normal 12 3 2 2 3 2" xfId="12196" xr:uid="{00000000-0005-0000-0000-0000292E0000}"/>
    <cellStyle name="Normal 12 3 2 2 3 2 2" xfId="12197" xr:uid="{00000000-0005-0000-0000-00002A2E0000}"/>
    <cellStyle name="Normal 12 3 2 2 3 2 3" xfId="12198" xr:uid="{00000000-0005-0000-0000-00002B2E0000}"/>
    <cellStyle name="Normal 12 3 2 2 3 2 4" xfId="12199" xr:uid="{00000000-0005-0000-0000-00002C2E0000}"/>
    <cellStyle name="Normal 12 3 2 2 3 2 5" xfId="12200" xr:uid="{00000000-0005-0000-0000-00002D2E0000}"/>
    <cellStyle name="Normal 12 3 2 2 3 3" xfId="12201" xr:uid="{00000000-0005-0000-0000-00002E2E0000}"/>
    <cellStyle name="Normal 12 3 2 2 3 4" xfId="12202" xr:uid="{00000000-0005-0000-0000-00002F2E0000}"/>
    <cellStyle name="Normal 12 3 2 2 3 5" xfId="12203" xr:uid="{00000000-0005-0000-0000-0000302E0000}"/>
    <cellStyle name="Normal 12 3 2 2 3 6" xfId="12204" xr:uid="{00000000-0005-0000-0000-0000312E0000}"/>
    <cellStyle name="Normal 12 3 2 2 3 7" xfId="12205" xr:uid="{00000000-0005-0000-0000-0000322E0000}"/>
    <cellStyle name="Normal 12 3 2 2 3 8" xfId="12206" xr:uid="{00000000-0005-0000-0000-0000332E0000}"/>
    <cellStyle name="Normal 12 3 2 2 4" xfId="12207" xr:uid="{00000000-0005-0000-0000-0000342E0000}"/>
    <cellStyle name="Normal 12 3 2 2 4 2" xfId="12208" xr:uid="{00000000-0005-0000-0000-0000352E0000}"/>
    <cellStyle name="Normal 12 3 2 2 4 2 2" xfId="12209" xr:uid="{00000000-0005-0000-0000-0000362E0000}"/>
    <cellStyle name="Normal 12 3 2 2 4 2 3" xfId="12210" xr:uid="{00000000-0005-0000-0000-0000372E0000}"/>
    <cellStyle name="Normal 12 3 2 2 4 2 4" xfId="12211" xr:uid="{00000000-0005-0000-0000-0000382E0000}"/>
    <cellStyle name="Normal 12 3 2 2 4 2 5" xfId="12212" xr:uid="{00000000-0005-0000-0000-0000392E0000}"/>
    <cellStyle name="Normal 12 3 2 2 4 3" xfId="12213" xr:uid="{00000000-0005-0000-0000-00003A2E0000}"/>
    <cellStyle name="Normal 12 3 2 2 4 4" xfId="12214" xr:uid="{00000000-0005-0000-0000-00003B2E0000}"/>
    <cellStyle name="Normal 12 3 2 2 4 5" xfId="12215" xr:uid="{00000000-0005-0000-0000-00003C2E0000}"/>
    <cellStyle name="Normal 12 3 2 2 4 6" xfId="12216" xr:uid="{00000000-0005-0000-0000-00003D2E0000}"/>
    <cellStyle name="Normal 12 3 2 2 4 7" xfId="12217" xr:uid="{00000000-0005-0000-0000-00003E2E0000}"/>
    <cellStyle name="Normal 12 3 2 2 4 8" xfId="12218" xr:uid="{00000000-0005-0000-0000-00003F2E0000}"/>
    <cellStyle name="Normal 12 3 2 2 5" xfId="12219" xr:uid="{00000000-0005-0000-0000-0000402E0000}"/>
    <cellStyle name="Normal 12 3 2 2 5 2" xfId="12220" xr:uid="{00000000-0005-0000-0000-0000412E0000}"/>
    <cellStyle name="Normal 12 3 2 2 5 3" xfId="12221" xr:uid="{00000000-0005-0000-0000-0000422E0000}"/>
    <cellStyle name="Normal 12 3 2 2 5 4" xfId="12222" xr:uid="{00000000-0005-0000-0000-0000432E0000}"/>
    <cellStyle name="Normal 12 3 2 2 5 5" xfId="12223" xr:uid="{00000000-0005-0000-0000-0000442E0000}"/>
    <cellStyle name="Normal 12 3 2 2 6" xfId="12224" xr:uid="{00000000-0005-0000-0000-0000452E0000}"/>
    <cellStyle name="Normal 12 3 2 2 7" xfId="12225" xr:uid="{00000000-0005-0000-0000-0000462E0000}"/>
    <cellStyle name="Normal 12 3 2 2 8" xfId="12226" xr:uid="{00000000-0005-0000-0000-0000472E0000}"/>
    <cellStyle name="Normal 12 3 2 2 9" xfId="12227" xr:uid="{00000000-0005-0000-0000-0000482E0000}"/>
    <cellStyle name="Normal 12 3 2 3" xfId="12228" xr:uid="{00000000-0005-0000-0000-0000492E0000}"/>
    <cellStyle name="Normal 12 3 2 3 10" xfId="12229" xr:uid="{00000000-0005-0000-0000-00004A2E0000}"/>
    <cellStyle name="Normal 12 3 2 3 11" xfId="12230" xr:uid="{00000000-0005-0000-0000-00004B2E0000}"/>
    <cellStyle name="Normal 12 3 2 3 2" xfId="12231" xr:uid="{00000000-0005-0000-0000-00004C2E0000}"/>
    <cellStyle name="Normal 12 3 2 3 2 10" xfId="12232" xr:uid="{00000000-0005-0000-0000-00004D2E0000}"/>
    <cellStyle name="Normal 12 3 2 3 2 2" xfId="12233" xr:uid="{00000000-0005-0000-0000-00004E2E0000}"/>
    <cellStyle name="Normal 12 3 2 3 2 2 2" xfId="12234" xr:uid="{00000000-0005-0000-0000-00004F2E0000}"/>
    <cellStyle name="Normal 12 3 2 3 2 2 2 2" xfId="12235" xr:uid="{00000000-0005-0000-0000-0000502E0000}"/>
    <cellStyle name="Normal 12 3 2 3 2 2 2 3" xfId="12236" xr:uid="{00000000-0005-0000-0000-0000512E0000}"/>
    <cellStyle name="Normal 12 3 2 3 2 2 2 4" xfId="12237" xr:uid="{00000000-0005-0000-0000-0000522E0000}"/>
    <cellStyle name="Normal 12 3 2 3 2 2 2 5" xfId="12238" xr:uid="{00000000-0005-0000-0000-0000532E0000}"/>
    <cellStyle name="Normal 12 3 2 3 2 2 3" xfId="12239" xr:uid="{00000000-0005-0000-0000-0000542E0000}"/>
    <cellStyle name="Normal 12 3 2 3 2 2 4" xfId="12240" xr:uid="{00000000-0005-0000-0000-0000552E0000}"/>
    <cellStyle name="Normal 12 3 2 3 2 2 5" xfId="12241" xr:uid="{00000000-0005-0000-0000-0000562E0000}"/>
    <cellStyle name="Normal 12 3 2 3 2 2 6" xfId="12242" xr:uid="{00000000-0005-0000-0000-0000572E0000}"/>
    <cellStyle name="Normal 12 3 2 3 2 2 7" xfId="12243" xr:uid="{00000000-0005-0000-0000-0000582E0000}"/>
    <cellStyle name="Normal 12 3 2 3 2 2 8" xfId="12244" xr:uid="{00000000-0005-0000-0000-0000592E0000}"/>
    <cellStyle name="Normal 12 3 2 3 2 3" xfId="12245" xr:uid="{00000000-0005-0000-0000-00005A2E0000}"/>
    <cellStyle name="Normal 12 3 2 3 2 3 2" xfId="12246" xr:uid="{00000000-0005-0000-0000-00005B2E0000}"/>
    <cellStyle name="Normal 12 3 2 3 2 3 2 2" xfId="12247" xr:uid="{00000000-0005-0000-0000-00005C2E0000}"/>
    <cellStyle name="Normal 12 3 2 3 2 3 2 3" xfId="12248" xr:uid="{00000000-0005-0000-0000-00005D2E0000}"/>
    <cellStyle name="Normal 12 3 2 3 2 3 2 4" xfId="12249" xr:uid="{00000000-0005-0000-0000-00005E2E0000}"/>
    <cellStyle name="Normal 12 3 2 3 2 3 2 5" xfId="12250" xr:uid="{00000000-0005-0000-0000-00005F2E0000}"/>
    <cellStyle name="Normal 12 3 2 3 2 3 3" xfId="12251" xr:uid="{00000000-0005-0000-0000-0000602E0000}"/>
    <cellStyle name="Normal 12 3 2 3 2 3 4" xfId="12252" xr:uid="{00000000-0005-0000-0000-0000612E0000}"/>
    <cellStyle name="Normal 12 3 2 3 2 3 5" xfId="12253" xr:uid="{00000000-0005-0000-0000-0000622E0000}"/>
    <cellStyle name="Normal 12 3 2 3 2 3 6" xfId="12254" xr:uid="{00000000-0005-0000-0000-0000632E0000}"/>
    <cellStyle name="Normal 12 3 2 3 2 3 7" xfId="12255" xr:uid="{00000000-0005-0000-0000-0000642E0000}"/>
    <cellStyle name="Normal 12 3 2 3 2 3 8" xfId="12256" xr:uid="{00000000-0005-0000-0000-0000652E0000}"/>
    <cellStyle name="Normal 12 3 2 3 2 4" xfId="12257" xr:uid="{00000000-0005-0000-0000-0000662E0000}"/>
    <cellStyle name="Normal 12 3 2 3 2 4 2" xfId="12258" xr:uid="{00000000-0005-0000-0000-0000672E0000}"/>
    <cellStyle name="Normal 12 3 2 3 2 4 3" xfId="12259" xr:uid="{00000000-0005-0000-0000-0000682E0000}"/>
    <cellStyle name="Normal 12 3 2 3 2 4 4" xfId="12260" xr:uid="{00000000-0005-0000-0000-0000692E0000}"/>
    <cellStyle name="Normal 12 3 2 3 2 4 5" xfId="12261" xr:uid="{00000000-0005-0000-0000-00006A2E0000}"/>
    <cellStyle name="Normal 12 3 2 3 2 5" xfId="12262" xr:uid="{00000000-0005-0000-0000-00006B2E0000}"/>
    <cellStyle name="Normal 12 3 2 3 2 6" xfId="12263" xr:uid="{00000000-0005-0000-0000-00006C2E0000}"/>
    <cellStyle name="Normal 12 3 2 3 2 7" xfId="12264" xr:uid="{00000000-0005-0000-0000-00006D2E0000}"/>
    <cellStyle name="Normal 12 3 2 3 2 8" xfId="12265" xr:uid="{00000000-0005-0000-0000-00006E2E0000}"/>
    <cellStyle name="Normal 12 3 2 3 2 9" xfId="12266" xr:uid="{00000000-0005-0000-0000-00006F2E0000}"/>
    <cellStyle name="Normal 12 3 2 3 3" xfId="12267" xr:uid="{00000000-0005-0000-0000-0000702E0000}"/>
    <cellStyle name="Normal 12 3 2 3 3 2" xfId="12268" xr:uid="{00000000-0005-0000-0000-0000712E0000}"/>
    <cellStyle name="Normal 12 3 2 3 3 2 2" xfId="12269" xr:uid="{00000000-0005-0000-0000-0000722E0000}"/>
    <cellStyle name="Normal 12 3 2 3 3 2 3" xfId="12270" xr:uid="{00000000-0005-0000-0000-0000732E0000}"/>
    <cellStyle name="Normal 12 3 2 3 3 2 4" xfId="12271" xr:uid="{00000000-0005-0000-0000-0000742E0000}"/>
    <cellStyle name="Normal 12 3 2 3 3 2 5" xfId="12272" xr:uid="{00000000-0005-0000-0000-0000752E0000}"/>
    <cellStyle name="Normal 12 3 2 3 3 3" xfId="12273" xr:uid="{00000000-0005-0000-0000-0000762E0000}"/>
    <cellStyle name="Normal 12 3 2 3 3 4" xfId="12274" xr:uid="{00000000-0005-0000-0000-0000772E0000}"/>
    <cellStyle name="Normal 12 3 2 3 3 5" xfId="12275" xr:uid="{00000000-0005-0000-0000-0000782E0000}"/>
    <cellStyle name="Normal 12 3 2 3 3 6" xfId="12276" xr:uid="{00000000-0005-0000-0000-0000792E0000}"/>
    <cellStyle name="Normal 12 3 2 3 3 7" xfId="12277" xr:uid="{00000000-0005-0000-0000-00007A2E0000}"/>
    <cellStyle name="Normal 12 3 2 3 3 8" xfId="12278" xr:uid="{00000000-0005-0000-0000-00007B2E0000}"/>
    <cellStyle name="Normal 12 3 2 3 4" xfId="12279" xr:uid="{00000000-0005-0000-0000-00007C2E0000}"/>
    <cellStyle name="Normal 12 3 2 3 4 2" xfId="12280" xr:uid="{00000000-0005-0000-0000-00007D2E0000}"/>
    <cellStyle name="Normal 12 3 2 3 4 2 2" xfId="12281" xr:uid="{00000000-0005-0000-0000-00007E2E0000}"/>
    <cellStyle name="Normal 12 3 2 3 4 2 3" xfId="12282" xr:uid="{00000000-0005-0000-0000-00007F2E0000}"/>
    <cellStyle name="Normal 12 3 2 3 4 2 4" xfId="12283" xr:uid="{00000000-0005-0000-0000-0000802E0000}"/>
    <cellStyle name="Normal 12 3 2 3 4 2 5" xfId="12284" xr:uid="{00000000-0005-0000-0000-0000812E0000}"/>
    <cellStyle name="Normal 12 3 2 3 4 3" xfId="12285" xr:uid="{00000000-0005-0000-0000-0000822E0000}"/>
    <cellStyle name="Normal 12 3 2 3 4 4" xfId="12286" xr:uid="{00000000-0005-0000-0000-0000832E0000}"/>
    <cellStyle name="Normal 12 3 2 3 4 5" xfId="12287" xr:uid="{00000000-0005-0000-0000-0000842E0000}"/>
    <cellStyle name="Normal 12 3 2 3 4 6" xfId="12288" xr:uid="{00000000-0005-0000-0000-0000852E0000}"/>
    <cellStyle name="Normal 12 3 2 3 4 7" xfId="12289" xr:uid="{00000000-0005-0000-0000-0000862E0000}"/>
    <cellStyle name="Normal 12 3 2 3 4 8" xfId="12290" xr:uid="{00000000-0005-0000-0000-0000872E0000}"/>
    <cellStyle name="Normal 12 3 2 3 5" xfId="12291" xr:uid="{00000000-0005-0000-0000-0000882E0000}"/>
    <cellStyle name="Normal 12 3 2 3 5 2" xfId="12292" xr:uid="{00000000-0005-0000-0000-0000892E0000}"/>
    <cellStyle name="Normal 12 3 2 3 5 3" xfId="12293" xr:uid="{00000000-0005-0000-0000-00008A2E0000}"/>
    <cellStyle name="Normal 12 3 2 3 5 4" xfId="12294" xr:uid="{00000000-0005-0000-0000-00008B2E0000}"/>
    <cellStyle name="Normal 12 3 2 3 5 5" xfId="12295" xr:uid="{00000000-0005-0000-0000-00008C2E0000}"/>
    <cellStyle name="Normal 12 3 2 3 6" xfId="12296" xr:uid="{00000000-0005-0000-0000-00008D2E0000}"/>
    <cellStyle name="Normal 12 3 2 3 7" xfId="12297" xr:uid="{00000000-0005-0000-0000-00008E2E0000}"/>
    <cellStyle name="Normal 12 3 2 3 8" xfId="12298" xr:uid="{00000000-0005-0000-0000-00008F2E0000}"/>
    <cellStyle name="Normal 12 3 2 3 9" xfId="12299" xr:uid="{00000000-0005-0000-0000-0000902E0000}"/>
    <cellStyle name="Normal 12 3 2 4" xfId="12300" xr:uid="{00000000-0005-0000-0000-0000912E0000}"/>
    <cellStyle name="Normal 12 3 2 4 10" xfId="12301" xr:uid="{00000000-0005-0000-0000-0000922E0000}"/>
    <cellStyle name="Normal 12 3 2 4 2" xfId="12302" xr:uid="{00000000-0005-0000-0000-0000932E0000}"/>
    <cellStyle name="Normal 12 3 2 4 2 2" xfId="12303" xr:uid="{00000000-0005-0000-0000-0000942E0000}"/>
    <cellStyle name="Normal 12 3 2 4 2 2 2" xfId="12304" xr:uid="{00000000-0005-0000-0000-0000952E0000}"/>
    <cellStyle name="Normal 12 3 2 4 2 2 3" xfId="12305" xr:uid="{00000000-0005-0000-0000-0000962E0000}"/>
    <cellStyle name="Normal 12 3 2 4 2 2 4" xfId="12306" xr:uid="{00000000-0005-0000-0000-0000972E0000}"/>
    <cellStyle name="Normal 12 3 2 4 2 2 5" xfId="12307" xr:uid="{00000000-0005-0000-0000-0000982E0000}"/>
    <cellStyle name="Normal 12 3 2 4 2 3" xfId="12308" xr:uid="{00000000-0005-0000-0000-0000992E0000}"/>
    <cellStyle name="Normal 12 3 2 4 2 4" xfId="12309" xr:uid="{00000000-0005-0000-0000-00009A2E0000}"/>
    <cellStyle name="Normal 12 3 2 4 2 5" xfId="12310" xr:uid="{00000000-0005-0000-0000-00009B2E0000}"/>
    <cellStyle name="Normal 12 3 2 4 2 6" xfId="12311" xr:uid="{00000000-0005-0000-0000-00009C2E0000}"/>
    <cellStyle name="Normal 12 3 2 4 2 7" xfId="12312" xr:uid="{00000000-0005-0000-0000-00009D2E0000}"/>
    <cellStyle name="Normal 12 3 2 4 2 8" xfId="12313" xr:uid="{00000000-0005-0000-0000-00009E2E0000}"/>
    <cellStyle name="Normal 12 3 2 4 3" xfId="12314" xr:uid="{00000000-0005-0000-0000-00009F2E0000}"/>
    <cellStyle name="Normal 12 3 2 4 3 2" xfId="12315" xr:uid="{00000000-0005-0000-0000-0000A02E0000}"/>
    <cellStyle name="Normal 12 3 2 4 3 2 2" xfId="12316" xr:uid="{00000000-0005-0000-0000-0000A12E0000}"/>
    <cellStyle name="Normal 12 3 2 4 3 2 3" xfId="12317" xr:uid="{00000000-0005-0000-0000-0000A22E0000}"/>
    <cellStyle name="Normal 12 3 2 4 3 2 4" xfId="12318" xr:uid="{00000000-0005-0000-0000-0000A32E0000}"/>
    <cellStyle name="Normal 12 3 2 4 3 2 5" xfId="12319" xr:uid="{00000000-0005-0000-0000-0000A42E0000}"/>
    <cellStyle name="Normal 12 3 2 4 3 3" xfId="12320" xr:uid="{00000000-0005-0000-0000-0000A52E0000}"/>
    <cellStyle name="Normal 12 3 2 4 3 4" xfId="12321" xr:uid="{00000000-0005-0000-0000-0000A62E0000}"/>
    <cellStyle name="Normal 12 3 2 4 3 5" xfId="12322" xr:uid="{00000000-0005-0000-0000-0000A72E0000}"/>
    <cellStyle name="Normal 12 3 2 4 3 6" xfId="12323" xr:uid="{00000000-0005-0000-0000-0000A82E0000}"/>
    <cellStyle name="Normal 12 3 2 4 3 7" xfId="12324" xr:uid="{00000000-0005-0000-0000-0000A92E0000}"/>
    <cellStyle name="Normal 12 3 2 4 3 8" xfId="12325" xr:uid="{00000000-0005-0000-0000-0000AA2E0000}"/>
    <cellStyle name="Normal 12 3 2 4 4" xfId="12326" xr:uid="{00000000-0005-0000-0000-0000AB2E0000}"/>
    <cellStyle name="Normal 12 3 2 4 4 2" xfId="12327" xr:uid="{00000000-0005-0000-0000-0000AC2E0000}"/>
    <cellStyle name="Normal 12 3 2 4 4 3" xfId="12328" xr:uid="{00000000-0005-0000-0000-0000AD2E0000}"/>
    <cellStyle name="Normal 12 3 2 4 4 4" xfId="12329" xr:uid="{00000000-0005-0000-0000-0000AE2E0000}"/>
    <cellStyle name="Normal 12 3 2 4 4 5" xfId="12330" xr:uid="{00000000-0005-0000-0000-0000AF2E0000}"/>
    <cellStyle name="Normal 12 3 2 4 5" xfId="12331" xr:uid="{00000000-0005-0000-0000-0000B02E0000}"/>
    <cellStyle name="Normal 12 3 2 4 6" xfId="12332" xr:uid="{00000000-0005-0000-0000-0000B12E0000}"/>
    <cellStyle name="Normal 12 3 2 4 7" xfId="12333" xr:uid="{00000000-0005-0000-0000-0000B22E0000}"/>
    <cellStyle name="Normal 12 3 2 4 8" xfId="12334" xr:uid="{00000000-0005-0000-0000-0000B32E0000}"/>
    <cellStyle name="Normal 12 3 2 4 9" xfId="12335" xr:uid="{00000000-0005-0000-0000-0000B42E0000}"/>
    <cellStyle name="Normal 12 3 2 5" xfId="12336" xr:uid="{00000000-0005-0000-0000-0000B52E0000}"/>
    <cellStyle name="Normal 12 3 2 5 2" xfId="12337" xr:uid="{00000000-0005-0000-0000-0000B62E0000}"/>
    <cellStyle name="Normal 12 3 2 5 2 2" xfId="12338" xr:uid="{00000000-0005-0000-0000-0000B72E0000}"/>
    <cellStyle name="Normal 12 3 2 5 2 3" xfId="12339" xr:uid="{00000000-0005-0000-0000-0000B82E0000}"/>
    <cellStyle name="Normal 12 3 2 5 2 4" xfId="12340" xr:uid="{00000000-0005-0000-0000-0000B92E0000}"/>
    <cellStyle name="Normal 12 3 2 5 2 5" xfId="12341" xr:uid="{00000000-0005-0000-0000-0000BA2E0000}"/>
    <cellStyle name="Normal 12 3 2 5 3" xfId="12342" xr:uid="{00000000-0005-0000-0000-0000BB2E0000}"/>
    <cellStyle name="Normal 12 3 2 5 4" xfId="12343" xr:uid="{00000000-0005-0000-0000-0000BC2E0000}"/>
    <cellStyle name="Normal 12 3 2 5 5" xfId="12344" xr:uid="{00000000-0005-0000-0000-0000BD2E0000}"/>
    <cellStyle name="Normal 12 3 2 5 6" xfId="12345" xr:uid="{00000000-0005-0000-0000-0000BE2E0000}"/>
    <cellStyle name="Normal 12 3 2 5 7" xfId="12346" xr:uid="{00000000-0005-0000-0000-0000BF2E0000}"/>
    <cellStyle name="Normal 12 3 2 5 8" xfId="12347" xr:uid="{00000000-0005-0000-0000-0000C02E0000}"/>
    <cellStyle name="Normal 12 3 2 6" xfId="12348" xr:uid="{00000000-0005-0000-0000-0000C12E0000}"/>
    <cellStyle name="Normal 12 3 2 6 2" xfId="12349" xr:uid="{00000000-0005-0000-0000-0000C22E0000}"/>
    <cellStyle name="Normal 12 3 2 6 2 2" xfId="12350" xr:uid="{00000000-0005-0000-0000-0000C32E0000}"/>
    <cellStyle name="Normal 12 3 2 6 2 3" xfId="12351" xr:uid="{00000000-0005-0000-0000-0000C42E0000}"/>
    <cellStyle name="Normal 12 3 2 6 2 4" xfId="12352" xr:uid="{00000000-0005-0000-0000-0000C52E0000}"/>
    <cellStyle name="Normal 12 3 2 6 2 5" xfId="12353" xr:uid="{00000000-0005-0000-0000-0000C62E0000}"/>
    <cellStyle name="Normal 12 3 2 6 3" xfId="12354" xr:uid="{00000000-0005-0000-0000-0000C72E0000}"/>
    <cellStyle name="Normal 12 3 2 6 4" xfId="12355" xr:uid="{00000000-0005-0000-0000-0000C82E0000}"/>
    <cellStyle name="Normal 12 3 2 6 5" xfId="12356" xr:uid="{00000000-0005-0000-0000-0000C92E0000}"/>
    <cellStyle name="Normal 12 3 2 6 6" xfId="12357" xr:uid="{00000000-0005-0000-0000-0000CA2E0000}"/>
    <cellStyle name="Normal 12 3 2 6 7" xfId="12358" xr:uid="{00000000-0005-0000-0000-0000CB2E0000}"/>
    <cellStyle name="Normal 12 3 2 6 8" xfId="12359" xr:uid="{00000000-0005-0000-0000-0000CC2E0000}"/>
    <cellStyle name="Normal 12 3 2 7" xfId="12360" xr:uid="{00000000-0005-0000-0000-0000CD2E0000}"/>
    <cellStyle name="Normal 12 3 2 7 2" xfId="12361" xr:uid="{00000000-0005-0000-0000-0000CE2E0000}"/>
    <cellStyle name="Normal 12 3 2 7 3" xfId="12362" xr:uid="{00000000-0005-0000-0000-0000CF2E0000}"/>
    <cellStyle name="Normal 12 3 2 7 4" xfId="12363" xr:uid="{00000000-0005-0000-0000-0000D02E0000}"/>
    <cellStyle name="Normal 12 3 2 7 5" xfId="12364" xr:uid="{00000000-0005-0000-0000-0000D12E0000}"/>
    <cellStyle name="Normal 12 3 2 8" xfId="12365" xr:uid="{00000000-0005-0000-0000-0000D22E0000}"/>
    <cellStyle name="Normal 12 3 2 9" xfId="12366" xr:uid="{00000000-0005-0000-0000-0000D32E0000}"/>
    <cellStyle name="Normal 12 3 20" xfId="12367" xr:uid="{00000000-0005-0000-0000-0000D42E0000}"/>
    <cellStyle name="Normal 12 3 3" xfId="12368" xr:uid="{00000000-0005-0000-0000-0000D52E0000}"/>
    <cellStyle name="Normal 12 3 3 10" xfId="12369" xr:uid="{00000000-0005-0000-0000-0000D62E0000}"/>
    <cellStyle name="Normal 12 3 3 11" xfId="12370" xr:uid="{00000000-0005-0000-0000-0000D72E0000}"/>
    <cellStyle name="Normal 12 3 3 12" xfId="12371" xr:uid="{00000000-0005-0000-0000-0000D82E0000}"/>
    <cellStyle name="Normal 12 3 3 13" xfId="12372" xr:uid="{00000000-0005-0000-0000-0000D92E0000}"/>
    <cellStyle name="Normal 12 3 3 2" xfId="12373" xr:uid="{00000000-0005-0000-0000-0000DA2E0000}"/>
    <cellStyle name="Normal 12 3 3 2 10" xfId="12374" xr:uid="{00000000-0005-0000-0000-0000DB2E0000}"/>
    <cellStyle name="Normal 12 3 3 2 11" xfId="12375" xr:uid="{00000000-0005-0000-0000-0000DC2E0000}"/>
    <cellStyle name="Normal 12 3 3 2 2" xfId="12376" xr:uid="{00000000-0005-0000-0000-0000DD2E0000}"/>
    <cellStyle name="Normal 12 3 3 2 2 10" xfId="12377" xr:uid="{00000000-0005-0000-0000-0000DE2E0000}"/>
    <cellStyle name="Normal 12 3 3 2 2 2" xfId="12378" xr:uid="{00000000-0005-0000-0000-0000DF2E0000}"/>
    <cellStyle name="Normal 12 3 3 2 2 2 2" xfId="12379" xr:uid="{00000000-0005-0000-0000-0000E02E0000}"/>
    <cellStyle name="Normal 12 3 3 2 2 2 2 2" xfId="12380" xr:uid="{00000000-0005-0000-0000-0000E12E0000}"/>
    <cellStyle name="Normal 12 3 3 2 2 2 2 3" xfId="12381" xr:uid="{00000000-0005-0000-0000-0000E22E0000}"/>
    <cellStyle name="Normal 12 3 3 2 2 2 2 4" xfId="12382" xr:uid="{00000000-0005-0000-0000-0000E32E0000}"/>
    <cellStyle name="Normal 12 3 3 2 2 2 2 5" xfId="12383" xr:uid="{00000000-0005-0000-0000-0000E42E0000}"/>
    <cellStyle name="Normal 12 3 3 2 2 2 3" xfId="12384" xr:uid="{00000000-0005-0000-0000-0000E52E0000}"/>
    <cellStyle name="Normal 12 3 3 2 2 2 4" xfId="12385" xr:uid="{00000000-0005-0000-0000-0000E62E0000}"/>
    <cellStyle name="Normal 12 3 3 2 2 2 5" xfId="12386" xr:uid="{00000000-0005-0000-0000-0000E72E0000}"/>
    <cellStyle name="Normal 12 3 3 2 2 2 6" xfId="12387" xr:uid="{00000000-0005-0000-0000-0000E82E0000}"/>
    <cellStyle name="Normal 12 3 3 2 2 2 7" xfId="12388" xr:uid="{00000000-0005-0000-0000-0000E92E0000}"/>
    <cellStyle name="Normal 12 3 3 2 2 2 8" xfId="12389" xr:uid="{00000000-0005-0000-0000-0000EA2E0000}"/>
    <cellStyle name="Normal 12 3 3 2 2 3" xfId="12390" xr:uid="{00000000-0005-0000-0000-0000EB2E0000}"/>
    <cellStyle name="Normal 12 3 3 2 2 3 2" xfId="12391" xr:uid="{00000000-0005-0000-0000-0000EC2E0000}"/>
    <cellStyle name="Normal 12 3 3 2 2 3 2 2" xfId="12392" xr:uid="{00000000-0005-0000-0000-0000ED2E0000}"/>
    <cellStyle name="Normal 12 3 3 2 2 3 2 3" xfId="12393" xr:uid="{00000000-0005-0000-0000-0000EE2E0000}"/>
    <cellStyle name="Normal 12 3 3 2 2 3 2 4" xfId="12394" xr:uid="{00000000-0005-0000-0000-0000EF2E0000}"/>
    <cellStyle name="Normal 12 3 3 2 2 3 2 5" xfId="12395" xr:uid="{00000000-0005-0000-0000-0000F02E0000}"/>
    <cellStyle name="Normal 12 3 3 2 2 3 3" xfId="12396" xr:uid="{00000000-0005-0000-0000-0000F12E0000}"/>
    <cellStyle name="Normal 12 3 3 2 2 3 4" xfId="12397" xr:uid="{00000000-0005-0000-0000-0000F22E0000}"/>
    <cellStyle name="Normal 12 3 3 2 2 3 5" xfId="12398" xr:uid="{00000000-0005-0000-0000-0000F32E0000}"/>
    <cellStyle name="Normal 12 3 3 2 2 3 6" xfId="12399" xr:uid="{00000000-0005-0000-0000-0000F42E0000}"/>
    <cellStyle name="Normal 12 3 3 2 2 3 7" xfId="12400" xr:uid="{00000000-0005-0000-0000-0000F52E0000}"/>
    <cellStyle name="Normal 12 3 3 2 2 3 8" xfId="12401" xr:uid="{00000000-0005-0000-0000-0000F62E0000}"/>
    <cellStyle name="Normal 12 3 3 2 2 4" xfId="12402" xr:uid="{00000000-0005-0000-0000-0000F72E0000}"/>
    <cellStyle name="Normal 12 3 3 2 2 4 2" xfId="12403" xr:uid="{00000000-0005-0000-0000-0000F82E0000}"/>
    <cellStyle name="Normal 12 3 3 2 2 4 3" xfId="12404" xr:uid="{00000000-0005-0000-0000-0000F92E0000}"/>
    <cellStyle name="Normal 12 3 3 2 2 4 4" xfId="12405" xr:uid="{00000000-0005-0000-0000-0000FA2E0000}"/>
    <cellStyle name="Normal 12 3 3 2 2 4 5" xfId="12406" xr:uid="{00000000-0005-0000-0000-0000FB2E0000}"/>
    <cellStyle name="Normal 12 3 3 2 2 5" xfId="12407" xr:uid="{00000000-0005-0000-0000-0000FC2E0000}"/>
    <cellStyle name="Normal 12 3 3 2 2 6" xfId="12408" xr:uid="{00000000-0005-0000-0000-0000FD2E0000}"/>
    <cellStyle name="Normal 12 3 3 2 2 7" xfId="12409" xr:uid="{00000000-0005-0000-0000-0000FE2E0000}"/>
    <cellStyle name="Normal 12 3 3 2 2 8" xfId="12410" xr:uid="{00000000-0005-0000-0000-0000FF2E0000}"/>
    <cellStyle name="Normal 12 3 3 2 2 9" xfId="12411" xr:uid="{00000000-0005-0000-0000-0000002F0000}"/>
    <cellStyle name="Normal 12 3 3 2 3" xfId="12412" xr:uid="{00000000-0005-0000-0000-0000012F0000}"/>
    <cellStyle name="Normal 12 3 3 2 3 2" xfId="12413" xr:uid="{00000000-0005-0000-0000-0000022F0000}"/>
    <cellStyle name="Normal 12 3 3 2 3 2 2" xfId="12414" xr:uid="{00000000-0005-0000-0000-0000032F0000}"/>
    <cellStyle name="Normal 12 3 3 2 3 2 3" xfId="12415" xr:uid="{00000000-0005-0000-0000-0000042F0000}"/>
    <cellStyle name="Normal 12 3 3 2 3 2 4" xfId="12416" xr:uid="{00000000-0005-0000-0000-0000052F0000}"/>
    <cellStyle name="Normal 12 3 3 2 3 2 5" xfId="12417" xr:uid="{00000000-0005-0000-0000-0000062F0000}"/>
    <cellStyle name="Normal 12 3 3 2 3 3" xfId="12418" xr:uid="{00000000-0005-0000-0000-0000072F0000}"/>
    <cellStyle name="Normal 12 3 3 2 3 4" xfId="12419" xr:uid="{00000000-0005-0000-0000-0000082F0000}"/>
    <cellStyle name="Normal 12 3 3 2 3 5" xfId="12420" xr:uid="{00000000-0005-0000-0000-0000092F0000}"/>
    <cellStyle name="Normal 12 3 3 2 3 6" xfId="12421" xr:uid="{00000000-0005-0000-0000-00000A2F0000}"/>
    <cellStyle name="Normal 12 3 3 2 3 7" xfId="12422" xr:uid="{00000000-0005-0000-0000-00000B2F0000}"/>
    <cellStyle name="Normal 12 3 3 2 3 8" xfId="12423" xr:uid="{00000000-0005-0000-0000-00000C2F0000}"/>
    <cellStyle name="Normal 12 3 3 2 4" xfId="12424" xr:uid="{00000000-0005-0000-0000-00000D2F0000}"/>
    <cellStyle name="Normal 12 3 3 2 4 2" xfId="12425" xr:uid="{00000000-0005-0000-0000-00000E2F0000}"/>
    <cellStyle name="Normal 12 3 3 2 4 2 2" xfId="12426" xr:uid="{00000000-0005-0000-0000-00000F2F0000}"/>
    <cellStyle name="Normal 12 3 3 2 4 2 3" xfId="12427" xr:uid="{00000000-0005-0000-0000-0000102F0000}"/>
    <cellStyle name="Normal 12 3 3 2 4 2 4" xfId="12428" xr:uid="{00000000-0005-0000-0000-0000112F0000}"/>
    <cellStyle name="Normal 12 3 3 2 4 2 5" xfId="12429" xr:uid="{00000000-0005-0000-0000-0000122F0000}"/>
    <cellStyle name="Normal 12 3 3 2 4 3" xfId="12430" xr:uid="{00000000-0005-0000-0000-0000132F0000}"/>
    <cellStyle name="Normal 12 3 3 2 4 4" xfId="12431" xr:uid="{00000000-0005-0000-0000-0000142F0000}"/>
    <cellStyle name="Normal 12 3 3 2 4 5" xfId="12432" xr:uid="{00000000-0005-0000-0000-0000152F0000}"/>
    <cellStyle name="Normal 12 3 3 2 4 6" xfId="12433" xr:uid="{00000000-0005-0000-0000-0000162F0000}"/>
    <cellStyle name="Normal 12 3 3 2 4 7" xfId="12434" xr:uid="{00000000-0005-0000-0000-0000172F0000}"/>
    <cellStyle name="Normal 12 3 3 2 4 8" xfId="12435" xr:uid="{00000000-0005-0000-0000-0000182F0000}"/>
    <cellStyle name="Normal 12 3 3 2 5" xfId="12436" xr:uid="{00000000-0005-0000-0000-0000192F0000}"/>
    <cellStyle name="Normal 12 3 3 2 5 2" xfId="12437" xr:uid="{00000000-0005-0000-0000-00001A2F0000}"/>
    <cellStyle name="Normal 12 3 3 2 5 3" xfId="12438" xr:uid="{00000000-0005-0000-0000-00001B2F0000}"/>
    <cellStyle name="Normal 12 3 3 2 5 4" xfId="12439" xr:uid="{00000000-0005-0000-0000-00001C2F0000}"/>
    <cellStyle name="Normal 12 3 3 2 5 5" xfId="12440" xr:uid="{00000000-0005-0000-0000-00001D2F0000}"/>
    <cellStyle name="Normal 12 3 3 2 6" xfId="12441" xr:uid="{00000000-0005-0000-0000-00001E2F0000}"/>
    <cellStyle name="Normal 12 3 3 2 7" xfId="12442" xr:uid="{00000000-0005-0000-0000-00001F2F0000}"/>
    <cellStyle name="Normal 12 3 3 2 8" xfId="12443" xr:uid="{00000000-0005-0000-0000-0000202F0000}"/>
    <cellStyle name="Normal 12 3 3 2 9" xfId="12444" xr:uid="{00000000-0005-0000-0000-0000212F0000}"/>
    <cellStyle name="Normal 12 3 3 3" xfId="12445" xr:uid="{00000000-0005-0000-0000-0000222F0000}"/>
    <cellStyle name="Normal 12 3 3 3 10" xfId="12446" xr:uid="{00000000-0005-0000-0000-0000232F0000}"/>
    <cellStyle name="Normal 12 3 3 3 11" xfId="12447" xr:uid="{00000000-0005-0000-0000-0000242F0000}"/>
    <cellStyle name="Normal 12 3 3 3 2" xfId="12448" xr:uid="{00000000-0005-0000-0000-0000252F0000}"/>
    <cellStyle name="Normal 12 3 3 3 2 10" xfId="12449" xr:uid="{00000000-0005-0000-0000-0000262F0000}"/>
    <cellStyle name="Normal 12 3 3 3 2 2" xfId="12450" xr:uid="{00000000-0005-0000-0000-0000272F0000}"/>
    <cellStyle name="Normal 12 3 3 3 2 2 2" xfId="12451" xr:uid="{00000000-0005-0000-0000-0000282F0000}"/>
    <cellStyle name="Normal 12 3 3 3 2 2 2 2" xfId="12452" xr:uid="{00000000-0005-0000-0000-0000292F0000}"/>
    <cellStyle name="Normal 12 3 3 3 2 2 2 3" xfId="12453" xr:uid="{00000000-0005-0000-0000-00002A2F0000}"/>
    <cellStyle name="Normal 12 3 3 3 2 2 2 4" xfId="12454" xr:uid="{00000000-0005-0000-0000-00002B2F0000}"/>
    <cellStyle name="Normal 12 3 3 3 2 2 2 5" xfId="12455" xr:uid="{00000000-0005-0000-0000-00002C2F0000}"/>
    <cellStyle name="Normal 12 3 3 3 2 2 3" xfId="12456" xr:uid="{00000000-0005-0000-0000-00002D2F0000}"/>
    <cellStyle name="Normal 12 3 3 3 2 2 4" xfId="12457" xr:uid="{00000000-0005-0000-0000-00002E2F0000}"/>
    <cellStyle name="Normal 12 3 3 3 2 2 5" xfId="12458" xr:uid="{00000000-0005-0000-0000-00002F2F0000}"/>
    <cellStyle name="Normal 12 3 3 3 2 2 6" xfId="12459" xr:uid="{00000000-0005-0000-0000-0000302F0000}"/>
    <cellStyle name="Normal 12 3 3 3 2 2 7" xfId="12460" xr:uid="{00000000-0005-0000-0000-0000312F0000}"/>
    <cellStyle name="Normal 12 3 3 3 2 2 8" xfId="12461" xr:uid="{00000000-0005-0000-0000-0000322F0000}"/>
    <cellStyle name="Normal 12 3 3 3 2 3" xfId="12462" xr:uid="{00000000-0005-0000-0000-0000332F0000}"/>
    <cellStyle name="Normal 12 3 3 3 2 3 2" xfId="12463" xr:uid="{00000000-0005-0000-0000-0000342F0000}"/>
    <cellStyle name="Normal 12 3 3 3 2 3 2 2" xfId="12464" xr:uid="{00000000-0005-0000-0000-0000352F0000}"/>
    <cellStyle name="Normal 12 3 3 3 2 3 2 3" xfId="12465" xr:uid="{00000000-0005-0000-0000-0000362F0000}"/>
    <cellStyle name="Normal 12 3 3 3 2 3 2 4" xfId="12466" xr:uid="{00000000-0005-0000-0000-0000372F0000}"/>
    <cellStyle name="Normal 12 3 3 3 2 3 2 5" xfId="12467" xr:uid="{00000000-0005-0000-0000-0000382F0000}"/>
    <cellStyle name="Normal 12 3 3 3 2 3 3" xfId="12468" xr:uid="{00000000-0005-0000-0000-0000392F0000}"/>
    <cellStyle name="Normal 12 3 3 3 2 3 4" xfId="12469" xr:uid="{00000000-0005-0000-0000-00003A2F0000}"/>
    <cellStyle name="Normal 12 3 3 3 2 3 5" xfId="12470" xr:uid="{00000000-0005-0000-0000-00003B2F0000}"/>
    <cellStyle name="Normal 12 3 3 3 2 3 6" xfId="12471" xr:uid="{00000000-0005-0000-0000-00003C2F0000}"/>
    <cellStyle name="Normal 12 3 3 3 2 3 7" xfId="12472" xr:uid="{00000000-0005-0000-0000-00003D2F0000}"/>
    <cellStyle name="Normal 12 3 3 3 2 3 8" xfId="12473" xr:uid="{00000000-0005-0000-0000-00003E2F0000}"/>
    <cellStyle name="Normal 12 3 3 3 2 4" xfId="12474" xr:uid="{00000000-0005-0000-0000-00003F2F0000}"/>
    <cellStyle name="Normal 12 3 3 3 2 4 2" xfId="12475" xr:uid="{00000000-0005-0000-0000-0000402F0000}"/>
    <cellStyle name="Normal 12 3 3 3 2 4 3" xfId="12476" xr:uid="{00000000-0005-0000-0000-0000412F0000}"/>
    <cellStyle name="Normal 12 3 3 3 2 4 4" xfId="12477" xr:uid="{00000000-0005-0000-0000-0000422F0000}"/>
    <cellStyle name="Normal 12 3 3 3 2 4 5" xfId="12478" xr:uid="{00000000-0005-0000-0000-0000432F0000}"/>
    <cellStyle name="Normal 12 3 3 3 2 5" xfId="12479" xr:uid="{00000000-0005-0000-0000-0000442F0000}"/>
    <cellStyle name="Normal 12 3 3 3 2 6" xfId="12480" xr:uid="{00000000-0005-0000-0000-0000452F0000}"/>
    <cellStyle name="Normal 12 3 3 3 2 7" xfId="12481" xr:uid="{00000000-0005-0000-0000-0000462F0000}"/>
    <cellStyle name="Normal 12 3 3 3 2 8" xfId="12482" xr:uid="{00000000-0005-0000-0000-0000472F0000}"/>
    <cellStyle name="Normal 12 3 3 3 2 9" xfId="12483" xr:uid="{00000000-0005-0000-0000-0000482F0000}"/>
    <cellStyle name="Normal 12 3 3 3 3" xfId="12484" xr:uid="{00000000-0005-0000-0000-0000492F0000}"/>
    <cellStyle name="Normal 12 3 3 3 3 2" xfId="12485" xr:uid="{00000000-0005-0000-0000-00004A2F0000}"/>
    <cellStyle name="Normal 12 3 3 3 3 2 2" xfId="12486" xr:uid="{00000000-0005-0000-0000-00004B2F0000}"/>
    <cellStyle name="Normal 12 3 3 3 3 2 3" xfId="12487" xr:uid="{00000000-0005-0000-0000-00004C2F0000}"/>
    <cellStyle name="Normal 12 3 3 3 3 2 4" xfId="12488" xr:uid="{00000000-0005-0000-0000-00004D2F0000}"/>
    <cellStyle name="Normal 12 3 3 3 3 2 5" xfId="12489" xr:uid="{00000000-0005-0000-0000-00004E2F0000}"/>
    <cellStyle name="Normal 12 3 3 3 3 3" xfId="12490" xr:uid="{00000000-0005-0000-0000-00004F2F0000}"/>
    <cellStyle name="Normal 12 3 3 3 3 4" xfId="12491" xr:uid="{00000000-0005-0000-0000-0000502F0000}"/>
    <cellStyle name="Normal 12 3 3 3 3 5" xfId="12492" xr:uid="{00000000-0005-0000-0000-0000512F0000}"/>
    <cellStyle name="Normal 12 3 3 3 3 6" xfId="12493" xr:uid="{00000000-0005-0000-0000-0000522F0000}"/>
    <cellStyle name="Normal 12 3 3 3 3 7" xfId="12494" xr:uid="{00000000-0005-0000-0000-0000532F0000}"/>
    <cellStyle name="Normal 12 3 3 3 3 8" xfId="12495" xr:uid="{00000000-0005-0000-0000-0000542F0000}"/>
    <cellStyle name="Normal 12 3 3 3 4" xfId="12496" xr:uid="{00000000-0005-0000-0000-0000552F0000}"/>
    <cellStyle name="Normal 12 3 3 3 4 2" xfId="12497" xr:uid="{00000000-0005-0000-0000-0000562F0000}"/>
    <cellStyle name="Normal 12 3 3 3 4 2 2" xfId="12498" xr:uid="{00000000-0005-0000-0000-0000572F0000}"/>
    <cellStyle name="Normal 12 3 3 3 4 2 3" xfId="12499" xr:uid="{00000000-0005-0000-0000-0000582F0000}"/>
    <cellStyle name="Normal 12 3 3 3 4 2 4" xfId="12500" xr:uid="{00000000-0005-0000-0000-0000592F0000}"/>
    <cellStyle name="Normal 12 3 3 3 4 2 5" xfId="12501" xr:uid="{00000000-0005-0000-0000-00005A2F0000}"/>
    <cellStyle name="Normal 12 3 3 3 4 3" xfId="12502" xr:uid="{00000000-0005-0000-0000-00005B2F0000}"/>
    <cellStyle name="Normal 12 3 3 3 4 4" xfId="12503" xr:uid="{00000000-0005-0000-0000-00005C2F0000}"/>
    <cellStyle name="Normal 12 3 3 3 4 5" xfId="12504" xr:uid="{00000000-0005-0000-0000-00005D2F0000}"/>
    <cellStyle name="Normal 12 3 3 3 4 6" xfId="12505" xr:uid="{00000000-0005-0000-0000-00005E2F0000}"/>
    <cellStyle name="Normal 12 3 3 3 4 7" xfId="12506" xr:uid="{00000000-0005-0000-0000-00005F2F0000}"/>
    <cellStyle name="Normal 12 3 3 3 4 8" xfId="12507" xr:uid="{00000000-0005-0000-0000-0000602F0000}"/>
    <cellStyle name="Normal 12 3 3 3 5" xfId="12508" xr:uid="{00000000-0005-0000-0000-0000612F0000}"/>
    <cellStyle name="Normal 12 3 3 3 5 2" xfId="12509" xr:uid="{00000000-0005-0000-0000-0000622F0000}"/>
    <cellStyle name="Normal 12 3 3 3 5 3" xfId="12510" xr:uid="{00000000-0005-0000-0000-0000632F0000}"/>
    <cellStyle name="Normal 12 3 3 3 5 4" xfId="12511" xr:uid="{00000000-0005-0000-0000-0000642F0000}"/>
    <cellStyle name="Normal 12 3 3 3 5 5" xfId="12512" xr:uid="{00000000-0005-0000-0000-0000652F0000}"/>
    <cellStyle name="Normal 12 3 3 3 6" xfId="12513" xr:uid="{00000000-0005-0000-0000-0000662F0000}"/>
    <cellStyle name="Normal 12 3 3 3 7" xfId="12514" xr:uid="{00000000-0005-0000-0000-0000672F0000}"/>
    <cellStyle name="Normal 12 3 3 3 8" xfId="12515" xr:uid="{00000000-0005-0000-0000-0000682F0000}"/>
    <cellStyle name="Normal 12 3 3 3 9" xfId="12516" xr:uid="{00000000-0005-0000-0000-0000692F0000}"/>
    <cellStyle name="Normal 12 3 3 4" xfId="12517" xr:uid="{00000000-0005-0000-0000-00006A2F0000}"/>
    <cellStyle name="Normal 12 3 3 4 10" xfId="12518" xr:uid="{00000000-0005-0000-0000-00006B2F0000}"/>
    <cellStyle name="Normal 12 3 3 4 2" xfId="12519" xr:uid="{00000000-0005-0000-0000-00006C2F0000}"/>
    <cellStyle name="Normal 12 3 3 4 2 2" xfId="12520" xr:uid="{00000000-0005-0000-0000-00006D2F0000}"/>
    <cellStyle name="Normal 12 3 3 4 2 2 2" xfId="12521" xr:uid="{00000000-0005-0000-0000-00006E2F0000}"/>
    <cellStyle name="Normal 12 3 3 4 2 2 3" xfId="12522" xr:uid="{00000000-0005-0000-0000-00006F2F0000}"/>
    <cellStyle name="Normal 12 3 3 4 2 2 4" xfId="12523" xr:uid="{00000000-0005-0000-0000-0000702F0000}"/>
    <cellStyle name="Normal 12 3 3 4 2 2 5" xfId="12524" xr:uid="{00000000-0005-0000-0000-0000712F0000}"/>
    <cellStyle name="Normal 12 3 3 4 2 3" xfId="12525" xr:uid="{00000000-0005-0000-0000-0000722F0000}"/>
    <cellStyle name="Normal 12 3 3 4 2 4" xfId="12526" xr:uid="{00000000-0005-0000-0000-0000732F0000}"/>
    <cellStyle name="Normal 12 3 3 4 2 5" xfId="12527" xr:uid="{00000000-0005-0000-0000-0000742F0000}"/>
    <cellStyle name="Normal 12 3 3 4 2 6" xfId="12528" xr:uid="{00000000-0005-0000-0000-0000752F0000}"/>
    <cellStyle name="Normal 12 3 3 4 2 7" xfId="12529" xr:uid="{00000000-0005-0000-0000-0000762F0000}"/>
    <cellStyle name="Normal 12 3 3 4 2 8" xfId="12530" xr:uid="{00000000-0005-0000-0000-0000772F0000}"/>
    <cellStyle name="Normal 12 3 3 4 3" xfId="12531" xr:uid="{00000000-0005-0000-0000-0000782F0000}"/>
    <cellStyle name="Normal 12 3 3 4 3 2" xfId="12532" xr:uid="{00000000-0005-0000-0000-0000792F0000}"/>
    <cellStyle name="Normal 12 3 3 4 3 2 2" xfId="12533" xr:uid="{00000000-0005-0000-0000-00007A2F0000}"/>
    <cellStyle name="Normal 12 3 3 4 3 2 3" xfId="12534" xr:uid="{00000000-0005-0000-0000-00007B2F0000}"/>
    <cellStyle name="Normal 12 3 3 4 3 2 4" xfId="12535" xr:uid="{00000000-0005-0000-0000-00007C2F0000}"/>
    <cellStyle name="Normal 12 3 3 4 3 2 5" xfId="12536" xr:uid="{00000000-0005-0000-0000-00007D2F0000}"/>
    <cellStyle name="Normal 12 3 3 4 3 3" xfId="12537" xr:uid="{00000000-0005-0000-0000-00007E2F0000}"/>
    <cellStyle name="Normal 12 3 3 4 3 4" xfId="12538" xr:uid="{00000000-0005-0000-0000-00007F2F0000}"/>
    <cellStyle name="Normal 12 3 3 4 3 5" xfId="12539" xr:uid="{00000000-0005-0000-0000-0000802F0000}"/>
    <cellStyle name="Normal 12 3 3 4 3 6" xfId="12540" xr:uid="{00000000-0005-0000-0000-0000812F0000}"/>
    <cellStyle name="Normal 12 3 3 4 3 7" xfId="12541" xr:uid="{00000000-0005-0000-0000-0000822F0000}"/>
    <cellStyle name="Normal 12 3 3 4 3 8" xfId="12542" xr:uid="{00000000-0005-0000-0000-0000832F0000}"/>
    <cellStyle name="Normal 12 3 3 4 4" xfId="12543" xr:uid="{00000000-0005-0000-0000-0000842F0000}"/>
    <cellStyle name="Normal 12 3 3 4 4 2" xfId="12544" xr:uid="{00000000-0005-0000-0000-0000852F0000}"/>
    <cellStyle name="Normal 12 3 3 4 4 3" xfId="12545" xr:uid="{00000000-0005-0000-0000-0000862F0000}"/>
    <cellStyle name="Normal 12 3 3 4 4 4" xfId="12546" xr:uid="{00000000-0005-0000-0000-0000872F0000}"/>
    <cellStyle name="Normal 12 3 3 4 4 5" xfId="12547" xr:uid="{00000000-0005-0000-0000-0000882F0000}"/>
    <cellStyle name="Normal 12 3 3 4 5" xfId="12548" xr:uid="{00000000-0005-0000-0000-0000892F0000}"/>
    <cellStyle name="Normal 12 3 3 4 6" xfId="12549" xr:uid="{00000000-0005-0000-0000-00008A2F0000}"/>
    <cellStyle name="Normal 12 3 3 4 7" xfId="12550" xr:uid="{00000000-0005-0000-0000-00008B2F0000}"/>
    <cellStyle name="Normal 12 3 3 4 8" xfId="12551" xr:uid="{00000000-0005-0000-0000-00008C2F0000}"/>
    <cellStyle name="Normal 12 3 3 4 9" xfId="12552" xr:uid="{00000000-0005-0000-0000-00008D2F0000}"/>
    <cellStyle name="Normal 12 3 3 5" xfId="12553" xr:uid="{00000000-0005-0000-0000-00008E2F0000}"/>
    <cellStyle name="Normal 12 3 3 5 2" xfId="12554" xr:uid="{00000000-0005-0000-0000-00008F2F0000}"/>
    <cellStyle name="Normal 12 3 3 5 2 2" xfId="12555" xr:uid="{00000000-0005-0000-0000-0000902F0000}"/>
    <cellStyle name="Normal 12 3 3 5 2 3" xfId="12556" xr:uid="{00000000-0005-0000-0000-0000912F0000}"/>
    <cellStyle name="Normal 12 3 3 5 2 4" xfId="12557" xr:uid="{00000000-0005-0000-0000-0000922F0000}"/>
    <cellStyle name="Normal 12 3 3 5 2 5" xfId="12558" xr:uid="{00000000-0005-0000-0000-0000932F0000}"/>
    <cellStyle name="Normal 12 3 3 5 3" xfId="12559" xr:uid="{00000000-0005-0000-0000-0000942F0000}"/>
    <cellStyle name="Normal 12 3 3 5 4" xfId="12560" xr:uid="{00000000-0005-0000-0000-0000952F0000}"/>
    <cellStyle name="Normal 12 3 3 5 5" xfId="12561" xr:uid="{00000000-0005-0000-0000-0000962F0000}"/>
    <cellStyle name="Normal 12 3 3 5 6" xfId="12562" xr:uid="{00000000-0005-0000-0000-0000972F0000}"/>
    <cellStyle name="Normal 12 3 3 5 7" xfId="12563" xr:uid="{00000000-0005-0000-0000-0000982F0000}"/>
    <cellStyle name="Normal 12 3 3 5 8" xfId="12564" xr:uid="{00000000-0005-0000-0000-0000992F0000}"/>
    <cellStyle name="Normal 12 3 3 6" xfId="12565" xr:uid="{00000000-0005-0000-0000-00009A2F0000}"/>
    <cellStyle name="Normal 12 3 3 6 2" xfId="12566" xr:uid="{00000000-0005-0000-0000-00009B2F0000}"/>
    <cellStyle name="Normal 12 3 3 6 2 2" xfId="12567" xr:uid="{00000000-0005-0000-0000-00009C2F0000}"/>
    <cellStyle name="Normal 12 3 3 6 2 3" xfId="12568" xr:uid="{00000000-0005-0000-0000-00009D2F0000}"/>
    <cellStyle name="Normal 12 3 3 6 2 4" xfId="12569" xr:uid="{00000000-0005-0000-0000-00009E2F0000}"/>
    <cellStyle name="Normal 12 3 3 6 2 5" xfId="12570" xr:uid="{00000000-0005-0000-0000-00009F2F0000}"/>
    <cellStyle name="Normal 12 3 3 6 3" xfId="12571" xr:uid="{00000000-0005-0000-0000-0000A02F0000}"/>
    <cellStyle name="Normal 12 3 3 6 4" xfId="12572" xr:uid="{00000000-0005-0000-0000-0000A12F0000}"/>
    <cellStyle name="Normal 12 3 3 6 5" xfId="12573" xr:uid="{00000000-0005-0000-0000-0000A22F0000}"/>
    <cellStyle name="Normal 12 3 3 6 6" xfId="12574" xr:uid="{00000000-0005-0000-0000-0000A32F0000}"/>
    <cellStyle name="Normal 12 3 3 6 7" xfId="12575" xr:uid="{00000000-0005-0000-0000-0000A42F0000}"/>
    <cellStyle name="Normal 12 3 3 6 8" xfId="12576" xr:uid="{00000000-0005-0000-0000-0000A52F0000}"/>
    <cellStyle name="Normal 12 3 3 7" xfId="12577" xr:uid="{00000000-0005-0000-0000-0000A62F0000}"/>
    <cellStyle name="Normal 12 3 3 7 2" xfId="12578" xr:uid="{00000000-0005-0000-0000-0000A72F0000}"/>
    <cellStyle name="Normal 12 3 3 7 3" xfId="12579" xr:uid="{00000000-0005-0000-0000-0000A82F0000}"/>
    <cellStyle name="Normal 12 3 3 7 4" xfId="12580" xr:uid="{00000000-0005-0000-0000-0000A92F0000}"/>
    <cellStyle name="Normal 12 3 3 7 5" xfId="12581" xr:uid="{00000000-0005-0000-0000-0000AA2F0000}"/>
    <cellStyle name="Normal 12 3 3 8" xfId="12582" xr:uid="{00000000-0005-0000-0000-0000AB2F0000}"/>
    <cellStyle name="Normal 12 3 3 9" xfId="12583" xr:uid="{00000000-0005-0000-0000-0000AC2F0000}"/>
    <cellStyle name="Normal 12 3 4" xfId="12584" xr:uid="{00000000-0005-0000-0000-0000AD2F0000}"/>
    <cellStyle name="Normal 12 3 4 10" xfId="12585" xr:uid="{00000000-0005-0000-0000-0000AE2F0000}"/>
    <cellStyle name="Normal 12 3 4 11" xfId="12586" xr:uid="{00000000-0005-0000-0000-0000AF2F0000}"/>
    <cellStyle name="Normal 12 3 4 12" xfId="12587" xr:uid="{00000000-0005-0000-0000-0000B02F0000}"/>
    <cellStyle name="Normal 12 3 4 13" xfId="12588" xr:uid="{00000000-0005-0000-0000-0000B12F0000}"/>
    <cellStyle name="Normal 12 3 4 2" xfId="12589" xr:uid="{00000000-0005-0000-0000-0000B22F0000}"/>
    <cellStyle name="Normal 12 3 4 2 10" xfId="12590" xr:uid="{00000000-0005-0000-0000-0000B32F0000}"/>
    <cellStyle name="Normal 12 3 4 2 11" xfId="12591" xr:uid="{00000000-0005-0000-0000-0000B42F0000}"/>
    <cellStyle name="Normal 12 3 4 2 2" xfId="12592" xr:uid="{00000000-0005-0000-0000-0000B52F0000}"/>
    <cellStyle name="Normal 12 3 4 2 2 10" xfId="12593" xr:uid="{00000000-0005-0000-0000-0000B62F0000}"/>
    <cellStyle name="Normal 12 3 4 2 2 2" xfId="12594" xr:uid="{00000000-0005-0000-0000-0000B72F0000}"/>
    <cellStyle name="Normal 12 3 4 2 2 2 2" xfId="12595" xr:uid="{00000000-0005-0000-0000-0000B82F0000}"/>
    <cellStyle name="Normal 12 3 4 2 2 2 2 2" xfId="12596" xr:uid="{00000000-0005-0000-0000-0000B92F0000}"/>
    <cellStyle name="Normal 12 3 4 2 2 2 2 3" xfId="12597" xr:uid="{00000000-0005-0000-0000-0000BA2F0000}"/>
    <cellStyle name="Normal 12 3 4 2 2 2 2 4" xfId="12598" xr:uid="{00000000-0005-0000-0000-0000BB2F0000}"/>
    <cellStyle name="Normal 12 3 4 2 2 2 2 5" xfId="12599" xr:uid="{00000000-0005-0000-0000-0000BC2F0000}"/>
    <cellStyle name="Normal 12 3 4 2 2 2 3" xfId="12600" xr:uid="{00000000-0005-0000-0000-0000BD2F0000}"/>
    <cellStyle name="Normal 12 3 4 2 2 2 4" xfId="12601" xr:uid="{00000000-0005-0000-0000-0000BE2F0000}"/>
    <cellStyle name="Normal 12 3 4 2 2 2 5" xfId="12602" xr:uid="{00000000-0005-0000-0000-0000BF2F0000}"/>
    <cellStyle name="Normal 12 3 4 2 2 2 6" xfId="12603" xr:uid="{00000000-0005-0000-0000-0000C02F0000}"/>
    <cellStyle name="Normal 12 3 4 2 2 2 7" xfId="12604" xr:uid="{00000000-0005-0000-0000-0000C12F0000}"/>
    <cellStyle name="Normal 12 3 4 2 2 2 8" xfId="12605" xr:uid="{00000000-0005-0000-0000-0000C22F0000}"/>
    <cellStyle name="Normal 12 3 4 2 2 3" xfId="12606" xr:uid="{00000000-0005-0000-0000-0000C32F0000}"/>
    <cellStyle name="Normal 12 3 4 2 2 3 2" xfId="12607" xr:uid="{00000000-0005-0000-0000-0000C42F0000}"/>
    <cellStyle name="Normal 12 3 4 2 2 3 2 2" xfId="12608" xr:uid="{00000000-0005-0000-0000-0000C52F0000}"/>
    <cellStyle name="Normal 12 3 4 2 2 3 2 3" xfId="12609" xr:uid="{00000000-0005-0000-0000-0000C62F0000}"/>
    <cellStyle name="Normal 12 3 4 2 2 3 2 4" xfId="12610" xr:uid="{00000000-0005-0000-0000-0000C72F0000}"/>
    <cellStyle name="Normal 12 3 4 2 2 3 2 5" xfId="12611" xr:uid="{00000000-0005-0000-0000-0000C82F0000}"/>
    <cellStyle name="Normal 12 3 4 2 2 3 3" xfId="12612" xr:uid="{00000000-0005-0000-0000-0000C92F0000}"/>
    <cellStyle name="Normal 12 3 4 2 2 3 4" xfId="12613" xr:uid="{00000000-0005-0000-0000-0000CA2F0000}"/>
    <cellStyle name="Normal 12 3 4 2 2 3 5" xfId="12614" xr:uid="{00000000-0005-0000-0000-0000CB2F0000}"/>
    <cellStyle name="Normal 12 3 4 2 2 3 6" xfId="12615" xr:uid="{00000000-0005-0000-0000-0000CC2F0000}"/>
    <cellStyle name="Normal 12 3 4 2 2 3 7" xfId="12616" xr:uid="{00000000-0005-0000-0000-0000CD2F0000}"/>
    <cellStyle name="Normal 12 3 4 2 2 3 8" xfId="12617" xr:uid="{00000000-0005-0000-0000-0000CE2F0000}"/>
    <cellStyle name="Normal 12 3 4 2 2 4" xfId="12618" xr:uid="{00000000-0005-0000-0000-0000CF2F0000}"/>
    <cellStyle name="Normal 12 3 4 2 2 4 2" xfId="12619" xr:uid="{00000000-0005-0000-0000-0000D02F0000}"/>
    <cellStyle name="Normal 12 3 4 2 2 4 3" xfId="12620" xr:uid="{00000000-0005-0000-0000-0000D12F0000}"/>
    <cellStyle name="Normal 12 3 4 2 2 4 4" xfId="12621" xr:uid="{00000000-0005-0000-0000-0000D22F0000}"/>
    <cellStyle name="Normal 12 3 4 2 2 4 5" xfId="12622" xr:uid="{00000000-0005-0000-0000-0000D32F0000}"/>
    <cellStyle name="Normal 12 3 4 2 2 5" xfId="12623" xr:uid="{00000000-0005-0000-0000-0000D42F0000}"/>
    <cellStyle name="Normal 12 3 4 2 2 6" xfId="12624" xr:uid="{00000000-0005-0000-0000-0000D52F0000}"/>
    <cellStyle name="Normal 12 3 4 2 2 7" xfId="12625" xr:uid="{00000000-0005-0000-0000-0000D62F0000}"/>
    <cellStyle name="Normal 12 3 4 2 2 8" xfId="12626" xr:uid="{00000000-0005-0000-0000-0000D72F0000}"/>
    <cellStyle name="Normal 12 3 4 2 2 9" xfId="12627" xr:uid="{00000000-0005-0000-0000-0000D82F0000}"/>
    <cellStyle name="Normal 12 3 4 2 3" xfId="12628" xr:uid="{00000000-0005-0000-0000-0000D92F0000}"/>
    <cellStyle name="Normal 12 3 4 2 3 2" xfId="12629" xr:uid="{00000000-0005-0000-0000-0000DA2F0000}"/>
    <cellStyle name="Normal 12 3 4 2 3 2 2" xfId="12630" xr:uid="{00000000-0005-0000-0000-0000DB2F0000}"/>
    <cellStyle name="Normal 12 3 4 2 3 2 3" xfId="12631" xr:uid="{00000000-0005-0000-0000-0000DC2F0000}"/>
    <cellStyle name="Normal 12 3 4 2 3 2 4" xfId="12632" xr:uid="{00000000-0005-0000-0000-0000DD2F0000}"/>
    <cellStyle name="Normal 12 3 4 2 3 2 5" xfId="12633" xr:uid="{00000000-0005-0000-0000-0000DE2F0000}"/>
    <cellStyle name="Normal 12 3 4 2 3 3" xfId="12634" xr:uid="{00000000-0005-0000-0000-0000DF2F0000}"/>
    <cellStyle name="Normal 12 3 4 2 3 4" xfId="12635" xr:uid="{00000000-0005-0000-0000-0000E02F0000}"/>
    <cellStyle name="Normal 12 3 4 2 3 5" xfId="12636" xr:uid="{00000000-0005-0000-0000-0000E12F0000}"/>
    <cellStyle name="Normal 12 3 4 2 3 6" xfId="12637" xr:uid="{00000000-0005-0000-0000-0000E22F0000}"/>
    <cellStyle name="Normal 12 3 4 2 3 7" xfId="12638" xr:uid="{00000000-0005-0000-0000-0000E32F0000}"/>
    <cellStyle name="Normal 12 3 4 2 3 8" xfId="12639" xr:uid="{00000000-0005-0000-0000-0000E42F0000}"/>
    <cellStyle name="Normal 12 3 4 2 4" xfId="12640" xr:uid="{00000000-0005-0000-0000-0000E52F0000}"/>
    <cellStyle name="Normal 12 3 4 2 4 2" xfId="12641" xr:uid="{00000000-0005-0000-0000-0000E62F0000}"/>
    <cellStyle name="Normal 12 3 4 2 4 2 2" xfId="12642" xr:uid="{00000000-0005-0000-0000-0000E72F0000}"/>
    <cellStyle name="Normal 12 3 4 2 4 2 3" xfId="12643" xr:uid="{00000000-0005-0000-0000-0000E82F0000}"/>
    <cellStyle name="Normal 12 3 4 2 4 2 4" xfId="12644" xr:uid="{00000000-0005-0000-0000-0000E92F0000}"/>
    <cellStyle name="Normal 12 3 4 2 4 2 5" xfId="12645" xr:uid="{00000000-0005-0000-0000-0000EA2F0000}"/>
    <cellStyle name="Normal 12 3 4 2 4 3" xfId="12646" xr:uid="{00000000-0005-0000-0000-0000EB2F0000}"/>
    <cellStyle name="Normal 12 3 4 2 4 4" xfId="12647" xr:uid="{00000000-0005-0000-0000-0000EC2F0000}"/>
    <cellStyle name="Normal 12 3 4 2 4 5" xfId="12648" xr:uid="{00000000-0005-0000-0000-0000ED2F0000}"/>
    <cellStyle name="Normal 12 3 4 2 4 6" xfId="12649" xr:uid="{00000000-0005-0000-0000-0000EE2F0000}"/>
    <cellStyle name="Normal 12 3 4 2 4 7" xfId="12650" xr:uid="{00000000-0005-0000-0000-0000EF2F0000}"/>
    <cellStyle name="Normal 12 3 4 2 4 8" xfId="12651" xr:uid="{00000000-0005-0000-0000-0000F02F0000}"/>
    <cellStyle name="Normal 12 3 4 2 5" xfId="12652" xr:uid="{00000000-0005-0000-0000-0000F12F0000}"/>
    <cellStyle name="Normal 12 3 4 2 5 2" xfId="12653" xr:uid="{00000000-0005-0000-0000-0000F22F0000}"/>
    <cellStyle name="Normal 12 3 4 2 5 3" xfId="12654" xr:uid="{00000000-0005-0000-0000-0000F32F0000}"/>
    <cellStyle name="Normal 12 3 4 2 5 4" xfId="12655" xr:uid="{00000000-0005-0000-0000-0000F42F0000}"/>
    <cellStyle name="Normal 12 3 4 2 5 5" xfId="12656" xr:uid="{00000000-0005-0000-0000-0000F52F0000}"/>
    <cellStyle name="Normal 12 3 4 2 6" xfId="12657" xr:uid="{00000000-0005-0000-0000-0000F62F0000}"/>
    <cellStyle name="Normal 12 3 4 2 7" xfId="12658" xr:uid="{00000000-0005-0000-0000-0000F72F0000}"/>
    <cellStyle name="Normal 12 3 4 2 8" xfId="12659" xr:uid="{00000000-0005-0000-0000-0000F82F0000}"/>
    <cellStyle name="Normal 12 3 4 2 9" xfId="12660" xr:uid="{00000000-0005-0000-0000-0000F92F0000}"/>
    <cellStyle name="Normal 12 3 4 3" xfId="12661" xr:uid="{00000000-0005-0000-0000-0000FA2F0000}"/>
    <cellStyle name="Normal 12 3 4 3 10" xfId="12662" xr:uid="{00000000-0005-0000-0000-0000FB2F0000}"/>
    <cellStyle name="Normal 12 3 4 3 11" xfId="12663" xr:uid="{00000000-0005-0000-0000-0000FC2F0000}"/>
    <cellStyle name="Normal 12 3 4 3 2" xfId="12664" xr:uid="{00000000-0005-0000-0000-0000FD2F0000}"/>
    <cellStyle name="Normal 12 3 4 3 2 10" xfId="12665" xr:uid="{00000000-0005-0000-0000-0000FE2F0000}"/>
    <cellStyle name="Normal 12 3 4 3 2 2" xfId="12666" xr:uid="{00000000-0005-0000-0000-0000FF2F0000}"/>
    <cellStyle name="Normal 12 3 4 3 2 2 2" xfId="12667" xr:uid="{00000000-0005-0000-0000-000000300000}"/>
    <cellStyle name="Normal 12 3 4 3 2 2 2 2" xfId="12668" xr:uid="{00000000-0005-0000-0000-000001300000}"/>
    <cellStyle name="Normal 12 3 4 3 2 2 2 3" xfId="12669" xr:uid="{00000000-0005-0000-0000-000002300000}"/>
    <cellStyle name="Normal 12 3 4 3 2 2 2 4" xfId="12670" xr:uid="{00000000-0005-0000-0000-000003300000}"/>
    <cellStyle name="Normal 12 3 4 3 2 2 2 5" xfId="12671" xr:uid="{00000000-0005-0000-0000-000004300000}"/>
    <cellStyle name="Normal 12 3 4 3 2 2 3" xfId="12672" xr:uid="{00000000-0005-0000-0000-000005300000}"/>
    <cellStyle name="Normal 12 3 4 3 2 2 4" xfId="12673" xr:uid="{00000000-0005-0000-0000-000006300000}"/>
    <cellStyle name="Normal 12 3 4 3 2 2 5" xfId="12674" xr:uid="{00000000-0005-0000-0000-000007300000}"/>
    <cellStyle name="Normal 12 3 4 3 2 2 6" xfId="12675" xr:uid="{00000000-0005-0000-0000-000008300000}"/>
    <cellStyle name="Normal 12 3 4 3 2 2 7" xfId="12676" xr:uid="{00000000-0005-0000-0000-000009300000}"/>
    <cellStyle name="Normal 12 3 4 3 2 2 8" xfId="12677" xr:uid="{00000000-0005-0000-0000-00000A300000}"/>
    <cellStyle name="Normal 12 3 4 3 2 3" xfId="12678" xr:uid="{00000000-0005-0000-0000-00000B300000}"/>
    <cellStyle name="Normal 12 3 4 3 2 3 2" xfId="12679" xr:uid="{00000000-0005-0000-0000-00000C300000}"/>
    <cellStyle name="Normal 12 3 4 3 2 3 2 2" xfId="12680" xr:uid="{00000000-0005-0000-0000-00000D300000}"/>
    <cellStyle name="Normal 12 3 4 3 2 3 2 3" xfId="12681" xr:uid="{00000000-0005-0000-0000-00000E300000}"/>
    <cellStyle name="Normal 12 3 4 3 2 3 2 4" xfId="12682" xr:uid="{00000000-0005-0000-0000-00000F300000}"/>
    <cellStyle name="Normal 12 3 4 3 2 3 2 5" xfId="12683" xr:uid="{00000000-0005-0000-0000-000010300000}"/>
    <cellStyle name="Normal 12 3 4 3 2 3 3" xfId="12684" xr:uid="{00000000-0005-0000-0000-000011300000}"/>
    <cellStyle name="Normal 12 3 4 3 2 3 4" xfId="12685" xr:uid="{00000000-0005-0000-0000-000012300000}"/>
    <cellStyle name="Normal 12 3 4 3 2 3 5" xfId="12686" xr:uid="{00000000-0005-0000-0000-000013300000}"/>
    <cellStyle name="Normal 12 3 4 3 2 3 6" xfId="12687" xr:uid="{00000000-0005-0000-0000-000014300000}"/>
    <cellStyle name="Normal 12 3 4 3 2 3 7" xfId="12688" xr:uid="{00000000-0005-0000-0000-000015300000}"/>
    <cellStyle name="Normal 12 3 4 3 2 3 8" xfId="12689" xr:uid="{00000000-0005-0000-0000-000016300000}"/>
    <cellStyle name="Normal 12 3 4 3 2 4" xfId="12690" xr:uid="{00000000-0005-0000-0000-000017300000}"/>
    <cellStyle name="Normal 12 3 4 3 2 4 2" xfId="12691" xr:uid="{00000000-0005-0000-0000-000018300000}"/>
    <cellStyle name="Normal 12 3 4 3 2 4 3" xfId="12692" xr:uid="{00000000-0005-0000-0000-000019300000}"/>
    <cellStyle name="Normal 12 3 4 3 2 4 4" xfId="12693" xr:uid="{00000000-0005-0000-0000-00001A300000}"/>
    <cellStyle name="Normal 12 3 4 3 2 4 5" xfId="12694" xr:uid="{00000000-0005-0000-0000-00001B300000}"/>
    <cellStyle name="Normal 12 3 4 3 2 5" xfId="12695" xr:uid="{00000000-0005-0000-0000-00001C300000}"/>
    <cellStyle name="Normal 12 3 4 3 2 6" xfId="12696" xr:uid="{00000000-0005-0000-0000-00001D300000}"/>
    <cellStyle name="Normal 12 3 4 3 2 7" xfId="12697" xr:uid="{00000000-0005-0000-0000-00001E300000}"/>
    <cellStyle name="Normal 12 3 4 3 2 8" xfId="12698" xr:uid="{00000000-0005-0000-0000-00001F300000}"/>
    <cellStyle name="Normal 12 3 4 3 2 9" xfId="12699" xr:uid="{00000000-0005-0000-0000-000020300000}"/>
    <cellStyle name="Normal 12 3 4 3 3" xfId="12700" xr:uid="{00000000-0005-0000-0000-000021300000}"/>
    <cellStyle name="Normal 12 3 4 3 3 2" xfId="12701" xr:uid="{00000000-0005-0000-0000-000022300000}"/>
    <cellStyle name="Normal 12 3 4 3 3 2 2" xfId="12702" xr:uid="{00000000-0005-0000-0000-000023300000}"/>
    <cellStyle name="Normal 12 3 4 3 3 2 3" xfId="12703" xr:uid="{00000000-0005-0000-0000-000024300000}"/>
    <cellStyle name="Normal 12 3 4 3 3 2 4" xfId="12704" xr:uid="{00000000-0005-0000-0000-000025300000}"/>
    <cellStyle name="Normal 12 3 4 3 3 2 5" xfId="12705" xr:uid="{00000000-0005-0000-0000-000026300000}"/>
    <cellStyle name="Normal 12 3 4 3 3 3" xfId="12706" xr:uid="{00000000-0005-0000-0000-000027300000}"/>
    <cellStyle name="Normal 12 3 4 3 3 4" xfId="12707" xr:uid="{00000000-0005-0000-0000-000028300000}"/>
    <cellStyle name="Normal 12 3 4 3 3 5" xfId="12708" xr:uid="{00000000-0005-0000-0000-000029300000}"/>
    <cellStyle name="Normal 12 3 4 3 3 6" xfId="12709" xr:uid="{00000000-0005-0000-0000-00002A300000}"/>
    <cellStyle name="Normal 12 3 4 3 3 7" xfId="12710" xr:uid="{00000000-0005-0000-0000-00002B300000}"/>
    <cellStyle name="Normal 12 3 4 3 3 8" xfId="12711" xr:uid="{00000000-0005-0000-0000-00002C300000}"/>
    <cellStyle name="Normal 12 3 4 3 4" xfId="12712" xr:uid="{00000000-0005-0000-0000-00002D300000}"/>
    <cellStyle name="Normal 12 3 4 3 4 2" xfId="12713" xr:uid="{00000000-0005-0000-0000-00002E300000}"/>
    <cellStyle name="Normal 12 3 4 3 4 2 2" xfId="12714" xr:uid="{00000000-0005-0000-0000-00002F300000}"/>
    <cellStyle name="Normal 12 3 4 3 4 2 3" xfId="12715" xr:uid="{00000000-0005-0000-0000-000030300000}"/>
    <cellStyle name="Normal 12 3 4 3 4 2 4" xfId="12716" xr:uid="{00000000-0005-0000-0000-000031300000}"/>
    <cellStyle name="Normal 12 3 4 3 4 2 5" xfId="12717" xr:uid="{00000000-0005-0000-0000-000032300000}"/>
    <cellStyle name="Normal 12 3 4 3 4 3" xfId="12718" xr:uid="{00000000-0005-0000-0000-000033300000}"/>
    <cellStyle name="Normal 12 3 4 3 4 4" xfId="12719" xr:uid="{00000000-0005-0000-0000-000034300000}"/>
    <cellStyle name="Normal 12 3 4 3 4 5" xfId="12720" xr:uid="{00000000-0005-0000-0000-000035300000}"/>
    <cellStyle name="Normal 12 3 4 3 4 6" xfId="12721" xr:uid="{00000000-0005-0000-0000-000036300000}"/>
    <cellStyle name="Normal 12 3 4 3 4 7" xfId="12722" xr:uid="{00000000-0005-0000-0000-000037300000}"/>
    <cellStyle name="Normal 12 3 4 3 4 8" xfId="12723" xr:uid="{00000000-0005-0000-0000-000038300000}"/>
    <cellStyle name="Normal 12 3 4 3 5" xfId="12724" xr:uid="{00000000-0005-0000-0000-000039300000}"/>
    <cellStyle name="Normal 12 3 4 3 5 2" xfId="12725" xr:uid="{00000000-0005-0000-0000-00003A300000}"/>
    <cellStyle name="Normal 12 3 4 3 5 3" xfId="12726" xr:uid="{00000000-0005-0000-0000-00003B300000}"/>
    <cellStyle name="Normal 12 3 4 3 5 4" xfId="12727" xr:uid="{00000000-0005-0000-0000-00003C300000}"/>
    <cellStyle name="Normal 12 3 4 3 5 5" xfId="12728" xr:uid="{00000000-0005-0000-0000-00003D300000}"/>
    <cellStyle name="Normal 12 3 4 3 6" xfId="12729" xr:uid="{00000000-0005-0000-0000-00003E300000}"/>
    <cellStyle name="Normal 12 3 4 3 7" xfId="12730" xr:uid="{00000000-0005-0000-0000-00003F300000}"/>
    <cellStyle name="Normal 12 3 4 3 8" xfId="12731" xr:uid="{00000000-0005-0000-0000-000040300000}"/>
    <cellStyle name="Normal 12 3 4 3 9" xfId="12732" xr:uid="{00000000-0005-0000-0000-000041300000}"/>
    <cellStyle name="Normal 12 3 4 4" xfId="12733" xr:uid="{00000000-0005-0000-0000-000042300000}"/>
    <cellStyle name="Normal 12 3 4 4 10" xfId="12734" xr:uid="{00000000-0005-0000-0000-000043300000}"/>
    <cellStyle name="Normal 12 3 4 4 2" xfId="12735" xr:uid="{00000000-0005-0000-0000-000044300000}"/>
    <cellStyle name="Normal 12 3 4 4 2 2" xfId="12736" xr:uid="{00000000-0005-0000-0000-000045300000}"/>
    <cellStyle name="Normal 12 3 4 4 2 2 2" xfId="12737" xr:uid="{00000000-0005-0000-0000-000046300000}"/>
    <cellStyle name="Normal 12 3 4 4 2 2 3" xfId="12738" xr:uid="{00000000-0005-0000-0000-000047300000}"/>
    <cellStyle name="Normal 12 3 4 4 2 2 4" xfId="12739" xr:uid="{00000000-0005-0000-0000-000048300000}"/>
    <cellStyle name="Normal 12 3 4 4 2 2 5" xfId="12740" xr:uid="{00000000-0005-0000-0000-000049300000}"/>
    <cellStyle name="Normal 12 3 4 4 2 3" xfId="12741" xr:uid="{00000000-0005-0000-0000-00004A300000}"/>
    <cellStyle name="Normal 12 3 4 4 2 4" xfId="12742" xr:uid="{00000000-0005-0000-0000-00004B300000}"/>
    <cellStyle name="Normal 12 3 4 4 2 5" xfId="12743" xr:uid="{00000000-0005-0000-0000-00004C300000}"/>
    <cellStyle name="Normal 12 3 4 4 2 6" xfId="12744" xr:uid="{00000000-0005-0000-0000-00004D300000}"/>
    <cellStyle name="Normal 12 3 4 4 2 7" xfId="12745" xr:uid="{00000000-0005-0000-0000-00004E300000}"/>
    <cellStyle name="Normal 12 3 4 4 2 8" xfId="12746" xr:uid="{00000000-0005-0000-0000-00004F300000}"/>
    <cellStyle name="Normal 12 3 4 4 3" xfId="12747" xr:uid="{00000000-0005-0000-0000-000050300000}"/>
    <cellStyle name="Normal 12 3 4 4 3 2" xfId="12748" xr:uid="{00000000-0005-0000-0000-000051300000}"/>
    <cellStyle name="Normal 12 3 4 4 3 2 2" xfId="12749" xr:uid="{00000000-0005-0000-0000-000052300000}"/>
    <cellStyle name="Normal 12 3 4 4 3 2 3" xfId="12750" xr:uid="{00000000-0005-0000-0000-000053300000}"/>
    <cellStyle name="Normal 12 3 4 4 3 2 4" xfId="12751" xr:uid="{00000000-0005-0000-0000-000054300000}"/>
    <cellStyle name="Normal 12 3 4 4 3 2 5" xfId="12752" xr:uid="{00000000-0005-0000-0000-000055300000}"/>
    <cellStyle name="Normal 12 3 4 4 3 3" xfId="12753" xr:uid="{00000000-0005-0000-0000-000056300000}"/>
    <cellStyle name="Normal 12 3 4 4 3 4" xfId="12754" xr:uid="{00000000-0005-0000-0000-000057300000}"/>
    <cellStyle name="Normal 12 3 4 4 3 5" xfId="12755" xr:uid="{00000000-0005-0000-0000-000058300000}"/>
    <cellStyle name="Normal 12 3 4 4 3 6" xfId="12756" xr:uid="{00000000-0005-0000-0000-000059300000}"/>
    <cellStyle name="Normal 12 3 4 4 3 7" xfId="12757" xr:uid="{00000000-0005-0000-0000-00005A300000}"/>
    <cellStyle name="Normal 12 3 4 4 3 8" xfId="12758" xr:uid="{00000000-0005-0000-0000-00005B300000}"/>
    <cellStyle name="Normal 12 3 4 4 4" xfId="12759" xr:uid="{00000000-0005-0000-0000-00005C300000}"/>
    <cellStyle name="Normal 12 3 4 4 4 2" xfId="12760" xr:uid="{00000000-0005-0000-0000-00005D300000}"/>
    <cellStyle name="Normal 12 3 4 4 4 3" xfId="12761" xr:uid="{00000000-0005-0000-0000-00005E300000}"/>
    <cellStyle name="Normal 12 3 4 4 4 4" xfId="12762" xr:uid="{00000000-0005-0000-0000-00005F300000}"/>
    <cellStyle name="Normal 12 3 4 4 4 5" xfId="12763" xr:uid="{00000000-0005-0000-0000-000060300000}"/>
    <cellStyle name="Normal 12 3 4 4 5" xfId="12764" xr:uid="{00000000-0005-0000-0000-000061300000}"/>
    <cellStyle name="Normal 12 3 4 4 6" xfId="12765" xr:uid="{00000000-0005-0000-0000-000062300000}"/>
    <cellStyle name="Normal 12 3 4 4 7" xfId="12766" xr:uid="{00000000-0005-0000-0000-000063300000}"/>
    <cellStyle name="Normal 12 3 4 4 8" xfId="12767" xr:uid="{00000000-0005-0000-0000-000064300000}"/>
    <cellStyle name="Normal 12 3 4 4 9" xfId="12768" xr:uid="{00000000-0005-0000-0000-000065300000}"/>
    <cellStyle name="Normal 12 3 4 5" xfId="12769" xr:uid="{00000000-0005-0000-0000-000066300000}"/>
    <cellStyle name="Normal 12 3 4 5 2" xfId="12770" xr:uid="{00000000-0005-0000-0000-000067300000}"/>
    <cellStyle name="Normal 12 3 4 5 2 2" xfId="12771" xr:uid="{00000000-0005-0000-0000-000068300000}"/>
    <cellStyle name="Normal 12 3 4 5 2 3" xfId="12772" xr:uid="{00000000-0005-0000-0000-000069300000}"/>
    <cellStyle name="Normal 12 3 4 5 2 4" xfId="12773" xr:uid="{00000000-0005-0000-0000-00006A300000}"/>
    <cellStyle name="Normal 12 3 4 5 2 5" xfId="12774" xr:uid="{00000000-0005-0000-0000-00006B300000}"/>
    <cellStyle name="Normal 12 3 4 5 3" xfId="12775" xr:uid="{00000000-0005-0000-0000-00006C300000}"/>
    <cellStyle name="Normal 12 3 4 5 4" xfId="12776" xr:uid="{00000000-0005-0000-0000-00006D300000}"/>
    <cellStyle name="Normal 12 3 4 5 5" xfId="12777" xr:uid="{00000000-0005-0000-0000-00006E300000}"/>
    <cellStyle name="Normal 12 3 4 5 6" xfId="12778" xr:uid="{00000000-0005-0000-0000-00006F300000}"/>
    <cellStyle name="Normal 12 3 4 5 7" xfId="12779" xr:uid="{00000000-0005-0000-0000-000070300000}"/>
    <cellStyle name="Normal 12 3 4 5 8" xfId="12780" xr:uid="{00000000-0005-0000-0000-000071300000}"/>
    <cellStyle name="Normal 12 3 4 6" xfId="12781" xr:uid="{00000000-0005-0000-0000-000072300000}"/>
    <cellStyle name="Normal 12 3 4 6 2" xfId="12782" xr:uid="{00000000-0005-0000-0000-000073300000}"/>
    <cellStyle name="Normal 12 3 4 6 2 2" xfId="12783" xr:uid="{00000000-0005-0000-0000-000074300000}"/>
    <cellStyle name="Normal 12 3 4 6 2 3" xfId="12784" xr:uid="{00000000-0005-0000-0000-000075300000}"/>
    <cellStyle name="Normal 12 3 4 6 2 4" xfId="12785" xr:uid="{00000000-0005-0000-0000-000076300000}"/>
    <cellStyle name="Normal 12 3 4 6 2 5" xfId="12786" xr:uid="{00000000-0005-0000-0000-000077300000}"/>
    <cellStyle name="Normal 12 3 4 6 3" xfId="12787" xr:uid="{00000000-0005-0000-0000-000078300000}"/>
    <cellStyle name="Normal 12 3 4 6 4" xfId="12788" xr:uid="{00000000-0005-0000-0000-000079300000}"/>
    <cellStyle name="Normal 12 3 4 6 5" xfId="12789" xr:uid="{00000000-0005-0000-0000-00007A300000}"/>
    <cellStyle name="Normal 12 3 4 6 6" xfId="12790" xr:uid="{00000000-0005-0000-0000-00007B300000}"/>
    <cellStyle name="Normal 12 3 4 6 7" xfId="12791" xr:uid="{00000000-0005-0000-0000-00007C300000}"/>
    <cellStyle name="Normal 12 3 4 6 8" xfId="12792" xr:uid="{00000000-0005-0000-0000-00007D300000}"/>
    <cellStyle name="Normal 12 3 4 7" xfId="12793" xr:uid="{00000000-0005-0000-0000-00007E300000}"/>
    <cellStyle name="Normal 12 3 4 7 2" xfId="12794" xr:uid="{00000000-0005-0000-0000-00007F300000}"/>
    <cellStyle name="Normal 12 3 4 7 3" xfId="12795" xr:uid="{00000000-0005-0000-0000-000080300000}"/>
    <cellStyle name="Normal 12 3 4 7 4" xfId="12796" xr:uid="{00000000-0005-0000-0000-000081300000}"/>
    <cellStyle name="Normal 12 3 4 7 5" xfId="12797" xr:uid="{00000000-0005-0000-0000-000082300000}"/>
    <cellStyle name="Normal 12 3 4 8" xfId="12798" xr:uid="{00000000-0005-0000-0000-000083300000}"/>
    <cellStyle name="Normal 12 3 4 9" xfId="12799" xr:uid="{00000000-0005-0000-0000-000084300000}"/>
    <cellStyle name="Normal 12 3 5" xfId="12800" xr:uid="{00000000-0005-0000-0000-000085300000}"/>
    <cellStyle name="Normal 12 3 5 10" xfId="12801" xr:uid="{00000000-0005-0000-0000-000086300000}"/>
    <cellStyle name="Normal 12 3 5 11" xfId="12802" xr:uid="{00000000-0005-0000-0000-000087300000}"/>
    <cellStyle name="Normal 12 3 5 12" xfId="12803" xr:uid="{00000000-0005-0000-0000-000088300000}"/>
    <cellStyle name="Normal 12 3 5 13" xfId="12804" xr:uid="{00000000-0005-0000-0000-000089300000}"/>
    <cellStyle name="Normal 12 3 5 2" xfId="12805" xr:uid="{00000000-0005-0000-0000-00008A300000}"/>
    <cellStyle name="Normal 12 3 5 2 10" xfId="12806" xr:uid="{00000000-0005-0000-0000-00008B300000}"/>
    <cellStyle name="Normal 12 3 5 2 11" xfId="12807" xr:uid="{00000000-0005-0000-0000-00008C300000}"/>
    <cellStyle name="Normal 12 3 5 2 2" xfId="12808" xr:uid="{00000000-0005-0000-0000-00008D300000}"/>
    <cellStyle name="Normal 12 3 5 2 2 10" xfId="12809" xr:uid="{00000000-0005-0000-0000-00008E300000}"/>
    <cellStyle name="Normal 12 3 5 2 2 2" xfId="12810" xr:uid="{00000000-0005-0000-0000-00008F300000}"/>
    <cellStyle name="Normal 12 3 5 2 2 2 2" xfId="12811" xr:uid="{00000000-0005-0000-0000-000090300000}"/>
    <cellStyle name="Normal 12 3 5 2 2 2 2 2" xfId="12812" xr:uid="{00000000-0005-0000-0000-000091300000}"/>
    <cellStyle name="Normal 12 3 5 2 2 2 2 3" xfId="12813" xr:uid="{00000000-0005-0000-0000-000092300000}"/>
    <cellStyle name="Normal 12 3 5 2 2 2 2 4" xfId="12814" xr:uid="{00000000-0005-0000-0000-000093300000}"/>
    <cellStyle name="Normal 12 3 5 2 2 2 2 5" xfId="12815" xr:uid="{00000000-0005-0000-0000-000094300000}"/>
    <cellStyle name="Normal 12 3 5 2 2 2 3" xfId="12816" xr:uid="{00000000-0005-0000-0000-000095300000}"/>
    <cellStyle name="Normal 12 3 5 2 2 2 4" xfId="12817" xr:uid="{00000000-0005-0000-0000-000096300000}"/>
    <cellStyle name="Normal 12 3 5 2 2 2 5" xfId="12818" xr:uid="{00000000-0005-0000-0000-000097300000}"/>
    <cellStyle name="Normal 12 3 5 2 2 2 6" xfId="12819" xr:uid="{00000000-0005-0000-0000-000098300000}"/>
    <cellStyle name="Normal 12 3 5 2 2 2 7" xfId="12820" xr:uid="{00000000-0005-0000-0000-000099300000}"/>
    <cellStyle name="Normal 12 3 5 2 2 2 8" xfId="12821" xr:uid="{00000000-0005-0000-0000-00009A300000}"/>
    <cellStyle name="Normal 12 3 5 2 2 3" xfId="12822" xr:uid="{00000000-0005-0000-0000-00009B300000}"/>
    <cellStyle name="Normal 12 3 5 2 2 3 2" xfId="12823" xr:uid="{00000000-0005-0000-0000-00009C300000}"/>
    <cellStyle name="Normal 12 3 5 2 2 3 2 2" xfId="12824" xr:uid="{00000000-0005-0000-0000-00009D300000}"/>
    <cellStyle name="Normal 12 3 5 2 2 3 2 3" xfId="12825" xr:uid="{00000000-0005-0000-0000-00009E300000}"/>
    <cellStyle name="Normal 12 3 5 2 2 3 2 4" xfId="12826" xr:uid="{00000000-0005-0000-0000-00009F300000}"/>
    <cellStyle name="Normal 12 3 5 2 2 3 2 5" xfId="12827" xr:uid="{00000000-0005-0000-0000-0000A0300000}"/>
    <cellStyle name="Normal 12 3 5 2 2 3 3" xfId="12828" xr:uid="{00000000-0005-0000-0000-0000A1300000}"/>
    <cellStyle name="Normal 12 3 5 2 2 3 4" xfId="12829" xr:uid="{00000000-0005-0000-0000-0000A2300000}"/>
    <cellStyle name="Normal 12 3 5 2 2 3 5" xfId="12830" xr:uid="{00000000-0005-0000-0000-0000A3300000}"/>
    <cellStyle name="Normal 12 3 5 2 2 3 6" xfId="12831" xr:uid="{00000000-0005-0000-0000-0000A4300000}"/>
    <cellStyle name="Normal 12 3 5 2 2 3 7" xfId="12832" xr:uid="{00000000-0005-0000-0000-0000A5300000}"/>
    <cellStyle name="Normal 12 3 5 2 2 3 8" xfId="12833" xr:uid="{00000000-0005-0000-0000-0000A6300000}"/>
    <cellStyle name="Normal 12 3 5 2 2 4" xfId="12834" xr:uid="{00000000-0005-0000-0000-0000A7300000}"/>
    <cellStyle name="Normal 12 3 5 2 2 4 2" xfId="12835" xr:uid="{00000000-0005-0000-0000-0000A8300000}"/>
    <cellStyle name="Normal 12 3 5 2 2 4 3" xfId="12836" xr:uid="{00000000-0005-0000-0000-0000A9300000}"/>
    <cellStyle name="Normal 12 3 5 2 2 4 4" xfId="12837" xr:uid="{00000000-0005-0000-0000-0000AA300000}"/>
    <cellStyle name="Normal 12 3 5 2 2 4 5" xfId="12838" xr:uid="{00000000-0005-0000-0000-0000AB300000}"/>
    <cellStyle name="Normal 12 3 5 2 2 5" xfId="12839" xr:uid="{00000000-0005-0000-0000-0000AC300000}"/>
    <cellStyle name="Normal 12 3 5 2 2 6" xfId="12840" xr:uid="{00000000-0005-0000-0000-0000AD300000}"/>
    <cellStyle name="Normal 12 3 5 2 2 7" xfId="12841" xr:uid="{00000000-0005-0000-0000-0000AE300000}"/>
    <cellStyle name="Normal 12 3 5 2 2 8" xfId="12842" xr:uid="{00000000-0005-0000-0000-0000AF300000}"/>
    <cellStyle name="Normal 12 3 5 2 2 9" xfId="12843" xr:uid="{00000000-0005-0000-0000-0000B0300000}"/>
    <cellStyle name="Normal 12 3 5 2 3" xfId="12844" xr:uid="{00000000-0005-0000-0000-0000B1300000}"/>
    <cellStyle name="Normal 12 3 5 2 3 2" xfId="12845" xr:uid="{00000000-0005-0000-0000-0000B2300000}"/>
    <cellStyle name="Normal 12 3 5 2 3 2 2" xfId="12846" xr:uid="{00000000-0005-0000-0000-0000B3300000}"/>
    <cellStyle name="Normal 12 3 5 2 3 2 3" xfId="12847" xr:uid="{00000000-0005-0000-0000-0000B4300000}"/>
    <cellStyle name="Normal 12 3 5 2 3 2 4" xfId="12848" xr:uid="{00000000-0005-0000-0000-0000B5300000}"/>
    <cellStyle name="Normal 12 3 5 2 3 2 5" xfId="12849" xr:uid="{00000000-0005-0000-0000-0000B6300000}"/>
    <cellStyle name="Normal 12 3 5 2 3 3" xfId="12850" xr:uid="{00000000-0005-0000-0000-0000B7300000}"/>
    <cellStyle name="Normal 12 3 5 2 3 4" xfId="12851" xr:uid="{00000000-0005-0000-0000-0000B8300000}"/>
    <cellStyle name="Normal 12 3 5 2 3 5" xfId="12852" xr:uid="{00000000-0005-0000-0000-0000B9300000}"/>
    <cellStyle name="Normal 12 3 5 2 3 6" xfId="12853" xr:uid="{00000000-0005-0000-0000-0000BA300000}"/>
    <cellStyle name="Normal 12 3 5 2 3 7" xfId="12854" xr:uid="{00000000-0005-0000-0000-0000BB300000}"/>
    <cellStyle name="Normal 12 3 5 2 3 8" xfId="12855" xr:uid="{00000000-0005-0000-0000-0000BC300000}"/>
    <cellStyle name="Normal 12 3 5 2 4" xfId="12856" xr:uid="{00000000-0005-0000-0000-0000BD300000}"/>
    <cellStyle name="Normal 12 3 5 2 4 2" xfId="12857" xr:uid="{00000000-0005-0000-0000-0000BE300000}"/>
    <cellStyle name="Normal 12 3 5 2 4 2 2" xfId="12858" xr:uid="{00000000-0005-0000-0000-0000BF300000}"/>
    <cellStyle name="Normal 12 3 5 2 4 2 3" xfId="12859" xr:uid="{00000000-0005-0000-0000-0000C0300000}"/>
    <cellStyle name="Normal 12 3 5 2 4 2 4" xfId="12860" xr:uid="{00000000-0005-0000-0000-0000C1300000}"/>
    <cellStyle name="Normal 12 3 5 2 4 2 5" xfId="12861" xr:uid="{00000000-0005-0000-0000-0000C2300000}"/>
    <cellStyle name="Normal 12 3 5 2 4 3" xfId="12862" xr:uid="{00000000-0005-0000-0000-0000C3300000}"/>
    <cellStyle name="Normal 12 3 5 2 4 4" xfId="12863" xr:uid="{00000000-0005-0000-0000-0000C4300000}"/>
    <cellStyle name="Normal 12 3 5 2 4 5" xfId="12864" xr:uid="{00000000-0005-0000-0000-0000C5300000}"/>
    <cellStyle name="Normal 12 3 5 2 4 6" xfId="12865" xr:uid="{00000000-0005-0000-0000-0000C6300000}"/>
    <cellStyle name="Normal 12 3 5 2 4 7" xfId="12866" xr:uid="{00000000-0005-0000-0000-0000C7300000}"/>
    <cellStyle name="Normal 12 3 5 2 4 8" xfId="12867" xr:uid="{00000000-0005-0000-0000-0000C8300000}"/>
    <cellStyle name="Normal 12 3 5 2 5" xfId="12868" xr:uid="{00000000-0005-0000-0000-0000C9300000}"/>
    <cellStyle name="Normal 12 3 5 2 5 2" xfId="12869" xr:uid="{00000000-0005-0000-0000-0000CA300000}"/>
    <cellStyle name="Normal 12 3 5 2 5 3" xfId="12870" xr:uid="{00000000-0005-0000-0000-0000CB300000}"/>
    <cellStyle name="Normal 12 3 5 2 5 4" xfId="12871" xr:uid="{00000000-0005-0000-0000-0000CC300000}"/>
    <cellStyle name="Normal 12 3 5 2 5 5" xfId="12872" xr:uid="{00000000-0005-0000-0000-0000CD300000}"/>
    <cellStyle name="Normal 12 3 5 2 6" xfId="12873" xr:uid="{00000000-0005-0000-0000-0000CE300000}"/>
    <cellStyle name="Normal 12 3 5 2 7" xfId="12874" xr:uid="{00000000-0005-0000-0000-0000CF300000}"/>
    <cellStyle name="Normal 12 3 5 2 8" xfId="12875" xr:uid="{00000000-0005-0000-0000-0000D0300000}"/>
    <cellStyle name="Normal 12 3 5 2 9" xfId="12876" xr:uid="{00000000-0005-0000-0000-0000D1300000}"/>
    <cellStyle name="Normal 12 3 5 3" xfId="12877" xr:uid="{00000000-0005-0000-0000-0000D2300000}"/>
    <cellStyle name="Normal 12 3 5 3 10" xfId="12878" xr:uid="{00000000-0005-0000-0000-0000D3300000}"/>
    <cellStyle name="Normal 12 3 5 3 11" xfId="12879" xr:uid="{00000000-0005-0000-0000-0000D4300000}"/>
    <cellStyle name="Normal 12 3 5 3 2" xfId="12880" xr:uid="{00000000-0005-0000-0000-0000D5300000}"/>
    <cellStyle name="Normal 12 3 5 3 2 10" xfId="12881" xr:uid="{00000000-0005-0000-0000-0000D6300000}"/>
    <cellStyle name="Normal 12 3 5 3 2 2" xfId="12882" xr:uid="{00000000-0005-0000-0000-0000D7300000}"/>
    <cellStyle name="Normal 12 3 5 3 2 2 2" xfId="12883" xr:uid="{00000000-0005-0000-0000-0000D8300000}"/>
    <cellStyle name="Normal 12 3 5 3 2 2 2 2" xfId="12884" xr:uid="{00000000-0005-0000-0000-0000D9300000}"/>
    <cellStyle name="Normal 12 3 5 3 2 2 2 3" xfId="12885" xr:uid="{00000000-0005-0000-0000-0000DA300000}"/>
    <cellStyle name="Normal 12 3 5 3 2 2 2 4" xfId="12886" xr:uid="{00000000-0005-0000-0000-0000DB300000}"/>
    <cellStyle name="Normal 12 3 5 3 2 2 2 5" xfId="12887" xr:uid="{00000000-0005-0000-0000-0000DC300000}"/>
    <cellStyle name="Normal 12 3 5 3 2 2 3" xfId="12888" xr:uid="{00000000-0005-0000-0000-0000DD300000}"/>
    <cellStyle name="Normal 12 3 5 3 2 2 4" xfId="12889" xr:uid="{00000000-0005-0000-0000-0000DE300000}"/>
    <cellStyle name="Normal 12 3 5 3 2 2 5" xfId="12890" xr:uid="{00000000-0005-0000-0000-0000DF300000}"/>
    <cellStyle name="Normal 12 3 5 3 2 2 6" xfId="12891" xr:uid="{00000000-0005-0000-0000-0000E0300000}"/>
    <cellStyle name="Normal 12 3 5 3 2 2 7" xfId="12892" xr:uid="{00000000-0005-0000-0000-0000E1300000}"/>
    <cellStyle name="Normal 12 3 5 3 2 2 8" xfId="12893" xr:uid="{00000000-0005-0000-0000-0000E2300000}"/>
    <cellStyle name="Normal 12 3 5 3 2 3" xfId="12894" xr:uid="{00000000-0005-0000-0000-0000E3300000}"/>
    <cellStyle name="Normal 12 3 5 3 2 3 2" xfId="12895" xr:uid="{00000000-0005-0000-0000-0000E4300000}"/>
    <cellStyle name="Normal 12 3 5 3 2 3 2 2" xfId="12896" xr:uid="{00000000-0005-0000-0000-0000E5300000}"/>
    <cellStyle name="Normal 12 3 5 3 2 3 2 3" xfId="12897" xr:uid="{00000000-0005-0000-0000-0000E6300000}"/>
    <cellStyle name="Normal 12 3 5 3 2 3 2 4" xfId="12898" xr:uid="{00000000-0005-0000-0000-0000E7300000}"/>
    <cellStyle name="Normal 12 3 5 3 2 3 2 5" xfId="12899" xr:uid="{00000000-0005-0000-0000-0000E8300000}"/>
    <cellStyle name="Normal 12 3 5 3 2 3 3" xfId="12900" xr:uid="{00000000-0005-0000-0000-0000E9300000}"/>
    <cellStyle name="Normal 12 3 5 3 2 3 4" xfId="12901" xr:uid="{00000000-0005-0000-0000-0000EA300000}"/>
    <cellStyle name="Normal 12 3 5 3 2 3 5" xfId="12902" xr:uid="{00000000-0005-0000-0000-0000EB300000}"/>
    <cellStyle name="Normal 12 3 5 3 2 3 6" xfId="12903" xr:uid="{00000000-0005-0000-0000-0000EC300000}"/>
    <cellStyle name="Normal 12 3 5 3 2 3 7" xfId="12904" xr:uid="{00000000-0005-0000-0000-0000ED300000}"/>
    <cellStyle name="Normal 12 3 5 3 2 3 8" xfId="12905" xr:uid="{00000000-0005-0000-0000-0000EE300000}"/>
    <cellStyle name="Normal 12 3 5 3 2 4" xfId="12906" xr:uid="{00000000-0005-0000-0000-0000EF300000}"/>
    <cellStyle name="Normal 12 3 5 3 2 4 2" xfId="12907" xr:uid="{00000000-0005-0000-0000-0000F0300000}"/>
    <cellStyle name="Normal 12 3 5 3 2 4 3" xfId="12908" xr:uid="{00000000-0005-0000-0000-0000F1300000}"/>
    <cellStyle name="Normal 12 3 5 3 2 4 4" xfId="12909" xr:uid="{00000000-0005-0000-0000-0000F2300000}"/>
    <cellStyle name="Normal 12 3 5 3 2 4 5" xfId="12910" xr:uid="{00000000-0005-0000-0000-0000F3300000}"/>
    <cellStyle name="Normal 12 3 5 3 2 5" xfId="12911" xr:uid="{00000000-0005-0000-0000-0000F4300000}"/>
    <cellStyle name="Normal 12 3 5 3 2 6" xfId="12912" xr:uid="{00000000-0005-0000-0000-0000F5300000}"/>
    <cellStyle name="Normal 12 3 5 3 2 7" xfId="12913" xr:uid="{00000000-0005-0000-0000-0000F6300000}"/>
    <cellStyle name="Normal 12 3 5 3 2 8" xfId="12914" xr:uid="{00000000-0005-0000-0000-0000F7300000}"/>
    <cellStyle name="Normal 12 3 5 3 2 9" xfId="12915" xr:uid="{00000000-0005-0000-0000-0000F8300000}"/>
    <cellStyle name="Normal 12 3 5 3 3" xfId="12916" xr:uid="{00000000-0005-0000-0000-0000F9300000}"/>
    <cellStyle name="Normal 12 3 5 3 3 2" xfId="12917" xr:uid="{00000000-0005-0000-0000-0000FA300000}"/>
    <cellStyle name="Normal 12 3 5 3 3 2 2" xfId="12918" xr:uid="{00000000-0005-0000-0000-0000FB300000}"/>
    <cellStyle name="Normal 12 3 5 3 3 2 3" xfId="12919" xr:uid="{00000000-0005-0000-0000-0000FC300000}"/>
    <cellStyle name="Normal 12 3 5 3 3 2 4" xfId="12920" xr:uid="{00000000-0005-0000-0000-0000FD300000}"/>
    <cellStyle name="Normal 12 3 5 3 3 2 5" xfId="12921" xr:uid="{00000000-0005-0000-0000-0000FE300000}"/>
    <cellStyle name="Normal 12 3 5 3 3 3" xfId="12922" xr:uid="{00000000-0005-0000-0000-0000FF300000}"/>
    <cellStyle name="Normal 12 3 5 3 3 4" xfId="12923" xr:uid="{00000000-0005-0000-0000-000000310000}"/>
    <cellStyle name="Normal 12 3 5 3 3 5" xfId="12924" xr:uid="{00000000-0005-0000-0000-000001310000}"/>
    <cellStyle name="Normal 12 3 5 3 3 6" xfId="12925" xr:uid="{00000000-0005-0000-0000-000002310000}"/>
    <cellStyle name="Normal 12 3 5 3 3 7" xfId="12926" xr:uid="{00000000-0005-0000-0000-000003310000}"/>
    <cellStyle name="Normal 12 3 5 3 3 8" xfId="12927" xr:uid="{00000000-0005-0000-0000-000004310000}"/>
    <cellStyle name="Normal 12 3 5 3 4" xfId="12928" xr:uid="{00000000-0005-0000-0000-000005310000}"/>
    <cellStyle name="Normal 12 3 5 3 4 2" xfId="12929" xr:uid="{00000000-0005-0000-0000-000006310000}"/>
    <cellStyle name="Normal 12 3 5 3 4 2 2" xfId="12930" xr:uid="{00000000-0005-0000-0000-000007310000}"/>
    <cellStyle name="Normal 12 3 5 3 4 2 3" xfId="12931" xr:uid="{00000000-0005-0000-0000-000008310000}"/>
    <cellStyle name="Normal 12 3 5 3 4 2 4" xfId="12932" xr:uid="{00000000-0005-0000-0000-000009310000}"/>
    <cellStyle name="Normal 12 3 5 3 4 2 5" xfId="12933" xr:uid="{00000000-0005-0000-0000-00000A310000}"/>
    <cellStyle name="Normal 12 3 5 3 4 3" xfId="12934" xr:uid="{00000000-0005-0000-0000-00000B310000}"/>
    <cellStyle name="Normal 12 3 5 3 4 4" xfId="12935" xr:uid="{00000000-0005-0000-0000-00000C310000}"/>
    <cellStyle name="Normal 12 3 5 3 4 5" xfId="12936" xr:uid="{00000000-0005-0000-0000-00000D310000}"/>
    <cellStyle name="Normal 12 3 5 3 4 6" xfId="12937" xr:uid="{00000000-0005-0000-0000-00000E310000}"/>
    <cellStyle name="Normal 12 3 5 3 4 7" xfId="12938" xr:uid="{00000000-0005-0000-0000-00000F310000}"/>
    <cellStyle name="Normal 12 3 5 3 4 8" xfId="12939" xr:uid="{00000000-0005-0000-0000-000010310000}"/>
    <cellStyle name="Normal 12 3 5 3 5" xfId="12940" xr:uid="{00000000-0005-0000-0000-000011310000}"/>
    <cellStyle name="Normal 12 3 5 3 5 2" xfId="12941" xr:uid="{00000000-0005-0000-0000-000012310000}"/>
    <cellStyle name="Normal 12 3 5 3 5 3" xfId="12942" xr:uid="{00000000-0005-0000-0000-000013310000}"/>
    <cellStyle name="Normal 12 3 5 3 5 4" xfId="12943" xr:uid="{00000000-0005-0000-0000-000014310000}"/>
    <cellStyle name="Normal 12 3 5 3 5 5" xfId="12944" xr:uid="{00000000-0005-0000-0000-000015310000}"/>
    <cellStyle name="Normal 12 3 5 3 6" xfId="12945" xr:uid="{00000000-0005-0000-0000-000016310000}"/>
    <cellStyle name="Normal 12 3 5 3 7" xfId="12946" xr:uid="{00000000-0005-0000-0000-000017310000}"/>
    <cellStyle name="Normal 12 3 5 3 8" xfId="12947" xr:uid="{00000000-0005-0000-0000-000018310000}"/>
    <cellStyle name="Normal 12 3 5 3 9" xfId="12948" xr:uid="{00000000-0005-0000-0000-000019310000}"/>
    <cellStyle name="Normal 12 3 5 4" xfId="12949" xr:uid="{00000000-0005-0000-0000-00001A310000}"/>
    <cellStyle name="Normal 12 3 5 4 10" xfId="12950" xr:uid="{00000000-0005-0000-0000-00001B310000}"/>
    <cellStyle name="Normal 12 3 5 4 2" xfId="12951" xr:uid="{00000000-0005-0000-0000-00001C310000}"/>
    <cellStyle name="Normal 12 3 5 4 2 2" xfId="12952" xr:uid="{00000000-0005-0000-0000-00001D310000}"/>
    <cellStyle name="Normal 12 3 5 4 2 2 2" xfId="12953" xr:uid="{00000000-0005-0000-0000-00001E310000}"/>
    <cellStyle name="Normal 12 3 5 4 2 2 3" xfId="12954" xr:uid="{00000000-0005-0000-0000-00001F310000}"/>
    <cellStyle name="Normal 12 3 5 4 2 2 4" xfId="12955" xr:uid="{00000000-0005-0000-0000-000020310000}"/>
    <cellStyle name="Normal 12 3 5 4 2 2 5" xfId="12956" xr:uid="{00000000-0005-0000-0000-000021310000}"/>
    <cellStyle name="Normal 12 3 5 4 2 3" xfId="12957" xr:uid="{00000000-0005-0000-0000-000022310000}"/>
    <cellStyle name="Normal 12 3 5 4 2 4" xfId="12958" xr:uid="{00000000-0005-0000-0000-000023310000}"/>
    <cellStyle name="Normal 12 3 5 4 2 5" xfId="12959" xr:uid="{00000000-0005-0000-0000-000024310000}"/>
    <cellStyle name="Normal 12 3 5 4 2 6" xfId="12960" xr:uid="{00000000-0005-0000-0000-000025310000}"/>
    <cellStyle name="Normal 12 3 5 4 2 7" xfId="12961" xr:uid="{00000000-0005-0000-0000-000026310000}"/>
    <cellStyle name="Normal 12 3 5 4 2 8" xfId="12962" xr:uid="{00000000-0005-0000-0000-000027310000}"/>
    <cellStyle name="Normal 12 3 5 4 3" xfId="12963" xr:uid="{00000000-0005-0000-0000-000028310000}"/>
    <cellStyle name="Normal 12 3 5 4 3 2" xfId="12964" xr:uid="{00000000-0005-0000-0000-000029310000}"/>
    <cellStyle name="Normal 12 3 5 4 3 2 2" xfId="12965" xr:uid="{00000000-0005-0000-0000-00002A310000}"/>
    <cellStyle name="Normal 12 3 5 4 3 2 3" xfId="12966" xr:uid="{00000000-0005-0000-0000-00002B310000}"/>
    <cellStyle name="Normal 12 3 5 4 3 2 4" xfId="12967" xr:uid="{00000000-0005-0000-0000-00002C310000}"/>
    <cellStyle name="Normal 12 3 5 4 3 2 5" xfId="12968" xr:uid="{00000000-0005-0000-0000-00002D310000}"/>
    <cellStyle name="Normal 12 3 5 4 3 3" xfId="12969" xr:uid="{00000000-0005-0000-0000-00002E310000}"/>
    <cellStyle name="Normal 12 3 5 4 3 4" xfId="12970" xr:uid="{00000000-0005-0000-0000-00002F310000}"/>
    <cellStyle name="Normal 12 3 5 4 3 5" xfId="12971" xr:uid="{00000000-0005-0000-0000-000030310000}"/>
    <cellStyle name="Normal 12 3 5 4 3 6" xfId="12972" xr:uid="{00000000-0005-0000-0000-000031310000}"/>
    <cellStyle name="Normal 12 3 5 4 3 7" xfId="12973" xr:uid="{00000000-0005-0000-0000-000032310000}"/>
    <cellStyle name="Normal 12 3 5 4 3 8" xfId="12974" xr:uid="{00000000-0005-0000-0000-000033310000}"/>
    <cellStyle name="Normal 12 3 5 4 4" xfId="12975" xr:uid="{00000000-0005-0000-0000-000034310000}"/>
    <cellStyle name="Normal 12 3 5 4 4 2" xfId="12976" xr:uid="{00000000-0005-0000-0000-000035310000}"/>
    <cellStyle name="Normal 12 3 5 4 4 3" xfId="12977" xr:uid="{00000000-0005-0000-0000-000036310000}"/>
    <cellStyle name="Normal 12 3 5 4 4 4" xfId="12978" xr:uid="{00000000-0005-0000-0000-000037310000}"/>
    <cellStyle name="Normal 12 3 5 4 4 5" xfId="12979" xr:uid="{00000000-0005-0000-0000-000038310000}"/>
    <cellStyle name="Normal 12 3 5 4 5" xfId="12980" xr:uid="{00000000-0005-0000-0000-000039310000}"/>
    <cellStyle name="Normal 12 3 5 4 6" xfId="12981" xr:uid="{00000000-0005-0000-0000-00003A310000}"/>
    <cellStyle name="Normal 12 3 5 4 7" xfId="12982" xr:uid="{00000000-0005-0000-0000-00003B310000}"/>
    <cellStyle name="Normal 12 3 5 4 8" xfId="12983" xr:uid="{00000000-0005-0000-0000-00003C310000}"/>
    <cellStyle name="Normal 12 3 5 4 9" xfId="12984" xr:uid="{00000000-0005-0000-0000-00003D310000}"/>
    <cellStyle name="Normal 12 3 5 5" xfId="12985" xr:uid="{00000000-0005-0000-0000-00003E310000}"/>
    <cellStyle name="Normal 12 3 5 5 2" xfId="12986" xr:uid="{00000000-0005-0000-0000-00003F310000}"/>
    <cellStyle name="Normal 12 3 5 5 2 2" xfId="12987" xr:uid="{00000000-0005-0000-0000-000040310000}"/>
    <cellStyle name="Normal 12 3 5 5 2 3" xfId="12988" xr:uid="{00000000-0005-0000-0000-000041310000}"/>
    <cellStyle name="Normal 12 3 5 5 2 4" xfId="12989" xr:uid="{00000000-0005-0000-0000-000042310000}"/>
    <cellStyle name="Normal 12 3 5 5 2 5" xfId="12990" xr:uid="{00000000-0005-0000-0000-000043310000}"/>
    <cellStyle name="Normal 12 3 5 5 3" xfId="12991" xr:uid="{00000000-0005-0000-0000-000044310000}"/>
    <cellStyle name="Normal 12 3 5 5 4" xfId="12992" xr:uid="{00000000-0005-0000-0000-000045310000}"/>
    <cellStyle name="Normal 12 3 5 5 5" xfId="12993" xr:uid="{00000000-0005-0000-0000-000046310000}"/>
    <cellStyle name="Normal 12 3 5 5 6" xfId="12994" xr:uid="{00000000-0005-0000-0000-000047310000}"/>
    <cellStyle name="Normal 12 3 5 5 7" xfId="12995" xr:uid="{00000000-0005-0000-0000-000048310000}"/>
    <cellStyle name="Normal 12 3 5 5 8" xfId="12996" xr:uid="{00000000-0005-0000-0000-000049310000}"/>
    <cellStyle name="Normal 12 3 5 6" xfId="12997" xr:uid="{00000000-0005-0000-0000-00004A310000}"/>
    <cellStyle name="Normal 12 3 5 6 2" xfId="12998" xr:uid="{00000000-0005-0000-0000-00004B310000}"/>
    <cellStyle name="Normal 12 3 5 6 2 2" xfId="12999" xr:uid="{00000000-0005-0000-0000-00004C310000}"/>
    <cellStyle name="Normal 12 3 5 6 2 3" xfId="13000" xr:uid="{00000000-0005-0000-0000-00004D310000}"/>
    <cellStyle name="Normal 12 3 5 6 2 4" xfId="13001" xr:uid="{00000000-0005-0000-0000-00004E310000}"/>
    <cellStyle name="Normal 12 3 5 6 2 5" xfId="13002" xr:uid="{00000000-0005-0000-0000-00004F310000}"/>
    <cellStyle name="Normal 12 3 5 6 3" xfId="13003" xr:uid="{00000000-0005-0000-0000-000050310000}"/>
    <cellStyle name="Normal 12 3 5 6 4" xfId="13004" xr:uid="{00000000-0005-0000-0000-000051310000}"/>
    <cellStyle name="Normal 12 3 5 6 5" xfId="13005" xr:uid="{00000000-0005-0000-0000-000052310000}"/>
    <cellStyle name="Normal 12 3 5 6 6" xfId="13006" xr:uid="{00000000-0005-0000-0000-000053310000}"/>
    <cellStyle name="Normal 12 3 5 6 7" xfId="13007" xr:uid="{00000000-0005-0000-0000-000054310000}"/>
    <cellStyle name="Normal 12 3 5 6 8" xfId="13008" xr:uid="{00000000-0005-0000-0000-000055310000}"/>
    <cellStyle name="Normal 12 3 5 7" xfId="13009" xr:uid="{00000000-0005-0000-0000-000056310000}"/>
    <cellStyle name="Normal 12 3 5 7 2" xfId="13010" xr:uid="{00000000-0005-0000-0000-000057310000}"/>
    <cellStyle name="Normal 12 3 5 7 3" xfId="13011" xr:uid="{00000000-0005-0000-0000-000058310000}"/>
    <cellStyle name="Normal 12 3 5 7 4" xfId="13012" xr:uid="{00000000-0005-0000-0000-000059310000}"/>
    <cellStyle name="Normal 12 3 5 7 5" xfId="13013" xr:uid="{00000000-0005-0000-0000-00005A310000}"/>
    <cellStyle name="Normal 12 3 5 8" xfId="13014" xr:uid="{00000000-0005-0000-0000-00005B310000}"/>
    <cellStyle name="Normal 12 3 5 9" xfId="13015" xr:uid="{00000000-0005-0000-0000-00005C310000}"/>
    <cellStyle name="Normal 12 3 6" xfId="13016" xr:uid="{00000000-0005-0000-0000-00005D310000}"/>
    <cellStyle name="Normal 12 3 6 10" xfId="13017" xr:uid="{00000000-0005-0000-0000-00005E310000}"/>
    <cellStyle name="Normal 12 3 6 11" xfId="13018" xr:uid="{00000000-0005-0000-0000-00005F310000}"/>
    <cellStyle name="Normal 12 3 6 12" xfId="13019" xr:uid="{00000000-0005-0000-0000-000060310000}"/>
    <cellStyle name="Normal 12 3 6 13" xfId="13020" xr:uid="{00000000-0005-0000-0000-000061310000}"/>
    <cellStyle name="Normal 12 3 6 2" xfId="13021" xr:uid="{00000000-0005-0000-0000-000062310000}"/>
    <cellStyle name="Normal 12 3 6 2 10" xfId="13022" xr:uid="{00000000-0005-0000-0000-000063310000}"/>
    <cellStyle name="Normal 12 3 6 2 11" xfId="13023" xr:uid="{00000000-0005-0000-0000-000064310000}"/>
    <cellStyle name="Normal 12 3 6 2 2" xfId="13024" xr:uid="{00000000-0005-0000-0000-000065310000}"/>
    <cellStyle name="Normal 12 3 6 2 2 10" xfId="13025" xr:uid="{00000000-0005-0000-0000-000066310000}"/>
    <cellStyle name="Normal 12 3 6 2 2 2" xfId="13026" xr:uid="{00000000-0005-0000-0000-000067310000}"/>
    <cellStyle name="Normal 12 3 6 2 2 2 2" xfId="13027" xr:uid="{00000000-0005-0000-0000-000068310000}"/>
    <cellStyle name="Normal 12 3 6 2 2 2 2 2" xfId="13028" xr:uid="{00000000-0005-0000-0000-000069310000}"/>
    <cellStyle name="Normal 12 3 6 2 2 2 2 3" xfId="13029" xr:uid="{00000000-0005-0000-0000-00006A310000}"/>
    <cellStyle name="Normal 12 3 6 2 2 2 2 4" xfId="13030" xr:uid="{00000000-0005-0000-0000-00006B310000}"/>
    <cellStyle name="Normal 12 3 6 2 2 2 2 5" xfId="13031" xr:uid="{00000000-0005-0000-0000-00006C310000}"/>
    <cellStyle name="Normal 12 3 6 2 2 2 3" xfId="13032" xr:uid="{00000000-0005-0000-0000-00006D310000}"/>
    <cellStyle name="Normal 12 3 6 2 2 2 4" xfId="13033" xr:uid="{00000000-0005-0000-0000-00006E310000}"/>
    <cellStyle name="Normal 12 3 6 2 2 2 5" xfId="13034" xr:uid="{00000000-0005-0000-0000-00006F310000}"/>
    <cellStyle name="Normal 12 3 6 2 2 2 6" xfId="13035" xr:uid="{00000000-0005-0000-0000-000070310000}"/>
    <cellStyle name="Normal 12 3 6 2 2 2 7" xfId="13036" xr:uid="{00000000-0005-0000-0000-000071310000}"/>
    <cellStyle name="Normal 12 3 6 2 2 2 8" xfId="13037" xr:uid="{00000000-0005-0000-0000-000072310000}"/>
    <cellStyle name="Normal 12 3 6 2 2 3" xfId="13038" xr:uid="{00000000-0005-0000-0000-000073310000}"/>
    <cellStyle name="Normal 12 3 6 2 2 3 2" xfId="13039" xr:uid="{00000000-0005-0000-0000-000074310000}"/>
    <cellStyle name="Normal 12 3 6 2 2 3 2 2" xfId="13040" xr:uid="{00000000-0005-0000-0000-000075310000}"/>
    <cellStyle name="Normal 12 3 6 2 2 3 2 3" xfId="13041" xr:uid="{00000000-0005-0000-0000-000076310000}"/>
    <cellStyle name="Normal 12 3 6 2 2 3 2 4" xfId="13042" xr:uid="{00000000-0005-0000-0000-000077310000}"/>
    <cellStyle name="Normal 12 3 6 2 2 3 2 5" xfId="13043" xr:uid="{00000000-0005-0000-0000-000078310000}"/>
    <cellStyle name="Normal 12 3 6 2 2 3 3" xfId="13044" xr:uid="{00000000-0005-0000-0000-000079310000}"/>
    <cellStyle name="Normal 12 3 6 2 2 3 4" xfId="13045" xr:uid="{00000000-0005-0000-0000-00007A310000}"/>
    <cellStyle name="Normal 12 3 6 2 2 3 5" xfId="13046" xr:uid="{00000000-0005-0000-0000-00007B310000}"/>
    <cellStyle name="Normal 12 3 6 2 2 3 6" xfId="13047" xr:uid="{00000000-0005-0000-0000-00007C310000}"/>
    <cellStyle name="Normal 12 3 6 2 2 3 7" xfId="13048" xr:uid="{00000000-0005-0000-0000-00007D310000}"/>
    <cellStyle name="Normal 12 3 6 2 2 3 8" xfId="13049" xr:uid="{00000000-0005-0000-0000-00007E310000}"/>
    <cellStyle name="Normal 12 3 6 2 2 4" xfId="13050" xr:uid="{00000000-0005-0000-0000-00007F310000}"/>
    <cellStyle name="Normal 12 3 6 2 2 4 2" xfId="13051" xr:uid="{00000000-0005-0000-0000-000080310000}"/>
    <cellStyle name="Normal 12 3 6 2 2 4 3" xfId="13052" xr:uid="{00000000-0005-0000-0000-000081310000}"/>
    <cellStyle name="Normal 12 3 6 2 2 4 4" xfId="13053" xr:uid="{00000000-0005-0000-0000-000082310000}"/>
    <cellStyle name="Normal 12 3 6 2 2 4 5" xfId="13054" xr:uid="{00000000-0005-0000-0000-000083310000}"/>
    <cellStyle name="Normal 12 3 6 2 2 5" xfId="13055" xr:uid="{00000000-0005-0000-0000-000084310000}"/>
    <cellStyle name="Normal 12 3 6 2 2 6" xfId="13056" xr:uid="{00000000-0005-0000-0000-000085310000}"/>
    <cellStyle name="Normal 12 3 6 2 2 7" xfId="13057" xr:uid="{00000000-0005-0000-0000-000086310000}"/>
    <cellStyle name="Normal 12 3 6 2 2 8" xfId="13058" xr:uid="{00000000-0005-0000-0000-000087310000}"/>
    <cellStyle name="Normal 12 3 6 2 2 9" xfId="13059" xr:uid="{00000000-0005-0000-0000-000088310000}"/>
    <cellStyle name="Normal 12 3 6 2 3" xfId="13060" xr:uid="{00000000-0005-0000-0000-000089310000}"/>
    <cellStyle name="Normal 12 3 6 2 3 2" xfId="13061" xr:uid="{00000000-0005-0000-0000-00008A310000}"/>
    <cellStyle name="Normal 12 3 6 2 3 2 2" xfId="13062" xr:uid="{00000000-0005-0000-0000-00008B310000}"/>
    <cellStyle name="Normal 12 3 6 2 3 2 3" xfId="13063" xr:uid="{00000000-0005-0000-0000-00008C310000}"/>
    <cellStyle name="Normal 12 3 6 2 3 2 4" xfId="13064" xr:uid="{00000000-0005-0000-0000-00008D310000}"/>
    <cellStyle name="Normal 12 3 6 2 3 2 5" xfId="13065" xr:uid="{00000000-0005-0000-0000-00008E310000}"/>
    <cellStyle name="Normal 12 3 6 2 3 3" xfId="13066" xr:uid="{00000000-0005-0000-0000-00008F310000}"/>
    <cellStyle name="Normal 12 3 6 2 3 4" xfId="13067" xr:uid="{00000000-0005-0000-0000-000090310000}"/>
    <cellStyle name="Normal 12 3 6 2 3 5" xfId="13068" xr:uid="{00000000-0005-0000-0000-000091310000}"/>
    <cellStyle name="Normal 12 3 6 2 3 6" xfId="13069" xr:uid="{00000000-0005-0000-0000-000092310000}"/>
    <cellStyle name="Normal 12 3 6 2 3 7" xfId="13070" xr:uid="{00000000-0005-0000-0000-000093310000}"/>
    <cellStyle name="Normal 12 3 6 2 3 8" xfId="13071" xr:uid="{00000000-0005-0000-0000-000094310000}"/>
    <cellStyle name="Normal 12 3 6 2 4" xfId="13072" xr:uid="{00000000-0005-0000-0000-000095310000}"/>
    <cellStyle name="Normal 12 3 6 2 4 2" xfId="13073" xr:uid="{00000000-0005-0000-0000-000096310000}"/>
    <cellStyle name="Normal 12 3 6 2 4 2 2" xfId="13074" xr:uid="{00000000-0005-0000-0000-000097310000}"/>
    <cellStyle name="Normal 12 3 6 2 4 2 3" xfId="13075" xr:uid="{00000000-0005-0000-0000-000098310000}"/>
    <cellStyle name="Normal 12 3 6 2 4 2 4" xfId="13076" xr:uid="{00000000-0005-0000-0000-000099310000}"/>
    <cellStyle name="Normal 12 3 6 2 4 2 5" xfId="13077" xr:uid="{00000000-0005-0000-0000-00009A310000}"/>
    <cellStyle name="Normal 12 3 6 2 4 3" xfId="13078" xr:uid="{00000000-0005-0000-0000-00009B310000}"/>
    <cellStyle name="Normal 12 3 6 2 4 4" xfId="13079" xr:uid="{00000000-0005-0000-0000-00009C310000}"/>
    <cellStyle name="Normal 12 3 6 2 4 5" xfId="13080" xr:uid="{00000000-0005-0000-0000-00009D310000}"/>
    <cellStyle name="Normal 12 3 6 2 4 6" xfId="13081" xr:uid="{00000000-0005-0000-0000-00009E310000}"/>
    <cellStyle name="Normal 12 3 6 2 4 7" xfId="13082" xr:uid="{00000000-0005-0000-0000-00009F310000}"/>
    <cellStyle name="Normal 12 3 6 2 4 8" xfId="13083" xr:uid="{00000000-0005-0000-0000-0000A0310000}"/>
    <cellStyle name="Normal 12 3 6 2 5" xfId="13084" xr:uid="{00000000-0005-0000-0000-0000A1310000}"/>
    <cellStyle name="Normal 12 3 6 2 5 2" xfId="13085" xr:uid="{00000000-0005-0000-0000-0000A2310000}"/>
    <cellStyle name="Normal 12 3 6 2 5 3" xfId="13086" xr:uid="{00000000-0005-0000-0000-0000A3310000}"/>
    <cellStyle name="Normal 12 3 6 2 5 4" xfId="13087" xr:uid="{00000000-0005-0000-0000-0000A4310000}"/>
    <cellStyle name="Normal 12 3 6 2 5 5" xfId="13088" xr:uid="{00000000-0005-0000-0000-0000A5310000}"/>
    <cellStyle name="Normal 12 3 6 2 6" xfId="13089" xr:uid="{00000000-0005-0000-0000-0000A6310000}"/>
    <cellStyle name="Normal 12 3 6 2 7" xfId="13090" xr:uid="{00000000-0005-0000-0000-0000A7310000}"/>
    <cellStyle name="Normal 12 3 6 2 8" xfId="13091" xr:uid="{00000000-0005-0000-0000-0000A8310000}"/>
    <cellStyle name="Normal 12 3 6 2 9" xfId="13092" xr:uid="{00000000-0005-0000-0000-0000A9310000}"/>
    <cellStyle name="Normal 12 3 6 3" xfId="13093" xr:uid="{00000000-0005-0000-0000-0000AA310000}"/>
    <cellStyle name="Normal 12 3 6 3 10" xfId="13094" xr:uid="{00000000-0005-0000-0000-0000AB310000}"/>
    <cellStyle name="Normal 12 3 6 3 11" xfId="13095" xr:uid="{00000000-0005-0000-0000-0000AC310000}"/>
    <cellStyle name="Normal 12 3 6 3 2" xfId="13096" xr:uid="{00000000-0005-0000-0000-0000AD310000}"/>
    <cellStyle name="Normal 12 3 6 3 2 10" xfId="13097" xr:uid="{00000000-0005-0000-0000-0000AE310000}"/>
    <cellStyle name="Normal 12 3 6 3 2 2" xfId="13098" xr:uid="{00000000-0005-0000-0000-0000AF310000}"/>
    <cellStyle name="Normal 12 3 6 3 2 2 2" xfId="13099" xr:uid="{00000000-0005-0000-0000-0000B0310000}"/>
    <cellStyle name="Normal 12 3 6 3 2 2 2 2" xfId="13100" xr:uid="{00000000-0005-0000-0000-0000B1310000}"/>
    <cellStyle name="Normal 12 3 6 3 2 2 2 3" xfId="13101" xr:uid="{00000000-0005-0000-0000-0000B2310000}"/>
    <cellStyle name="Normal 12 3 6 3 2 2 2 4" xfId="13102" xr:uid="{00000000-0005-0000-0000-0000B3310000}"/>
    <cellStyle name="Normal 12 3 6 3 2 2 2 5" xfId="13103" xr:uid="{00000000-0005-0000-0000-0000B4310000}"/>
    <cellStyle name="Normal 12 3 6 3 2 2 3" xfId="13104" xr:uid="{00000000-0005-0000-0000-0000B5310000}"/>
    <cellStyle name="Normal 12 3 6 3 2 2 4" xfId="13105" xr:uid="{00000000-0005-0000-0000-0000B6310000}"/>
    <cellStyle name="Normal 12 3 6 3 2 2 5" xfId="13106" xr:uid="{00000000-0005-0000-0000-0000B7310000}"/>
    <cellStyle name="Normal 12 3 6 3 2 2 6" xfId="13107" xr:uid="{00000000-0005-0000-0000-0000B8310000}"/>
    <cellStyle name="Normal 12 3 6 3 2 2 7" xfId="13108" xr:uid="{00000000-0005-0000-0000-0000B9310000}"/>
    <cellStyle name="Normal 12 3 6 3 2 2 8" xfId="13109" xr:uid="{00000000-0005-0000-0000-0000BA310000}"/>
    <cellStyle name="Normal 12 3 6 3 2 3" xfId="13110" xr:uid="{00000000-0005-0000-0000-0000BB310000}"/>
    <cellStyle name="Normal 12 3 6 3 2 3 2" xfId="13111" xr:uid="{00000000-0005-0000-0000-0000BC310000}"/>
    <cellStyle name="Normal 12 3 6 3 2 3 2 2" xfId="13112" xr:uid="{00000000-0005-0000-0000-0000BD310000}"/>
    <cellStyle name="Normal 12 3 6 3 2 3 2 3" xfId="13113" xr:uid="{00000000-0005-0000-0000-0000BE310000}"/>
    <cellStyle name="Normal 12 3 6 3 2 3 2 4" xfId="13114" xr:uid="{00000000-0005-0000-0000-0000BF310000}"/>
    <cellStyle name="Normal 12 3 6 3 2 3 2 5" xfId="13115" xr:uid="{00000000-0005-0000-0000-0000C0310000}"/>
    <cellStyle name="Normal 12 3 6 3 2 3 3" xfId="13116" xr:uid="{00000000-0005-0000-0000-0000C1310000}"/>
    <cellStyle name="Normal 12 3 6 3 2 3 4" xfId="13117" xr:uid="{00000000-0005-0000-0000-0000C2310000}"/>
    <cellStyle name="Normal 12 3 6 3 2 3 5" xfId="13118" xr:uid="{00000000-0005-0000-0000-0000C3310000}"/>
    <cellStyle name="Normal 12 3 6 3 2 3 6" xfId="13119" xr:uid="{00000000-0005-0000-0000-0000C4310000}"/>
    <cellStyle name="Normal 12 3 6 3 2 3 7" xfId="13120" xr:uid="{00000000-0005-0000-0000-0000C5310000}"/>
    <cellStyle name="Normal 12 3 6 3 2 3 8" xfId="13121" xr:uid="{00000000-0005-0000-0000-0000C6310000}"/>
    <cellStyle name="Normal 12 3 6 3 2 4" xfId="13122" xr:uid="{00000000-0005-0000-0000-0000C7310000}"/>
    <cellStyle name="Normal 12 3 6 3 2 4 2" xfId="13123" xr:uid="{00000000-0005-0000-0000-0000C8310000}"/>
    <cellStyle name="Normal 12 3 6 3 2 4 3" xfId="13124" xr:uid="{00000000-0005-0000-0000-0000C9310000}"/>
    <cellStyle name="Normal 12 3 6 3 2 4 4" xfId="13125" xr:uid="{00000000-0005-0000-0000-0000CA310000}"/>
    <cellStyle name="Normal 12 3 6 3 2 4 5" xfId="13126" xr:uid="{00000000-0005-0000-0000-0000CB310000}"/>
    <cellStyle name="Normal 12 3 6 3 2 5" xfId="13127" xr:uid="{00000000-0005-0000-0000-0000CC310000}"/>
    <cellStyle name="Normal 12 3 6 3 2 6" xfId="13128" xr:uid="{00000000-0005-0000-0000-0000CD310000}"/>
    <cellStyle name="Normal 12 3 6 3 2 7" xfId="13129" xr:uid="{00000000-0005-0000-0000-0000CE310000}"/>
    <cellStyle name="Normal 12 3 6 3 2 8" xfId="13130" xr:uid="{00000000-0005-0000-0000-0000CF310000}"/>
    <cellStyle name="Normal 12 3 6 3 2 9" xfId="13131" xr:uid="{00000000-0005-0000-0000-0000D0310000}"/>
    <cellStyle name="Normal 12 3 6 3 3" xfId="13132" xr:uid="{00000000-0005-0000-0000-0000D1310000}"/>
    <cellStyle name="Normal 12 3 6 3 3 2" xfId="13133" xr:uid="{00000000-0005-0000-0000-0000D2310000}"/>
    <cellStyle name="Normal 12 3 6 3 3 2 2" xfId="13134" xr:uid="{00000000-0005-0000-0000-0000D3310000}"/>
    <cellStyle name="Normal 12 3 6 3 3 2 3" xfId="13135" xr:uid="{00000000-0005-0000-0000-0000D4310000}"/>
    <cellStyle name="Normal 12 3 6 3 3 2 4" xfId="13136" xr:uid="{00000000-0005-0000-0000-0000D5310000}"/>
    <cellStyle name="Normal 12 3 6 3 3 2 5" xfId="13137" xr:uid="{00000000-0005-0000-0000-0000D6310000}"/>
    <cellStyle name="Normal 12 3 6 3 3 3" xfId="13138" xr:uid="{00000000-0005-0000-0000-0000D7310000}"/>
    <cellStyle name="Normal 12 3 6 3 3 4" xfId="13139" xr:uid="{00000000-0005-0000-0000-0000D8310000}"/>
    <cellStyle name="Normal 12 3 6 3 3 5" xfId="13140" xr:uid="{00000000-0005-0000-0000-0000D9310000}"/>
    <cellStyle name="Normal 12 3 6 3 3 6" xfId="13141" xr:uid="{00000000-0005-0000-0000-0000DA310000}"/>
    <cellStyle name="Normal 12 3 6 3 3 7" xfId="13142" xr:uid="{00000000-0005-0000-0000-0000DB310000}"/>
    <cellStyle name="Normal 12 3 6 3 3 8" xfId="13143" xr:uid="{00000000-0005-0000-0000-0000DC310000}"/>
    <cellStyle name="Normal 12 3 6 3 4" xfId="13144" xr:uid="{00000000-0005-0000-0000-0000DD310000}"/>
    <cellStyle name="Normal 12 3 6 3 4 2" xfId="13145" xr:uid="{00000000-0005-0000-0000-0000DE310000}"/>
    <cellStyle name="Normal 12 3 6 3 4 2 2" xfId="13146" xr:uid="{00000000-0005-0000-0000-0000DF310000}"/>
    <cellStyle name="Normal 12 3 6 3 4 2 3" xfId="13147" xr:uid="{00000000-0005-0000-0000-0000E0310000}"/>
    <cellStyle name="Normal 12 3 6 3 4 2 4" xfId="13148" xr:uid="{00000000-0005-0000-0000-0000E1310000}"/>
    <cellStyle name="Normal 12 3 6 3 4 2 5" xfId="13149" xr:uid="{00000000-0005-0000-0000-0000E2310000}"/>
    <cellStyle name="Normal 12 3 6 3 4 3" xfId="13150" xr:uid="{00000000-0005-0000-0000-0000E3310000}"/>
    <cellStyle name="Normal 12 3 6 3 4 4" xfId="13151" xr:uid="{00000000-0005-0000-0000-0000E4310000}"/>
    <cellStyle name="Normal 12 3 6 3 4 5" xfId="13152" xr:uid="{00000000-0005-0000-0000-0000E5310000}"/>
    <cellStyle name="Normal 12 3 6 3 4 6" xfId="13153" xr:uid="{00000000-0005-0000-0000-0000E6310000}"/>
    <cellStyle name="Normal 12 3 6 3 4 7" xfId="13154" xr:uid="{00000000-0005-0000-0000-0000E7310000}"/>
    <cellStyle name="Normal 12 3 6 3 4 8" xfId="13155" xr:uid="{00000000-0005-0000-0000-0000E8310000}"/>
    <cellStyle name="Normal 12 3 6 3 5" xfId="13156" xr:uid="{00000000-0005-0000-0000-0000E9310000}"/>
    <cellStyle name="Normal 12 3 6 3 5 2" xfId="13157" xr:uid="{00000000-0005-0000-0000-0000EA310000}"/>
    <cellStyle name="Normal 12 3 6 3 5 3" xfId="13158" xr:uid="{00000000-0005-0000-0000-0000EB310000}"/>
    <cellStyle name="Normal 12 3 6 3 5 4" xfId="13159" xr:uid="{00000000-0005-0000-0000-0000EC310000}"/>
    <cellStyle name="Normal 12 3 6 3 5 5" xfId="13160" xr:uid="{00000000-0005-0000-0000-0000ED310000}"/>
    <cellStyle name="Normal 12 3 6 3 6" xfId="13161" xr:uid="{00000000-0005-0000-0000-0000EE310000}"/>
    <cellStyle name="Normal 12 3 6 3 7" xfId="13162" xr:uid="{00000000-0005-0000-0000-0000EF310000}"/>
    <cellStyle name="Normal 12 3 6 3 8" xfId="13163" xr:uid="{00000000-0005-0000-0000-0000F0310000}"/>
    <cellStyle name="Normal 12 3 6 3 9" xfId="13164" xr:uid="{00000000-0005-0000-0000-0000F1310000}"/>
    <cellStyle name="Normal 12 3 6 4" xfId="13165" xr:uid="{00000000-0005-0000-0000-0000F2310000}"/>
    <cellStyle name="Normal 12 3 6 4 10" xfId="13166" xr:uid="{00000000-0005-0000-0000-0000F3310000}"/>
    <cellStyle name="Normal 12 3 6 4 2" xfId="13167" xr:uid="{00000000-0005-0000-0000-0000F4310000}"/>
    <cellStyle name="Normal 12 3 6 4 2 2" xfId="13168" xr:uid="{00000000-0005-0000-0000-0000F5310000}"/>
    <cellStyle name="Normal 12 3 6 4 2 2 2" xfId="13169" xr:uid="{00000000-0005-0000-0000-0000F6310000}"/>
    <cellStyle name="Normal 12 3 6 4 2 2 3" xfId="13170" xr:uid="{00000000-0005-0000-0000-0000F7310000}"/>
    <cellStyle name="Normal 12 3 6 4 2 2 4" xfId="13171" xr:uid="{00000000-0005-0000-0000-0000F8310000}"/>
    <cellStyle name="Normal 12 3 6 4 2 2 5" xfId="13172" xr:uid="{00000000-0005-0000-0000-0000F9310000}"/>
    <cellStyle name="Normal 12 3 6 4 2 3" xfId="13173" xr:uid="{00000000-0005-0000-0000-0000FA310000}"/>
    <cellStyle name="Normal 12 3 6 4 2 4" xfId="13174" xr:uid="{00000000-0005-0000-0000-0000FB310000}"/>
    <cellStyle name="Normal 12 3 6 4 2 5" xfId="13175" xr:uid="{00000000-0005-0000-0000-0000FC310000}"/>
    <cellStyle name="Normal 12 3 6 4 2 6" xfId="13176" xr:uid="{00000000-0005-0000-0000-0000FD310000}"/>
    <cellStyle name="Normal 12 3 6 4 2 7" xfId="13177" xr:uid="{00000000-0005-0000-0000-0000FE310000}"/>
    <cellStyle name="Normal 12 3 6 4 2 8" xfId="13178" xr:uid="{00000000-0005-0000-0000-0000FF310000}"/>
    <cellStyle name="Normal 12 3 6 4 3" xfId="13179" xr:uid="{00000000-0005-0000-0000-000000320000}"/>
    <cellStyle name="Normal 12 3 6 4 3 2" xfId="13180" xr:uid="{00000000-0005-0000-0000-000001320000}"/>
    <cellStyle name="Normal 12 3 6 4 3 2 2" xfId="13181" xr:uid="{00000000-0005-0000-0000-000002320000}"/>
    <cellStyle name="Normal 12 3 6 4 3 2 3" xfId="13182" xr:uid="{00000000-0005-0000-0000-000003320000}"/>
    <cellStyle name="Normal 12 3 6 4 3 2 4" xfId="13183" xr:uid="{00000000-0005-0000-0000-000004320000}"/>
    <cellStyle name="Normal 12 3 6 4 3 2 5" xfId="13184" xr:uid="{00000000-0005-0000-0000-000005320000}"/>
    <cellStyle name="Normal 12 3 6 4 3 3" xfId="13185" xr:uid="{00000000-0005-0000-0000-000006320000}"/>
    <cellStyle name="Normal 12 3 6 4 3 4" xfId="13186" xr:uid="{00000000-0005-0000-0000-000007320000}"/>
    <cellStyle name="Normal 12 3 6 4 3 5" xfId="13187" xr:uid="{00000000-0005-0000-0000-000008320000}"/>
    <cellStyle name="Normal 12 3 6 4 3 6" xfId="13188" xr:uid="{00000000-0005-0000-0000-000009320000}"/>
    <cellStyle name="Normal 12 3 6 4 3 7" xfId="13189" xr:uid="{00000000-0005-0000-0000-00000A320000}"/>
    <cellStyle name="Normal 12 3 6 4 3 8" xfId="13190" xr:uid="{00000000-0005-0000-0000-00000B320000}"/>
    <cellStyle name="Normal 12 3 6 4 4" xfId="13191" xr:uid="{00000000-0005-0000-0000-00000C320000}"/>
    <cellStyle name="Normal 12 3 6 4 4 2" xfId="13192" xr:uid="{00000000-0005-0000-0000-00000D320000}"/>
    <cellStyle name="Normal 12 3 6 4 4 3" xfId="13193" xr:uid="{00000000-0005-0000-0000-00000E320000}"/>
    <cellStyle name="Normal 12 3 6 4 4 4" xfId="13194" xr:uid="{00000000-0005-0000-0000-00000F320000}"/>
    <cellStyle name="Normal 12 3 6 4 4 5" xfId="13195" xr:uid="{00000000-0005-0000-0000-000010320000}"/>
    <cellStyle name="Normal 12 3 6 4 5" xfId="13196" xr:uid="{00000000-0005-0000-0000-000011320000}"/>
    <cellStyle name="Normal 12 3 6 4 6" xfId="13197" xr:uid="{00000000-0005-0000-0000-000012320000}"/>
    <cellStyle name="Normal 12 3 6 4 7" xfId="13198" xr:uid="{00000000-0005-0000-0000-000013320000}"/>
    <cellStyle name="Normal 12 3 6 4 8" xfId="13199" xr:uid="{00000000-0005-0000-0000-000014320000}"/>
    <cellStyle name="Normal 12 3 6 4 9" xfId="13200" xr:uid="{00000000-0005-0000-0000-000015320000}"/>
    <cellStyle name="Normal 12 3 6 5" xfId="13201" xr:uid="{00000000-0005-0000-0000-000016320000}"/>
    <cellStyle name="Normal 12 3 6 5 2" xfId="13202" xr:uid="{00000000-0005-0000-0000-000017320000}"/>
    <cellStyle name="Normal 12 3 6 5 2 2" xfId="13203" xr:uid="{00000000-0005-0000-0000-000018320000}"/>
    <cellStyle name="Normal 12 3 6 5 2 3" xfId="13204" xr:uid="{00000000-0005-0000-0000-000019320000}"/>
    <cellStyle name="Normal 12 3 6 5 2 4" xfId="13205" xr:uid="{00000000-0005-0000-0000-00001A320000}"/>
    <cellStyle name="Normal 12 3 6 5 2 5" xfId="13206" xr:uid="{00000000-0005-0000-0000-00001B320000}"/>
    <cellStyle name="Normal 12 3 6 5 3" xfId="13207" xr:uid="{00000000-0005-0000-0000-00001C320000}"/>
    <cellStyle name="Normal 12 3 6 5 4" xfId="13208" xr:uid="{00000000-0005-0000-0000-00001D320000}"/>
    <cellStyle name="Normal 12 3 6 5 5" xfId="13209" xr:uid="{00000000-0005-0000-0000-00001E320000}"/>
    <cellStyle name="Normal 12 3 6 5 6" xfId="13210" xr:uid="{00000000-0005-0000-0000-00001F320000}"/>
    <cellStyle name="Normal 12 3 6 5 7" xfId="13211" xr:uid="{00000000-0005-0000-0000-000020320000}"/>
    <cellStyle name="Normal 12 3 6 5 8" xfId="13212" xr:uid="{00000000-0005-0000-0000-000021320000}"/>
    <cellStyle name="Normal 12 3 6 6" xfId="13213" xr:uid="{00000000-0005-0000-0000-000022320000}"/>
    <cellStyle name="Normal 12 3 6 6 2" xfId="13214" xr:uid="{00000000-0005-0000-0000-000023320000}"/>
    <cellStyle name="Normal 12 3 6 6 2 2" xfId="13215" xr:uid="{00000000-0005-0000-0000-000024320000}"/>
    <cellStyle name="Normal 12 3 6 6 2 3" xfId="13216" xr:uid="{00000000-0005-0000-0000-000025320000}"/>
    <cellStyle name="Normal 12 3 6 6 2 4" xfId="13217" xr:uid="{00000000-0005-0000-0000-000026320000}"/>
    <cellStyle name="Normal 12 3 6 6 2 5" xfId="13218" xr:uid="{00000000-0005-0000-0000-000027320000}"/>
    <cellStyle name="Normal 12 3 6 6 3" xfId="13219" xr:uid="{00000000-0005-0000-0000-000028320000}"/>
    <cellStyle name="Normal 12 3 6 6 4" xfId="13220" xr:uid="{00000000-0005-0000-0000-000029320000}"/>
    <cellStyle name="Normal 12 3 6 6 5" xfId="13221" xr:uid="{00000000-0005-0000-0000-00002A320000}"/>
    <cellStyle name="Normal 12 3 6 6 6" xfId="13222" xr:uid="{00000000-0005-0000-0000-00002B320000}"/>
    <cellStyle name="Normal 12 3 6 6 7" xfId="13223" xr:uid="{00000000-0005-0000-0000-00002C320000}"/>
    <cellStyle name="Normal 12 3 6 6 8" xfId="13224" xr:uid="{00000000-0005-0000-0000-00002D320000}"/>
    <cellStyle name="Normal 12 3 6 7" xfId="13225" xr:uid="{00000000-0005-0000-0000-00002E320000}"/>
    <cellStyle name="Normal 12 3 6 7 2" xfId="13226" xr:uid="{00000000-0005-0000-0000-00002F320000}"/>
    <cellStyle name="Normal 12 3 6 7 3" xfId="13227" xr:uid="{00000000-0005-0000-0000-000030320000}"/>
    <cellStyle name="Normal 12 3 6 7 4" xfId="13228" xr:uid="{00000000-0005-0000-0000-000031320000}"/>
    <cellStyle name="Normal 12 3 6 7 5" xfId="13229" xr:uid="{00000000-0005-0000-0000-000032320000}"/>
    <cellStyle name="Normal 12 3 6 8" xfId="13230" xr:uid="{00000000-0005-0000-0000-000033320000}"/>
    <cellStyle name="Normal 12 3 6 9" xfId="13231" xr:uid="{00000000-0005-0000-0000-000034320000}"/>
    <cellStyle name="Normal 12 3 7" xfId="13232" xr:uid="{00000000-0005-0000-0000-000035320000}"/>
    <cellStyle name="Normal 12 3 7 10" xfId="13233" xr:uid="{00000000-0005-0000-0000-000036320000}"/>
    <cellStyle name="Normal 12 3 7 11" xfId="13234" xr:uid="{00000000-0005-0000-0000-000037320000}"/>
    <cellStyle name="Normal 12 3 7 12" xfId="13235" xr:uid="{00000000-0005-0000-0000-000038320000}"/>
    <cellStyle name="Normal 12 3 7 13" xfId="13236" xr:uid="{00000000-0005-0000-0000-000039320000}"/>
    <cellStyle name="Normal 12 3 7 2" xfId="13237" xr:uid="{00000000-0005-0000-0000-00003A320000}"/>
    <cellStyle name="Normal 12 3 7 2 10" xfId="13238" xr:uid="{00000000-0005-0000-0000-00003B320000}"/>
    <cellStyle name="Normal 12 3 7 2 11" xfId="13239" xr:uid="{00000000-0005-0000-0000-00003C320000}"/>
    <cellStyle name="Normal 12 3 7 2 2" xfId="13240" xr:uid="{00000000-0005-0000-0000-00003D320000}"/>
    <cellStyle name="Normal 12 3 7 2 2 10" xfId="13241" xr:uid="{00000000-0005-0000-0000-00003E320000}"/>
    <cellStyle name="Normal 12 3 7 2 2 2" xfId="13242" xr:uid="{00000000-0005-0000-0000-00003F320000}"/>
    <cellStyle name="Normal 12 3 7 2 2 2 2" xfId="13243" xr:uid="{00000000-0005-0000-0000-000040320000}"/>
    <cellStyle name="Normal 12 3 7 2 2 2 2 2" xfId="13244" xr:uid="{00000000-0005-0000-0000-000041320000}"/>
    <cellStyle name="Normal 12 3 7 2 2 2 2 3" xfId="13245" xr:uid="{00000000-0005-0000-0000-000042320000}"/>
    <cellStyle name="Normal 12 3 7 2 2 2 2 4" xfId="13246" xr:uid="{00000000-0005-0000-0000-000043320000}"/>
    <cellStyle name="Normal 12 3 7 2 2 2 2 5" xfId="13247" xr:uid="{00000000-0005-0000-0000-000044320000}"/>
    <cellStyle name="Normal 12 3 7 2 2 2 3" xfId="13248" xr:uid="{00000000-0005-0000-0000-000045320000}"/>
    <cellStyle name="Normal 12 3 7 2 2 2 4" xfId="13249" xr:uid="{00000000-0005-0000-0000-000046320000}"/>
    <cellStyle name="Normal 12 3 7 2 2 2 5" xfId="13250" xr:uid="{00000000-0005-0000-0000-000047320000}"/>
    <cellStyle name="Normal 12 3 7 2 2 2 6" xfId="13251" xr:uid="{00000000-0005-0000-0000-000048320000}"/>
    <cellStyle name="Normal 12 3 7 2 2 2 7" xfId="13252" xr:uid="{00000000-0005-0000-0000-000049320000}"/>
    <cellStyle name="Normal 12 3 7 2 2 2 8" xfId="13253" xr:uid="{00000000-0005-0000-0000-00004A320000}"/>
    <cellStyle name="Normal 12 3 7 2 2 3" xfId="13254" xr:uid="{00000000-0005-0000-0000-00004B320000}"/>
    <cellStyle name="Normal 12 3 7 2 2 3 2" xfId="13255" xr:uid="{00000000-0005-0000-0000-00004C320000}"/>
    <cellStyle name="Normal 12 3 7 2 2 3 2 2" xfId="13256" xr:uid="{00000000-0005-0000-0000-00004D320000}"/>
    <cellStyle name="Normal 12 3 7 2 2 3 2 3" xfId="13257" xr:uid="{00000000-0005-0000-0000-00004E320000}"/>
    <cellStyle name="Normal 12 3 7 2 2 3 2 4" xfId="13258" xr:uid="{00000000-0005-0000-0000-00004F320000}"/>
    <cellStyle name="Normal 12 3 7 2 2 3 2 5" xfId="13259" xr:uid="{00000000-0005-0000-0000-000050320000}"/>
    <cellStyle name="Normal 12 3 7 2 2 3 3" xfId="13260" xr:uid="{00000000-0005-0000-0000-000051320000}"/>
    <cellStyle name="Normal 12 3 7 2 2 3 4" xfId="13261" xr:uid="{00000000-0005-0000-0000-000052320000}"/>
    <cellStyle name="Normal 12 3 7 2 2 3 5" xfId="13262" xr:uid="{00000000-0005-0000-0000-000053320000}"/>
    <cellStyle name="Normal 12 3 7 2 2 3 6" xfId="13263" xr:uid="{00000000-0005-0000-0000-000054320000}"/>
    <cellStyle name="Normal 12 3 7 2 2 3 7" xfId="13264" xr:uid="{00000000-0005-0000-0000-000055320000}"/>
    <cellStyle name="Normal 12 3 7 2 2 3 8" xfId="13265" xr:uid="{00000000-0005-0000-0000-000056320000}"/>
    <cellStyle name="Normal 12 3 7 2 2 4" xfId="13266" xr:uid="{00000000-0005-0000-0000-000057320000}"/>
    <cellStyle name="Normal 12 3 7 2 2 4 2" xfId="13267" xr:uid="{00000000-0005-0000-0000-000058320000}"/>
    <cellStyle name="Normal 12 3 7 2 2 4 3" xfId="13268" xr:uid="{00000000-0005-0000-0000-000059320000}"/>
    <cellStyle name="Normal 12 3 7 2 2 4 4" xfId="13269" xr:uid="{00000000-0005-0000-0000-00005A320000}"/>
    <cellStyle name="Normal 12 3 7 2 2 4 5" xfId="13270" xr:uid="{00000000-0005-0000-0000-00005B320000}"/>
    <cellStyle name="Normal 12 3 7 2 2 5" xfId="13271" xr:uid="{00000000-0005-0000-0000-00005C320000}"/>
    <cellStyle name="Normal 12 3 7 2 2 6" xfId="13272" xr:uid="{00000000-0005-0000-0000-00005D320000}"/>
    <cellStyle name="Normal 12 3 7 2 2 7" xfId="13273" xr:uid="{00000000-0005-0000-0000-00005E320000}"/>
    <cellStyle name="Normal 12 3 7 2 2 8" xfId="13274" xr:uid="{00000000-0005-0000-0000-00005F320000}"/>
    <cellStyle name="Normal 12 3 7 2 2 9" xfId="13275" xr:uid="{00000000-0005-0000-0000-000060320000}"/>
    <cellStyle name="Normal 12 3 7 2 3" xfId="13276" xr:uid="{00000000-0005-0000-0000-000061320000}"/>
    <cellStyle name="Normal 12 3 7 2 3 2" xfId="13277" xr:uid="{00000000-0005-0000-0000-000062320000}"/>
    <cellStyle name="Normal 12 3 7 2 3 2 2" xfId="13278" xr:uid="{00000000-0005-0000-0000-000063320000}"/>
    <cellStyle name="Normal 12 3 7 2 3 2 3" xfId="13279" xr:uid="{00000000-0005-0000-0000-000064320000}"/>
    <cellStyle name="Normal 12 3 7 2 3 2 4" xfId="13280" xr:uid="{00000000-0005-0000-0000-000065320000}"/>
    <cellStyle name="Normal 12 3 7 2 3 2 5" xfId="13281" xr:uid="{00000000-0005-0000-0000-000066320000}"/>
    <cellStyle name="Normal 12 3 7 2 3 3" xfId="13282" xr:uid="{00000000-0005-0000-0000-000067320000}"/>
    <cellStyle name="Normal 12 3 7 2 3 4" xfId="13283" xr:uid="{00000000-0005-0000-0000-000068320000}"/>
    <cellStyle name="Normal 12 3 7 2 3 5" xfId="13284" xr:uid="{00000000-0005-0000-0000-000069320000}"/>
    <cellStyle name="Normal 12 3 7 2 3 6" xfId="13285" xr:uid="{00000000-0005-0000-0000-00006A320000}"/>
    <cellStyle name="Normal 12 3 7 2 3 7" xfId="13286" xr:uid="{00000000-0005-0000-0000-00006B320000}"/>
    <cellStyle name="Normal 12 3 7 2 3 8" xfId="13287" xr:uid="{00000000-0005-0000-0000-00006C320000}"/>
    <cellStyle name="Normal 12 3 7 2 4" xfId="13288" xr:uid="{00000000-0005-0000-0000-00006D320000}"/>
    <cellStyle name="Normal 12 3 7 2 4 2" xfId="13289" xr:uid="{00000000-0005-0000-0000-00006E320000}"/>
    <cellStyle name="Normal 12 3 7 2 4 2 2" xfId="13290" xr:uid="{00000000-0005-0000-0000-00006F320000}"/>
    <cellStyle name="Normal 12 3 7 2 4 2 3" xfId="13291" xr:uid="{00000000-0005-0000-0000-000070320000}"/>
    <cellStyle name="Normal 12 3 7 2 4 2 4" xfId="13292" xr:uid="{00000000-0005-0000-0000-000071320000}"/>
    <cellStyle name="Normal 12 3 7 2 4 2 5" xfId="13293" xr:uid="{00000000-0005-0000-0000-000072320000}"/>
    <cellStyle name="Normal 12 3 7 2 4 3" xfId="13294" xr:uid="{00000000-0005-0000-0000-000073320000}"/>
    <cellStyle name="Normal 12 3 7 2 4 4" xfId="13295" xr:uid="{00000000-0005-0000-0000-000074320000}"/>
    <cellStyle name="Normal 12 3 7 2 4 5" xfId="13296" xr:uid="{00000000-0005-0000-0000-000075320000}"/>
    <cellStyle name="Normal 12 3 7 2 4 6" xfId="13297" xr:uid="{00000000-0005-0000-0000-000076320000}"/>
    <cellStyle name="Normal 12 3 7 2 4 7" xfId="13298" xr:uid="{00000000-0005-0000-0000-000077320000}"/>
    <cellStyle name="Normal 12 3 7 2 4 8" xfId="13299" xr:uid="{00000000-0005-0000-0000-000078320000}"/>
    <cellStyle name="Normal 12 3 7 2 5" xfId="13300" xr:uid="{00000000-0005-0000-0000-000079320000}"/>
    <cellStyle name="Normal 12 3 7 2 5 2" xfId="13301" xr:uid="{00000000-0005-0000-0000-00007A320000}"/>
    <cellStyle name="Normal 12 3 7 2 5 3" xfId="13302" xr:uid="{00000000-0005-0000-0000-00007B320000}"/>
    <cellStyle name="Normal 12 3 7 2 5 4" xfId="13303" xr:uid="{00000000-0005-0000-0000-00007C320000}"/>
    <cellStyle name="Normal 12 3 7 2 5 5" xfId="13304" xr:uid="{00000000-0005-0000-0000-00007D320000}"/>
    <cellStyle name="Normal 12 3 7 2 6" xfId="13305" xr:uid="{00000000-0005-0000-0000-00007E320000}"/>
    <cellStyle name="Normal 12 3 7 2 7" xfId="13306" xr:uid="{00000000-0005-0000-0000-00007F320000}"/>
    <cellStyle name="Normal 12 3 7 2 8" xfId="13307" xr:uid="{00000000-0005-0000-0000-000080320000}"/>
    <cellStyle name="Normal 12 3 7 2 9" xfId="13308" xr:uid="{00000000-0005-0000-0000-000081320000}"/>
    <cellStyle name="Normal 12 3 7 3" xfId="13309" xr:uid="{00000000-0005-0000-0000-000082320000}"/>
    <cellStyle name="Normal 12 3 7 3 10" xfId="13310" xr:uid="{00000000-0005-0000-0000-000083320000}"/>
    <cellStyle name="Normal 12 3 7 3 11" xfId="13311" xr:uid="{00000000-0005-0000-0000-000084320000}"/>
    <cellStyle name="Normal 12 3 7 3 2" xfId="13312" xr:uid="{00000000-0005-0000-0000-000085320000}"/>
    <cellStyle name="Normal 12 3 7 3 2 10" xfId="13313" xr:uid="{00000000-0005-0000-0000-000086320000}"/>
    <cellStyle name="Normal 12 3 7 3 2 2" xfId="13314" xr:uid="{00000000-0005-0000-0000-000087320000}"/>
    <cellStyle name="Normal 12 3 7 3 2 2 2" xfId="13315" xr:uid="{00000000-0005-0000-0000-000088320000}"/>
    <cellStyle name="Normal 12 3 7 3 2 2 2 2" xfId="13316" xr:uid="{00000000-0005-0000-0000-000089320000}"/>
    <cellStyle name="Normal 12 3 7 3 2 2 2 3" xfId="13317" xr:uid="{00000000-0005-0000-0000-00008A320000}"/>
    <cellStyle name="Normal 12 3 7 3 2 2 2 4" xfId="13318" xr:uid="{00000000-0005-0000-0000-00008B320000}"/>
    <cellStyle name="Normal 12 3 7 3 2 2 2 5" xfId="13319" xr:uid="{00000000-0005-0000-0000-00008C320000}"/>
    <cellStyle name="Normal 12 3 7 3 2 2 3" xfId="13320" xr:uid="{00000000-0005-0000-0000-00008D320000}"/>
    <cellStyle name="Normal 12 3 7 3 2 2 4" xfId="13321" xr:uid="{00000000-0005-0000-0000-00008E320000}"/>
    <cellStyle name="Normal 12 3 7 3 2 2 5" xfId="13322" xr:uid="{00000000-0005-0000-0000-00008F320000}"/>
    <cellStyle name="Normal 12 3 7 3 2 2 6" xfId="13323" xr:uid="{00000000-0005-0000-0000-000090320000}"/>
    <cellStyle name="Normal 12 3 7 3 2 2 7" xfId="13324" xr:uid="{00000000-0005-0000-0000-000091320000}"/>
    <cellStyle name="Normal 12 3 7 3 2 2 8" xfId="13325" xr:uid="{00000000-0005-0000-0000-000092320000}"/>
    <cellStyle name="Normal 12 3 7 3 2 3" xfId="13326" xr:uid="{00000000-0005-0000-0000-000093320000}"/>
    <cellStyle name="Normal 12 3 7 3 2 3 2" xfId="13327" xr:uid="{00000000-0005-0000-0000-000094320000}"/>
    <cellStyle name="Normal 12 3 7 3 2 3 2 2" xfId="13328" xr:uid="{00000000-0005-0000-0000-000095320000}"/>
    <cellStyle name="Normal 12 3 7 3 2 3 2 3" xfId="13329" xr:uid="{00000000-0005-0000-0000-000096320000}"/>
    <cellStyle name="Normal 12 3 7 3 2 3 2 4" xfId="13330" xr:uid="{00000000-0005-0000-0000-000097320000}"/>
    <cellStyle name="Normal 12 3 7 3 2 3 2 5" xfId="13331" xr:uid="{00000000-0005-0000-0000-000098320000}"/>
    <cellStyle name="Normal 12 3 7 3 2 3 3" xfId="13332" xr:uid="{00000000-0005-0000-0000-000099320000}"/>
    <cellStyle name="Normal 12 3 7 3 2 3 4" xfId="13333" xr:uid="{00000000-0005-0000-0000-00009A320000}"/>
    <cellStyle name="Normal 12 3 7 3 2 3 5" xfId="13334" xr:uid="{00000000-0005-0000-0000-00009B320000}"/>
    <cellStyle name="Normal 12 3 7 3 2 3 6" xfId="13335" xr:uid="{00000000-0005-0000-0000-00009C320000}"/>
    <cellStyle name="Normal 12 3 7 3 2 3 7" xfId="13336" xr:uid="{00000000-0005-0000-0000-00009D320000}"/>
    <cellStyle name="Normal 12 3 7 3 2 3 8" xfId="13337" xr:uid="{00000000-0005-0000-0000-00009E320000}"/>
    <cellStyle name="Normal 12 3 7 3 2 4" xfId="13338" xr:uid="{00000000-0005-0000-0000-00009F320000}"/>
    <cellStyle name="Normal 12 3 7 3 2 4 2" xfId="13339" xr:uid="{00000000-0005-0000-0000-0000A0320000}"/>
    <cellStyle name="Normal 12 3 7 3 2 4 3" xfId="13340" xr:uid="{00000000-0005-0000-0000-0000A1320000}"/>
    <cellStyle name="Normal 12 3 7 3 2 4 4" xfId="13341" xr:uid="{00000000-0005-0000-0000-0000A2320000}"/>
    <cellStyle name="Normal 12 3 7 3 2 4 5" xfId="13342" xr:uid="{00000000-0005-0000-0000-0000A3320000}"/>
    <cellStyle name="Normal 12 3 7 3 2 5" xfId="13343" xr:uid="{00000000-0005-0000-0000-0000A4320000}"/>
    <cellStyle name="Normal 12 3 7 3 2 6" xfId="13344" xr:uid="{00000000-0005-0000-0000-0000A5320000}"/>
    <cellStyle name="Normal 12 3 7 3 2 7" xfId="13345" xr:uid="{00000000-0005-0000-0000-0000A6320000}"/>
    <cellStyle name="Normal 12 3 7 3 2 8" xfId="13346" xr:uid="{00000000-0005-0000-0000-0000A7320000}"/>
    <cellStyle name="Normal 12 3 7 3 2 9" xfId="13347" xr:uid="{00000000-0005-0000-0000-0000A8320000}"/>
    <cellStyle name="Normal 12 3 7 3 3" xfId="13348" xr:uid="{00000000-0005-0000-0000-0000A9320000}"/>
    <cellStyle name="Normal 12 3 7 3 3 2" xfId="13349" xr:uid="{00000000-0005-0000-0000-0000AA320000}"/>
    <cellStyle name="Normal 12 3 7 3 3 2 2" xfId="13350" xr:uid="{00000000-0005-0000-0000-0000AB320000}"/>
    <cellStyle name="Normal 12 3 7 3 3 2 3" xfId="13351" xr:uid="{00000000-0005-0000-0000-0000AC320000}"/>
    <cellStyle name="Normal 12 3 7 3 3 2 4" xfId="13352" xr:uid="{00000000-0005-0000-0000-0000AD320000}"/>
    <cellStyle name="Normal 12 3 7 3 3 2 5" xfId="13353" xr:uid="{00000000-0005-0000-0000-0000AE320000}"/>
    <cellStyle name="Normal 12 3 7 3 3 3" xfId="13354" xr:uid="{00000000-0005-0000-0000-0000AF320000}"/>
    <cellStyle name="Normal 12 3 7 3 3 4" xfId="13355" xr:uid="{00000000-0005-0000-0000-0000B0320000}"/>
    <cellStyle name="Normal 12 3 7 3 3 5" xfId="13356" xr:uid="{00000000-0005-0000-0000-0000B1320000}"/>
    <cellStyle name="Normal 12 3 7 3 3 6" xfId="13357" xr:uid="{00000000-0005-0000-0000-0000B2320000}"/>
    <cellStyle name="Normal 12 3 7 3 3 7" xfId="13358" xr:uid="{00000000-0005-0000-0000-0000B3320000}"/>
    <cellStyle name="Normal 12 3 7 3 3 8" xfId="13359" xr:uid="{00000000-0005-0000-0000-0000B4320000}"/>
    <cellStyle name="Normal 12 3 7 3 4" xfId="13360" xr:uid="{00000000-0005-0000-0000-0000B5320000}"/>
    <cellStyle name="Normal 12 3 7 3 4 2" xfId="13361" xr:uid="{00000000-0005-0000-0000-0000B6320000}"/>
    <cellStyle name="Normal 12 3 7 3 4 2 2" xfId="13362" xr:uid="{00000000-0005-0000-0000-0000B7320000}"/>
    <cellStyle name="Normal 12 3 7 3 4 2 3" xfId="13363" xr:uid="{00000000-0005-0000-0000-0000B8320000}"/>
    <cellStyle name="Normal 12 3 7 3 4 2 4" xfId="13364" xr:uid="{00000000-0005-0000-0000-0000B9320000}"/>
    <cellStyle name="Normal 12 3 7 3 4 2 5" xfId="13365" xr:uid="{00000000-0005-0000-0000-0000BA320000}"/>
    <cellStyle name="Normal 12 3 7 3 4 3" xfId="13366" xr:uid="{00000000-0005-0000-0000-0000BB320000}"/>
    <cellStyle name="Normal 12 3 7 3 4 4" xfId="13367" xr:uid="{00000000-0005-0000-0000-0000BC320000}"/>
    <cellStyle name="Normal 12 3 7 3 4 5" xfId="13368" xr:uid="{00000000-0005-0000-0000-0000BD320000}"/>
    <cellStyle name="Normal 12 3 7 3 4 6" xfId="13369" xr:uid="{00000000-0005-0000-0000-0000BE320000}"/>
    <cellStyle name="Normal 12 3 7 3 4 7" xfId="13370" xr:uid="{00000000-0005-0000-0000-0000BF320000}"/>
    <cellStyle name="Normal 12 3 7 3 4 8" xfId="13371" xr:uid="{00000000-0005-0000-0000-0000C0320000}"/>
    <cellStyle name="Normal 12 3 7 3 5" xfId="13372" xr:uid="{00000000-0005-0000-0000-0000C1320000}"/>
    <cellStyle name="Normal 12 3 7 3 5 2" xfId="13373" xr:uid="{00000000-0005-0000-0000-0000C2320000}"/>
    <cellStyle name="Normal 12 3 7 3 5 3" xfId="13374" xr:uid="{00000000-0005-0000-0000-0000C3320000}"/>
    <cellStyle name="Normal 12 3 7 3 5 4" xfId="13375" xr:uid="{00000000-0005-0000-0000-0000C4320000}"/>
    <cellStyle name="Normal 12 3 7 3 5 5" xfId="13376" xr:uid="{00000000-0005-0000-0000-0000C5320000}"/>
    <cellStyle name="Normal 12 3 7 3 6" xfId="13377" xr:uid="{00000000-0005-0000-0000-0000C6320000}"/>
    <cellStyle name="Normal 12 3 7 3 7" xfId="13378" xr:uid="{00000000-0005-0000-0000-0000C7320000}"/>
    <cellStyle name="Normal 12 3 7 3 8" xfId="13379" xr:uid="{00000000-0005-0000-0000-0000C8320000}"/>
    <cellStyle name="Normal 12 3 7 3 9" xfId="13380" xr:uid="{00000000-0005-0000-0000-0000C9320000}"/>
    <cellStyle name="Normal 12 3 7 4" xfId="13381" xr:uid="{00000000-0005-0000-0000-0000CA320000}"/>
    <cellStyle name="Normal 12 3 7 4 10" xfId="13382" xr:uid="{00000000-0005-0000-0000-0000CB320000}"/>
    <cellStyle name="Normal 12 3 7 4 2" xfId="13383" xr:uid="{00000000-0005-0000-0000-0000CC320000}"/>
    <cellStyle name="Normal 12 3 7 4 2 2" xfId="13384" xr:uid="{00000000-0005-0000-0000-0000CD320000}"/>
    <cellStyle name="Normal 12 3 7 4 2 2 2" xfId="13385" xr:uid="{00000000-0005-0000-0000-0000CE320000}"/>
    <cellStyle name="Normal 12 3 7 4 2 2 3" xfId="13386" xr:uid="{00000000-0005-0000-0000-0000CF320000}"/>
    <cellStyle name="Normal 12 3 7 4 2 2 4" xfId="13387" xr:uid="{00000000-0005-0000-0000-0000D0320000}"/>
    <cellStyle name="Normal 12 3 7 4 2 2 5" xfId="13388" xr:uid="{00000000-0005-0000-0000-0000D1320000}"/>
    <cellStyle name="Normal 12 3 7 4 2 3" xfId="13389" xr:uid="{00000000-0005-0000-0000-0000D2320000}"/>
    <cellStyle name="Normal 12 3 7 4 2 4" xfId="13390" xr:uid="{00000000-0005-0000-0000-0000D3320000}"/>
    <cellStyle name="Normal 12 3 7 4 2 5" xfId="13391" xr:uid="{00000000-0005-0000-0000-0000D4320000}"/>
    <cellStyle name="Normal 12 3 7 4 2 6" xfId="13392" xr:uid="{00000000-0005-0000-0000-0000D5320000}"/>
    <cellStyle name="Normal 12 3 7 4 2 7" xfId="13393" xr:uid="{00000000-0005-0000-0000-0000D6320000}"/>
    <cellStyle name="Normal 12 3 7 4 2 8" xfId="13394" xr:uid="{00000000-0005-0000-0000-0000D7320000}"/>
    <cellStyle name="Normal 12 3 7 4 3" xfId="13395" xr:uid="{00000000-0005-0000-0000-0000D8320000}"/>
    <cellStyle name="Normal 12 3 7 4 3 2" xfId="13396" xr:uid="{00000000-0005-0000-0000-0000D9320000}"/>
    <cellStyle name="Normal 12 3 7 4 3 2 2" xfId="13397" xr:uid="{00000000-0005-0000-0000-0000DA320000}"/>
    <cellStyle name="Normal 12 3 7 4 3 2 3" xfId="13398" xr:uid="{00000000-0005-0000-0000-0000DB320000}"/>
    <cellStyle name="Normal 12 3 7 4 3 2 4" xfId="13399" xr:uid="{00000000-0005-0000-0000-0000DC320000}"/>
    <cellStyle name="Normal 12 3 7 4 3 2 5" xfId="13400" xr:uid="{00000000-0005-0000-0000-0000DD320000}"/>
    <cellStyle name="Normal 12 3 7 4 3 3" xfId="13401" xr:uid="{00000000-0005-0000-0000-0000DE320000}"/>
    <cellStyle name="Normal 12 3 7 4 3 4" xfId="13402" xr:uid="{00000000-0005-0000-0000-0000DF320000}"/>
    <cellStyle name="Normal 12 3 7 4 3 5" xfId="13403" xr:uid="{00000000-0005-0000-0000-0000E0320000}"/>
    <cellStyle name="Normal 12 3 7 4 3 6" xfId="13404" xr:uid="{00000000-0005-0000-0000-0000E1320000}"/>
    <cellStyle name="Normal 12 3 7 4 3 7" xfId="13405" xr:uid="{00000000-0005-0000-0000-0000E2320000}"/>
    <cellStyle name="Normal 12 3 7 4 3 8" xfId="13406" xr:uid="{00000000-0005-0000-0000-0000E3320000}"/>
    <cellStyle name="Normal 12 3 7 4 4" xfId="13407" xr:uid="{00000000-0005-0000-0000-0000E4320000}"/>
    <cellStyle name="Normal 12 3 7 4 4 2" xfId="13408" xr:uid="{00000000-0005-0000-0000-0000E5320000}"/>
    <cellStyle name="Normal 12 3 7 4 4 3" xfId="13409" xr:uid="{00000000-0005-0000-0000-0000E6320000}"/>
    <cellStyle name="Normal 12 3 7 4 4 4" xfId="13410" xr:uid="{00000000-0005-0000-0000-0000E7320000}"/>
    <cellStyle name="Normal 12 3 7 4 4 5" xfId="13411" xr:uid="{00000000-0005-0000-0000-0000E8320000}"/>
    <cellStyle name="Normal 12 3 7 4 5" xfId="13412" xr:uid="{00000000-0005-0000-0000-0000E9320000}"/>
    <cellStyle name="Normal 12 3 7 4 6" xfId="13413" xr:uid="{00000000-0005-0000-0000-0000EA320000}"/>
    <cellStyle name="Normal 12 3 7 4 7" xfId="13414" xr:uid="{00000000-0005-0000-0000-0000EB320000}"/>
    <cellStyle name="Normal 12 3 7 4 8" xfId="13415" xr:uid="{00000000-0005-0000-0000-0000EC320000}"/>
    <cellStyle name="Normal 12 3 7 4 9" xfId="13416" xr:uid="{00000000-0005-0000-0000-0000ED320000}"/>
    <cellStyle name="Normal 12 3 7 5" xfId="13417" xr:uid="{00000000-0005-0000-0000-0000EE320000}"/>
    <cellStyle name="Normal 12 3 7 5 2" xfId="13418" xr:uid="{00000000-0005-0000-0000-0000EF320000}"/>
    <cellStyle name="Normal 12 3 7 5 2 2" xfId="13419" xr:uid="{00000000-0005-0000-0000-0000F0320000}"/>
    <cellStyle name="Normal 12 3 7 5 2 3" xfId="13420" xr:uid="{00000000-0005-0000-0000-0000F1320000}"/>
    <cellStyle name="Normal 12 3 7 5 2 4" xfId="13421" xr:uid="{00000000-0005-0000-0000-0000F2320000}"/>
    <cellStyle name="Normal 12 3 7 5 2 5" xfId="13422" xr:uid="{00000000-0005-0000-0000-0000F3320000}"/>
    <cellStyle name="Normal 12 3 7 5 3" xfId="13423" xr:uid="{00000000-0005-0000-0000-0000F4320000}"/>
    <cellStyle name="Normal 12 3 7 5 4" xfId="13424" xr:uid="{00000000-0005-0000-0000-0000F5320000}"/>
    <cellStyle name="Normal 12 3 7 5 5" xfId="13425" xr:uid="{00000000-0005-0000-0000-0000F6320000}"/>
    <cellStyle name="Normal 12 3 7 5 6" xfId="13426" xr:uid="{00000000-0005-0000-0000-0000F7320000}"/>
    <cellStyle name="Normal 12 3 7 5 7" xfId="13427" xr:uid="{00000000-0005-0000-0000-0000F8320000}"/>
    <cellStyle name="Normal 12 3 7 5 8" xfId="13428" xr:uid="{00000000-0005-0000-0000-0000F9320000}"/>
    <cellStyle name="Normal 12 3 7 6" xfId="13429" xr:uid="{00000000-0005-0000-0000-0000FA320000}"/>
    <cellStyle name="Normal 12 3 7 6 2" xfId="13430" xr:uid="{00000000-0005-0000-0000-0000FB320000}"/>
    <cellStyle name="Normal 12 3 7 6 2 2" xfId="13431" xr:uid="{00000000-0005-0000-0000-0000FC320000}"/>
    <cellStyle name="Normal 12 3 7 6 2 3" xfId="13432" xr:uid="{00000000-0005-0000-0000-0000FD320000}"/>
    <cellStyle name="Normal 12 3 7 6 2 4" xfId="13433" xr:uid="{00000000-0005-0000-0000-0000FE320000}"/>
    <cellStyle name="Normal 12 3 7 6 2 5" xfId="13434" xr:uid="{00000000-0005-0000-0000-0000FF320000}"/>
    <cellStyle name="Normal 12 3 7 6 3" xfId="13435" xr:uid="{00000000-0005-0000-0000-000000330000}"/>
    <cellStyle name="Normal 12 3 7 6 4" xfId="13436" xr:uid="{00000000-0005-0000-0000-000001330000}"/>
    <cellStyle name="Normal 12 3 7 6 5" xfId="13437" xr:uid="{00000000-0005-0000-0000-000002330000}"/>
    <cellStyle name="Normal 12 3 7 6 6" xfId="13438" xr:uid="{00000000-0005-0000-0000-000003330000}"/>
    <cellStyle name="Normal 12 3 7 6 7" xfId="13439" xr:uid="{00000000-0005-0000-0000-000004330000}"/>
    <cellStyle name="Normal 12 3 7 6 8" xfId="13440" xr:uid="{00000000-0005-0000-0000-000005330000}"/>
    <cellStyle name="Normal 12 3 7 7" xfId="13441" xr:uid="{00000000-0005-0000-0000-000006330000}"/>
    <cellStyle name="Normal 12 3 7 7 2" xfId="13442" xr:uid="{00000000-0005-0000-0000-000007330000}"/>
    <cellStyle name="Normal 12 3 7 7 3" xfId="13443" xr:uid="{00000000-0005-0000-0000-000008330000}"/>
    <cellStyle name="Normal 12 3 7 7 4" xfId="13444" xr:uid="{00000000-0005-0000-0000-000009330000}"/>
    <cellStyle name="Normal 12 3 7 7 5" xfId="13445" xr:uid="{00000000-0005-0000-0000-00000A330000}"/>
    <cellStyle name="Normal 12 3 7 8" xfId="13446" xr:uid="{00000000-0005-0000-0000-00000B330000}"/>
    <cellStyle name="Normal 12 3 7 9" xfId="13447" xr:uid="{00000000-0005-0000-0000-00000C330000}"/>
    <cellStyle name="Normal 12 3 8" xfId="13448" xr:uid="{00000000-0005-0000-0000-00000D330000}"/>
    <cellStyle name="Normal 12 3 8 10" xfId="13449" xr:uid="{00000000-0005-0000-0000-00000E330000}"/>
    <cellStyle name="Normal 12 3 8 11" xfId="13450" xr:uid="{00000000-0005-0000-0000-00000F330000}"/>
    <cellStyle name="Normal 12 3 8 12" xfId="13451" xr:uid="{00000000-0005-0000-0000-000010330000}"/>
    <cellStyle name="Normal 12 3 8 13" xfId="13452" xr:uid="{00000000-0005-0000-0000-000011330000}"/>
    <cellStyle name="Normal 12 3 8 2" xfId="13453" xr:uid="{00000000-0005-0000-0000-000012330000}"/>
    <cellStyle name="Normal 12 3 8 2 10" xfId="13454" xr:uid="{00000000-0005-0000-0000-000013330000}"/>
    <cellStyle name="Normal 12 3 8 2 11" xfId="13455" xr:uid="{00000000-0005-0000-0000-000014330000}"/>
    <cellStyle name="Normal 12 3 8 2 2" xfId="13456" xr:uid="{00000000-0005-0000-0000-000015330000}"/>
    <cellStyle name="Normal 12 3 8 2 2 10" xfId="13457" xr:uid="{00000000-0005-0000-0000-000016330000}"/>
    <cellStyle name="Normal 12 3 8 2 2 2" xfId="13458" xr:uid="{00000000-0005-0000-0000-000017330000}"/>
    <cellStyle name="Normal 12 3 8 2 2 2 2" xfId="13459" xr:uid="{00000000-0005-0000-0000-000018330000}"/>
    <cellStyle name="Normal 12 3 8 2 2 2 2 2" xfId="13460" xr:uid="{00000000-0005-0000-0000-000019330000}"/>
    <cellStyle name="Normal 12 3 8 2 2 2 2 3" xfId="13461" xr:uid="{00000000-0005-0000-0000-00001A330000}"/>
    <cellStyle name="Normal 12 3 8 2 2 2 2 4" xfId="13462" xr:uid="{00000000-0005-0000-0000-00001B330000}"/>
    <cellStyle name="Normal 12 3 8 2 2 2 2 5" xfId="13463" xr:uid="{00000000-0005-0000-0000-00001C330000}"/>
    <cellStyle name="Normal 12 3 8 2 2 2 3" xfId="13464" xr:uid="{00000000-0005-0000-0000-00001D330000}"/>
    <cellStyle name="Normal 12 3 8 2 2 2 4" xfId="13465" xr:uid="{00000000-0005-0000-0000-00001E330000}"/>
    <cellStyle name="Normal 12 3 8 2 2 2 5" xfId="13466" xr:uid="{00000000-0005-0000-0000-00001F330000}"/>
    <cellStyle name="Normal 12 3 8 2 2 2 6" xfId="13467" xr:uid="{00000000-0005-0000-0000-000020330000}"/>
    <cellStyle name="Normal 12 3 8 2 2 2 7" xfId="13468" xr:uid="{00000000-0005-0000-0000-000021330000}"/>
    <cellStyle name="Normal 12 3 8 2 2 2 8" xfId="13469" xr:uid="{00000000-0005-0000-0000-000022330000}"/>
    <cellStyle name="Normal 12 3 8 2 2 3" xfId="13470" xr:uid="{00000000-0005-0000-0000-000023330000}"/>
    <cellStyle name="Normal 12 3 8 2 2 3 2" xfId="13471" xr:uid="{00000000-0005-0000-0000-000024330000}"/>
    <cellStyle name="Normal 12 3 8 2 2 3 2 2" xfId="13472" xr:uid="{00000000-0005-0000-0000-000025330000}"/>
    <cellStyle name="Normal 12 3 8 2 2 3 2 3" xfId="13473" xr:uid="{00000000-0005-0000-0000-000026330000}"/>
    <cellStyle name="Normal 12 3 8 2 2 3 2 4" xfId="13474" xr:uid="{00000000-0005-0000-0000-000027330000}"/>
    <cellStyle name="Normal 12 3 8 2 2 3 2 5" xfId="13475" xr:uid="{00000000-0005-0000-0000-000028330000}"/>
    <cellStyle name="Normal 12 3 8 2 2 3 3" xfId="13476" xr:uid="{00000000-0005-0000-0000-000029330000}"/>
    <cellStyle name="Normal 12 3 8 2 2 3 4" xfId="13477" xr:uid="{00000000-0005-0000-0000-00002A330000}"/>
    <cellStyle name="Normal 12 3 8 2 2 3 5" xfId="13478" xr:uid="{00000000-0005-0000-0000-00002B330000}"/>
    <cellStyle name="Normal 12 3 8 2 2 3 6" xfId="13479" xr:uid="{00000000-0005-0000-0000-00002C330000}"/>
    <cellStyle name="Normal 12 3 8 2 2 3 7" xfId="13480" xr:uid="{00000000-0005-0000-0000-00002D330000}"/>
    <cellStyle name="Normal 12 3 8 2 2 3 8" xfId="13481" xr:uid="{00000000-0005-0000-0000-00002E330000}"/>
    <cellStyle name="Normal 12 3 8 2 2 4" xfId="13482" xr:uid="{00000000-0005-0000-0000-00002F330000}"/>
    <cellStyle name="Normal 12 3 8 2 2 4 2" xfId="13483" xr:uid="{00000000-0005-0000-0000-000030330000}"/>
    <cellStyle name="Normal 12 3 8 2 2 4 3" xfId="13484" xr:uid="{00000000-0005-0000-0000-000031330000}"/>
    <cellStyle name="Normal 12 3 8 2 2 4 4" xfId="13485" xr:uid="{00000000-0005-0000-0000-000032330000}"/>
    <cellStyle name="Normal 12 3 8 2 2 4 5" xfId="13486" xr:uid="{00000000-0005-0000-0000-000033330000}"/>
    <cellStyle name="Normal 12 3 8 2 2 5" xfId="13487" xr:uid="{00000000-0005-0000-0000-000034330000}"/>
    <cellStyle name="Normal 12 3 8 2 2 6" xfId="13488" xr:uid="{00000000-0005-0000-0000-000035330000}"/>
    <cellStyle name="Normal 12 3 8 2 2 7" xfId="13489" xr:uid="{00000000-0005-0000-0000-000036330000}"/>
    <cellStyle name="Normal 12 3 8 2 2 8" xfId="13490" xr:uid="{00000000-0005-0000-0000-000037330000}"/>
    <cellStyle name="Normal 12 3 8 2 2 9" xfId="13491" xr:uid="{00000000-0005-0000-0000-000038330000}"/>
    <cellStyle name="Normal 12 3 8 2 3" xfId="13492" xr:uid="{00000000-0005-0000-0000-000039330000}"/>
    <cellStyle name="Normal 12 3 8 2 3 2" xfId="13493" xr:uid="{00000000-0005-0000-0000-00003A330000}"/>
    <cellStyle name="Normal 12 3 8 2 3 2 2" xfId="13494" xr:uid="{00000000-0005-0000-0000-00003B330000}"/>
    <cellStyle name="Normal 12 3 8 2 3 2 3" xfId="13495" xr:uid="{00000000-0005-0000-0000-00003C330000}"/>
    <cellStyle name="Normal 12 3 8 2 3 2 4" xfId="13496" xr:uid="{00000000-0005-0000-0000-00003D330000}"/>
    <cellStyle name="Normal 12 3 8 2 3 2 5" xfId="13497" xr:uid="{00000000-0005-0000-0000-00003E330000}"/>
    <cellStyle name="Normal 12 3 8 2 3 3" xfId="13498" xr:uid="{00000000-0005-0000-0000-00003F330000}"/>
    <cellStyle name="Normal 12 3 8 2 3 4" xfId="13499" xr:uid="{00000000-0005-0000-0000-000040330000}"/>
    <cellStyle name="Normal 12 3 8 2 3 5" xfId="13500" xr:uid="{00000000-0005-0000-0000-000041330000}"/>
    <cellStyle name="Normal 12 3 8 2 3 6" xfId="13501" xr:uid="{00000000-0005-0000-0000-000042330000}"/>
    <cellStyle name="Normal 12 3 8 2 3 7" xfId="13502" xr:uid="{00000000-0005-0000-0000-000043330000}"/>
    <cellStyle name="Normal 12 3 8 2 3 8" xfId="13503" xr:uid="{00000000-0005-0000-0000-000044330000}"/>
    <cellStyle name="Normal 12 3 8 2 4" xfId="13504" xr:uid="{00000000-0005-0000-0000-000045330000}"/>
    <cellStyle name="Normal 12 3 8 2 4 2" xfId="13505" xr:uid="{00000000-0005-0000-0000-000046330000}"/>
    <cellStyle name="Normal 12 3 8 2 4 2 2" xfId="13506" xr:uid="{00000000-0005-0000-0000-000047330000}"/>
    <cellStyle name="Normal 12 3 8 2 4 2 3" xfId="13507" xr:uid="{00000000-0005-0000-0000-000048330000}"/>
    <cellStyle name="Normal 12 3 8 2 4 2 4" xfId="13508" xr:uid="{00000000-0005-0000-0000-000049330000}"/>
    <cellStyle name="Normal 12 3 8 2 4 2 5" xfId="13509" xr:uid="{00000000-0005-0000-0000-00004A330000}"/>
    <cellStyle name="Normal 12 3 8 2 4 3" xfId="13510" xr:uid="{00000000-0005-0000-0000-00004B330000}"/>
    <cellStyle name="Normal 12 3 8 2 4 4" xfId="13511" xr:uid="{00000000-0005-0000-0000-00004C330000}"/>
    <cellStyle name="Normal 12 3 8 2 4 5" xfId="13512" xr:uid="{00000000-0005-0000-0000-00004D330000}"/>
    <cellStyle name="Normal 12 3 8 2 4 6" xfId="13513" xr:uid="{00000000-0005-0000-0000-00004E330000}"/>
    <cellStyle name="Normal 12 3 8 2 4 7" xfId="13514" xr:uid="{00000000-0005-0000-0000-00004F330000}"/>
    <cellStyle name="Normal 12 3 8 2 4 8" xfId="13515" xr:uid="{00000000-0005-0000-0000-000050330000}"/>
    <cellStyle name="Normal 12 3 8 2 5" xfId="13516" xr:uid="{00000000-0005-0000-0000-000051330000}"/>
    <cellStyle name="Normal 12 3 8 2 5 2" xfId="13517" xr:uid="{00000000-0005-0000-0000-000052330000}"/>
    <cellStyle name="Normal 12 3 8 2 5 3" xfId="13518" xr:uid="{00000000-0005-0000-0000-000053330000}"/>
    <cellStyle name="Normal 12 3 8 2 5 4" xfId="13519" xr:uid="{00000000-0005-0000-0000-000054330000}"/>
    <cellStyle name="Normal 12 3 8 2 5 5" xfId="13520" xr:uid="{00000000-0005-0000-0000-000055330000}"/>
    <cellStyle name="Normal 12 3 8 2 6" xfId="13521" xr:uid="{00000000-0005-0000-0000-000056330000}"/>
    <cellStyle name="Normal 12 3 8 2 7" xfId="13522" xr:uid="{00000000-0005-0000-0000-000057330000}"/>
    <cellStyle name="Normal 12 3 8 2 8" xfId="13523" xr:uid="{00000000-0005-0000-0000-000058330000}"/>
    <cellStyle name="Normal 12 3 8 2 9" xfId="13524" xr:uid="{00000000-0005-0000-0000-000059330000}"/>
    <cellStyle name="Normal 12 3 8 3" xfId="13525" xr:uid="{00000000-0005-0000-0000-00005A330000}"/>
    <cellStyle name="Normal 12 3 8 3 10" xfId="13526" xr:uid="{00000000-0005-0000-0000-00005B330000}"/>
    <cellStyle name="Normal 12 3 8 3 11" xfId="13527" xr:uid="{00000000-0005-0000-0000-00005C330000}"/>
    <cellStyle name="Normal 12 3 8 3 2" xfId="13528" xr:uid="{00000000-0005-0000-0000-00005D330000}"/>
    <cellStyle name="Normal 12 3 8 3 2 10" xfId="13529" xr:uid="{00000000-0005-0000-0000-00005E330000}"/>
    <cellStyle name="Normal 12 3 8 3 2 2" xfId="13530" xr:uid="{00000000-0005-0000-0000-00005F330000}"/>
    <cellStyle name="Normal 12 3 8 3 2 2 2" xfId="13531" xr:uid="{00000000-0005-0000-0000-000060330000}"/>
    <cellStyle name="Normal 12 3 8 3 2 2 2 2" xfId="13532" xr:uid="{00000000-0005-0000-0000-000061330000}"/>
    <cellStyle name="Normal 12 3 8 3 2 2 2 3" xfId="13533" xr:uid="{00000000-0005-0000-0000-000062330000}"/>
    <cellStyle name="Normal 12 3 8 3 2 2 2 4" xfId="13534" xr:uid="{00000000-0005-0000-0000-000063330000}"/>
    <cellStyle name="Normal 12 3 8 3 2 2 2 5" xfId="13535" xr:uid="{00000000-0005-0000-0000-000064330000}"/>
    <cellStyle name="Normal 12 3 8 3 2 2 3" xfId="13536" xr:uid="{00000000-0005-0000-0000-000065330000}"/>
    <cellStyle name="Normal 12 3 8 3 2 2 4" xfId="13537" xr:uid="{00000000-0005-0000-0000-000066330000}"/>
    <cellStyle name="Normal 12 3 8 3 2 2 5" xfId="13538" xr:uid="{00000000-0005-0000-0000-000067330000}"/>
    <cellStyle name="Normal 12 3 8 3 2 2 6" xfId="13539" xr:uid="{00000000-0005-0000-0000-000068330000}"/>
    <cellStyle name="Normal 12 3 8 3 2 2 7" xfId="13540" xr:uid="{00000000-0005-0000-0000-000069330000}"/>
    <cellStyle name="Normal 12 3 8 3 2 2 8" xfId="13541" xr:uid="{00000000-0005-0000-0000-00006A330000}"/>
    <cellStyle name="Normal 12 3 8 3 2 3" xfId="13542" xr:uid="{00000000-0005-0000-0000-00006B330000}"/>
    <cellStyle name="Normal 12 3 8 3 2 3 2" xfId="13543" xr:uid="{00000000-0005-0000-0000-00006C330000}"/>
    <cellStyle name="Normal 12 3 8 3 2 3 2 2" xfId="13544" xr:uid="{00000000-0005-0000-0000-00006D330000}"/>
    <cellStyle name="Normal 12 3 8 3 2 3 2 3" xfId="13545" xr:uid="{00000000-0005-0000-0000-00006E330000}"/>
    <cellStyle name="Normal 12 3 8 3 2 3 2 4" xfId="13546" xr:uid="{00000000-0005-0000-0000-00006F330000}"/>
    <cellStyle name="Normal 12 3 8 3 2 3 2 5" xfId="13547" xr:uid="{00000000-0005-0000-0000-000070330000}"/>
    <cellStyle name="Normal 12 3 8 3 2 3 3" xfId="13548" xr:uid="{00000000-0005-0000-0000-000071330000}"/>
    <cellStyle name="Normal 12 3 8 3 2 3 4" xfId="13549" xr:uid="{00000000-0005-0000-0000-000072330000}"/>
    <cellStyle name="Normal 12 3 8 3 2 3 5" xfId="13550" xr:uid="{00000000-0005-0000-0000-000073330000}"/>
    <cellStyle name="Normal 12 3 8 3 2 3 6" xfId="13551" xr:uid="{00000000-0005-0000-0000-000074330000}"/>
    <cellStyle name="Normal 12 3 8 3 2 3 7" xfId="13552" xr:uid="{00000000-0005-0000-0000-000075330000}"/>
    <cellStyle name="Normal 12 3 8 3 2 3 8" xfId="13553" xr:uid="{00000000-0005-0000-0000-000076330000}"/>
    <cellStyle name="Normal 12 3 8 3 2 4" xfId="13554" xr:uid="{00000000-0005-0000-0000-000077330000}"/>
    <cellStyle name="Normal 12 3 8 3 2 4 2" xfId="13555" xr:uid="{00000000-0005-0000-0000-000078330000}"/>
    <cellStyle name="Normal 12 3 8 3 2 4 3" xfId="13556" xr:uid="{00000000-0005-0000-0000-000079330000}"/>
    <cellStyle name="Normal 12 3 8 3 2 4 4" xfId="13557" xr:uid="{00000000-0005-0000-0000-00007A330000}"/>
    <cellStyle name="Normal 12 3 8 3 2 4 5" xfId="13558" xr:uid="{00000000-0005-0000-0000-00007B330000}"/>
    <cellStyle name="Normal 12 3 8 3 2 5" xfId="13559" xr:uid="{00000000-0005-0000-0000-00007C330000}"/>
    <cellStyle name="Normal 12 3 8 3 2 6" xfId="13560" xr:uid="{00000000-0005-0000-0000-00007D330000}"/>
    <cellStyle name="Normal 12 3 8 3 2 7" xfId="13561" xr:uid="{00000000-0005-0000-0000-00007E330000}"/>
    <cellStyle name="Normal 12 3 8 3 2 8" xfId="13562" xr:uid="{00000000-0005-0000-0000-00007F330000}"/>
    <cellStyle name="Normal 12 3 8 3 2 9" xfId="13563" xr:uid="{00000000-0005-0000-0000-000080330000}"/>
    <cellStyle name="Normal 12 3 8 3 3" xfId="13564" xr:uid="{00000000-0005-0000-0000-000081330000}"/>
    <cellStyle name="Normal 12 3 8 3 3 2" xfId="13565" xr:uid="{00000000-0005-0000-0000-000082330000}"/>
    <cellStyle name="Normal 12 3 8 3 3 2 2" xfId="13566" xr:uid="{00000000-0005-0000-0000-000083330000}"/>
    <cellStyle name="Normal 12 3 8 3 3 2 3" xfId="13567" xr:uid="{00000000-0005-0000-0000-000084330000}"/>
    <cellStyle name="Normal 12 3 8 3 3 2 4" xfId="13568" xr:uid="{00000000-0005-0000-0000-000085330000}"/>
    <cellStyle name="Normal 12 3 8 3 3 2 5" xfId="13569" xr:uid="{00000000-0005-0000-0000-000086330000}"/>
    <cellStyle name="Normal 12 3 8 3 3 3" xfId="13570" xr:uid="{00000000-0005-0000-0000-000087330000}"/>
    <cellStyle name="Normal 12 3 8 3 3 4" xfId="13571" xr:uid="{00000000-0005-0000-0000-000088330000}"/>
    <cellStyle name="Normal 12 3 8 3 3 5" xfId="13572" xr:uid="{00000000-0005-0000-0000-000089330000}"/>
    <cellStyle name="Normal 12 3 8 3 3 6" xfId="13573" xr:uid="{00000000-0005-0000-0000-00008A330000}"/>
    <cellStyle name="Normal 12 3 8 3 3 7" xfId="13574" xr:uid="{00000000-0005-0000-0000-00008B330000}"/>
    <cellStyle name="Normal 12 3 8 3 3 8" xfId="13575" xr:uid="{00000000-0005-0000-0000-00008C330000}"/>
    <cellStyle name="Normal 12 3 8 3 4" xfId="13576" xr:uid="{00000000-0005-0000-0000-00008D330000}"/>
    <cellStyle name="Normal 12 3 8 3 4 2" xfId="13577" xr:uid="{00000000-0005-0000-0000-00008E330000}"/>
    <cellStyle name="Normal 12 3 8 3 4 2 2" xfId="13578" xr:uid="{00000000-0005-0000-0000-00008F330000}"/>
    <cellStyle name="Normal 12 3 8 3 4 2 3" xfId="13579" xr:uid="{00000000-0005-0000-0000-000090330000}"/>
    <cellStyle name="Normal 12 3 8 3 4 2 4" xfId="13580" xr:uid="{00000000-0005-0000-0000-000091330000}"/>
    <cellStyle name="Normal 12 3 8 3 4 2 5" xfId="13581" xr:uid="{00000000-0005-0000-0000-000092330000}"/>
    <cellStyle name="Normal 12 3 8 3 4 3" xfId="13582" xr:uid="{00000000-0005-0000-0000-000093330000}"/>
    <cellStyle name="Normal 12 3 8 3 4 4" xfId="13583" xr:uid="{00000000-0005-0000-0000-000094330000}"/>
    <cellStyle name="Normal 12 3 8 3 4 5" xfId="13584" xr:uid="{00000000-0005-0000-0000-000095330000}"/>
    <cellStyle name="Normal 12 3 8 3 4 6" xfId="13585" xr:uid="{00000000-0005-0000-0000-000096330000}"/>
    <cellStyle name="Normal 12 3 8 3 4 7" xfId="13586" xr:uid="{00000000-0005-0000-0000-000097330000}"/>
    <cellStyle name="Normal 12 3 8 3 4 8" xfId="13587" xr:uid="{00000000-0005-0000-0000-000098330000}"/>
    <cellStyle name="Normal 12 3 8 3 5" xfId="13588" xr:uid="{00000000-0005-0000-0000-000099330000}"/>
    <cellStyle name="Normal 12 3 8 3 5 2" xfId="13589" xr:uid="{00000000-0005-0000-0000-00009A330000}"/>
    <cellStyle name="Normal 12 3 8 3 5 3" xfId="13590" xr:uid="{00000000-0005-0000-0000-00009B330000}"/>
    <cellStyle name="Normal 12 3 8 3 5 4" xfId="13591" xr:uid="{00000000-0005-0000-0000-00009C330000}"/>
    <cellStyle name="Normal 12 3 8 3 5 5" xfId="13592" xr:uid="{00000000-0005-0000-0000-00009D330000}"/>
    <cellStyle name="Normal 12 3 8 3 6" xfId="13593" xr:uid="{00000000-0005-0000-0000-00009E330000}"/>
    <cellStyle name="Normal 12 3 8 3 7" xfId="13594" xr:uid="{00000000-0005-0000-0000-00009F330000}"/>
    <cellStyle name="Normal 12 3 8 3 8" xfId="13595" xr:uid="{00000000-0005-0000-0000-0000A0330000}"/>
    <cellStyle name="Normal 12 3 8 3 9" xfId="13596" xr:uid="{00000000-0005-0000-0000-0000A1330000}"/>
    <cellStyle name="Normal 12 3 8 4" xfId="13597" xr:uid="{00000000-0005-0000-0000-0000A2330000}"/>
    <cellStyle name="Normal 12 3 8 4 10" xfId="13598" xr:uid="{00000000-0005-0000-0000-0000A3330000}"/>
    <cellStyle name="Normal 12 3 8 4 2" xfId="13599" xr:uid="{00000000-0005-0000-0000-0000A4330000}"/>
    <cellStyle name="Normal 12 3 8 4 2 2" xfId="13600" xr:uid="{00000000-0005-0000-0000-0000A5330000}"/>
    <cellStyle name="Normal 12 3 8 4 2 2 2" xfId="13601" xr:uid="{00000000-0005-0000-0000-0000A6330000}"/>
    <cellStyle name="Normal 12 3 8 4 2 2 3" xfId="13602" xr:uid="{00000000-0005-0000-0000-0000A7330000}"/>
    <cellStyle name="Normal 12 3 8 4 2 2 4" xfId="13603" xr:uid="{00000000-0005-0000-0000-0000A8330000}"/>
    <cellStyle name="Normal 12 3 8 4 2 2 5" xfId="13604" xr:uid="{00000000-0005-0000-0000-0000A9330000}"/>
    <cellStyle name="Normal 12 3 8 4 2 3" xfId="13605" xr:uid="{00000000-0005-0000-0000-0000AA330000}"/>
    <cellStyle name="Normal 12 3 8 4 2 4" xfId="13606" xr:uid="{00000000-0005-0000-0000-0000AB330000}"/>
    <cellStyle name="Normal 12 3 8 4 2 5" xfId="13607" xr:uid="{00000000-0005-0000-0000-0000AC330000}"/>
    <cellStyle name="Normal 12 3 8 4 2 6" xfId="13608" xr:uid="{00000000-0005-0000-0000-0000AD330000}"/>
    <cellStyle name="Normal 12 3 8 4 2 7" xfId="13609" xr:uid="{00000000-0005-0000-0000-0000AE330000}"/>
    <cellStyle name="Normal 12 3 8 4 2 8" xfId="13610" xr:uid="{00000000-0005-0000-0000-0000AF330000}"/>
    <cellStyle name="Normal 12 3 8 4 3" xfId="13611" xr:uid="{00000000-0005-0000-0000-0000B0330000}"/>
    <cellStyle name="Normal 12 3 8 4 3 2" xfId="13612" xr:uid="{00000000-0005-0000-0000-0000B1330000}"/>
    <cellStyle name="Normal 12 3 8 4 3 2 2" xfId="13613" xr:uid="{00000000-0005-0000-0000-0000B2330000}"/>
    <cellStyle name="Normal 12 3 8 4 3 2 3" xfId="13614" xr:uid="{00000000-0005-0000-0000-0000B3330000}"/>
    <cellStyle name="Normal 12 3 8 4 3 2 4" xfId="13615" xr:uid="{00000000-0005-0000-0000-0000B4330000}"/>
    <cellStyle name="Normal 12 3 8 4 3 2 5" xfId="13616" xr:uid="{00000000-0005-0000-0000-0000B5330000}"/>
    <cellStyle name="Normal 12 3 8 4 3 3" xfId="13617" xr:uid="{00000000-0005-0000-0000-0000B6330000}"/>
    <cellStyle name="Normal 12 3 8 4 3 4" xfId="13618" xr:uid="{00000000-0005-0000-0000-0000B7330000}"/>
    <cellStyle name="Normal 12 3 8 4 3 5" xfId="13619" xr:uid="{00000000-0005-0000-0000-0000B8330000}"/>
    <cellStyle name="Normal 12 3 8 4 3 6" xfId="13620" xr:uid="{00000000-0005-0000-0000-0000B9330000}"/>
    <cellStyle name="Normal 12 3 8 4 3 7" xfId="13621" xr:uid="{00000000-0005-0000-0000-0000BA330000}"/>
    <cellStyle name="Normal 12 3 8 4 3 8" xfId="13622" xr:uid="{00000000-0005-0000-0000-0000BB330000}"/>
    <cellStyle name="Normal 12 3 8 4 4" xfId="13623" xr:uid="{00000000-0005-0000-0000-0000BC330000}"/>
    <cellStyle name="Normal 12 3 8 4 4 2" xfId="13624" xr:uid="{00000000-0005-0000-0000-0000BD330000}"/>
    <cellStyle name="Normal 12 3 8 4 4 3" xfId="13625" xr:uid="{00000000-0005-0000-0000-0000BE330000}"/>
    <cellStyle name="Normal 12 3 8 4 4 4" xfId="13626" xr:uid="{00000000-0005-0000-0000-0000BF330000}"/>
    <cellStyle name="Normal 12 3 8 4 4 5" xfId="13627" xr:uid="{00000000-0005-0000-0000-0000C0330000}"/>
    <cellStyle name="Normal 12 3 8 4 5" xfId="13628" xr:uid="{00000000-0005-0000-0000-0000C1330000}"/>
    <cellStyle name="Normal 12 3 8 4 6" xfId="13629" xr:uid="{00000000-0005-0000-0000-0000C2330000}"/>
    <cellStyle name="Normal 12 3 8 4 7" xfId="13630" xr:uid="{00000000-0005-0000-0000-0000C3330000}"/>
    <cellStyle name="Normal 12 3 8 4 8" xfId="13631" xr:uid="{00000000-0005-0000-0000-0000C4330000}"/>
    <cellStyle name="Normal 12 3 8 4 9" xfId="13632" xr:uid="{00000000-0005-0000-0000-0000C5330000}"/>
    <cellStyle name="Normal 12 3 8 5" xfId="13633" xr:uid="{00000000-0005-0000-0000-0000C6330000}"/>
    <cellStyle name="Normal 12 3 8 5 2" xfId="13634" xr:uid="{00000000-0005-0000-0000-0000C7330000}"/>
    <cellStyle name="Normal 12 3 8 5 2 2" xfId="13635" xr:uid="{00000000-0005-0000-0000-0000C8330000}"/>
    <cellStyle name="Normal 12 3 8 5 2 3" xfId="13636" xr:uid="{00000000-0005-0000-0000-0000C9330000}"/>
    <cellStyle name="Normal 12 3 8 5 2 4" xfId="13637" xr:uid="{00000000-0005-0000-0000-0000CA330000}"/>
    <cellStyle name="Normal 12 3 8 5 2 5" xfId="13638" xr:uid="{00000000-0005-0000-0000-0000CB330000}"/>
    <cellStyle name="Normal 12 3 8 5 3" xfId="13639" xr:uid="{00000000-0005-0000-0000-0000CC330000}"/>
    <cellStyle name="Normal 12 3 8 5 4" xfId="13640" xr:uid="{00000000-0005-0000-0000-0000CD330000}"/>
    <cellStyle name="Normal 12 3 8 5 5" xfId="13641" xr:uid="{00000000-0005-0000-0000-0000CE330000}"/>
    <cellStyle name="Normal 12 3 8 5 6" xfId="13642" xr:uid="{00000000-0005-0000-0000-0000CF330000}"/>
    <cellStyle name="Normal 12 3 8 5 7" xfId="13643" xr:uid="{00000000-0005-0000-0000-0000D0330000}"/>
    <cellStyle name="Normal 12 3 8 5 8" xfId="13644" xr:uid="{00000000-0005-0000-0000-0000D1330000}"/>
    <cellStyle name="Normal 12 3 8 6" xfId="13645" xr:uid="{00000000-0005-0000-0000-0000D2330000}"/>
    <cellStyle name="Normal 12 3 8 6 2" xfId="13646" xr:uid="{00000000-0005-0000-0000-0000D3330000}"/>
    <cellStyle name="Normal 12 3 8 6 2 2" xfId="13647" xr:uid="{00000000-0005-0000-0000-0000D4330000}"/>
    <cellStyle name="Normal 12 3 8 6 2 3" xfId="13648" xr:uid="{00000000-0005-0000-0000-0000D5330000}"/>
    <cellStyle name="Normal 12 3 8 6 2 4" xfId="13649" xr:uid="{00000000-0005-0000-0000-0000D6330000}"/>
    <cellStyle name="Normal 12 3 8 6 2 5" xfId="13650" xr:uid="{00000000-0005-0000-0000-0000D7330000}"/>
    <cellStyle name="Normal 12 3 8 6 3" xfId="13651" xr:uid="{00000000-0005-0000-0000-0000D8330000}"/>
    <cellStyle name="Normal 12 3 8 6 4" xfId="13652" xr:uid="{00000000-0005-0000-0000-0000D9330000}"/>
    <cellStyle name="Normal 12 3 8 6 5" xfId="13653" xr:uid="{00000000-0005-0000-0000-0000DA330000}"/>
    <cellStyle name="Normal 12 3 8 6 6" xfId="13654" xr:uid="{00000000-0005-0000-0000-0000DB330000}"/>
    <cellStyle name="Normal 12 3 8 6 7" xfId="13655" xr:uid="{00000000-0005-0000-0000-0000DC330000}"/>
    <cellStyle name="Normal 12 3 8 6 8" xfId="13656" xr:uid="{00000000-0005-0000-0000-0000DD330000}"/>
    <cellStyle name="Normal 12 3 8 7" xfId="13657" xr:uid="{00000000-0005-0000-0000-0000DE330000}"/>
    <cellStyle name="Normal 12 3 8 7 2" xfId="13658" xr:uid="{00000000-0005-0000-0000-0000DF330000}"/>
    <cellStyle name="Normal 12 3 8 7 3" xfId="13659" xr:uid="{00000000-0005-0000-0000-0000E0330000}"/>
    <cellStyle name="Normal 12 3 8 7 4" xfId="13660" xr:uid="{00000000-0005-0000-0000-0000E1330000}"/>
    <cellStyle name="Normal 12 3 8 7 5" xfId="13661" xr:uid="{00000000-0005-0000-0000-0000E2330000}"/>
    <cellStyle name="Normal 12 3 8 8" xfId="13662" xr:uid="{00000000-0005-0000-0000-0000E3330000}"/>
    <cellStyle name="Normal 12 3 8 9" xfId="13663" xr:uid="{00000000-0005-0000-0000-0000E4330000}"/>
    <cellStyle name="Normal 12 3 9" xfId="13664" xr:uid="{00000000-0005-0000-0000-0000E5330000}"/>
    <cellStyle name="Normal 12 3 9 10" xfId="13665" xr:uid="{00000000-0005-0000-0000-0000E6330000}"/>
    <cellStyle name="Normal 12 3 9 11" xfId="13666" xr:uid="{00000000-0005-0000-0000-0000E7330000}"/>
    <cellStyle name="Normal 12 3 9 2" xfId="13667" xr:uid="{00000000-0005-0000-0000-0000E8330000}"/>
    <cellStyle name="Normal 12 3 9 2 10" xfId="13668" xr:uid="{00000000-0005-0000-0000-0000E9330000}"/>
    <cellStyle name="Normal 12 3 9 2 2" xfId="13669" xr:uid="{00000000-0005-0000-0000-0000EA330000}"/>
    <cellStyle name="Normal 12 3 9 2 2 2" xfId="13670" xr:uid="{00000000-0005-0000-0000-0000EB330000}"/>
    <cellStyle name="Normal 12 3 9 2 2 2 2" xfId="13671" xr:uid="{00000000-0005-0000-0000-0000EC330000}"/>
    <cellStyle name="Normal 12 3 9 2 2 2 3" xfId="13672" xr:uid="{00000000-0005-0000-0000-0000ED330000}"/>
    <cellStyle name="Normal 12 3 9 2 2 2 4" xfId="13673" xr:uid="{00000000-0005-0000-0000-0000EE330000}"/>
    <cellStyle name="Normal 12 3 9 2 2 2 5" xfId="13674" xr:uid="{00000000-0005-0000-0000-0000EF330000}"/>
    <cellStyle name="Normal 12 3 9 2 2 3" xfId="13675" xr:uid="{00000000-0005-0000-0000-0000F0330000}"/>
    <cellStyle name="Normal 12 3 9 2 2 4" xfId="13676" xr:uid="{00000000-0005-0000-0000-0000F1330000}"/>
    <cellStyle name="Normal 12 3 9 2 2 5" xfId="13677" xr:uid="{00000000-0005-0000-0000-0000F2330000}"/>
    <cellStyle name="Normal 12 3 9 2 2 6" xfId="13678" xr:uid="{00000000-0005-0000-0000-0000F3330000}"/>
    <cellStyle name="Normal 12 3 9 2 2 7" xfId="13679" xr:uid="{00000000-0005-0000-0000-0000F4330000}"/>
    <cellStyle name="Normal 12 3 9 2 2 8" xfId="13680" xr:uid="{00000000-0005-0000-0000-0000F5330000}"/>
    <cellStyle name="Normal 12 3 9 2 3" xfId="13681" xr:uid="{00000000-0005-0000-0000-0000F6330000}"/>
    <cellStyle name="Normal 12 3 9 2 3 2" xfId="13682" xr:uid="{00000000-0005-0000-0000-0000F7330000}"/>
    <cellStyle name="Normal 12 3 9 2 3 2 2" xfId="13683" xr:uid="{00000000-0005-0000-0000-0000F8330000}"/>
    <cellStyle name="Normal 12 3 9 2 3 2 3" xfId="13684" xr:uid="{00000000-0005-0000-0000-0000F9330000}"/>
    <cellStyle name="Normal 12 3 9 2 3 2 4" xfId="13685" xr:uid="{00000000-0005-0000-0000-0000FA330000}"/>
    <cellStyle name="Normal 12 3 9 2 3 2 5" xfId="13686" xr:uid="{00000000-0005-0000-0000-0000FB330000}"/>
    <cellStyle name="Normal 12 3 9 2 3 3" xfId="13687" xr:uid="{00000000-0005-0000-0000-0000FC330000}"/>
    <cellStyle name="Normal 12 3 9 2 3 4" xfId="13688" xr:uid="{00000000-0005-0000-0000-0000FD330000}"/>
    <cellStyle name="Normal 12 3 9 2 3 5" xfId="13689" xr:uid="{00000000-0005-0000-0000-0000FE330000}"/>
    <cellStyle name="Normal 12 3 9 2 3 6" xfId="13690" xr:uid="{00000000-0005-0000-0000-0000FF330000}"/>
    <cellStyle name="Normal 12 3 9 2 3 7" xfId="13691" xr:uid="{00000000-0005-0000-0000-000000340000}"/>
    <cellStyle name="Normal 12 3 9 2 3 8" xfId="13692" xr:uid="{00000000-0005-0000-0000-000001340000}"/>
    <cellStyle name="Normal 12 3 9 2 4" xfId="13693" xr:uid="{00000000-0005-0000-0000-000002340000}"/>
    <cellStyle name="Normal 12 3 9 2 4 2" xfId="13694" xr:uid="{00000000-0005-0000-0000-000003340000}"/>
    <cellStyle name="Normal 12 3 9 2 4 3" xfId="13695" xr:uid="{00000000-0005-0000-0000-000004340000}"/>
    <cellStyle name="Normal 12 3 9 2 4 4" xfId="13696" xr:uid="{00000000-0005-0000-0000-000005340000}"/>
    <cellStyle name="Normal 12 3 9 2 4 5" xfId="13697" xr:uid="{00000000-0005-0000-0000-000006340000}"/>
    <cellStyle name="Normal 12 3 9 2 5" xfId="13698" xr:uid="{00000000-0005-0000-0000-000007340000}"/>
    <cellStyle name="Normal 12 3 9 2 6" xfId="13699" xr:uid="{00000000-0005-0000-0000-000008340000}"/>
    <cellStyle name="Normal 12 3 9 2 7" xfId="13700" xr:uid="{00000000-0005-0000-0000-000009340000}"/>
    <cellStyle name="Normal 12 3 9 2 8" xfId="13701" xr:uid="{00000000-0005-0000-0000-00000A340000}"/>
    <cellStyle name="Normal 12 3 9 2 9" xfId="13702" xr:uid="{00000000-0005-0000-0000-00000B340000}"/>
    <cellStyle name="Normal 12 3 9 3" xfId="13703" xr:uid="{00000000-0005-0000-0000-00000C340000}"/>
    <cellStyle name="Normal 12 3 9 3 2" xfId="13704" xr:uid="{00000000-0005-0000-0000-00000D340000}"/>
    <cellStyle name="Normal 12 3 9 3 2 2" xfId="13705" xr:uid="{00000000-0005-0000-0000-00000E340000}"/>
    <cellStyle name="Normal 12 3 9 3 2 3" xfId="13706" xr:uid="{00000000-0005-0000-0000-00000F340000}"/>
    <cellStyle name="Normal 12 3 9 3 2 4" xfId="13707" xr:uid="{00000000-0005-0000-0000-000010340000}"/>
    <cellStyle name="Normal 12 3 9 3 2 5" xfId="13708" xr:uid="{00000000-0005-0000-0000-000011340000}"/>
    <cellStyle name="Normal 12 3 9 3 3" xfId="13709" xr:uid="{00000000-0005-0000-0000-000012340000}"/>
    <cellStyle name="Normal 12 3 9 3 4" xfId="13710" xr:uid="{00000000-0005-0000-0000-000013340000}"/>
    <cellStyle name="Normal 12 3 9 3 5" xfId="13711" xr:uid="{00000000-0005-0000-0000-000014340000}"/>
    <cellStyle name="Normal 12 3 9 3 6" xfId="13712" xr:uid="{00000000-0005-0000-0000-000015340000}"/>
    <cellStyle name="Normal 12 3 9 3 7" xfId="13713" xr:uid="{00000000-0005-0000-0000-000016340000}"/>
    <cellStyle name="Normal 12 3 9 3 8" xfId="13714" xr:uid="{00000000-0005-0000-0000-000017340000}"/>
    <cellStyle name="Normal 12 3 9 4" xfId="13715" xr:uid="{00000000-0005-0000-0000-000018340000}"/>
    <cellStyle name="Normal 12 3 9 4 2" xfId="13716" xr:uid="{00000000-0005-0000-0000-000019340000}"/>
    <cellStyle name="Normal 12 3 9 4 2 2" xfId="13717" xr:uid="{00000000-0005-0000-0000-00001A340000}"/>
    <cellStyle name="Normal 12 3 9 4 2 3" xfId="13718" xr:uid="{00000000-0005-0000-0000-00001B340000}"/>
    <cellStyle name="Normal 12 3 9 4 2 4" xfId="13719" xr:uid="{00000000-0005-0000-0000-00001C340000}"/>
    <cellStyle name="Normal 12 3 9 4 2 5" xfId="13720" xr:uid="{00000000-0005-0000-0000-00001D340000}"/>
    <cellStyle name="Normal 12 3 9 4 3" xfId="13721" xr:uid="{00000000-0005-0000-0000-00001E340000}"/>
    <cellStyle name="Normal 12 3 9 4 4" xfId="13722" xr:uid="{00000000-0005-0000-0000-00001F340000}"/>
    <cellStyle name="Normal 12 3 9 4 5" xfId="13723" xr:uid="{00000000-0005-0000-0000-000020340000}"/>
    <cellStyle name="Normal 12 3 9 4 6" xfId="13724" xr:uid="{00000000-0005-0000-0000-000021340000}"/>
    <cellStyle name="Normal 12 3 9 4 7" xfId="13725" xr:uid="{00000000-0005-0000-0000-000022340000}"/>
    <cellStyle name="Normal 12 3 9 4 8" xfId="13726" xr:uid="{00000000-0005-0000-0000-000023340000}"/>
    <cellStyle name="Normal 12 3 9 5" xfId="13727" xr:uid="{00000000-0005-0000-0000-000024340000}"/>
    <cellStyle name="Normal 12 3 9 5 2" xfId="13728" xr:uid="{00000000-0005-0000-0000-000025340000}"/>
    <cellStyle name="Normal 12 3 9 5 3" xfId="13729" xr:uid="{00000000-0005-0000-0000-000026340000}"/>
    <cellStyle name="Normal 12 3 9 5 4" xfId="13730" xr:uid="{00000000-0005-0000-0000-000027340000}"/>
    <cellStyle name="Normal 12 3 9 5 5" xfId="13731" xr:uid="{00000000-0005-0000-0000-000028340000}"/>
    <cellStyle name="Normal 12 3 9 6" xfId="13732" xr:uid="{00000000-0005-0000-0000-000029340000}"/>
    <cellStyle name="Normal 12 3 9 7" xfId="13733" xr:uid="{00000000-0005-0000-0000-00002A340000}"/>
    <cellStyle name="Normal 12 3 9 8" xfId="13734" xr:uid="{00000000-0005-0000-0000-00002B340000}"/>
    <cellStyle name="Normal 12 3 9 9" xfId="13735" xr:uid="{00000000-0005-0000-0000-00002C340000}"/>
    <cellStyle name="Normal 12 30" xfId="13736" xr:uid="{00000000-0005-0000-0000-00002D340000}"/>
    <cellStyle name="Normal 12 31" xfId="13737" xr:uid="{00000000-0005-0000-0000-00002E340000}"/>
    <cellStyle name="Normal 12 32" xfId="13738" xr:uid="{00000000-0005-0000-0000-00002F340000}"/>
    <cellStyle name="Normal 12 33" xfId="42629" xr:uid="{00000000-0005-0000-0000-000030340000}"/>
    <cellStyle name="Normal 12 4" xfId="13739" xr:uid="{00000000-0005-0000-0000-000031340000}"/>
    <cellStyle name="Normal 12 4 10" xfId="13740" xr:uid="{00000000-0005-0000-0000-000032340000}"/>
    <cellStyle name="Normal 12 4 10 10" xfId="13741" xr:uid="{00000000-0005-0000-0000-000033340000}"/>
    <cellStyle name="Normal 12 4 10 11" xfId="13742" xr:uid="{00000000-0005-0000-0000-000034340000}"/>
    <cellStyle name="Normal 12 4 10 2" xfId="13743" xr:uid="{00000000-0005-0000-0000-000035340000}"/>
    <cellStyle name="Normal 12 4 10 2 10" xfId="13744" xr:uid="{00000000-0005-0000-0000-000036340000}"/>
    <cellStyle name="Normal 12 4 10 2 2" xfId="13745" xr:uid="{00000000-0005-0000-0000-000037340000}"/>
    <cellStyle name="Normal 12 4 10 2 2 2" xfId="13746" xr:uid="{00000000-0005-0000-0000-000038340000}"/>
    <cellStyle name="Normal 12 4 10 2 2 2 2" xfId="13747" xr:uid="{00000000-0005-0000-0000-000039340000}"/>
    <cellStyle name="Normal 12 4 10 2 2 2 3" xfId="13748" xr:uid="{00000000-0005-0000-0000-00003A340000}"/>
    <cellStyle name="Normal 12 4 10 2 2 2 4" xfId="13749" xr:uid="{00000000-0005-0000-0000-00003B340000}"/>
    <cellStyle name="Normal 12 4 10 2 2 2 5" xfId="13750" xr:uid="{00000000-0005-0000-0000-00003C340000}"/>
    <cellStyle name="Normal 12 4 10 2 2 3" xfId="13751" xr:uid="{00000000-0005-0000-0000-00003D340000}"/>
    <cellStyle name="Normal 12 4 10 2 2 4" xfId="13752" xr:uid="{00000000-0005-0000-0000-00003E340000}"/>
    <cellStyle name="Normal 12 4 10 2 2 5" xfId="13753" xr:uid="{00000000-0005-0000-0000-00003F340000}"/>
    <cellStyle name="Normal 12 4 10 2 2 6" xfId="13754" xr:uid="{00000000-0005-0000-0000-000040340000}"/>
    <cellStyle name="Normal 12 4 10 2 2 7" xfId="13755" xr:uid="{00000000-0005-0000-0000-000041340000}"/>
    <cellStyle name="Normal 12 4 10 2 2 8" xfId="13756" xr:uid="{00000000-0005-0000-0000-000042340000}"/>
    <cellStyle name="Normal 12 4 10 2 3" xfId="13757" xr:uid="{00000000-0005-0000-0000-000043340000}"/>
    <cellStyle name="Normal 12 4 10 2 3 2" xfId="13758" xr:uid="{00000000-0005-0000-0000-000044340000}"/>
    <cellStyle name="Normal 12 4 10 2 3 2 2" xfId="13759" xr:uid="{00000000-0005-0000-0000-000045340000}"/>
    <cellStyle name="Normal 12 4 10 2 3 2 3" xfId="13760" xr:uid="{00000000-0005-0000-0000-000046340000}"/>
    <cellStyle name="Normal 12 4 10 2 3 2 4" xfId="13761" xr:uid="{00000000-0005-0000-0000-000047340000}"/>
    <cellStyle name="Normal 12 4 10 2 3 2 5" xfId="13762" xr:uid="{00000000-0005-0000-0000-000048340000}"/>
    <cellStyle name="Normal 12 4 10 2 3 3" xfId="13763" xr:uid="{00000000-0005-0000-0000-000049340000}"/>
    <cellStyle name="Normal 12 4 10 2 3 4" xfId="13764" xr:uid="{00000000-0005-0000-0000-00004A340000}"/>
    <cellStyle name="Normal 12 4 10 2 3 5" xfId="13765" xr:uid="{00000000-0005-0000-0000-00004B340000}"/>
    <cellStyle name="Normal 12 4 10 2 3 6" xfId="13766" xr:uid="{00000000-0005-0000-0000-00004C340000}"/>
    <cellStyle name="Normal 12 4 10 2 3 7" xfId="13767" xr:uid="{00000000-0005-0000-0000-00004D340000}"/>
    <cellStyle name="Normal 12 4 10 2 3 8" xfId="13768" xr:uid="{00000000-0005-0000-0000-00004E340000}"/>
    <cellStyle name="Normal 12 4 10 2 4" xfId="13769" xr:uid="{00000000-0005-0000-0000-00004F340000}"/>
    <cellStyle name="Normal 12 4 10 2 4 2" xfId="13770" xr:uid="{00000000-0005-0000-0000-000050340000}"/>
    <cellStyle name="Normal 12 4 10 2 4 3" xfId="13771" xr:uid="{00000000-0005-0000-0000-000051340000}"/>
    <cellStyle name="Normal 12 4 10 2 4 4" xfId="13772" xr:uid="{00000000-0005-0000-0000-000052340000}"/>
    <cellStyle name="Normal 12 4 10 2 4 5" xfId="13773" xr:uid="{00000000-0005-0000-0000-000053340000}"/>
    <cellStyle name="Normal 12 4 10 2 5" xfId="13774" xr:uid="{00000000-0005-0000-0000-000054340000}"/>
    <cellStyle name="Normal 12 4 10 2 6" xfId="13775" xr:uid="{00000000-0005-0000-0000-000055340000}"/>
    <cellStyle name="Normal 12 4 10 2 7" xfId="13776" xr:uid="{00000000-0005-0000-0000-000056340000}"/>
    <cellStyle name="Normal 12 4 10 2 8" xfId="13777" xr:uid="{00000000-0005-0000-0000-000057340000}"/>
    <cellStyle name="Normal 12 4 10 2 9" xfId="13778" xr:uid="{00000000-0005-0000-0000-000058340000}"/>
    <cellStyle name="Normal 12 4 10 3" xfId="13779" xr:uid="{00000000-0005-0000-0000-000059340000}"/>
    <cellStyle name="Normal 12 4 10 3 2" xfId="13780" xr:uid="{00000000-0005-0000-0000-00005A340000}"/>
    <cellStyle name="Normal 12 4 10 3 2 2" xfId="13781" xr:uid="{00000000-0005-0000-0000-00005B340000}"/>
    <cellStyle name="Normal 12 4 10 3 2 3" xfId="13782" xr:uid="{00000000-0005-0000-0000-00005C340000}"/>
    <cellStyle name="Normal 12 4 10 3 2 4" xfId="13783" xr:uid="{00000000-0005-0000-0000-00005D340000}"/>
    <cellStyle name="Normal 12 4 10 3 2 5" xfId="13784" xr:uid="{00000000-0005-0000-0000-00005E340000}"/>
    <cellStyle name="Normal 12 4 10 3 3" xfId="13785" xr:uid="{00000000-0005-0000-0000-00005F340000}"/>
    <cellStyle name="Normal 12 4 10 3 4" xfId="13786" xr:uid="{00000000-0005-0000-0000-000060340000}"/>
    <cellStyle name="Normal 12 4 10 3 5" xfId="13787" xr:uid="{00000000-0005-0000-0000-000061340000}"/>
    <cellStyle name="Normal 12 4 10 3 6" xfId="13788" xr:uid="{00000000-0005-0000-0000-000062340000}"/>
    <cellStyle name="Normal 12 4 10 3 7" xfId="13789" xr:uid="{00000000-0005-0000-0000-000063340000}"/>
    <cellStyle name="Normal 12 4 10 3 8" xfId="13790" xr:uid="{00000000-0005-0000-0000-000064340000}"/>
    <cellStyle name="Normal 12 4 10 4" xfId="13791" xr:uid="{00000000-0005-0000-0000-000065340000}"/>
    <cellStyle name="Normal 12 4 10 4 2" xfId="13792" xr:uid="{00000000-0005-0000-0000-000066340000}"/>
    <cellStyle name="Normal 12 4 10 4 2 2" xfId="13793" xr:uid="{00000000-0005-0000-0000-000067340000}"/>
    <cellStyle name="Normal 12 4 10 4 2 3" xfId="13794" xr:uid="{00000000-0005-0000-0000-000068340000}"/>
    <cellStyle name="Normal 12 4 10 4 2 4" xfId="13795" xr:uid="{00000000-0005-0000-0000-000069340000}"/>
    <cellStyle name="Normal 12 4 10 4 2 5" xfId="13796" xr:uid="{00000000-0005-0000-0000-00006A340000}"/>
    <cellStyle name="Normal 12 4 10 4 3" xfId="13797" xr:uid="{00000000-0005-0000-0000-00006B340000}"/>
    <cellStyle name="Normal 12 4 10 4 4" xfId="13798" xr:uid="{00000000-0005-0000-0000-00006C340000}"/>
    <cellStyle name="Normal 12 4 10 4 5" xfId="13799" xr:uid="{00000000-0005-0000-0000-00006D340000}"/>
    <cellStyle name="Normal 12 4 10 4 6" xfId="13800" xr:uid="{00000000-0005-0000-0000-00006E340000}"/>
    <cellStyle name="Normal 12 4 10 4 7" xfId="13801" xr:uid="{00000000-0005-0000-0000-00006F340000}"/>
    <cellStyle name="Normal 12 4 10 4 8" xfId="13802" xr:uid="{00000000-0005-0000-0000-000070340000}"/>
    <cellStyle name="Normal 12 4 10 5" xfId="13803" xr:uid="{00000000-0005-0000-0000-000071340000}"/>
    <cellStyle name="Normal 12 4 10 5 2" xfId="13804" xr:uid="{00000000-0005-0000-0000-000072340000}"/>
    <cellStyle name="Normal 12 4 10 5 3" xfId="13805" xr:uid="{00000000-0005-0000-0000-000073340000}"/>
    <cellStyle name="Normal 12 4 10 5 4" xfId="13806" xr:uid="{00000000-0005-0000-0000-000074340000}"/>
    <cellStyle name="Normal 12 4 10 5 5" xfId="13807" xr:uid="{00000000-0005-0000-0000-000075340000}"/>
    <cellStyle name="Normal 12 4 10 6" xfId="13808" xr:uid="{00000000-0005-0000-0000-000076340000}"/>
    <cellStyle name="Normal 12 4 10 7" xfId="13809" xr:uid="{00000000-0005-0000-0000-000077340000}"/>
    <cellStyle name="Normal 12 4 10 8" xfId="13810" xr:uid="{00000000-0005-0000-0000-000078340000}"/>
    <cellStyle name="Normal 12 4 10 9" xfId="13811" xr:uid="{00000000-0005-0000-0000-000079340000}"/>
    <cellStyle name="Normal 12 4 11" xfId="13812" xr:uid="{00000000-0005-0000-0000-00007A340000}"/>
    <cellStyle name="Normal 12 4 11 10" xfId="13813" xr:uid="{00000000-0005-0000-0000-00007B340000}"/>
    <cellStyle name="Normal 12 4 11 2" xfId="13814" xr:uid="{00000000-0005-0000-0000-00007C340000}"/>
    <cellStyle name="Normal 12 4 11 2 2" xfId="13815" xr:uid="{00000000-0005-0000-0000-00007D340000}"/>
    <cellStyle name="Normal 12 4 11 2 2 2" xfId="13816" xr:uid="{00000000-0005-0000-0000-00007E340000}"/>
    <cellStyle name="Normal 12 4 11 2 2 3" xfId="13817" xr:uid="{00000000-0005-0000-0000-00007F340000}"/>
    <cellStyle name="Normal 12 4 11 2 2 4" xfId="13818" xr:uid="{00000000-0005-0000-0000-000080340000}"/>
    <cellStyle name="Normal 12 4 11 2 2 5" xfId="13819" xr:uid="{00000000-0005-0000-0000-000081340000}"/>
    <cellStyle name="Normal 12 4 11 2 3" xfId="13820" xr:uid="{00000000-0005-0000-0000-000082340000}"/>
    <cellStyle name="Normal 12 4 11 2 4" xfId="13821" xr:uid="{00000000-0005-0000-0000-000083340000}"/>
    <cellStyle name="Normal 12 4 11 2 5" xfId="13822" xr:uid="{00000000-0005-0000-0000-000084340000}"/>
    <cellStyle name="Normal 12 4 11 2 6" xfId="13823" xr:uid="{00000000-0005-0000-0000-000085340000}"/>
    <cellStyle name="Normal 12 4 11 2 7" xfId="13824" xr:uid="{00000000-0005-0000-0000-000086340000}"/>
    <cellStyle name="Normal 12 4 11 2 8" xfId="13825" xr:uid="{00000000-0005-0000-0000-000087340000}"/>
    <cellStyle name="Normal 12 4 11 3" xfId="13826" xr:uid="{00000000-0005-0000-0000-000088340000}"/>
    <cellStyle name="Normal 12 4 11 3 2" xfId="13827" xr:uid="{00000000-0005-0000-0000-000089340000}"/>
    <cellStyle name="Normal 12 4 11 3 2 2" xfId="13828" xr:uid="{00000000-0005-0000-0000-00008A340000}"/>
    <cellStyle name="Normal 12 4 11 3 2 3" xfId="13829" xr:uid="{00000000-0005-0000-0000-00008B340000}"/>
    <cellStyle name="Normal 12 4 11 3 2 4" xfId="13830" xr:uid="{00000000-0005-0000-0000-00008C340000}"/>
    <cellStyle name="Normal 12 4 11 3 2 5" xfId="13831" xr:uid="{00000000-0005-0000-0000-00008D340000}"/>
    <cellStyle name="Normal 12 4 11 3 3" xfId="13832" xr:uid="{00000000-0005-0000-0000-00008E340000}"/>
    <cellStyle name="Normal 12 4 11 3 4" xfId="13833" xr:uid="{00000000-0005-0000-0000-00008F340000}"/>
    <cellStyle name="Normal 12 4 11 3 5" xfId="13834" xr:uid="{00000000-0005-0000-0000-000090340000}"/>
    <cellStyle name="Normal 12 4 11 3 6" xfId="13835" xr:uid="{00000000-0005-0000-0000-000091340000}"/>
    <cellStyle name="Normal 12 4 11 3 7" xfId="13836" xr:uid="{00000000-0005-0000-0000-000092340000}"/>
    <cellStyle name="Normal 12 4 11 3 8" xfId="13837" xr:uid="{00000000-0005-0000-0000-000093340000}"/>
    <cellStyle name="Normal 12 4 11 4" xfId="13838" xr:uid="{00000000-0005-0000-0000-000094340000}"/>
    <cellStyle name="Normal 12 4 11 4 2" xfId="13839" xr:uid="{00000000-0005-0000-0000-000095340000}"/>
    <cellStyle name="Normal 12 4 11 4 3" xfId="13840" xr:uid="{00000000-0005-0000-0000-000096340000}"/>
    <cellStyle name="Normal 12 4 11 4 4" xfId="13841" xr:uid="{00000000-0005-0000-0000-000097340000}"/>
    <cellStyle name="Normal 12 4 11 4 5" xfId="13842" xr:uid="{00000000-0005-0000-0000-000098340000}"/>
    <cellStyle name="Normal 12 4 11 5" xfId="13843" xr:uid="{00000000-0005-0000-0000-000099340000}"/>
    <cellStyle name="Normal 12 4 11 6" xfId="13844" xr:uid="{00000000-0005-0000-0000-00009A340000}"/>
    <cellStyle name="Normal 12 4 11 7" xfId="13845" xr:uid="{00000000-0005-0000-0000-00009B340000}"/>
    <cellStyle name="Normal 12 4 11 8" xfId="13846" xr:uid="{00000000-0005-0000-0000-00009C340000}"/>
    <cellStyle name="Normal 12 4 11 9" xfId="13847" xr:uid="{00000000-0005-0000-0000-00009D340000}"/>
    <cellStyle name="Normal 12 4 12" xfId="13848" xr:uid="{00000000-0005-0000-0000-00009E340000}"/>
    <cellStyle name="Normal 12 4 12 2" xfId="13849" xr:uid="{00000000-0005-0000-0000-00009F340000}"/>
    <cellStyle name="Normal 12 4 12 2 2" xfId="13850" xr:uid="{00000000-0005-0000-0000-0000A0340000}"/>
    <cellStyle name="Normal 12 4 12 2 3" xfId="13851" xr:uid="{00000000-0005-0000-0000-0000A1340000}"/>
    <cellStyle name="Normal 12 4 12 2 4" xfId="13852" xr:uid="{00000000-0005-0000-0000-0000A2340000}"/>
    <cellStyle name="Normal 12 4 12 2 5" xfId="13853" xr:uid="{00000000-0005-0000-0000-0000A3340000}"/>
    <cellStyle name="Normal 12 4 12 3" xfId="13854" xr:uid="{00000000-0005-0000-0000-0000A4340000}"/>
    <cellStyle name="Normal 12 4 12 4" xfId="13855" xr:uid="{00000000-0005-0000-0000-0000A5340000}"/>
    <cellStyle name="Normal 12 4 12 5" xfId="13856" xr:uid="{00000000-0005-0000-0000-0000A6340000}"/>
    <cellStyle name="Normal 12 4 12 6" xfId="13857" xr:uid="{00000000-0005-0000-0000-0000A7340000}"/>
    <cellStyle name="Normal 12 4 12 7" xfId="13858" xr:uid="{00000000-0005-0000-0000-0000A8340000}"/>
    <cellStyle name="Normal 12 4 12 8" xfId="13859" xr:uid="{00000000-0005-0000-0000-0000A9340000}"/>
    <cellStyle name="Normal 12 4 13" xfId="13860" xr:uid="{00000000-0005-0000-0000-0000AA340000}"/>
    <cellStyle name="Normal 12 4 13 2" xfId="13861" xr:uid="{00000000-0005-0000-0000-0000AB340000}"/>
    <cellStyle name="Normal 12 4 13 2 2" xfId="13862" xr:uid="{00000000-0005-0000-0000-0000AC340000}"/>
    <cellStyle name="Normal 12 4 13 2 3" xfId="13863" xr:uid="{00000000-0005-0000-0000-0000AD340000}"/>
    <cellStyle name="Normal 12 4 13 2 4" xfId="13864" xr:uid="{00000000-0005-0000-0000-0000AE340000}"/>
    <cellStyle name="Normal 12 4 13 2 5" xfId="13865" xr:uid="{00000000-0005-0000-0000-0000AF340000}"/>
    <cellStyle name="Normal 12 4 13 3" xfId="13866" xr:uid="{00000000-0005-0000-0000-0000B0340000}"/>
    <cellStyle name="Normal 12 4 13 4" xfId="13867" xr:uid="{00000000-0005-0000-0000-0000B1340000}"/>
    <cellStyle name="Normal 12 4 13 5" xfId="13868" xr:uid="{00000000-0005-0000-0000-0000B2340000}"/>
    <cellStyle name="Normal 12 4 13 6" xfId="13869" xr:uid="{00000000-0005-0000-0000-0000B3340000}"/>
    <cellStyle name="Normal 12 4 13 7" xfId="13870" xr:uid="{00000000-0005-0000-0000-0000B4340000}"/>
    <cellStyle name="Normal 12 4 13 8" xfId="13871" xr:uid="{00000000-0005-0000-0000-0000B5340000}"/>
    <cellStyle name="Normal 12 4 14" xfId="13872" xr:uid="{00000000-0005-0000-0000-0000B6340000}"/>
    <cellStyle name="Normal 12 4 14 2" xfId="13873" xr:uid="{00000000-0005-0000-0000-0000B7340000}"/>
    <cellStyle name="Normal 12 4 14 3" xfId="13874" xr:uid="{00000000-0005-0000-0000-0000B8340000}"/>
    <cellStyle name="Normal 12 4 14 4" xfId="13875" xr:uid="{00000000-0005-0000-0000-0000B9340000}"/>
    <cellStyle name="Normal 12 4 14 5" xfId="13876" xr:uid="{00000000-0005-0000-0000-0000BA340000}"/>
    <cellStyle name="Normal 12 4 15" xfId="13877" xr:uid="{00000000-0005-0000-0000-0000BB340000}"/>
    <cellStyle name="Normal 12 4 16" xfId="13878" xr:uid="{00000000-0005-0000-0000-0000BC340000}"/>
    <cellStyle name="Normal 12 4 17" xfId="13879" xr:uid="{00000000-0005-0000-0000-0000BD340000}"/>
    <cellStyle name="Normal 12 4 18" xfId="13880" xr:uid="{00000000-0005-0000-0000-0000BE340000}"/>
    <cellStyle name="Normal 12 4 19" xfId="13881" xr:uid="{00000000-0005-0000-0000-0000BF340000}"/>
    <cellStyle name="Normal 12 4 2" xfId="13882" xr:uid="{00000000-0005-0000-0000-0000C0340000}"/>
    <cellStyle name="Normal 12 4 2 10" xfId="13883" xr:uid="{00000000-0005-0000-0000-0000C1340000}"/>
    <cellStyle name="Normal 12 4 2 11" xfId="13884" xr:uid="{00000000-0005-0000-0000-0000C2340000}"/>
    <cellStyle name="Normal 12 4 2 12" xfId="13885" xr:uid="{00000000-0005-0000-0000-0000C3340000}"/>
    <cellStyle name="Normal 12 4 2 13" xfId="13886" xr:uid="{00000000-0005-0000-0000-0000C4340000}"/>
    <cellStyle name="Normal 12 4 2 2" xfId="13887" xr:uid="{00000000-0005-0000-0000-0000C5340000}"/>
    <cellStyle name="Normal 12 4 2 2 10" xfId="13888" xr:uid="{00000000-0005-0000-0000-0000C6340000}"/>
    <cellStyle name="Normal 12 4 2 2 11" xfId="13889" xr:uid="{00000000-0005-0000-0000-0000C7340000}"/>
    <cellStyle name="Normal 12 4 2 2 2" xfId="13890" xr:uid="{00000000-0005-0000-0000-0000C8340000}"/>
    <cellStyle name="Normal 12 4 2 2 2 10" xfId="13891" xr:uid="{00000000-0005-0000-0000-0000C9340000}"/>
    <cellStyle name="Normal 12 4 2 2 2 2" xfId="13892" xr:uid="{00000000-0005-0000-0000-0000CA340000}"/>
    <cellStyle name="Normal 12 4 2 2 2 2 2" xfId="13893" xr:uid="{00000000-0005-0000-0000-0000CB340000}"/>
    <cellStyle name="Normal 12 4 2 2 2 2 2 2" xfId="13894" xr:uid="{00000000-0005-0000-0000-0000CC340000}"/>
    <cellStyle name="Normal 12 4 2 2 2 2 2 3" xfId="13895" xr:uid="{00000000-0005-0000-0000-0000CD340000}"/>
    <cellStyle name="Normal 12 4 2 2 2 2 2 4" xfId="13896" xr:uid="{00000000-0005-0000-0000-0000CE340000}"/>
    <cellStyle name="Normal 12 4 2 2 2 2 2 5" xfId="13897" xr:uid="{00000000-0005-0000-0000-0000CF340000}"/>
    <cellStyle name="Normal 12 4 2 2 2 2 3" xfId="13898" xr:uid="{00000000-0005-0000-0000-0000D0340000}"/>
    <cellStyle name="Normal 12 4 2 2 2 2 4" xfId="13899" xr:uid="{00000000-0005-0000-0000-0000D1340000}"/>
    <cellStyle name="Normal 12 4 2 2 2 2 5" xfId="13900" xr:uid="{00000000-0005-0000-0000-0000D2340000}"/>
    <cellStyle name="Normal 12 4 2 2 2 2 6" xfId="13901" xr:uid="{00000000-0005-0000-0000-0000D3340000}"/>
    <cellStyle name="Normal 12 4 2 2 2 2 7" xfId="13902" xr:uid="{00000000-0005-0000-0000-0000D4340000}"/>
    <cellStyle name="Normal 12 4 2 2 2 2 8" xfId="13903" xr:uid="{00000000-0005-0000-0000-0000D5340000}"/>
    <cellStyle name="Normal 12 4 2 2 2 3" xfId="13904" xr:uid="{00000000-0005-0000-0000-0000D6340000}"/>
    <cellStyle name="Normal 12 4 2 2 2 3 2" xfId="13905" xr:uid="{00000000-0005-0000-0000-0000D7340000}"/>
    <cellStyle name="Normal 12 4 2 2 2 3 2 2" xfId="13906" xr:uid="{00000000-0005-0000-0000-0000D8340000}"/>
    <cellStyle name="Normal 12 4 2 2 2 3 2 3" xfId="13907" xr:uid="{00000000-0005-0000-0000-0000D9340000}"/>
    <cellStyle name="Normal 12 4 2 2 2 3 2 4" xfId="13908" xr:uid="{00000000-0005-0000-0000-0000DA340000}"/>
    <cellStyle name="Normal 12 4 2 2 2 3 2 5" xfId="13909" xr:uid="{00000000-0005-0000-0000-0000DB340000}"/>
    <cellStyle name="Normal 12 4 2 2 2 3 3" xfId="13910" xr:uid="{00000000-0005-0000-0000-0000DC340000}"/>
    <cellStyle name="Normal 12 4 2 2 2 3 4" xfId="13911" xr:uid="{00000000-0005-0000-0000-0000DD340000}"/>
    <cellStyle name="Normal 12 4 2 2 2 3 5" xfId="13912" xr:uid="{00000000-0005-0000-0000-0000DE340000}"/>
    <cellStyle name="Normal 12 4 2 2 2 3 6" xfId="13913" xr:uid="{00000000-0005-0000-0000-0000DF340000}"/>
    <cellStyle name="Normal 12 4 2 2 2 3 7" xfId="13914" xr:uid="{00000000-0005-0000-0000-0000E0340000}"/>
    <cellStyle name="Normal 12 4 2 2 2 3 8" xfId="13915" xr:uid="{00000000-0005-0000-0000-0000E1340000}"/>
    <cellStyle name="Normal 12 4 2 2 2 4" xfId="13916" xr:uid="{00000000-0005-0000-0000-0000E2340000}"/>
    <cellStyle name="Normal 12 4 2 2 2 4 2" xfId="13917" xr:uid="{00000000-0005-0000-0000-0000E3340000}"/>
    <cellStyle name="Normal 12 4 2 2 2 4 3" xfId="13918" xr:uid="{00000000-0005-0000-0000-0000E4340000}"/>
    <cellStyle name="Normal 12 4 2 2 2 4 4" xfId="13919" xr:uid="{00000000-0005-0000-0000-0000E5340000}"/>
    <cellStyle name="Normal 12 4 2 2 2 4 5" xfId="13920" xr:uid="{00000000-0005-0000-0000-0000E6340000}"/>
    <cellStyle name="Normal 12 4 2 2 2 5" xfId="13921" xr:uid="{00000000-0005-0000-0000-0000E7340000}"/>
    <cellStyle name="Normal 12 4 2 2 2 6" xfId="13922" xr:uid="{00000000-0005-0000-0000-0000E8340000}"/>
    <cellStyle name="Normal 12 4 2 2 2 7" xfId="13923" xr:uid="{00000000-0005-0000-0000-0000E9340000}"/>
    <cellStyle name="Normal 12 4 2 2 2 8" xfId="13924" xr:uid="{00000000-0005-0000-0000-0000EA340000}"/>
    <cellStyle name="Normal 12 4 2 2 2 9" xfId="13925" xr:uid="{00000000-0005-0000-0000-0000EB340000}"/>
    <cellStyle name="Normal 12 4 2 2 3" xfId="13926" xr:uid="{00000000-0005-0000-0000-0000EC340000}"/>
    <cellStyle name="Normal 12 4 2 2 3 2" xfId="13927" xr:uid="{00000000-0005-0000-0000-0000ED340000}"/>
    <cellStyle name="Normal 12 4 2 2 3 2 2" xfId="13928" xr:uid="{00000000-0005-0000-0000-0000EE340000}"/>
    <cellStyle name="Normal 12 4 2 2 3 2 3" xfId="13929" xr:uid="{00000000-0005-0000-0000-0000EF340000}"/>
    <cellStyle name="Normal 12 4 2 2 3 2 4" xfId="13930" xr:uid="{00000000-0005-0000-0000-0000F0340000}"/>
    <cellStyle name="Normal 12 4 2 2 3 2 5" xfId="13931" xr:uid="{00000000-0005-0000-0000-0000F1340000}"/>
    <cellStyle name="Normal 12 4 2 2 3 3" xfId="13932" xr:uid="{00000000-0005-0000-0000-0000F2340000}"/>
    <cellStyle name="Normal 12 4 2 2 3 4" xfId="13933" xr:uid="{00000000-0005-0000-0000-0000F3340000}"/>
    <cellStyle name="Normal 12 4 2 2 3 5" xfId="13934" xr:uid="{00000000-0005-0000-0000-0000F4340000}"/>
    <cellStyle name="Normal 12 4 2 2 3 6" xfId="13935" xr:uid="{00000000-0005-0000-0000-0000F5340000}"/>
    <cellStyle name="Normal 12 4 2 2 3 7" xfId="13936" xr:uid="{00000000-0005-0000-0000-0000F6340000}"/>
    <cellStyle name="Normal 12 4 2 2 3 8" xfId="13937" xr:uid="{00000000-0005-0000-0000-0000F7340000}"/>
    <cellStyle name="Normal 12 4 2 2 4" xfId="13938" xr:uid="{00000000-0005-0000-0000-0000F8340000}"/>
    <cellStyle name="Normal 12 4 2 2 4 2" xfId="13939" xr:uid="{00000000-0005-0000-0000-0000F9340000}"/>
    <cellStyle name="Normal 12 4 2 2 4 2 2" xfId="13940" xr:uid="{00000000-0005-0000-0000-0000FA340000}"/>
    <cellStyle name="Normal 12 4 2 2 4 2 3" xfId="13941" xr:uid="{00000000-0005-0000-0000-0000FB340000}"/>
    <cellStyle name="Normal 12 4 2 2 4 2 4" xfId="13942" xr:uid="{00000000-0005-0000-0000-0000FC340000}"/>
    <cellStyle name="Normal 12 4 2 2 4 2 5" xfId="13943" xr:uid="{00000000-0005-0000-0000-0000FD340000}"/>
    <cellStyle name="Normal 12 4 2 2 4 3" xfId="13944" xr:uid="{00000000-0005-0000-0000-0000FE340000}"/>
    <cellStyle name="Normal 12 4 2 2 4 4" xfId="13945" xr:uid="{00000000-0005-0000-0000-0000FF340000}"/>
    <cellStyle name="Normal 12 4 2 2 4 5" xfId="13946" xr:uid="{00000000-0005-0000-0000-000000350000}"/>
    <cellStyle name="Normal 12 4 2 2 4 6" xfId="13947" xr:uid="{00000000-0005-0000-0000-000001350000}"/>
    <cellStyle name="Normal 12 4 2 2 4 7" xfId="13948" xr:uid="{00000000-0005-0000-0000-000002350000}"/>
    <cellStyle name="Normal 12 4 2 2 4 8" xfId="13949" xr:uid="{00000000-0005-0000-0000-000003350000}"/>
    <cellStyle name="Normal 12 4 2 2 5" xfId="13950" xr:uid="{00000000-0005-0000-0000-000004350000}"/>
    <cellStyle name="Normal 12 4 2 2 5 2" xfId="13951" xr:uid="{00000000-0005-0000-0000-000005350000}"/>
    <cellStyle name="Normal 12 4 2 2 5 3" xfId="13952" xr:uid="{00000000-0005-0000-0000-000006350000}"/>
    <cellStyle name="Normal 12 4 2 2 5 4" xfId="13953" xr:uid="{00000000-0005-0000-0000-000007350000}"/>
    <cellStyle name="Normal 12 4 2 2 5 5" xfId="13954" xr:uid="{00000000-0005-0000-0000-000008350000}"/>
    <cellStyle name="Normal 12 4 2 2 6" xfId="13955" xr:uid="{00000000-0005-0000-0000-000009350000}"/>
    <cellStyle name="Normal 12 4 2 2 7" xfId="13956" xr:uid="{00000000-0005-0000-0000-00000A350000}"/>
    <cellStyle name="Normal 12 4 2 2 8" xfId="13957" xr:uid="{00000000-0005-0000-0000-00000B350000}"/>
    <cellStyle name="Normal 12 4 2 2 9" xfId="13958" xr:uid="{00000000-0005-0000-0000-00000C350000}"/>
    <cellStyle name="Normal 12 4 2 3" xfId="13959" xr:uid="{00000000-0005-0000-0000-00000D350000}"/>
    <cellStyle name="Normal 12 4 2 3 10" xfId="13960" xr:uid="{00000000-0005-0000-0000-00000E350000}"/>
    <cellStyle name="Normal 12 4 2 3 11" xfId="13961" xr:uid="{00000000-0005-0000-0000-00000F350000}"/>
    <cellStyle name="Normal 12 4 2 3 2" xfId="13962" xr:uid="{00000000-0005-0000-0000-000010350000}"/>
    <cellStyle name="Normal 12 4 2 3 2 10" xfId="13963" xr:uid="{00000000-0005-0000-0000-000011350000}"/>
    <cellStyle name="Normal 12 4 2 3 2 2" xfId="13964" xr:uid="{00000000-0005-0000-0000-000012350000}"/>
    <cellStyle name="Normal 12 4 2 3 2 2 2" xfId="13965" xr:uid="{00000000-0005-0000-0000-000013350000}"/>
    <cellStyle name="Normal 12 4 2 3 2 2 2 2" xfId="13966" xr:uid="{00000000-0005-0000-0000-000014350000}"/>
    <cellStyle name="Normal 12 4 2 3 2 2 2 3" xfId="13967" xr:uid="{00000000-0005-0000-0000-000015350000}"/>
    <cellStyle name="Normal 12 4 2 3 2 2 2 4" xfId="13968" xr:uid="{00000000-0005-0000-0000-000016350000}"/>
    <cellStyle name="Normal 12 4 2 3 2 2 2 5" xfId="13969" xr:uid="{00000000-0005-0000-0000-000017350000}"/>
    <cellStyle name="Normal 12 4 2 3 2 2 3" xfId="13970" xr:uid="{00000000-0005-0000-0000-000018350000}"/>
    <cellStyle name="Normal 12 4 2 3 2 2 4" xfId="13971" xr:uid="{00000000-0005-0000-0000-000019350000}"/>
    <cellStyle name="Normal 12 4 2 3 2 2 5" xfId="13972" xr:uid="{00000000-0005-0000-0000-00001A350000}"/>
    <cellStyle name="Normal 12 4 2 3 2 2 6" xfId="13973" xr:uid="{00000000-0005-0000-0000-00001B350000}"/>
    <cellStyle name="Normal 12 4 2 3 2 2 7" xfId="13974" xr:uid="{00000000-0005-0000-0000-00001C350000}"/>
    <cellStyle name="Normal 12 4 2 3 2 2 8" xfId="13975" xr:uid="{00000000-0005-0000-0000-00001D350000}"/>
    <cellStyle name="Normal 12 4 2 3 2 3" xfId="13976" xr:uid="{00000000-0005-0000-0000-00001E350000}"/>
    <cellStyle name="Normal 12 4 2 3 2 3 2" xfId="13977" xr:uid="{00000000-0005-0000-0000-00001F350000}"/>
    <cellStyle name="Normal 12 4 2 3 2 3 2 2" xfId="13978" xr:uid="{00000000-0005-0000-0000-000020350000}"/>
    <cellStyle name="Normal 12 4 2 3 2 3 2 3" xfId="13979" xr:uid="{00000000-0005-0000-0000-000021350000}"/>
    <cellStyle name="Normal 12 4 2 3 2 3 2 4" xfId="13980" xr:uid="{00000000-0005-0000-0000-000022350000}"/>
    <cellStyle name="Normal 12 4 2 3 2 3 2 5" xfId="13981" xr:uid="{00000000-0005-0000-0000-000023350000}"/>
    <cellStyle name="Normal 12 4 2 3 2 3 3" xfId="13982" xr:uid="{00000000-0005-0000-0000-000024350000}"/>
    <cellStyle name="Normal 12 4 2 3 2 3 4" xfId="13983" xr:uid="{00000000-0005-0000-0000-000025350000}"/>
    <cellStyle name="Normal 12 4 2 3 2 3 5" xfId="13984" xr:uid="{00000000-0005-0000-0000-000026350000}"/>
    <cellStyle name="Normal 12 4 2 3 2 3 6" xfId="13985" xr:uid="{00000000-0005-0000-0000-000027350000}"/>
    <cellStyle name="Normal 12 4 2 3 2 3 7" xfId="13986" xr:uid="{00000000-0005-0000-0000-000028350000}"/>
    <cellStyle name="Normal 12 4 2 3 2 3 8" xfId="13987" xr:uid="{00000000-0005-0000-0000-000029350000}"/>
    <cellStyle name="Normal 12 4 2 3 2 4" xfId="13988" xr:uid="{00000000-0005-0000-0000-00002A350000}"/>
    <cellStyle name="Normal 12 4 2 3 2 4 2" xfId="13989" xr:uid="{00000000-0005-0000-0000-00002B350000}"/>
    <cellStyle name="Normal 12 4 2 3 2 4 3" xfId="13990" xr:uid="{00000000-0005-0000-0000-00002C350000}"/>
    <cellStyle name="Normal 12 4 2 3 2 4 4" xfId="13991" xr:uid="{00000000-0005-0000-0000-00002D350000}"/>
    <cellStyle name="Normal 12 4 2 3 2 4 5" xfId="13992" xr:uid="{00000000-0005-0000-0000-00002E350000}"/>
    <cellStyle name="Normal 12 4 2 3 2 5" xfId="13993" xr:uid="{00000000-0005-0000-0000-00002F350000}"/>
    <cellStyle name="Normal 12 4 2 3 2 6" xfId="13994" xr:uid="{00000000-0005-0000-0000-000030350000}"/>
    <cellStyle name="Normal 12 4 2 3 2 7" xfId="13995" xr:uid="{00000000-0005-0000-0000-000031350000}"/>
    <cellStyle name="Normal 12 4 2 3 2 8" xfId="13996" xr:uid="{00000000-0005-0000-0000-000032350000}"/>
    <cellStyle name="Normal 12 4 2 3 2 9" xfId="13997" xr:uid="{00000000-0005-0000-0000-000033350000}"/>
    <cellStyle name="Normal 12 4 2 3 3" xfId="13998" xr:uid="{00000000-0005-0000-0000-000034350000}"/>
    <cellStyle name="Normal 12 4 2 3 3 2" xfId="13999" xr:uid="{00000000-0005-0000-0000-000035350000}"/>
    <cellStyle name="Normal 12 4 2 3 3 2 2" xfId="14000" xr:uid="{00000000-0005-0000-0000-000036350000}"/>
    <cellStyle name="Normal 12 4 2 3 3 2 3" xfId="14001" xr:uid="{00000000-0005-0000-0000-000037350000}"/>
    <cellStyle name="Normal 12 4 2 3 3 2 4" xfId="14002" xr:uid="{00000000-0005-0000-0000-000038350000}"/>
    <cellStyle name="Normal 12 4 2 3 3 2 5" xfId="14003" xr:uid="{00000000-0005-0000-0000-000039350000}"/>
    <cellStyle name="Normal 12 4 2 3 3 3" xfId="14004" xr:uid="{00000000-0005-0000-0000-00003A350000}"/>
    <cellStyle name="Normal 12 4 2 3 3 4" xfId="14005" xr:uid="{00000000-0005-0000-0000-00003B350000}"/>
    <cellStyle name="Normal 12 4 2 3 3 5" xfId="14006" xr:uid="{00000000-0005-0000-0000-00003C350000}"/>
    <cellStyle name="Normal 12 4 2 3 3 6" xfId="14007" xr:uid="{00000000-0005-0000-0000-00003D350000}"/>
    <cellStyle name="Normal 12 4 2 3 3 7" xfId="14008" xr:uid="{00000000-0005-0000-0000-00003E350000}"/>
    <cellStyle name="Normal 12 4 2 3 3 8" xfId="14009" xr:uid="{00000000-0005-0000-0000-00003F350000}"/>
    <cellStyle name="Normal 12 4 2 3 4" xfId="14010" xr:uid="{00000000-0005-0000-0000-000040350000}"/>
    <cellStyle name="Normal 12 4 2 3 4 2" xfId="14011" xr:uid="{00000000-0005-0000-0000-000041350000}"/>
    <cellStyle name="Normal 12 4 2 3 4 2 2" xfId="14012" xr:uid="{00000000-0005-0000-0000-000042350000}"/>
    <cellStyle name="Normal 12 4 2 3 4 2 3" xfId="14013" xr:uid="{00000000-0005-0000-0000-000043350000}"/>
    <cellStyle name="Normal 12 4 2 3 4 2 4" xfId="14014" xr:uid="{00000000-0005-0000-0000-000044350000}"/>
    <cellStyle name="Normal 12 4 2 3 4 2 5" xfId="14015" xr:uid="{00000000-0005-0000-0000-000045350000}"/>
    <cellStyle name="Normal 12 4 2 3 4 3" xfId="14016" xr:uid="{00000000-0005-0000-0000-000046350000}"/>
    <cellStyle name="Normal 12 4 2 3 4 4" xfId="14017" xr:uid="{00000000-0005-0000-0000-000047350000}"/>
    <cellStyle name="Normal 12 4 2 3 4 5" xfId="14018" xr:uid="{00000000-0005-0000-0000-000048350000}"/>
    <cellStyle name="Normal 12 4 2 3 4 6" xfId="14019" xr:uid="{00000000-0005-0000-0000-000049350000}"/>
    <cellStyle name="Normal 12 4 2 3 4 7" xfId="14020" xr:uid="{00000000-0005-0000-0000-00004A350000}"/>
    <cellStyle name="Normal 12 4 2 3 4 8" xfId="14021" xr:uid="{00000000-0005-0000-0000-00004B350000}"/>
    <cellStyle name="Normal 12 4 2 3 5" xfId="14022" xr:uid="{00000000-0005-0000-0000-00004C350000}"/>
    <cellStyle name="Normal 12 4 2 3 5 2" xfId="14023" xr:uid="{00000000-0005-0000-0000-00004D350000}"/>
    <cellStyle name="Normal 12 4 2 3 5 3" xfId="14024" xr:uid="{00000000-0005-0000-0000-00004E350000}"/>
    <cellStyle name="Normal 12 4 2 3 5 4" xfId="14025" xr:uid="{00000000-0005-0000-0000-00004F350000}"/>
    <cellStyle name="Normal 12 4 2 3 5 5" xfId="14026" xr:uid="{00000000-0005-0000-0000-000050350000}"/>
    <cellStyle name="Normal 12 4 2 3 6" xfId="14027" xr:uid="{00000000-0005-0000-0000-000051350000}"/>
    <cellStyle name="Normal 12 4 2 3 7" xfId="14028" xr:uid="{00000000-0005-0000-0000-000052350000}"/>
    <cellStyle name="Normal 12 4 2 3 8" xfId="14029" xr:uid="{00000000-0005-0000-0000-000053350000}"/>
    <cellStyle name="Normal 12 4 2 3 9" xfId="14030" xr:uid="{00000000-0005-0000-0000-000054350000}"/>
    <cellStyle name="Normal 12 4 2 4" xfId="14031" xr:uid="{00000000-0005-0000-0000-000055350000}"/>
    <cellStyle name="Normal 12 4 2 4 10" xfId="14032" xr:uid="{00000000-0005-0000-0000-000056350000}"/>
    <cellStyle name="Normal 12 4 2 4 2" xfId="14033" xr:uid="{00000000-0005-0000-0000-000057350000}"/>
    <cellStyle name="Normal 12 4 2 4 2 2" xfId="14034" xr:uid="{00000000-0005-0000-0000-000058350000}"/>
    <cellStyle name="Normal 12 4 2 4 2 2 2" xfId="14035" xr:uid="{00000000-0005-0000-0000-000059350000}"/>
    <cellStyle name="Normal 12 4 2 4 2 2 3" xfId="14036" xr:uid="{00000000-0005-0000-0000-00005A350000}"/>
    <cellStyle name="Normal 12 4 2 4 2 2 4" xfId="14037" xr:uid="{00000000-0005-0000-0000-00005B350000}"/>
    <cellStyle name="Normal 12 4 2 4 2 2 5" xfId="14038" xr:uid="{00000000-0005-0000-0000-00005C350000}"/>
    <cellStyle name="Normal 12 4 2 4 2 3" xfId="14039" xr:uid="{00000000-0005-0000-0000-00005D350000}"/>
    <cellStyle name="Normal 12 4 2 4 2 4" xfId="14040" xr:uid="{00000000-0005-0000-0000-00005E350000}"/>
    <cellStyle name="Normal 12 4 2 4 2 5" xfId="14041" xr:uid="{00000000-0005-0000-0000-00005F350000}"/>
    <cellStyle name="Normal 12 4 2 4 2 6" xfId="14042" xr:uid="{00000000-0005-0000-0000-000060350000}"/>
    <cellStyle name="Normal 12 4 2 4 2 7" xfId="14043" xr:uid="{00000000-0005-0000-0000-000061350000}"/>
    <cellStyle name="Normal 12 4 2 4 2 8" xfId="14044" xr:uid="{00000000-0005-0000-0000-000062350000}"/>
    <cellStyle name="Normal 12 4 2 4 3" xfId="14045" xr:uid="{00000000-0005-0000-0000-000063350000}"/>
    <cellStyle name="Normal 12 4 2 4 3 2" xfId="14046" xr:uid="{00000000-0005-0000-0000-000064350000}"/>
    <cellStyle name="Normal 12 4 2 4 3 2 2" xfId="14047" xr:uid="{00000000-0005-0000-0000-000065350000}"/>
    <cellStyle name="Normal 12 4 2 4 3 2 3" xfId="14048" xr:uid="{00000000-0005-0000-0000-000066350000}"/>
    <cellStyle name="Normal 12 4 2 4 3 2 4" xfId="14049" xr:uid="{00000000-0005-0000-0000-000067350000}"/>
    <cellStyle name="Normal 12 4 2 4 3 2 5" xfId="14050" xr:uid="{00000000-0005-0000-0000-000068350000}"/>
    <cellStyle name="Normal 12 4 2 4 3 3" xfId="14051" xr:uid="{00000000-0005-0000-0000-000069350000}"/>
    <cellStyle name="Normal 12 4 2 4 3 4" xfId="14052" xr:uid="{00000000-0005-0000-0000-00006A350000}"/>
    <cellStyle name="Normal 12 4 2 4 3 5" xfId="14053" xr:uid="{00000000-0005-0000-0000-00006B350000}"/>
    <cellStyle name="Normal 12 4 2 4 3 6" xfId="14054" xr:uid="{00000000-0005-0000-0000-00006C350000}"/>
    <cellStyle name="Normal 12 4 2 4 3 7" xfId="14055" xr:uid="{00000000-0005-0000-0000-00006D350000}"/>
    <cellStyle name="Normal 12 4 2 4 3 8" xfId="14056" xr:uid="{00000000-0005-0000-0000-00006E350000}"/>
    <cellStyle name="Normal 12 4 2 4 4" xfId="14057" xr:uid="{00000000-0005-0000-0000-00006F350000}"/>
    <cellStyle name="Normal 12 4 2 4 4 2" xfId="14058" xr:uid="{00000000-0005-0000-0000-000070350000}"/>
    <cellStyle name="Normal 12 4 2 4 4 3" xfId="14059" xr:uid="{00000000-0005-0000-0000-000071350000}"/>
    <cellStyle name="Normal 12 4 2 4 4 4" xfId="14060" xr:uid="{00000000-0005-0000-0000-000072350000}"/>
    <cellStyle name="Normal 12 4 2 4 4 5" xfId="14061" xr:uid="{00000000-0005-0000-0000-000073350000}"/>
    <cellStyle name="Normal 12 4 2 4 5" xfId="14062" xr:uid="{00000000-0005-0000-0000-000074350000}"/>
    <cellStyle name="Normal 12 4 2 4 6" xfId="14063" xr:uid="{00000000-0005-0000-0000-000075350000}"/>
    <cellStyle name="Normal 12 4 2 4 7" xfId="14064" xr:uid="{00000000-0005-0000-0000-000076350000}"/>
    <cellStyle name="Normal 12 4 2 4 8" xfId="14065" xr:uid="{00000000-0005-0000-0000-000077350000}"/>
    <cellStyle name="Normal 12 4 2 4 9" xfId="14066" xr:uid="{00000000-0005-0000-0000-000078350000}"/>
    <cellStyle name="Normal 12 4 2 5" xfId="14067" xr:uid="{00000000-0005-0000-0000-000079350000}"/>
    <cellStyle name="Normal 12 4 2 5 2" xfId="14068" xr:uid="{00000000-0005-0000-0000-00007A350000}"/>
    <cellStyle name="Normal 12 4 2 5 2 2" xfId="14069" xr:uid="{00000000-0005-0000-0000-00007B350000}"/>
    <cellStyle name="Normal 12 4 2 5 2 3" xfId="14070" xr:uid="{00000000-0005-0000-0000-00007C350000}"/>
    <cellStyle name="Normal 12 4 2 5 2 4" xfId="14071" xr:uid="{00000000-0005-0000-0000-00007D350000}"/>
    <cellStyle name="Normal 12 4 2 5 2 5" xfId="14072" xr:uid="{00000000-0005-0000-0000-00007E350000}"/>
    <cellStyle name="Normal 12 4 2 5 3" xfId="14073" xr:uid="{00000000-0005-0000-0000-00007F350000}"/>
    <cellStyle name="Normal 12 4 2 5 4" xfId="14074" xr:uid="{00000000-0005-0000-0000-000080350000}"/>
    <cellStyle name="Normal 12 4 2 5 5" xfId="14075" xr:uid="{00000000-0005-0000-0000-000081350000}"/>
    <cellStyle name="Normal 12 4 2 5 6" xfId="14076" xr:uid="{00000000-0005-0000-0000-000082350000}"/>
    <cellStyle name="Normal 12 4 2 5 7" xfId="14077" xr:uid="{00000000-0005-0000-0000-000083350000}"/>
    <cellStyle name="Normal 12 4 2 5 8" xfId="14078" xr:uid="{00000000-0005-0000-0000-000084350000}"/>
    <cellStyle name="Normal 12 4 2 6" xfId="14079" xr:uid="{00000000-0005-0000-0000-000085350000}"/>
    <cellStyle name="Normal 12 4 2 6 2" xfId="14080" xr:uid="{00000000-0005-0000-0000-000086350000}"/>
    <cellStyle name="Normal 12 4 2 6 2 2" xfId="14081" xr:uid="{00000000-0005-0000-0000-000087350000}"/>
    <cellStyle name="Normal 12 4 2 6 2 3" xfId="14082" xr:uid="{00000000-0005-0000-0000-000088350000}"/>
    <cellStyle name="Normal 12 4 2 6 2 4" xfId="14083" xr:uid="{00000000-0005-0000-0000-000089350000}"/>
    <cellStyle name="Normal 12 4 2 6 2 5" xfId="14084" xr:uid="{00000000-0005-0000-0000-00008A350000}"/>
    <cellStyle name="Normal 12 4 2 6 3" xfId="14085" xr:uid="{00000000-0005-0000-0000-00008B350000}"/>
    <cellStyle name="Normal 12 4 2 6 4" xfId="14086" xr:uid="{00000000-0005-0000-0000-00008C350000}"/>
    <cellStyle name="Normal 12 4 2 6 5" xfId="14087" xr:uid="{00000000-0005-0000-0000-00008D350000}"/>
    <cellStyle name="Normal 12 4 2 6 6" xfId="14088" xr:uid="{00000000-0005-0000-0000-00008E350000}"/>
    <cellStyle name="Normal 12 4 2 6 7" xfId="14089" xr:uid="{00000000-0005-0000-0000-00008F350000}"/>
    <cellStyle name="Normal 12 4 2 6 8" xfId="14090" xr:uid="{00000000-0005-0000-0000-000090350000}"/>
    <cellStyle name="Normal 12 4 2 7" xfId="14091" xr:uid="{00000000-0005-0000-0000-000091350000}"/>
    <cellStyle name="Normal 12 4 2 7 2" xfId="14092" xr:uid="{00000000-0005-0000-0000-000092350000}"/>
    <cellStyle name="Normal 12 4 2 7 3" xfId="14093" xr:uid="{00000000-0005-0000-0000-000093350000}"/>
    <cellStyle name="Normal 12 4 2 7 4" xfId="14094" xr:uid="{00000000-0005-0000-0000-000094350000}"/>
    <cellStyle name="Normal 12 4 2 7 5" xfId="14095" xr:uid="{00000000-0005-0000-0000-000095350000}"/>
    <cellStyle name="Normal 12 4 2 8" xfId="14096" xr:uid="{00000000-0005-0000-0000-000096350000}"/>
    <cellStyle name="Normal 12 4 2 9" xfId="14097" xr:uid="{00000000-0005-0000-0000-000097350000}"/>
    <cellStyle name="Normal 12 4 20" xfId="14098" xr:uid="{00000000-0005-0000-0000-000098350000}"/>
    <cellStyle name="Normal 12 4 3" xfId="14099" xr:uid="{00000000-0005-0000-0000-000099350000}"/>
    <cellStyle name="Normal 12 4 3 10" xfId="14100" xr:uid="{00000000-0005-0000-0000-00009A350000}"/>
    <cellStyle name="Normal 12 4 3 11" xfId="14101" xr:uid="{00000000-0005-0000-0000-00009B350000}"/>
    <cellStyle name="Normal 12 4 3 12" xfId="14102" xr:uid="{00000000-0005-0000-0000-00009C350000}"/>
    <cellStyle name="Normal 12 4 3 13" xfId="14103" xr:uid="{00000000-0005-0000-0000-00009D350000}"/>
    <cellStyle name="Normal 12 4 3 2" xfId="14104" xr:uid="{00000000-0005-0000-0000-00009E350000}"/>
    <cellStyle name="Normal 12 4 3 2 10" xfId="14105" xr:uid="{00000000-0005-0000-0000-00009F350000}"/>
    <cellStyle name="Normal 12 4 3 2 11" xfId="14106" xr:uid="{00000000-0005-0000-0000-0000A0350000}"/>
    <cellStyle name="Normal 12 4 3 2 2" xfId="14107" xr:uid="{00000000-0005-0000-0000-0000A1350000}"/>
    <cellStyle name="Normal 12 4 3 2 2 10" xfId="14108" xr:uid="{00000000-0005-0000-0000-0000A2350000}"/>
    <cellStyle name="Normal 12 4 3 2 2 2" xfId="14109" xr:uid="{00000000-0005-0000-0000-0000A3350000}"/>
    <cellStyle name="Normal 12 4 3 2 2 2 2" xfId="14110" xr:uid="{00000000-0005-0000-0000-0000A4350000}"/>
    <cellStyle name="Normal 12 4 3 2 2 2 2 2" xfId="14111" xr:uid="{00000000-0005-0000-0000-0000A5350000}"/>
    <cellStyle name="Normal 12 4 3 2 2 2 2 3" xfId="14112" xr:uid="{00000000-0005-0000-0000-0000A6350000}"/>
    <cellStyle name="Normal 12 4 3 2 2 2 2 4" xfId="14113" xr:uid="{00000000-0005-0000-0000-0000A7350000}"/>
    <cellStyle name="Normal 12 4 3 2 2 2 2 5" xfId="14114" xr:uid="{00000000-0005-0000-0000-0000A8350000}"/>
    <cellStyle name="Normal 12 4 3 2 2 2 3" xfId="14115" xr:uid="{00000000-0005-0000-0000-0000A9350000}"/>
    <cellStyle name="Normal 12 4 3 2 2 2 4" xfId="14116" xr:uid="{00000000-0005-0000-0000-0000AA350000}"/>
    <cellStyle name="Normal 12 4 3 2 2 2 5" xfId="14117" xr:uid="{00000000-0005-0000-0000-0000AB350000}"/>
    <cellStyle name="Normal 12 4 3 2 2 2 6" xfId="14118" xr:uid="{00000000-0005-0000-0000-0000AC350000}"/>
    <cellStyle name="Normal 12 4 3 2 2 2 7" xfId="14119" xr:uid="{00000000-0005-0000-0000-0000AD350000}"/>
    <cellStyle name="Normal 12 4 3 2 2 2 8" xfId="14120" xr:uid="{00000000-0005-0000-0000-0000AE350000}"/>
    <cellStyle name="Normal 12 4 3 2 2 3" xfId="14121" xr:uid="{00000000-0005-0000-0000-0000AF350000}"/>
    <cellStyle name="Normal 12 4 3 2 2 3 2" xfId="14122" xr:uid="{00000000-0005-0000-0000-0000B0350000}"/>
    <cellStyle name="Normal 12 4 3 2 2 3 2 2" xfId="14123" xr:uid="{00000000-0005-0000-0000-0000B1350000}"/>
    <cellStyle name="Normal 12 4 3 2 2 3 2 3" xfId="14124" xr:uid="{00000000-0005-0000-0000-0000B2350000}"/>
    <cellStyle name="Normal 12 4 3 2 2 3 2 4" xfId="14125" xr:uid="{00000000-0005-0000-0000-0000B3350000}"/>
    <cellStyle name="Normal 12 4 3 2 2 3 2 5" xfId="14126" xr:uid="{00000000-0005-0000-0000-0000B4350000}"/>
    <cellStyle name="Normal 12 4 3 2 2 3 3" xfId="14127" xr:uid="{00000000-0005-0000-0000-0000B5350000}"/>
    <cellStyle name="Normal 12 4 3 2 2 3 4" xfId="14128" xr:uid="{00000000-0005-0000-0000-0000B6350000}"/>
    <cellStyle name="Normal 12 4 3 2 2 3 5" xfId="14129" xr:uid="{00000000-0005-0000-0000-0000B7350000}"/>
    <cellStyle name="Normal 12 4 3 2 2 3 6" xfId="14130" xr:uid="{00000000-0005-0000-0000-0000B8350000}"/>
    <cellStyle name="Normal 12 4 3 2 2 3 7" xfId="14131" xr:uid="{00000000-0005-0000-0000-0000B9350000}"/>
    <cellStyle name="Normal 12 4 3 2 2 3 8" xfId="14132" xr:uid="{00000000-0005-0000-0000-0000BA350000}"/>
    <cellStyle name="Normal 12 4 3 2 2 4" xfId="14133" xr:uid="{00000000-0005-0000-0000-0000BB350000}"/>
    <cellStyle name="Normal 12 4 3 2 2 4 2" xfId="14134" xr:uid="{00000000-0005-0000-0000-0000BC350000}"/>
    <cellStyle name="Normal 12 4 3 2 2 4 3" xfId="14135" xr:uid="{00000000-0005-0000-0000-0000BD350000}"/>
    <cellStyle name="Normal 12 4 3 2 2 4 4" xfId="14136" xr:uid="{00000000-0005-0000-0000-0000BE350000}"/>
    <cellStyle name="Normal 12 4 3 2 2 4 5" xfId="14137" xr:uid="{00000000-0005-0000-0000-0000BF350000}"/>
    <cellStyle name="Normal 12 4 3 2 2 5" xfId="14138" xr:uid="{00000000-0005-0000-0000-0000C0350000}"/>
    <cellStyle name="Normal 12 4 3 2 2 6" xfId="14139" xr:uid="{00000000-0005-0000-0000-0000C1350000}"/>
    <cellStyle name="Normal 12 4 3 2 2 7" xfId="14140" xr:uid="{00000000-0005-0000-0000-0000C2350000}"/>
    <cellStyle name="Normal 12 4 3 2 2 8" xfId="14141" xr:uid="{00000000-0005-0000-0000-0000C3350000}"/>
    <cellStyle name="Normal 12 4 3 2 2 9" xfId="14142" xr:uid="{00000000-0005-0000-0000-0000C4350000}"/>
    <cellStyle name="Normal 12 4 3 2 3" xfId="14143" xr:uid="{00000000-0005-0000-0000-0000C5350000}"/>
    <cellStyle name="Normal 12 4 3 2 3 2" xfId="14144" xr:uid="{00000000-0005-0000-0000-0000C6350000}"/>
    <cellStyle name="Normal 12 4 3 2 3 2 2" xfId="14145" xr:uid="{00000000-0005-0000-0000-0000C7350000}"/>
    <cellStyle name="Normal 12 4 3 2 3 2 3" xfId="14146" xr:uid="{00000000-0005-0000-0000-0000C8350000}"/>
    <cellStyle name="Normal 12 4 3 2 3 2 4" xfId="14147" xr:uid="{00000000-0005-0000-0000-0000C9350000}"/>
    <cellStyle name="Normal 12 4 3 2 3 2 5" xfId="14148" xr:uid="{00000000-0005-0000-0000-0000CA350000}"/>
    <cellStyle name="Normal 12 4 3 2 3 3" xfId="14149" xr:uid="{00000000-0005-0000-0000-0000CB350000}"/>
    <cellStyle name="Normal 12 4 3 2 3 4" xfId="14150" xr:uid="{00000000-0005-0000-0000-0000CC350000}"/>
    <cellStyle name="Normal 12 4 3 2 3 5" xfId="14151" xr:uid="{00000000-0005-0000-0000-0000CD350000}"/>
    <cellStyle name="Normal 12 4 3 2 3 6" xfId="14152" xr:uid="{00000000-0005-0000-0000-0000CE350000}"/>
    <cellStyle name="Normal 12 4 3 2 3 7" xfId="14153" xr:uid="{00000000-0005-0000-0000-0000CF350000}"/>
    <cellStyle name="Normal 12 4 3 2 3 8" xfId="14154" xr:uid="{00000000-0005-0000-0000-0000D0350000}"/>
    <cellStyle name="Normal 12 4 3 2 4" xfId="14155" xr:uid="{00000000-0005-0000-0000-0000D1350000}"/>
    <cellStyle name="Normal 12 4 3 2 4 2" xfId="14156" xr:uid="{00000000-0005-0000-0000-0000D2350000}"/>
    <cellStyle name="Normal 12 4 3 2 4 2 2" xfId="14157" xr:uid="{00000000-0005-0000-0000-0000D3350000}"/>
    <cellStyle name="Normal 12 4 3 2 4 2 3" xfId="14158" xr:uid="{00000000-0005-0000-0000-0000D4350000}"/>
    <cellStyle name="Normal 12 4 3 2 4 2 4" xfId="14159" xr:uid="{00000000-0005-0000-0000-0000D5350000}"/>
    <cellStyle name="Normal 12 4 3 2 4 2 5" xfId="14160" xr:uid="{00000000-0005-0000-0000-0000D6350000}"/>
    <cellStyle name="Normal 12 4 3 2 4 3" xfId="14161" xr:uid="{00000000-0005-0000-0000-0000D7350000}"/>
    <cellStyle name="Normal 12 4 3 2 4 4" xfId="14162" xr:uid="{00000000-0005-0000-0000-0000D8350000}"/>
    <cellStyle name="Normal 12 4 3 2 4 5" xfId="14163" xr:uid="{00000000-0005-0000-0000-0000D9350000}"/>
    <cellStyle name="Normal 12 4 3 2 4 6" xfId="14164" xr:uid="{00000000-0005-0000-0000-0000DA350000}"/>
    <cellStyle name="Normal 12 4 3 2 4 7" xfId="14165" xr:uid="{00000000-0005-0000-0000-0000DB350000}"/>
    <cellStyle name="Normal 12 4 3 2 4 8" xfId="14166" xr:uid="{00000000-0005-0000-0000-0000DC350000}"/>
    <cellStyle name="Normal 12 4 3 2 5" xfId="14167" xr:uid="{00000000-0005-0000-0000-0000DD350000}"/>
    <cellStyle name="Normal 12 4 3 2 5 2" xfId="14168" xr:uid="{00000000-0005-0000-0000-0000DE350000}"/>
    <cellStyle name="Normal 12 4 3 2 5 3" xfId="14169" xr:uid="{00000000-0005-0000-0000-0000DF350000}"/>
    <cellStyle name="Normal 12 4 3 2 5 4" xfId="14170" xr:uid="{00000000-0005-0000-0000-0000E0350000}"/>
    <cellStyle name="Normal 12 4 3 2 5 5" xfId="14171" xr:uid="{00000000-0005-0000-0000-0000E1350000}"/>
    <cellStyle name="Normal 12 4 3 2 6" xfId="14172" xr:uid="{00000000-0005-0000-0000-0000E2350000}"/>
    <cellStyle name="Normal 12 4 3 2 7" xfId="14173" xr:uid="{00000000-0005-0000-0000-0000E3350000}"/>
    <cellStyle name="Normal 12 4 3 2 8" xfId="14174" xr:uid="{00000000-0005-0000-0000-0000E4350000}"/>
    <cellStyle name="Normal 12 4 3 2 9" xfId="14175" xr:uid="{00000000-0005-0000-0000-0000E5350000}"/>
    <cellStyle name="Normal 12 4 3 3" xfId="14176" xr:uid="{00000000-0005-0000-0000-0000E6350000}"/>
    <cellStyle name="Normal 12 4 3 3 10" xfId="14177" xr:uid="{00000000-0005-0000-0000-0000E7350000}"/>
    <cellStyle name="Normal 12 4 3 3 11" xfId="14178" xr:uid="{00000000-0005-0000-0000-0000E8350000}"/>
    <cellStyle name="Normal 12 4 3 3 2" xfId="14179" xr:uid="{00000000-0005-0000-0000-0000E9350000}"/>
    <cellStyle name="Normal 12 4 3 3 2 10" xfId="14180" xr:uid="{00000000-0005-0000-0000-0000EA350000}"/>
    <cellStyle name="Normal 12 4 3 3 2 2" xfId="14181" xr:uid="{00000000-0005-0000-0000-0000EB350000}"/>
    <cellStyle name="Normal 12 4 3 3 2 2 2" xfId="14182" xr:uid="{00000000-0005-0000-0000-0000EC350000}"/>
    <cellStyle name="Normal 12 4 3 3 2 2 2 2" xfId="14183" xr:uid="{00000000-0005-0000-0000-0000ED350000}"/>
    <cellStyle name="Normal 12 4 3 3 2 2 2 3" xfId="14184" xr:uid="{00000000-0005-0000-0000-0000EE350000}"/>
    <cellStyle name="Normal 12 4 3 3 2 2 2 4" xfId="14185" xr:uid="{00000000-0005-0000-0000-0000EF350000}"/>
    <cellStyle name="Normal 12 4 3 3 2 2 2 5" xfId="14186" xr:uid="{00000000-0005-0000-0000-0000F0350000}"/>
    <cellStyle name="Normal 12 4 3 3 2 2 3" xfId="14187" xr:uid="{00000000-0005-0000-0000-0000F1350000}"/>
    <cellStyle name="Normal 12 4 3 3 2 2 4" xfId="14188" xr:uid="{00000000-0005-0000-0000-0000F2350000}"/>
    <cellStyle name="Normal 12 4 3 3 2 2 5" xfId="14189" xr:uid="{00000000-0005-0000-0000-0000F3350000}"/>
    <cellStyle name="Normal 12 4 3 3 2 2 6" xfId="14190" xr:uid="{00000000-0005-0000-0000-0000F4350000}"/>
    <cellStyle name="Normal 12 4 3 3 2 2 7" xfId="14191" xr:uid="{00000000-0005-0000-0000-0000F5350000}"/>
    <cellStyle name="Normal 12 4 3 3 2 2 8" xfId="14192" xr:uid="{00000000-0005-0000-0000-0000F6350000}"/>
    <cellStyle name="Normal 12 4 3 3 2 3" xfId="14193" xr:uid="{00000000-0005-0000-0000-0000F7350000}"/>
    <cellStyle name="Normal 12 4 3 3 2 3 2" xfId="14194" xr:uid="{00000000-0005-0000-0000-0000F8350000}"/>
    <cellStyle name="Normal 12 4 3 3 2 3 2 2" xfId="14195" xr:uid="{00000000-0005-0000-0000-0000F9350000}"/>
    <cellStyle name="Normal 12 4 3 3 2 3 2 3" xfId="14196" xr:uid="{00000000-0005-0000-0000-0000FA350000}"/>
    <cellStyle name="Normal 12 4 3 3 2 3 2 4" xfId="14197" xr:uid="{00000000-0005-0000-0000-0000FB350000}"/>
    <cellStyle name="Normal 12 4 3 3 2 3 2 5" xfId="14198" xr:uid="{00000000-0005-0000-0000-0000FC350000}"/>
    <cellStyle name="Normal 12 4 3 3 2 3 3" xfId="14199" xr:uid="{00000000-0005-0000-0000-0000FD350000}"/>
    <cellStyle name="Normal 12 4 3 3 2 3 4" xfId="14200" xr:uid="{00000000-0005-0000-0000-0000FE350000}"/>
    <cellStyle name="Normal 12 4 3 3 2 3 5" xfId="14201" xr:uid="{00000000-0005-0000-0000-0000FF350000}"/>
    <cellStyle name="Normal 12 4 3 3 2 3 6" xfId="14202" xr:uid="{00000000-0005-0000-0000-000000360000}"/>
    <cellStyle name="Normal 12 4 3 3 2 3 7" xfId="14203" xr:uid="{00000000-0005-0000-0000-000001360000}"/>
    <cellStyle name="Normal 12 4 3 3 2 3 8" xfId="14204" xr:uid="{00000000-0005-0000-0000-000002360000}"/>
    <cellStyle name="Normal 12 4 3 3 2 4" xfId="14205" xr:uid="{00000000-0005-0000-0000-000003360000}"/>
    <cellStyle name="Normal 12 4 3 3 2 4 2" xfId="14206" xr:uid="{00000000-0005-0000-0000-000004360000}"/>
    <cellStyle name="Normal 12 4 3 3 2 4 3" xfId="14207" xr:uid="{00000000-0005-0000-0000-000005360000}"/>
    <cellStyle name="Normal 12 4 3 3 2 4 4" xfId="14208" xr:uid="{00000000-0005-0000-0000-000006360000}"/>
    <cellStyle name="Normal 12 4 3 3 2 4 5" xfId="14209" xr:uid="{00000000-0005-0000-0000-000007360000}"/>
    <cellStyle name="Normal 12 4 3 3 2 5" xfId="14210" xr:uid="{00000000-0005-0000-0000-000008360000}"/>
    <cellStyle name="Normal 12 4 3 3 2 6" xfId="14211" xr:uid="{00000000-0005-0000-0000-000009360000}"/>
    <cellStyle name="Normal 12 4 3 3 2 7" xfId="14212" xr:uid="{00000000-0005-0000-0000-00000A360000}"/>
    <cellStyle name="Normal 12 4 3 3 2 8" xfId="14213" xr:uid="{00000000-0005-0000-0000-00000B360000}"/>
    <cellStyle name="Normal 12 4 3 3 2 9" xfId="14214" xr:uid="{00000000-0005-0000-0000-00000C360000}"/>
    <cellStyle name="Normal 12 4 3 3 3" xfId="14215" xr:uid="{00000000-0005-0000-0000-00000D360000}"/>
    <cellStyle name="Normal 12 4 3 3 3 2" xfId="14216" xr:uid="{00000000-0005-0000-0000-00000E360000}"/>
    <cellStyle name="Normal 12 4 3 3 3 2 2" xfId="14217" xr:uid="{00000000-0005-0000-0000-00000F360000}"/>
    <cellStyle name="Normal 12 4 3 3 3 2 3" xfId="14218" xr:uid="{00000000-0005-0000-0000-000010360000}"/>
    <cellStyle name="Normal 12 4 3 3 3 2 4" xfId="14219" xr:uid="{00000000-0005-0000-0000-000011360000}"/>
    <cellStyle name="Normal 12 4 3 3 3 2 5" xfId="14220" xr:uid="{00000000-0005-0000-0000-000012360000}"/>
    <cellStyle name="Normal 12 4 3 3 3 3" xfId="14221" xr:uid="{00000000-0005-0000-0000-000013360000}"/>
    <cellStyle name="Normal 12 4 3 3 3 4" xfId="14222" xr:uid="{00000000-0005-0000-0000-000014360000}"/>
    <cellStyle name="Normal 12 4 3 3 3 5" xfId="14223" xr:uid="{00000000-0005-0000-0000-000015360000}"/>
    <cellStyle name="Normal 12 4 3 3 3 6" xfId="14224" xr:uid="{00000000-0005-0000-0000-000016360000}"/>
    <cellStyle name="Normal 12 4 3 3 3 7" xfId="14225" xr:uid="{00000000-0005-0000-0000-000017360000}"/>
    <cellStyle name="Normal 12 4 3 3 3 8" xfId="14226" xr:uid="{00000000-0005-0000-0000-000018360000}"/>
    <cellStyle name="Normal 12 4 3 3 4" xfId="14227" xr:uid="{00000000-0005-0000-0000-000019360000}"/>
    <cellStyle name="Normal 12 4 3 3 4 2" xfId="14228" xr:uid="{00000000-0005-0000-0000-00001A360000}"/>
    <cellStyle name="Normal 12 4 3 3 4 2 2" xfId="14229" xr:uid="{00000000-0005-0000-0000-00001B360000}"/>
    <cellStyle name="Normal 12 4 3 3 4 2 3" xfId="14230" xr:uid="{00000000-0005-0000-0000-00001C360000}"/>
    <cellStyle name="Normal 12 4 3 3 4 2 4" xfId="14231" xr:uid="{00000000-0005-0000-0000-00001D360000}"/>
    <cellStyle name="Normal 12 4 3 3 4 2 5" xfId="14232" xr:uid="{00000000-0005-0000-0000-00001E360000}"/>
    <cellStyle name="Normal 12 4 3 3 4 3" xfId="14233" xr:uid="{00000000-0005-0000-0000-00001F360000}"/>
    <cellStyle name="Normal 12 4 3 3 4 4" xfId="14234" xr:uid="{00000000-0005-0000-0000-000020360000}"/>
    <cellStyle name="Normal 12 4 3 3 4 5" xfId="14235" xr:uid="{00000000-0005-0000-0000-000021360000}"/>
    <cellStyle name="Normal 12 4 3 3 4 6" xfId="14236" xr:uid="{00000000-0005-0000-0000-000022360000}"/>
    <cellStyle name="Normal 12 4 3 3 4 7" xfId="14237" xr:uid="{00000000-0005-0000-0000-000023360000}"/>
    <cellStyle name="Normal 12 4 3 3 4 8" xfId="14238" xr:uid="{00000000-0005-0000-0000-000024360000}"/>
    <cellStyle name="Normal 12 4 3 3 5" xfId="14239" xr:uid="{00000000-0005-0000-0000-000025360000}"/>
    <cellStyle name="Normal 12 4 3 3 5 2" xfId="14240" xr:uid="{00000000-0005-0000-0000-000026360000}"/>
    <cellStyle name="Normal 12 4 3 3 5 3" xfId="14241" xr:uid="{00000000-0005-0000-0000-000027360000}"/>
    <cellStyle name="Normal 12 4 3 3 5 4" xfId="14242" xr:uid="{00000000-0005-0000-0000-000028360000}"/>
    <cellStyle name="Normal 12 4 3 3 5 5" xfId="14243" xr:uid="{00000000-0005-0000-0000-000029360000}"/>
    <cellStyle name="Normal 12 4 3 3 6" xfId="14244" xr:uid="{00000000-0005-0000-0000-00002A360000}"/>
    <cellStyle name="Normal 12 4 3 3 7" xfId="14245" xr:uid="{00000000-0005-0000-0000-00002B360000}"/>
    <cellStyle name="Normal 12 4 3 3 8" xfId="14246" xr:uid="{00000000-0005-0000-0000-00002C360000}"/>
    <cellStyle name="Normal 12 4 3 3 9" xfId="14247" xr:uid="{00000000-0005-0000-0000-00002D360000}"/>
    <cellStyle name="Normal 12 4 3 4" xfId="14248" xr:uid="{00000000-0005-0000-0000-00002E360000}"/>
    <cellStyle name="Normal 12 4 3 4 10" xfId="14249" xr:uid="{00000000-0005-0000-0000-00002F360000}"/>
    <cellStyle name="Normal 12 4 3 4 2" xfId="14250" xr:uid="{00000000-0005-0000-0000-000030360000}"/>
    <cellStyle name="Normal 12 4 3 4 2 2" xfId="14251" xr:uid="{00000000-0005-0000-0000-000031360000}"/>
    <cellStyle name="Normal 12 4 3 4 2 2 2" xfId="14252" xr:uid="{00000000-0005-0000-0000-000032360000}"/>
    <cellStyle name="Normal 12 4 3 4 2 2 3" xfId="14253" xr:uid="{00000000-0005-0000-0000-000033360000}"/>
    <cellStyle name="Normal 12 4 3 4 2 2 4" xfId="14254" xr:uid="{00000000-0005-0000-0000-000034360000}"/>
    <cellStyle name="Normal 12 4 3 4 2 2 5" xfId="14255" xr:uid="{00000000-0005-0000-0000-000035360000}"/>
    <cellStyle name="Normal 12 4 3 4 2 3" xfId="14256" xr:uid="{00000000-0005-0000-0000-000036360000}"/>
    <cellStyle name="Normal 12 4 3 4 2 4" xfId="14257" xr:uid="{00000000-0005-0000-0000-000037360000}"/>
    <cellStyle name="Normal 12 4 3 4 2 5" xfId="14258" xr:uid="{00000000-0005-0000-0000-000038360000}"/>
    <cellStyle name="Normal 12 4 3 4 2 6" xfId="14259" xr:uid="{00000000-0005-0000-0000-000039360000}"/>
    <cellStyle name="Normal 12 4 3 4 2 7" xfId="14260" xr:uid="{00000000-0005-0000-0000-00003A360000}"/>
    <cellStyle name="Normal 12 4 3 4 2 8" xfId="14261" xr:uid="{00000000-0005-0000-0000-00003B360000}"/>
    <cellStyle name="Normal 12 4 3 4 3" xfId="14262" xr:uid="{00000000-0005-0000-0000-00003C360000}"/>
    <cellStyle name="Normal 12 4 3 4 3 2" xfId="14263" xr:uid="{00000000-0005-0000-0000-00003D360000}"/>
    <cellStyle name="Normal 12 4 3 4 3 2 2" xfId="14264" xr:uid="{00000000-0005-0000-0000-00003E360000}"/>
    <cellStyle name="Normal 12 4 3 4 3 2 3" xfId="14265" xr:uid="{00000000-0005-0000-0000-00003F360000}"/>
    <cellStyle name="Normal 12 4 3 4 3 2 4" xfId="14266" xr:uid="{00000000-0005-0000-0000-000040360000}"/>
    <cellStyle name="Normal 12 4 3 4 3 2 5" xfId="14267" xr:uid="{00000000-0005-0000-0000-000041360000}"/>
    <cellStyle name="Normal 12 4 3 4 3 3" xfId="14268" xr:uid="{00000000-0005-0000-0000-000042360000}"/>
    <cellStyle name="Normal 12 4 3 4 3 4" xfId="14269" xr:uid="{00000000-0005-0000-0000-000043360000}"/>
    <cellStyle name="Normal 12 4 3 4 3 5" xfId="14270" xr:uid="{00000000-0005-0000-0000-000044360000}"/>
    <cellStyle name="Normal 12 4 3 4 3 6" xfId="14271" xr:uid="{00000000-0005-0000-0000-000045360000}"/>
    <cellStyle name="Normal 12 4 3 4 3 7" xfId="14272" xr:uid="{00000000-0005-0000-0000-000046360000}"/>
    <cellStyle name="Normal 12 4 3 4 3 8" xfId="14273" xr:uid="{00000000-0005-0000-0000-000047360000}"/>
    <cellStyle name="Normal 12 4 3 4 4" xfId="14274" xr:uid="{00000000-0005-0000-0000-000048360000}"/>
    <cellStyle name="Normal 12 4 3 4 4 2" xfId="14275" xr:uid="{00000000-0005-0000-0000-000049360000}"/>
    <cellStyle name="Normal 12 4 3 4 4 3" xfId="14276" xr:uid="{00000000-0005-0000-0000-00004A360000}"/>
    <cellStyle name="Normal 12 4 3 4 4 4" xfId="14277" xr:uid="{00000000-0005-0000-0000-00004B360000}"/>
    <cellStyle name="Normal 12 4 3 4 4 5" xfId="14278" xr:uid="{00000000-0005-0000-0000-00004C360000}"/>
    <cellStyle name="Normal 12 4 3 4 5" xfId="14279" xr:uid="{00000000-0005-0000-0000-00004D360000}"/>
    <cellStyle name="Normal 12 4 3 4 6" xfId="14280" xr:uid="{00000000-0005-0000-0000-00004E360000}"/>
    <cellStyle name="Normal 12 4 3 4 7" xfId="14281" xr:uid="{00000000-0005-0000-0000-00004F360000}"/>
    <cellStyle name="Normal 12 4 3 4 8" xfId="14282" xr:uid="{00000000-0005-0000-0000-000050360000}"/>
    <cellStyle name="Normal 12 4 3 4 9" xfId="14283" xr:uid="{00000000-0005-0000-0000-000051360000}"/>
    <cellStyle name="Normal 12 4 3 5" xfId="14284" xr:uid="{00000000-0005-0000-0000-000052360000}"/>
    <cellStyle name="Normal 12 4 3 5 2" xfId="14285" xr:uid="{00000000-0005-0000-0000-000053360000}"/>
    <cellStyle name="Normal 12 4 3 5 2 2" xfId="14286" xr:uid="{00000000-0005-0000-0000-000054360000}"/>
    <cellStyle name="Normal 12 4 3 5 2 3" xfId="14287" xr:uid="{00000000-0005-0000-0000-000055360000}"/>
    <cellStyle name="Normal 12 4 3 5 2 4" xfId="14288" xr:uid="{00000000-0005-0000-0000-000056360000}"/>
    <cellStyle name="Normal 12 4 3 5 2 5" xfId="14289" xr:uid="{00000000-0005-0000-0000-000057360000}"/>
    <cellStyle name="Normal 12 4 3 5 3" xfId="14290" xr:uid="{00000000-0005-0000-0000-000058360000}"/>
    <cellStyle name="Normal 12 4 3 5 4" xfId="14291" xr:uid="{00000000-0005-0000-0000-000059360000}"/>
    <cellStyle name="Normal 12 4 3 5 5" xfId="14292" xr:uid="{00000000-0005-0000-0000-00005A360000}"/>
    <cellStyle name="Normal 12 4 3 5 6" xfId="14293" xr:uid="{00000000-0005-0000-0000-00005B360000}"/>
    <cellStyle name="Normal 12 4 3 5 7" xfId="14294" xr:uid="{00000000-0005-0000-0000-00005C360000}"/>
    <cellStyle name="Normal 12 4 3 5 8" xfId="14295" xr:uid="{00000000-0005-0000-0000-00005D360000}"/>
    <cellStyle name="Normal 12 4 3 6" xfId="14296" xr:uid="{00000000-0005-0000-0000-00005E360000}"/>
    <cellStyle name="Normal 12 4 3 6 2" xfId="14297" xr:uid="{00000000-0005-0000-0000-00005F360000}"/>
    <cellStyle name="Normal 12 4 3 6 2 2" xfId="14298" xr:uid="{00000000-0005-0000-0000-000060360000}"/>
    <cellStyle name="Normal 12 4 3 6 2 3" xfId="14299" xr:uid="{00000000-0005-0000-0000-000061360000}"/>
    <cellStyle name="Normal 12 4 3 6 2 4" xfId="14300" xr:uid="{00000000-0005-0000-0000-000062360000}"/>
    <cellStyle name="Normal 12 4 3 6 2 5" xfId="14301" xr:uid="{00000000-0005-0000-0000-000063360000}"/>
    <cellStyle name="Normal 12 4 3 6 3" xfId="14302" xr:uid="{00000000-0005-0000-0000-000064360000}"/>
    <cellStyle name="Normal 12 4 3 6 4" xfId="14303" xr:uid="{00000000-0005-0000-0000-000065360000}"/>
    <cellStyle name="Normal 12 4 3 6 5" xfId="14304" xr:uid="{00000000-0005-0000-0000-000066360000}"/>
    <cellStyle name="Normal 12 4 3 6 6" xfId="14305" xr:uid="{00000000-0005-0000-0000-000067360000}"/>
    <cellStyle name="Normal 12 4 3 6 7" xfId="14306" xr:uid="{00000000-0005-0000-0000-000068360000}"/>
    <cellStyle name="Normal 12 4 3 6 8" xfId="14307" xr:uid="{00000000-0005-0000-0000-000069360000}"/>
    <cellStyle name="Normal 12 4 3 7" xfId="14308" xr:uid="{00000000-0005-0000-0000-00006A360000}"/>
    <cellStyle name="Normal 12 4 3 7 2" xfId="14309" xr:uid="{00000000-0005-0000-0000-00006B360000}"/>
    <cellStyle name="Normal 12 4 3 7 3" xfId="14310" xr:uid="{00000000-0005-0000-0000-00006C360000}"/>
    <cellStyle name="Normal 12 4 3 7 4" xfId="14311" xr:uid="{00000000-0005-0000-0000-00006D360000}"/>
    <cellStyle name="Normal 12 4 3 7 5" xfId="14312" xr:uid="{00000000-0005-0000-0000-00006E360000}"/>
    <cellStyle name="Normal 12 4 3 8" xfId="14313" xr:uid="{00000000-0005-0000-0000-00006F360000}"/>
    <cellStyle name="Normal 12 4 3 9" xfId="14314" xr:uid="{00000000-0005-0000-0000-000070360000}"/>
    <cellStyle name="Normal 12 4 4" xfId="14315" xr:uid="{00000000-0005-0000-0000-000071360000}"/>
    <cellStyle name="Normal 12 4 4 10" xfId="14316" xr:uid="{00000000-0005-0000-0000-000072360000}"/>
    <cellStyle name="Normal 12 4 4 11" xfId="14317" xr:uid="{00000000-0005-0000-0000-000073360000}"/>
    <cellStyle name="Normal 12 4 4 12" xfId="14318" xr:uid="{00000000-0005-0000-0000-000074360000}"/>
    <cellStyle name="Normal 12 4 4 13" xfId="14319" xr:uid="{00000000-0005-0000-0000-000075360000}"/>
    <cellStyle name="Normal 12 4 4 2" xfId="14320" xr:uid="{00000000-0005-0000-0000-000076360000}"/>
    <cellStyle name="Normal 12 4 4 2 10" xfId="14321" xr:uid="{00000000-0005-0000-0000-000077360000}"/>
    <cellStyle name="Normal 12 4 4 2 11" xfId="14322" xr:uid="{00000000-0005-0000-0000-000078360000}"/>
    <cellStyle name="Normal 12 4 4 2 2" xfId="14323" xr:uid="{00000000-0005-0000-0000-000079360000}"/>
    <cellStyle name="Normal 12 4 4 2 2 10" xfId="14324" xr:uid="{00000000-0005-0000-0000-00007A360000}"/>
    <cellStyle name="Normal 12 4 4 2 2 2" xfId="14325" xr:uid="{00000000-0005-0000-0000-00007B360000}"/>
    <cellStyle name="Normal 12 4 4 2 2 2 2" xfId="14326" xr:uid="{00000000-0005-0000-0000-00007C360000}"/>
    <cellStyle name="Normal 12 4 4 2 2 2 2 2" xfId="14327" xr:uid="{00000000-0005-0000-0000-00007D360000}"/>
    <cellStyle name="Normal 12 4 4 2 2 2 2 3" xfId="14328" xr:uid="{00000000-0005-0000-0000-00007E360000}"/>
    <cellStyle name="Normal 12 4 4 2 2 2 2 4" xfId="14329" xr:uid="{00000000-0005-0000-0000-00007F360000}"/>
    <cellStyle name="Normal 12 4 4 2 2 2 2 5" xfId="14330" xr:uid="{00000000-0005-0000-0000-000080360000}"/>
    <cellStyle name="Normal 12 4 4 2 2 2 3" xfId="14331" xr:uid="{00000000-0005-0000-0000-000081360000}"/>
    <cellStyle name="Normal 12 4 4 2 2 2 4" xfId="14332" xr:uid="{00000000-0005-0000-0000-000082360000}"/>
    <cellStyle name="Normal 12 4 4 2 2 2 5" xfId="14333" xr:uid="{00000000-0005-0000-0000-000083360000}"/>
    <cellStyle name="Normal 12 4 4 2 2 2 6" xfId="14334" xr:uid="{00000000-0005-0000-0000-000084360000}"/>
    <cellStyle name="Normal 12 4 4 2 2 2 7" xfId="14335" xr:uid="{00000000-0005-0000-0000-000085360000}"/>
    <cellStyle name="Normal 12 4 4 2 2 2 8" xfId="14336" xr:uid="{00000000-0005-0000-0000-000086360000}"/>
    <cellStyle name="Normal 12 4 4 2 2 3" xfId="14337" xr:uid="{00000000-0005-0000-0000-000087360000}"/>
    <cellStyle name="Normal 12 4 4 2 2 3 2" xfId="14338" xr:uid="{00000000-0005-0000-0000-000088360000}"/>
    <cellStyle name="Normal 12 4 4 2 2 3 2 2" xfId="14339" xr:uid="{00000000-0005-0000-0000-000089360000}"/>
    <cellStyle name="Normal 12 4 4 2 2 3 2 3" xfId="14340" xr:uid="{00000000-0005-0000-0000-00008A360000}"/>
    <cellStyle name="Normal 12 4 4 2 2 3 2 4" xfId="14341" xr:uid="{00000000-0005-0000-0000-00008B360000}"/>
    <cellStyle name="Normal 12 4 4 2 2 3 2 5" xfId="14342" xr:uid="{00000000-0005-0000-0000-00008C360000}"/>
    <cellStyle name="Normal 12 4 4 2 2 3 3" xfId="14343" xr:uid="{00000000-0005-0000-0000-00008D360000}"/>
    <cellStyle name="Normal 12 4 4 2 2 3 4" xfId="14344" xr:uid="{00000000-0005-0000-0000-00008E360000}"/>
    <cellStyle name="Normal 12 4 4 2 2 3 5" xfId="14345" xr:uid="{00000000-0005-0000-0000-00008F360000}"/>
    <cellStyle name="Normal 12 4 4 2 2 3 6" xfId="14346" xr:uid="{00000000-0005-0000-0000-000090360000}"/>
    <cellStyle name="Normal 12 4 4 2 2 3 7" xfId="14347" xr:uid="{00000000-0005-0000-0000-000091360000}"/>
    <cellStyle name="Normal 12 4 4 2 2 3 8" xfId="14348" xr:uid="{00000000-0005-0000-0000-000092360000}"/>
    <cellStyle name="Normal 12 4 4 2 2 4" xfId="14349" xr:uid="{00000000-0005-0000-0000-000093360000}"/>
    <cellStyle name="Normal 12 4 4 2 2 4 2" xfId="14350" xr:uid="{00000000-0005-0000-0000-000094360000}"/>
    <cellStyle name="Normal 12 4 4 2 2 4 3" xfId="14351" xr:uid="{00000000-0005-0000-0000-000095360000}"/>
    <cellStyle name="Normal 12 4 4 2 2 4 4" xfId="14352" xr:uid="{00000000-0005-0000-0000-000096360000}"/>
    <cellStyle name="Normal 12 4 4 2 2 4 5" xfId="14353" xr:uid="{00000000-0005-0000-0000-000097360000}"/>
    <cellStyle name="Normal 12 4 4 2 2 5" xfId="14354" xr:uid="{00000000-0005-0000-0000-000098360000}"/>
    <cellStyle name="Normal 12 4 4 2 2 6" xfId="14355" xr:uid="{00000000-0005-0000-0000-000099360000}"/>
    <cellStyle name="Normal 12 4 4 2 2 7" xfId="14356" xr:uid="{00000000-0005-0000-0000-00009A360000}"/>
    <cellStyle name="Normal 12 4 4 2 2 8" xfId="14357" xr:uid="{00000000-0005-0000-0000-00009B360000}"/>
    <cellStyle name="Normal 12 4 4 2 2 9" xfId="14358" xr:uid="{00000000-0005-0000-0000-00009C360000}"/>
    <cellStyle name="Normal 12 4 4 2 3" xfId="14359" xr:uid="{00000000-0005-0000-0000-00009D360000}"/>
    <cellStyle name="Normal 12 4 4 2 3 2" xfId="14360" xr:uid="{00000000-0005-0000-0000-00009E360000}"/>
    <cellStyle name="Normal 12 4 4 2 3 2 2" xfId="14361" xr:uid="{00000000-0005-0000-0000-00009F360000}"/>
    <cellStyle name="Normal 12 4 4 2 3 2 3" xfId="14362" xr:uid="{00000000-0005-0000-0000-0000A0360000}"/>
    <cellStyle name="Normal 12 4 4 2 3 2 4" xfId="14363" xr:uid="{00000000-0005-0000-0000-0000A1360000}"/>
    <cellStyle name="Normal 12 4 4 2 3 2 5" xfId="14364" xr:uid="{00000000-0005-0000-0000-0000A2360000}"/>
    <cellStyle name="Normal 12 4 4 2 3 3" xfId="14365" xr:uid="{00000000-0005-0000-0000-0000A3360000}"/>
    <cellStyle name="Normal 12 4 4 2 3 4" xfId="14366" xr:uid="{00000000-0005-0000-0000-0000A4360000}"/>
    <cellStyle name="Normal 12 4 4 2 3 5" xfId="14367" xr:uid="{00000000-0005-0000-0000-0000A5360000}"/>
    <cellStyle name="Normal 12 4 4 2 3 6" xfId="14368" xr:uid="{00000000-0005-0000-0000-0000A6360000}"/>
    <cellStyle name="Normal 12 4 4 2 3 7" xfId="14369" xr:uid="{00000000-0005-0000-0000-0000A7360000}"/>
    <cellStyle name="Normal 12 4 4 2 3 8" xfId="14370" xr:uid="{00000000-0005-0000-0000-0000A8360000}"/>
    <cellStyle name="Normal 12 4 4 2 4" xfId="14371" xr:uid="{00000000-0005-0000-0000-0000A9360000}"/>
    <cellStyle name="Normal 12 4 4 2 4 2" xfId="14372" xr:uid="{00000000-0005-0000-0000-0000AA360000}"/>
    <cellStyle name="Normal 12 4 4 2 4 2 2" xfId="14373" xr:uid="{00000000-0005-0000-0000-0000AB360000}"/>
    <cellStyle name="Normal 12 4 4 2 4 2 3" xfId="14374" xr:uid="{00000000-0005-0000-0000-0000AC360000}"/>
    <cellStyle name="Normal 12 4 4 2 4 2 4" xfId="14375" xr:uid="{00000000-0005-0000-0000-0000AD360000}"/>
    <cellStyle name="Normal 12 4 4 2 4 2 5" xfId="14376" xr:uid="{00000000-0005-0000-0000-0000AE360000}"/>
    <cellStyle name="Normal 12 4 4 2 4 3" xfId="14377" xr:uid="{00000000-0005-0000-0000-0000AF360000}"/>
    <cellStyle name="Normal 12 4 4 2 4 4" xfId="14378" xr:uid="{00000000-0005-0000-0000-0000B0360000}"/>
    <cellStyle name="Normal 12 4 4 2 4 5" xfId="14379" xr:uid="{00000000-0005-0000-0000-0000B1360000}"/>
    <cellStyle name="Normal 12 4 4 2 4 6" xfId="14380" xr:uid="{00000000-0005-0000-0000-0000B2360000}"/>
    <cellStyle name="Normal 12 4 4 2 4 7" xfId="14381" xr:uid="{00000000-0005-0000-0000-0000B3360000}"/>
    <cellStyle name="Normal 12 4 4 2 4 8" xfId="14382" xr:uid="{00000000-0005-0000-0000-0000B4360000}"/>
    <cellStyle name="Normal 12 4 4 2 5" xfId="14383" xr:uid="{00000000-0005-0000-0000-0000B5360000}"/>
    <cellStyle name="Normal 12 4 4 2 5 2" xfId="14384" xr:uid="{00000000-0005-0000-0000-0000B6360000}"/>
    <cellStyle name="Normal 12 4 4 2 5 3" xfId="14385" xr:uid="{00000000-0005-0000-0000-0000B7360000}"/>
    <cellStyle name="Normal 12 4 4 2 5 4" xfId="14386" xr:uid="{00000000-0005-0000-0000-0000B8360000}"/>
    <cellStyle name="Normal 12 4 4 2 5 5" xfId="14387" xr:uid="{00000000-0005-0000-0000-0000B9360000}"/>
    <cellStyle name="Normal 12 4 4 2 6" xfId="14388" xr:uid="{00000000-0005-0000-0000-0000BA360000}"/>
    <cellStyle name="Normal 12 4 4 2 7" xfId="14389" xr:uid="{00000000-0005-0000-0000-0000BB360000}"/>
    <cellStyle name="Normal 12 4 4 2 8" xfId="14390" xr:uid="{00000000-0005-0000-0000-0000BC360000}"/>
    <cellStyle name="Normal 12 4 4 2 9" xfId="14391" xr:uid="{00000000-0005-0000-0000-0000BD360000}"/>
    <cellStyle name="Normal 12 4 4 3" xfId="14392" xr:uid="{00000000-0005-0000-0000-0000BE360000}"/>
    <cellStyle name="Normal 12 4 4 3 10" xfId="14393" xr:uid="{00000000-0005-0000-0000-0000BF360000}"/>
    <cellStyle name="Normal 12 4 4 3 11" xfId="14394" xr:uid="{00000000-0005-0000-0000-0000C0360000}"/>
    <cellStyle name="Normal 12 4 4 3 2" xfId="14395" xr:uid="{00000000-0005-0000-0000-0000C1360000}"/>
    <cellStyle name="Normal 12 4 4 3 2 10" xfId="14396" xr:uid="{00000000-0005-0000-0000-0000C2360000}"/>
    <cellStyle name="Normal 12 4 4 3 2 2" xfId="14397" xr:uid="{00000000-0005-0000-0000-0000C3360000}"/>
    <cellStyle name="Normal 12 4 4 3 2 2 2" xfId="14398" xr:uid="{00000000-0005-0000-0000-0000C4360000}"/>
    <cellStyle name="Normal 12 4 4 3 2 2 2 2" xfId="14399" xr:uid="{00000000-0005-0000-0000-0000C5360000}"/>
    <cellStyle name="Normal 12 4 4 3 2 2 2 3" xfId="14400" xr:uid="{00000000-0005-0000-0000-0000C6360000}"/>
    <cellStyle name="Normal 12 4 4 3 2 2 2 4" xfId="14401" xr:uid="{00000000-0005-0000-0000-0000C7360000}"/>
    <cellStyle name="Normal 12 4 4 3 2 2 2 5" xfId="14402" xr:uid="{00000000-0005-0000-0000-0000C8360000}"/>
    <cellStyle name="Normal 12 4 4 3 2 2 3" xfId="14403" xr:uid="{00000000-0005-0000-0000-0000C9360000}"/>
    <cellStyle name="Normal 12 4 4 3 2 2 4" xfId="14404" xr:uid="{00000000-0005-0000-0000-0000CA360000}"/>
    <cellStyle name="Normal 12 4 4 3 2 2 5" xfId="14405" xr:uid="{00000000-0005-0000-0000-0000CB360000}"/>
    <cellStyle name="Normal 12 4 4 3 2 2 6" xfId="14406" xr:uid="{00000000-0005-0000-0000-0000CC360000}"/>
    <cellStyle name="Normal 12 4 4 3 2 2 7" xfId="14407" xr:uid="{00000000-0005-0000-0000-0000CD360000}"/>
    <cellStyle name="Normal 12 4 4 3 2 2 8" xfId="14408" xr:uid="{00000000-0005-0000-0000-0000CE360000}"/>
    <cellStyle name="Normal 12 4 4 3 2 3" xfId="14409" xr:uid="{00000000-0005-0000-0000-0000CF360000}"/>
    <cellStyle name="Normal 12 4 4 3 2 3 2" xfId="14410" xr:uid="{00000000-0005-0000-0000-0000D0360000}"/>
    <cellStyle name="Normal 12 4 4 3 2 3 2 2" xfId="14411" xr:uid="{00000000-0005-0000-0000-0000D1360000}"/>
    <cellStyle name="Normal 12 4 4 3 2 3 2 3" xfId="14412" xr:uid="{00000000-0005-0000-0000-0000D2360000}"/>
    <cellStyle name="Normal 12 4 4 3 2 3 2 4" xfId="14413" xr:uid="{00000000-0005-0000-0000-0000D3360000}"/>
    <cellStyle name="Normal 12 4 4 3 2 3 2 5" xfId="14414" xr:uid="{00000000-0005-0000-0000-0000D4360000}"/>
    <cellStyle name="Normal 12 4 4 3 2 3 3" xfId="14415" xr:uid="{00000000-0005-0000-0000-0000D5360000}"/>
    <cellStyle name="Normal 12 4 4 3 2 3 4" xfId="14416" xr:uid="{00000000-0005-0000-0000-0000D6360000}"/>
    <cellStyle name="Normal 12 4 4 3 2 3 5" xfId="14417" xr:uid="{00000000-0005-0000-0000-0000D7360000}"/>
    <cellStyle name="Normal 12 4 4 3 2 3 6" xfId="14418" xr:uid="{00000000-0005-0000-0000-0000D8360000}"/>
    <cellStyle name="Normal 12 4 4 3 2 3 7" xfId="14419" xr:uid="{00000000-0005-0000-0000-0000D9360000}"/>
    <cellStyle name="Normal 12 4 4 3 2 3 8" xfId="14420" xr:uid="{00000000-0005-0000-0000-0000DA360000}"/>
    <cellStyle name="Normal 12 4 4 3 2 4" xfId="14421" xr:uid="{00000000-0005-0000-0000-0000DB360000}"/>
    <cellStyle name="Normal 12 4 4 3 2 4 2" xfId="14422" xr:uid="{00000000-0005-0000-0000-0000DC360000}"/>
    <cellStyle name="Normal 12 4 4 3 2 4 3" xfId="14423" xr:uid="{00000000-0005-0000-0000-0000DD360000}"/>
    <cellStyle name="Normal 12 4 4 3 2 4 4" xfId="14424" xr:uid="{00000000-0005-0000-0000-0000DE360000}"/>
    <cellStyle name="Normal 12 4 4 3 2 4 5" xfId="14425" xr:uid="{00000000-0005-0000-0000-0000DF360000}"/>
    <cellStyle name="Normal 12 4 4 3 2 5" xfId="14426" xr:uid="{00000000-0005-0000-0000-0000E0360000}"/>
    <cellStyle name="Normal 12 4 4 3 2 6" xfId="14427" xr:uid="{00000000-0005-0000-0000-0000E1360000}"/>
    <cellStyle name="Normal 12 4 4 3 2 7" xfId="14428" xr:uid="{00000000-0005-0000-0000-0000E2360000}"/>
    <cellStyle name="Normal 12 4 4 3 2 8" xfId="14429" xr:uid="{00000000-0005-0000-0000-0000E3360000}"/>
    <cellStyle name="Normal 12 4 4 3 2 9" xfId="14430" xr:uid="{00000000-0005-0000-0000-0000E4360000}"/>
    <cellStyle name="Normal 12 4 4 3 3" xfId="14431" xr:uid="{00000000-0005-0000-0000-0000E5360000}"/>
    <cellStyle name="Normal 12 4 4 3 3 2" xfId="14432" xr:uid="{00000000-0005-0000-0000-0000E6360000}"/>
    <cellStyle name="Normal 12 4 4 3 3 2 2" xfId="14433" xr:uid="{00000000-0005-0000-0000-0000E7360000}"/>
    <cellStyle name="Normal 12 4 4 3 3 2 3" xfId="14434" xr:uid="{00000000-0005-0000-0000-0000E8360000}"/>
    <cellStyle name="Normal 12 4 4 3 3 2 4" xfId="14435" xr:uid="{00000000-0005-0000-0000-0000E9360000}"/>
    <cellStyle name="Normal 12 4 4 3 3 2 5" xfId="14436" xr:uid="{00000000-0005-0000-0000-0000EA360000}"/>
    <cellStyle name="Normal 12 4 4 3 3 3" xfId="14437" xr:uid="{00000000-0005-0000-0000-0000EB360000}"/>
    <cellStyle name="Normal 12 4 4 3 3 4" xfId="14438" xr:uid="{00000000-0005-0000-0000-0000EC360000}"/>
    <cellStyle name="Normal 12 4 4 3 3 5" xfId="14439" xr:uid="{00000000-0005-0000-0000-0000ED360000}"/>
    <cellStyle name="Normal 12 4 4 3 3 6" xfId="14440" xr:uid="{00000000-0005-0000-0000-0000EE360000}"/>
    <cellStyle name="Normal 12 4 4 3 3 7" xfId="14441" xr:uid="{00000000-0005-0000-0000-0000EF360000}"/>
    <cellStyle name="Normal 12 4 4 3 3 8" xfId="14442" xr:uid="{00000000-0005-0000-0000-0000F0360000}"/>
    <cellStyle name="Normal 12 4 4 3 4" xfId="14443" xr:uid="{00000000-0005-0000-0000-0000F1360000}"/>
    <cellStyle name="Normal 12 4 4 3 4 2" xfId="14444" xr:uid="{00000000-0005-0000-0000-0000F2360000}"/>
    <cellStyle name="Normal 12 4 4 3 4 2 2" xfId="14445" xr:uid="{00000000-0005-0000-0000-0000F3360000}"/>
    <cellStyle name="Normal 12 4 4 3 4 2 3" xfId="14446" xr:uid="{00000000-0005-0000-0000-0000F4360000}"/>
    <cellStyle name="Normal 12 4 4 3 4 2 4" xfId="14447" xr:uid="{00000000-0005-0000-0000-0000F5360000}"/>
    <cellStyle name="Normal 12 4 4 3 4 2 5" xfId="14448" xr:uid="{00000000-0005-0000-0000-0000F6360000}"/>
    <cellStyle name="Normal 12 4 4 3 4 3" xfId="14449" xr:uid="{00000000-0005-0000-0000-0000F7360000}"/>
    <cellStyle name="Normal 12 4 4 3 4 4" xfId="14450" xr:uid="{00000000-0005-0000-0000-0000F8360000}"/>
    <cellStyle name="Normal 12 4 4 3 4 5" xfId="14451" xr:uid="{00000000-0005-0000-0000-0000F9360000}"/>
    <cellStyle name="Normal 12 4 4 3 4 6" xfId="14452" xr:uid="{00000000-0005-0000-0000-0000FA360000}"/>
    <cellStyle name="Normal 12 4 4 3 4 7" xfId="14453" xr:uid="{00000000-0005-0000-0000-0000FB360000}"/>
    <cellStyle name="Normal 12 4 4 3 4 8" xfId="14454" xr:uid="{00000000-0005-0000-0000-0000FC360000}"/>
    <cellStyle name="Normal 12 4 4 3 5" xfId="14455" xr:uid="{00000000-0005-0000-0000-0000FD360000}"/>
    <cellStyle name="Normal 12 4 4 3 5 2" xfId="14456" xr:uid="{00000000-0005-0000-0000-0000FE360000}"/>
    <cellStyle name="Normal 12 4 4 3 5 3" xfId="14457" xr:uid="{00000000-0005-0000-0000-0000FF360000}"/>
    <cellStyle name="Normal 12 4 4 3 5 4" xfId="14458" xr:uid="{00000000-0005-0000-0000-000000370000}"/>
    <cellStyle name="Normal 12 4 4 3 5 5" xfId="14459" xr:uid="{00000000-0005-0000-0000-000001370000}"/>
    <cellStyle name="Normal 12 4 4 3 6" xfId="14460" xr:uid="{00000000-0005-0000-0000-000002370000}"/>
    <cellStyle name="Normal 12 4 4 3 7" xfId="14461" xr:uid="{00000000-0005-0000-0000-000003370000}"/>
    <cellStyle name="Normal 12 4 4 3 8" xfId="14462" xr:uid="{00000000-0005-0000-0000-000004370000}"/>
    <cellStyle name="Normal 12 4 4 3 9" xfId="14463" xr:uid="{00000000-0005-0000-0000-000005370000}"/>
    <cellStyle name="Normal 12 4 4 4" xfId="14464" xr:uid="{00000000-0005-0000-0000-000006370000}"/>
    <cellStyle name="Normal 12 4 4 4 10" xfId="14465" xr:uid="{00000000-0005-0000-0000-000007370000}"/>
    <cellStyle name="Normal 12 4 4 4 2" xfId="14466" xr:uid="{00000000-0005-0000-0000-000008370000}"/>
    <cellStyle name="Normal 12 4 4 4 2 2" xfId="14467" xr:uid="{00000000-0005-0000-0000-000009370000}"/>
    <cellStyle name="Normal 12 4 4 4 2 2 2" xfId="14468" xr:uid="{00000000-0005-0000-0000-00000A370000}"/>
    <cellStyle name="Normal 12 4 4 4 2 2 3" xfId="14469" xr:uid="{00000000-0005-0000-0000-00000B370000}"/>
    <cellStyle name="Normal 12 4 4 4 2 2 4" xfId="14470" xr:uid="{00000000-0005-0000-0000-00000C370000}"/>
    <cellStyle name="Normal 12 4 4 4 2 2 5" xfId="14471" xr:uid="{00000000-0005-0000-0000-00000D370000}"/>
    <cellStyle name="Normal 12 4 4 4 2 3" xfId="14472" xr:uid="{00000000-0005-0000-0000-00000E370000}"/>
    <cellStyle name="Normal 12 4 4 4 2 4" xfId="14473" xr:uid="{00000000-0005-0000-0000-00000F370000}"/>
    <cellStyle name="Normal 12 4 4 4 2 5" xfId="14474" xr:uid="{00000000-0005-0000-0000-000010370000}"/>
    <cellStyle name="Normal 12 4 4 4 2 6" xfId="14475" xr:uid="{00000000-0005-0000-0000-000011370000}"/>
    <cellStyle name="Normal 12 4 4 4 2 7" xfId="14476" xr:uid="{00000000-0005-0000-0000-000012370000}"/>
    <cellStyle name="Normal 12 4 4 4 2 8" xfId="14477" xr:uid="{00000000-0005-0000-0000-000013370000}"/>
    <cellStyle name="Normal 12 4 4 4 3" xfId="14478" xr:uid="{00000000-0005-0000-0000-000014370000}"/>
    <cellStyle name="Normal 12 4 4 4 3 2" xfId="14479" xr:uid="{00000000-0005-0000-0000-000015370000}"/>
    <cellStyle name="Normal 12 4 4 4 3 2 2" xfId="14480" xr:uid="{00000000-0005-0000-0000-000016370000}"/>
    <cellStyle name="Normal 12 4 4 4 3 2 3" xfId="14481" xr:uid="{00000000-0005-0000-0000-000017370000}"/>
    <cellStyle name="Normal 12 4 4 4 3 2 4" xfId="14482" xr:uid="{00000000-0005-0000-0000-000018370000}"/>
    <cellStyle name="Normal 12 4 4 4 3 2 5" xfId="14483" xr:uid="{00000000-0005-0000-0000-000019370000}"/>
    <cellStyle name="Normal 12 4 4 4 3 3" xfId="14484" xr:uid="{00000000-0005-0000-0000-00001A370000}"/>
    <cellStyle name="Normal 12 4 4 4 3 4" xfId="14485" xr:uid="{00000000-0005-0000-0000-00001B370000}"/>
    <cellStyle name="Normal 12 4 4 4 3 5" xfId="14486" xr:uid="{00000000-0005-0000-0000-00001C370000}"/>
    <cellStyle name="Normal 12 4 4 4 3 6" xfId="14487" xr:uid="{00000000-0005-0000-0000-00001D370000}"/>
    <cellStyle name="Normal 12 4 4 4 3 7" xfId="14488" xr:uid="{00000000-0005-0000-0000-00001E370000}"/>
    <cellStyle name="Normal 12 4 4 4 3 8" xfId="14489" xr:uid="{00000000-0005-0000-0000-00001F370000}"/>
    <cellStyle name="Normal 12 4 4 4 4" xfId="14490" xr:uid="{00000000-0005-0000-0000-000020370000}"/>
    <cellStyle name="Normal 12 4 4 4 4 2" xfId="14491" xr:uid="{00000000-0005-0000-0000-000021370000}"/>
    <cellStyle name="Normal 12 4 4 4 4 3" xfId="14492" xr:uid="{00000000-0005-0000-0000-000022370000}"/>
    <cellStyle name="Normal 12 4 4 4 4 4" xfId="14493" xr:uid="{00000000-0005-0000-0000-000023370000}"/>
    <cellStyle name="Normal 12 4 4 4 4 5" xfId="14494" xr:uid="{00000000-0005-0000-0000-000024370000}"/>
    <cellStyle name="Normal 12 4 4 4 5" xfId="14495" xr:uid="{00000000-0005-0000-0000-000025370000}"/>
    <cellStyle name="Normal 12 4 4 4 6" xfId="14496" xr:uid="{00000000-0005-0000-0000-000026370000}"/>
    <cellStyle name="Normal 12 4 4 4 7" xfId="14497" xr:uid="{00000000-0005-0000-0000-000027370000}"/>
    <cellStyle name="Normal 12 4 4 4 8" xfId="14498" xr:uid="{00000000-0005-0000-0000-000028370000}"/>
    <cellStyle name="Normal 12 4 4 4 9" xfId="14499" xr:uid="{00000000-0005-0000-0000-000029370000}"/>
    <cellStyle name="Normal 12 4 4 5" xfId="14500" xr:uid="{00000000-0005-0000-0000-00002A370000}"/>
    <cellStyle name="Normal 12 4 4 5 2" xfId="14501" xr:uid="{00000000-0005-0000-0000-00002B370000}"/>
    <cellStyle name="Normal 12 4 4 5 2 2" xfId="14502" xr:uid="{00000000-0005-0000-0000-00002C370000}"/>
    <cellStyle name="Normal 12 4 4 5 2 3" xfId="14503" xr:uid="{00000000-0005-0000-0000-00002D370000}"/>
    <cellStyle name="Normal 12 4 4 5 2 4" xfId="14504" xr:uid="{00000000-0005-0000-0000-00002E370000}"/>
    <cellStyle name="Normal 12 4 4 5 2 5" xfId="14505" xr:uid="{00000000-0005-0000-0000-00002F370000}"/>
    <cellStyle name="Normal 12 4 4 5 3" xfId="14506" xr:uid="{00000000-0005-0000-0000-000030370000}"/>
    <cellStyle name="Normal 12 4 4 5 4" xfId="14507" xr:uid="{00000000-0005-0000-0000-000031370000}"/>
    <cellStyle name="Normal 12 4 4 5 5" xfId="14508" xr:uid="{00000000-0005-0000-0000-000032370000}"/>
    <cellStyle name="Normal 12 4 4 5 6" xfId="14509" xr:uid="{00000000-0005-0000-0000-000033370000}"/>
    <cellStyle name="Normal 12 4 4 5 7" xfId="14510" xr:uid="{00000000-0005-0000-0000-000034370000}"/>
    <cellStyle name="Normal 12 4 4 5 8" xfId="14511" xr:uid="{00000000-0005-0000-0000-000035370000}"/>
    <cellStyle name="Normal 12 4 4 6" xfId="14512" xr:uid="{00000000-0005-0000-0000-000036370000}"/>
    <cellStyle name="Normal 12 4 4 6 2" xfId="14513" xr:uid="{00000000-0005-0000-0000-000037370000}"/>
    <cellStyle name="Normal 12 4 4 6 2 2" xfId="14514" xr:uid="{00000000-0005-0000-0000-000038370000}"/>
    <cellStyle name="Normal 12 4 4 6 2 3" xfId="14515" xr:uid="{00000000-0005-0000-0000-000039370000}"/>
    <cellStyle name="Normal 12 4 4 6 2 4" xfId="14516" xr:uid="{00000000-0005-0000-0000-00003A370000}"/>
    <cellStyle name="Normal 12 4 4 6 2 5" xfId="14517" xr:uid="{00000000-0005-0000-0000-00003B370000}"/>
    <cellStyle name="Normal 12 4 4 6 3" xfId="14518" xr:uid="{00000000-0005-0000-0000-00003C370000}"/>
    <cellStyle name="Normal 12 4 4 6 4" xfId="14519" xr:uid="{00000000-0005-0000-0000-00003D370000}"/>
    <cellStyle name="Normal 12 4 4 6 5" xfId="14520" xr:uid="{00000000-0005-0000-0000-00003E370000}"/>
    <cellStyle name="Normal 12 4 4 6 6" xfId="14521" xr:uid="{00000000-0005-0000-0000-00003F370000}"/>
    <cellStyle name="Normal 12 4 4 6 7" xfId="14522" xr:uid="{00000000-0005-0000-0000-000040370000}"/>
    <cellStyle name="Normal 12 4 4 6 8" xfId="14523" xr:uid="{00000000-0005-0000-0000-000041370000}"/>
    <cellStyle name="Normal 12 4 4 7" xfId="14524" xr:uid="{00000000-0005-0000-0000-000042370000}"/>
    <cellStyle name="Normal 12 4 4 7 2" xfId="14525" xr:uid="{00000000-0005-0000-0000-000043370000}"/>
    <cellStyle name="Normal 12 4 4 7 3" xfId="14526" xr:uid="{00000000-0005-0000-0000-000044370000}"/>
    <cellStyle name="Normal 12 4 4 7 4" xfId="14527" xr:uid="{00000000-0005-0000-0000-000045370000}"/>
    <cellStyle name="Normal 12 4 4 7 5" xfId="14528" xr:uid="{00000000-0005-0000-0000-000046370000}"/>
    <cellStyle name="Normal 12 4 4 8" xfId="14529" xr:uid="{00000000-0005-0000-0000-000047370000}"/>
    <cellStyle name="Normal 12 4 4 9" xfId="14530" xr:uid="{00000000-0005-0000-0000-000048370000}"/>
    <cellStyle name="Normal 12 4 5" xfId="14531" xr:uid="{00000000-0005-0000-0000-000049370000}"/>
    <cellStyle name="Normal 12 4 5 10" xfId="14532" xr:uid="{00000000-0005-0000-0000-00004A370000}"/>
    <cellStyle name="Normal 12 4 5 11" xfId="14533" xr:uid="{00000000-0005-0000-0000-00004B370000}"/>
    <cellStyle name="Normal 12 4 5 12" xfId="14534" xr:uid="{00000000-0005-0000-0000-00004C370000}"/>
    <cellStyle name="Normal 12 4 5 13" xfId="14535" xr:uid="{00000000-0005-0000-0000-00004D370000}"/>
    <cellStyle name="Normal 12 4 5 2" xfId="14536" xr:uid="{00000000-0005-0000-0000-00004E370000}"/>
    <cellStyle name="Normal 12 4 5 2 10" xfId="14537" xr:uid="{00000000-0005-0000-0000-00004F370000}"/>
    <cellStyle name="Normal 12 4 5 2 11" xfId="14538" xr:uid="{00000000-0005-0000-0000-000050370000}"/>
    <cellStyle name="Normal 12 4 5 2 2" xfId="14539" xr:uid="{00000000-0005-0000-0000-000051370000}"/>
    <cellStyle name="Normal 12 4 5 2 2 10" xfId="14540" xr:uid="{00000000-0005-0000-0000-000052370000}"/>
    <cellStyle name="Normal 12 4 5 2 2 2" xfId="14541" xr:uid="{00000000-0005-0000-0000-000053370000}"/>
    <cellStyle name="Normal 12 4 5 2 2 2 2" xfId="14542" xr:uid="{00000000-0005-0000-0000-000054370000}"/>
    <cellStyle name="Normal 12 4 5 2 2 2 2 2" xfId="14543" xr:uid="{00000000-0005-0000-0000-000055370000}"/>
    <cellStyle name="Normal 12 4 5 2 2 2 2 3" xfId="14544" xr:uid="{00000000-0005-0000-0000-000056370000}"/>
    <cellStyle name="Normal 12 4 5 2 2 2 2 4" xfId="14545" xr:uid="{00000000-0005-0000-0000-000057370000}"/>
    <cellStyle name="Normal 12 4 5 2 2 2 2 5" xfId="14546" xr:uid="{00000000-0005-0000-0000-000058370000}"/>
    <cellStyle name="Normal 12 4 5 2 2 2 3" xfId="14547" xr:uid="{00000000-0005-0000-0000-000059370000}"/>
    <cellStyle name="Normal 12 4 5 2 2 2 4" xfId="14548" xr:uid="{00000000-0005-0000-0000-00005A370000}"/>
    <cellStyle name="Normal 12 4 5 2 2 2 5" xfId="14549" xr:uid="{00000000-0005-0000-0000-00005B370000}"/>
    <cellStyle name="Normal 12 4 5 2 2 2 6" xfId="14550" xr:uid="{00000000-0005-0000-0000-00005C370000}"/>
    <cellStyle name="Normal 12 4 5 2 2 2 7" xfId="14551" xr:uid="{00000000-0005-0000-0000-00005D370000}"/>
    <cellStyle name="Normal 12 4 5 2 2 2 8" xfId="14552" xr:uid="{00000000-0005-0000-0000-00005E370000}"/>
    <cellStyle name="Normal 12 4 5 2 2 3" xfId="14553" xr:uid="{00000000-0005-0000-0000-00005F370000}"/>
    <cellStyle name="Normal 12 4 5 2 2 3 2" xfId="14554" xr:uid="{00000000-0005-0000-0000-000060370000}"/>
    <cellStyle name="Normal 12 4 5 2 2 3 2 2" xfId="14555" xr:uid="{00000000-0005-0000-0000-000061370000}"/>
    <cellStyle name="Normal 12 4 5 2 2 3 2 3" xfId="14556" xr:uid="{00000000-0005-0000-0000-000062370000}"/>
    <cellStyle name="Normal 12 4 5 2 2 3 2 4" xfId="14557" xr:uid="{00000000-0005-0000-0000-000063370000}"/>
    <cellStyle name="Normal 12 4 5 2 2 3 2 5" xfId="14558" xr:uid="{00000000-0005-0000-0000-000064370000}"/>
    <cellStyle name="Normal 12 4 5 2 2 3 3" xfId="14559" xr:uid="{00000000-0005-0000-0000-000065370000}"/>
    <cellStyle name="Normal 12 4 5 2 2 3 4" xfId="14560" xr:uid="{00000000-0005-0000-0000-000066370000}"/>
    <cellStyle name="Normal 12 4 5 2 2 3 5" xfId="14561" xr:uid="{00000000-0005-0000-0000-000067370000}"/>
    <cellStyle name="Normal 12 4 5 2 2 3 6" xfId="14562" xr:uid="{00000000-0005-0000-0000-000068370000}"/>
    <cellStyle name="Normal 12 4 5 2 2 3 7" xfId="14563" xr:uid="{00000000-0005-0000-0000-000069370000}"/>
    <cellStyle name="Normal 12 4 5 2 2 3 8" xfId="14564" xr:uid="{00000000-0005-0000-0000-00006A370000}"/>
    <cellStyle name="Normal 12 4 5 2 2 4" xfId="14565" xr:uid="{00000000-0005-0000-0000-00006B370000}"/>
    <cellStyle name="Normal 12 4 5 2 2 4 2" xfId="14566" xr:uid="{00000000-0005-0000-0000-00006C370000}"/>
    <cellStyle name="Normal 12 4 5 2 2 4 3" xfId="14567" xr:uid="{00000000-0005-0000-0000-00006D370000}"/>
    <cellStyle name="Normal 12 4 5 2 2 4 4" xfId="14568" xr:uid="{00000000-0005-0000-0000-00006E370000}"/>
    <cellStyle name="Normal 12 4 5 2 2 4 5" xfId="14569" xr:uid="{00000000-0005-0000-0000-00006F370000}"/>
    <cellStyle name="Normal 12 4 5 2 2 5" xfId="14570" xr:uid="{00000000-0005-0000-0000-000070370000}"/>
    <cellStyle name="Normal 12 4 5 2 2 6" xfId="14571" xr:uid="{00000000-0005-0000-0000-000071370000}"/>
    <cellStyle name="Normal 12 4 5 2 2 7" xfId="14572" xr:uid="{00000000-0005-0000-0000-000072370000}"/>
    <cellStyle name="Normal 12 4 5 2 2 8" xfId="14573" xr:uid="{00000000-0005-0000-0000-000073370000}"/>
    <cellStyle name="Normal 12 4 5 2 2 9" xfId="14574" xr:uid="{00000000-0005-0000-0000-000074370000}"/>
    <cellStyle name="Normal 12 4 5 2 3" xfId="14575" xr:uid="{00000000-0005-0000-0000-000075370000}"/>
    <cellStyle name="Normal 12 4 5 2 3 2" xfId="14576" xr:uid="{00000000-0005-0000-0000-000076370000}"/>
    <cellStyle name="Normal 12 4 5 2 3 2 2" xfId="14577" xr:uid="{00000000-0005-0000-0000-000077370000}"/>
    <cellStyle name="Normal 12 4 5 2 3 2 3" xfId="14578" xr:uid="{00000000-0005-0000-0000-000078370000}"/>
    <cellStyle name="Normal 12 4 5 2 3 2 4" xfId="14579" xr:uid="{00000000-0005-0000-0000-000079370000}"/>
    <cellStyle name="Normal 12 4 5 2 3 2 5" xfId="14580" xr:uid="{00000000-0005-0000-0000-00007A370000}"/>
    <cellStyle name="Normal 12 4 5 2 3 3" xfId="14581" xr:uid="{00000000-0005-0000-0000-00007B370000}"/>
    <cellStyle name="Normal 12 4 5 2 3 4" xfId="14582" xr:uid="{00000000-0005-0000-0000-00007C370000}"/>
    <cellStyle name="Normal 12 4 5 2 3 5" xfId="14583" xr:uid="{00000000-0005-0000-0000-00007D370000}"/>
    <cellStyle name="Normal 12 4 5 2 3 6" xfId="14584" xr:uid="{00000000-0005-0000-0000-00007E370000}"/>
    <cellStyle name="Normal 12 4 5 2 3 7" xfId="14585" xr:uid="{00000000-0005-0000-0000-00007F370000}"/>
    <cellStyle name="Normal 12 4 5 2 3 8" xfId="14586" xr:uid="{00000000-0005-0000-0000-000080370000}"/>
    <cellStyle name="Normal 12 4 5 2 4" xfId="14587" xr:uid="{00000000-0005-0000-0000-000081370000}"/>
    <cellStyle name="Normal 12 4 5 2 4 2" xfId="14588" xr:uid="{00000000-0005-0000-0000-000082370000}"/>
    <cellStyle name="Normal 12 4 5 2 4 2 2" xfId="14589" xr:uid="{00000000-0005-0000-0000-000083370000}"/>
    <cellStyle name="Normal 12 4 5 2 4 2 3" xfId="14590" xr:uid="{00000000-0005-0000-0000-000084370000}"/>
    <cellStyle name="Normal 12 4 5 2 4 2 4" xfId="14591" xr:uid="{00000000-0005-0000-0000-000085370000}"/>
    <cellStyle name="Normal 12 4 5 2 4 2 5" xfId="14592" xr:uid="{00000000-0005-0000-0000-000086370000}"/>
    <cellStyle name="Normal 12 4 5 2 4 3" xfId="14593" xr:uid="{00000000-0005-0000-0000-000087370000}"/>
    <cellStyle name="Normal 12 4 5 2 4 4" xfId="14594" xr:uid="{00000000-0005-0000-0000-000088370000}"/>
    <cellStyle name="Normal 12 4 5 2 4 5" xfId="14595" xr:uid="{00000000-0005-0000-0000-000089370000}"/>
    <cellStyle name="Normal 12 4 5 2 4 6" xfId="14596" xr:uid="{00000000-0005-0000-0000-00008A370000}"/>
    <cellStyle name="Normal 12 4 5 2 4 7" xfId="14597" xr:uid="{00000000-0005-0000-0000-00008B370000}"/>
    <cellStyle name="Normal 12 4 5 2 4 8" xfId="14598" xr:uid="{00000000-0005-0000-0000-00008C370000}"/>
    <cellStyle name="Normal 12 4 5 2 5" xfId="14599" xr:uid="{00000000-0005-0000-0000-00008D370000}"/>
    <cellStyle name="Normal 12 4 5 2 5 2" xfId="14600" xr:uid="{00000000-0005-0000-0000-00008E370000}"/>
    <cellStyle name="Normal 12 4 5 2 5 3" xfId="14601" xr:uid="{00000000-0005-0000-0000-00008F370000}"/>
    <cellStyle name="Normal 12 4 5 2 5 4" xfId="14602" xr:uid="{00000000-0005-0000-0000-000090370000}"/>
    <cellStyle name="Normal 12 4 5 2 5 5" xfId="14603" xr:uid="{00000000-0005-0000-0000-000091370000}"/>
    <cellStyle name="Normal 12 4 5 2 6" xfId="14604" xr:uid="{00000000-0005-0000-0000-000092370000}"/>
    <cellStyle name="Normal 12 4 5 2 7" xfId="14605" xr:uid="{00000000-0005-0000-0000-000093370000}"/>
    <cellStyle name="Normal 12 4 5 2 8" xfId="14606" xr:uid="{00000000-0005-0000-0000-000094370000}"/>
    <cellStyle name="Normal 12 4 5 2 9" xfId="14607" xr:uid="{00000000-0005-0000-0000-000095370000}"/>
    <cellStyle name="Normal 12 4 5 3" xfId="14608" xr:uid="{00000000-0005-0000-0000-000096370000}"/>
    <cellStyle name="Normal 12 4 5 3 10" xfId="14609" xr:uid="{00000000-0005-0000-0000-000097370000}"/>
    <cellStyle name="Normal 12 4 5 3 11" xfId="14610" xr:uid="{00000000-0005-0000-0000-000098370000}"/>
    <cellStyle name="Normal 12 4 5 3 2" xfId="14611" xr:uid="{00000000-0005-0000-0000-000099370000}"/>
    <cellStyle name="Normal 12 4 5 3 2 10" xfId="14612" xr:uid="{00000000-0005-0000-0000-00009A370000}"/>
    <cellStyle name="Normal 12 4 5 3 2 2" xfId="14613" xr:uid="{00000000-0005-0000-0000-00009B370000}"/>
    <cellStyle name="Normal 12 4 5 3 2 2 2" xfId="14614" xr:uid="{00000000-0005-0000-0000-00009C370000}"/>
    <cellStyle name="Normal 12 4 5 3 2 2 2 2" xfId="14615" xr:uid="{00000000-0005-0000-0000-00009D370000}"/>
    <cellStyle name="Normal 12 4 5 3 2 2 2 3" xfId="14616" xr:uid="{00000000-0005-0000-0000-00009E370000}"/>
    <cellStyle name="Normal 12 4 5 3 2 2 2 4" xfId="14617" xr:uid="{00000000-0005-0000-0000-00009F370000}"/>
    <cellStyle name="Normal 12 4 5 3 2 2 2 5" xfId="14618" xr:uid="{00000000-0005-0000-0000-0000A0370000}"/>
    <cellStyle name="Normal 12 4 5 3 2 2 3" xfId="14619" xr:uid="{00000000-0005-0000-0000-0000A1370000}"/>
    <cellStyle name="Normal 12 4 5 3 2 2 4" xfId="14620" xr:uid="{00000000-0005-0000-0000-0000A2370000}"/>
    <cellStyle name="Normal 12 4 5 3 2 2 5" xfId="14621" xr:uid="{00000000-0005-0000-0000-0000A3370000}"/>
    <cellStyle name="Normal 12 4 5 3 2 2 6" xfId="14622" xr:uid="{00000000-0005-0000-0000-0000A4370000}"/>
    <cellStyle name="Normal 12 4 5 3 2 2 7" xfId="14623" xr:uid="{00000000-0005-0000-0000-0000A5370000}"/>
    <cellStyle name="Normal 12 4 5 3 2 2 8" xfId="14624" xr:uid="{00000000-0005-0000-0000-0000A6370000}"/>
    <cellStyle name="Normal 12 4 5 3 2 3" xfId="14625" xr:uid="{00000000-0005-0000-0000-0000A7370000}"/>
    <cellStyle name="Normal 12 4 5 3 2 3 2" xfId="14626" xr:uid="{00000000-0005-0000-0000-0000A8370000}"/>
    <cellStyle name="Normal 12 4 5 3 2 3 2 2" xfId="14627" xr:uid="{00000000-0005-0000-0000-0000A9370000}"/>
    <cellStyle name="Normal 12 4 5 3 2 3 2 3" xfId="14628" xr:uid="{00000000-0005-0000-0000-0000AA370000}"/>
    <cellStyle name="Normal 12 4 5 3 2 3 2 4" xfId="14629" xr:uid="{00000000-0005-0000-0000-0000AB370000}"/>
    <cellStyle name="Normal 12 4 5 3 2 3 2 5" xfId="14630" xr:uid="{00000000-0005-0000-0000-0000AC370000}"/>
    <cellStyle name="Normal 12 4 5 3 2 3 3" xfId="14631" xr:uid="{00000000-0005-0000-0000-0000AD370000}"/>
    <cellStyle name="Normal 12 4 5 3 2 3 4" xfId="14632" xr:uid="{00000000-0005-0000-0000-0000AE370000}"/>
    <cellStyle name="Normal 12 4 5 3 2 3 5" xfId="14633" xr:uid="{00000000-0005-0000-0000-0000AF370000}"/>
    <cellStyle name="Normal 12 4 5 3 2 3 6" xfId="14634" xr:uid="{00000000-0005-0000-0000-0000B0370000}"/>
    <cellStyle name="Normal 12 4 5 3 2 3 7" xfId="14635" xr:uid="{00000000-0005-0000-0000-0000B1370000}"/>
    <cellStyle name="Normal 12 4 5 3 2 3 8" xfId="14636" xr:uid="{00000000-0005-0000-0000-0000B2370000}"/>
    <cellStyle name="Normal 12 4 5 3 2 4" xfId="14637" xr:uid="{00000000-0005-0000-0000-0000B3370000}"/>
    <cellStyle name="Normal 12 4 5 3 2 4 2" xfId="14638" xr:uid="{00000000-0005-0000-0000-0000B4370000}"/>
    <cellStyle name="Normal 12 4 5 3 2 4 3" xfId="14639" xr:uid="{00000000-0005-0000-0000-0000B5370000}"/>
    <cellStyle name="Normal 12 4 5 3 2 4 4" xfId="14640" xr:uid="{00000000-0005-0000-0000-0000B6370000}"/>
    <cellStyle name="Normal 12 4 5 3 2 4 5" xfId="14641" xr:uid="{00000000-0005-0000-0000-0000B7370000}"/>
    <cellStyle name="Normal 12 4 5 3 2 5" xfId="14642" xr:uid="{00000000-0005-0000-0000-0000B8370000}"/>
    <cellStyle name="Normal 12 4 5 3 2 6" xfId="14643" xr:uid="{00000000-0005-0000-0000-0000B9370000}"/>
    <cellStyle name="Normal 12 4 5 3 2 7" xfId="14644" xr:uid="{00000000-0005-0000-0000-0000BA370000}"/>
    <cellStyle name="Normal 12 4 5 3 2 8" xfId="14645" xr:uid="{00000000-0005-0000-0000-0000BB370000}"/>
    <cellStyle name="Normal 12 4 5 3 2 9" xfId="14646" xr:uid="{00000000-0005-0000-0000-0000BC370000}"/>
    <cellStyle name="Normal 12 4 5 3 3" xfId="14647" xr:uid="{00000000-0005-0000-0000-0000BD370000}"/>
    <cellStyle name="Normal 12 4 5 3 3 2" xfId="14648" xr:uid="{00000000-0005-0000-0000-0000BE370000}"/>
    <cellStyle name="Normal 12 4 5 3 3 2 2" xfId="14649" xr:uid="{00000000-0005-0000-0000-0000BF370000}"/>
    <cellStyle name="Normal 12 4 5 3 3 2 3" xfId="14650" xr:uid="{00000000-0005-0000-0000-0000C0370000}"/>
    <cellStyle name="Normal 12 4 5 3 3 2 4" xfId="14651" xr:uid="{00000000-0005-0000-0000-0000C1370000}"/>
    <cellStyle name="Normal 12 4 5 3 3 2 5" xfId="14652" xr:uid="{00000000-0005-0000-0000-0000C2370000}"/>
    <cellStyle name="Normal 12 4 5 3 3 3" xfId="14653" xr:uid="{00000000-0005-0000-0000-0000C3370000}"/>
    <cellStyle name="Normal 12 4 5 3 3 4" xfId="14654" xr:uid="{00000000-0005-0000-0000-0000C4370000}"/>
    <cellStyle name="Normal 12 4 5 3 3 5" xfId="14655" xr:uid="{00000000-0005-0000-0000-0000C5370000}"/>
    <cellStyle name="Normal 12 4 5 3 3 6" xfId="14656" xr:uid="{00000000-0005-0000-0000-0000C6370000}"/>
    <cellStyle name="Normal 12 4 5 3 3 7" xfId="14657" xr:uid="{00000000-0005-0000-0000-0000C7370000}"/>
    <cellStyle name="Normal 12 4 5 3 3 8" xfId="14658" xr:uid="{00000000-0005-0000-0000-0000C8370000}"/>
    <cellStyle name="Normal 12 4 5 3 4" xfId="14659" xr:uid="{00000000-0005-0000-0000-0000C9370000}"/>
    <cellStyle name="Normal 12 4 5 3 4 2" xfId="14660" xr:uid="{00000000-0005-0000-0000-0000CA370000}"/>
    <cellStyle name="Normal 12 4 5 3 4 2 2" xfId="14661" xr:uid="{00000000-0005-0000-0000-0000CB370000}"/>
    <cellStyle name="Normal 12 4 5 3 4 2 3" xfId="14662" xr:uid="{00000000-0005-0000-0000-0000CC370000}"/>
    <cellStyle name="Normal 12 4 5 3 4 2 4" xfId="14663" xr:uid="{00000000-0005-0000-0000-0000CD370000}"/>
    <cellStyle name="Normal 12 4 5 3 4 2 5" xfId="14664" xr:uid="{00000000-0005-0000-0000-0000CE370000}"/>
    <cellStyle name="Normal 12 4 5 3 4 3" xfId="14665" xr:uid="{00000000-0005-0000-0000-0000CF370000}"/>
    <cellStyle name="Normal 12 4 5 3 4 4" xfId="14666" xr:uid="{00000000-0005-0000-0000-0000D0370000}"/>
    <cellStyle name="Normal 12 4 5 3 4 5" xfId="14667" xr:uid="{00000000-0005-0000-0000-0000D1370000}"/>
    <cellStyle name="Normal 12 4 5 3 4 6" xfId="14668" xr:uid="{00000000-0005-0000-0000-0000D2370000}"/>
    <cellStyle name="Normal 12 4 5 3 4 7" xfId="14669" xr:uid="{00000000-0005-0000-0000-0000D3370000}"/>
    <cellStyle name="Normal 12 4 5 3 4 8" xfId="14670" xr:uid="{00000000-0005-0000-0000-0000D4370000}"/>
    <cellStyle name="Normal 12 4 5 3 5" xfId="14671" xr:uid="{00000000-0005-0000-0000-0000D5370000}"/>
    <cellStyle name="Normal 12 4 5 3 5 2" xfId="14672" xr:uid="{00000000-0005-0000-0000-0000D6370000}"/>
    <cellStyle name="Normal 12 4 5 3 5 3" xfId="14673" xr:uid="{00000000-0005-0000-0000-0000D7370000}"/>
    <cellStyle name="Normal 12 4 5 3 5 4" xfId="14674" xr:uid="{00000000-0005-0000-0000-0000D8370000}"/>
    <cellStyle name="Normal 12 4 5 3 5 5" xfId="14675" xr:uid="{00000000-0005-0000-0000-0000D9370000}"/>
    <cellStyle name="Normal 12 4 5 3 6" xfId="14676" xr:uid="{00000000-0005-0000-0000-0000DA370000}"/>
    <cellStyle name="Normal 12 4 5 3 7" xfId="14677" xr:uid="{00000000-0005-0000-0000-0000DB370000}"/>
    <cellStyle name="Normal 12 4 5 3 8" xfId="14678" xr:uid="{00000000-0005-0000-0000-0000DC370000}"/>
    <cellStyle name="Normal 12 4 5 3 9" xfId="14679" xr:uid="{00000000-0005-0000-0000-0000DD370000}"/>
    <cellStyle name="Normal 12 4 5 4" xfId="14680" xr:uid="{00000000-0005-0000-0000-0000DE370000}"/>
    <cellStyle name="Normal 12 4 5 4 10" xfId="14681" xr:uid="{00000000-0005-0000-0000-0000DF370000}"/>
    <cellStyle name="Normal 12 4 5 4 2" xfId="14682" xr:uid="{00000000-0005-0000-0000-0000E0370000}"/>
    <cellStyle name="Normal 12 4 5 4 2 2" xfId="14683" xr:uid="{00000000-0005-0000-0000-0000E1370000}"/>
    <cellStyle name="Normal 12 4 5 4 2 2 2" xfId="14684" xr:uid="{00000000-0005-0000-0000-0000E2370000}"/>
    <cellStyle name="Normal 12 4 5 4 2 2 3" xfId="14685" xr:uid="{00000000-0005-0000-0000-0000E3370000}"/>
    <cellStyle name="Normal 12 4 5 4 2 2 4" xfId="14686" xr:uid="{00000000-0005-0000-0000-0000E4370000}"/>
    <cellStyle name="Normal 12 4 5 4 2 2 5" xfId="14687" xr:uid="{00000000-0005-0000-0000-0000E5370000}"/>
    <cellStyle name="Normal 12 4 5 4 2 3" xfId="14688" xr:uid="{00000000-0005-0000-0000-0000E6370000}"/>
    <cellStyle name="Normal 12 4 5 4 2 4" xfId="14689" xr:uid="{00000000-0005-0000-0000-0000E7370000}"/>
    <cellStyle name="Normal 12 4 5 4 2 5" xfId="14690" xr:uid="{00000000-0005-0000-0000-0000E8370000}"/>
    <cellStyle name="Normal 12 4 5 4 2 6" xfId="14691" xr:uid="{00000000-0005-0000-0000-0000E9370000}"/>
    <cellStyle name="Normal 12 4 5 4 2 7" xfId="14692" xr:uid="{00000000-0005-0000-0000-0000EA370000}"/>
    <cellStyle name="Normal 12 4 5 4 2 8" xfId="14693" xr:uid="{00000000-0005-0000-0000-0000EB370000}"/>
    <cellStyle name="Normal 12 4 5 4 3" xfId="14694" xr:uid="{00000000-0005-0000-0000-0000EC370000}"/>
    <cellStyle name="Normal 12 4 5 4 3 2" xfId="14695" xr:uid="{00000000-0005-0000-0000-0000ED370000}"/>
    <cellStyle name="Normal 12 4 5 4 3 2 2" xfId="14696" xr:uid="{00000000-0005-0000-0000-0000EE370000}"/>
    <cellStyle name="Normal 12 4 5 4 3 2 3" xfId="14697" xr:uid="{00000000-0005-0000-0000-0000EF370000}"/>
    <cellStyle name="Normal 12 4 5 4 3 2 4" xfId="14698" xr:uid="{00000000-0005-0000-0000-0000F0370000}"/>
    <cellStyle name="Normal 12 4 5 4 3 2 5" xfId="14699" xr:uid="{00000000-0005-0000-0000-0000F1370000}"/>
    <cellStyle name="Normal 12 4 5 4 3 3" xfId="14700" xr:uid="{00000000-0005-0000-0000-0000F2370000}"/>
    <cellStyle name="Normal 12 4 5 4 3 4" xfId="14701" xr:uid="{00000000-0005-0000-0000-0000F3370000}"/>
    <cellStyle name="Normal 12 4 5 4 3 5" xfId="14702" xr:uid="{00000000-0005-0000-0000-0000F4370000}"/>
    <cellStyle name="Normal 12 4 5 4 3 6" xfId="14703" xr:uid="{00000000-0005-0000-0000-0000F5370000}"/>
    <cellStyle name="Normal 12 4 5 4 3 7" xfId="14704" xr:uid="{00000000-0005-0000-0000-0000F6370000}"/>
    <cellStyle name="Normal 12 4 5 4 3 8" xfId="14705" xr:uid="{00000000-0005-0000-0000-0000F7370000}"/>
    <cellStyle name="Normal 12 4 5 4 4" xfId="14706" xr:uid="{00000000-0005-0000-0000-0000F8370000}"/>
    <cellStyle name="Normal 12 4 5 4 4 2" xfId="14707" xr:uid="{00000000-0005-0000-0000-0000F9370000}"/>
    <cellStyle name="Normal 12 4 5 4 4 3" xfId="14708" xr:uid="{00000000-0005-0000-0000-0000FA370000}"/>
    <cellStyle name="Normal 12 4 5 4 4 4" xfId="14709" xr:uid="{00000000-0005-0000-0000-0000FB370000}"/>
    <cellStyle name="Normal 12 4 5 4 4 5" xfId="14710" xr:uid="{00000000-0005-0000-0000-0000FC370000}"/>
    <cellStyle name="Normal 12 4 5 4 5" xfId="14711" xr:uid="{00000000-0005-0000-0000-0000FD370000}"/>
    <cellStyle name="Normal 12 4 5 4 6" xfId="14712" xr:uid="{00000000-0005-0000-0000-0000FE370000}"/>
    <cellStyle name="Normal 12 4 5 4 7" xfId="14713" xr:uid="{00000000-0005-0000-0000-0000FF370000}"/>
    <cellStyle name="Normal 12 4 5 4 8" xfId="14714" xr:uid="{00000000-0005-0000-0000-000000380000}"/>
    <cellStyle name="Normal 12 4 5 4 9" xfId="14715" xr:uid="{00000000-0005-0000-0000-000001380000}"/>
    <cellStyle name="Normal 12 4 5 5" xfId="14716" xr:uid="{00000000-0005-0000-0000-000002380000}"/>
    <cellStyle name="Normal 12 4 5 5 2" xfId="14717" xr:uid="{00000000-0005-0000-0000-000003380000}"/>
    <cellStyle name="Normal 12 4 5 5 2 2" xfId="14718" xr:uid="{00000000-0005-0000-0000-000004380000}"/>
    <cellStyle name="Normal 12 4 5 5 2 3" xfId="14719" xr:uid="{00000000-0005-0000-0000-000005380000}"/>
    <cellStyle name="Normal 12 4 5 5 2 4" xfId="14720" xr:uid="{00000000-0005-0000-0000-000006380000}"/>
    <cellStyle name="Normal 12 4 5 5 2 5" xfId="14721" xr:uid="{00000000-0005-0000-0000-000007380000}"/>
    <cellStyle name="Normal 12 4 5 5 3" xfId="14722" xr:uid="{00000000-0005-0000-0000-000008380000}"/>
    <cellStyle name="Normal 12 4 5 5 4" xfId="14723" xr:uid="{00000000-0005-0000-0000-000009380000}"/>
    <cellStyle name="Normal 12 4 5 5 5" xfId="14724" xr:uid="{00000000-0005-0000-0000-00000A380000}"/>
    <cellStyle name="Normal 12 4 5 5 6" xfId="14725" xr:uid="{00000000-0005-0000-0000-00000B380000}"/>
    <cellStyle name="Normal 12 4 5 5 7" xfId="14726" xr:uid="{00000000-0005-0000-0000-00000C380000}"/>
    <cellStyle name="Normal 12 4 5 5 8" xfId="14727" xr:uid="{00000000-0005-0000-0000-00000D380000}"/>
    <cellStyle name="Normal 12 4 5 6" xfId="14728" xr:uid="{00000000-0005-0000-0000-00000E380000}"/>
    <cellStyle name="Normal 12 4 5 6 2" xfId="14729" xr:uid="{00000000-0005-0000-0000-00000F380000}"/>
    <cellStyle name="Normal 12 4 5 6 2 2" xfId="14730" xr:uid="{00000000-0005-0000-0000-000010380000}"/>
    <cellStyle name="Normal 12 4 5 6 2 3" xfId="14731" xr:uid="{00000000-0005-0000-0000-000011380000}"/>
    <cellStyle name="Normal 12 4 5 6 2 4" xfId="14732" xr:uid="{00000000-0005-0000-0000-000012380000}"/>
    <cellStyle name="Normal 12 4 5 6 2 5" xfId="14733" xr:uid="{00000000-0005-0000-0000-000013380000}"/>
    <cellStyle name="Normal 12 4 5 6 3" xfId="14734" xr:uid="{00000000-0005-0000-0000-000014380000}"/>
    <cellStyle name="Normal 12 4 5 6 4" xfId="14735" xr:uid="{00000000-0005-0000-0000-000015380000}"/>
    <cellStyle name="Normal 12 4 5 6 5" xfId="14736" xr:uid="{00000000-0005-0000-0000-000016380000}"/>
    <cellStyle name="Normal 12 4 5 6 6" xfId="14737" xr:uid="{00000000-0005-0000-0000-000017380000}"/>
    <cellStyle name="Normal 12 4 5 6 7" xfId="14738" xr:uid="{00000000-0005-0000-0000-000018380000}"/>
    <cellStyle name="Normal 12 4 5 6 8" xfId="14739" xr:uid="{00000000-0005-0000-0000-000019380000}"/>
    <cellStyle name="Normal 12 4 5 7" xfId="14740" xr:uid="{00000000-0005-0000-0000-00001A380000}"/>
    <cellStyle name="Normal 12 4 5 7 2" xfId="14741" xr:uid="{00000000-0005-0000-0000-00001B380000}"/>
    <cellStyle name="Normal 12 4 5 7 3" xfId="14742" xr:uid="{00000000-0005-0000-0000-00001C380000}"/>
    <cellStyle name="Normal 12 4 5 7 4" xfId="14743" xr:uid="{00000000-0005-0000-0000-00001D380000}"/>
    <cellStyle name="Normal 12 4 5 7 5" xfId="14744" xr:uid="{00000000-0005-0000-0000-00001E380000}"/>
    <cellStyle name="Normal 12 4 5 8" xfId="14745" xr:uid="{00000000-0005-0000-0000-00001F380000}"/>
    <cellStyle name="Normal 12 4 5 9" xfId="14746" xr:uid="{00000000-0005-0000-0000-000020380000}"/>
    <cellStyle name="Normal 12 4 6" xfId="14747" xr:uid="{00000000-0005-0000-0000-000021380000}"/>
    <cellStyle name="Normal 12 4 6 10" xfId="14748" xr:uid="{00000000-0005-0000-0000-000022380000}"/>
    <cellStyle name="Normal 12 4 6 11" xfId="14749" xr:uid="{00000000-0005-0000-0000-000023380000}"/>
    <cellStyle name="Normal 12 4 6 12" xfId="14750" xr:uid="{00000000-0005-0000-0000-000024380000}"/>
    <cellStyle name="Normal 12 4 6 13" xfId="14751" xr:uid="{00000000-0005-0000-0000-000025380000}"/>
    <cellStyle name="Normal 12 4 6 2" xfId="14752" xr:uid="{00000000-0005-0000-0000-000026380000}"/>
    <cellStyle name="Normal 12 4 6 2 10" xfId="14753" xr:uid="{00000000-0005-0000-0000-000027380000}"/>
    <cellStyle name="Normal 12 4 6 2 11" xfId="14754" xr:uid="{00000000-0005-0000-0000-000028380000}"/>
    <cellStyle name="Normal 12 4 6 2 2" xfId="14755" xr:uid="{00000000-0005-0000-0000-000029380000}"/>
    <cellStyle name="Normal 12 4 6 2 2 10" xfId="14756" xr:uid="{00000000-0005-0000-0000-00002A380000}"/>
    <cellStyle name="Normal 12 4 6 2 2 2" xfId="14757" xr:uid="{00000000-0005-0000-0000-00002B380000}"/>
    <cellStyle name="Normal 12 4 6 2 2 2 2" xfId="14758" xr:uid="{00000000-0005-0000-0000-00002C380000}"/>
    <cellStyle name="Normal 12 4 6 2 2 2 2 2" xfId="14759" xr:uid="{00000000-0005-0000-0000-00002D380000}"/>
    <cellStyle name="Normal 12 4 6 2 2 2 2 3" xfId="14760" xr:uid="{00000000-0005-0000-0000-00002E380000}"/>
    <cellStyle name="Normal 12 4 6 2 2 2 2 4" xfId="14761" xr:uid="{00000000-0005-0000-0000-00002F380000}"/>
    <cellStyle name="Normal 12 4 6 2 2 2 2 5" xfId="14762" xr:uid="{00000000-0005-0000-0000-000030380000}"/>
    <cellStyle name="Normal 12 4 6 2 2 2 3" xfId="14763" xr:uid="{00000000-0005-0000-0000-000031380000}"/>
    <cellStyle name="Normal 12 4 6 2 2 2 4" xfId="14764" xr:uid="{00000000-0005-0000-0000-000032380000}"/>
    <cellStyle name="Normal 12 4 6 2 2 2 5" xfId="14765" xr:uid="{00000000-0005-0000-0000-000033380000}"/>
    <cellStyle name="Normal 12 4 6 2 2 2 6" xfId="14766" xr:uid="{00000000-0005-0000-0000-000034380000}"/>
    <cellStyle name="Normal 12 4 6 2 2 2 7" xfId="14767" xr:uid="{00000000-0005-0000-0000-000035380000}"/>
    <cellStyle name="Normal 12 4 6 2 2 2 8" xfId="14768" xr:uid="{00000000-0005-0000-0000-000036380000}"/>
    <cellStyle name="Normal 12 4 6 2 2 3" xfId="14769" xr:uid="{00000000-0005-0000-0000-000037380000}"/>
    <cellStyle name="Normal 12 4 6 2 2 3 2" xfId="14770" xr:uid="{00000000-0005-0000-0000-000038380000}"/>
    <cellStyle name="Normal 12 4 6 2 2 3 2 2" xfId="14771" xr:uid="{00000000-0005-0000-0000-000039380000}"/>
    <cellStyle name="Normal 12 4 6 2 2 3 2 3" xfId="14772" xr:uid="{00000000-0005-0000-0000-00003A380000}"/>
    <cellStyle name="Normal 12 4 6 2 2 3 2 4" xfId="14773" xr:uid="{00000000-0005-0000-0000-00003B380000}"/>
    <cellStyle name="Normal 12 4 6 2 2 3 2 5" xfId="14774" xr:uid="{00000000-0005-0000-0000-00003C380000}"/>
    <cellStyle name="Normal 12 4 6 2 2 3 3" xfId="14775" xr:uid="{00000000-0005-0000-0000-00003D380000}"/>
    <cellStyle name="Normal 12 4 6 2 2 3 4" xfId="14776" xr:uid="{00000000-0005-0000-0000-00003E380000}"/>
    <cellStyle name="Normal 12 4 6 2 2 3 5" xfId="14777" xr:uid="{00000000-0005-0000-0000-00003F380000}"/>
    <cellStyle name="Normal 12 4 6 2 2 3 6" xfId="14778" xr:uid="{00000000-0005-0000-0000-000040380000}"/>
    <cellStyle name="Normal 12 4 6 2 2 3 7" xfId="14779" xr:uid="{00000000-0005-0000-0000-000041380000}"/>
    <cellStyle name="Normal 12 4 6 2 2 3 8" xfId="14780" xr:uid="{00000000-0005-0000-0000-000042380000}"/>
    <cellStyle name="Normal 12 4 6 2 2 4" xfId="14781" xr:uid="{00000000-0005-0000-0000-000043380000}"/>
    <cellStyle name="Normal 12 4 6 2 2 4 2" xfId="14782" xr:uid="{00000000-0005-0000-0000-000044380000}"/>
    <cellStyle name="Normal 12 4 6 2 2 4 3" xfId="14783" xr:uid="{00000000-0005-0000-0000-000045380000}"/>
    <cellStyle name="Normal 12 4 6 2 2 4 4" xfId="14784" xr:uid="{00000000-0005-0000-0000-000046380000}"/>
    <cellStyle name="Normal 12 4 6 2 2 4 5" xfId="14785" xr:uid="{00000000-0005-0000-0000-000047380000}"/>
    <cellStyle name="Normal 12 4 6 2 2 5" xfId="14786" xr:uid="{00000000-0005-0000-0000-000048380000}"/>
    <cellStyle name="Normal 12 4 6 2 2 6" xfId="14787" xr:uid="{00000000-0005-0000-0000-000049380000}"/>
    <cellStyle name="Normal 12 4 6 2 2 7" xfId="14788" xr:uid="{00000000-0005-0000-0000-00004A380000}"/>
    <cellStyle name="Normal 12 4 6 2 2 8" xfId="14789" xr:uid="{00000000-0005-0000-0000-00004B380000}"/>
    <cellStyle name="Normal 12 4 6 2 2 9" xfId="14790" xr:uid="{00000000-0005-0000-0000-00004C380000}"/>
    <cellStyle name="Normal 12 4 6 2 3" xfId="14791" xr:uid="{00000000-0005-0000-0000-00004D380000}"/>
    <cellStyle name="Normal 12 4 6 2 3 2" xfId="14792" xr:uid="{00000000-0005-0000-0000-00004E380000}"/>
    <cellStyle name="Normal 12 4 6 2 3 2 2" xfId="14793" xr:uid="{00000000-0005-0000-0000-00004F380000}"/>
    <cellStyle name="Normal 12 4 6 2 3 2 3" xfId="14794" xr:uid="{00000000-0005-0000-0000-000050380000}"/>
    <cellStyle name="Normal 12 4 6 2 3 2 4" xfId="14795" xr:uid="{00000000-0005-0000-0000-000051380000}"/>
    <cellStyle name="Normal 12 4 6 2 3 2 5" xfId="14796" xr:uid="{00000000-0005-0000-0000-000052380000}"/>
    <cellStyle name="Normal 12 4 6 2 3 3" xfId="14797" xr:uid="{00000000-0005-0000-0000-000053380000}"/>
    <cellStyle name="Normal 12 4 6 2 3 4" xfId="14798" xr:uid="{00000000-0005-0000-0000-000054380000}"/>
    <cellStyle name="Normal 12 4 6 2 3 5" xfId="14799" xr:uid="{00000000-0005-0000-0000-000055380000}"/>
    <cellStyle name="Normal 12 4 6 2 3 6" xfId="14800" xr:uid="{00000000-0005-0000-0000-000056380000}"/>
    <cellStyle name="Normal 12 4 6 2 3 7" xfId="14801" xr:uid="{00000000-0005-0000-0000-000057380000}"/>
    <cellStyle name="Normal 12 4 6 2 3 8" xfId="14802" xr:uid="{00000000-0005-0000-0000-000058380000}"/>
    <cellStyle name="Normal 12 4 6 2 4" xfId="14803" xr:uid="{00000000-0005-0000-0000-000059380000}"/>
    <cellStyle name="Normal 12 4 6 2 4 2" xfId="14804" xr:uid="{00000000-0005-0000-0000-00005A380000}"/>
    <cellStyle name="Normal 12 4 6 2 4 2 2" xfId="14805" xr:uid="{00000000-0005-0000-0000-00005B380000}"/>
    <cellStyle name="Normal 12 4 6 2 4 2 3" xfId="14806" xr:uid="{00000000-0005-0000-0000-00005C380000}"/>
    <cellStyle name="Normal 12 4 6 2 4 2 4" xfId="14807" xr:uid="{00000000-0005-0000-0000-00005D380000}"/>
    <cellStyle name="Normal 12 4 6 2 4 2 5" xfId="14808" xr:uid="{00000000-0005-0000-0000-00005E380000}"/>
    <cellStyle name="Normal 12 4 6 2 4 3" xfId="14809" xr:uid="{00000000-0005-0000-0000-00005F380000}"/>
    <cellStyle name="Normal 12 4 6 2 4 4" xfId="14810" xr:uid="{00000000-0005-0000-0000-000060380000}"/>
    <cellStyle name="Normal 12 4 6 2 4 5" xfId="14811" xr:uid="{00000000-0005-0000-0000-000061380000}"/>
    <cellStyle name="Normal 12 4 6 2 4 6" xfId="14812" xr:uid="{00000000-0005-0000-0000-000062380000}"/>
    <cellStyle name="Normal 12 4 6 2 4 7" xfId="14813" xr:uid="{00000000-0005-0000-0000-000063380000}"/>
    <cellStyle name="Normal 12 4 6 2 4 8" xfId="14814" xr:uid="{00000000-0005-0000-0000-000064380000}"/>
    <cellStyle name="Normal 12 4 6 2 5" xfId="14815" xr:uid="{00000000-0005-0000-0000-000065380000}"/>
    <cellStyle name="Normal 12 4 6 2 5 2" xfId="14816" xr:uid="{00000000-0005-0000-0000-000066380000}"/>
    <cellStyle name="Normal 12 4 6 2 5 3" xfId="14817" xr:uid="{00000000-0005-0000-0000-000067380000}"/>
    <cellStyle name="Normal 12 4 6 2 5 4" xfId="14818" xr:uid="{00000000-0005-0000-0000-000068380000}"/>
    <cellStyle name="Normal 12 4 6 2 5 5" xfId="14819" xr:uid="{00000000-0005-0000-0000-000069380000}"/>
    <cellStyle name="Normal 12 4 6 2 6" xfId="14820" xr:uid="{00000000-0005-0000-0000-00006A380000}"/>
    <cellStyle name="Normal 12 4 6 2 7" xfId="14821" xr:uid="{00000000-0005-0000-0000-00006B380000}"/>
    <cellStyle name="Normal 12 4 6 2 8" xfId="14822" xr:uid="{00000000-0005-0000-0000-00006C380000}"/>
    <cellStyle name="Normal 12 4 6 2 9" xfId="14823" xr:uid="{00000000-0005-0000-0000-00006D380000}"/>
    <cellStyle name="Normal 12 4 6 3" xfId="14824" xr:uid="{00000000-0005-0000-0000-00006E380000}"/>
    <cellStyle name="Normal 12 4 6 3 10" xfId="14825" xr:uid="{00000000-0005-0000-0000-00006F380000}"/>
    <cellStyle name="Normal 12 4 6 3 11" xfId="14826" xr:uid="{00000000-0005-0000-0000-000070380000}"/>
    <cellStyle name="Normal 12 4 6 3 2" xfId="14827" xr:uid="{00000000-0005-0000-0000-000071380000}"/>
    <cellStyle name="Normal 12 4 6 3 2 10" xfId="14828" xr:uid="{00000000-0005-0000-0000-000072380000}"/>
    <cellStyle name="Normal 12 4 6 3 2 2" xfId="14829" xr:uid="{00000000-0005-0000-0000-000073380000}"/>
    <cellStyle name="Normal 12 4 6 3 2 2 2" xfId="14830" xr:uid="{00000000-0005-0000-0000-000074380000}"/>
    <cellStyle name="Normal 12 4 6 3 2 2 2 2" xfId="14831" xr:uid="{00000000-0005-0000-0000-000075380000}"/>
    <cellStyle name="Normal 12 4 6 3 2 2 2 3" xfId="14832" xr:uid="{00000000-0005-0000-0000-000076380000}"/>
    <cellStyle name="Normal 12 4 6 3 2 2 2 4" xfId="14833" xr:uid="{00000000-0005-0000-0000-000077380000}"/>
    <cellStyle name="Normal 12 4 6 3 2 2 2 5" xfId="14834" xr:uid="{00000000-0005-0000-0000-000078380000}"/>
    <cellStyle name="Normal 12 4 6 3 2 2 3" xfId="14835" xr:uid="{00000000-0005-0000-0000-000079380000}"/>
    <cellStyle name="Normal 12 4 6 3 2 2 4" xfId="14836" xr:uid="{00000000-0005-0000-0000-00007A380000}"/>
    <cellStyle name="Normal 12 4 6 3 2 2 5" xfId="14837" xr:uid="{00000000-0005-0000-0000-00007B380000}"/>
    <cellStyle name="Normal 12 4 6 3 2 2 6" xfId="14838" xr:uid="{00000000-0005-0000-0000-00007C380000}"/>
    <cellStyle name="Normal 12 4 6 3 2 2 7" xfId="14839" xr:uid="{00000000-0005-0000-0000-00007D380000}"/>
    <cellStyle name="Normal 12 4 6 3 2 2 8" xfId="14840" xr:uid="{00000000-0005-0000-0000-00007E380000}"/>
    <cellStyle name="Normal 12 4 6 3 2 3" xfId="14841" xr:uid="{00000000-0005-0000-0000-00007F380000}"/>
    <cellStyle name="Normal 12 4 6 3 2 3 2" xfId="14842" xr:uid="{00000000-0005-0000-0000-000080380000}"/>
    <cellStyle name="Normal 12 4 6 3 2 3 2 2" xfId="14843" xr:uid="{00000000-0005-0000-0000-000081380000}"/>
    <cellStyle name="Normal 12 4 6 3 2 3 2 3" xfId="14844" xr:uid="{00000000-0005-0000-0000-000082380000}"/>
    <cellStyle name="Normal 12 4 6 3 2 3 2 4" xfId="14845" xr:uid="{00000000-0005-0000-0000-000083380000}"/>
    <cellStyle name="Normal 12 4 6 3 2 3 2 5" xfId="14846" xr:uid="{00000000-0005-0000-0000-000084380000}"/>
    <cellStyle name="Normal 12 4 6 3 2 3 3" xfId="14847" xr:uid="{00000000-0005-0000-0000-000085380000}"/>
    <cellStyle name="Normal 12 4 6 3 2 3 4" xfId="14848" xr:uid="{00000000-0005-0000-0000-000086380000}"/>
    <cellStyle name="Normal 12 4 6 3 2 3 5" xfId="14849" xr:uid="{00000000-0005-0000-0000-000087380000}"/>
    <cellStyle name="Normal 12 4 6 3 2 3 6" xfId="14850" xr:uid="{00000000-0005-0000-0000-000088380000}"/>
    <cellStyle name="Normal 12 4 6 3 2 3 7" xfId="14851" xr:uid="{00000000-0005-0000-0000-000089380000}"/>
    <cellStyle name="Normal 12 4 6 3 2 3 8" xfId="14852" xr:uid="{00000000-0005-0000-0000-00008A380000}"/>
    <cellStyle name="Normal 12 4 6 3 2 4" xfId="14853" xr:uid="{00000000-0005-0000-0000-00008B380000}"/>
    <cellStyle name="Normal 12 4 6 3 2 4 2" xfId="14854" xr:uid="{00000000-0005-0000-0000-00008C380000}"/>
    <cellStyle name="Normal 12 4 6 3 2 4 3" xfId="14855" xr:uid="{00000000-0005-0000-0000-00008D380000}"/>
    <cellStyle name="Normal 12 4 6 3 2 4 4" xfId="14856" xr:uid="{00000000-0005-0000-0000-00008E380000}"/>
    <cellStyle name="Normal 12 4 6 3 2 4 5" xfId="14857" xr:uid="{00000000-0005-0000-0000-00008F380000}"/>
    <cellStyle name="Normal 12 4 6 3 2 5" xfId="14858" xr:uid="{00000000-0005-0000-0000-000090380000}"/>
    <cellStyle name="Normal 12 4 6 3 2 6" xfId="14859" xr:uid="{00000000-0005-0000-0000-000091380000}"/>
    <cellStyle name="Normal 12 4 6 3 2 7" xfId="14860" xr:uid="{00000000-0005-0000-0000-000092380000}"/>
    <cellStyle name="Normal 12 4 6 3 2 8" xfId="14861" xr:uid="{00000000-0005-0000-0000-000093380000}"/>
    <cellStyle name="Normal 12 4 6 3 2 9" xfId="14862" xr:uid="{00000000-0005-0000-0000-000094380000}"/>
    <cellStyle name="Normal 12 4 6 3 3" xfId="14863" xr:uid="{00000000-0005-0000-0000-000095380000}"/>
    <cellStyle name="Normal 12 4 6 3 3 2" xfId="14864" xr:uid="{00000000-0005-0000-0000-000096380000}"/>
    <cellStyle name="Normal 12 4 6 3 3 2 2" xfId="14865" xr:uid="{00000000-0005-0000-0000-000097380000}"/>
    <cellStyle name="Normal 12 4 6 3 3 2 3" xfId="14866" xr:uid="{00000000-0005-0000-0000-000098380000}"/>
    <cellStyle name="Normal 12 4 6 3 3 2 4" xfId="14867" xr:uid="{00000000-0005-0000-0000-000099380000}"/>
    <cellStyle name="Normal 12 4 6 3 3 2 5" xfId="14868" xr:uid="{00000000-0005-0000-0000-00009A380000}"/>
    <cellStyle name="Normal 12 4 6 3 3 3" xfId="14869" xr:uid="{00000000-0005-0000-0000-00009B380000}"/>
    <cellStyle name="Normal 12 4 6 3 3 4" xfId="14870" xr:uid="{00000000-0005-0000-0000-00009C380000}"/>
    <cellStyle name="Normal 12 4 6 3 3 5" xfId="14871" xr:uid="{00000000-0005-0000-0000-00009D380000}"/>
    <cellStyle name="Normal 12 4 6 3 3 6" xfId="14872" xr:uid="{00000000-0005-0000-0000-00009E380000}"/>
    <cellStyle name="Normal 12 4 6 3 3 7" xfId="14873" xr:uid="{00000000-0005-0000-0000-00009F380000}"/>
    <cellStyle name="Normal 12 4 6 3 3 8" xfId="14874" xr:uid="{00000000-0005-0000-0000-0000A0380000}"/>
    <cellStyle name="Normal 12 4 6 3 4" xfId="14875" xr:uid="{00000000-0005-0000-0000-0000A1380000}"/>
    <cellStyle name="Normal 12 4 6 3 4 2" xfId="14876" xr:uid="{00000000-0005-0000-0000-0000A2380000}"/>
    <cellStyle name="Normal 12 4 6 3 4 2 2" xfId="14877" xr:uid="{00000000-0005-0000-0000-0000A3380000}"/>
    <cellStyle name="Normal 12 4 6 3 4 2 3" xfId="14878" xr:uid="{00000000-0005-0000-0000-0000A4380000}"/>
    <cellStyle name="Normal 12 4 6 3 4 2 4" xfId="14879" xr:uid="{00000000-0005-0000-0000-0000A5380000}"/>
    <cellStyle name="Normal 12 4 6 3 4 2 5" xfId="14880" xr:uid="{00000000-0005-0000-0000-0000A6380000}"/>
    <cellStyle name="Normal 12 4 6 3 4 3" xfId="14881" xr:uid="{00000000-0005-0000-0000-0000A7380000}"/>
    <cellStyle name="Normal 12 4 6 3 4 4" xfId="14882" xr:uid="{00000000-0005-0000-0000-0000A8380000}"/>
    <cellStyle name="Normal 12 4 6 3 4 5" xfId="14883" xr:uid="{00000000-0005-0000-0000-0000A9380000}"/>
    <cellStyle name="Normal 12 4 6 3 4 6" xfId="14884" xr:uid="{00000000-0005-0000-0000-0000AA380000}"/>
    <cellStyle name="Normal 12 4 6 3 4 7" xfId="14885" xr:uid="{00000000-0005-0000-0000-0000AB380000}"/>
    <cellStyle name="Normal 12 4 6 3 4 8" xfId="14886" xr:uid="{00000000-0005-0000-0000-0000AC380000}"/>
    <cellStyle name="Normal 12 4 6 3 5" xfId="14887" xr:uid="{00000000-0005-0000-0000-0000AD380000}"/>
    <cellStyle name="Normal 12 4 6 3 5 2" xfId="14888" xr:uid="{00000000-0005-0000-0000-0000AE380000}"/>
    <cellStyle name="Normal 12 4 6 3 5 3" xfId="14889" xr:uid="{00000000-0005-0000-0000-0000AF380000}"/>
    <cellStyle name="Normal 12 4 6 3 5 4" xfId="14890" xr:uid="{00000000-0005-0000-0000-0000B0380000}"/>
    <cellStyle name="Normal 12 4 6 3 5 5" xfId="14891" xr:uid="{00000000-0005-0000-0000-0000B1380000}"/>
    <cellStyle name="Normal 12 4 6 3 6" xfId="14892" xr:uid="{00000000-0005-0000-0000-0000B2380000}"/>
    <cellStyle name="Normal 12 4 6 3 7" xfId="14893" xr:uid="{00000000-0005-0000-0000-0000B3380000}"/>
    <cellStyle name="Normal 12 4 6 3 8" xfId="14894" xr:uid="{00000000-0005-0000-0000-0000B4380000}"/>
    <cellStyle name="Normal 12 4 6 3 9" xfId="14895" xr:uid="{00000000-0005-0000-0000-0000B5380000}"/>
    <cellStyle name="Normal 12 4 6 4" xfId="14896" xr:uid="{00000000-0005-0000-0000-0000B6380000}"/>
    <cellStyle name="Normal 12 4 6 4 10" xfId="14897" xr:uid="{00000000-0005-0000-0000-0000B7380000}"/>
    <cellStyle name="Normal 12 4 6 4 2" xfId="14898" xr:uid="{00000000-0005-0000-0000-0000B8380000}"/>
    <cellStyle name="Normal 12 4 6 4 2 2" xfId="14899" xr:uid="{00000000-0005-0000-0000-0000B9380000}"/>
    <cellStyle name="Normal 12 4 6 4 2 2 2" xfId="14900" xr:uid="{00000000-0005-0000-0000-0000BA380000}"/>
    <cellStyle name="Normal 12 4 6 4 2 2 3" xfId="14901" xr:uid="{00000000-0005-0000-0000-0000BB380000}"/>
    <cellStyle name="Normal 12 4 6 4 2 2 4" xfId="14902" xr:uid="{00000000-0005-0000-0000-0000BC380000}"/>
    <cellStyle name="Normal 12 4 6 4 2 2 5" xfId="14903" xr:uid="{00000000-0005-0000-0000-0000BD380000}"/>
    <cellStyle name="Normal 12 4 6 4 2 3" xfId="14904" xr:uid="{00000000-0005-0000-0000-0000BE380000}"/>
    <cellStyle name="Normal 12 4 6 4 2 4" xfId="14905" xr:uid="{00000000-0005-0000-0000-0000BF380000}"/>
    <cellStyle name="Normal 12 4 6 4 2 5" xfId="14906" xr:uid="{00000000-0005-0000-0000-0000C0380000}"/>
    <cellStyle name="Normal 12 4 6 4 2 6" xfId="14907" xr:uid="{00000000-0005-0000-0000-0000C1380000}"/>
    <cellStyle name="Normal 12 4 6 4 2 7" xfId="14908" xr:uid="{00000000-0005-0000-0000-0000C2380000}"/>
    <cellStyle name="Normal 12 4 6 4 2 8" xfId="14909" xr:uid="{00000000-0005-0000-0000-0000C3380000}"/>
    <cellStyle name="Normal 12 4 6 4 3" xfId="14910" xr:uid="{00000000-0005-0000-0000-0000C4380000}"/>
    <cellStyle name="Normal 12 4 6 4 3 2" xfId="14911" xr:uid="{00000000-0005-0000-0000-0000C5380000}"/>
    <cellStyle name="Normal 12 4 6 4 3 2 2" xfId="14912" xr:uid="{00000000-0005-0000-0000-0000C6380000}"/>
    <cellStyle name="Normal 12 4 6 4 3 2 3" xfId="14913" xr:uid="{00000000-0005-0000-0000-0000C7380000}"/>
    <cellStyle name="Normal 12 4 6 4 3 2 4" xfId="14914" xr:uid="{00000000-0005-0000-0000-0000C8380000}"/>
    <cellStyle name="Normal 12 4 6 4 3 2 5" xfId="14915" xr:uid="{00000000-0005-0000-0000-0000C9380000}"/>
    <cellStyle name="Normal 12 4 6 4 3 3" xfId="14916" xr:uid="{00000000-0005-0000-0000-0000CA380000}"/>
    <cellStyle name="Normal 12 4 6 4 3 4" xfId="14917" xr:uid="{00000000-0005-0000-0000-0000CB380000}"/>
    <cellStyle name="Normal 12 4 6 4 3 5" xfId="14918" xr:uid="{00000000-0005-0000-0000-0000CC380000}"/>
    <cellStyle name="Normal 12 4 6 4 3 6" xfId="14919" xr:uid="{00000000-0005-0000-0000-0000CD380000}"/>
    <cellStyle name="Normal 12 4 6 4 3 7" xfId="14920" xr:uid="{00000000-0005-0000-0000-0000CE380000}"/>
    <cellStyle name="Normal 12 4 6 4 3 8" xfId="14921" xr:uid="{00000000-0005-0000-0000-0000CF380000}"/>
    <cellStyle name="Normal 12 4 6 4 4" xfId="14922" xr:uid="{00000000-0005-0000-0000-0000D0380000}"/>
    <cellStyle name="Normal 12 4 6 4 4 2" xfId="14923" xr:uid="{00000000-0005-0000-0000-0000D1380000}"/>
    <cellStyle name="Normal 12 4 6 4 4 3" xfId="14924" xr:uid="{00000000-0005-0000-0000-0000D2380000}"/>
    <cellStyle name="Normal 12 4 6 4 4 4" xfId="14925" xr:uid="{00000000-0005-0000-0000-0000D3380000}"/>
    <cellStyle name="Normal 12 4 6 4 4 5" xfId="14926" xr:uid="{00000000-0005-0000-0000-0000D4380000}"/>
    <cellStyle name="Normal 12 4 6 4 5" xfId="14927" xr:uid="{00000000-0005-0000-0000-0000D5380000}"/>
    <cellStyle name="Normal 12 4 6 4 6" xfId="14928" xr:uid="{00000000-0005-0000-0000-0000D6380000}"/>
    <cellStyle name="Normal 12 4 6 4 7" xfId="14929" xr:uid="{00000000-0005-0000-0000-0000D7380000}"/>
    <cellStyle name="Normal 12 4 6 4 8" xfId="14930" xr:uid="{00000000-0005-0000-0000-0000D8380000}"/>
    <cellStyle name="Normal 12 4 6 4 9" xfId="14931" xr:uid="{00000000-0005-0000-0000-0000D9380000}"/>
    <cellStyle name="Normal 12 4 6 5" xfId="14932" xr:uid="{00000000-0005-0000-0000-0000DA380000}"/>
    <cellStyle name="Normal 12 4 6 5 2" xfId="14933" xr:uid="{00000000-0005-0000-0000-0000DB380000}"/>
    <cellStyle name="Normal 12 4 6 5 2 2" xfId="14934" xr:uid="{00000000-0005-0000-0000-0000DC380000}"/>
    <cellStyle name="Normal 12 4 6 5 2 3" xfId="14935" xr:uid="{00000000-0005-0000-0000-0000DD380000}"/>
    <cellStyle name="Normal 12 4 6 5 2 4" xfId="14936" xr:uid="{00000000-0005-0000-0000-0000DE380000}"/>
    <cellStyle name="Normal 12 4 6 5 2 5" xfId="14937" xr:uid="{00000000-0005-0000-0000-0000DF380000}"/>
    <cellStyle name="Normal 12 4 6 5 3" xfId="14938" xr:uid="{00000000-0005-0000-0000-0000E0380000}"/>
    <cellStyle name="Normal 12 4 6 5 4" xfId="14939" xr:uid="{00000000-0005-0000-0000-0000E1380000}"/>
    <cellStyle name="Normal 12 4 6 5 5" xfId="14940" xr:uid="{00000000-0005-0000-0000-0000E2380000}"/>
    <cellStyle name="Normal 12 4 6 5 6" xfId="14941" xr:uid="{00000000-0005-0000-0000-0000E3380000}"/>
    <cellStyle name="Normal 12 4 6 5 7" xfId="14942" xr:uid="{00000000-0005-0000-0000-0000E4380000}"/>
    <cellStyle name="Normal 12 4 6 5 8" xfId="14943" xr:uid="{00000000-0005-0000-0000-0000E5380000}"/>
    <cellStyle name="Normal 12 4 6 6" xfId="14944" xr:uid="{00000000-0005-0000-0000-0000E6380000}"/>
    <cellStyle name="Normal 12 4 6 6 2" xfId="14945" xr:uid="{00000000-0005-0000-0000-0000E7380000}"/>
    <cellStyle name="Normal 12 4 6 6 2 2" xfId="14946" xr:uid="{00000000-0005-0000-0000-0000E8380000}"/>
    <cellStyle name="Normal 12 4 6 6 2 3" xfId="14947" xr:uid="{00000000-0005-0000-0000-0000E9380000}"/>
    <cellStyle name="Normal 12 4 6 6 2 4" xfId="14948" xr:uid="{00000000-0005-0000-0000-0000EA380000}"/>
    <cellStyle name="Normal 12 4 6 6 2 5" xfId="14949" xr:uid="{00000000-0005-0000-0000-0000EB380000}"/>
    <cellStyle name="Normal 12 4 6 6 3" xfId="14950" xr:uid="{00000000-0005-0000-0000-0000EC380000}"/>
    <cellStyle name="Normal 12 4 6 6 4" xfId="14951" xr:uid="{00000000-0005-0000-0000-0000ED380000}"/>
    <cellStyle name="Normal 12 4 6 6 5" xfId="14952" xr:uid="{00000000-0005-0000-0000-0000EE380000}"/>
    <cellStyle name="Normal 12 4 6 6 6" xfId="14953" xr:uid="{00000000-0005-0000-0000-0000EF380000}"/>
    <cellStyle name="Normal 12 4 6 6 7" xfId="14954" xr:uid="{00000000-0005-0000-0000-0000F0380000}"/>
    <cellStyle name="Normal 12 4 6 6 8" xfId="14955" xr:uid="{00000000-0005-0000-0000-0000F1380000}"/>
    <cellStyle name="Normal 12 4 6 7" xfId="14956" xr:uid="{00000000-0005-0000-0000-0000F2380000}"/>
    <cellStyle name="Normal 12 4 6 7 2" xfId="14957" xr:uid="{00000000-0005-0000-0000-0000F3380000}"/>
    <cellStyle name="Normal 12 4 6 7 3" xfId="14958" xr:uid="{00000000-0005-0000-0000-0000F4380000}"/>
    <cellStyle name="Normal 12 4 6 7 4" xfId="14959" xr:uid="{00000000-0005-0000-0000-0000F5380000}"/>
    <cellStyle name="Normal 12 4 6 7 5" xfId="14960" xr:uid="{00000000-0005-0000-0000-0000F6380000}"/>
    <cellStyle name="Normal 12 4 6 8" xfId="14961" xr:uid="{00000000-0005-0000-0000-0000F7380000}"/>
    <cellStyle name="Normal 12 4 6 9" xfId="14962" xr:uid="{00000000-0005-0000-0000-0000F8380000}"/>
    <cellStyle name="Normal 12 4 7" xfId="14963" xr:uid="{00000000-0005-0000-0000-0000F9380000}"/>
    <cellStyle name="Normal 12 4 7 10" xfId="14964" xr:uid="{00000000-0005-0000-0000-0000FA380000}"/>
    <cellStyle name="Normal 12 4 7 11" xfId="14965" xr:uid="{00000000-0005-0000-0000-0000FB380000}"/>
    <cellStyle name="Normal 12 4 7 12" xfId="14966" xr:uid="{00000000-0005-0000-0000-0000FC380000}"/>
    <cellStyle name="Normal 12 4 7 13" xfId="14967" xr:uid="{00000000-0005-0000-0000-0000FD380000}"/>
    <cellStyle name="Normal 12 4 7 2" xfId="14968" xr:uid="{00000000-0005-0000-0000-0000FE380000}"/>
    <cellStyle name="Normal 12 4 7 2 10" xfId="14969" xr:uid="{00000000-0005-0000-0000-0000FF380000}"/>
    <cellStyle name="Normal 12 4 7 2 11" xfId="14970" xr:uid="{00000000-0005-0000-0000-000000390000}"/>
    <cellStyle name="Normal 12 4 7 2 2" xfId="14971" xr:uid="{00000000-0005-0000-0000-000001390000}"/>
    <cellStyle name="Normal 12 4 7 2 2 10" xfId="14972" xr:uid="{00000000-0005-0000-0000-000002390000}"/>
    <cellStyle name="Normal 12 4 7 2 2 2" xfId="14973" xr:uid="{00000000-0005-0000-0000-000003390000}"/>
    <cellStyle name="Normal 12 4 7 2 2 2 2" xfId="14974" xr:uid="{00000000-0005-0000-0000-000004390000}"/>
    <cellStyle name="Normal 12 4 7 2 2 2 2 2" xfId="14975" xr:uid="{00000000-0005-0000-0000-000005390000}"/>
    <cellStyle name="Normal 12 4 7 2 2 2 2 3" xfId="14976" xr:uid="{00000000-0005-0000-0000-000006390000}"/>
    <cellStyle name="Normal 12 4 7 2 2 2 2 4" xfId="14977" xr:uid="{00000000-0005-0000-0000-000007390000}"/>
    <cellStyle name="Normal 12 4 7 2 2 2 2 5" xfId="14978" xr:uid="{00000000-0005-0000-0000-000008390000}"/>
    <cellStyle name="Normal 12 4 7 2 2 2 3" xfId="14979" xr:uid="{00000000-0005-0000-0000-000009390000}"/>
    <cellStyle name="Normal 12 4 7 2 2 2 4" xfId="14980" xr:uid="{00000000-0005-0000-0000-00000A390000}"/>
    <cellStyle name="Normal 12 4 7 2 2 2 5" xfId="14981" xr:uid="{00000000-0005-0000-0000-00000B390000}"/>
    <cellStyle name="Normal 12 4 7 2 2 2 6" xfId="14982" xr:uid="{00000000-0005-0000-0000-00000C390000}"/>
    <cellStyle name="Normal 12 4 7 2 2 2 7" xfId="14983" xr:uid="{00000000-0005-0000-0000-00000D390000}"/>
    <cellStyle name="Normal 12 4 7 2 2 2 8" xfId="14984" xr:uid="{00000000-0005-0000-0000-00000E390000}"/>
    <cellStyle name="Normal 12 4 7 2 2 3" xfId="14985" xr:uid="{00000000-0005-0000-0000-00000F390000}"/>
    <cellStyle name="Normal 12 4 7 2 2 3 2" xfId="14986" xr:uid="{00000000-0005-0000-0000-000010390000}"/>
    <cellStyle name="Normal 12 4 7 2 2 3 2 2" xfId="14987" xr:uid="{00000000-0005-0000-0000-000011390000}"/>
    <cellStyle name="Normal 12 4 7 2 2 3 2 3" xfId="14988" xr:uid="{00000000-0005-0000-0000-000012390000}"/>
    <cellStyle name="Normal 12 4 7 2 2 3 2 4" xfId="14989" xr:uid="{00000000-0005-0000-0000-000013390000}"/>
    <cellStyle name="Normal 12 4 7 2 2 3 2 5" xfId="14990" xr:uid="{00000000-0005-0000-0000-000014390000}"/>
    <cellStyle name="Normal 12 4 7 2 2 3 3" xfId="14991" xr:uid="{00000000-0005-0000-0000-000015390000}"/>
    <cellStyle name="Normal 12 4 7 2 2 3 4" xfId="14992" xr:uid="{00000000-0005-0000-0000-000016390000}"/>
    <cellStyle name="Normal 12 4 7 2 2 3 5" xfId="14993" xr:uid="{00000000-0005-0000-0000-000017390000}"/>
    <cellStyle name="Normal 12 4 7 2 2 3 6" xfId="14994" xr:uid="{00000000-0005-0000-0000-000018390000}"/>
    <cellStyle name="Normal 12 4 7 2 2 3 7" xfId="14995" xr:uid="{00000000-0005-0000-0000-000019390000}"/>
    <cellStyle name="Normal 12 4 7 2 2 3 8" xfId="14996" xr:uid="{00000000-0005-0000-0000-00001A390000}"/>
    <cellStyle name="Normal 12 4 7 2 2 4" xfId="14997" xr:uid="{00000000-0005-0000-0000-00001B390000}"/>
    <cellStyle name="Normal 12 4 7 2 2 4 2" xfId="14998" xr:uid="{00000000-0005-0000-0000-00001C390000}"/>
    <cellStyle name="Normal 12 4 7 2 2 4 3" xfId="14999" xr:uid="{00000000-0005-0000-0000-00001D390000}"/>
    <cellStyle name="Normal 12 4 7 2 2 4 4" xfId="15000" xr:uid="{00000000-0005-0000-0000-00001E390000}"/>
    <cellStyle name="Normal 12 4 7 2 2 4 5" xfId="15001" xr:uid="{00000000-0005-0000-0000-00001F390000}"/>
    <cellStyle name="Normal 12 4 7 2 2 5" xfId="15002" xr:uid="{00000000-0005-0000-0000-000020390000}"/>
    <cellStyle name="Normal 12 4 7 2 2 6" xfId="15003" xr:uid="{00000000-0005-0000-0000-000021390000}"/>
    <cellStyle name="Normal 12 4 7 2 2 7" xfId="15004" xr:uid="{00000000-0005-0000-0000-000022390000}"/>
    <cellStyle name="Normal 12 4 7 2 2 8" xfId="15005" xr:uid="{00000000-0005-0000-0000-000023390000}"/>
    <cellStyle name="Normal 12 4 7 2 2 9" xfId="15006" xr:uid="{00000000-0005-0000-0000-000024390000}"/>
    <cellStyle name="Normal 12 4 7 2 3" xfId="15007" xr:uid="{00000000-0005-0000-0000-000025390000}"/>
    <cellStyle name="Normal 12 4 7 2 3 2" xfId="15008" xr:uid="{00000000-0005-0000-0000-000026390000}"/>
    <cellStyle name="Normal 12 4 7 2 3 2 2" xfId="15009" xr:uid="{00000000-0005-0000-0000-000027390000}"/>
    <cellStyle name="Normal 12 4 7 2 3 2 3" xfId="15010" xr:uid="{00000000-0005-0000-0000-000028390000}"/>
    <cellStyle name="Normal 12 4 7 2 3 2 4" xfId="15011" xr:uid="{00000000-0005-0000-0000-000029390000}"/>
    <cellStyle name="Normal 12 4 7 2 3 2 5" xfId="15012" xr:uid="{00000000-0005-0000-0000-00002A390000}"/>
    <cellStyle name="Normal 12 4 7 2 3 3" xfId="15013" xr:uid="{00000000-0005-0000-0000-00002B390000}"/>
    <cellStyle name="Normal 12 4 7 2 3 4" xfId="15014" xr:uid="{00000000-0005-0000-0000-00002C390000}"/>
    <cellStyle name="Normal 12 4 7 2 3 5" xfId="15015" xr:uid="{00000000-0005-0000-0000-00002D390000}"/>
    <cellStyle name="Normal 12 4 7 2 3 6" xfId="15016" xr:uid="{00000000-0005-0000-0000-00002E390000}"/>
    <cellStyle name="Normal 12 4 7 2 3 7" xfId="15017" xr:uid="{00000000-0005-0000-0000-00002F390000}"/>
    <cellStyle name="Normal 12 4 7 2 3 8" xfId="15018" xr:uid="{00000000-0005-0000-0000-000030390000}"/>
    <cellStyle name="Normal 12 4 7 2 4" xfId="15019" xr:uid="{00000000-0005-0000-0000-000031390000}"/>
    <cellStyle name="Normal 12 4 7 2 4 2" xfId="15020" xr:uid="{00000000-0005-0000-0000-000032390000}"/>
    <cellStyle name="Normal 12 4 7 2 4 2 2" xfId="15021" xr:uid="{00000000-0005-0000-0000-000033390000}"/>
    <cellStyle name="Normal 12 4 7 2 4 2 3" xfId="15022" xr:uid="{00000000-0005-0000-0000-000034390000}"/>
    <cellStyle name="Normal 12 4 7 2 4 2 4" xfId="15023" xr:uid="{00000000-0005-0000-0000-000035390000}"/>
    <cellStyle name="Normal 12 4 7 2 4 2 5" xfId="15024" xr:uid="{00000000-0005-0000-0000-000036390000}"/>
    <cellStyle name="Normal 12 4 7 2 4 3" xfId="15025" xr:uid="{00000000-0005-0000-0000-000037390000}"/>
    <cellStyle name="Normal 12 4 7 2 4 4" xfId="15026" xr:uid="{00000000-0005-0000-0000-000038390000}"/>
    <cellStyle name="Normal 12 4 7 2 4 5" xfId="15027" xr:uid="{00000000-0005-0000-0000-000039390000}"/>
    <cellStyle name="Normal 12 4 7 2 4 6" xfId="15028" xr:uid="{00000000-0005-0000-0000-00003A390000}"/>
    <cellStyle name="Normal 12 4 7 2 4 7" xfId="15029" xr:uid="{00000000-0005-0000-0000-00003B390000}"/>
    <cellStyle name="Normal 12 4 7 2 4 8" xfId="15030" xr:uid="{00000000-0005-0000-0000-00003C390000}"/>
    <cellStyle name="Normal 12 4 7 2 5" xfId="15031" xr:uid="{00000000-0005-0000-0000-00003D390000}"/>
    <cellStyle name="Normal 12 4 7 2 5 2" xfId="15032" xr:uid="{00000000-0005-0000-0000-00003E390000}"/>
    <cellStyle name="Normal 12 4 7 2 5 3" xfId="15033" xr:uid="{00000000-0005-0000-0000-00003F390000}"/>
    <cellStyle name="Normal 12 4 7 2 5 4" xfId="15034" xr:uid="{00000000-0005-0000-0000-000040390000}"/>
    <cellStyle name="Normal 12 4 7 2 5 5" xfId="15035" xr:uid="{00000000-0005-0000-0000-000041390000}"/>
    <cellStyle name="Normal 12 4 7 2 6" xfId="15036" xr:uid="{00000000-0005-0000-0000-000042390000}"/>
    <cellStyle name="Normal 12 4 7 2 7" xfId="15037" xr:uid="{00000000-0005-0000-0000-000043390000}"/>
    <cellStyle name="Normal 12 4 7 2 8" xfId="15038" xr:uid="{00000000-0005-0000-0000-000044390000}"/>
    <cellStyle name="Normal 12 4 7 2 9" xfId="15039" xr:uid="{00000000-0005-0000-0000-000045390000}"/>
    <cellStyle name="Normal 12 4 7 3" xfId="15040" xr:uid="{00000000-0005-0000-0000-000046390000}"/>
    <cellStyle name="Normal 12 4 7 3 10" xfId="15041" xr:uid="{00000000-0005-0000-0000-000047390000}"/>
    <cellStyle name="Normal 12 4 7 3 11" xfId="15042" xr:uid="{00000000-0005-0000-0000-000048390000}"/>
    <cellStyle name="Normal 12 4 7 3 2" xfId="15043" xr:uid="{00000000-0005-0000-0000-000049390000}"/>
    <cellStyle name="Normal 12 4 7 3 2 10" xfId="15044" xr:uid="{00000000-0005-0000-0000-00004A390000}"/>
    <cellStyle name="Normal 12 4 7 3 2 2" xfId="15045" xr:uid="{00000000-0005-0000-0000-00004B390000}"/>
    <cellStyle name="Normal 12 4 7 3 2 2 2" xfId="15046" xr:uid="{00000000-0005-0000-0000-00004C390000}"/>
    <cellStyle name="Normal 12 4 7 3 2 2 2 2" xfId="15047" xr:uid="{00000000-0005-0000-0000-00004D390000}"/>
    <cellStyle name="Normal 12 4 7 3 2 2 2 3" xfId="15048" xr:uid="{00000000-0005-0000-0000-00004E390000}"/>
    <cellStyle name="Normal 12 4 7 3 2 2 2 4" xfId="15049" xr:uid="{00000000-0005-0000-0000-00004F390000}"/>
    <cellStyle name="Normal 12 4 7 3 2 2 2 5" xfId="15050" xr:uid="{00000000-0005-0000-0000-000050390000}"/>
    <cellStyle name="Normal 12 4 7 3 2 2 3" xfId="15051" xr:uid="{00000000-0005-0000-0000-000051390000}"/>
    <cellStyle name="Normal 12 4 7 3 2 2 4" xfId="15052" xr:uid="{00000000-0005-0000-0000-000052390000}"/>
    <cellStyle name="Normal 12 4 7 3 2 2 5" xfId="15053" xr:uid="{00000000-0005-0000-0000-000053390000}"/>
    <cellStyle name="Normal 12 4 7 3 2 2 6" xfId="15054" xr:uid="{00000000-0005-0000-0000-000054390000}"/>
    <cellStyle name="Normal 12 4 7 3 2 2 7" xfId="15055" xr:uid="{00000000-0005-0000-0000-000055390000}"/>
    <cellStyle name="Normal 12 4 7 3 2 2 8" xfId="15056" xr:uid="{00000000-0005-0000-0000-000056390000}"/>
    <cellStyle name="Normal 12 4 7 3 2 3" xfId="15057" xr:uid="{00000000-0005-0000-0000-000057390000}"/>
    <cellStyle name="Normal 12 4 7 3 2 3 2" xfId="15058" xr:uid="{00000000-0005-0000-0000-000058390000}"/>
    <cellStyle name="Normal 12 4 7 3 2 3 2 2" xfId="15059" xr:uid="{00000000-0005-0000-0000-000059390000}"/>
    <cellStyle name="Normal 12 4 7 3 2 3 2 3" xfId="15060" xr:uid="{00000000-0005-0000-0000-00005A390000}"/>
    <cellStyle name="Normal 12 4 7 3 2 3 2 4" xfId="15061" xr:uid="{00000000-0005-0000-0000-00005B390000}"/>
    <cellStyle name="Normal 12 4 7 3 2 3 2 5" xfId="15062" xr:uid="{00000000-0005-0000-0000-00005C390000}"/>
    <cellStyle name="Normal 12 4 7 3 2 3 3" xfId="15063" xr:uid="{00000000-0005-0000-0000-00005D390000}"/>
    <cellStyle name="Normal 12 4 7 3 2 3 4" xfId="15064" xr:uid="{00000000-0005-0000-0000-00005E390000}"/>
    <cellStyle name="Normal 12 4 7 3 2 3 5" xfId="15065" xr:uid="{00000000-0005-0000-0000-00005F390000}"/>
    <cellStyle name="Normal 12 4 7 3 2 3 6" xfId="15066" xr:uid="{00000000-0005-0000-0000-000060390000}"/>
    <cellStyle name="Normal 12 4 7 3 2 3 7" xfId="15067" xr:uid="{00000000-0005-0000-0000-000061390000}"/>
    <cellStyle name="Normal 12 4 7 3 2 3 8" xfId="15068" xr:uid="{00000000-0005-0000-0000-000062390000}"/>
    <cellStyle name="Normal 12 4 7 3 2 4" xfId="15069" xr:uid="{00000000-0005-0000-0000-000063390000}"/>
    <cellStyle name="Normal 12 4 7 3 2 4 2" xfId="15070" xr:uid="{00000000-0005-0000-0000-000064390000}"/>
    <cellStyle name="Normal 12 4 7 3 2 4 3" xfId="15071" xr:uid="{00000000-0005-0000-0000-000065390000}"/>
    <cellStyle name="Normal 12 4 7 3 2 4 4" xfId="15072" xr:uid="{00000000-0005-0000-0000-000066390000}"/>
    <cellStyle name="Normal 12 4 7 3 2 4 5" xfId="15073" xr:uid="{00000000-0005-0000-0000-000067390000}"/>
    <cellStyle name="Normal 12 4 7 3 2 5" xfId="15074" xr:uid="{00000000-0005-0000-0000-000068390000}"/>
    <cellStyle name="Normal 12 4 7 3 2 6" xfId="15075" xr:uid="{00000000-0005-0000-0000-000069390000}"/>
    <cellStyle name="Normal 12 4 7 3 2 7" xfId="15076" xr:uid="{00000000-0005-0000-0000-00006A390000}"/>
    <cellStyle name="Normal 12 4 7 3 2 8" xfId="15077" xr:uid="{00000000-0005-0000-0000-00006B390000}"/>
    <cellStyle name="Normal 12 4 7 3 2 9" xfId="15078" xr:uid="{00000000-0005-0000-0000-00006C390000}"/>
    <cellStyle name="Normal 12 4 7 3 3" xfId="15079" xr:uid="{00000000-0005-0000-0000-00006D390000}"/>
    <cellStyle name="Normal 12 4 7 3 3 2" xfId="15080" xr:uid="{00000000-0005-0000-0000-00006E390000}"/>
    <cellStyle name="Normal 12 4 7 3 3 2 2" xfId="15081" xr:uid="{00000000-0005-0000-0000-00006F390000}"/>
    <cellStyle name="Normal 12 4 7 3 3 2 3" xfId="15082" xr:uid="{00000000-0005-0000-0000-000070390000}"/>
    <cellStyle name="Normal 12 4 7 3 3 2 4" xfId="15083" xr:uid="{00000000-0005-0000-0000-000071390000}"/>
    <cellStyle name="Normal 12 4 7 3 3 2 5" xfId="15084" xr:uid="{00000000-0005-0000-0000-000072390000}"/>
    <cellStyle name="Normal 12 4 7 3 3 3" xfId="15085" xr:uid="{00000000-0005-0000-0000-000073390000}"/>
    <cellStyle name="Normal 12 4 7 3 3 4" xfId="15086" xr:uid="{00000000-0005-0000-0000-000074390000}"/>
    <cellStyle name="Normal 12 4 7 3 3 5" xfId="15087" xr:uid="{00000000-0005-0000-0000-000075390000}"/>
    <cellStyle name="Normal 12 4 7 3 3 6" xfId="15088" xr:uid="{00000000-0005-0000-0000-000076390000}"/>
    <cellStyle name="Normal 12 4 7 3 3 7" xfId="15089" xr:uid="{00000000-0005-0000-0000-000077390000}"/>
    <cellStyle name="Normal 12 4 7 3 3 8" xfId="15090" xr:uid="{00000000-0005-0000-0000-000078390000}"/>
    <cellStyle name="Normal 12 4 7 3 4" xfId="15091" xr:uid="{00000000-0005-0000-0000-000079390000}"/>
    <cellStyle name="Normal 12 4 7 3 4 2" xfId="15092" xr:uid="{00000000-0005-0000-0000-00007A390000}"/>
    <cellStyle name="Normal 12 4 7 3 4 2 2" xfId="15093" xr:uid="{00000000-0005-0000-0000-00007B390000}"/>
    <cellStyle name="Normal 12 4 7 3 4 2 3" xfId="15094" xr:uid="{00000000-0005-0000-0000-00007C390000}"/>
    <cellStyle name="Normal 12 4 7 3 4 2 4" xfId="15095" xr:uid="{00000000-0005-0000-0000-00007D390000}"/>
    <cellStyle name="Normal 12 4 7 3 4 2 5" xfId="15096" xr:uid="{00000000-0005-0000-0000-00007E390000}"/>
    <cellStyle name="Normal 12 4 7 3 4 3" xfId="15097" xr:uid="{00000000-0005-0000-0000-00007F390000}"/>
    <cellStyle name="Normal 12 4 7 3 4 4" xfId="15098" xr:uid="{00000000-0005-0000-0000-000080390000}"/>
    <cellStyle name="Normal 12 4 7 3 4 5" xfId="15099" xr:uid="{00000000-0005-0000-0000-000081390000}"/>
    <cellStyle name="Normal 12 4 7 3 4 6" xfId="15100" xr:uid="{00000000-0005-0000-0000-000082390000}"/>
    <cellStyle name="Normal 12 4 7 3 4 7" xfId="15101" xr:uid="{00000000-0005-0000-0000-000083390000}"/>
    <cellStyle name="Normal 12 4 7 3 4 8" xfId="15102" xr:uid="{00000000-0005-0000-0000-000084390000}"/>
    <cellStyle name="Normal 12 4 7 3 5" xfId="15103" xr:uid="{00000000-0005-0000-0000-000085390000}"/>
    <cellStyle name="Normal 12 4 7 3 5 2" xfId="15104" xr:uid="{00000000-0005-0000-0000-000086390000}"/>
    <cellStyle name="Normal 12 4 7 3 5 3" xfId="15105" xr:uid="{00000000-0005-0000-0000-000087390000}"/>
    <cellStyle name="Normal 12 4 7 3 5 4" xfId="15106" xr:uid="{00000000-0005-0000-0000-000088390000}"/>
    <cellStyle name="Normal 12 4 7 3 5 5" xfId="15107" xr:uid="{00000000-0005-0000-0000-000089390000}"/>
    <cellStyle name="Normal 12 4 7 3 6" xfId="15108" xr:uid="{00000000-0005-0000-0000-00008A390000}"/>
    <cellStyle name="Normal 12 4 7 3 7" xfId="15109" xr:uid="{00000000-0005-0000-0000-00008B390000}"/>
    <cellStyle name="Normal 12 4 7 3 8" xfId="15110" xr:uid="{00000000-0005-0000-0000-00008C390000}"/>
    <cellStyle name="Normal 12 4 7 3 9" xfId="15111" xr:uid="{00000000-0005-0000-0000-00008D390000}"/>
    <cellStyle name="Normal 12 4 7 4" xfId="15112" xr:uid="{00000000-0005-0000-0000-00008E390000}"/>
    <cellStyle name="Normal 12 4 7 4 10" xfId="15113" xr:uid="{00000000-0005-0000-0000-00008F390000}"/>
    <cellStyle name="Normal 12 4 7 4 2" xfId="15114" xr:uid="{00000000-0005-0000-0000-000090390000}"/>
    <cellStyle name="Normal 12 4 7 4 2 2" xfId="15115" xr:uid="{00000000-0005-0000-0000-000091390000}"/>
    <cellStyle name="Normal 12 4 7 4 2 2 2" xfId="15116" xr:uid="{00000000-0005-0000-0000-000092390000}"/>
    <cellStyle name="Normal 12 4 7 4 2 2 3" xfId="15117" xr:uid="{00000000-0005-0000-0000-000093390000}"/>
    <cellStyle name="Normal 12 4 7 4 2 2 4" xfId="15118" xr:uid="{00000000-0005-0000-0000-000094390000}"/>
    <cellStyle name="Normal 12 4 7 4 2 2 5" xfId="15119" xr:uid="{00000000-0005-0000-0000-000095390000}"/>
    <cellStyle name="Normal 12 4 7 4 2 3" xfId="15120" xr:uid="{00000000-0005-0000-0000-000096390000}"/>
    <cellStyle name="Normal 12 4 7 4 2 4" xfId="15121" xr:uid="{00000000-0005-0000-0000-000097390000}"/>
    <cellStyle name="Normal 12 4 7 4 2 5" xfId="15122" xr:uid="{00000000-0005-0000-0000-000098390000}"/>
    <cellStyle name="Normal 12 4 7 4 2 6" xfId="15123" xr:uid="{00000000-0005-0000-0000-000099390000}"/>
    <cellStyle name="Normal 12 4 7 4 2 7" xfId="15124" xr:uid="{00000000-0005-0000-0000-00009A390000}"/>
    <cellStyle name="Normal 12 4 7 4 2 8" xfId="15125" xr:uid="{00000000-0005-0000-0000-00009B390000}"/>
    <cellStyle name="Normal 12 4 7 4 3" xfId="15126" xr:uid="{00000000-0005-0000-0000-00009C390000}"/>
    <cellStyle name="Normal 12 4 7 4 3 2" xfId="15127" xr:uid="{00000000-0005-0000-0000-00009D390000}"/>
    <cellStyle name="Normal 12 4 7 4 3 2 2" xfId="15128" xr:uid="{00000000-0005-0000-0000-00009E390000}"/>
    <cellStyle name="Normal 12 4 7 4 3 2 3" xfId="15129" xr:uid="{00000000-0005-0000-0000-00009F390000}"/>
    <cellStyle name="Normal 12 4 7 4 3 2 4" xfId="15130" xr:uid="{00000000-0005-0000-0000-0000A0390000}"/>
    <cellStyle name="Normal 12 4 7 4 3 2 5" xfId="15131" xr:uid="{00000000-0005-0000-0000-0000A1390000}"/>
    <cellStyle name="Normal 12 4 7 4 3 3" xfId="15132" xr:uid="{00000000-0005-0000-0000-0000A2390000}"/>
    <cellStyle name="Normal 12 4 7 4 3 4" xfId="15133" xr:uid="{00000000-0005-0000-0000-0000A3390000}"/>
    <cellStyle name="Normal 12 4 7 4 3 5" xfId="15134" xr:uid="{00000000-0005-0000-0000-0000A4390000}"/>
    <cellStyle name="Normal 12 4 7 4 3 6" xfId="15135" xr:uid="{00000000-0005-0000-0000-0000A5390000}"/>
    <cellStyle name="Normal 12 4 7 4 3 7" xfId="15136" xr:uid="{00000000-0005-0000-0000-0000A6390000}"/>
    <cellStyle name="Normal 12 4 7 4 3 8" xfId="15137" xr:uid="{00000000-0005-0000-0000-0000A7390000}"/>
    <cellStyle name="Normal 12 4 7 4 4" xfId="15138" xr:uid="{00000000-0005-0000-0000-0000A8390000}"/>
    <cellStyle name="Normal 12 4 7 4 4 2" xfId="15139" xr:uid="{00000000-0005-0000-0000-0000A9390000}"/>
    <cellStyle name="Normal 12 4 7 4 4 3" xfId="15140" xr:uid="{00000000-0005-0000-0000-0000AA390000}"/>
    <cellStyle name="Normal 12 4 7 4 4 4" xfId="15141" xr:uid="{00000000-0005-0000-0000-0000AB390000}"/>
    <cellStyle name="Normal 12 4 7 4 4 5" xfId="15142" xr:uid="{00000000-0005-0000-0000-0000AC390000}"/>
    <cellStyle name="Normal 12 4 7 4 5" xfId="15143" xr:uid="{00000000-0005-0000-0000-0000AD390000}"/>
    <cellStyle name="Normal 12 4 7 4 6" xfId="15144" xr:uid="{00000000-0005-0000-0000-0000AE390000}"/>
    <cellStyle name="Normal 12 4 7 4 7" xfId="15145" xr:uid="{00000000-0005-0000-0000-0000AF390000}"/>
    <cellStyle name="Normal 12 4 7 4 8" xfId="15146" xr:uid="{00000000-0005-0000-0000-0000B0390000}"/>
    <cellStyle name="Normal 12 4 7 4 9" xfId="15147" xr:uid="{00000000-0005-0000-0000-0000B1390000}"/>
    <cellStyle name="Normal 12 4 7 5" xfId="15148" xr:uid="{00000000-0005-0000-0000-0000B2390000}"/>
    <cellStyle name="Normal 12 4 7 5 2" xfId="15149" xr:uid="{00000000-0005-0000-0000-0000B3390000}"/>
    <cellStyle name="Normal 12 4 7 5 2 2" xfId="15150" xr:uid="{00000000-0005-0000-0000-0000B4390000}"/>
    <cellStyle name="Normal 12 4 7 5 2 3" xfId="15151" xr:uid="{00000000-0005-0000-0000-0000B5390000}"/>
    <cellStyle name="Normal 12 4 7 5 2 4" xfId="15152" xr:uid="{00000000-0005-0000-0000-0000B6390000}"/>
    <cellStyle name="Normal 12 4 7 5 2 5" xfId="15153" xr:uid="{00000000-0005-0000-0000-0000B7390000}"/>
    <cellStyle name="Normal 12 4 7 5 3" xfId="15154" xr:uid="{00000000-0005-0000-0000-0000B8390000}"/>
    <cellStyle name="Normal 12 4 7 5 4" xfId="15155" xr:uid="{00000000-0005-0000-0000-0000B9390000}"/>
    <cellStyle name="Normal 12 4 7 5 5" xfId="15156" xr:uid="{00000000-0005-0000-0000-0000BA390000}"/>
    <cellStyle name="Normal 12 4 7 5 6" xfId="15157" xr:uid="{00000000-0005-0000-0000-0000BB390000}"/>
    <cellStyle name="Normal 12 4 7 5 7" xfId="15158" xr:uid="{00000000-0005-0000-0000-0000BC390000}"/>
    <cellStyle name="Normal 12 4 7 5 8" xfId="15159" xr:uid="{00000000-0005-0000-0000-0000BD390000}"/>
    <cellStyle name="Normal 12 4 7 6" xfId="15160" xr:uid="{00000000-0005-0000-0000-0000BE390000}"/>
    <cellStyle name="Normal 12 4 7 6 2" xfId="15161" xr:uid="{00000000-0005-0000-0000-0000BF390000}"/>
    <cellStyle name="Normal 12 4 7 6 2 2" xfId="15162" xr:uid="{00000000-0005-0000-0000-0000C0390000}"/>
    <cellStyle name="Normal 12 4 7 6 2 3" xfId="15163" xr:uid="{00000000-0005-0000-0000-0000C1390000}"/>
    <cellStyle name="Normal 12 4 7 6 2 4" xfId="15164" xr:uid="{00000000-0005-0000-0000-0000C2390000}"/>
    <cellStyle name="Normal 12 4 7 6 2 5" xfId="15165" xr:uid="{00000000-0005-0000-0000-0000C3390000}"/>
    <cellStyle name="Normal 12 4 7 6 3" xfId="15166" xr:uid="{00000000-0005-0000-0000-0000C4390000}"/>
    <cellStyle name="Normal 12 4 7 6 4" xfId="15167" xr:uid="{00000000-0005-0000-0000-0000C5390000}"/>
    <cellStyle name="Normal 12 4 7 6 5" xfId="15168" xr:uid="{00000000-0005-0000-0000-0000C6390000}"/>
    <cellStyle name="Normal 12 4 7 6 6" xfId="15169" xr:uid="{00000000-0005-0000-0000-0000C7390000}"/>
    <cellStyle name="Normal 12 4 7 6 7" xfId="15170" xr:uid="{00000000-0005-0000-0000-0000C8390000}"/>
    <cellStyle name="Normal 12 4 7 6 8" xfId="15171" xr:uid="{00000000-0005-0000-0000-0000C9390000}"/>
    <cellStyle name="Normal 12 4 7 7" xfId="15172" xr:uid="{00000000-0005-0000-0000-0000CA390000}"/>
    <cellStyle name="Normal 12 4 7 7 2" xfId="15173" xr:uid="{00000000-0005-0000-0000-0000CB390000}"/>
    <cellStyle name="Normal 12 4 7 7 3" xfId="15174" xr:uid="{00000000-0005-0000-0000-0000CC390000}"/>
    <cellStyle name="Normal 12 4 7 7 4" xfId="15175" xr:uid="{00000000-0005-0000-0000-0000CD390000}"/>
    <cellStyle name="Normal 12 4 7 7 5" xfId="15176" xr:uid="{00000000-0005-0000-0000-0000CE390000}"/>
    <cellStyle name="Normal 12 4 7 8" xfId="15177" xr:uid="{00000000-0005-0000-0000-0000CF390000}"/>
    <cellStyle name="Normal 12 4 7 9" xfId="15178" xr:uid="{00000000-0005-0000-0000-0000D0390000}"/>
    <cellStyle name="Normal 12 4 8" xfId="15179" xr:uid="{00000000-0005-0000-0000-0000D1390000}"/>
    <cellStyle name="Normal 12 4 8 10" xfId="15180" xr:uid="{00000000-0005-0000-0000-0000D2390000}"/>
    <cellStyle name="Normal 12 4 8 11" xfId="15181" xr:uid="{00000000-0005-0000-0000-0000D3390000}"/>
    <cellStyle name="Normal 12 4 8 12" xfId="15182" xr:uid="{00000000-0005-0000-0000-0000D4390000}"/>
    <cellStyle name="Normal 12 4 8 13" xfId="15183" xr:uid="{00000000-0005-0000-0000-0000D5390000}"/>
    <cellStyle name="Normal 12 4 8 2" xfId="15184" xr:uid="{00000000-0005-0000-0000-0000D6390000}"/>
    <cellStyle name="Normal 12 4 8 2 10" xfId="15185" xr:uid="{00000000-0005-0000-0000-0000D7390000}"/>
    <cellStyle name="Normal 12 4 8 2 11" xfId="15186" xr:uid="{00000000-0005-0000-0000-0000D8390000}"/>
    <cellStyle name="Normal 12 4 8 2 2" xfId="15187" xr:uid="{00000000-0005-0000-0000-0000D9390000}"/>
    <cellStyle name="Normal 12 4 8 2 2 10" xfId="15188" xr:uid="{00000000-0005-0000-0000-0000DA390000}"/>
    <cellStyle name="Normal 12 4 8 2 2 2" xfId="15189" xr:uid="{00000000-0005-0000-0000-0000DB390000}"/>
    <cellStyle name="Normal 12 4 8 2 2 2 2" xfId="15190" xr:uid="{00000000-0005-0000-0000-0000DC390000}"/>
    <cellStyle name="Normal 12 4 8 2 2 2 2 2" xfId="15191" xr:uid="{00000000-0005-0000-0000-0000DD390000}"/>
    <cellStyle name="Normal 12 4 8 2 2 2 2 3" xfId="15192" xr:uid="{00000000-0005-0000-0000-0000DE390000}"/>
    <cellStyle name="Normal 12 4 8 2 2 2 2 4" xfId="15193" xr:uid="{00000000-0005-0000-0000-0000DF390000}"/>
    <cellStyle name="Normal 12 4 8 2 2 2 2 5" xfId="15194" xr:uid="{00000000-0005-0000-0000-0000E0390000}"/>
    <cellStyle name="Normal 12 4 8 2 2 2 3" xfId="15195" xr:uid="{00000000-0005-0000-0000-0000E1390000}"/>
    <cellStyle name="Normal 12 4 8 2 2 2 4" xfId="15196" xr:uid="{00000000-0005-0000-0000-0000E2390000}"/>
    <cellStyle name="Normal 12 4 8 2 2 2 5" xfId="15197" xr:uid="{00000000-0005-0000-0000-0000E3390000}"/>
    <cellStyle name="Normal 12 4 8 2 2 2 6" xfId="15198" xr:uid="{00000000-0005-0000-0000-0000E4390000}"/>
    <cellStyle name="Normal 12 4 8 2 2 2 7" xfId="15199" xr:uid="{00000000-0005-0000-0000-0000E5390000}"/>
    <cellStyle name="Normal 12 4 8 2 2 2 8" xfId="15200" xr:uid="{00000000-0005-0000-0000-0000E6390000}"/>
    <cellStyle name="Normal 12 4 8 2 2 3" xfId="15201" xr:uid="{00000000-0005-0000-0000-0000E7390000}"/>
    <cellStyle name="Normal 12 4 8 2 2 3 2" xfId="15202" xr:uid="{00000000-0005-0000-0000-0000E8390000}"/>
    <cellStyle name="Normal 12 4 8 2 2 3 2 2" xfId="15203" xr:uid="{00000000-0005-0000-0000-0000E9390000}"/>
    <cellStyle name="Normal 12 4 8 2 2 3 2 3" xfId="15204" xr:uid="{00000000-0005-0000-0000-0000EA390000}"/>
    <cellStyle name="Normal 12 4 8 2 2 3 2 4" xfId="15205" xr:uid="{00000000-0005-0000-0000-0000EB390000}"/>
    <cellStyle name="Normal 12 4 8 2 2 3 2 5" xfId="15206" xr:uid="{00000000-0005-0000-0000-0000EC390000}"/>
    <cellStyle name="Normal 12 4 8 2 2 3 3" xfId="15207" xr:uid="{00000000-0005-0000-0000-0000ED390000}"/>
    <cellStyle name="Normal 12 4 8 2 2 3 4" xfId="15208" xr:uid="{00000000-0005-0000-0000-0000EE390000}"/>
    <cellStyle name="Normal 12 4 8 2 2 3 5" xfId="15209" xr:uid="{00000000-0005-0000-0000-0000EF390000}"/>
    <cellStyle name="Normal 12 4 8 2 2 3 6" xfId="15210" xr:uid="{00000000-0005-0000-0000-0000F0390000}"/>
    <cellStyle name="Normal 12 4 8 2 2 3 7" xfId="15211" xr:uid="{00000000-0005-0000-0000-0000F1390000}"/>
    <cellStyle name="Normal 12 4 8 2 2 3 8" xfId="15212" xr:uid="{00000000-0005-0000-0000-0000F2390000}"/>
    <cellStyle name="Normal 12 4 8 2 2 4" xfId="15213" xr:uid="{00000000-0005-0000-0000-0000F3390000}"/>
    <cellStyle name="Normal 12 4 8 2 2 4 2" xfId="15214" xr:uid="{00000000-0005-0000-0000-0000F4390000}"/>
    <cellStyle name="Normal 12 4 8 2 2 4 3" xfId="15215" xr:uid="{00000000-0005-0000-0000-0000F5390000}"/>
    <cellStyle name="Normal 12 4 8 2 2 4 4" xfId="15216" xr:uid="{00000000-0005-0000-0000-0000F6390000}"/>
    <cellStyle name="Normal 12 4 8 2 2 4 5" xfId="15217" xr:uid="{00000000-0005-0000-0000-0000F7390000}"/>
    <cellStyle name="Normal 12 4 8 2 2 5" xfId="15218" xr:uid="{00000000-0005-0000-0000-0000F8390000}"/>
    <cellStyle name="Normal 12 4 8 2 2 6" xfId="15219" xr:uid="{00000000-0005-0000-0000-0000F9390000}"/>
    <cellStyle name="Normal 12 4 8 2 2 7" xfId="15220" xr:uid="{00000000-0005-0000-0000-0000FA390000}"/>
    <cellStyle name="Normal 12 4 8 2 2 8" xfId="15221" xr:uid="{00000000-0005-0000-0000-0000FB390000}"/>
    <cellStyle name="Normal 12 4 8 2 2 9" xfId="15222" xr:uid="{00000000-0005-0000-0000-0000FC390000}"/>
    <cellStyle name="Normal 12 4 8 2 3" xfId="15223" xr:uid="{00000000-0005-0000-0000-0000FD390000}"/>
    <cellStyle name="Normal 12 4 8 2 3 2" xfId="15224" xr:uid="{00000000-0005-0000-0000-0000FE390000}"/>
    <cellStyle name="Normal 12 4 8 2 3 2 2" xfId="15225" xr:uid="{00000000-0005-0000-0000-0000FF390000}"/>
    <cellStyle name="Normal 12 4 8 2 3 2 3" xfId="15226" xr:uid="{00000000-0005-0000-0000-0000003A0000}"/>
    <cellStyle name="Normal 12 4 8 2 3 2 4" xfId="15227" xr:uid="{00000000-0005-0000-0000-0000013A0000}"/>
    <cellStyle name="Normal 12 4 8 2 3 2 5" xfId="15228" xr:uid="{00000000-0005-0000-0000-0000023A0000}"/>
    <cellStyle name="Normal 12 4 8 2 3 3" xfId="15229" xr:uid="{00000000-0005-0000-0000-0000033A0000}"/>
    <cellStyle name="Normal 12 4 8 2 3 4" xfId="15230" xr:uid="{00000000-0005-0000-0000-0000043A0000}"/>
    <cellStyle name="Normal 12 4 8 2 3 5" xfId="15231" xr:uid="{00000000-0005-0000-0000-0000053A0000}"/>
    <cellStyle name="Normal 12 4 8 2 3 6" xfId="15232" xr:uid="{00000000-0005-0000-0000-0000063A0000}"/>
    <cellStyle name="Normal 12 4 8 2 3 7" xfId="15233" xr:uid="{00000000-0005-0000-0000-0000073A0000}"/>
    <cellStyle name="Normal 12 4 8 2 3 8" xfId="15234" xr:uid="{00000000-0005-0000-0000-0000083A0000}"/>
    <cellStyle name="Normal 12 4 8 2 4" xfId="15235" xr:uid="{00000000-0005-0000-0000-0000093A0000}"/>
    <cellStyle name="Normal 12 4 8 2 4 2" xfId="15236" xr:uid="{00000000-0005-0000-0000-00000A3A0000}"/>
    <cellStyle name="Normal 12 4 8 2 4 2 2" xfId="15237" xr:uid="{00000000-0005-0000-0000-00000B3A0000}"/>
    <cellStyle name="Normal 12 4 8 2 4 2 3" xfId="15238" xr:uid="{00000000-0005-0000-0000-00000C3A0000}"/>
    <cellStyle name="Normal 12 4 8 2 4 2 4" xfId="15239" xr:uid="{00000000-0005-0000-0000-00000D3A0000}"/>
    <cellStyle name="Normal 12 4 8 2 4 2 5" xfId="15240" xr:uid="{00000000-0005-0000-0000-00000E3A0000}"/>
    <cellStyle name="Normal 12 4 8 2 4 3" xfId="15241" xr:uid="{00000000-0005-0000-0000-00000F3A0000}"/>
    <cellStyle name="Normal 12 4 8 2 4 4" xfId="15242" xr:uid="{00000000-0005-0000-0000-0000103A0000}"/>
    <cellStyle name="Normal 12 4 8 2 4 5" xfId="15243" xr:uid="{00000000-0005-0000-0000-0000113A0000}"/>
    <cellStyle name="Normal 12 4 8 2 4 6" xfId="15244" xr:uid="{00000000-0005-0000-0000-0000123A0000}"/>
    <cellStyle name="Normal 12 4 8 2 4 7" xfId="15245" xr:uid="{00000000-0005-0000-0000-0000133A0000}"/>
    <cellStyle name="Normal 12 4 8 2 4 8" xfId="15246" xr:uid="{00000000-0005-0000-0000-0000143A0000}"/>
    <cellStyle name="Normal 12 4 8 2 5" xfId="15247" xr:uid="{00000000-0005-0000-0000-0000153A0000}"/>
    <cellStyle name="Normal 12 4 8 2 5 2" xfId="15248" xr:uid="{00000000-0005-0000-0000-0000163A0000}"/>
    <cellStyle name="Normal 12 4 8 2 5 3" xfId="15249" xr:uid="{00000000-0005-0000-0000-0000173A0000}"/>
    <cellStyle name="Normal 12 4 8 2 5 4" xfId="15250" xr:uid="{00000000-0005-0000-0000-0000183A0000}"/>
    <cellStyle name="Normal 12 4 8 2 5 5" xfId="15251" xr:uid="{00000000-0005-0000-0000-0000193A0000}"/>
    <cellStyle name="Normal 12 4 8 2 6" xfId="15252" xr:uid="{00000000-0005-0000-0000-00001A3A0000}"/>
    <cellStyle name="Normal 12 4 8 2 7" xfId="15253" xr:uid="{00000000-0005-0000-0000-00001B3A0000}"/>
    <cellStyle name="Normal 12 4 8 2 8" xfId="15254" xr:uid="{00000000-0005-0000-0000-00001C3A0000}"/>
    <cellStyle name="Normal 12 4 8 2 9" xfId="15255" xr:uid="{00000000-0005-0000-0000-00001D3A0000}"/>
    <cellStyle name="Normal 12 4 8 3" xfId="15256" xr:uid="{00000000-0005-0000-0000-00001E3A0000}"/>
    <cellStyle name="Normal 12 4 8 3 10" xfId="15257" xr:uid="{00000000-0005-0000-0000-00001F3A0000}"/>
    <cellStyle name="Normal 12 4 8 3 11" xfId="15258" xr:uid="{00000000-0005-0000-0000-0000203A0000}"/>
    <cellStyle name="Normal 12 4 8 3 2" xfId="15259" xr:uid="{00000000-0005-0000-0000-0000213A0000}"/>
    <cellStyle name="Normal 12 4 8 3 2 10" xfId="15260" xr:uid="{00000000-0005-0000-0000-0000223A0000}"/>
    <cellStyle name="Normal 12 4 8 3 2 2" xfId="15261" xr:uid="{00000000-0005-0000-0000-0000233A0000}"/>
    <cellStyle name="Normal 12 4 8 3 2 2 2" xfId="15262" xr:uid="{00000000-0005-0000-0000-0000243A0000}"/>
    <cellStyle name="Normal 12 4 8 3 2 2 2 2" xfId="15263" xr:uid="{00000000-0005-0000-0000-0000253A0000}"/>
    <cellStyle name="Normal 12 4 8 3 2 2 2 3" xfId="15264" xr:uid="{00000000-0005-0000-0000-0000263A0000}"/>
    <cellStyle name="Normal 12 4 8 3 2 2 2 4" xfId="15265" xr:uid="{00000000-0005-0000-0000-0000273A0000}"/>
    <cellStyle name="Normal 12 4 8 3 2 2 2 5" xfId="15266" xr:uid="{00000000-0005-0000-0000-0000283A0000}"/>
    <cellStyle name="Normal 12 4 8 3 2 2 3" xfId="15267" xr:uid="{00000000-0005-0000-0000-0000293A0000}"/>
    <cellStyle name="Normal 12 4 8 3 2 2 4" xfId="15268" xr:uid="{00000000-0005-0000-0000-00002A3A0000}"/>
    <cellStyle name="Normal 12 4 8 3 2 2 5" xfId="15269" xr:uid="{00000000-0005-0000-0000-00002B3A0000}"/>
    <cellStyle name="Normal 12 4 8 3 2 2 6" xfId="15270" xr:uid="{00000000-0005-0000-0000-00002C3A0000}"/>
    <cellStyle name="Normal 12 4 8 3 2 2 7" xfId="15271" xr:uid="{00000000-0005-0000-0000-00002D3A0000}"/>
    <cellStyle name="Normal 12 4 8 3 2 2 8" xfId="15272" xr:uid="{00000000-0005-0000-0000-00002E3A0000}"/>
    <cellStyle name="Normal 12 4 8 3 2 3" xfId="15273" xr:uid="{00000000-0005-0000-0000-00002F3A0000}"/>
    <cellStyle name="Normal 12 4 8 3 2 3 2" xfId="15274" xr:uid="{00000000-0005-0000-0000-0000303A0000}"/>
    <cellStyle name="Normal 12 4 8 3 2 3 2 2" xfId="15275" xr:uid="{00000000-0005-0000-0000-0000313A0000}"/>
    <cellStyle name="Normal 12 4 8 3 2 3 2 3" xfId="15276" xr:uid="{00000000-0005-0000-0000-0000323A0000}"/>
    <cellStyle name="Normal 12 4 8 3 2 3 2 4" xfId="15277" xr:uid="{00000000-0005-0000-0000-0000333A0000}"/>
    <cellStyle name="Normal 12 4 8 3 2 3 2 5" xfId="15278" xr:uid="{00000000-0005-0000-0000-0000343A0000}"/>
    <cellStyle name="Normal 12 4 8 3 2 3 3" xfId="15279" xr:uid="{00000000-0005-0000-0000-0000353A0000}"/>
    <cellStyle name="Normal 12 4 8 3 2 3 4" xfId="15280" xr:uid="{00000000-0005-0000-0000-0000363A0000}"/>
    <cellStyle name="Normal 12 4 8 3 2 3 5" xfId="15281" xr:uid="{00000000-0005-0000-0000-0000373A0000}"/>
    <cellStyle name="Normal 12 4 8 3 2 3 6" xfId="15282" xr:uid="{00000000-0005-0000-0000-0000383A0000}"/>
    <cellStyle name="Normal 12 4 8 3 2 3 7" xfId="15283" xr:uid="{00000000-0005-0000-0000-0000393A0000}"/>
    <cellStyle name="Normal 12 4 8 3 2 3 8" xfId="15284" xr:uid="{00000000-0005-0000-0000-00003A3A0000}"/>
    <cellStyle name="Normal 12 4 8 3 2 4" xfId="15285" xr:uid="{00000000-0005-0000-0000-00003B3A0000}"/>
    <cellStyle name="Normal 12 4 8 3 2 4 2" xfId="15286" xr:uid="{00000000-0005-0000-0000-00003C3A0000}"/>
    <cellStyle name="Normal 12 4 8 3 2 4 3" xfId="15287" xr:uid="{00000000-0005-0000-0000-00003D3A0000}"/>
    <cellStyle name="Normal 12 4 8 3 2 4 4" xfId="15288" xr:uid="{00000000-0005-0000-0000-00003E3A0000}"/>
    <cellStyle name="Normal 12 4 8 3 2 4 5" xfId="15289" xr:uid="{00000000-0005-0000-0000-00003F3A0000}"/>
    <cellStyle name="Normal 12 4 8 3 2 5" xfId="15290" xr:uid="{00000000-0005-0000-0000-0000403A0000}"/>
    <cellStyle name="Normal 12 4 8 3 2 6" xfId="15291" xr:uid="{00000000-0005-0000-0000-0000413A0000}"/>
    <cellStyle name="Normal 12 4 8 3 2 7" xfId="15292" xr:uid="{00000000-0005-0000-0000-0000423A0000}"/>
    <cellStyle name="Normal 12 4 8 3 2 8" xfId="15293" xr:uid="{00000000-0005-0000-0000-0000433A0000}"/>
    <cellStyle name="Normal 12 4 8 3 2 9" xfId="15294" xr:uid="{00000000-0005-0000-0000-0000443A0000}"/>
    <cellStyle name="Normal 12 4 8 3 3" xfId="15295" xr:uid="{00000000-0005-0000-0000-0000453A0000}"/>
    <cellStyle name="Normal 12 4 8 3 3 2" xfId="15296" xr:uid="{00000000-0005-0000-0000-0000463A0000}"/>
    <cellStyle name="Normal 12 4 8 3 3 2 2" xfId="15297" xr:uid="{00000000-0005-0000-0000-0000473A0000}"/>
    <cellStyle name="Normal 12 4 8 3 3 2 3" xfId="15298" xr:uid="{00000000-0005-0000-0000-0000483A0000}"/>
    <cellStyle name="Normal 12 4 8 3 3 2 4" xfId="15299" xr:uid="{00000000-0005-0000-0000-0000493A0000}"/>
    <cellStyle name="Normal 12 4 8 3 3 2 5" xfId="15300" xr:uid="{00000000-0005-0000-0000-00004A3A0000}"/>
    <cellStyle name="Normal 12 4 8 3 3 3" xfId="15301" xr:uid="{00000000-0005-0000-0000-00004B3A0000}"/>
    <cellStyle name="Normal 12 4 8 3 3 4" xfId="15302" xr:uid="{00000000-0005-0000-0000-00004C3A0000}"/>
    <cellStyle name="Normal 12 4 8 3 3 5" xfId="15303" xr:uid="{00000000-0005-0000-0000-00004D3A0000}"/>
    <cellStyle name="Normal 12 4 8 3 3 6" xfId="15304" xr:uid="{00000000-0005-0000-0000-00004E3A0000}"/>
    <cellStyle name="Normal 12 4 8 3 3 7" xfId="15305" xr:uid="{00000000-0005-0000-0000-00004F3A0000}"/>
    <cellStyle name="Normal 12 4 8 3 3 8" xfId="15306" xr:uid="{00000000-0005-0000-0000-0000503A0000}"/>
    <cellStyle name="Normal 12 4 8 3 4" xfId="15307" xr:uid="{00000000-0005-0000-0000-0000513A0000}"/>
    <cellStyle name="Normal 12 4 8 3 4 2" xfId="15308" xr:uid="{00000000-0005-0000-0000-0000523A0000}"/>
    <cellStyle name="Normal 12 4 8 3 4 2 2" xfId="15309" xr:uid="{00000000-0005-0000-0000-0000533A0000}"/>
    <cellStyle name="Normal 12 4 8 3 4 2 3" xfId="15310" xr:uid="{00000000-0005-0000-0000-0000543A0000}"/>
    <cellStyle name="Normal 12 4 8 3 4 2 4" xfId="15311" xr:uid="{00000000-0005-0000-0000-0000553A0000}"/>
    <cellStyle name="Normal 12 4 8 3 4 2 5" xfId="15312" xr:uid="{00000000-0005-0000-0000-0000563A0000}"/>
    <cellStyle name="Normal 12 4 8 3 4 3" xfId="15313" xr:uid="{00000000-0005-0000-0000-0000573A0000}"/>
    <cellStyle name="Normal 12 4 8 3 4 4" xfId="15314" xr:uid="{00000000-0005-0000-0000-0000583A0000}"/>
    <cellStyle name="Normal 12 4 8 3 4 5" xfId="15315" xr:uid="{00000000-0005-0000-0000-0000593A0000}"/>
    <cellStyle name="Normal 12 4 8 3 4 6" xfId="15316" xr:uid="{00000000-0005-0000-0000-00005A3A0000}"/>
    <cellStyle name="Normal 12 4 8 3 4 7" xfId="15317" xr:uid="{00000000-0005-0000-0000-00005B3A0000}"/>
    <cellStyle name="Normal 12 4 8 3 4 8" xfId="15318" xr:uid="{00000000-0005-0000-0000-00005C3A0000}"/>
    <cellStyle name="Normal 12 4 8 3 5" xfId="15319" xr:uid="{00000000-0005-0000-0000-00005D3A0000}"/>
    <cellStyle name="Normal 12 4 8 3 5 2" xfId="15320" xr:uid="{00000000-0005-0000-0000-00005E3A0000}"/>
    <cellStyle name="Normal 12 4 8 3 5 3" xfId="15321" xr:uid="{00000000-0005-0000-0000-00005F3A0000}"/>
    <cellStyle name="Normal 12 4 8 3 5 4" xfId="15322" xr:uid="{00000000-0005-0000-0000-0000603A0000}"/>
    <cellStyle name="Normal 12 4 8 3 5 5" xfId="15323" xr:uid="{00000000-0005-0000-0000-0000613A0000}"/>
    <cellStyle name="Normal 12 4 8 3 6" xfId="15324" xr:uid="{00000000-0005-0000-0000-0000623A0000}"/>
    <cellStyle name="Normal 12 4 8 3 7" xfId="15325" xr:uid="{00000000-0005-0000-0000-0000633A0000}"/>
    <cellStyle name="Normal 12 4 8 3 8" xfId="15326" xr:uid="{00000000-0005-0000-0000-0000643A0000}"/>
    <cellStyle name="Normal 12 4 8 3 9" xfId="15327" xr:uid="{00000000-0005-0000-0000-0000653A0000}"/>
    <cellStyle name="Normal 12 4 8 4" xfId="15328" xr:uid="{00000000-0005-0000-0000-0000663A0000}"/>
    <cellStyle name="Normal 12 4 8 4 10" xfId="15329" xr:uid="{00000000-0005-0000-0000-0000673A0000}"/>
    <cellStyle name="Normal 12 4 8 4 2" xfId="15330" xr:uid="{00000000-0005-0000-0000-0000683A0000}"/>
    <cellStyle name="Normal 12 4 8 4 2 2" xfId="15331" xr:uid="{00000000-0005-0000-0000-0000693A0000}"/>
    <cellStyle name="Normal 12 4 8 4 2 2 2" xfId="15332" xr:uid="{00000000-0005-0000-0000-00006A3A0000}"/>
    <cellStyle name="Normal 12 4 8 4 2 2 3" xfId="15333" xr:uid="{00000000-0005-0000-0000-00006B3A0000}"/>
    <cellStyle name="Normal 12 4 8 4 2 2 4" xfId="15334" xr:uid="{00000000-0005-0000-0000-00006C3A0000}"/>
    <cellStyle name="Normal 12 4 8 4 2 2 5" xfId="15335" xr:uid="{00000000-0005-0000-0000-00006D3A0000}"/>
    <cellStyle name="Normal 12 4 8 4 2 3" xfId="15336" xr:uid="{00000000-0005-0000-0000-00006E3A0000}"/>
    <cellStyle name="Normal 12 4 8 4 2 4" xfId="15337" xr:uid="{00000000-0005-0000-0000-00006F3A0000}"/>
    <cellStyle name="Normal 12 4 8 4 2 5" xfId="15338" xr:uid="{00000000-0005-0000-0000-0000703A0000}"/>
    <cellStyle name="Normal 12 4 8 4 2 6" xfId="15339" xr:uid="{00000000-0005-0000-0000-0000713A0000}"/>
    <cellStyle name="Normal 12 4 8 4 2 7" xfId="15340" xr:uid="{00000000-0005-0000-0000-0000723A0000}"/>
    <cellStyle name="Normal 12 4 8 4 2 8" xfId="15341" xr:uid="{00000000-0005-0000-0000-0000733A0000}"/>
    <cellStyle name="Normal 12 4 8 4 3" xfId="15342" xr:uid="{00000000-0005-0000-0000-0000743A0000}"/>
    <cellStyle name="Normal 12 4 8 4 3 2" xfId="15343" xr:uid="{00000000-0005-0000-0000-0000753A0000}"/>
    <cellStyle name="Normal 12 4 8 4 3 2 2" xfId="15344" xr:uid="{00000000-0005-0000-0000-0000763A0000}"/>
    <cellStyle name="Normal 12 4 8 4 3 2 3" xfId="15345" xr:uid="{00000000-0005-0000-0000-0000773A0000}"/>
    <cellStyle name="Normal 12 4 8 4 3 2 4" xfId="15346" xr:uid="{00000000-0005-0000-0000-0000783A0000}"/>
    <cellStyle name="Normal 12 4 8 4 3 2 5" xfId="15347" xr:uid="{00000000-0005-0000-0000-0000793A0000}"/>
    <cellStyle name="Normal 12 4 8 4 3 3" xfId="15348" xr:uid="{00000000-0005-0000-0000-00007A3A0000}"/>
    <cellStyle name="Normal 12 4 8 4 3 4" xfId="15349" xr:uid="{00000000-0005-0000-0000-00007B3A0000}"/>
    <cellStyle name="Normal 12 4 8 4 3 5" xfId="15350" xr:uid="{00000000-0005-0000-0000-00007C3A0000}"/>
    <cellStyle name="Normal 12 4 8 4 3 6" xfId="15351" xr:uid="{00000000-0005-0000-0000-00007D3A0000}"/>
    <cellStyle name="Normal 12 4 8 4 3 7" xfId="15352" xr:uid="{00000000-0005-0000-0000-00007E3A0000}"/>
    <cellStyle name="Normal 12 4 8 4 3 8" xfId="15353" xr:uid="{00000000-0005-0000-0000-00007F3A0000}"/>
    <cellStyle name="Normal 12 4 8 4 4" xfId="15354" xr:uid="{00000000-0005-0000-0000-0000803A0000}"/>
    <cellStyle name="Normal 12 4 8 4 4 2" xfId="15355" xr:uid="{00000000-0005-0000-0000-0000813A0000}"/>
    <cellStyle name="Normal 12 4 8 4 4 3" xfId="15356" xr:uid="{00000000-0005-0000-0000-0000823A0000}"/>
    <cellStyle name="Normal 12 4 8 4 4 4" xfId="15357" xr:uid="{00000000-0005-0000-0000-0000833A0000}"/>
    <cellStyle name="Normal 12 4 8 4 4 5" xfId="15358" xr:uid="{00000000-0005-0000-0000-0000843A0000}"/>
    <cellStyle name="Normal 12 4 8 4 5" xfId="15359" xr:uid="{00000000-0005-0000-0000-0000853A0000}"/>
    <cellStyle name="Normal 12 4 8 4 6" xfId="15360" xr:uid="{00000000-0005-0000-0000-0000863A0000}"/>
    <cellStyle name="Normal 12 4 8 4 7" xfId="15361" xr:uid="{00000000-0005-0000-0000-0000873A0000}"/>
    <cellStyle name="Normal 12 4 8 4 8" xfId="15362" xr:uid="{00000000-0005-0000-0000-0000883A0000}"/>
    <cellStyle name="Normal 12 4 8 4 9" xfId="15363" xr:uid="{00000000-0005-0000-0000-0000893A0000}"/>
    <cellStyle name="Normal 12 4 8 5" xfId="15364" xr:uid="{00000000-0005-0000-0000-00008A3A0000}"/>
    <cellStyle name="Normal 12 4 8 5 2" xfId="15365" xr:uid="{00000000-0005-0000-0000-00008B3A0000}"/>
    <cellStyle name="Normal 12 4 8 5 2 2" xfId="15366" xr:uid="{00000000-0005-0000-0000-00008C3A0000}"/>
    <cellStyle name="Normal 12 4 8 5 2 3" xfId="15367" xr:uid="{00000000-0005-0000-0000-00008D3A0000}"/>
    <cellStyle name="Normal 12 4 8 5 2 4" xfId="15368" xr:uid="{00000000-0005-0000-0000-00008E3A0000}"/>
    <cellStyle name="Normal 12 4 8 5 2 5" xfId="15369" xr:uid="{00000000-0005-0000-0000-00008F3A0000}"/>
    <cellStyle name="Normal 12 4 8 5 3" xfId="15370" xr:uid="{00000000-0005-0000-0000-0000903A0000}"/>
    <cellStyle name="Normal 12 4 8 5 4" xfId="15371" xr:uid="{00000000-0005-0000-0000-0000913A0000}"/>
    <cellStyle name="Normal 12 4 8 5 5" xfId="15372" xr:uid="{00000000-0005-0000-0000-0000923A0000}"/>
    <cellStyle name="Normal 12 4 8 5 6" xfId="15373" xr:uid="{00000000-0005-0000-0000-0000933A0000}"/>
    <cellStyle name="Normal 12 4 8 5 7" xfId="15374" xr:uid="{00000000-0005-0000-0000-0000943A0000}"/>
    <cellStyle name="Normal 12 4 8 5 8" xfId="15375" xr:uid="{00000000-0005-0000-0000-0000953A0000}"/>
    <cellStyle name="Normal 12 4 8 6" xfId="15376" xr:uid="{00000000-0005-0000-0000-0000963A0000}"/>
    <cellStyle name="Normal 12 4 8 6 2" xfId="15377" xr:uid="{00000000-0005-0000-0000-0000973A0000}"/>
    <cellStyle name="Normal 12 4 8 6 2 2" xfId="15378" xr:uid="{00000000-0005-0000-0000-0000983A0000}"/>
    <cellStyle name="Normal 12 4 8 6 2 3" xfId="15379" xr:uid="{00000000-0005-0000-0000-0000993A0000}"/>
    <cellStyle name="Normal 12 4 8 6 2 4" xfId="15380" xr:uid="{00000000-0005-0000-0000-00009A3A0000}"/>
    <cellStyle name="Normal 12 4 8 6 2 5" xfId="15381" xr:uid="{00000000-0005-0000-0000-00009B3A0000}"/>
    <cellStyle name="Normal 12 4 8 6 3" xfId="15382" xr:uid="{00000000-0005-0000-0000-00009C3A0000}"/>
    <cellStyle name="Normal 12 4 8 6 4" xfId="15383" xr:uid="{00000000-0005-0000-0000-00009D3A0000}"/>
    <cellStyle name="Normal 12 4 8 6 5" xfId="15384" xr:uid="{00000000-0005-0000-0000-00009E3A0000}"/>
    <cellStyle name="Normal 12 4 8 6 6" xfId="15385" xr:uid="{00000000-0005-0000-0000-00009F3A0000}"/>
    <cellStyle name="Normal 12 4 8 6 7" xfId="15386" xr:uid="{00000000-0005-0000-0000-0000A03A0000}"/>
    <cellStyle name="Normal 12 4 8 6 8" xfId="15387" xr:uid="{00000000-0005-0000-0000-0000A13A0000}"/>
    <cellStyle name="Normal 12 4 8 7" xfId="15388" xr:uid="{00000000-0005-0000-0000-0000A23A0000}"/>
    <cellStyle name="Normal 12 4 8 7 2" xfId="15389" xr:uid="{00000000-0005-0000-0000-0000A33A0000}"/>
    <cellStyle name="Normal 12 4 8 7 3" xfId="15390" xr:uid="{00000000-0005-0000-0000-0000A43A0000}"/>
    <cellStyle name="Normal 12 4 8 7 4" xfId="15391" xr:uid="{00000000-0005-0000-0000-0000A53A0000}"/>
    <cellStyle name="Normal 12 4 8 7 5" xfId="15392" xr:uid="{00000000-0005-0000-0000-0000A63A0000}"/>
    <cellStyle name="Normal 12 4 8 8" xfId="15393" xr:uid="{00000000-0005-0000-0000-0000A73A0000}"/>
    <cellStyle name="Normal 12 4 8 9" xfId="15394" xr:uid="{00000000-0005-0000-0000-0000A83A0000}"/>
    <cellStyle name="Normal 12 4 9" xfId="15395" xr:uid="{00000000-0005-0000-0000-0000A93A0000}"/>
    <cellStyle name="Normal 12 4 9 10" xfId="15396" xr:uid="{00000000-0005-0000-0000-0000AA3A0000}"/>
    <cellStyle name="Normal 12 4 9 11" xfId="15397" xr:uid="{00000000-0005-0000-0000-0000AB3A0000}"/>
    <cellStyle name="Normal 12 4 9 2" xfId="15398" xr:uid="{00000000-0005-0000-0000-0000AC3A0000}"/>
    <cellStyle name="Normal 12 4 9 2 10" xfId="15399" xr:uid="{00000000-0005-0000-0000-0000AD3A0000}"/>
    <cellStyle name="Normal 12 4 9 2 2" xfId="15400" xr:uid="{00000000-0005-0000-0000-0000AE3A0000}"/>
    <cellStyle name="Normal 12 4 9 2 2 2" xfId="15401" xr:uid="{00000000-0005-0000-0000-0000AF3A0000}"/>
    <cellStyle name="Normal 12 4 9 2 2 2 2" xfId="15402" xr:uid="{00000000-0005-0000-0000-0000B03A0000}"/>
    <cellStyle name="Normal 12 4 9 2 2 2 3" xfId="15403" xr:uid="{00000000-0005-0000-0000-0000B13A0000}"/>
    <cellStyle name="Normal 12 4 9 2 2 2 4" xfId="15404" xr:uid="{00000000-0005-0000-0000-0000B23A0000}"/>
    <cellStyle name="Normal 12 4 9 2 2 2 5" xfId="15405" xr:uid="{00000000-0005-0000-0000-0000B33A0000}"/>
    <cellStyle name="Normal 12 4 9 2 2 3" xfId="15406" xr:uid="{00000000-0005-0000-0000-0000B43A0000}"/>
    <cellStyle name="Normal 12 4 9 2 2 4" xfId="15407" xr:uid="{00000000-0005-0000-0000-0000B53A0000}"/>
    <cellStyle name="Normal 12 4 9 2 2 5" xfId="15408" xr:uid="{00000000-0005-0000-0000-0000B63A0000}"/>
    <cellStyle name="Normal 12 4 9 2 2 6" xfId="15409" xr:uid="{00000000-0005-0000-0000-0000B73A0000}"/>
    <cellStyle name="Normal 12 4 9 2 2 7" xfId="15410" xr:uid="{00000000-0005-0000-0000-0000B83A0000}"/>
    <cellStyle name="Normal 12 4 9 2 2 8" xfId="15411" xr:uid="{00000000-0005-0000-0000-0000B93A0000}"/>
    <cellStyle name="Normal 12 4 9 2 3" xfId="15412" xr:uid="{00000000-0005-0000-0000-0000BA3A0000}"/>
    <cellStyle name="Normal 12 4 9 2 3 2" xfId="15413" xr:uid="{00000000-0005-0000-0000-0000BB3A0000}"/>
    <cellStyle name="Normal 12 4 9 2 3 2 2" xfId="15414" xr:uid="{00000000-0005-0000-0000-0000BC3A0000}"/>
    <cellStyle name="Normal 12 4 9 2 3 2 3" xfId="15415" xr:uid="{00000000-0005-0000-0000-0000BD3A0000}"/>
    <cellStyle name="Normal 12 4 9 2 3 2 4" xfId="15416" xr:uid="{00000000-0005-0000-0000-0000BE3A0000}"/>
    <cellStyle name="Normal 12 4 9 2 3 2 5" xfId="15417" xr:uid="{00000000-0005-0000-0000-0000BF3A0000}"/>
    <cellStyle name="Normal 12 4 9 2 3 3" xfId="15418" xr:uid="{00000000-0005-0000-0000-0000C03A0000}"/>
    <cellStyle name="Normal 12 4 9 2 3 4" xfId="15419" xr:uid="{00000000-0005-0000-0000-0000C13A0000}"/>
    <cellStyle name="Normal 12 4 9 2 3 5" xfId="15420" xr:uid="{00000000-0005-0000-0000-0000C23A0000}"/>
    <cellStyle name="Normal 12 4 9 2 3 6" xfId="15421" xr:uid="{00000000-0005-0000-0000-0000C33A0000}"/>
    <cellStyle name="Normal 12 4 9 2 3 7" xfId="15422" xr:uid="{00000000-0005-0000-0000-0000C43A0000}"/>
    <cellStyle name="Normal 12 4 9 2 3 8" xfId="15423" xr:uid="{00000000-0005-0000-0000-0000C53A0000}"/>
    <cellStyle name="Normal 12 4 9 2 4" xfId="15424" xr:uid="{00000000-0005-0000-0000-0000C63A0000}"/>
    <cellStyle name="Normal 12 4 9 2 4 2" xfId="15425" xr:uid="{00000000-0005-0000-0000-0000C73A0000}"/>
    <cellStyle name="Normal 12 4 9 2 4 3" xfId="15426" xr:uid="{00000000-0005-0000-0000-0000C83A0000}"/>
    <cellStyle name="Normal 12 4 9 2 4 4" xfId="15427" xr:uid="{00000000-0005-0000-0000-0000C93A0000}"/>
    <cellStyle name="Normal 12 4 9 2 4 5" xfId="15428" xr:uid="{00000000-0005-0000-0000-0000CA3A0000}"/>
    <cellStyle name="Normal 12 4 9 2 5" xfId="15429" xr:uid="{00000000-0005-0000-0000-0000CB3A0000}"/>
    <cellStyle name="Normal 12 4 9 2 6" xfId="15430" xr:uid="{00000000-0005-0000-0000-0000CC3A0000}"/>
    <cellStyle name="Normal 12 4 9 2 7" xfId="15431" xr:uid="{00000000-0005-0000-0000-0000CD3A0000}"/>
    <cellStyle name="Normal 12 4 9 2 8" xfId="15432" xr:uid="{00000000-0005-0000-0000-0000CE3A0000}"/>
    <cellStyle name="Normal 12 4 9 2 9" xfId="15433" xr:uid="{00000000-0005-0000-0000-0000CF3A0000}"/>
    <cellStyle name="Normal 12 4 9 3" xfId="15434" xr:uid="{00000000-0005-0000-0000-0000D03A0000}"/>
    <cellStyle name="Normal 12 4 9 3 2" xfId="15435" xr:uid="{00000000-0005-0000-0000-0000D13A0000}"/>
    <cellStyle name="Normal 12 4 9 3 2 2" xfId="15436" xr:uid="{00000000-0005-0000-0000-0000D23A0000}"/>
    <cellStyle name="Normal 12 4 9 3 2 3" xfId="15437" xr:uid="{00000000-0005-0000-0000-0000D33A0000}"/>
    <cellStyle name="Normal 12 4 9 3 2 4" xfId="15438" xr:uid="{00000000-0005-0000-0000-0000D43A0000}"/>
    <cellStyle name="Normal 12 4 9 3 2 5" xfId="15439" xr:uid="{00000000-0005-0000-0000-0000D53A0000}"/>
    <cellStyle name="Normal 12 4 9 3 3" xfId="15440" xr:uid="{00000000-0005-0000-0000-0000D63A0000}"/>
    <cellStyle name="Normal 12 4 9 3 4" xfId="15441" xr:uid="{00000000-0005-0000-0000-0000D73A0000}"/>
    <cellStyle name="Normal 12 4 9 3 5" xfId="15442" xr:uid="{00000000-0005-0000-0000-0000D83A0000}"/>
    <cellStyle name="Normal 12 4 9 3 6" xfId="15443" xr:uid="{00000000-0005-0000-0000-0000D93A0000}"/>
    <cellStyle name="Normal 12 4 9 3 7" xfId="15444" xr:uid="{00000000-0005-0000-0000-0000DA3A0000}"/>
    <cellStyle name="Normal 12 4 9 3 8" xfId="15445" xr:uid="{00000000-0005-0000-0000-0000DB3A0000}"/>
    <cellStyle name="Normal 12 4 9 4" xfId="15446" xr:uid="{00000000-0005-0000-0000-0000DC3A0000}"/>
    <cellStyle name="Normal 12 4 9 4 2" xfId="15447" xr:uid="{00000000-0005-0000-0000-0000DD3A0000}"/>
    <cellStyle name="Normal 12 4 9 4 2 2" xfId="15448" xr:uid="{00000000-0005-0000-0000-0000DE3A0000}"/>
    <cellStyle name="Normal 12 4 9 4 2 3" xfId="15449" xr:uid="{00000000-0005-0000-0000-0000DF3A0000}"/>
    <cellStyle name="Normal 12 4 9 4 2 4" xfId="15450" xr:uid="{00000000-0005-0000-0000-0000E03A0000}"/>
    <cellStyle name="Normal 12 4 9 4 2 5" xfId="15451" xr:uid="{00000000-0005-0000-0000-0000E13A0000}"/>
    <cellStyle name="Normal 12 4 9 4 3" xfId="15452" xr:uid="{00000000-0005-0000-0000-0000E23A0000}"/>
    <cellStyle name="Normal 12 4 9 4 4" xfId="15453" xr:uid="{00000000-0005-0000-0000-0000E33A0000}"/>
    <cellStyle name="Normal 12 4 9 4 5" xfId="15454" xr:uid="{00000000-0005-0000-0000-0000E43A0000}"/>
    <cellStyle name="Normal 12 4 9 4 6" xfId="15455" xr:uid="{00000000-0005-0000-0000-0000E53A0000}"/>
    <cellStyle name="Normal 12 4 9 4 7" xfId="15456" xr:uid="{00000000-0005-0000-0000-0000E63A0000}"/>
    <cellStyle name="Normal 12 4 9 4 8" xfId="15457" xr:uid="{00000000-0005-0000-0000-0000E73A0000}"/>
    <cellStyle name="Normal 12 4 9 5" xfId="15458" xr:uid="{00000000-0005-0000-0000-0000E83A0000}"/>
    <cellStyle name="Normal 12 4 9 5 2" xfId="15459" xr:uid="{00000000-0005-0000-0000-0000E93A0000}"/>
    <cellStyle name="Normal 12 4 9 5 3" xfId="15460" xr:uid="{00000000-0005-0000-0000-0000EA3A0000}"/>
    <cellStyle name="Normal 12 4 9 5 4" xfId="15461" xr:uid="{00000000-0005-0000-0000-0000EB3A0000}"/>
    <cellStyle name="Normal 12 4 9 5 5" xfId="15462" xr:uid="{00000000-0005-0000-0000-0000EC3A0000}"/>
    <cellStyle name="Normal 12 4 9 6" xfId="15463" xr:uid="{00000000-0005-0000-0000-0000ED3A0000}"/>
    <cellStyle name="Normal 12 4 9 7" xfId="15464" xr:uid="{00000000-0005-0000-0000-0000EE3A0000}"/>
    <cellStyle name="Normal 12 4 9 8" xfId="15465" xr:uid="{00000000-0005-0000-0000-0000EF3A0000}"/>
    <cellStyle name="Normal 12 4 9 9" xfId="15466" xr:uid="{00000000-0005-0000-0000-0000F03A0000}"/>
    <cellStyle name="Normal 12 5" xfId="15467" xr:uid="{00000000-0005-0000-0000-0000F13A0000}"/>
    <cellStyle name="Normal 12 5 10" xfId="15468" xr:uid="{00000000-0005-0000-0000-0000F23A0000}"/>
    <cellStyle name="Normal 12 5 10 10" xfId="15469" xr:uid="{00000000-0005-0000-0000-0000F33A0000}"/>
    <cellStyle name="Normal 12 5 10 11" xfId="15470" xr:uid="{00000000-0005-0000-0000-0000F43A0000}"/>
    <cellStyle name="Normal 12 5 10 2" xfId="15471" xr:uid="{00000000-0005-0000-0000-0000F53A0000}"/>
    <cellStyle name="Normal 12 5 10 2 10" xfId="15472" xr:uid="{00000000-0005-0000-0000-0000F63A0000}"/>
    <cellStyle name="Normal 12 5 10 2 2" xfId="15473" xr:uid="{00000000-0005-0000-0000-0000F73A0000}"/>
    <cellStyle name="Normal 12 5 10 2 2 2" xfId="15474" xr:uid="{00000000-0005-0000-0000-0000F83A0000}"/>
    <cellStyle name="Normal 12 5 10 2 2 2 2" xfId="15475" xr:uid="{00000000-0005-0000-0000-0000F93A0000}"/>
    <cellStyle name="Normal 12 5 10 2 2 2 3" xfId="15476" xr:uid="{00000000-0005-0000-0000-0000FA3A0000}"/>
    <cellStyle name="Normal 12 5 10 2 2 2 4" xfId="15477" xr:uid="{00000000-0005-0000-0000-0000FB3A0000}"/>
    <cellStyle name="Normal 12 5 10 2 2 2 5" xfId="15478" xr:uid="{00000000-0005-0000-0000-0000FC3A0000}"/>
    <cellStyle name="Normal 12 5 10 2 2 3" xfId="15479" xr:uid="{00000000-0005-0000-0000-0000FD3A0000}"/>
    <cellStyle name="Normal 12 5 10 2 2 4" xfId="15480" xr:uid="{00000000-0005-0000-0000-0000FE3A0000}"/>
    <cellStyle name="Normal 12 5 10 2 2 5" xfId="15481" xr:uid="{00000000-0005-0000-0000-0000FF3A0000}"/>
    <cellStyle name="Normal 12 5 10 2 2 6" xfId="15482" xr:uid="{00000000-0005-0000-0000-0000003B0000}"/>
    <cellStyle name="Normal 12 5 10 2 2 7" xfId="15483" xr:uid="{00000000-0005-0000-0000-0000013B0000}"/>
    <cellStyle name="Normal 12 5 10 2 2 8" xfId="15484" xr:uid="{00000000-0005-0000-0000-0000023B0000}"/>
    <cellStyle name="Normal 12 5 10 2 3" xfId="15485" xr:uid="{00000000-0005-0000-0000-0000033B0000}"/>
    <cellStyle name="Normal 12 5 10 2 3 2" xfId="15486" xr:uid="{00000000-0005-0000-0000-0000043B0000}"/>
    <cellStyle name="Normal 12 5 10 2 3 2 2" xfId="15487" xr:uid="{00000000-0005-0000-0000-0000053B0000}"/>
    <cellStyle name="Normal 12 5 10 2 3 2 3" xfId="15488" xr:uid="{00000000-0005-0000-0000-0000063B0000}"/>
    <cellStyle name="Normal 12 5 10 2 3 2 4" xfId="15489" xr:uid="{00000000-0005-0000-0000-0000073B0000}"/>
    <cellStyle name="Normal 12 5 10 2 3 2 5" xfId="15490" xr:uid="{00000000-0005-0000-0000-0000083B0000}"/>
    <cellStyle name="Normal 12 5 10 2 3 3" xfId="15491" xr:uid="{00000000-0005-0000-0000-0000093B0000}"/>
    <cellStyle name="Normal 12 5 10 2 3 4" xfId="15492" xr:uid="{00000000-0005-0000-0000-00000A3B0000}"/>
    <cellStyle name="Normal 12 5 10 2 3 5" xfId="15493" xr:uid="{00000000-0005-0000-0000-00000B3B0000}"/>
    <cellStyle name="Normal 12 5 10 2 3 6" xfId="15494" xr:uid="{00000000-0005-0000-0000-00000C3B0000}"/>
    <cellStyle name="Normal 12 5 10 2 3 7" xfId="15495" xr:uid="{00000000-0005-0000-0000-00000D3B0000}"/>
    <cellStyle name="Normal 12 5 10 2 3 8" xfId="15496" xr:uid="{00000000-0005-0000-0000-00000E3B0000}"/>
    <cellStyle name="Normal 12 5 10 2 4" xfId="15497" xr:uid="{00000000-0005-0000-0000-00000F3B0000}"/>
    <cellStyle name="Normal 12 5 10 2 4 2" xfId="15498" xr:uid="{00000000-0005-0000-0000-0000103B0000}"/>
    <cellStyle name="Normal 12 5 10 2 4 3" xfId="15499" xr:uid="{00000000-0005-0000-0000-0000113B0000}"/>
    <cellStyle name="Normal 12 5 10 2 4 4" xfId="15500" xr:uid="{00000000-0005-0000-0000-0000123B0000}"/>
    <cellStyle name="Normal 12 5 10 2 4 5" xfId="15501" xr:uid="{00000000-0005-0000-0000-0000133B0000}"/>
    <cellStyle name="Normal 12 5 10 2 5" xfId="15502" xr:uid="{00000000-0005-0000-0000-0000143B0000}"/>
    <cellStyle name="Normal 12 5 10 2 6" xfId="15503" xr:uid="{00000000-0005-0000-0000-0000153B0000}"/>
    <cellStyle name="Normal 12 5 10 2 7" xfId="15504" xr:uid="{00000000-0005-0000-0000-0000163B0000}"/>
    <cellStyle name="Normal 12 5 10 2 8" xfId="15505" xr:uid="{00000000-0005-0000-0000-0000173B0000}"/>
    <cellStyle name="Normal 12 5 10 2 9" xfId="15506" xr:uid="{00000000-0005-0000-0000-0000183B0000}"/>
    <cellStyle name="Normal 12 5 10 3" xfId="15507" xr:uid="{00000000-0005-0000-0000-0000193B0000}"/>
    <cellStyle name="Normal 12 5 10 3 2" xfId="15508" xr:uid="{00000000-0005-0000-0000-00001A3B0000}"/>
    <cellStyle name="Normal 12 5 10 3 2 2" xfId="15509" xr:uid="{00000000-0005-0000-0000-00001B3B0000}"/>
    <cellStyle name="Normal 12 5 10 3 2 3" xfId="15510" xr:uid="{00000000-0005-0000-0000-00001C3B0000}"/>
    <cellStyle name="Normal 12 5 10 3 2 4" xfId="15511" xr:uid="{00000000-0005-0000-0000-00001D3B0000}"/>
    <cellStyle name="Normal 12 5 10 3 2 5" xfId="15512" xr:uid="{00000000-0005-0000-0000-00001E3B0000}"/>
    <cellStyle name="Normal 12 5 10 3 3" xfId="15513" xr:uid="{00000000-0005-0000-0000-00001F3B0000}"/>
    <cellStyle name="Normal 12 5 10 3 4" xfId="15514" xr:uid="{00000000-0005-0000-0000-0000203B0000}"/>
    <cellStyle name="Normal 12 5 10 3 5" xfId="15515" xr:uid="{00000000-0005-0000-0000-0000213B0000}"/>
    <cellStyle name="Normal 12 5 10 3 6" xfId="15516" xr:uid="{00000000-0005-0000-0000-0000223B0000}"/>
    <cellStyle name="Normal 12 5 10 3 7" xfId="15517" xr:uid="{00000000-0005-0000-0000-0000233B0000}"/>
    <cellStyle name="Normal 12 5 10 3 8" xfId="15518" xr:uid="{00000000-0005-0000-0000-0000243B0000}"/>
    <cellStyle name="Normal 12 5 10 4" xfId="15519" xr:uid="{00000000-0005-0000-0000-0000253B0000}"/>
    <cellStyle name="Normal 12 5 10 4 2" xfId="15520" xr:uid="{00000000-0005-0000-0000-0000263B0000}"/>
    <cellStyle name="Normal 12 5 10 4 2 2" xfId="15521" xr:uid="{00000000-0005-0000-0000-0000273B0000}"/>
    <cellStyle name="Normal 12 5 10 4 2 3" xfId="15522" xr:uid="{00000000-0005-0000-0000-0000283B0000}"/>
    <cellStyle name="Normal 12 5 10 4 2 4" xfId="15523" xr:uid="{00000000-0005-0000-0000-0000293B0000}"/>
    <cellStyle name="Normal 12 5 10 4 2 5" xfId="15524" xr:uid="{00000000-0005-0000-0000-00002A3B0000}"/>
    <cellStyle name="Normal 12 5 10 4 3" xfId="15525" xr:uid="{00000000-0005-0000-0000-00002B3B0000}"/>
    <cellStyle name="Normal 12 5 10 4 4" xfId="15526" xr:uid="{00000000-0005-0000-0000-00002C3B0000}"/>
    <cellStyle name="Normal 12 5 10 4 5" xfId="15527" xr:uid="{00000000-0005-0000-0000-00002D3B0000}"/>
    <cellStyle name="Normal 12 5 10 4 6" xfId="15528" xr:uid="{00000000-0005-0000-0000-00002E3B0000}"/>
    <cellStyle name="Normal 12 5 10 4 7" xfId="15529" xr:uid="{00000000-0005-0000-0000-00002F3B0000}"/>
    <cellStyle name="Normal 12 5 10 4 8" xfId="15530" xr:uid="{00000000-0005-0000-0000-0000303B0000}"/>
    <cellStyle name="Normal 12 5 10 5" xfId="15531" xr:uid="{00000000-0005-0000-0000-0000313B0000}"/>
    <cellStyle name="Normal 12 5 10 5 2" xfId="15532" xr:uid="{00000000-0005-0000-0000-0000323B0000}"/>
    <cellStyle name="Normal 12 5 10 5 3" xfId="15533" xr:uid="{00000000-0005-0000-0000-0000333B0000}"/>
    <cellStyle name="Normal 12 5 10 5 4" xfId="15534" xr:uid="{00000000-0005-0000-0000-0000343B0000}"/>
    <cellStyle name="Normal 12 5 10 5 5" xfId="15535" xr:uid="{00000000-0005-0000-0000-0000353B0000}"/>
    <cellStyle name="Normal 12 5 10 6" xfId="15536" xr:uid="{00000000-0005-0000-0000-0000363B0000}"/>
    <cellStyle name="Normal 12 5 10 7" xfId="15537" xr:uid="{00000000-0005-0000-0000-0000373B0000}"/>
    <cellStyle name="Normal 12 5 10 8" xfId="15538" xr:uid="{00000000-0005-0000-0000-0000383B0000}"/>
    <cellStyle name="Normal 12 5 10 9" xfId="15539" xr:uid="{00000000-0005-0000-0000-0000393B0000}"/>
    <cellStyle name="Normal 12 5 11" xfId="15540" xr:uid="{00000000-0005-0000-0000-00003A3B0000}"/>
    <cellStyle name="Normal 12 5 11 10" xfId="15541" xr:uid="{00000000-0005-0000-0000-00003B3B0000}"/>
    <cellStyle name="Normal 12 5 11 2" xfId="15542" xr:uid="{00000000-0005-0000-0000-00003C3B0000}"/>
    <cellStyle name="Normal 12 5 11 2 2" xfId="15543" xr:uid="{00000000-0005-0000-0000-00003D3B0000}"/>
    <cellStyle name="Normal 12 5 11 2 2 2" xfId="15544" xr:uid="{00000000-0005-0000-0000-00003E3B0000}"/>
    <cellStyle name="Normal 12 5 11 2 2 3" xfId="15545" xr:uid="{00000000-0005-0000-0000-00003F3B0000}"/>
    <cellStyle name="Normal 12 5 11 2 2 4" xfId="15546" xr:uid="{00000000-0005-0000-0000-0000403B0000}"/>
    <cellStyle name="Normal 12 5 11 2 2 5" xfId="15547" xr:uid="{00000000-0005-0000-0000-0000413B0000}"/>
    <cellStyle name="Normal 12 5 11 2 3" xfId="15548" xr:uid="{00000000-0005-0000-0000-0000423B0000}"/>
    <cellStyle name="Normal 12 5 11 2 4" xfId="15549" xr:uid="{00000000-0005-0000-0000-0000433B0000}"/>
    <cellStyle name="Normal 12 5 11 2 5" xfId="15550" xr:uid="{00000000-0005-0000-0000-0000443B0000}"/>
    <cellStyle name="Normal 12 5 11 2 6" xfId="15551" xr:uid="{00000000-0005-0000-0000-0000453B0000}"/>
    <cellStyle name="Normal 12 5 11 2 7" xfId="15552" xr:uid="{00000000-0005-0000-0000-0000463B0000}"/>
    <cellStyle name="Normal 12 5 11 2 8" xfId="15553" xr:uid="{00000000-0005-0000-0000-0000473B0000}"/>
    <cellStyle name="Normal 12 5 11 3" xfId="15554" xr:uid="{00000000-0005-0000-0000-0000483B0000}"/>
    <cellStyle name="Normal 12 5 11 3 2" xfId="15555" xr:uid="{00000000-0005-0000-0000-0000493B0000}"/>
    <cellStyle name="Normal 12 5 11 3 2 2" xfId="15556" xr:uid="{00000000-0005-0000-0000-00004A3B0000}"/>
    <cellStyle name="Normal 12 5 11 3 2 3" xfId="15557" xr:uid="{00000000-0005-0000-0000-00004B3B0000}"/>
    <cellStyle name="Normal 12 5 11 3 2 4" xfId="15558" xr:uid="{00000000-0005-0000-0000-00004C3B0000}"/>
    <cellStyle name="Normal 12 5 11 3 2 5" xfId="15559" xr:uid="{00000000-0005-0000-0000-00004D3B0000}"/>
    <cellStyle name="Normal 12 5 11 3 3" xfId="15560" xr:uid="{00000000-0005-0000-0000-00004E3B0000}"/>
    <cellStyle name="Normal 12 5 11 3 4" xfId="15561" xr:uid="{00000000-0005-0000-0000-00004F3B0000}"/>
    <cellStyle name="Normal 12 5 11 3 5" xfId="15562" xr:uid="{00000000-0005-0000-0000-0000503B0000}"/>
    <cellStyle name="Normal 12 5 11 3 6" xfId="15563" xr:uid="{00000000-0005-0000-0000-0000513B0000}"/>
    <cellStyle name="Normal 12 5 11 3 7" xfId="15564" xr:uid="{00000000-0005-0000-0000-0000523B0000}"/>
    <cellStyle name="Normal 12 5 11 3 8" xfId="15565" xr:uid="{00000000-0005-0000-0000-0000533B0000}"/>
    <cellStyle name="Normal 12 5 11 4" xfId="15566" xr:uid="{00000000-0005-0000-0000-0000543B0000}"/>
    <cellStyle name="Normal 12 5 11 4 2" xfId="15567" xr:uid="{00000000-0005-0000-0000-0000553B0000}"/>
    <cellStyle name="Normal 12 5 11 4 3" xfId="15568" xr:uid="{00000000-0005-0000-0000-0000563B0000}"/>
    <cellStyle name="Normal 12 5 11 4 4" xfId="15569" xr:uid="{00000000-0005-0000-0000-0000573B0000}"/>
    <cellStyle name="Normal 12 5 11 4 5" xfId="15570" xr:uid="{00000000-0005-0000-0000-0000583B0000}"/>
    <cellStyle name="Normal 12 5 11 5" xfId="15571" xr:uid="{00000000-0005-0000-0000-0000593B0000}"/>
    <cellStyle name="Normal 12 5 11 6" xfId="15572" xr:uid="{00000000-0005-0000-0000-00005A3B0000}"/>
    <cellStyle name="Normal 12 5 11 7" xfId="15573" xr:uid="{00000000-0005-0000-0000-00005B3B0000}"/>
    <cellStyle name="Normal 12 5 11 8" xfId="15574" xr:uid="{00000000-0005-0000-0000-00005C3B0000}"/>
    <cellStyle name="Normal 12 5 11 9" xfId="15575" xr:uid="{00000000-0005-0000-0000-00005D3B0000}"/>
    <cellStyle name="Normal 12 5 12" xfId="15576" xr:uid="{00000000-0005-0000-0000-00005E3B0000}"/>
    <cellStyle name="Normal 12 5 12 2" xfId="15577" xr:uid="{00000000-0005-0000-0000-00005F3B0000}"/>
    <cellStyle name="Normal 12 5 12 2 2" xfId="15578" xr:uid="{00000000-0005-0000-0000-0000603B0000}"/>
    <cellStyle name="Normal 12 5 12 2 3" xfId="15579" xr:uid="{00000000-0005-0000-0000-0000613B0000}"/>
    <cellStyle name="Normal 12 5 12 2 4" xfId="15580" xr:uid="{00000000-0005-0000-0000-0000623B0000}"/>
    <cellStyle name="Normal 12 5 12 2 5" xfId="15581" xr:uid="{00000000-0005-0000-0000-0000633B0000}"/>
    <cellStyle name="Normal 12 5 12 3" xfId="15582" xr:uid="{00000000-0005-0000-0000-0000643B0000}"/>
    <cellStyle name="Normal 12 5 12 4" xfId="15583" xr:uid="{00000000-0005-0000-0000-0000653B0000}"/>
    <cellStyle name="Normal 12 5 12 5" xfId="15584" xr:uid="{00000000-0005-0000-0000-0000663B0000}"/>
    <cellStyle name="Normal 12 5 12 6" xfId="15585" xr:uid="{00000000-0005-0000-0000-0000673B0000}"/>
    <cellStyle name="Normal 12 5 12 7" xfId="15586" xr:uid="{00000000-0005-0000-0000-0000683B0000}"/>
    <cellStyle name="Normal 12 5 12 8" xfId="15587" xr:uid="{00000000-0005-0000-0000-0000693B0000}"/>
    <cellStyle name="Normal 12 5 13" xfId="15588" xr:uid="{00000000-0005-0000-0000-00006A3B0000}"/>
    <cellStyle name="Normal 12 5 13 2" xfId="15589" xr:uid="{00000000-0005-0000-0000-00006B3B0000}"/>
    <cellStyle name="Normal 12 5 13 2 2" xfId="15590" xr:uid="{00000000-0005-0000-0000-00006C3B0000}"/>
    <cellStyle name="Normal 12 5 13 2 3" xfId="15591" xr:uid="{00000000-0005-0000-0000-00006D3B0000}"/>
    <cellStyle name="Normal 12 5 13 2 4" xfId="15592" xr:uid="{00000000-0005-0000-0000-00006E3B0000}"/>
    <cellStyle name="Normal 12 5 13 2 5" xfId="15593" xr:uid="{00000000-0005-0000-0000-00006F3B0000}"/>
    <cellStyle name="Normal 12 5 13 3" xfId="15594" xr:uid="{00000000-0005-0000-0000-0000703B0000}"/>
    <cellStyle name="Normal 12 5 13 4" xfId="15595" xr:uid="{00000000-0005-0000-0000-0000713B0000}"/>
    <cellStyle name="Normal 12 5 13 5" xfId="15596" xr:uid="{00000000-0005-0000-0000-0000723B0000}"/>
    <cellStyle name="Normal 12 5 13 6" xfId="15597" xr:uid="{00000000-0005-0000-0000-0000733B0000}"/>
    <cellStyle name="Normal 12 5 13 7" xfId="15598" xr:uid="{00000000-0005-0000-0000-0000743B0000}"/>
    <cellStyle name="Normal 12 5 13 8" xfId="15599" xr:uid="{00000000-0005-0000-0000-0000753B0000}"/>
    <cellStyle name="Normal 12 5 14" xfId="15600" xr:uid="{00000000-0005-0000-0000-0000763B0000}"/>
    <cellStyle name="Normal 12 5 14 2" xfId="15601" xr:uid="{00000000-0005-0000-0000-0000773B0000}"/>
    <cellStyle name="Normal 12 5 14 3" xfId="15602" xr:uid="{00000000-0005-0000-0000-0000783B0000}"/>
    <cellStyle name="Normal 12 5 14 4" xfId="15603" xr:uid="{00000000-0005-0000-0000-0000793B0000}"/>
    <cellStyle name="Normal 12 5 14 5" xfId="15604" xr:uid="{00000000-0005-0000-0000-00007A3B0000}"/>
    <cellStyle name="Normal 12 5 15" xfId="15605" xr:uid="{00000000-0005-0000-0000-00007B3B0000}"/>
    <cellStyle name="Normal 12 5 16" xfId="15606" xr:uid="{00000000-0005-0000-0000-00007C3B0000}"/>
    <cellStyle name="Normal 12 5 17" xfId="15607" xr:uid="{00000000-0005-0000-0000-00007D3B0000}"/>
    <cellStyle name="Normal 12 5 18" xfId="15608" xr:uid="{00000000-0005-0000-0000-00007E3B0000}"/>
    <cellStyle name="Normal 12 5 19" xfId="15609" xr:uid="{00000000-0005-0000-0000-00007F3B0000}"/>
    <cellStyle name="Normal 12 5 2" xfId="15610" xr:uid="{00000000-0005-0000-0000-0000803B0000}"/>
    <cellStyle name="Normal 12 5 2 10" xfId="15611" xr:uid="{00000000-0005-0000-0000-0000813B0000}"/>
    <cellStyle name="Normal 12 5 2 11" xfId="15612" xr:uid="{00000000-0005-0000-0000-0000823B0000}"/>
    <cellStyle name="Normal 12 5 2 12" xfId="15613" xr:uid="{00000000-0005-0000-0000-0000833B0000}"/>
    <cellStyle name="Normal 12 5 2 13" xfId="15614" xr:uid="{00000000-0005-0000-0000-0000843B0000}"/>
    <cellStyle name="Normal 12 5 2 2" xfId="15615" xr:uid="{00000000-0005-0000-0000-0000853B0000}"/>
    <cellStyle name="Normal 12 5 2 2 10" xfId="15616" xr:uid="{00000000-0005-0000-0000-0000863B0000}"/>
    <cellStyle name="Normal 12 5 2 2 11" xfId="15617" xr:uid="{00000000-0005-0000-0000-0000873B0000}"/>
    <cellStyle name="Normal 12 5 2 2 2" xfId="15618" xr:uid="{00000000-0005-0000-0000-0000883B0000}"/>
    <cellStyle name="Normal 12 5 2 2 2 10" xfId="15619" xr:uid="{00000000-0005-0000-0000-0000893B0000}"/>
    <cellStyle name="Normal 12 5 2 2 2 2" xfId="15620" xr:uid="{00000000-0005-0000-0000-00008A3B0000}"/>
    <cellStyle name="Normal 12 5 2 2 2 2 2" xfId="15621" xr:uid="{00000000-0005-0000-0000-00008B3B0000}"/>
    <cellStyle name="Normal 12 5 2 2 2 2 2 2" xfId="15622" xr:uid="{00000000-0005-0000-0000-00008C3B0000}"/>
    <cellStyle name="Normal 12 5 2 2 2 2 2 3" xfId="15623" xr:uid="{00000000-0005-0000-0000-00008D3B0000}"/>
    <cellStyle name="Normal 12 5 2 2 2 2 2 4" xfId="15624" xr:uid="{00000000-0005-0000-0000-00008E3B0000}"/>
    <cellStyle name="Normal 12 5 2 2 2 2 2 5" xfId="15625" xr:uid="{00000000-0005-0000-0000-00008F3B0000}"/>
    <cellStyle name="Normal 12 5 2 2 2 2 3" xfId="15626" xr:uid="{00000000-0005-0000-0000-0000903B0000}"/>
    <cellStyle name="Normal 12 5 2 2 2 2 4" xfId="15627" xr:uid="{00000000-0005-0000-0000-0000913B0000}"/>
    <cellStyle name="Normal 12 5 2 2 2 2 5" xfId="15628" xr:uid="{00000000-0005-0000-0000-0000923B0000}"/>
    <cellStyle name="Normal 12 5 2 2 2 2 6" xfId="15629" xr:uid="{00000000-0005-0000-0000-0000933B0000}"/>
    <cellStyle name="Normal 12 5 2 2 2 2 7" xfId="15630" xr:uid="{00000000-0005-0000-0000-0000943B0000}"/>
    <cellStyle name="Normal 12 5 2 2 2 2 8" xfId="15631" xr:uid="{00000000-0005-0000-0000-0000953B0000}"/>
    <cellStyle name="Normal 12 5 2 2 2 3" xfId="15632" xr:uid="{00000000-0005-0000-0000-0000963B0000}"/>
    <cellStyle name="Normal 12 5 2 2 2 3 2" xfId="15633" xr:uid="{00000000-0005-0000-0000-0000973B0000}"/>
    <cellStyle name="Normal 12 5 2 2 2 3 2 2" xfId="15634" xr:uid="{00000000-0005-0000-0000-0000983B0000}"/>
    <cellStyle name="Normal 12 5 2 2 2 3 2 3" xfId="15635" xr:uid="{00000000-0005-0000-0000-0000993B0000}"/>
    <cellStyle name="Normal 12 5 2 2 2 3 2 4" xfId="15636" xr:uid="{00000000-0005-0000-0000-00009A3B0000}"/>
    <cellStyle name="Normal 12 5 2 2 2 3 2 5" xfId="15637" xr:uid="{00000000-0005-0000-0000-00009B3B0000}"/>
    <cellStyle name="Normal 12 5 2 2 2 3 3" xfId="15638" xr:uid="{00000000-0005-0000-0000-00009C3B0000}"/>
    <cellStyle name="Normal 12 5 2 2 2 3 4" xfId="15639" xr:uid="{00000000-0005-0000-0000-00009D3B0000}"/>
    <cellStyle name="Normal 12 5 2 2 2 3 5" xfId="15640" xr:uid="{00000000-0005-0000-0000-00009E3B0000}"/>
    <cellStyle name="Normal 12 5 2 2 2 3 6" xfId="15641" xr:uid="{00000000-0005-0000-0000-00009F3B0000}"/>
    <cellStyle name="Normal 12 5 2 2 2 3 7" xfId="15642" xr:uid="{00000000-0005-0000-0000-0000A03B0000}"/>
    <cellStyle name="Normal 12 5 2 2 2 3 8" xfId="15643" xr:uid="{00000000-0005-0000-0000-0000A13B0000}"/>
    <cellStyle name="Normal 12 5 2 2 2 4" xfId="15644" xr:uid="{00000000-0005-0000-0000-0000A23B0000}"/>
    <cellStyle name="Normal 12 5 2 2 2 4 2" xfId="15645" xr:uid="{00000000-0005-0000-0000-0000A33B0000}"/>
    <cellStyle name="Normal 12 5 2 2 2 4 3" xfId="15646" xr:uid="{00000000-0005-0000-0000-0000A43B0000}"/>
    <cellStyle name="Normal 12 5 2 2 2 4 4" xfId="15647" xr:uid="{00000000-0005-0000-0000-0000A53B0000}"/>
    <cellStyle name="Normal 12 5 2 2 2 4 5" xfId="15648" xr:uid="{00000000-0005-0000-0000-0000A63B0000}"/>
    <cellStyle name="Normal 12 5 2 2 2 5" xfId="15649" xr:uid="{00000000-0005-0000-0000-0000A73B0000}"/>
    <cellStyle name="Normal 12 5 2 2 2 6" xfId="15650" xr:uid="{00000000-0005-0000-0000-0000A83B0000}"/>
    <cellStyle name="Normal 12 5 2 2 2 7" xfId="15651" xr:uid="{00000000-0005-0000-0000-0000A93B0000}"/>
    <cellStyle name="Normal 12 5 2 2 2 8" xfId="15652" xr:uid="{00000000-0005-0000-0000-0000AA3B0000}"/>
    <cellStyle name="Normal 12 5 2 2 2 9" xfId="15653" xr:uid="{00000000-0005-0000-0000-0000AB3B0000}"/>
    <cellStyle name="Normal 12 5 2 2 3" xfId="15654" xr:uid="{00000000-0005-0000-0000-0000AC3B0000}"/>
    <cellStyle name="Normal 12 5 2 2 3 2" xfId="15655" xr:uid="{00000000-0005-0000-0000-0000AD3B0000}"/>
    <cellStyle name="Normal 12 5 2 2 3 2 2" xfId="15656" xr:uid="{00000000-0005-0000-0000-0000AE3B0000}"/>
    <cellStyle name="Normal 12 5 2 2 3 2 3" xfId="15657" xr:uid="{00000000-0005-0000-0000-0000AF3B0000}"/>
    <cellStyle name="Normal 12 5 2 2 3 2 4" xfId="15658" xr:uid="{00000000-0005-0000-0000-0000B03B0000}"/>
    <cellStyle name="Normal 12 5 2 2 3 2 5" xfId="15659" xr:uid="{00000000-0005-0000-0000-0000B13B0000}"/>
    <cellStyle name="Normal 12 5 2 2 3 3" xfId="15660" xr:uid="{00000000-0005-0000-0000-0000B23B0000}"/>
    <cellStyle name="Normal 12 5 2 2 3 4" xfId="15661" xr:uid="{00000000-0005-0000-0000-0000B33B0000}"/>
    <cellStyle name="Normal 12 5 2 2 3 5" xfId="15662" xr:uid="{00000000-0005-0000-0000-0000B43B0000}"/>
    <cellStyle name="Normal 12 5 2 2 3 6" xfId="15663" xr:uid="{00000000-0005-0000-0000-0000B53B0000}"/>
    <cellStyle name="Normal 12 5 2 2 3 7" xfId="15664" xr:uid="{00000000-0005-0000-0000-0000B63B0000}"/>
    <cellStyle name="Normal 12 5 2 2 3 8" xfId="15665" xr:uid="{00000000-0005-0000-0000-0000B73B0000}"/>
    <cellStyle name="Normal 12 5 2 2 4" xfId="15666" xr:uid="{00000000-0005-0000-0000-0000B83B0000}"/>
    <cellStyle name="Normal 12 5 2 2 4 2" xfId="15667" xr:uid="{00000000-0005-0000-0000-0000B93B0000}"/>
    <cellStyle name="Normal 12 5 2 2 4 2 2" xfId="15668" xr:uid="{00000000-0005-0000-0000-0000BA3B0000}"/>
    <cellStyle name="Normal 12 5 2 2 4 2 3" xfId="15669" xr:uid="{00000000-0005-0000-0000-0000BB3B0000}"/>
    <cellStyle name="Normal 12 5 2 2 4 2 4" xfId="15670" xr:uid="{00000000-0005-0000-0000-0000BC3B0000}"/>
    <cellStyle name="Normal 12 5 2 2 4 2 5" xfId="15671" xr:uid="{00000000-0005-0000-0000-0000BD3B0000}"/>
    <cellStyle name="Normal 12 5 2 2 4 3" xfId="15672" xr:uid="{00000000-0005-0000-0000-0000BE3B0000}"/>
    <cellStyle name="Normal 12 5 2 2 4 4" xfId="15673" xr:uid="{00000000-0005-0000-0000-0000BF3B0000}"/>
    <cellStyle name="Normal 12 5 2 2 4 5" xfId="15674" xr:uid="{00000000-0005-0000-0000-0000C03B0000}"/>
    <cellStyle name="Normal 12 5 2 2 4 6" xfId="15675" xr:uid="{00000000-0005-0000-0000-0000C13B0000}"/>
    <cellStyle name="Normal 12 5 2 2 4 7" xfId="15676" xr:uid="{00000000-0005-0000-0000-0000C23B0000}"/>
    <cellStyle name="Normal 12 5 2 2 4 8" xfId="15677" xr:uid="{00000000-0005-0000-0000-0000C33B0000}"/>
    <cellStyle name="Normal 12 5 2 2 5" xfId="15678" xr:uid="{00000000-0005-0000-0000-0000C43B0000}"/>
    <cellStyle name="Normal 12 5 2 2 5 2" xfId="15679" xr:uid="{00000000-0005-0000-0000-0000C53B0000}"/>
    <cellStyle name="Normal 12 5 2 2 5 3" xfId="15680" xr:uid="{00000000-0005-0000-0000-0000C63B0000}"/>
    <cellStyle name="Normal 12 5 2 2 5 4" xfId="15681" xr:uid="{00000000-0005-0000-0000-0000C73B0000}"/>
    <cellStyle name="Normal 12 5 2 2 5 5" xfId="15682" xr:uid="{00000000-0005-0000-0000-0000C83B0000}"/>
    <cellStyle name="Normal 12 5 2 2 6" xfId="15683" xr:uid="{00000000-0005-0000-0000-0000C93B0000}"/>
    <cellStyle name="Normal 12 5 2 2 7" xfId="15684" xr:uid="{00000000-0005-0000-0000-0000CA3B0000}"/>
    <cellStyle name="Normal 12 5 2 2 8" xfId="15685" xr:uid="{00000000-0005-0000-0000-0000CB3B0000}"/>
    <cellStyle name="Normal 12 5 2 2 9" xfId="15686" xr:uid="{00000000-0005-0000-0000-0000CC3B0000}"/>
    <cellStyle name="Normal 12 5 2 3" xfId="15687" xr:uid="{00000000-0005-0000-0000-0000CD3B0000}"/>
    <cellStyle name="Normal 12 5 2 3 10" xfId="15688" xr:uid="{00000000-0005-0000-0000-0000CE3B0000}"/>
    <cellStyle name="Normal 12 5 2 3 11" xfId="15689" xr:uid="{00000000-0005-0000-0000-0000CF3B0000}"/>
    <cellStyle name="Normal 12 5 2 3 2" xfId="15690" xr:uid="{00000000-0005-0000-0000-0000D03B0000}"/>
    <cellStyle name="Normal 12 5 2 3 2 10" xfId="15691" xr:uid="{00000000-0005-0000-0000-0000D13B0000}"/>
    <cellStyle name="Normal 12 5 2 3 2 2" xfId="15692" xr:uid="{00000000-0005-0000-0000-0000D23B0000}"/>
    <cellStyle name="Normal 12 5 2 3 2 2 2" xfId="15693" xr:uid="{00000000-0005-0000-0000-0000D33B0000}"/>
    <cellStyle name="Normal 12 5 2 3 2 2 2 2" xfId="15694" xr:uid="{00000000-0005-0000-0000-0000D43B0000}"/>
    <cellStyle name="Normal 12 5 2 3 2 2 2 3" xfId="15695" xr:uid="{00000000-0005-0000-0000-0000D53B0000}"/>
    <cellStyle name="Normal 12 5 2 3 2 2 2 4" xfId="15696" xr:uid="{00000000-0005-0000-0000-0000D63B0000}"/>
    <cellStyle name="Normal 12 5 2 3 2 2 2 5" xfId="15697" xr:uid="{00000000-0005-0000-0000-0000D73B0000}"/>
    <cellStyle name="Normal 12 5 2 3 2 2 3" xfId="15698" xr:uid="{00000000-0005-0000-0000-0000D83B0000}"/>
    <cellStyle name="Normal 12 5 2 3 2 2 4" xfId="15699" xr:uid="{00000000-0005-0000-0000-0000D93B0000}"/>
    <cellStyle name="Normal 12 5 2 3 2 2 5" xfId="15700" xr:uid="{00000000-0005-0000-0000-0000DA3B0000}"/>
    <cellStyle name="Normal 12 5 2 3 2 2 6" xfId="15701" xr:uid="{00000000-0005-0000-0000-0000DB3B0000}"/>
    <cellStyle name="Normal 12 5 2 3 2 2 7" xfId="15702" xr:uid="{00000000-0005-0000-0000-0000DC3B0000}"/>
    <cellStyle name="Normal 12 5 2 3 2 2 8" xfId="15703" xr:uid="{00000000-0005-0000-0000-0000DD3B0000}"/>
    <cellStyle name="Normal 12 5 2 3 2 3" xfId="15704" xr:uid="{00000000-0005-0000-0000-0000DE3B0000}"/>
    <cellStyle name="Normal 12 5 2 3 2 3 2" xfId="15705" xr:uid="{00000000-0005-0000-0000-0000DF3B0000}"/>
    <cellStyle name="Normal 12 5 2 3 2 3 2 2" xfId="15706" xr:uid="{00000000-0005-0000-0000-0000E03B0000}"/>
    <cellStyle name="Normal 12 5 2 3 2 3 2 3" xfId="15707" xr:uid="{00000000-0005-0000-0000-0000E13B0000}"/>
    <cellStyle name="Normal 12 5 2 3 2 3 2 4" xfId="15708" xr:uid="{00000000-0005-0000-0000-0000E23B0000}"/>
    <cellStyle name="Normal 12 5 2 3 2 3 2 5" xfId="15709" xr:uid="{00000000-0005-0000-0000-0000E33B0000}"/>
    <cellStyle name="Normal 12 5 2 3 2 3 3" xfId="15710" xr:uid="{00000000-0005-0000-0000-0000E43B0000}"/>
    <cellStyle name="Normal 12 5 2 3 2 3 4" xfId="15711" xr:uid="{00000000-0005-0000-0000-0000E53B0000}"/>
    <cellStyle name="Normal 12 5 2 3 2 3 5" xfId="15712" xr:uid="{00000000-0005-0000-0000-0000E63B0000}"/>
    <cellStyle name="Normal 12 5 2 3 2 3 6" xfId="15713" xr:uid="{00000000-0005-0000-0000-0000E73B0000}"/>
    <cellStyle name="Normal 12 5 2 3 2 3 7" xfId="15714" xr:uid="{00000000-0005-0000-0000-0000E83B0000}"/>
    <cellStyle name="Normal 12 5 2 3 2 3 8" xfId="15715" xr:uid="{00000000-0005-0000-0000-0000E93B0000}"/>
    <cellStyle name="Normal 12 5 2 3 2 4" xfId="15716" xr:uid="{00000000-0005-0000-0000-0000EA3B0000}"/>
    <cellStyle name="Normal 12 5 2 3 2 4 2" xfId="15717" xr:uid="{00000000-0005-0000-0000-0000EB3B0000}"/>
    <cellStyle name="Normal 12 5 2 3 2 4 3" xfId="15718" xr:uid="{00000000-0005-0000-0000-0000EC3B0000}"/>
    <cellStyle name="Normal 12 5 2 3 2 4 4" xfId="15719" xr:uid="{00000000-0005-0000-0000-0000ED3B0000}"/>
    <cellStyle name="Normal 12 5 2 3 2 4 5" xfId="15720" xr:uid="{00000000-0005-0000-0000-0000EE3B0000}"/>
    <cellStyle name="Normal 12 5 2 3 2 5" xfId="15721" xr:uid="{00000000-0005-0000-0000-0000EF3B0000}"/>
    <cellStyle name="Normal 12 5 2 3 2 6" xfId="15722" xr:uid="{00000000-0005-0000-0000-0000F03B0000}"/>
    <cellStyle name="Normal 12 5 2 3 2 7" xfId="15723" xr:uid="{00000000-0005-0000-0000-0000F13B0000}"/>
    <cellStyle name="Normal 12 5 2 3 2 8" xfId="15724" xr:uid="{00000000-0005-0000-0000-0000F23B0000}"/>
    <cellStyle name="Normal 12 5 2 3 2 9" xfId="15725" xr:uid="{00000000-0005-0000-0000-0000F33B0000}"/>
    <cellStyle name="Normal 12 5 2 3 3" xfId="15726" xr:uid="{00000000-0005-0000-0000-0000F43B0000}"/>
    <cellStyle name="Normal 12 5 2 3 3 2" xfId="15727" xr:uid="{00000000-0005-0000-0000-0000F53B0000}"/>
    <cellStyle name="Normal 12 5 2 3 3 2 2" xfId="15728" xr:uid="{00000000-0005-0000-0000-0000F63B0000}"/>
    <cellStyle name="Normal 12 5 2 3 3 2 3" xfId="15729" xr:uid="{00000000-0005-0000-0000-0000F73B0000}"/>
    <cellStyle name="Normal 12 5 2 3 3 2 4" xfId="15730" xr:uid="{00000000-0005-0000-0000-0000F83B0000}"/>
    <cellStyle name="Normal 12 5 2 3 3 2 5" xfId="15731" xr:uid="{00000000-0005-0000-0000-0000F93B0000}"/>
    <cellStyle name="Normal 12 5 2 3 3 3" xfId="15732" xr:uid="{00000000-0005-0000-0000-0000FA3B0000}"/>
    <cellStyle name="Normal 12 5 2 3 3 4" xfId="15733" xr:uid="{00000000-0005-0000-0000-0000FB3B0000}"/>
    <cellStyle name="Normal 12 5 2 3 3 5" xfId="15734" xr:uid="{00000000-0005-0000-0000-0000FC3B0000}"/>
    <cellStyle name="Normal 12 5 2 3 3 6" xfId="15735" xr:uid="{00000000-0005-0000-0000-0000FD3B0000}"/>
    <cellStyle name="Normal 12 5 2 3 3 7" xfId="15736" xr:uid="{00000000-0005-0000-0000-0000FE3B0000}"/>
    <cellStyle name="Normal 12 5 2 3 3 8" xfId="15737" xr:uid="{00000000-0005-0000-0000-0000FF3B0000}"/>
    <cellStyle name="Normal 12 5 2 3 4" xfId="15738" xr:uid="{00000000-0005-0000-0000-0000003C0000}"/>
    <cellStyle name="Normal 12 5 2 3 4 2" xfId="15739" xr:uid="{00000000-0005-0000-0000-0000013C0000}"/>
    <cellStyle name="Normal 12 5 2 3 4 2 2" xfId="15740" xr:uid="{00000000-0005-0000-0000-0000023C0000}"/>
    <cellStyle name="Normal 12 5 2 3 4 2 3" xfId="15741" xr:uid="{00000000-0005-0000-0000-0000033C0000}"/>
    <cellStyle name="Normal 12 5 2 3 4 2 4" xfId="15742" xr:uid="{00000000-0005-0000-0000-0000043C0000}"/>
    <cellStyle name="Normal 12 5 2 3 4 2 5" xfId="15743" xr:uid="{00000000-0005-0000-0000-0000053C0000}"/>
    <cellStyle name="Normal 12 5 2 3 4 3" xfId="15744" xr:uid="{00000000-0005-0000-0000-0000063C0000}"/>
    <cellStyle name="Normal 12 5 2 3 4 4" xfId="15745" xr:uid="{00000000-0005-0000-0000-0000073C0000}"/>
    <cellStyle name="Normal 12 5 2 3 4 5" xfId="15746" xr:uid="{00000000-0005-0000-0000-0000083C0000}"/>
    <cellStyle name="Normal 12 5 2 3 4 6" xfId="15747" xr:uid="{00000000-0005-0000-0000-0000093C0000}"/>
    <cellStyle name="Normal 12 5 2 3 4 7" xfId="15748" xr:uid="{00000000-0005-0000-0000-00000A3C0000}"/>
    <cellStyle name="Normal 12 5 2 3 4 8" xfId="15749" xr:uid="{00000000-0005-0000-0000-00000B3C0000}"/>
    <cellStyle name="Normal 12 5 2 3 5" xfId="15750" xr:uid="{00000000-0005-0000-0000-00000C3C0000}"/>
    <cellStyle name="Normal 12 5 2 3 5 2" xfId="15751" xr:uid="{00000000-0005-0000-0000-00000D3C0000}"/>
    <cellStyle name="Normal 12 5 2 3 5 3" xfId="15752" xr:uid="{00000000-0005-0000-0000-00000E3C0000}"/>
    <cellStyle name="Normal 12 5 2 3 5 4" xfId="15753" xr:uid="{00000000-0005-0000-0000-00000F3C0000}"/>
    <cellStyle name="Normal 12 5 2 3 5 5" xfId="15754" xr:uid="{00000000-0005-0000-0000-0000103C0000}"/>
    <cellStyle name="Normal 12 5 2 3 6" xfId="15755" xr:uid="{00000000-0005-0000-0000-0000113C0000}"/>
    <cellStyle name="Normal 12 5 2 3 7" xfId="15756" xr:uid="{00000000-0005-0000-0000-0000123C0000}"/>
    <cellStyle name="Normal 12 5 2 3 8" xfId="15757" xr:uid="{00000000-0005-0000-0000-0000133C0000}"/>
    <cellStyle name="Normal 12 5 2 3 9" xfId="15758" xr:uid="{00000000-0005-0000-0000-0000143C0000}"/>
    <cellStyle name="Normal 12 5 2 4" xfId="15759" xr:uid="{00000000-0005-0000-0000-0000153C0000}"/>
    <cellStyle name="Normal 12 5 2 4 10" xfId="15760" xr:uid="{00000000-0005-0000-0000-0000163C0000}"/>
    <cellStyle name="Normal 12 5 2 4 2" xfId="15761" xr:uid="{00000000-0005-0000-0000-0000173C0000}"/>
    <cellStyle name="Normal 12 5 2 4 2 2" xfId="15762" xr:uid="{00000000-0005-0000-0000-0000183C0000}"/>
    <cellStyle name="Normal 12 5 2 4 2 2 2" xfId="15763" xr:uid="{00000000-0005-0000-0000-0000193C0000}"/>
    <cellStyle name="Normal 12 5 2 4 2 2 3" xfId="15764" xr:uid="{00000000-0005-0000-0000-00001A3C0000}"/>
    <cellStyle name="Normal 12 5 2 4 2 2 4" xfId="15765" xr:uid="{00000000-0005-0000-0000-00001B3C0000}"/>
    <cellStyle name="Normal 12 5 2 4 2 2 5" xfId="15766" xr:uid="{00000000-0005-0000-0000-00001C3C0000}"/>
    <cellStyle name="Normal 12 5 2 4 2 3" xfId="15767" xr:uid="{00000000-0005-0000-0000-00001D3C0000}"/>
    <cellStyle name="Normal 12 5 2 4 2 4" xfId="15768" xr:uid="{00000000-0005-0000-0000-00001E3C0000}"/>
    <cellStyle name="Normal 12 5 2 4 2 5" xfId="15769" xr:uid="{00000000-0005-0000-0000-00001F3C0000}"/>
    <cellStyle name="Normal 12 5 2 4 2 6" xfId="15770" xr:uid="{00000000-0005-0000-0000-0000203C0000}"/>
    <cellStyle name="Normal 12 5 2 4 2 7" xfId="15771" xr:uid="{00000000-0005-0000-0000-0000213C0000}"/>
    <cellStyle name="Normal 12 5 2 4 2 8" xfId="15772" xr:uid="{00000000-0005-0000-0000-0000223C0000}"/>
    <cellStyle name="Normal 12 5 2 4 3" xfId="15773" xr:uid="{00000000-0005-0000-0000-0000233C0000}"/>
    <cellStyle name="Normal 12 5 2 4 3 2" xfId="15774" xr:uid="{00000000-0005-0000-0000-0000243C0000}"/>
    <cellStyle name="Normal 12 5 2 4 3 2 2" xfId="15775" xr:uid="{00000000-0005-0000-0000-0000253C0000}"/>
    <cellStyle name="Normal 12 5 2 4 3 2 3" xfId="15776" xr:uid="{00000000-0005-0000-0000-0000263C0000}"/>
    <cellStyle name="Normal 12 5 2 4 3 2 4" xfId="15777" xr:uid="{00000000-0005-0000-0000-0000273C0000}"/>
    <cellStyle name="Normal 12 5 2 4 3 2 5" xfId="15778" xr:uid="{00000000-0005-0000-0000-0000283C0000}"/>
    <cellStyle name="Normal 12 5 2 4 3 3" xfId="15779" xr:uid="{00000000-0005-0000-0000-0000293C0000}"/>
    <cellStyle name="Normal 12 5 2 4 3 4" xfId="15780" xr:uid="{00000000-0005-0000-0000-00002A3C0000}"/>
    <cellStyle name="Normal 12 5 2 4 3 5" xfId="15781" xr:uid="{00000000-0005-0000-0000-00002B3C0000}"/>
    <cellStyle name="Normal 12 5 2 4 3 6" xfId="15782" xr:uid="{00000000-0005-0000-0000-00002C3C0000}"/>
    <cellStyle name="Normal 12 5 2 4 3 7" xfId="15783" xr:uid="{00000000-0005-0000-0000-00002D3C0000}"/>
    <cellStyle name="Normal 12 5 2 4 3 8" xfId="15784" xr:uid="{00000000-0005-0000-0000-00002E3C0000}"/>
    <cellStyle name="Normal 12 5 2 4 4" xfId="15785" xr:uid="{00000000-0005-0000-0000-00002F3C0000}"/>
    <cellStyle name="Normal 12 5 2 4 4 2" xfId="15786" xr:uid="{00000000-0005-0000-0000-0000303C0000}"/>
    <cellStyle name="Normal 12 5 2 4 4 3" xfId="15787" xr:uid="{00000000-0005-0000-0000-0000313C0000}"/>
    <cellStyle name="Normal 12 5 2 4 4 4" xfId="15788" xr:uid="{00000000-0005-0000-0000-0000323C0000}"/>
    <cellStyle name="Normal 12 5 2 4 4 5" xfId="15789" xr:uid="{00000000-0005-0000-0000-0000333C0000}"/>
    <cellStyle name="Normal 12 5 2 4 5" xfId="15790" xr:uid="{00000000-0005-0000-0000-0000343C0000}"/>
    <cellStyle name="Normal 12 5 2 4 6" xfId="15791" xr:uid="{00000000-0005-0000-0000-0000353C0000}"/>
    <cellStyle name="Normal 12 5 2 4 7" xfId="15792" xr:uid="{00000000-0005-0000-0000-0000363C0000}"/>
    <cellStyle name="Normal 12 5 2 4 8" xfId="15793" xr:uid="{00000000-0005-0000-0000-0000373C0000}"/>
    <cellStyle name="Normal 12 5 2 4 9" xfId="15794" xr:uid="{00000000-0005-0000-0000-0000383C0000}"/>
    <cellStyle name="Normal 12 5 2 5" xfId="15795" xr:uid="{00000000-0005-0000-0000-0000393C0000}"/>
    <cellStyle name="Normal 12 5 2 5 2" xfId="15796" xr:uid="{00000000-0005-0000-0000-00003A3C0000}"/>
    <cellStyle name="Normal 12 5 2 5 2 2" xfId="15797" xr:uid="{00000000-0005-0000-0000-00003B3C0000}"/>
    <cellStyle name="Normal 12 5 2 5 2 3" xfId="15798" xr:uid="{00000000-0005-0000-0000-00003C3C0000}"/>
    <cellStyle name="Normal 12 5 2 5 2 4" xfId="15799" xr:uid="{00000000-0005-0000-0000-00003D3C0000}"/>
    <cellStyle name="Normal 12 5 2 5 2 5" xfId="15800" xr:uid="{00000000-0005-0000-0000-00003E3C0000}"/>
    <cellStyle name="Normal 12 5 2 5 3" xfId="15801" xr:uid="{00000000-0005-0000-0000-00003F3C0000}"/>
    <cellStyle name="Normal 12 5 2 5 4" xfId="15802" xr:uid="{00000000-0005-0000-0000-0000403C0000}"/>
    <cellStyle name="Normal 12 5 2 5 5" xfId="15803" xr:uid="{00000000-0005-0000-0000-0000413C0000}"/>
    <cellStyle name="Normal 12 5 2 5 6" xfId="15804" xr:uid="{00000000-0005-0000-0000-0000423C0000}"/>
    <cellStyle name="Normal 12 5 2 5 7" xfId="15805" xr:uid="{00000000-0005-0000-0000-0000433C0000}"/>
    <cellStyle name="Normal 12 5 2 5 8" xfId="15806" xr:uid="{00000000-0005-0000-0000-0000443C0000}"/>
    <cellStyle name="Normal 12 5 2 6" xfId="15807" xr:uid="{00000000-0005-0000-0000-0000453C0000}"/>
    <cellStyle name="Normal 12 5 2 6 2" xfId="15808" xr:uid="{00000000-0005-0000-0000-0000463C0000}"/>
    <cellStyle name="Normal 12 5 2 6 2 2" xfId="15809" xr:uid="{00000000-0005-0000-0000-0000473C0000}"/>
    <cellStyle name="Normal 12 5 2 6 2 3" xfId="15810" xr:uid="{00000000-0005-0000-0000-0000483C0000}"/>
    <cellStyle name="Normal 12 5 2 6 2 4" xfId="15811" xr:uid="{00000000-0005-0000-0000-0000493C0000}"/>
    <cellStyle name="Normal 12 5 2 6 2 5" xfId="15812" xr:uid="{00000000-0005-0000-0000-00004A3C0000}"/>
    <cellStyle name="Normal 12 5 2 6 3" xfId="15813" xr:uid="{00000000-0005-0000-0000-00004B3C0000}"/>
    <cellStyle name="Normal 12 5 2 6 4" xfId="15814" xr:uid="{00000000-0005-0000-0000-00004C3C0000}"/>
    <cellStyle name="Normal 12 5 2 6 5" xfId="15815" xr:uid="{00000000-0005-0000-0000-00004D3C0000}"/>
    <cellStyle name="Normal 12 5 2 6 6" xfId="15816" xr:uid="{00000000-0005-0000-0000-00004E3C0000}"/>
    <cellStyle name="Normal 12 5 2 6 7" xfId="15817" xr:uid="{00000000-0005-0000-0000-00004F3C0000}"/>
    <cellStyle name="Normal 12 5 2 6 8" xfId="15818" xr:uid="{00000000-0005-0000-0000-0000503C0000}"/>
    <cellStyle name="Normal 12 5 2 7" xfId="15819" xr:uid="{00000000-0005-0000-0000-0000513C0000}"/>
    <cellStyle name="Normal 12 5 2 7 2" xfId="15820" xr:uid="{00000000-0005-0000-0000-0000523C0000}"/>
    <cellStyle name="Normal 12 5 2 7 3" xfId="15821" xr:uid="{00000000-0005-0000-0000-0000533C0000}"/>
    <cellStyle name="Normal 12 5 2 7 4" xfId="15822" xr:uid="{00000000-0005-0000-0000-0000543C0000}"/>
    <cellStyle name="Normal 12 5 2 7 5" xfId="15823" xr:uid="{00000000-0005-0000-0000-0000553C0000}"/>
    <cellStyle name="Normal 12 5 2 8" xfId="15824" xr:uid="{00000000-0005-0000-0000-0000563C0000}"/>
    <cellStyle name="Normal 12 5 2 9" xfId="15825" xr:uid="{00000000-0005-0000-0000-0000573C0000}"/>
    <cellStyle name="Normal 12 5 20" xfId="15826" xr:uid="{00000000-0005-0000-0000-0000583C0000}"/>
    <cellStyle name="Normal 12 5 3" xfId="15827" xr:uid="{00000000-0005-0000-0000-0000593C0000}"/>
    <cellStyle name="Normal 12 5 3 10" xfId="15828" xr:uid="{00000000-0005-0000-0000-00005A3C0000}"/>
    <cellStyle name="Normal 12 5 3 11" xfId="15829" xr:uid="{00000000-0005-0000-0000-00005B3C0000}"/>
    <cellStyle name="Normal 12 5 3 12" xfId="15830" xr:uid="{00000000-0005-0000-0000-00005C3C0000}"/>
    <cellStyle name="Normal 12 5 3 13" xfId="15831" xr:uid="{00000000-0005-0000-0000-00005D3C0000}"/>
    <cellStyle name="Normal 12 5 3 2" xfId="15832" xr:uid="{00000000-0005-0000-0000-00005E3C0000}"/>
    <cellStyle name="Normal 12 5 3 2 10" xfId="15833" xr:uid="{00000000-0005-0000-0000-00005F3C0000}"/>
    <cellStyle name="Normal 12 5 3 2 11" xfId="15834" xr:uid="{00000000-0005-0000-0000-0000603C0000}"/>
    <cellStyle name="Normal 12 5 3 2 2" xfId="15835" xr:uid="{00000000-0005-0000-0000-0000613C0000}"/>
    <cellStyle name="Normal 12 5 3 2 2 10" xfId="15836" xr:uid="{00000000-0005-0000-0000-0000623C0000}"/>
    <cellStyle name="Normal 12 5 3 2 2 2" xfId="15837" xr:uid="{00000000-0005-0000-0000-0000633C0000}"/>
    <cellStyle name="Normal 12 5 3 2 2 2 2" xfId="15838" xr:uid="{00000000-0005-0000-0000-0000643C0000}"/>
    <cellStyle name="Normal 12 5 3 2 2 2 2 2" xfId="15839" xr:uid="{00000000-0005-0000-0000-0000653C0000}"/>
    <cellStyle name="Normal 12 5 3 2 2 2 2 3" xfId="15840" xr:uid="{00000000-0005-0000-0000-0000663C0000}"/>
    <cellStyle name="Normal 12 5 3 2 2 2 2 4" xfId="15841" xr:uid="{00000000-0005-0000-0000-0000673C0000}"/>
    <cellStyle name="Normal 12 5 3 2 2 2 2 5" xfId="15842" xr:uid="{00000000-0005-0000-0000-0000683C0000}"/>
    <cellStyle name="Normal 12 5 3 2 2 2 3" xfId="15843" xr:uid="{00000000-0005-0000-0000-0000693C0000}"/>
    <cellStyle name="Normal 12 5 3 2 2 2 4" xfId="15844" xr:uid="{00000000-0005-0000-0000-00006A3C0000}"/>
    <cellStyle name="Normal 12 5 3 2 2 2 5" xfId="15845" xr:uid="{00000000-0005-0000-0000-00006B3C0000}"/>
    <cellStyle name="Normal 12 5 3 2 2 2 6" xfId="15846" xr:uid="{00000000-0005-0000-0000-00006C3C0000}"/>
    <cellStyle name="Normal 12 5 3 2 2 2 7" xfId="15847" xr:uid="{00000000-0005-0000-0000-00006D3C0000}"/>
    <cellStyle name="Normal 12 5 3 2 2 2 8" xfId="15848" xr:uid="{00000000-0005-0000-0000-00006E3C0000}"/>
    <cellStyle name="Normal 12 5 3 2 2 3" xfId="15849" xr:uid="{00000000-0005-0000-0000-00006F3C0000}"/>
    <cellStyle name="Normal 12 5 3 2 2 3 2" xfId="15850" xr:uid="{00000000-0005-0000-0000-0000703C0000}"/>
    <cellStyle name="Normal 12 5 3 2 2 3 2 2" xfId="15851" xr:uid="{00000000-0005-0000-0000-0000713C0000}"/>
    <cellStyle name="Normal 12 5 3 2 2 3 2 3" xfId="15852" xr:uid="{00000000-0005-0000-0000-0000723C0000}"/>
    <cellStyle name="Normal 12 5 3 2 2 3 2 4" xfId="15853" xr:uid="{00000000-0005-0000-0000-0000733C0000}"/>
    <cellStyle name="Normal 12 5 3 2 2 3 2 5" xfId="15854" xr:uid="{00000000-0005-0000-0000-0000743C0000}"/>
    <cellStyle name="Normal 12 5 3 2 2 3 3" xfId="15855" xr:uid="{00000000-0005-0000-0000-0000753C0000}"/>
    <cellStyle name="Normal 12 5 3 2 2 3 4" xfId="15856" xr:uid="{00000000-0005-0000-0000-0000763C0000}"/>
    <cellStyle name="Normal 12 5 3 2 2 3 5" xfId="15857" xr:uid="{00000000-0005-0000-0000-0000773C0000}"/>
    <cellStyle name="Normal 12 5 3 2 2 3 6" xfId="15858" xr:uid="{00000000-0005-0000-0000-0000783C0000}"/>
    <cellStyle name="Normal 12 5 3 2 2 3 7" xfId="15859" xr:uid="{00000000-0005-0000-0000-0000793C0000}"/>
    <cellStyle name="Normal 12 5 3 2 2 3 8" xfId="15860" xr:uid="{00000000-0005-0000-0000-00007A3C0000}"/>
    <cellStyle name="Normal 12 5 3 2 2 4" xfId="15861" xr:uid="{00000000-0005-0000-0000-00007B3C0000}"/>
    <cellStyle name="Normal 12 5 3 2 2 4 2" xfId="15862" xr:uid="{00000000-0005-0000-0000-00007C3C0000}"/>
    <cellStyle name="Normal 12 5 3 2 2 4 3" xfId="15863" xr:uid="{00000000-0005-0000-0000-00007D3C0000}"/>
    <cellStyle name="Normal 12 5 3 2 2 4 4" xfId="15864" xr:uid="{00000000-0005-0000-0000-00007E3C0000}"/>
    <cellStyle name="Normal 12 5 3 2 2 4 5" xfId="15865" xr:uid="{00000000-0005-0000-0000-00007F3C0000}"/>
    <cellStyle name="Normal 12 5 3 2 2 5" xfId="15866" xr:uid="{00000000-0005-0000-0000-0000803C0000}"/>
    <cellStyle name="Normal 12 5 3 2 2 6" xfId="15867" xr:uid="{00000000-0005-0000-0000-0000813C0000}"/>
    <cellStyle name="Normal 12 5 3 2 2 7" xfId="15868" xr:uid="{00000000-0005-0000-0000-0000823C0000}"/>
    <cellStyle name="Normal 12 5 3 2 2 8" xfId="15869" xr:uid="{00000000-0005-0000-0000-0000833C0000}"/>
    <cellStyle name="Normal 12 5 3 2 2 9" xfId="15870" xr:uid="{00000000-0005-0000-0000-0000843C0000}"/>
    <cellStyle name="Normal 12 5 3 2 3" xfId="15871" xr:uid="{00000000-0005-0000-0000-0000853C0000}"/>
    <cellStyle name="Normal 12 5 3 2 3 2" xfId="15872" xr:uid="{00000000-0005-0000-0000-0000863C0000}"/>
    <cellStyle name="Normal 12 5 3 2 3 2 2" xfId="15873" xr:uid="{00000000-0005-0000-0000-0000873C0000}"/>
    <cellStyle name="Normal 12 5 3 2 3 2 3" xfId="15874" xr:uid="{00000000-0005-0000-0000-0000883C0000}"/>
    <cellStyle name="Normal 12 5 3 2 3 2 4" xfId="15875" xr:uid="{00000000-0005-0000-0000-0000893C0000}"/>
    <cellStyle name="Normal 12 5 3 2 3 2 5" xfId="15876" xr:uid="{00000000-0005-0000-0000-00008A3C0000}"/>
    <cellStyle name="Normal 12 5 3 2 3 3" xfId="15877" xr:uid="{00000000-0005-0000-0000-00008B3C0000}"/>
    <cellStyle name="Normal 12 5 3 2 3 4" xfId="15878" xr:uid="{00000000-0005-0000-0000-00008C3C0000}"/>
    <cellStyle name="Normal 12 5 3 2 3 5" xfId="15879" xr:uid="{00000000-0005-0000-0000-00008D3C0000}"/>
    <cellStyle name="Normal 12 5 3 2 3 6" xfId="15880" xr:uid="{00000000-0005-0000-0000-00008E3C0000}"/>
    <cellStyle name="Normal 12 5 3 2 3 7" xfId="15881" xr:uid="{00000000-0005-0000-0000-00008F3C0000}"/>
    <cellStyle name="Normal 12 5 3 2 3 8" xfId="15882" xr:uid="{00000000-0005-0000-0000-0000903C0000}"/>
    <cellStyle name="Normal 12 5 3 2 4" xfId="15883" xr:uid="{00000000-0005-0000-0000-0000913C0000}"/>
    <cellStyle name="Normal 12 5 3 2 4 2" xfId="15884" xr:uid="{00000000-0005-0000-0000-0000923C0000}"/>
    <cellStyle name="Normal 12 5 3 2 4 2 2" xfId="15885" xr:uid="{00000000-0005-0000-0000-0000933C0000}"/>
    <cellStyle name="Normal 12 5 3 2 4 2 3" xfId="15886" xr:uid="{00000000-0005-0000-0000-0000943C0000}"/>
    <cellStyle name="Normal 12 5 3 2 4 2 4" xfId="15887" xr:uid="{00000000-0005-0000-0000-0000953C0000}"/>
    <cellStyle name="Normal 12 5 3 2 4 2 5" xfId="15888" xr:uid="{00000000-0005-0000-0000-0000963C0000}"/>
    <cellStyle name="Normal 12 5 3 2 4 3" xfId="15889" xr:uid="{00000000-0005-0000-0000-0000973C0000}"/>
    <cellStyle name="Normal 12 5 3 2 4 4" xfId="15890" xr:uid="{00000000-0005-0000-0000-0000983C0000}"/>
    <cellStyle name="Normal 12 5 3 2 4 5" xfId="15891" xr:uid="{00000000-0005-0000-0000-0000993C0000}"/>
    <cellStyle name="Normal 12 5 3 2 4 6" xfId="15892" xr:uid="{00000000-0005-0000-0000-00009A3C0000}"/>
    <cellStyle name="Normal 12 5 3 2 4 7" xfId="15893" xr:uid="{00000000-0005-0000-0000-00009B3C0000}"/>
    <cellStyle name="Normal 12 5 3 2 4 8" xfId="15894" xr:uid="{00000000-0005-0000-0000-00009C3C0000}"/>
    <cellStyle name="Normal 12 5 3 2 5" xfId="15895" xr:uid="{00000000-0005-0000-0000-00009D3C0000}"/>
    <cellStyle name="Normal 12 5 3 2 5 2" xfId="15896" xr:uid="{00000000-0005-0000-0000-00009E3C0000}"/>
    <cellStyle name="Normal 12 5 3 2 5 3" xfId="15897" xr:uid="{00000000-0005-0000-0000-00009F3C0000}"/>
    <cellStyle name="Normal 12 5 3 2 5 4" xfId="15898" xr:uid="{00000000-0005-0000-0000-0000A03C0000}"/>
    <cellStyle name="Normal 12 5 3 2 5 5" xfId="15899" xr:uid="{00000000-0005-0000-0000-0000A13C0000}"/>
    <cellStyle name="Normal 12 5 3 2 6" xfId="15900" xr:uid="{00000000-0005-0000-0000-0000A23C0000}"/>
    <cellStyle name="Normal 12 5 3 2 7" xfId="15901" xr:uid="{00000000-0005-0000-0000-0000A33C0000}"/>
    <cellStyle name="Normal 12 5 3 2 8" xfId="15902" xr:uid="{00000000-0005-0000-0000-0000A43C0000}"/>
    <cellStyle name="Normal 12 5 3 2 9" xfId="15903" xr:uid="{00000000-0005-0000-0000-0000A53C0000}"/>
    <cellStyle name="Normal 12 5 3 3" xfId="15904" xr:uid="{00000000-0005-0000-0000-0000A63C0000}"/>
    <cellStyle name="Normal 12 5 3 3 10" xfId="15905" xr:uid="{00000000-0005-0000-0000-0000A73C0000}"/>
    <cellStyle name="Normal 12 5 3 3 11" xfId="15906" xr:uid="{00000000-0005-0000-0000-0000A83C0000}"/>
    <cellStyle name="Normal 12 5 3 3 2" xfId="15907" xr:uid="{00000000-0005-0000-0000-0000A93C0000}"/>
    <cellStyle name="Normal 12 5 3 3 2 10" xfId="15908" xr:uid="{00000000-0005-0000-0000-0000AA3C0000}"/>
    <cellStyle name="Normal 12 5 3 3 2 2" xfId="15909" xr:uid="{00000000-0005-0000-0000-0000AB3C0000}"/>
    <cellStyle name="Normal 12 5 3 3 2 2 2" xfId="15910" xr:uid="{00000000-0005-0000-0000-0000AC3C0000}"/>
    <cellStyle name="Normal 12 5 3 3 2 2 2 2" xfId="15911" xr:uid="{00000000-0005-0000-0000-0000AD3C0000}"/>
    <cellStyle name="Normal 12 5 3 3 2 2 2 3" xfId="15912" xr:uid="{00000000-0005-0000-0000-0000AE3C0000}"/>
    <cellStyle name="Normal 12 5 3 3 2 2 2 4" xfId="15913" xr:uid="{00000000-0005-0000-0000-0000AF3C0000}"/>
    <cellStyle name="Normal 12 5 3 3 2 2 2 5" xfId="15914" xr:uid="{00000000-0005-0000-0000-0000B03C0000}"/>
    <cellStyle name="Normal 12 5 3 3 2 2 3" xfId="15915" xr:uid="{00000000-0005-0000-0000-0000B13C0000}"/>
    <cellStyle name="Normal 12 5 3 3 2 2 4" xfId="15916" xr:uid="{00000000-0005-0000-0000-0000B23C0000}"/>
    <cellStyle name="Normal 12 5 3 3 2 2 5" xfId="15917" xr:uid="{00000000-0005-0000-0000-0000B33C0000}"/>
    <cellStyle name="Normal 12 5 3 3 2 2 6" xfId="15918" xr:uid="{00000000-0005-0000-0000-0000B43C0000}"/>
    <cellStyle name="Normal 12 5 3 3 2 2 7" xfId="15919" xr:uid="{00000000-0005-0000-0000-0000B53C0000}"/>
    <cellStyle name="Normal 12 5 3 3 2 2 8" xfId="15920" xr:uid="{00000000-0005-0000-0000-0000B63C0000}"/>
    <cellStyle name="Normal 12 5 3 3 2 3" xfId="15921" xr:uid="{00000000-0005-0000-0000-0000B73C0000}"/>
    <cellStyle name="Normal 12 5 3 3 2 3 2" xfId="15922" xr:uid="{00000000-0005-0000-0000-0000B83C0000}"/>
    <cellStyle name="Normal 12 5 3 3 2 3 2 2" xfId="15923" xr:uid="{00000000-0005-0000-0000-0000B93C0000}"/>
    <cellStyle name="Normal 12 5 3 3 2 3 2 3" xfId="15924" xr:uid="{00000000-0005-0000-0000-0000BA3C0000}"/>
    <cellStyle name="Normal 12 5 3 3 2 3 2 4" xfId="15925" xr:uid="{00000000-0005-0000-0000-0000BB3C0000}"/>
    <cellStyle name="Normal 12 5 3 3 2 3 2 5" xfId="15926" xr:uid="{00000000-0005-0000-0000-0000BC3C0000}"/>
    <cellStyle name="Normal 12 5 3 3 2 3 3" xfId="15927" xr:uid="{00000000-0005-0000-0000-0000BD3C0000}"/>
    <cellStyle name="Normal 12 5 3 3 2 3 4" xfId="15928" xr:uid="{00000000-0005-0000-0000-0000BE3C0000}"/>
    <cellStyle name="Normal 12 5 3 3 2 3 5" xfId="15929" xr:uid="{00000000-0005-0000-0000-0000BF3C0000}"/>
    <cellStyle name="Normal 12 5 3 3 2 3 6" xfId="15930" xr:uid="{00000000-0005-0000-0000-0000C03C0000}"/>
    <cellStyle name="Normal 12 5 3 3 2 3 7" xfId="15931" xr:uid="{00000000-0005-0000-0000-0000C13C0000}"/>
    <cellStyle name="Normal 12 5 3 3 2 3 8" xfId="15932" xr:uid="{00000000-0005-0000-0000-0000C23C0000}"/>
    <cellStyle name="Normal 12 5 3 3 2 4" xfId="15933" xr:uid="{00000000-0005-0000-0000-0000C33C0000}"/>
    <cellStyle name="Normal 12 5 3 3 2 4 2" xfId="15934" xr:uid="{00000000-0005-0000-0000-0000C43C0000}"/>
    <cellStyle name="Normal 12 5 3 3 2 4 3" xfId="15935" xr:uid="{00000000-0005-0000-0000-0000C53C0000}"/>
    <cellStyle name="Normal 12 5 3 3 2 4 4" xfId="15936" xr:uid="{00000000-0005-0000-0000-0000C63C0000}"/>
    <cellStyle name="Normal 12 5 3 3 2 4 5" xfId="15937" xr:uid="{00000000-0005-0000-0000-0000C73C0000}"/>
    <cellStyle name="Normal 12 5 3 3 2 5" xfId="15938" xr:uid="{00000000-0005-0000-0000-0000C83C0000}"/>
    <cellStyle name="Normal 12 5 3 3 2 6" xfId="15939" xr:uid="{00000000-0005-0000-0000-0000C93C0000}"/>
    <cellStyle name="Normal 12 5 3 3 2 7" xfId="15940" xr:uid="{00000000-0005-0000-0000-0000CA3C0000}"/>
    <cellStyle name="Normal 12 5 3 3 2 8" xfId="15941" xr:uid="{00000000-0005-0000-0000-0000CB3C0000}"/>
    <cellStyle name="Normal 12 5 3 3 2 9" xfId="15942" xr:uid="{00000000-0005-0000-0000-0000CC3C0000}"/>
    <cellStyle name="Normal 12 5 3 3 3" xfId="15943" xr:uid="{00000000-0005-0000-0000-0000CD3C0000}"/>
    <cellStyle name="Normal 12 5 3 3 3 2" xfId="15944" xr:uid="{00000000-0005-0000-0000-0000CE3C0000}"/>
    <cellStyle name="Normal 12 5 3 3 3 2 2" xfId="15945" xr:uid="{00000000-0005-0000-0000-0000CF3C0000}"/>
    <cellStyle name="Normal 12 5 3 3 3 2 3" xfId="15946" xr:uid="{00000000-0005-0000-0000-0000D03C0000}"/>
    <cellStyle name="Normal 12 5 3 3 3 2 4" xfId="15947" xr:uid="{00000000-0005-0000-0000-0000D13C0000}"/>
    <cellStyle name="Normal 12 5 3 3 3 2 5" xfId="15948" xr:uid="{00000000-0005-0000-0000-0000D23C0000}"/>
    <cellStyle name="Normal 12 5 3 3 3 3" xfId="15949" xr:uid="{00000000-0005-0000-0000-0000D33C0000}"/>
    <cellStyle name="Normal 12 5 3 3 3 4" xfId="15950" xr:uid="{00000000-0005-0000-0000-0000D43C0000}"/>
    <cellStyle name="Normal 12 5 3 3 3 5" xfId="15951" xr:uid="{00000000-0005-0000-0000-0000D53C0000}"/>
    <cellStyle name="Normal 12 5 3 3 3 6" xfId="15952" xr:uid="{00000000-0005-0000-0000-0000D63C0000}"/>
    <cellStyle name="Normal 12 5 3 3 3 7" xfId="15953" xr:uid="{00000000-0005-0000-0000-0000D73C0000}"/>
    <cellStyle name="Normal 12 5 3 3 3 8" xfId="15954" xr:uid="{00000000-0005-0000-0000-0000D83C0000}"/>
    <cellStyle name="Normal 12 5 3 3 4" xfId="15955" xr:uid="{00000000-0005-0000-0000-0000D93C0000}"/>
    <cellStyle name="Normal 12 5 3 3 4 2" xfId="15956" xr:uid="{00000000-0005-0000-0000-0000DA3C0000}"/>
    <cellStyle name="Normal 12 5 3 3 4 2 2" xfId="15957" xr:uid="{00000000-0005-0000-0000-0000DB3C0000}"/>
    <cellStyle name="Normal 12 5 3 3 4 2 3" xfId="15958" xr:uid="{00000000-0005-0000-0000-0000DC3C0000}"/>
    <cellStyle name="Normal 12 5 3 3 4 2 4" xfId="15959" xr:uid="{00000000-0005-0000-0000-0000DD3C0000}"/>
    <cellStyle name="Normal 12 5 3 3 4 2 5" xfId="15960" xr:uid="{00000000-0005-0000-0000-0000DE3C0000}"/>
    <cellStyle name="Normal 12 5 3 3 4 3" xfId="15961" xr:uid="{00000000-0005-0000-0000-0000DF3C0000}"/>
    <cellStyle name="Normal 12 5 3 3 4 4" xfId="15962" xr:uid="{00000000-0005-0000-0000-0000E03C0000}"/>
    <cellStyle name="Normal 12 5 3 3 4 5" xfId="15963" xr:uid="{00000000-0005-0000-0000-0000E13C0000}"/>
    <cellStyle name="Normal 12 5 3 3 4 6" xfId="15964" xr:uid="{00000000-0005-0000-0000-0000E23C0000}"/>
    <cellStyle name="Normal 12 5 3 3 4 7" xfId="15965" xr:uid="{00000000-0005-0000-0000-0000E33C0000}"/>
    <cellStyle name="Normal 12 5 3 3 4 8" xfId="15966" xr:uid="{00000000-0005-0000-0000-0000E43C0000}"/>
    <cellStyle name="Normal 12 5 3 3 5" xfId="15967" xr:uid="{00000000-0005-0000-0000-0000E53C0000}"/>
    <cellStyle name="Normal 12 5 3 3 5 2" xfId="15968" xr:uid="{00000000-0005-0000-0000-0000E63C0000}"/>
    <cellStyle name="Normal 12 5 3 3 5 3" xfId="15969" xr:uid="{00000000-0005-0000-0000-0000E73C0000}"/>
    <cellStyle name="Normal 12 5 3 3 5 4" xfId="15970" xr:uid="{00000000-0005-0000-0000-0000E83C0000}"/>
    <cellStyle name="Normal 12 5 3 3 5 5" xfId="15971" xr:uid="{00000000-0005-0000-0000-0000E93C0000}"/>
    <cellStyle name="Normal 12 5 3 3 6" xfId="15972" xr:uid="{00000000-0005-0000-0000-0000EA3C0000}"/>
    <cellStyle name="Normal 12 5 3 3 7" xfId="15973" xr:uid="{00000000-0005-0000-0000-0000EB3C0000}"/>
    <cellStyle name="Normal 12 5 3 3 8" xfId="15974" xr:uid="{00000000-0005-0000-0000-0000EC3C0000}"/>
    <cellStyle name="Normal 12 5 3 3 9" xfId="15975" xr:uid="{00000000-0005-0000-0000-0000ED3C0000}"/>
    <cellStyle name="Normal 12 5 3 4" xfId="15976" xr:uid="{00000000-0005-0000-0000-0000EE3C0000}"/>
    <cellStyle name="Normal 12 5 3 4 10" xfId="15977" xr:uid="{00000000-0005-0000-0000-0000EF3C0000}"/>
    <cellStyle name="Normal 12 5 3 4 2" xfId="15978" xr:uid="{00000000-0005-0000-0000-0000F03C0000}"/>
    <cellStyle name="Normal 12 5 3 4 2 2" xfId="15979" xr:uid="{00000000-0005-0000-0000-0000F13C0000}"/>
    <cellStyle name="Normal 12 5 3 4 2 2 2" xfId="15980" xr:uid="{00000000-0005-0000-0000-0000F23C0000}"/>
    <cellStyle name="Normal 12 5 3 4 2 2 3" xfId="15981" xr:uid="{00000000-0005-0000-0000-0000F33C0000}"/>
    <cellStyle name="Normal 12 5 3 4 2 2 4" xfId="15982" xr:uid="{00000000-0005-0000-0000-0000F43C0000}"/>
    <cellStyle name="Normal 12 5 3 4 2 2 5" xfId="15983" xr:uid="{00000000-0005-0000-0000-0000F53C0000}"/>
    <cellStyle name="Normal 12 5 3 4 2 3" xfId="15984" xr:uid="{00000000-0005-0000-0000-0000F63C0000}"/>
    <cellStyle name="Normal 12 5 3 4 2 4" xfId="15985" xr:uid="{00000000-0005-0000-0000-0000F73C0000}"/>
    <cellStyle name="Normal 12 5 3 4 2 5" xfId="15986" xr:uid="{00000000-0005-0000-0000-0000F83C0000}"/>
    <cellStyle name="Normal 12 5 3 4 2 6" xfId="15987" xr:uid="{00000000-0005-0000-0000-0000F93C0000}"/>
    <cellStyle name="Normal 12 5 3 4 2 7" xfId="15988" xr:uid="{00000000-0005-0000-0000-0000FA3C0000}"/>
    <cellStyle name="Normal 12 5 3 4 2 8" xfId="15989" xr:uid="{00000000-0005-0000-0000-0000FB3C0000}"/>
    <cellStyle name="Normal 12 5 3 4 3" xfId="15990" xr:uid="{00000000-0005-0000-0000-0000FC3C0000}"/>
    <cellStyle name="Normal 12 5 3 4 3 2" xfId="15991" xr:uid="{00000000-0005-0000-0000-0000FD3C0000}"/>
    <cellStyle name="Normal 12 5 3 4 3 2 2" xfId="15992" xr:uid="{00000000-0005-0000-0000-0000FE3C0000}"/>
    <cellStyle name="Normal 12 5 3 4 3 2 3" xfId="15993" xr:uid="{00000000-0005-0000-0000-0000FF3C0000}"/>
    <cellStyle name="Normal 12 5 3 4 3 2 4" xfId="15994" xr:uid="{00000000-0005-0000-0000-0000003D0000}"/>
    <cellStyle name="Normal 12 5 3 4 3 2 5" xfId="15995" xr:uid="{00000000-0005-0000-0000-0000013D0000}"/>
    <cellStyle name="Normal 12 5 3 4 3 3" xfId="15996" xr:uid="{00000000-0005-0000-0000-0000023D0000}"/>
    <cellStyle name="Normal 12 5 3 4 3 4" xfId="15997" xr:uid="{00000000-0005-0000-0000-0000033D0000}"/>
    <cellStyle name="Normal 12 5 3 4 3 5" xfId="15998" xr:uid="{00000000-0005-0000-0000-0000043D0000}"/>
    <cellStyle name="Normal 12 5 3 4 3 6" xfId="15999" xr:uid="{00000000-0005-0000-0000-0000053D0000}"/>
    <cellStyle name="Normal 12 5 3 4 3 7" xfId="16000" xr:uid="{00000000-0005-0000-0000-0000063D0000}"/>
    <cellStyle name="Normal 12 5 3 4 3 8" xfId="16001" xr:uid="{00000000-0005-0000-0000-0000073D0000}"/>
    <cellStyle name="Normal 12 5 3 4 4" xfId="16002" xr:uid="{00000000-0005-0000-0000-0000083D0000}"/>
    <cellStyle name="Normal 12 5 3 4 4 2" xfId="16003" xr:uid="{00000000-0005-0000-0000-0000093D0000}"/>
    <cellStyle name="Normal 12 5 3 4 4 3" xfId="16004" xr:uid="{00000000-0005-0000-0000-00000A3D0000}"/>
    <cellStyle name="Normal 12 5 3 4 4 4" xfId="16005" xr:uid="{00000000-0005-0000-0000-00000B3D0000}"/>
    <cellStyle name="Normal 12 5 3 4 4 5" xfId="16006" xr:uid="{00000000-0005-0000-0000-00000C3D0000}"/>
    <cellStyle name="Normal 12 5 3 4 5" xfId="16007" xr:uid="{00000000-0005-0000-0000-00000D3D0000}"/>
    <cellStyle name="Normal 12 5 3 4 6" xfId="16008" xr:uid="{00000000-0005-0000-0000-00000E3D0000}"/>
    <cellStyle name="Normal 12 5 3 4 7" xfId="16009" xr:uid="{00000000-0005-0000-0000-00000F3D0000}"/>
    <cellStyle name="Normal 12 5 3 4 8" xfId="16010" xr:uid="{00000000-0005-0000-0000-0000103D0000}"/>
    <cellStyle name="Normal 12 5 3 4 9" xfId="16011" xr:uid="{00000000-0005-0000-0000-0000113D0000}"/>
    <cellStyle name="Normal 12 5 3 5" xfId="16012" xr:uid="{00000000-0005-0000-0000-0000123D0000}"/>
    <cellStyle name="Normal 12 5 3 5 2" xfId="16013" xr:uid="{00000000-0005-0000-0000-0000133D0000}"/>
    <cellStyle name="Normal 12 5 3 5 2 2" xfId="16014" xr:uid="{00000000-0005-0000-0000-0000143D0000}"/>
    <cellStyle name="Normal 12 5 3 5 2 3" xfId="16015" xr:uid="{00000000-0005-0000-0000-0000153D0000}"/>
    <cellStyle name="Normal 12 5 3 5 2 4" xfId="16016" xr:uid="{00000000-0005-0000-0000-0000163D0000}"/>
    <cellStyle name="Normal 12 5 3 5 2 5" xfId="16017" xr:uid="{00000000-0005-0000-0000-0000173D0000}"/>
    <cellStyle name="Normal 12 5 3 5 3" xfId="16018" xr:uid="{00000000-0005-0000-0000-0000183D0000}"/>
    <cellStyle name="Normal 12 5 3 5 4" xfId="16019" xr:uid="{00000000-0005-0000-0000-0000193D0000}"/>
    <cellStyle name="Normal 12 5 3 5 5" xfId="16020" xr:uid="{00000000-0005-0000-0000-00001A3D0000}"/>
    <cellStyle name="Normal 12 5 3 5 6" xfId="16021" xr:uid="{00000000-0005-0000-0000-00001B3D0000}"/>
    <cellStyle name="Normal 12 5 3 5 7" xfId="16022" xr:uid="{00000000-0005-0000-0000-00001C3D0000}"/>
    <cellStyle name="Normal 12 5 3 5 8" xfId="16023" xr:uid="{00000000-0005-0000-0000-00001D3D0000}"/>
    <cellStyle name="Normal 12 5 3 6" xfId="16024" xr:uid="{00000000-0005-0000-0000-00001E3D0000}"/>
    <cellStyle name="Normal 12 5 3 6 2" xfId="16025" xr:uid="{00000000-0005-0000-0000-00001F3D0000}"/>
    <cellStyle name="Normal 12 5 3 6 2 2" xfId="16026" xr:uid="{00000000-0005-0000-0000-0000203D0000}"/>
    <cellStyle name="Normal 12 5 3 6 2 3" xfId="16027" xr:uid="{00000000-0005-0000-0000-0000213D0000}"/>
    <cellStyle name="Normal 12 5 3 6 2 4" xfId="16028" xr:uid="{00000000-0005-0000-0000-0000223D0000}"/>
    <cellStyle name="Normal 12 5 3 6 2 5" xfId="16029" xr:uid="{00000000-0005-0000-0000-0000233D0000}"/>
    <cellStyle name="Normal 12 5 3 6 3" xfId="16030" xr:uid="{00000000-0005-0000-0000-0000243D0000}"/>
    <cellStyle name="Normal 12 5 3 6 4" xfId="16031" xr:uid="{00000000-0005-0000-0000-0000253D0000}"/>
    <cellStyle name="Normal 12 5 3 6 5" xfId="16032" xr:uid="{00000000-0005-0000-0000-0000263D0000}"/>
    <cellStyle name="Normal 12 5 3 6 6" xfId="16033" xr:uid="{00000000-0005-0000-0000-0000273D0000}"/>
    <cellStyle name="Normal 12 5 3 6 7" xfId="16034" xr:uid="{00000000-0005-0000-0000-0000283D0000}"/>
    <cellStyle name="Normal 12 5 3 6 8" xfId="16035" xr:uid="{00000000-0005-0000-0000-0000293D0000}"/>
    <cellStyle name="Normal 12 5 3 7" xfId="16036" xr:uid="{00000000-0005-0000-0000-00002A3D0000}"/>
    <cellStyle name="Normal 12 5 3 7 2" xfId="16037" xr:uid="{00000000-0005-0000-0000-00002B3D0000}"/>
    <cellStyle name="Normal 12 5 3 7 3" xfId="16038" xr:uid="{00000000-0005-0000-0000-00002C3D0000}"/>
    <cellStyle name="Normal 12 5 3 7 4" xfId="16039" xr:uid="{00000000-0005-0000-0000-00002D3D0000}"/>
    <cellStyle name="Normal 12 5 3 7 5" xfId="16040" xr:uid="{00000000-0005-0000-0000-00002E3D0000}"/>
    <cellStyle name="Normal 12 5 3 8" xfId="16041" xr:uid="{00000000-0005-0000-0000-00002F3D0000}"/>
    <cellStyle name="Normal 12 5 3 9" xfId="16042" xr:uid="{00000000-0005-0000-0000-0000303D0000}"/>
    <cellStyle name="Normal 12 5 4" xfId="16043" xr:uid="{00000000-0005-0000-0000-0000313D0000}"/>
    <cellStyle name="Normal 12 5 4 10" xfId="16044" xr:uid="{00000000-0005-0000-0000-0000323D0000}"/>
    <cellStyle name="Normal 12 5 4 11" xfId="16045" xr:uid="{00000000-0005-0000-0000-0000333D0000}"/>
    <cellStyle name="Normal 12 5 4 12" xfId="16046" xr:uid="{00000000-0005-0000-0000-0000343D0000}"/>
    <cellStyle name="Normal 12 5 4 13" xfId="16047" xr:uid="{00000000-0005-0000-0000-0000353D0000}"/>
    <cellStyle name="Normal 12 5 4 2" xfId="16048" xr:uid="{00000000-0005-0000-0000-0000363D0000}"/>
    <cellStyle name="Normal 12 5 4 2 10" xfId="16049" xr:uid="{00000000-0005-0000-0000-0000373D0000}"/>
    <cellStyle name="Normal 12 5 4 2 11" xfId="16050" xr:uid="{00000000-0005-0000-0000-0000383D0000}"/>
    <cellStyle name="Normal 12 5 4 2 2" xfId="16051" xr:uid="{00000000-0005-0000-0000-0000393D0000}"/>
    <cellStyle name="Normal 12 5 4 2 2 10" xfId="16052" xr:uid="{00000000-0005-0000-0000-00003A3D0000}"/>
    <cellStyle name="Normal 12 5 4 2 2 2" xfId="16053" xr:uid="{00000000-0005-0000-0000-00003B3D0000}"/>
    <cellStyle name="Normal 12 5 4 2 2 2 2" xfId="16054" xr:uid="{00000000-0005-0000-0000-00003C3D0000}"/>
    <cellStyle name="Normal 12 5 4 2 2 2 2 2" xfId="16055" xr:uid="{00000000-0005-0000-0000-00003D3D0000}"/>
    <cellStyle name="Normal 12 5 4 2 2 2 2 3" xfId="16056" xr:uid="{00000000-0005-0000-0000-00003E3D0000}"/>
    <cellStyle name="Normal 12 5 4 2 2 2 2 4" xfId="16057" xr:uid="{00000000-0005-0000-0000-00003F3D0000}"/>
    <cellStyle name="Normal 12 5 4 2 2 2 2 5" xfId="16058" xr:uid="{00000000-0005-0000-0000-0000403D0000}"/>
    <cellStyle name="Normal 12 5 4 2 2 2 3" xfId="16059" xr:uid="{00000000-0005-0000-0000-0000413D0000}"/>
    <cellStyle name="Normal 12 5 4 2 2 2 4" xfId="16060" xr:uid="{00000000-0005-0000-0000-0000423D0000}"/>
    <cellStyle name="Normal 12 5 4 2 2 2 5" xfId="16061" xr:uid="{00000000-0005-0000-0000-0000433D0000}"/>
    <cellStyle name="Normal 12 5 4 2 2 2 6" xfId="16062" xr:uid="{00000000-0005-0000-0000-0000443D0000}"/>
    <cellStyle name="Normal 12 5 4 2 2 2 7" xfId="16063" xr:uid="{00000000-0005-0000-0000-0000453D0000}"/>
    <cellStyle name="Normal 12 5 4 2 2 2 8" xfId="16064" xr:uid="{00000000-0005-0000-0000-0000463D0000}"/>
    <cellStyle name="Normal 12 5 4 2 2 3" xfId="16065" xr:uid="{00000000-0005-0000-0000-0000473D0000}"/>
    <cellStyle name="Normal 12 5 4 2 2 3 2" xfId="16066" xr:uid="{00000000-0005-0000-0000-0000483D0000}"/>
    <cellStyle name="Normal 12 5 4 2 2 3 2 2" xfId="16067" xr:uid="{00000000-0005-0000-0000-0000493D0000}"/>
    <cellStyle name="Normal 12 5 4 2 2 3 2 3" xfId="16068" xr:uid="{00000000-0005-0000-0000-00004A3D0000}"/>
    <cellStyle name="Normal 12 5 4 2 2 3 2 4" xfId="16069" xr:uid="{00000000-0005-0000-0000-00004B3D0000}"/>
    <cellStyle name="Normal 12 5 4 2 2 3 2 5" xfId="16070" xr:uid="{00000000-0005-0000-0000-00004C3D0000}"/>
    <cellStyle name="Normal 12 5 4 2 2 3 3" xfId="16071" xr:uid="{00000000-0005-0000-0000-00004D3D0000}"/>
    <cellStyle name="Normal 12 5 4 2 2 3 4" xfId="16072" xr:uid="{00000000-0005-0000-0000-00004E3D0000}"/>
    <cellStyle name="Normal 12 5 4 2 2 3 5" xfId="16073" xr:uid="{00000000-0005-0000-0000-00004F3D0000}"/>
    <cellStyle name="Normal 12 5 4 2 2 3 6" xfId="16074" xr:uid="{00000000-0005-0000-0000-0000503D0000}"/>
    <cellStyle name="Normal 12 5 4 2 2 3 7" xfId="16075" xr:uid="{00000000-0005-0000-0000-0000513D0000}"/>
    <cellStyle name="Normal 12 5 4 2 2 3 8" xfId="16076" xr:uid="{00000000-0005-0000-0000-0000523D0000}"/>
    <cellStyle name="Normal 12 5 4 2 2 4" xfId="16077" xr:uid="{00000000-0005-0000-0000-0000533D0000}"/>
    <cellStyle name="Normal 12 5 4 2 2 4 2" xfId="16078" xr:uid="{00000000-0005-0000-0000-0000543D0000}"/>
    <cellStyle name="Normal 12 5 4 2 2 4 3" xfId="16079" xr:uid="{00000000-0005-0000-0000-0000553D0000}"/>
    <cellStyle name="Normal 12 5 4 2 2 4 4" xfId="16080" xr:uid="{00000000-0005-0000-0000-0000563D0000}"/>
    <cellStyle name="Normal 12 5 4 2 2 4 5" xfId="16081" xr:uid="{00000000-0005-0000-0000-0000573D0000}"/>
    <cellStyle name="Normal 12 5 4 2 2 5" xfId="16082" xr:uid="{00000000-0005-0000-0000-0000583D0000}"/>
    <cellStyle name="Normal 12 5 4 2 2 6" xfId="16083" xr:uid="{00000000-0005-0000-0000-0000593D0000}"/>
    <cellStyle name="Normal 12 5 4 2 2 7" xfId="16084" xr:uid="{00000000-0005-0000-0000-00005A3D0000}"/>
    <cellStyle name="Normal 12 5 4 2 2 8" xfId="16085" xr:uid="{00000000-0005-0000-0000-00005B3D0000}"/>
    <cellStyle name="Normal 12 5 4 2 2 9" xfId="16086" xr:uid="{00000000-0005-0000-0000-00005C3D0000}"/>
    <cellStyle name="Normal 12 5 4 2 3" xfId="16087" xr:uid="{00000000-0005-0000-0000-00005D3D0000}"/>
    <cellStyle name="Normal 12 5 4 2 3 2" xfId="16088" xr:uid="{00000000-0005-0000-0000-00005E3D0000}"/>
    <cellStyle name="Normal 12 5 4 2 3 2 2" xfId="16089" xr:uid="{00000000-0005-0000-0000-00005F3D0000}"/>
    <cellStyle name="Normal 12 5 4 2 3 2 3" xfId="16090" xr:uid="{00000000-0005-0000-0000-0000603D0000}"/>
    <cellStyle name="Normal 12 5 4 2 3 2 4" xfId="16091" xr:uid="{00000000-0005-0000-0000-0000613D0000}"/>
    <cellStyle name="Normal 12 5 4 2 3 2 5" xfId="16092" xr:uid="{00000000-0005-0000-0000-0000623D0000}"/>
    <cellStyle name="Normal 12 5 4 2 3 3" xfId="16093" xr:uid="{00000000-0005-0000-0000-0000633D0000}"/>
    <cellStyle name="Normal 12 5 4 2 3 4" xfId="16094" xr:uid="{00000000-0005-0000-0000-0000643D0000}"/>
    <cellStyle name="Normal 12 5 4 2 3 5" xfId="16095" xr:uid="{00000000-0005-0000-0000-0000653D0000}"/>
    <cellStyle name="Normal 12 5 4 2 3 6" xfId="16096" xr:uid="{00000000-0005-0000-0000-0000663D0000}"/>
    <cellStyle name="Normal 12 5 4 2 3 7" xfId="16097" xr:uid="{00000000-0005-0000-0000-0000673D0000}"/>
    <cellStyle name="Normal 12 5 4 2 3 8" xfId="16098" xr:uid="{00000000-0005-0000-0000-0000683D0000}"/>
    <cellStyle name="Normal 12 5 4 2 4" xfId="16099" xr:uid="{00000000-0005-0000-0000-0000693D0000}"/>
    <cellStyle name="Normal 12 5 4 2 4 2" xfId="16100" xr:uid="{00000000-0005-0000-0000-00006A3D0000}"/>
    <cellStyle name="Normal 12 5 4 2 4 2 2" xfId="16101" xr:uid="{00000000-0005-0000-0000-00006B3D0000}"/>
    <cellStyle name="Normal 12 5 4 2 4 2 3" xfId="16102" xr:uid="{00000000-0005-0000-0000-00006C3D0000}"/>
    <cellStyle name="Normal 12 5 4 2 4 2 4" xfId="16103" xr:uid="{00000000-0005-0000-0000-00006D3D0000}"/>
    <cellStyle name="Normal 12 5 4 2 4 2 5" xfId="16104" xr:uid="{00000000-0005-0000-0000-00006E3D0000}"/>
    <cellStyle name="Normal 12 5 4 2 4 3" xfId="16105" xr:uid="{00000000-0005-0000-0000-00006F3D0000}"/>
    <cellStyle name="Normal 12 5 4 2 4 4" xfId="16106" xr:uid="{00000000-0005-0000-0000-0000703D0000}"/>
    <cellStyle name="Normal 12 5 4 2 4 5" xfId="16107" xr:uid="{00000000-0005-0000-0000-0000713D0000}"/>
    <cellStyle name="Normal 12 5 4 2 4 6" xfId="16108" xr:uid="{00000000-0005-0000-0000-0000723D0000}"/>
    <cellStyle name="Normal 12 5 4 2 4 7" xfId="16109" xr:uid="{00000000-0005-0000-0000-0000733D0000}"/>
    <cellStyle name="Normal 12 5 4 2 4 8" xfId="16110" xr:uid="{00000000-0005-0000-0000-0000743D0000}"/>
    <cellStyle name="Normal 12 5 4 2 5" xfId="16111" xr:uid="{00000000-0005-0000-0000-0000753D0000}"/>
    <cellStyle name="Normal 12 5 4 2 5 2" xfId="16112" xr:uid="{00000000-0005-0000-0000-0000763D0000}"/>
    <cellStyle name="Normal 12 5 4 2 5 3" xfId="16113" xr:uid="{00000000-0005-0000-0000-0000773D0000}"/>
    <cellStyle name="Normal 12 5 4 2 5 4" xfId="16114" xr:uid="{00000000-0005-0000-0000-0000783D0000}"/>
    <cellStyle name="Normal 12 5 4 2 5 5" xfId="16115" xr:uid="{00000000-0005-0000-0000-0000793D0000}"/>
    <cellStyle name="Normal 12 5 4 2 6" xfId="16116" xr:uid="{00000000-0005-0000-0000-00007A3D0000}"/>
    <cellStyle name="Normal 12 5 4 2 7" xfId="16117" xr:uid="{00000000-0005-0000-0000-00007B3D0000}"/>
    <cellStyle name="Normal 12 5 4 2 8" xfId="16118" xr:uid="{00000000-0005-0000-0000-00007C3D0000}"/>
    <cellStyle name="Normal 12 5 4 2 9" xfId="16119" xr:uid="{00000000-0005-0000-0000-00007D3D0000}"/>
    <cellStyle name="Normal 12 5 4 3" xfId="16120" xr:uid="{00000000-0005-0000-0000-00007E3D0000}"/>
    <cellStyle name="Normal 12 5 4 3 10" xfId="16121" xr:uid="{00000000-0005-0000-0000-00007F3D0000}"/>
    <cellStyle name="Normal 12 5 4 3 11" xfId="16122" xr:uid="{00000000-0005-0000-0000-0000803D0000}"/>
    <cellStyle name="Normal 12 5 4 3 2" xfId="16123" xr:uid="{00000000-0005-0000-0000-0000813D0000}"/>
    <cellStyle name="Normal 12 5 4 3 2 10" xfId="16124" xr:uid="{00000000-0005-0000-0000-0000823D0000}"/>
    <cellStyle name="Normal 12 5 4 3 2 2" xfId="16125" xr:uid="{00000000-0005-0000-0000-0000833D0000}"/>
    <cellStyle name="Normal 12 5 4 3 2 2 2" xfId="16126" xr:uid="{00000000-0005-0000-0000-0000843D0000}"/>
    <cellStyle name="Normal 12 5 4 3 2 2 2 2" xfId="16127" xr:uid="{00000000-0005-0000-0000-0000853D0000}"/>
    <cellStyle name="Normal 12 5 4 3 2 2 2 3" xfId="16128" xr:uid="{00000000-0005-0000-0000-0000863D0000}"/>
    <cellStyle name="Normal 12 5 4 3 2 2 2 4" xfId="16129" xr:uid="{00000000-0005-0000-0000-0000873D0000}"/>
    <cellStyle name="Normal 12 5 4 3 2 2 2 5" xfId="16130" xr:uid="{00000000-0005-0000-0000-0000883D0000}"/>
    <cellStyle name="Normal 12 5 4 3 2 2 3" xfId="16131" xr:uid="{00000000-0005-0000-0000-0000893D0000}"/>
    <cellStyle name="Normal 12 5 4 3 2 2 4" xfId="16132" xr:uid="{00000000-0005-0000-0000-00008A3D0000}"/>
    <cellStyle name="Normal 12 5 4 3 2 2 5" xfId="16133" xr:uid="{00000000-0005-0000-0000-00008B3D0000}"/>
    <cellStyle name="Normal 12 5 4 3 2 2 6" xfId="16134" xr:uid="{00000000-0005-0000-0000-00008C3D0000}"/>
    <cellStyle name="Normal 12 5 4 3 2 2 7" xfId="16135" xr:uid="{00000000-0005-0000-0000-00008D3D0000}"/>
    <cellStyle name="Normal 12 5 4 3 2 2 8" xfId="16136" xr:uid="{00000000-0005-0000-0000-00008E3D0000}"/>
    <cellStyle name="Normal 12 5 4 3 2 3" xfId="16137" xr:uid="{00000000-0005-0000-0000-00008F3D0000}"/>
    <cellStyle name="Normal 12 5 4 3 2 3 2" xfId="16138" xr:uid="{00000000-0005-0000-0000-0000903D0000}"/>
    <cellStyle name="Normal 12 5 4 3 2 3 2 2" xfId="16139" xr:uid="{00000000-0005-0000-0000-0000913D0000}"/>
    <cellStyle name="Normal 12 5 4 3 2 3 2 3" xfId="16140" xr:uid="{00000000-0005-0000-0000-0000923D0000}"/>
    <cellStyle name="Normal 12 5 4 3 2 3 2 4" xfId="16141" xr:uid="{00000000-0005-0000-0000-0000933D0000}"/>
    <cellStyle name="Normal 12 5 4 3 2 3 2 5" xfId="16142" xr:uid="{00000000-0005-0000-0000-0000943D0000}"/>
    <cellStyle name="Normal 12 5 4 3 2 3 3" xfId="16143" xr:uid="{00000000-0005-0000-0000-0000953D0000}"/>
    <cellStyle name="Normal 12 5 4 3 2 3 4" xfId="16144" xr:uid="{00000000-0005-0000-0000-0000963D0000}"/>
    <cellStyle name="Normal 12 5 4 3 2 3 5" xfId="16145" xr:uid="{00000000-0005-0000-0000-0000973D0000}"/>
    <cellStyle name="Normal 12 5 4 3 2 3 6" xfId="16146" xr:uid="{00000000-0005-0000-0000-0000983D0000}"/>
    <cellStyle name="Normal 12 5 4 3 2 3 7" xfId="16147" xr:uid="{00000000-0005-0000-0000-0000993D0000}"/>
    <cellStyle name="Normal 12 5 4 3 2 3 8" xfId="16148" xr:uid="{00000000-0005-0000-0000-00009A3D0000}"/>
    <cellStyle name="Normal 12 5 4 3 2 4" xfId="16149" xr:uid="{00000000-0005-0000-0000-00009B3D0000}"/>
    <cellStyle name="Normal 12 5 4 3 2 4 2" xfId="16150" xr:uid="{00000000-0005-0000-0000-00009C3D0000}"/>
    <cellStyle name="Normal 12 5 4 3 2 4 3" xfId="16151" xr:uid="{00000000-0005-0000-0000-00009D3D0000}"/>
    <cellStyle name="Normal 12 5 4 3 2 4 4" xfId="16152" xr:uid="{00000000-0005-0000-0000-00009E3D0000}"/>
    <cellStyle name="Normal 12 5 4 3 2 4 5" xfId="16153" xr:uid="{00000000-0005-0000-0000-00009F3D0000}"/>
    <cellStyle name="Normal 12 5 4 3 2 5" xfId="16154" xr:uid="{00000000-0005-0000-0000-0000A03D0000}"/>
    <cellStyle name="Normal 12 5 4 3 2 6" xfId="16155" xr:uid="{00000000-0005-0000-0000-0000A13D0000}"/>
    <cellStyle name="Normal 12 5 4 3 2 7" xfId="16156" xr:uid="{00000000-0005-0000-0000-0000A23D0000}"/>
    <cellStyle name="Normal 12 5 4 3 2 8" xfId="16157" xr:uid="{00000000-0005-0000-0000-0000A33D0000}"/>
    <cellStyle name="Normal 12 5 4 3 2 9" xfId="16158" xr:uid="{00000000-0005-0000-0000-0000A43D0000}"/>
    <cellStyle name="Normal 12 5 4 3 3" xfId="16159" xr:uid="{00000000-0005-0000-0000-0000A53D0000}"/>
    <cellStyle name="Normal 12 5 4 3 3 2" xfId="16160" xr:uid="{00000000-0005-0000-0000-0000A63D0000}"/>
    <cellStyle name="Normal 12 5 4 3 3 2 2" xfId="16161" xr:uid="{00000000-0005-0000-0000-0000A73D0000}"/>
    <cellStyle name="Normal 12 5 4 3 3 2 3" xfId="16162" xr:uid="{00000000-0005-0000-0000-0000A83D0000}"/>
    <cellStyle name="Normal 12 5 4 3 3 2 4" xfId="16163" xr:uid="{00000000-0005-0000-0000-0000A93D0000}"/>
    <cellStyle name="Normal 12 5 4 3 3 2 5" xfId="16164" xr:uid="{00000000-0005-0000-0000-0000AA3D0000}"/>
    <cellStyle name="Normal 12 5 4 3 3 3" xfId="16165" xr:uid="{00000000-0005-0000-0000-0000AB3D0000}"/>
    <cellStyle name="Normal 12 5 4 3 3 4" xfId="16166" xr:uid="{00000000-0005-0000-0000-0000AC3D0000}"/>
    <cellStyle name="Normal 12 5 4 3 3 5" xfId="16167" xr:uid="{00000000-0005-0000-0000-0000AD3D0000}"/>
    <cellStyle name="Normal 12 5 4 3 3 6" xfId="16168" xr:uid="{00000000-0005-0000-0000-0000AE3D0000}"/>
    <cellStyle name="Normal 12 5 4 3 3 7" xfId="16169" xr:uid="{00000000-0005-0000-0000-0000AF3D0000}"/>
    <cellStyle name="Normal 12 5 4 3 3 8" xfId="16170" xr:uid="{00000000-0005-0000-0000-0000B03D0000}"/>
    <cellStyle name="Normal 12 5 4 3 4" xfId="16171" xr:uid="{00000000-0005-0000-0000-0000B13D0000}"/>
    <cellStyle name="Normal 12 5 4 3 4 2" xfId="16172" xr:uid="{00000000-0005-0000-0000-0000B23D0000}"/>
    <cellStyle name="Normal 12 5 4 3 4 2 2" xfId="16173" xr:uid="{00000000-0005-0000-0000-0000B33D0000}"/>
    <cellStyle name="Normal 12 5 4 3 4 2 3" xfId="16174" xr:uid="{00000000-0005-0000-0000-0000B43D0000}"/>
    <cellStyle name="Normal 12 5 4 3 4 2 4" xfId="16175" xr:uid="{00000000-0005-0000-0000-0000B53D0000}"/>
    <cellStyle name="Normal 12 5 4 3 4 2 5" xfId="16176" xr:uid="{00000000-0005-0000-0000-0000B63D0000}"/>
    <cellStyle name="Normal 12 5 4 3 4 3" xfId="16177" xr:uid="{00000000-0005-0000-0000-0000B73D0000}"/>
    <cellStyle name="Normal 12 5 4 3 4 4" xfId="16178" xr:uid="{00000000-0005-0000-0000-0000B83D0000}"/>
    <cellStyle name="Normal 12 5 4 3 4 5" xfId="16179" xr:uid="{00000000-0005-0000-0000-0000B93D0000}"/>
    <cellStyle name="Normal 12 5 4 3 4 6" xfId="16180" xr:uid="{00000000-0005-0000-0000-0000BA3D0000}"/>
    <cellStyle name="Normal 12 5 4 3 4 7" xfId="16181" xr:uid="{00000000-0005-0000-0000-0000BB3D0000}"/>
    <cellStyle name="Normal 12 5 4 3 4 8" xfId="16182" xr:uid="{00000000-0005-0000-0000-0000BC3D0000}"/>
    <cellStyle name="Normal 12 5 4 3 5" xfId="16183" xr:uid="{00000000-0005-0000-0000-0000BD3D0000}"/>
    <cellStyle name="Normal 12 5 4 3 5 2" xfId="16184" xr:uid="{00000000-0005-0000-0000-0000BE3D0000}"/>
    <cellStyle name="Normal 12 5 4 3 5 3" xfId="16185" xr:uid="{00000000-0005-0000-0000-0000BF3D0000}"/>
    <cellStyle name="Normal 12 5 4 3 5 4" xfId="16186" xr:uid="{00000000-0005-0000-0000-0000C03D0000}"/>
    <cellStyle name="Normal 12 5 4 3 5 5" xfId="16187" xr:uid="{00000000-0005-0000-0000-0000C13D0000}"/>
    <cellStyle name="Normal 12 5 4 3 6" xfId="16188" xr:uid="{00000000-0005-0000-0000-0000C23D0000}"/>
    <cellStyle name="Normal 12 5 4 3 7" xfId="16189" xr:uid="{00000000-0005-0000-0000-0000C33D0000}"/>
    <cellStyle name="Normal 12 5 4 3 8" xfId="16190" xr:uid="{00000000-0005-0000-0000-0000C43D0000}"/>
    <cellStyle name="Normal 12 5 4 3 9" xfId="16191" xr:uid="{00000000-0005-0000-0000-0000C53D0000}"/>
    <cellStyle name="Normal 12 5 4 4" xfId="16192" xr:uid="{00000000-0005-0000-0000-0000C63D0000}"/>
    <cellStyle name="Normal 12 5 4 4 10" xfId="16193" xr:uid="{00000000-0005-0000-0000-0000C73D0000}"/>
    <cellStyle name="Normal 12 5 4 4 2" xfId="16194" xr:uid="{00000000-0005-0000-0000-0000C83D0000}"/>
    <cellStyle name="Normal 12 5 4 4 2 2" xfId="16195" xr:uid="{00000000-0005-0000-0000-0000C93D0000}"/>
    <cellStyle name="Normal 12 5 4 4 2 2 2" xfId="16196" xr:uid="{00000000-0005-0000-0000-0000CA3D0000}"/>
    <cellStyle name="Normal 12 5 4 4 2 2 3" xfId="16197" xr:uid="{00000000-0005-0000-0000-0000CB3D0000}"/>
    <cellStyle name="Normal 12 5 4 4 2 2 4" xfId="16198" xr:uid="{00000000-0005-0000-0000-0000CC3D0000}"/>
    <cellStyle name="Normal 12 5 4 4 2 2 5" xfId="16199" xr:uid="{00000000-0005-0000-0000-0000CD3D0000}"/>
    <cellStyle name="Normal 12 5 4 4 2 3" xfId="16200" xr:uid="{00000000-0005-0000-0000-0000CE3D0000}"/>
    <cellStyle name="Normal 12 5 4 4 2 4" xfId="16201" xr:uid="{00000000-0005-0000-0000-0000CF3D0000}"/>
    <cellStyle name="Normal 12 5 4 4 2 5" xfId="16202" xr:uid="{00000000-0005-0000-0000-0000D03D0000}"/>
    <cellStyle name="Normal 12 5 4 4 2 6" xfId="16203" xr:uid="{00000000-0005-0000-0000-0000D13D0000}"/>
    <cellStyle name="Normal 12 5 4 4 2 7" xfId="16204" xr:uid="{00000000-0005-0000-0000-0000D23D0000}"/>
    <cellStyle name="Normal 12 5 4 4 2 8" xfId="16205" xr:uid="{00000000-0005-0000-0000-0000D33D0000}"/>
    <cellStyle name="Normal 12 5 4 4 3" xfId="16206" xr:uid="{00000000-0005-0000-0000-0000D43D0000}"/>
    <cellStyle name="Normal 12 5 4 4 3 2" xfId="16207" xr:uid="{00000000-0005-0000-0000-0000D53D0000}"/>
    <cellStyle name="Normal 12 5 4 4 3 2 2" xfId="16208" xr:uid="{00000000-0005-0000-0000-0000D63D0000}"/>
    <cellStyle name="Normal 12 5 4 4 3 2 3" xfId="16209" xr:uid="{00000000-0005-0000-0000-0000D73D0000}"/>
    <cellStyle name="Normal 12 5 4 4 3 2 4" xfId="16210" xr:uid="{00000000-0005-0000-0000-0000D83D0000}"/>
    <cellStyle name="Normal 12 5 4 4 3 2 5" xfId="16211" xr:uid="{00000000-0005-0000-0000-0000D93D0000}"/>
    <cellStyle name="Normal 12 5 4 4 3 3" xfId="16212" xr:uid="{00000000-0005-0000-0000-0000DA3D0000}"/>
    <cellStyle name="Normal 12 5 4 4 3 4" xfId="16213" xr:uid="{00000000-0005-0000-0000-0000DB3D0000}"/>
    <cellStyle name="Normal 12 5 4 4 3 5" xfId="16214" xr:uid="{00000000-0005-0000-0000-0000DC3D0000}"/>
    <cellStyle name="Normal 12 5 4 4 3 6" xfId="16215" xr:uid="{00000000-0005-0000-0000-0000DD3D0000}"/>
    <cellStyle name="Normal 12 5 4 4 3 7" xfId="16216" xr:uid="{00000000-0005-0000-0000-0000DE3D0000}"/>
    <cellStyle name="Normal 12 5 4 4 3 8" xfId="16217" xr:uid="{00000000-0005-0000-0000-0000DF3D0000}"/>
    <cellStyle name="Normal 12 5 4 4 4" xfId="16218" xr:uid="{00000000-0005-0000-0000-0000E03D0000}"/>
    <cellStyle name="Normal 12 5 4 4 4 2" xfId="16219" xr:uid="{00000000-0005-0000-0000-0000E13D0000}"/>
    <cellStyle name="Normal 12 5 4 4 4 3" xfId="16220" xr:uid="{00000000-0005-0000-0000-0000E23D0000}"/>
    <cellStyle name="Normal 12 5 4 4 4 4" xfId="16221" xr:uid="{00000000-0005-0000-0000-0000E33D0000}"/>
    <cellStyle name="Normal 12 5 4 4 4 5" xfId="16222" xr:uid="{00000000-0005-0000-0000-0000E43D0000}"/>
    <cellStyle name="Normal 12 5 4 4 5" xfId="16223" xr:uid="{00000000-0005-0000-0000-0000E53D0000}"/>
    <cellStyle name="Normal 12 5 4 4 6" xfId="16224" xr:uid="{00000000-0005-0000-0000-0000E63D0000}"/>
    <cellStyle name="Normal 12 5 4 4 7" xfId="16225" xr:uid="{00000000-0005-0000-0000-0000E73D0000}"/>
    <cellStyle name="Normal 12 5 4 4 8" xfId="16226" xr:uid="{00000000-0005-0000-0000-0000E83D0000}"/>
    <cellStyle name="Normal 12 5 4 4 9" xfId="16227" xr:uid="{00000000-0005-0000-0000-0000E93D0000}"/>
    <cellStyle name="Normal 12 5 4 5" xfId="16228" xr:uid="{00000000-0005-0000-0000-0000EA3D0000}"/>
    <cellStyle name="Normal 12 5 4 5 2" xfId="16229" xr:uid="{00000000-0005-0000-0000-0000EB3D0000}"/>
    <cellStyle name="Normal 12 5 4 5 2 2" xfId="16230" xr:uid="{00000000-0005-0000-0000-0000EC3D0000}"/>
    <cellStyle name="Normal 12 5 4 5 2 3" xfId="16231" xr:uid="{00000000-0005-0000-0000-0000ED3D0000}"/>
    <cellStyle name="Normal 12 5 4 5 2 4" xfId="16232" xr:uid="{00000000-0005-0000-0000-0000EE3D0000}"/>
    <cellStyle name="Normal 12 5 4 5 2 5" xfId="16233" xr:uid="{00000000-0005-0000-0000-0000EF3D0000}"/>
    <cellStyle name="Normal 12 5 4 5 3" xfId="16234" xr:uid="{00000000-0005-0000-0000-0000F03D0000}"/>
    <cellStyle name="Normal 12 5 4 5 4" xfId="16235" xr:uid="{00000000-0005-0000-0000-0000F13D0000}"/>
    <cellStyle name="Normal 12 5 4 5 5" xfId="16236" xr:uid="{00000000-0005-0000-0000-0000F23D0000}"/>
    <cellStyle name="Normal 12 5 4 5 6" xfId="16237" xr:uid="{00000000-0005-0000-0000-0000F33D0000}"/>
    <cellStyle name="Normal 12 5 4 5 7" xfId="16238" xr:uid="{00000000-0005-0000-0000-0000F43D0000}"/>
    <cellStyle name="Normal 12 5 4 5 8" xfId="16239" xr:uid="{00000000-0005-0000-0000-0000F53D0000}"/>
    <cellStyle name="Normal 12 5 4 6" xfId="16240" xr:uid="{00000000-0005-0000-0000-0000F63D0000}"/>
    <cellStyle name="Normal 12 5 4 6 2" xfId="16241" xr:uid="{00000000-0005-0000-0000-0000F73D0000}"/>
    <cellStyle name="Normal 12 5 4 6 2 2" xfId="16242" xr:uid="{00000000-0005-0000-0000-0000F83D0000}"/>
    <cellStyle name="Normal 12 5 4 6 2 3" xfId="16243" xr:uid="{00000000-0005-0000-0000-0000F93D0000}"/>
    <cellStyle name="Normal 12 5 4 6 2 4" xfId="16244" xr:uid="{00000000-0005-0000-0000-0000FA3D0000}"/>
    <cellStyle name="Normal 12 5 4 6 2 5" xfId="16245" xr:uid="{00000000-0005-0000-0000-0000FB3D0000}"/>
    <cellStyle name="Normal 12 5 4 6 3" xfId="16246" xr:uid="{00000000-0005-0000-0000-0000FC3D0000}"/>
    <cellStyle name="Normal 12 5 4 6 4" xfId="16247" xr:uid="{00000000-0005-0000-0000-0000FD3D0000}"/>
    <cellStyle name="Normal 12 5 4 6 5" xfId="16248" xr:uid="{00000000-0005-0000-0000-0000FE3D0000}"/>
    <cellStyle name="Normal 12 5 4 6 6" xfId="16249" xr:uid="{00000000-0005-0000-0000-0000FF3D0000}"/>
    <cellStyle name="Normal 12 5 4 6 7" xfId="16250" xr:uid="{00000000-0005-0000-0000-0000003E0000}"/>
    <cellStyle name="Normal 12 5 4 6 8" xfId="16251" xr:uid="{00000000-0005-0000-0000-0000013E0000}"/>
    <cellStyle name="Normal 12 5 4 7" xfId="16252" xr:uid="{00000000-0005-0000-0000-0000023E0000}"/>
    <cellStyle name="Normal 12 5 4 7 2" xfId="16253" xr:uid="{00000000-0005-0000-0000-0000033E0000}"/>
    <cellStyle name="Normal 12 5 4 7 3" xfId="16254" xr:uid="{00000000-0005-0000-0000-0000043E0000}"/>
    <cellStyle name="Normal 12 5 4 7 4" xfId="16255" xr:uid="{00000000-0005-0000-0000-0000053E0000}"/>
    <cellStyle name="Normal 12 5 4 7 5" xfId="16256" xr:uid="{00000000-0005-0000-0000-0000063E0000}"/>
    <cellStyle name="Normal 12 5 4 8" xfId="16257" xr:uid="{00000000-0005-0000-0000-0000073E0000}"/>
    <cellStyle name="Normal 12 5 4 9" xfId="16258" xr:uid="{00000000-0005-0000-0000-0000083E0000}"/>
    <cellStyle name="Normal 12 5 5" xfId="16259" xr:uid="{00000000-0005-0000-0000-0000093E0000}"/>
    <cellStyle name="Normal 12 5 5 10" xfId="16260" xr:uid="{00000000-0005-0000-0000-00000A3E0000}"/>
    <cellStyle name="Normal 12 5 5 11" xfId="16261" xr:uid="{00000000-0005-0000-0000-00000B3E0000}"/>
    <cellStyle name="Normal 12 5 5 12" xfId="16262" xr:uid="{00000000-0005-0000-0000-00000C3E0000}"/>
    <cellStyle name="Normal 12 5 5 13" xfId="16263" xr:uid="{00000000-0005-0000-0000-00000D3E0000}"/>
    <cellStyle name="Normal 12 5 5 2" xfId="16264" xr:uid="{00000000-0005-0000-0000-00000E3E0000}"/>
    <cellStyle name="Normal 12 5 5 2 10" xfId="16265" xr:uid="{00000000-0005-0000-0000-00000F3E0000}"/>
    <cellStyle name="Normal 12 5 5 2 11" xfId="16266" xr:uid="{00000000-0005-0000-0000-0000103E0000}"/>
    <cellStyle name="Normal 12 5 5 2 2" xfId="16267" xr:uid="{00000000-0005-0000-0000-0000113E0000}"/>
    <cellStyle name="Normal 12 5 5 2 2 10" xfId="16268" xr:uid="{00000000-0005-0000-0000-0000123E0000}"/>
    <cellStyle name="Normal 12 5 5 2 2 2" xfId="16269" xr:uid="{00000000-0005-0000-0000-0000133E0000}"/>
    <cellStyle name="Normal 12 5 5 2 2 2 2" xfId="16270" xr:uid="{00000000-0005-0000-0000-0000143E0000}"/>
    <cellStyle name="Normal 12 5 5 2 2 2 2 2" xfId="16271" xr:uid="{00000000-0005-0000-0000-0000153E0000}"/>
    <cellStyle name="Normal 12 5 5 2 2 2 2 3" xfId="16272" xr:uid="{00000000-0005-0000-0000-0000163E0000}"/>
    <cellStyle name="Normal 12 5 5 2 2 2 2 4" xfId="16273" xr:uid="{00000000-0005-0000-0000-0000173E0000}"/>
    <cellStyle name="Normal 12 5 5 2 2 2 2 5" xfId="16274" xr:uid="{00000000-0005-0000-0000-0000183E0000}"/>
    <cellStyle name="Normal 12 5 5 2 2 2 3" xfId="16275" xr:uid="{00000000-0005-0000-0000-0000193E0000}"/>
    <cellStyle name="Normal 12 5 5 2 2 2 4" xfId="16276" xr:uid="{00000000-0005-0000-0000-00001A3E0000}"/>
    <cellStyle name="Normal 12 5 5 2 2 2 5" xfId="16277" xr:uid="{00000000-0005-0000-0000-00001B3E0000}"/>
    <cellStyle name="Normal 12 5 5 2 2 2 6" xfId="16278" xr:uid="{00000000-0005-0000-0000-00001C3E0000}"/>
    <cellStyle name="Normal 12 5 5 2 2 2 7" xfId="16279" xr:uid="{00000000-0005-0000-0000-00001D3E0000}"/>
    <cellStyle name="Normal 12 5 5 2 2 2 8" xfId="16280" xr:uid="{00000000-0005-0000-0000-00001E3E0000}"/>
    <cellStyle name="Normal 12 5 5 2 2 3" xfId="16281" xr:uid="{00000000-0005-0000-0000-00001F3E0000}"/>
    <cellStyle name="Normal 12 5 5 2 2 3 2" xfId="16282" xr:uid="{00000000-0005-0000-0000-0000203E0000}"/>
    <cellStyle name="Normal 12 5 5 2 2 3 2 2" xfId="16283" xr:uid="{00000000-0005-0000-0000-0000213E0000}"/>
    <cellStyle name="Normal 12 5 5 2 2 3 2 3" xfId="16284" xr:uid="{00000000-0005-0000-0000-0000223E0000}"/>
    <cellStyle name="Normal 12 5 5 2 2 3 2 4" xfId="16285" xr:uid="{00000000-0005-0000-0000-0000233E0000}"/>
    <cellStyle name="Normal 12 5 5 2 2 3 2 5" xfId="16286" xr:uid="{00000000-0005-0000-0000-0000243E0000}"/>
    <cellStyle name="Normal 12 5 5 2 2 3 3" xfId="16287" xr:uid="{00000000-0005-0000-0000-0000253E0000}"/>
    <cellStyle name="Normal 12 5 5 2 2 3 4" xfId="16288" xr:uid="{00000000-0005-0000-0000-0000263E0000}"/>
    <cellStyle name="Normal 12 5 5 2 2 3 5" xfId="16289" xr:uid="{00000000-0005-0000-0000-0000273E0000}"/>
    <cellStyle name="Normal 12 5 5 2 2 3 6" xfId="16290" xr:uid="{00000000-0005-0000-0000-0000283E0000}"/>
    <cellStyle name="Normal 12 5 5 2 2 3 7" xfId="16291" xr:uid="{00000000-0005-0000-0000-0000293E0000}"/>
    <cellStyle name="Normal 12 5 5 2 2 3 8" xfId="16292" xr:uid="{00000000-0005-0000-0000-00002A3E0000}"/>
    <cellStyle name="Normal 12 5 5 2 2 4" xfId="16293" xr:uid="{00000000-0005-0000-0000-00002B3E0000}"/>
    <cellStyle name="Normal 12 5 5 2 2 4 2" xfId="16294" xr:uid="{00000000-0005-0000-0000-00002C3E0000}"/>
    <cellStyle name="Normal 12 5 5 2 2 4 3" xfId="16295" xr:uid="{00000000-0005-0000-0000-00002D3E0000}"/>
    <cellStyle name="Normal 12 5 5 2 2 4 4" xfId="16296" xr:uid="{00000000-0005-0000-0000-00002E3E0000}"/>
    <cellStyle name="Normal 12 5 5 2 2 4 5" xfId="16297" xr:uid="{00000000-0005-0000-0000-00002F3E0000}"/>
    <cellStyle name="Normal 12 5 5 2 2 5" xfId="16298" xr:uid="{00000000-0005-0000-0000-0000303E0000}"/>
    <cellStyle name="Normal 12 5 5 2 2 6" xfId="16299" xr:uid="{00000000-0005-0000-0000-0000313E0000}"/>
    <cellStyle name="Normal 12 5 5 2 2 7" xfId="16300" xr:uid="{00000000-0005-0000-0000-0000323E0000}"/>
    <cellStyle name="Normal 12 5 5 2 2 8" xfId="16301" xr:uid="{00000000-0005-0000-0000-0000333E0000}"/>
    <cellStyle name="Normal 12 5 5 2 2 9" xfId="16302" xr:uid="{00000000-0005-0000-0000-0000343E0000}"/>
    <cellStyle name="Normal 12 5 5 2 3" xfId="16303" xr:uid="{00000000-0005-0000-0000-0000353E0000}"/>
    <cellStyle name="Normal 12 5 5 2 3 2" xfId="16304" xr:uid="{00000000-0005-0000-0000-0000363E0000}"/>
    <cellStyle name="Normal 12 5 5 2 3 2 2" xfId="16305" xr:uid="{00000000-0005-0000-0000-0000373E0000}"/>
    <cellStyle name="Normal 12 5 5 2 3 2 3" xfId="16306" xr:uid="{00000000-0005-0000-0000-0000383E0000}"/>
    <cellStyle name="Normal 12 5 5 2 3 2 4" xfId="16307" xr:uid="{00000000-0005-0000-0000-0000393E0000}"/>
    <cellStyle name="Normal 12 5 5 2 3 2 5" xfId="16308" xr:uid="{00000000-0005-0000-0000-00003A3E0000}"/>
    <cellStyle name="Normal 12 5 5 2 3 3" xfId="16309" xr:uid="{00000000-0005-0000-0000-00003B3E0000}"/>
    <cellStyle name="Normal 12 5 5 2 3 4" xfId="16310" xr:uid="{00000000-0005-0000-0000-00003C3E0000}"/>
    <cellStyle name="Normal 12 5 5 2 3 5" xfId="16311" xr:uid="{00000000-0005-0000-0000-00003D3E0000}"/>
    <cellStyle name="Normal 12 5 5 2 3 6" xfId="16312" xr:uid="{00000000-0005-0000-0000-00003E3E0000}"/>
    <cellStyle name="Normal 12 5 5 2 3 7" xfId="16313" xr:uid="{00000000-0005-0000-0000-00003F3E0000}"/>
    <cellStyle name="Normal 12 5 5 2 3 8" xfId="16314" xr:uid="{00000000-0005-0000-0000-0000403E0000}"/>
    <cellStyle name="Normal 12 5 5 2 4" xfId="16315" xr:uid="{00000000-0005-0000-0000-0000413E0000}"/>
    <cellStyle name="Normal 12 5 5 2 4 2" xfId="16316" xr:uid="{00000000-0005-0000-0000-0000423E0000}"/>
    <cellStyle name="Normal 12 5 5 2 4 2 2" xfId="16317" xr:uid="{00000000-0005-0000-0000-0000433E0000}"/>
    <cellStyle name="Normal 12 5 5 2 4 2 3" xfId="16318" xr:uid="{00000000-0005-0000-0000-0000443E0000}"/>
    <cellStyle name="Normal 12 5 5 2 4 2 4" xfId="16319" xr:uid="{00000000-0005-0000-0000-0000453E0000}"/>
    <cellStyle name="Normal 12 5 5 2 4 2 5" xfId="16320" xr:uid="{00000000-0005-0000-0000-0000463E0000}"/>
    <cellStyle name="Normal 12 5 5 2 4 3" xfId="16321" xr:uid="{00000000-0005-0000-0000-0000473E0000}"/>
    <cellStyle name="Normal 12 5 5 2 4 4" xfId="16322" xr:uid="{00000000-0005-0000-0000-0000483E0000}"/>
    <cellStyle name="Normal 12 5 5 2 4 5" xfId="16323" xr:uid="{00000000-0005-0000-0000-0000493E0000}"/>
    <cellStyle name="Normal 12 5 5 2 4 6" xfId="16324" xr:uid="{00000000-0005-0000-0000-00004A3E0000}"/>
    <cellStyle name="Normal 12 5 5 2 4 7" xfId="16325" xr:uid="{00000000-0005-0000-0000-00004B3E0000}"/>
    <cellStyle name="Normal 12 5 5 2 4 8" xfId="16326" xr:uid="{00000000-0005-0000-0000-00004C3E0000}"/>
    <cellStyle name="Normal 12 5 5 2 5" xfId="16327" xr:uid="{00000000-0005-0000-0000-00004D3E0000}"/>
    <cellStyle name="Normal 12 5 5 2 5 2" xfId="16328" xr:uid="{00000000-0005-0000-0000-00004E3E0000}"/>
    <cellStyle name="Normal 12 5 5 2 5 3" xfId="16329" xr:uid="{00000000-0005-0000-0000-00004F3E0000}"/>
    <cellStyle name="Normal 12 5 5 2 5 4" xfId="16330" xr:uid="{00000000-0005-0000-0000-0000503E0000}"/>
    <cellStyle name="Normal 12 5 5 2 5 5" xfId="16331" xr:uid="{00000000-0005-0000-0000-0000513E0000}"/>
    <cellStyle name="Normal 12 5 5 2 6" xfId="16332" xr:uid="{00000000-0005-0000-0000-0000523E0000}"/>
    <cellStyle name="Normal 12 5 5 2 7" xfId="16333" xr:uid="{00000000-0005-0000-0000-0000533E0000}"/>
    <cellStyle name="Normal 12 5 5 2 8" xfId="16334" xr:uid="{00000000-0005-0000-0000-0000543E0000}"/>
    <cellStyle name="Normal 12 5 5 2 9" xfId="16335" xr:uid="{00000000-0005-0000-0000-0000553E0000}"/>
    <cellStyle name="Normal 12 5 5 3" xfId="16336" xr:uid="{00000000-0005-0000-0000-0000563E0000}"/>
    <cellStyle name="Normal 12 5 5 3 10" xfId="16337" xr:uid="{00000000-0005-0000-0000-0000573E0000}"/>
    <cellStyle name="Normal 12 5 5 3 11" xfId="16338" xr:uid="{00000000-0005-0000-0000-0000583E0000}"/>
    <cellStyle name="Normal 12 5 5 3 2" xfId="16339" xr:uid="{00000000-0005-0000-0000-0000593E0000}"/>
    <cellStyle name="Normal 12 5 5 3 2 10" xfId="16340" xr:uid="{00000000-0005-0000-0000-00005A3E0000}"/>
    <cellStyle name="Normal 12 5 5 3 2 2" xfId="16341" xr:uid="{00000000-0005-0000-0000-00005B3E0000}"/>
    <cellStyle name="Normal 12 5 5 3 2 2 2" xfId="16342" xr:uid="{00000000-0005-0000-0000-00005C3E0000}"/>
    <cellStyle name="Normal 12 5 5 3 2 2 2 2" xfId="16343" xr:uid="{00000000-0005-0000-0000-00005D3E0000}"/>
    <cellStyle name="Normal 12 5 5 3 2 2 2 3" xfId="16344" xr:uid="{00000000-0005-0000-0000-00005E3E0000}"/>
    <cellStyle name="Normal 12 5 5 3 2 2 2 4" xfId="16345" xr:uid="{00000000-0005-0000-0000-00005F3E0000}"/>
    <cellStyle name="Normal 12 5 5 3 2 2 2 5" xfId="16346" xr:uid="{00000000-0005-0000-0000-0000603E0000}"/>
    <cellStyle name="Normal 12 5 5 3 2 2 3" xfId="16347" xr:uid="{00000000-0005-0000-0000-0000613E0000}"/>
    <cellStyle name="Normal 12 5 5 3 2 2 4" xfId="16348" xr:uid="{00000000-0005-0000-0000-0000623E0000}"/>
    <cellStyle name="Normal 12 5 5 3 2 2 5" xfId="16349" xr:uid="{00000000-0005-0000-0000-0000633E0000}"/>
    <cellStyle name="Normal 12 5 5 3 2 2 6" xfId="16350" xr:uid="{00000000-0005-0000-0000-0000643E0000}"/>
    <cellStyle name="Normal 12 5 5 3 2 2 7" xfId="16351" xr:uid="{00000000-0005-0000-0000-0000653E0000}"/>
    <cellStyle name="Normal 12 5 5 3 2 2 8" xfId="16352" xr:uid="{00000000-0005-0000-0000-0000663E0000}"/>
    <cellStyle name="Normal 12 5 5 3 2 3" xfId="16353" xr:uid="{00000000-0005-0000-0000-0000673E0000}"/>
    <cellStyle name="Normal 12 5 5 3 2 3 2" xfId="16354" xr:uid="{00000000-0005-0000-0000-0000683E0000}"/>
    <cellStyle name="Normal 12 5 5 3 2 3 2 2" xfId="16355" xr:uid="{00000000-0005-0000-0000-0000693E0000}"/>
    <cellStyle name="Normal 12 5 5 3 2 3 2 3" xfId="16356" xr:uid="{00000000-0005-0000-0000-00006A3E0000}"/>
    <cellStyle name="Normal 12 5 5 3 2 3 2 4" xfId="16357" xr:uid="{00000000-0005-0000-0000-00006B3E0000}"/>
    <cellStyle name="Normal 12 5 5 3 2 3 2 5" xfId="16358" xr:uid="{00000000-0005-0000-0000-00006C3E0000}"/>
    <cellStyle name="Normal 12 5 5 3 2 3 3" xfId="16359" xr:uid="{00000000-0005-0000-0000-00006D3E0000}"/>
    <cellStyle name="Normal 12 5 5 3 2 3 4" xfId="16360" xr:uid="{00000000-0005-0000-0000-00006E3E0000}"/>
    <cellStyle name="Normal 12 5 5 3 2 3 5" xfId="16361" xr:uid="{00000000-0005-0000-0000-00006F3E0000}"/>
    <cellStyle name="Normal 12 5 5 3 2 3 6" xfId="16362" xr:uid="{00000000-0005-0000-0000-0000703E0000}"/>
    <cellStyle name="Normal 12 5 5 3 2 3 7" xfId="16363" xr:uid="{00000000-0005-0000-0000-0000713E0000}"/>
    <cellStyle name="Normal 12 5 5 3 2 3 8" xfId="16364" xr:uid="{00000000-0005-0000-0000-0000723E0000}"/>
    <cellStyle name="Normal 12 5 5 3 2 4" xfId="16365" xr:uid="{00000000-0005-0000-0000-0000733E0000}"/>
    <cellStyle name="Normal 12 5 5 3 2 4 2" xfId="16366" xr:uid="{00000000-0005-0000-0000-0000743E0000}"/>
    <cellStyle name="Normal 12 5 5 3 2 4 3" xfId="16367" xr:uid="{00000000-0005-0000-0000-0000753E0000}"/>
    <cellStyle name="Normal 12 5 5 3 2 4 4" xfId="16368" xr:uid="{00000000-0005-0000-0000-0000763E0000}"/>
    <cellStyle name="Normal 12 5 5 3 2 4 5" xfId="16369" xr:uid="{00000000-0005-0000-0000-0000773E0000}"/>
    <cellStyle name="Normal 12 5 5 3 2 5" xfId="16370" xr:uid="{00000000-0005-0000-0000-0000783E0000}"/>
    <cellStyle name="Normal 12 5 5 3 2 6" xfId="16371" xr:uid="{00000000-0005-0000-0000-0000793E0000}"/>
    <cellStyle name="Normal 12 5 5 3 2 7" xfId="16372" xr:uid="{00000000-0005-0000-0000-00007A3E0000}"/>
    <cellStyle name="Normal 12 5 5 3 2 8" xfId="16373" xr:uid="{00000000-0005-0000-0000-00007B3E0000}"/>
    <cellStyle name="Normal 12 5 5 3 2 9" xfId="16374" xr:uid="{00000000-0005-0000-0000-00007C3E0000}"/>
    <cellStyle name="Normal 12 5 5 3 3" xfId="16375" xr:uid="{00000000-0005-0000-0000-00007D3E0000}"/>
    <cellStyle name="Normal 12 5 5 3 3 2" xfId="16376" xr:uid="{00000000-0005-0000-0000-00007E3E0000}"/>
    <cellStyle name="Normal 12 5 5 3 3 2 2" xfId="16377" xr:uid="{00000000-0005-0000-0000-00007F3E0000}"/>
    <cellStyle name="Normal 12 5 5 3 3 2 3" xfId="16378" xr:uid="{00000000-0005-0000-0000-0000803E0000}"/>
    <cellStyle name="Normal 12 5 5 3 3 2 4" xfId="16379" xr:uid="{00000000-0005-0000-0000-0000813E0000}"/>
    <cellStyle name="Normal 12 5 5 3 3 2 5" xfId="16380" xr:uid="{00000000-0005-0000-0000-0000823E0000}"/>
    <cellStyle name="Normal 12 5 5 3 3 3" xfId="16381" xr:uid="{00000000-0005-0000-0000-0000833E0000}"/>
    <cellStyle name="Normal 12 5 5 3 3 4" xfId="16382" xr:uid="{00000000-0005-0000-0000-0000843E0000}"/>
    <cellStyle name="Normal 12 5 5 3 3 5" xfId="16383" xr:uid="{00000000-0005-0000-0000-0000853E0000}"/>
    <cellStyle name="Normal 12 5 5 3 3 6" xfId="16384" xr:uid="{00000000-0005-0000-0000-0000863E0000}"/>
    <cellStyle name="Normal 12 5 5 3 3 7" xfId="16385" xr:uid="{00000000-0005-0000-0000-0000873E0000}"/>
    <cellStyle name="Normal 12 5 5 3 3 8" xfId="16386" xr:uid="{00000000-0005-0000-0000-0000883E0000}"/>
    <cellStyle name="Normal 12 5 5 3 4" xfId="16387" xr:uid="{00000000-0005-0000-0000-0000893E0000}"/>
    <cellStyle name="Normal 12 5 5 3 4 2" xfId="16388" xr:uid="{00000000-0005-0000-0000-00008A3E0000}"/>
    <cellStyle name="Normal 12 5 5 3 4 2 2" xfId="16389" xr:uid="{00000000-0005-0000-0000-00008B3E0000}"/>
    <cellStyle name="Normal 12 5 5 3 4 2 3" xfId="16390" xr:uid="{00000000-0005-0000-0000-00008C3E0000}"/>
    <cellStyle name="Normal 12 5 5 3 4 2 4" xfId="16391" xr:uid="{00000000-0005-0000-0000-00008D3E0000}"/>
    <cellStyle name="Normal 12 5 5 3 4 2 5" xfId="16392" xr:uid="{00000000-0005-0000-0000-00008E3E0000}"/>
    <cellStyle name="Normal 12 5 5 3 4 3" xfId="16393" xr:uid="{00000000-0005-0000-0000-00008F3E0000}"/>
    <cellStyle name="Normal 12 5 5 3 4 4" xfId="16394" xr:uid="{00000000-0005-0000-0000-0000903E0000}"/>
    <cellStyle name="Normal 12 5 5 3 4 5" xfId="16395" xr:uid="{00000000-0005-0000-0000-0000913E0000}"/>
    <cellStyle name="Normal 12 5 5 3 4 6" xfId="16396" xr:uid="{00000000-0005-0000-0000-0000923E0000}"/>
    <cellStyle name="Normal 12 5 5 3 4 7" xfId="16397" xr:uid="{00000000-0005-0000-0000-0000933E0000}"/>
    <cellStyle name="Normal 12 5 5 3 4 8" xfId="16398" xr:uid="{00000000-0005-0000-0000-0000943E0000}"/>
    <cellStyle name="Normal 12 5 5 3 5" xfId="16399" xr:uid="{00000000-0005-0000-0000-0000953E0000}"/>
    <cellStyle name="Normal 12 5 5 3 5 2" xfId="16400" xr:uid="{00000000-0005-0000-0000-0000963E0000}"/>
    <cellStyle name="Normal 12 5 5 3 5 3" xfId="16401" xr:uid="{00000000-0005-0000-0000-0000973E0000}"/>
    <cellStyle name="Normal 12 5 5 3 5 4" xfId="16402" xr:uid="{00000000-0005-0000-0000-0000983E0000}"/>
    <cellStyle name="Normal 12 5 5 3 5 5" xfId="16403" xr:uid="{00000000-0005-0000-0000-0000993E0000}"/>
    <cellStyle name="Normal 12 5 5 3 6" xfId="16404" xr:uid="{00000000-0005-0000-0000-00009A3E0000}"/>
    <cellStyle name="Normal 12 5 5 3 7" xfId="16405" xr:uid="{00000000-0005-0000-0000-00009B3E0000}"/>
    <cellStyle name="Normal 12 5 5 3 8" xfId="16406" xr:uid="{00000000-0005-0000-0000-00009C3E0000}"/>
    <cellStyle name="Normal 12 5 5 3 9" xfId="16407" xr:uid="{00000000-0005-0000-0000-00009D3E0000}"/>
    <cellStyle name="Normal 12 5 5 4" xfId="16408" xr:uid="{00000000-0005-0000-0000-00009E3E0000}"/>
    <cellStyle name="Normal 12 5 5 4 10" xfId="16409" xr:uid="{00000000-0005-0000-0000-00009F3E0000}"/>
    <cellStyle name="Normal 12 5 5 4 2" xfId="16410" xr:uid="{00000000-0005-0000-0000-0000A03E0000}"/>
    <cellStyle name="Normal 12 5 5 4 2 2" xfId="16411" xr:uid="{00000000-0005-0000-0000-0000A13E0000}"/>
    <cellStyle name="Normal 12 5 5 4 2 2 2" xfId="16412" xr:uid="{00000000-0005-0000-0000-0000A23E0000}"/>
    <cellStyle name="Normal 12 5 5 4 2 2 3" xfId="16413" xr:uid="{00000000-0005-0000-0000-0000A33E0000}"/>
    <cellStyle name="Normal 12 5 5 4 2 2 4" xfId="16414" xr:uid="{00000000-0005-0000-0000-0000A43E0000}"/>
    <cellStyle name="Normal 12 5 5 4 2 2 5" xfId="16415" xr:uid="{00000000-0005-0000-0000-0000A53E0000}"/>
    <cellStyle name="Normal 12 5 5 4 2 3" xfId="16416" xr:uid="{00000000-0005-0000-0000-0000A63E0000}"/>
    <cellStyle name="Normal 12 5 5 4 2 4" xfId="16417" xr:uid="{00000000-0005-0000-0000-0000A73E0000}"/>
    <cellStyle name="Normal 12 5 5 4 2 5" xfId="16418" xr:uid="{00000000-0005-0000-0000-0000A83E0000}"/>
    <cellStyle name="Normal 12 5 5 4 2 6" xfId="16419" xr:uid="{00000000-0005-0000-0000-0000A93E0000}"/>
    <cellStyle name="Normal 12 5 5 4 2 7" xfId="16420" xr:uid="{00000000-0005-0000-0000-0000AA3E0000}"/>
    <cellStyle name="Normal 12 5 5 4 2 8" xfId="16421" xr:uid="{00000000-0005-0000-0000-0000AB3E0000}"/>
    <cellStyle name="Normal 12 5 5 4 3" xfId="16422" xr:uid="{00000000-0005-0000-0000-0000AC3E0000}"/>
    <cellStyle name="Normal 12 5 5 4 3 2" xfId="16423" xr:uid="{00000000-0005-0000-0000-0000AD3E0000}"/>
    <cellStyle name="Normal 12 5 5 4 3 2 2" xfId="16424" xr:uid="{00000000-0005-0000-0000-0000AE3E0000}"/>
    <cellStyle name="Normal 12 5 5 4 3 2 3" xfId="16425" xr:uid="{00000000-0005-0000-0000-0000AF3E0000}"/>
    <cellStyle name="Normal 12 5 5 4 3 2 4" xfId="16426" xr:uid="{00000000-0005-0000-0000-0000B03E0000}"/>
    <cellStyle name="Normal 12 5 5 4 3 2 5" xfId="16427" xr:uid="{00000000-0005-0000-0000-0000B13E0000}"/>
    <cellStyle name="Normal 12 5 5 4 3 3" xfId="16428" xr:uid="{00000000-0005-0000-0000-0000B23E0000}"/>
    <cellStyle name="Normal 12 5 5 4 3 4" xfId="16429" xr:uid="{00000000-0005-0000-0000-0000B33E0000}"/>
    <cellStyle name="Normal 12 5 5 4 3 5" xfId="16430" xr:uid="{00000000-0005-0000-0000-0000B43E0000}"/>
    <cellStyle name="Normal 12 5 5 4 3 6" xfId="16431" xr:uid="{00000000-0005-0000-0000-0000B53E0000}"/>
    <cellStyle name="Normal 12 5 5 4 3 7" xfId="16432" xr:uid="{00000000-0005-0000-0000-0000B63E0000}"/>
    <cellStyle name="Normal 12 5 5 4 3 8" xfId="16433" xr:uid="{00000000-0005-0000-0000-0000B73E0000}"/>
    <cellStyle name="Normal 12 5 5 4 4" xfId="16434" xr:uid="{00000000-0005-0000-0000-0000B83E0000}"/>
    <cellStyle name="Normal 12 5 5 4 4 2" xfId="16435" xr:uid="{00000000-0005-0000-0000-0000B93E0000}"/>
    <cellStyle name="Normal 12 5 5 4 4 3" xfId="16436" xr:uid="{00000000-0005-0000-0000-0000BA3E0000}"/>
    <cellStyle name="Normal 12 5 5 4 4 4" xfId="16437" xr:uid="{00000000-0005-0000-0000-0000BB3E0000}"/>
    <cellStyle name="Normal 12 5 5 4 4 5" xfId="16438" xr:uid="{00000000-0005-0000-0000-0000BC3E0000}"/>
    <cellStyle name="Normal 12 5 5 4 5" xfId="16439" xr:uid="{00000000-0005-0000-0000-0000BD3E0000}"/>
    <cellStyle name="Normal 12 5 5 4 6" xfId="16440" xr:uid="{00000000-0005-0000-0000-0000BE3E0000}"/>
    <cellStyle name="Normal 12 5 5 4 7" xfId="16441" xr:uid="{00000000-0005-0000-0000-0000BF3E0000}"/>
    <cellStyle name="Normal 12 5 5 4 8" xfId="16442" xr:uid="{00000000-0005-0000-0000-0000C03E0000}"/>
    <cellStyle name="Normal 12 5 5 4 9" xfId="16443" xr:uid="{00000000-0005-0000-0000-0000C13E0000}"/>
    <cellStyle name="Normal 12 5 5 5" xfId="16444" xr:uid="{00000000-0005-0000-0000-0000C23E0000}"/>
    <cellStyle name="Normal 12 5 5 5 2" xfId="16445" xr:uid="{00000000-0005-0000-0000-0000C33E0000}"/>
    <cellStyle name="Normal 12 5 5 5 2 2" xfId="16446" xr:uid="{00000000-0005-0000-0000-0000C43E0000}"/>
    <cellStyle name="Normal 12 5 5 5 2 3" xfId="16447" xr:uid="{00000000-0005-0000-0000-0000C53E0000}"/>
    <cellStyle name="Normal 12 5 5 5 2 4" xfId="16448" xr:uid="{00000000-0005-0000-0000-0000C63E0000}"/>
    <cellStyle name="Normal 12 5 5 5 2 5" xfId="16449" xr:uid="{00000000-0005-0000-0000-0000C73E0000}"/>
    <cellStyle name="Normal 12 5 5 5 3" xfId="16450" xr:uid="{00000000-0005-0000-0000-0000C83E0000}"/>
    <cellStyle name="Normal 12 5 5 5 4" xfId="16451" xr:uid="{00000000-0005-0000-0000-0000C93E0000}"/>
    <cellStyle name="Normal 12 5 5 5 5" xfId="16452" xr:uid="{00000000-0005-0000-0000-0000CA3E0000}"/>
    <cellStyle name="Normal 12 5 5 5 6" xfId="16453" xr:uid="{00000000-0005-0000-0000-0000CB3E0000}"/>
    <cellStyle name="Normal 12 5 5 5 7" xfId="16454" xr:uid="{00000000-0005-0000-0000-0000CC3E0000}"/>
    <cellStyle name="Normal 12 5 5 5 8" xfId="16455" xr:uid="{00000000-0005-0000-0000-0000CD3E0000}"/>
    <cellStyle name="Normal 12 5 5 6" xfId="16456" xr:uid="{00000000-0005-0000-0000-0000CE3E0000}"/>
    <cellStyle name="Normal 12 5 5 6 2" xfId="16457" xr:uid="{00000000-0005-0000-0000-0000CF3E0000}"/>
    <cellStyle name="Normal 12 5 5 6 2 2" xfId="16458" xr:uid="{00000000-0005-0000-0000-0000D03E0000}"/>
    <cellStyle name="Normal 12 5 5 6 2 3" xfId="16459" xr:uid="{00000000-0005-0000-0000-0000D13E0000}"/>
    <cellStyle name="Normal 12 5 5 6 2 4" xfId="16460" xr:uid="{00000000-0005-0000-0000-0000D23E0000}"/>
    <cellStyle name="Normal 12 5 5 6 2 5" xfId="16461" xr:uid="{00000000-0005-0000-0000-0000D33E0000}"/>
    <cellStyle name="Normal 12 5 5 6 3" xfId="16462" xr:uid="{00000000-0005-0000-0000-0000D43E0000}"/>
    <cellStyle name="Normal 12 5 5 6 4" xfId="16463" xr:uid="{00000000-0005-0000-0000-0000D53E0000}"/>
    <cellStyle name="Normal 12 5 5 6 5" xfId="16464" xr:uid="{00000000-0005-0000-0000-0000D63E0000}"/>
    <cellStyle name="Normal 12 5 5 6 6" xfId="16465" xr:uid="{00000000-0005-0000-0000-0000D73E0000}"/>
    <cellStyle name="Normal 12 5 5 6 7" xfId="16466" xr:uid="{00000000-0005-0000-0000-0000D83E0000}"/>
    <cellStyle name="Normal 12 5 5 6 8" xfId="16467" xr:uid="{00000000-0005-0000-0000-0000D93E0000}"/>
    <cellStyle name="Normal 12 5 5 7" xfId="16468" xr:uid="{00000000-0005-0000-0000-0000DA3E0000}"/>
    <cellStyle name="Normal 12 5 5 7 2" xfId="16469" xr:uid="{00000000-0005-0000-0000-0000DB3E0000}"/>
    <cellStyle name="Normal 12 5 5 7 3" xfId="16470" xr:uid="{00000000-0005-0000-0000-0000DC3E0000}"/>
    <cellStyle name="Normal 12 5 5 7 4" xfId="16471" xr:uid="{00000000-0005-0000-0000-0000DD3E0000}"/>
    <cellStyle name="Normal 12 5 5 7 5" xfId="16472" xr:uid="{00000000-0005-0000-0000-0000DE3E0000}"/>
    <cellStyle name="Normal 12 5 5 8" xfId="16473" xr:uid="{00000000-0005-0000-0000-0000DF3E0000}"/>
    <cellStyle name="Normal 12 5 5 9" xfId="16474" xr:uid="{00000000-0005-0000-0000-0000E03E0000}"/>
    <cellStyle name="Normal 12 5 6" xfId="16475" xr:uid="{00000000-0005-0000-0000-0000E13E0000}"/>
    <cellStyle name="Normal 12 5 6 10" xfId="16476" xr:uid="{00000000-0005-0000-0000-0000E23E0000}"/>
    <cellStyle name="Normal 12 5 6 11" xfId="16477" xr:uid="{00000000-0005-0000-0000-0000E33E0000}"/>
    <cellStyle name="Normal 12 5 6 12" xfId="16478" xr:uid="{00000000-0005-0000-0000-0000E43E0000}"/>
    <cellStyle name="Normal 12 5 6 13" xfId="16479" xr:uid="{00000000-0005-0000-0000-0000E53E0000}"/>
    <cellStyle name="Normal 12 5 6 2" xfId="16480" xr:uid="{00000000-0005-0000-0000-0000E63E0000}"/>
    <cellStyle name="Normal 12 5 6 2 10" xfId="16481" xr:uid="{00000000-0005-0000-0000-0000E73E0000}"/>
    <cellStyle name="Normal 12 5 6 2 11" xfId="16482" xr:uid="{00000000-0005-0000-0000-0000E83E0000}"/>
    <cellStyle name="Normal 12 5 6 2 2" xfId="16483" xr:uid="{00000000-0005-0000-0000-0000E93E0000}"/>
    <cellStyle name="Normal 12 5 6 2 2 10" xfId="16484" xr:uid="{00000000-0005-0000-0000-0000EA3E0000}"/>
    <cellStyle name="Normal 12 5 6 2 2 2" xfId="16485" xr:uid="{00000000-0005-0000-0000-0000EB3E0000}"/>
    <cellStyle name="Normal 12 5 6 2 2 2 2" xfId="16486" xr:uid="{00000000-0005-0000-0000-0000EC3E0000}"/>
    <cellStyle name="Normal 12 5 6 2 2 2 2 2" xfId="16487" xr:uid="{00000000-0005-0000-0000-0000ED3E0000}"/>
    <cellStyle name="Normal 12 5 6 2 2 2 2 3" xfId="16488" xr:uid="{00000000-0005-0000-0000-0000EE3E0000}"/>
    <cellStyle name="Normal 12 5 6 2 2 2 2 4" xfId="16489" xr:uid="{00000000-0005-0000-0000-0000EF3E0000}"/>
    <cellStyle name="Normal 12 5 6 2 2 2 2 5" xfId="16490" xr:uid="{00000000-0005-0000-0000-0000F03E0000}"/>
    <cellStyle name="Normal 12 5 6 2 2 2 3" xfId="16491" xr:uid="{00000000-0005-0000-0000-0000F13E0000}"/>
    <cellStyle name="Normal 12 5 6 2 2 2 4" xfId="16492" xr:uid="{00000000-0005-0000-0000-0000F23E0000}"/>
    <cellStyle name="Normal 12 5 6 2 2 2 5" xfId="16493" xr:uid="{00000000-0005-0000-0000-0000F33E0000}"/>
    <cellStyle name="Normal 12 5 6 2 2 2 6" xfId="16494" xr:uid="{00000000-0005-0000-0000-0000F43E0000}"/>
    <cellStyle name="Normal 12 5 6 2 2 2 7" xfId="16495" xr:uid="{00000000-0005-0000-0000-0000F53E0000}"/>
    <cellStyle name="Normal 12 5 6 2 2 2 8" xfId="16496" xr:uid="{00000000-0005-0000-0000-0000F63E0000}"/>
    <cellStyle name="Normal 12 5 6 2 2 3" xfId="16497" xr:uid="{00000000-0005-0000-0000-0000F73E0000}"/>
    <cellStyle name="Normal 12 5 6 2 2 3 2" xfId="16498" xr:uid="{00000000-0005-0000-0000-0000F83E0000}"/>
    <cellStyle name="Normal 12 5 6 2 2 3 2 2" xfId="16499" xr:uid="{00000000-0005-0000-0000-0000F93E0000}"/>
    <cellStyle name="Normal 12 5 6 2 2 3 2 3" xfId="16500" xr:uid="{00000000-0005-0000-0000-0000FA3E0000}"/>
    <cellStyle name="Normal 12 5 6 2 2 3 2 4" xfId="16501" xr:uid="{00000000-0005-0000-0000-0000FB3E0000}"/>
    <cellStyle name="Normal 12 5 6 2 2 3 2 5" xfId="16502" xr:uid="{00000000-0005-0000-0000-0000FC3E0000}"/>
    <cellStyle name="Normal 12 5 6 2 2 3 3" xfId="16503" xr:uid="{00000000-0005-0000-0000-0000FD3E0000}"/>
    <cellStyle name="Normal 12 5 6 2 2 3 4" xfId="16504" xr:uid="{00000000-0005-0000-0000-0000FE3E0000}"/>
    <cellStyle name="Normal 12 5 6 2 2 3 5" xfId="16505" xr:uid="{00000000-0005-0000-0000-0000FF3E0000}"/>
    <cellStyle name="Normal 12 5 6 2 2 3 6" xfId="16506" xr:uid="{00000000-0005-0000-0000-0000003F0000}"/>
    <cellStyle name="Normal 12 5 6 2 2 3 7" xfId="16507" xr:uid="{00000000-0005-0000-0000-0000013F0000}"/>
    <cellStyle name="Normal 12 5 6 2 2 3 8" xfId="16508" xr:uid="{00000000-0005-0000-0000-0000023F0000}"/>
    <cellStyle name="Normal 12 5 6 2 2 4" xfId="16509" xr:uid="{00000000-0005-0000-0000-0000033F0000}"/>
    <cellStyle name="Normal 12 5 6 2 2 4 2" xfId="16510" xr:uid="{00000000-0005-0000-0000-0000043F0000}"/>
    <cellStyle name="Normal 12 5 6 2 2 4 3" xfId="16511" xr:uid="{00000000-0005-0000-0000-0000053F0000}"/>
    <cellStyle name="Normal 12 5 6 2 2 4 4" xfId="16512" xr:uid="{00000000-0005-0000-0000-0000063F0000}"/>
    <cellStyle name="Normal 12 5 6 2 2 4 5" xfId="16513" xr:uid="{00000000-0005-0000-0000-0000073F0000}"/>
    <cellStyle name="Normal 12 5 6 2 2 5" xfId="16514" xr:uid="{00000000-0005-0000-0000-0000083F0000}"/>
    <cellStyle name="Normal 12 5 6 2 2 6" xfId="16515" xr:uid="{00000000-0005-0000-0000-0000093F0000}"/>
    <cellStyle name="Normal 12 5 6 2 2 7" xfId="16516" xr:uid="{00000000-0005-0000-0000-00000A3F0000}"/>
    <cellStyle name="Normal 12 5 6 2 2 8" xfId="16517" xr:uid="{00000000-0005-0000-0000-00000B3F0000}"/>
    <cellStyle name="Normal 12 5 6 2 2 9" xfId="16518" xr:uid="{00000000-0005-0000-0000-00000C3F0000}"/>
    <cellStyle name="Normal 12 5 6 2 3" xfId="16519" xr:uid="{00000000-0005-0000-0000-00000D3F0000}"/>
    <cellStyle name="Normal 12 5 6 2 3 2" xfId="16520" xr:uid="{00000000-0005-0000-0000-00000E3F0000}"/>
    <cellStyle name="Normal 12 5 6 2 3 2 2" xfId="16521" xr:uid="{00000000-0005-0000-0000-00000F3F0000}"/>
    <cellStyle name="Normal 12 5 6 2 3 2 3" xfId="16522" xr:uid="{00000000-0005-0000-0000-0000103F0000}"/>
    <cellStyle name="Normal 12 5 6 2 3 2 4" xfId="16523" xr:uid="{00000000-0005-0000-0000-0000113F0000}"/>
    <cellStyle name="Normal 12 5 6 2 3 2 5" xfId="16524" xr:uid="{00000000-0005-0000-0000-0000123F0000}"/>
    <cellStyle name="Normal 12 5 6 2 3 3" xfId="16525" xr:uid="{00000000-0005-0000-0000-0000133F0000}"/>
    <cellStyle name="Normal 12 5 6 2 3 4" xfId="16526" xr:uid="{00000000-0005-0000-0000-0000143F0000}"/>
    <cellStyle name="Normal 12 5 6 2 3 5" xfId="16527" xr:uid="{00000000-0005-0000-0000-0000153F0000}"/>
    <cellStyle name="Normal 12 5 6 2 3 6" xfId="16528" xr:uid="{00000000-0005-0000-0000-0000163F0000}"/>
    <cellStyle name="Normal 12 5 6 2 3 7" xfId="16529" xr:uid="{00000000-0005-0000-0000-0000173F0000}"/>
    <cellStyle name="Normal 12 5 6 2 3 8" xfId="16530" xr:uid="{00000000-0005-0000-0000-0000183F0000}"/>
    <cellStyle name="Normal 12 5 6 2 4" xfId="16531" xr:uid="{00000000-0005-0000-0000-0000193F0000}"/>
    <cellStyle name="Normal 12 5 6 2 4 2" xfId="16532" xr:uid="{00000000-0005-0000-0000-00001A3F0000}"/>
    <cellStyle name="Normal 12 5 6 2 4 2 2" xfId="16533" xr:uid="{00000000-0005-0000-0000-00001B3F0000}"/>
    <cellStyle name="Normal 12 5 6 2 4 2 3" xfId="16534" xr:uid="{00000000-0005-0000-0000-00001C3F0000}"/>
    <cellStyle name="Normal 12 5 6 2 4 2 4" xfId="16535" xr:uid="{00000000-0005-0000-0000-00001D3F0000}"/>
    <cellStyle name="Normal 12 5 6 2 4 2 5" xfId="16536" xr:uid="{00000000-0005-0000-0000-00001E3F0000}"/>
    <cellStyle name="Normal 12 5 6 2 4 3" xfId="16537" xr:uid="{00000000-0005-0000-0000-00001F3F0000}"/>
    <cellStyle name="Normal 12 5 6 2 4 4" xfId="16538" xr:uid="{00000000-0005-0000-0000-0000203F0000}"/>
    <cellStyle name="Normal 12 5 6 2 4 5" xfId="16539" xr:uid="{00000000-0005-0000-0000-0000213F0000}"/>
    <cellStyle name="Normal 12 5 6 2 4 6" xfId="16540" xr:uid="{00000000-0005-0000-0000-0000223F0000}"/>
    <cellStyle name="Normal 12 5 6 2 4 7" xfId="16541" xr:uid="{00000000-0005-0000-0000-0000233F0000}"/>
    <cellStyle name="Normal 12 5 6 2 4 8" xfId="16542" xr:uid="{00000000-0005-0000-0000-0000243F0000}"/>
    <cellStyle name="Normal 12 5 6 2 5" xfId="16543" xr:uid="{00000000-0005-0000-0000-0000253F0000}"/>
    <cellStyle name="Normal 12 5 6 2 5 2" xfId="16544" xr:uid="{00000000-0005-0000-0000-0000263F0000}"/>
    <cellStyle name="Normal 12 5 6 2 5 3" xfId="16545" xr:uid="{00000000-0005-0000-0000-0000273F0000}"/>
    <cellStyle name="Normal 12 5 6 2 5 4" xfId="16546" xr:uid="{00000000-0005-0000-0000-0000283F0000}"/>
    <cellStyle name="Normal 12 5 6 2 5 5" xfId="16547" xr:uid="{00000000-0005-0000-0000-0000293F0000}"/>
    <cellStyle name="Normal 12 5 6 2 6" xfId="16548" xr:uid="{00000000-0005-0000-0000-00002A3F0000}"/>
    <cellStyle name="Normal 12 5 6 2 7" xfId="16549" xr:uid="{00000000-0005-0000-0000-00002B3F0000}"/>
    <cellStyle name="Normal 12 5 6 2 8" xfId="16550" xr:uid="{00000000-0005-0000-0000-00002C3F0000}"/>
    <cellStyle name="Normal 12 5 6 2 9" xfId="16551" xr:uid="{00000000-0005-0000-0000-00002D3F0000}"/>
    <cellStyle name="Normal 12 5 6 3" xfId="16552" xr:uid="{00000000-0005-0000-0000-00002E3F0000}"/>
    <cellStyle name="Normal 12 5 6 3 10" xfId="16553" xr:uid="{00000000-0005-0000-0000-00002F3F0000}"/>
    <cellStyle name="Normal 12 5 6 3 11" xfId="16554" xr:uid="{00000000-0005-0000-0000-0000303F0000}"/>
    <cellStyle name="Normal 12 5 6 3 2" xfId="16555" xr:uid="{00000000-0005-0000-0000-0000313F0000}"/>
    <cellStyle name="Normal 12 5 6 3 2 10" xfId="16556" xr:uid="{00000000-0005-0000-0000-0000323F0000}"/>
    <cellStyle name="Normal 12 5 6 3 2 2" xfId="16557" xr:uid="{00000000-0005-0000-0000-0000333F0000}"/>
    <cellStyle name="Normal 12 5 6 3 2 2 2" xfId="16558" xr:uid="{00000000-0005-0000-0000-0000343F0000}"/>
    <cellStyle name="Normal 12 5 6 3 2 2 2 2" xfId="16559" xr:uid="{00000000-0005-0000-0000-0000353F0000}"/>
    <cellStyle name="Normal 12 5 6 3 2 2 2 3" xfId="16560" xr:uid="{00000000-0005-0000-0000-0000363F0000}"/>
    <cellStyle name="Normal 12 5 6 3 2 2 2 4" xfId="16561" xr:uid="{00000000-0005-0000-0000-0000373F0000}"/>
    <cellStyle name="Normal 12 5 6 3 2 2 2 5" xfId="16562" xr:uid="{00000000-0005-0000-0000-0000383F0000}"/>
    <cellStyle name="Normal 12 5 6 3 2 2 3" xfId="16563" xr:uid="{00000000-0005-0000-0000-0000393F0000}"/>
    <cellStyle name="Normal 12 5 6 3 2 2 4" xfId="16564" xr:uid="{00000000-0005-0000-0000-00003A3F0000}"/>
    <cellStyle name="Normal 12 5 6 3 2 2 5" xfId="16565" xr:uid="{00000000-0005-0000-0000-00003B3F0000}"/>
    <cellStyle name="Normal 12 5 6 3 2 2 6" xfId="16566" xr:uid="{00000000-0005-0000-0000-00003C3F0000}"/>
    <cellStyle name="Normal 12 5 6 3 2 2 7" xfId="16567" xr:uid="{00000000-0005-0000-0000-00003D3F0000}"/>
    <cellStyle name="Normal 12 5 6 3 2 2 8" xfId="16568" xr:uid="{00000000-0005-0000-0000-00003E3F0000}"/>
    <cellStyle name="Normal 12 5 6 3 2 3" xfId="16569" xr:uid="{00000000-0005-0000-0000-00003F3F0000}"/>
    <cellStyle name="Normal 12 5 6 3 2 3 2" xfId="16570" xr:uid="{00000000-0005-0000-0000-0000403F0000}"/>
    <cellStyle name="Normal 12 5 6 3 2 3 2 2" xfId="16571" xr:uid="{00000000-0005-0000-0000-0000413F0000}"/>
    <cellStyle name="Normal 12 5 6 3 2 3 2 3" xfId="16572" xr:uid="{00000000-0005-0000-0000-0000423F0000}"/>
    <cellStyle name="Normal 12 5 6 3 2 3 2 4" xfId="16573" xr:uid="{00000000-0005-0000-0000-0000433F0000}"/>
    <cellStyle name="Normal 12 5 6 3 2 3 2 5" xfId="16574" xr:uid="{00000000-0005-0000-0000-0000443F0000}"/>
    <cellStyle name="Normal 12 5 6 3 2 3 3" xfId="16575" xr:uid="{00000000-0005-0000-0000-0000453F0000}"/>
    <cellStyle name="Normal 12 5 6 3 2 3 4" xfId="16576" xr:uid="{00000000-0005-0000-0000-0000463F0000}"/>
    <cellStyle name="Normal 12 5 6 3 2 3 5" xfId="16577" xr:uid="{00000000-0005-0000-0000-0000473F0000}"/>
    <cellStyle name="Normal 12 5 6 3 2 3 6" xfId="16578" xr:uid="{00000000-0005-0000-0000-0000483F0000}"/>
    <cellStyle name="Normal 12 5 6 3 2 3 7" xfId="16579" xr:uid="{00000000-0005-0000-0000-0000493F0000}"/>
    <cellStyle name="Normal 12 5 6 3 2 3 8" xfId="16580" xr:uid="{00000000-0005-0000-0000-00004A3F0000}"/>
    <cellStyle name="Normal 12 5 6 3 2 4" xfId="16581" xr:uid="{00000000-0005-0000-0000-00004B3F0000}"/>
    <cellStyle name="Normal 12 5 6 3 2 4 2" xfId="16582" xr:uid="{00000000-0005-0000-0000-00004C3F0000}"/>
    <cellStyle name="Normal 12 5 6 3 2 4 3" xfId="16583" xr:uid="{00000000-0005-0000-0000-00004D3F0000}"/>
    <cellStyle name="Normal 12 5 6 3 2 4 4" xfId="16584" xr:uid="{00000000-0005-0000-0000-00004E3F0000}"/>
    <cellStyle name="Normal 12 5 6 3 2 4 5" xfId="16585" xr:uid="{00000000-0005-0000-0000-00004F3F0000}"/>
    <cellStyle name="Normal 12 5 6 3 2 5" xfId="16586" xr:uid="{00000000-0005-0000-0000-0000503F0000}"/>
    <cellStyle name="Normal 12 5 6 3 2 6" xfId="16587" xr:uid="{00000000-0005-0000-0000-0000513F0000}"/>
    <cellStyle name="Normal 12 5 6 3 2 7" xfId="16588" xr:uid="{00000000-0005-0000-0000-0000523F0000}"/>
    <cellStyle name="Normal 12 5 6 3 2 8" xfId="16589" xr:uid="{00000000-0005-0000-0000-0000533F0000}"/>
    <cellStyle name="Normal 12 5 6 3 2 9" xfId="16590" xr:uid="{00000000-0005-0000-0000-0000543F0000}"/>
    <cellStyle name="Normal 12 5 6 3 3" xfId="16591" xr:uid="{00000000-0005-0000-0000-0000553F0000}"/>
    <cellStyle name="Normal 12 5 6 3 3 2" xfId="16592" xr:uid="{00000000-0005-0000-0000-0000563F0000}"/>
    <cellStyle name="Normal 12 5 6 3 3 2 2" xfId="16593" xr:uid="{00000000-0005-0000-0000-0000573F0000}"/>
    <cellStyle name="Normal 12 5 6 3 3 2 3" xfId="16594" xr:uid="{00000000-0005-0000-0000-0000583F0000}"/>
    <cellStyle name="Normal 12 5 6 3 3 2 4" xfId="16595" xr:uid="{00000000-0005-0000-0000-0000593F0000}"/>
    <cellStyle name="Normal 12 5 6 3 3 2 5" xfId="16596" xr:uid="{00000000-0005-0000-0000-00005A3F0000}"/>
    <cellStyle name="Normal 12 5 6 3 3 3" xfId="16597" xr:uid="{00000000-0005-0000-0000-00005B3F0000}"/>
    <cellStyle name="Normal 12 5 6 3 3 4" xfId="16598" xr:uid="{00000000-0005-0000-0000-00005C3F0000}"/>
    <cellStyle name="Normal 12 5 6 3 3 5" xfId="16599" xr:uid="{00000000-0005-0000-0000-00005D3F0000}"/>
    <cellStyle name="Normal 12 5 6 3 3 6" xfId="16600" xr:uid="{00000000-0005-0000-0000-00005E3F0000}"/>
    <cellStyle name="Normal 12 5 6 3 3 7" xfId="16601" xr:uid="{00000000-0005-0000-0000-00005F3F0000}"/>
    <cellStyle name="Normal 12 5 6 3 3 8" xfId="16602" xr:uid="{00000000-0005-0000-0000-0000603F0000}"/>
    <cellStyle name="Normal 12 5 6 3 4" xfId="16603" xr:uid="{00000000-0005-0000-0000-0000613F0000}"/>
    <cellStyle name="Normal 12 5 6 3 4 2" xfId="16604" xr:uid="{00000000-0005-0000-0000-0000623F0000}"/>
    <cellStyle name="Normal 12 5 6 3 4 2 2" xfId="16605" xr:uid="{00000000-0005-0000-0000-0000633F0000}"/>
    <cellStyle name="Normal 12 5 6 3 4 2 3" xfId="16606" xr:uid="{00000000-0005-0000-0000-0000643F0000}"/>
    <cellStyle name="Normal 12 5 6 3 4 2 4" xfId="16607" xr:uid="{00000000-0005-0000-0000-0000653F0000}"/>
    <cellStyle name="Normal 12 5 6 3 4 2 5" xfId="16608" xr:uid="{00000000-0005-0000-0000-0000663F0000}"/>
    <cellStyle name="Normal 12 5 6 3 4 3" xfId="16609" xr:uid="{00000000-0005-0000-0000-0000673F0000}"/>
    <cellStyle name="Normal 12 5 6 3 4 4" xfId="16610" xr:uid="{00000000-0005-0000-0000-0000683F0000}"/>
    <cellStyle name="Normal 12 5 6 3 4 5" xfId="16611" xr:uid="{00000000-0005-0000-0000-0000693F0000}"/>
    <cellStyle name="Normal 12 5 6 3 4 6" xfId="16612" xr:uid="{00000000-0005-0000-0000-00006A3F0000}"/>
    <cellStyle name="Normal 12 5 6 3 4 7" xfId="16613" xr:uid="{00000000-0005-0000-0000-00006B3F0000}"/>
    <cellStyle name="Normal 12 5 6 3 4 8" xfId="16614" xr:uid="{00000000-0005-0000-0000-00006C3F0000}"/>
    <cellStyle name="Normal 12 5 6 3 5" xfId="16615" xr:uid="{00000000-0005-0000-0000-00006D3F0000}"/>
    <cellStyle name="Normal 12 5 6 3 5 2" xfId="16616" xr:uid="{00000000-0005-0000-0000-00006E3F0000}"/>
    <cellStyle name="Normal 12 5 6 3 5 3" xfId="16617" xr:uid="{00000000-0005-0000-0000-00006F3F0000}"/>
    <cellStyle name="Normal 12 5 6 3 5 4" xfId="16618" xr:uid="{00000000-0005-0000-0000-0000703F0000}"/>
    <cellStyle name="Normal 12 5 6 3 5 5" xfId="16619" xr:uid="{00000000-0005-0000-0000-0000713F0000}"/>
    <cellStyle name="Normal 12 5 6 3 6" xfId="16620" xr:uid="{00000000-0005-0000-0000-0000723F0000}"/>
    <cellStyle name="Normal 12 5 6 3 7" xfId="16621" xr:uid="{00000000-0005-0000-0000-0000733F0000}"/>
    <cellStyle name="Normal 12 5 6 3 8" xfId="16622" xr:uid="{00000000-0005-0000-0000-0000743F0000}"/>
    <cellStyle name="Normal 12 5 6 3 9" xfId="16623" xr:uid="{00000000-0005-0000-0000-0000753F0000}"/>
    <cellStyle name="Normal 12 5 6 4" xfId="16624" xr:uid="{00000000-0005-0000-0000-0000763F0000}"/>
    <cellStyle name="Normal 12 5 6 4 10" xfId="16625" xr:uid="{00000000-0005-0000-0000-0000773F0000}"/>
    <cellStyle name="Normal 12 5 6 4 2" xfId="16626" xr:uid="{00000000-0005-0000-0000-0000783F0000}"/>
    <cellStyle name="Normal 12 5 6 4 2 2" xfId="16627" xr:uid="{00000000-0005-0000-0000-0000793F0000}"/>
    <cellStyle name="Normal 12 5 6 4 2 2 2" xfId="16628" xr:uid="{00000000-0005-0000-0000-00007A3F0000}"/>
    <cellStyle name="Normal 12 5 6 4 2 2 3" xfId="16629" xr:uid="{00000000-0005-0000-0000-00007B3F0000}"/>
    <cellStyle name="Normal 12 5 6 4 2 2 4" xfId="16630" xr:uid="{00000000-0005-0000-0000-00007C3F0000}"/>
    <cellStyle name="Normal 12 5 6 4 2 2 5" xfId="16631" xr:uid="{00000000-0005-0000-0000-00007D3F0000}"/>
    <cellStyle name="Normal 12 5 6 4 2 3" xfId="16632" xr:uid="{00000000-0005-0000-0000-00007E3F0000}"/>
    <cellStyle name="Normal 12 5 6 4 2 4" xfId="16633" xr:uid="{00000000-0005-0000-0000-00007F3F0000}"/>
    <cellStyle name="Normal 12 5 6 4 2 5" xfId="16634" xr:uid="{00000000-0005-0000-0000-0000803F0000}"/>
    <cellStyle name="Normal 12 5 6 4 2 6" xfId="16635" xr:uid="{00000000-0005-0000-0000-0000813F0000}"/>
    <cellStyle name="Normal 12 5 6 4 2 7" xfId="16636" xr:uid="{00000000-0005-0000-0000-0000823F0000}"/>
    <cellStyle name="Normal 12 5 6 4 2 8" xfId="16637" xr:uid="{00000000-0005-0000-0000-0000833F0000}"/>
    <cellStyle name="Normal 12 5 6 4 3" xfId="16638" xr:uid="{00000000-0005-0000-0000-0000843F0000}"/>
    <cellStyle name="Normal 12 5 6 4 3 2" xfId="16639" xr:uid="{00000000-0005-0000-0000-0000853F0000}"/>
    <cellStyle name="Normal 12 5 6 4 3 2 2" xfId="16640" xr:uid="{00000000-0005-0000-0000-0000863F0000}"/>
    <cellStyle name="Normal 12 5 6 4 3 2 3" xfId="16641" xr:uid="{00000000-0005-0000-0000-0000873F0000}"/>
    <cellStyle name="Normal 12 5 6 4 3 2 4" xfId="16642" xr:uid="{00000000-0005-0000-0000-0000883F0000}"/>
    <cellStyle name="Normal 12 5 6 4 3 2 5" xfId="16643" xr:uid="{00000000-0005-0000-0000-0000893F0000}"/>
    <cellStyle name="Normal 12 5 6 4 3 3" xfId="16644" xr:uid="{00000000-0005-0000-0000-00008A3F0000}"/>
    <cellStyle name="Normal 12 5 6 4 3 4" xfId="16645" xr:uid="{00000000-0005-0000-0000-00008B3F0000}"/>
    <cellStyle name="Normal 12 5 6 4 3 5" xfId="16646" xr:uid="{00000000-0005-0000-0000-00008C3F0000}"/>
    <cellStyle name="Normal 12 5 6 4 3 6" xfId="16647" xr:uid="{00000000-0005-0000-0000-00008D3F0000}"/>
    <cellStyle name="Normal 12 5 6 4 3 7" xfId="16648" xr:uid="{00000000-0005-0000-0000-00008E3F0000}"/>
    <cellStyle name="Normal 12 5 6 4 3 8" xfId="16649" xr:uid="{00000000-0005-0000-0000-00008F3F0000}"/>
    <cellStyle name="Normal 12 5 6 4 4" xfId="16650" xr:uid="{00000000-0005-0000-0000-0000903F0000}"/>
    <cellStyle name="Normal 12 5 6 4 4 2" xfId="16651" xr:uid="{00000000-0005-0000-0000-0000913F0000}"/>
    <cellStyle name="Normal 12 5 6 4 4 3" xfId="16652" xr:uid="{00000000-0005-0000-0000-0000923F0000}"/>
    <cellStyle name="Normal 12 5 6 4 4 4" xfId="16653" xr:uid="{00000000-0005-0000-0000-0000933F0000}"/>
    <cellStyle name="Normal 12 5 6 4 4 5" xfId="16654" xr:uid="{00000000-0005-0000-0000-0000943F0000}"/>
    <cellStyle name="Normal 12 5 6 4 5" xfId="16655" xr:uid="{00000000-0005-0000-0000-0000953F0000}"/>
    <cellStyle name="Normal 12 5 6 4 6" xfId="16656" xr:uid="{00000000-0005-0000-0000-0000963F0000}"/>
    <cellStyle name="Normal 12 5 6 4 7" xfId="16657" xr:uid="{00000000-0005-0000-0000-0000973F0000}"/>
    <cellStyle name="Normal 12 5 6 4 8" xfId="16658" xr:uid="{00000000-0005-0000-0000-0000983F0000}"/>
    <cellStyle name="Normal 12 5 6 4 9" xfId="16659" xr:uid="{00000000-0005-0000-0000-0000993F0000}"/>
    <cellStyle name="Normal 12 5 6 5" xfId="16660" xr:uid="{00000000-0005-0000-0000-00009A3F0000}"/>
    <cellStyle name="Normal 12 5 6 5 2" xfId="16661" xr:uid="{00000000-0005-0000-0000-00009B3F0000}"/>
    <cellStyle name="Normal 12 5 6 5 2 2" xfId="16662" xr:uid="{00000000-0005-0000-0000-00009C3F0000}"/>
    <cellStyle name="Normal 12 5 6 5 2 3" xfId="16663" xr:uid="{00000000-0005-0000-0000-00009D3F0000}"/>
    <cellStyle name="Normal 12 5 6 5 2 4" xfId="16664" xr:uid="{00000000-0005-0000-0000-00009E3F0000}"/>
    <cellStyle name="Normal 12 5 6 5 2 5" xfId="16665" xr:uid="{00000000-0005-0000-0000-00009F3F0000}"/>
    <cellStyle name="Normal 12 5 6 5 3" xfId="16666" xr:uid="{00000000-0005-0000-0000-0000A03F0000}"/>
    <cellStyle name="Normal 12 5 6 5 4" xfId="16667" xr:uid="{00000000-0005-0000-0000-0000A13F0000}"/>
    <cellStyle name="Normal 12 5 6 5 5" xfId="16668" xr:uid="{00000000-0005-0000-0000-0000A23F0000}"/>
    <cellStyle name="Normal 12 5 6 5 6" xfId="16669" xr:uid="{00000000-0005-0000-0000-0000A33F0000}"/>
    <cellStyle name="Normal 12 5 6 5 7" xfId="16670" xr:uid="{00000000-0005-0000-0000-0000A43F0000}"/>
    <cellStyle name="Normal 12 5 6 5 8" xfId="16671" xr:uid="{00000000-0005-0000-0000-0000A53F0000}"/>
    <cellStyle name="Normal 12 5 6 6" xfId="16672" xr:uid="{00000000-0005-0000-0000-0000A63F0000}"/>
    <cellStyle name="Normal 12 5 6 6 2" xfId="16673" xr:uid="{00000000-0005-0000-0000-0000A73F0000}"/>
    <cellStyle name="Normal 12 5 6 6 2 2" xfId="16674" xr:uid="{00000000-0005-0000-0000-0000A83F0000}"/>
    <cellStyle name="Normal 12 5 6 6 2 3" xfId="16675" xr:uid="{00000000-0005-0000-0000-0000A93F0000}"/>
    <cellStyle name="Normal 12 5 6 6 2 4" xfId="16676" xr:uid="{00000000-0005-0000-0000-0000AA3F0000}"/>
    <cellStyle name="Normal 12 5 6 6 2 5" xfId="16677" xr:uid="{00000000-0005-0000-0000-0000AB3F0000}"/>
    <cellStyle name="Normal 12 5 6 6 3" xfId="16678" xr:uid="{00000000-0005-0000-0000-0000AC3F0000}"/>
    <cellStyle name="Normal 12 5 6 6 4" xfId="16679" xr:uid="{00000000-0005-0000-0000-0000AD3F0000}"/>
    <cellStyle name="Normal 12 5 6 6 5" xfId="16680" xr:uid="{00000000-0005-0000-0000-0000AE3F0000}"/>
    <cellStyle name="Normal 12 5 6 6 6" xfId="16681" xr:uid="{00000000-0005-0000-0000-0000AF3F0000}"/>
    <cellStyle name="Normal 12 5 6 6 7" xfId="16682" xr:uid="{00000000-0005-0000-0000-0000B03F0000}"/>
    <cellStyle name="Normal 12 5 6 6 8" xfId="16683" xr:uid="{00000000-0005-0000-0000-0000B13F0000}"/>
    <cellStyle name="Normal 12 5 6 7" xfId="16684" xr:uid="{00000000-0005-0000-0000-0000B23F0000}"/>
    <cellStyle name="Normal 12 5 6 7 2" xfId="16685" xr:uid="{00000000-0005-0000-0000-0000B33F0000}"/>
    <cellStyle name="Normal 12 5 6 7 3" xfId="16686" xr:uid="{00000000-0005-0000-0000-0000B43F0000}"/>
    <cellStyle name="Normal 12 5 6 7 4" xfId="16687" xr:uid="{00000000-0005-0000-0000-0000B53F0000}"/>
    <cellStyle name="Normal 12 5 6 7 5" xfId="16688" xr:uid="{00000000-0005-0000-0000-0000B63F0000}"/>
    <cellStyle name="Normal 12 5 6 8" xfId="16689" xr:uid="{00000000-0005-0000-0000-0000B73F0000}"/>
    <cellStyle name="Normal 12 5 6 9" xfId="16690" xr:uid="{00000000-0005-0000-0000-0000B83F0000}"/>
    <cellStyle name="Normal 12 5 7" xfId="16691" xr:uid="{00000000-0005-0000-0000-0000B93F0000}"/>
    <cellStyle name="Normal 12 5 7 10" xfId="16692" xr:uid="{00000000-0005-0000-0000-0000BA3F0000}"/>
    <cellStyle name="Normal 12 5 7 11" xfId="16693" xr:uid="{00000000-0005-0000-0000-0000BB3F0000}"/>
    <cellStyle name="Normal 12 5 7 12" xfId="16694" xr:uid="{00000000-0005-0000-0000-0000BC3F0000}"/>
    <cellStyle name="Normal 12 5 7 13" xfId="16695" xr:uid="{00000000-0005-0000-0000-0000BD3F0000}"/>
    <cellStyle name="Normal 12 5 7 2" xfId="16696" xr:uid="{00000000-0005-0000-0000-0000BE3F0000}"/>
    <cellStyle name="Normal 12 5 7 2 10" xfId="16697" xr:uid="{00000000-0005-0000-0000-0000BF3F0000}"/>
    <cellStyle name="Normal 12 5 7 2 11" xfId="16698" xr:uid="{00000000-0005-0000-0000-0000C03F0000}"/>
    <cellStyle name="Normal 12 5 7 2 2" xfId="16699" xr:uid="{00000000-0005-0000-0000-0000C13F0000}"/>
    <cellStyle name="Normal 12 5 7 2 2 10" xfId="16700" xr:uid="{00000000-0005-0000-0000-0000C23F0000}"/>
    <cellStyle name="Normal 12 5 7 2 2 2" xfId="16701" xr:uid="{00000000-0005-0000-0000-0000C33F0000}"/>
    <cellStyle name="Normal 12 5 7 2 2 2 2" xfId="16702" xr:uid="{00000000-0005-0000-0000-0000C43F0000}"/>
    <cellStyle name="Normal 12 5 7 2 2 2 2 2" xfId="16703" xr:uid="{00000000-0005-0000-0000-0000C53F0000}"/>
    <cellStyle name="Normal 12 5 7 2 2 2 2 3" xfId="16704" xr:uid="{00000000-0005-0000-0000-0000C63F0000}"/>
    <cellStyle name="Normal 12 5 7 2 2 2 2 4" xfId="16705" xr:uid="{00000000-0005-0000-0000-0000C73F0000}"/>
    <cellStyle name="Normal 12 5 7 2 2 2 2 5" xfId="16706" xr:uid="{00000000-0005-0000-0000-0000C83F0000}"/>
    <cellStyle name="Normal 12 5 7 2 2 2 3" xfId="16707" xr:uid="{00000000-0005-0000-0000-0000C93F0000}"/>
    <cellStyle name="Normal 12 5 7 2 2 2 4" xfId="16708" xr:uid="{00000000-0005-0000-0000-0000CA3F0000}"/>
    <cellStyle name="Normal 12 5 7 2 2 2 5" xfId="16709" xr:uid="{00000000-0005-0000-0000-0000CB3F0000}"/>
    <cellStyle name="Normal 12 5 7 2 2 2 6" xfId="16710" xr:uid="{00000000-0005-0000-0000-0000CC3F0000}"/>
    <cellStyle name="Normal 12 5 7 2 2 2 7" xfId="16711" xr:uid="{00000000-0005-0000-0000-0000CD3F0000}"/>
    <cellStyle name="Normal 12 5 7 2 2 2 8" xfId="16712" xr:uid="{00000000-0005-0000-0000-0000CE3F0000}"/>
    <cellStyle name="Normal 12 5 7 2 2 3" xfId="16713" xr:uid="{00000000-0005-0000-0000-0000CF3F0000}"/>
    <cellStyle name="Normal 12 5 7 2 2 3 2" xfId="16714" xr:uid="{00000000-0005-0000-0000-0000D03F0000}"/>
    <cellStyle name="Normal 12 5 7 2 2 3 2 2" xfId="16715" xr:uid="{00000000-0005-0000-0000-0000D13F0000}"/>
    <cellStyle name="Normal 12 5 7 2 2 3 2 3" xfId="16716" xr:uid="{00000000-0005-0000-0000-0000D23F0000}"/>
    <cellStyle name="Normal 12 5 7 2 2 3 2 4" xfId="16717" xr:uid="{00000000-0005-0000-0000-0000D33F0000}"/>
    <cellStyle name="Normal 12 5 7 2 2 3 2 5" xfId="16718" xr:uid="{00000000-0005-0000-0000-0000D43F0000}"/>
    <cellStyle name="Normal 12 5 7 2 2 3 3" xfId="16719" xr:uid="{00000000-0005-0000-0000-0000D53F0000}"/>
    <cellStyle name="Normal 12 5 7 2 2 3 4" xfId="16720" xr:uid="{00000000-0005-0000-0000-0000D63F0000}"/>
    <cellStyle name="Normal 12 5 7 2 2 3 5" xfId="16721" xr:uid="{00000000-0005-0000-0000-0000D73F0000}"/>
    <cellStyle name="Normal 12 5 7 2 2 3 6" xfId="16722" xr:uid="{00000000-0005-0000-0000-0000D83F0000}"/>
    <cellStyle name="Normal 12 5 7 2 2 3 7" xfId="16723" xr:uid="{00000000-0005-0000-0000-0000D93F0000}"/>
    <cellStyle name="Normal 12 5 7 2 2 3 8" xfId="16724" xr:uid="{00000000-0005-0000-0000-0000DA3F0000}"/>
    <cellStyle name="Normal 12 5 7 2 2 4" xfId="16725" xr:uid="{00000000-0005-0000-0000-0000DB3F0000}"/>
    <cellStyle name="Normal 12 5 7 2 2 4 2" xfId="16726" xr:uid="{00000000-0005-0000-0000-0000DC3F0000}"/>
    <cellStyle name="Normal 12 5 7 2 2 4 3" xfId="16727" xr:uid="{00000000-0005-0000-0000-0000DD3F0000}"/>
    <cellStyle name="Normal 12 5 7 2 2 4 4" xfId="16728" xr:uid="{00000000-0005-0000-0000-0000DE3F0000}"/>
    <cellStyle name="Normal 12 5 7 2 2 4 5" xfId="16729" xr:uid="{00000000-0005-0000-0000-0000DF3F0000}"/>
    <cellStyle name="Normal 12 5 7 2 2 5" xfId="16730" xr:uid="{00000000-0005-0000-0000-0000E03F0000}"/>
    <cellStyle name="Normal 12 5 7 2 2 6" xfId="16731" xr:uid="{00000000-0005-0000-0000-0000E13F0000}"/>
    <cellStyle name="Normal 12 5 7 2 2 7" xfId="16732" xr:uid="{00000000-0005-0000-0000-0000E23F0000}"/>
    <cellStyle name="Normal 12 5 7 2 2 8" xfId="16733" xr:uid="{00000000-0005-0000-0000-0000E33F0000}"/>
    <cellStyle name="Normal 12 5 7 2 2 9" xfId="16734" xr:uid="{00000000-0005-0000-0000-0000E43F0000}"/>
    <cellStyle name="Normal 12 5 7 2 3" xfId="16735" xr:uid="{00000000-0005-0000-0000-0000E53F0000}"/>
    <cellStyle name="Normal 12 5 7 2 3 2" xfId="16736" xr:uid="{00000000-0005-0000-0000-0000E63F0000}"/>
    <cellStyle name="Normal 12 5 7 2 3 2 2" xfId="16737" xr:uid="{00000000-0005-0000-0000-0000E73F0000}"/>
    <cellStyle name="Normal 12 5 7 2 3 2 3" xfId="16738" xr:uid="{00000000-0005-0000-0000-0000E83F0000}"/>
    <cellStyle name="Normal 12 5 7 2 3 2 4" xfId="16739" xr:uid="{00000000-0005-0000-0000-0000E93F0000}"/>
    <cellStyle name="Normal 12 5 7 2 3 2 5" xfId="16740" xr:uid="{00000000-0005-0000-0000-0000EA3F0000}"/>
    <cellStyle name="Normal 12 5 7 2 3 3" xfId="16741" xr:uid="{00000000-0005-0000-0000-0000EB3F0000}"/>
    <cellStyle name="Normal 12 5 7 2 3 4" xfId="16742" xr:uid="{00000000-0005-0000-0000-0000EC3F0000}"/>
    <cellStyle name="Normal 12 5 7 2 3 5" xfId="16743" xr:uid="{00000000-0005-0000-0000-0000ED3F0000}"/>
    <cellStyle name="Normal 12 5 7 2 3 6" xfId="16744" xr:uid="{00000000-0005-0000-0000-0000EE3F0000}"/>
    <cellStyle name="Normal 12 5 7 2 3 7" xfId="16745" xr:uid="{00000000-0005-0000-0000-0000EF3F0000}"/>
    <cellStyle name="Normal 12 5 7 2 3 8" xfId="16746" xr:uid="{00000000-0005-0000-0000-0000F03F0000}"/>
    <cellStyle name="Normal 12 5 7 2 4" xfId="16747" xr:uid="{00000000-0005-0000-0000-0000F13F0000}"/>
    <cellStyle name="Normal 12 5 7 2 4 2" xfId="16748" xr:uid="{00000000-0005-0000-0000-0000F23F0000}"/>
    <cellStyle name="Normal 12 5 7 2 4 2 2" xfId="16749" xr:uid="{00000000-0005-0000-0000-0000F33F0000}"/>
    <cellStyle name="Normal 12 5 7 2 4 2 3" xfId="16750" xr:uid="{00000000-0005-0000-0000-0000F43F0000}"/>
    <cellStyle name="Normal 12 5 7 2 4 2 4" xfId="16751" xr:uid="{00000000-0005-0000-0000-0000F53F0000}"/>
    <cellStyle name="Normal 12 5 7 2 4 2 5" xfId="16752" xr:uid="{00000000-0005-0000-0000-0000F63F0000}"/>
    <cellStyle name="Normal 12 5 7 2 4 3" xfId="16753" xr:uid="{00000000-0005-0000-0000-0000F73F0000}"/>
    <cellStyle name="Normal 12 5 7 2 4 4" xfId="16754" xr:uid="{00000000-0005-0000-0000-0000F83F0000}"/>
    <cellStyle name="Normal 12 5 7 2 4 5" xfId="16755" xr:uid="{00000000-0005-0000-0000-0000F93F0000}"/>
    <cellStyle name="Normal 12 5 7 2 4 6" xfId="16756" xr:uid="{00000000-0005-0000-0000-0000FA3F0000}"/>
    <cellStyle name="Normal 12 5 7 2 4 7" xfId="16757" xr:uid="{00000000-0005-0000-0000-0000FB3F0000}"/>
    <cellStyle name="Normal 12 5 7 2 4 8" xfId="16758" xr:uid="{00000000-0005-0000-0000-0000FC3F0000}"/>
    <cellStyle name="Normal 12 5 7 2 5" xfId="16759" xr:uid="{00000000-0005-0000-0000-0000FD3F0000}"/>
    <cellStyle name="Normal 12 5 7 2 5 2" xfId="16760" xr:uid="{00000000-0005-0000-0000-0000FE3F0000}"/>
    <cellStyle name="Normal 12 5 7 2 5 3" xfId="16761" xr:uid="{00000000-0005-0000-0000-0000FF3F0000}"/>
    <cellStyle name="Normal 12 5 7 2 5 4" xfId="16762" xr:uid="{00000000-0005-0000-0000-000000400000}"/>
    <cellStyle name="Normal 12 5 7 2 5 5" xfId="16763" xr:uid="{00000000-0005-0000-0000-000001400000}"/>
    <cellStyle name="Normal 12 5 7 2 6" xfId="16764" xr:uid="{00000000-0005-0000-0000-000002400000}"/>
    <cellStyle name="Normal 12 5 7 2 7" xfId="16765" xr:uid="{00000000-0005-0000-0000-000003400000}"/>
    <cellStyle name="Normal 12 5 7 2 8" xfId="16766" xr:uid="{00000000-0005-0000-0000-000004400000}"/>
    <cellStyle name="Normal 12 5 7 2 9" xfId="16767" xr:uid="{00000000-0005-0000-0000-000005400000}"/>
    <cellStyle name="Normal 12 5 7 3" xfId="16768" xr:uid="{00000000-0005-0000-0000-000006400000}"/>
    <cellStyle name="Normal 12 5 7 3 10" xfId="16769" xr:uid="{00000000-0005-0000-0000-000007400000}"/>
    <cellStyle name="Normal 12 5 7 3 11" xfId="16770" xr:uid="{00000000-0005-0000-0000-000008400000}"/>
    <cellStyle name="Normal 12 5 7 3 2" xfId="16771" xr:uid="{00000000-0005-0000-0000-000009400000}"/>
    <cellStyle name="Normal 12 5 7 3 2 10" xfId="16772" xr:uid="{00000000-0005-0000-0000-00000A400000}"/>
    <cellStyle name="Normal 12 5 7 3 2 2" xfId="16773" xr:uid="{00000000-0005-0000-0000-00000B400000}"/>
    <cellStyle name="Normal 12 5 7 3 2 2 2" xfId="16774" xr:uid="{00000000-0005-0000-0000-00000C400000}"/>
    <cellStyle name="Normal 12 5 7 3 2 2 2 2" xfId="16775" xr:uid="{00000000-0005-0000-0000-00000D400000}"/>
    <cellStyle name="Normal 12 5 7 3 2 2 2 3" xfId="16776" xr:uid="{00000000-0005-0000-0000-00000E400000}"/>
    <cellStyle name="Normal 12 5 7 3 2 2 2 4" xfId="16777" xr:uid="{00000000-0005-0000-0000-00000F400000}"/>
    <cellStyle name="Normal 12 5 7 3 2 2 2 5" xfId="16778" xr:uid="{00000000-0005-0000-0000-000010400000}"/>
    <cellStyle name="Normal 12 5 7 3 2 2 3" xfId="16779" xr:uid="{00000000-0005-0000-0000-000011400000}"/>
    <cellStyle name="Normal 12 5 7 3 2 2 4" xfId="16780" xr:uid="{00000000-0005-0000-0000-000012400000}"/>
    <cellStyle name="Normal 12 5 7 3 2 2 5" xfId="16781" xr:uid="{00000000-0005-0000-0000-000013400000}"/>
    <cellStyle name="Normal 12 5 7 3 2 2 6" xfId="16782" xr:uid="{00000000-0005-0000-0000-000014400000}"/>
    <cellStyle name="Normal 12 5 7 3 2 2 7" xfId="16783" xr:uid="{00000000-0005-0000-0000-000015400000}"/>
    <cellStyle name="Normal 12 5 7 3 2 2 8" xfId="16784" xr:uid="{00000000-0005-0000-0000-000016400000}"/>
    <cellStyle name="Normal 12 5 7 3 2 3" xfId="16785" xr:uid="{00000000-0005-0000-0000-000017400000}"/>
    <cellStyle name="Normal 12 5 7 3 2 3 2" xfId="16786" xr:uid="{00000000-0005-0000-0000-000018400000}"/>
    <cellStyle name="Normal 12 5 7 3 2 3 2 2" xfId="16787" xr:uid="{00000000-0005-0000-0000-000019400000}"/>
    <cellStyle name="Normal 12 5 7 3 2 3 2 3" xfId="16788" xr:uid="{00000000-0005-0000-0000-00001A400000}"/>
    <cellStyle name="Normal 12 5 7 3 2 3 2 4" xfId="16789" xr:uid="{00000000-0005-0000-0000-00001B400000}"/>
    <cellStyle name="Normal 12 5 7 3 2 3 2 5" xfId="16790" xr:uid="{00000000-0005-0000-0000-00001C400000}"/>
    <cellStyle name="Normal 12 5 7 3 2 3 3" xfId="16791" xr:uid="{00000000-0005-0000-0000-00001D400000}"/>
    <cellStyle name="Normal 12 5 7 3 2 3 4" xfId="16792" xr:uid="{00000000-0005-0000-0000-00001E400000}"/>
    <cellStyle name="Normal 12 5 7 3 2 3 5" xfId="16793" xr:uid="{00000000-0005-0000-0000-00001F400000}"/>
    <cellStyle name="Normal 12 5 7 3 2 3 6" xfId="16794" xr:uid="{00000000-0005-0000-0000-000020400000}"/>
    <cellStyle name="Normal 12 5 7 3 2 3 7" xfId="16795" xr:uid="{00000000-0005-0000-0000-000021400000}"/>
    <cellStyle name="Normal 12 5 7 3 2 3 8" xfId="16796" xr:uid="{00000000-0005-0000-0000-000022400000}"/>
    <cellStyle name="Normal 12 5 7 3 2 4" xfId="16797" xr:uid="{00000000-0005-0000-0000-000023400000}"/>
    <cellStyle name="Normal 12 5 7 3 2 4 2" xfId="16798" xr:uid="{00000000-0005-0000-0000-000024400000}"/>
    <cellStyle name="Normal 12 5 7 3 2 4 3" xfId="16799" xr:uid="{00000000-0005-0000-0000-000025400000}"/>
    <cellStyle name="Normal 12 5 7 3 2 4 4" xfId="16800" xr:uid="{00000000-0005-0000-0000-000026400000}"/>
    <cellStyle name="Normal 12 5 7 3 2 4 5" xfId="16801" xr:uid="{00000000-0005-0000-0000-000027400000}"/>
    <cellStyle name="Normal 12 5 7 3 2 5" xfId="16802" xr:uid="{00000000-0005-0000-0000-000028400000}"/>
    <cellStyle name="Normal 12 5 7 3 2 6" xfId="16803" xr:uid="{00000000-0005-0000-0000-000029400000}"/>
    <cellStyle name="Normal 12 5 7 3 2 7" xfId="16804" xr:uid="{00000000-0005-0000-0000-00002A400000}"/>
    <cellStyle name="Normal 12 5 7 3 2 8" xfId="16805" xr:uid="{00000000-0005-0000-0000-00002B400000}"/>
    <cellStyle name="Normal 12 5 7 3 2 9" xfId="16806" xr:uid="{00000000-0005-0000-0000-00002C400000}"/>
    <cellStyle name="Normal 12 5 7 3 3" xfId="16807" xr:uid="{00000000-0005-0000-0000-00002D400000}"/>
    <cellStyle name="Normal 12 5 7 3 3 2" xfId="16808" xr:uid="{00000000-0005-0000-0000-00002E400000}"/>
    <cellStyle name="Normal 12 5 7 3 3 2 2" xfId="16809" xr:uid="{00000000-0005-0000-0000-00002F400000}"/>
    <cellStyle name="Normal 12 5 7 3 3 2 3" xfId="16810" xr:uid="{00000000-0005-0000-0000-000030400000}"/>
    <cellStyle name="Normal 12 5 7 3 3 2 4" xfId="16811" xr:uid="{00000000-0005-0000-0000-000031400000}"/>
    <cellStyle name="Normal 12 5 7 3 3 2 5" xfId="16812" xr:uid="{00000000-0005-0000-0000-000032400000}"/>
    <cellStyle name="Normal 12 5 7 3 3 3" xfId="16813" xr:uid="{00000000-0005-0000-0000-000033400000}"/>
    <cellStyle name="Normal 12 5 7 3 3 4" xfId="16814" xr:uid="{00000000-0005-0000-0000-000034400000}"/>
    <cellStyle name="Normal 12 5 7 3 3 5" xfId="16815" xr:uid="{00000000-0005-0000-0000-000035400000}"/>
    <cellStyle name="Normal 12 5 7 3 3 6" xfId="16816" xr:uid="{00000000-0005-0000-0000-000036400000}"/>
    <cellStyle name="Normal 12 5 7 3 3 7" xfId="16817" xr:uid="{00000000-0005-0000-0000-000037400000}"/>
    <cellStyle name="Normal 12 5 7 3 3 8" xfId="16818" xr:uid="{00000000-0005-0000-0000-000038400000}"/>
    <cellStyle name="Normal 12 5 7 3 4" xfId="16819" xr:uid="{00000000-0005-0000-0000-000039400000}"/>
    <cellStyle name="Normal 12 5 7 3 4 2" xfId="16820" xr:uid="{00000000-0005-0000-0000-00003A400000}"/>
    <cellStyle name="Normal 12 5 7 3 4 2 2" xfId="16821" xr:uid="{00000000-0005-0000-0000-00003B400000}"/>
    <cellStyle name="Normal 12 5 7 3 4 2 3" xfId="16822" xr:uid="{00000000-0005-0000-0000-00003C400000}"/>
    <cellStyle name="Normal 12 5 7 3 4 2 4" xfId="16823" xr:uid="{00000000-0005-0000-0000-00003D400000}"/>
    <cellStyle name="Normal 12 5 7 3 4 2 5" xfId="16824" xr:uid="{00000000-0005-0000-0000-00003E400000}"/>
    <cellStyle name="Normal 12 5 7 3 4 3" xfId="16825" xr:uid="{00000000-0005-0000-0000-00003F400000}"/>
    <cellStyle name="Normal 12 5 7 3 4 4" xfId="16826" xr:uid="{00000000-0005-0000-0000-000040400000}"/>
    <cellStyle name="Normal 12 5 7 3 4 5" xfId="16827" xr:uid="{00000000-0005-0000-0000-000041400000}"/>
    <cellStyle name="Normal 12 5 7 3 4 6" xfId="16828" xr:uid="{00000000-0005-0000-0000-000042400000}"/>
    <cellStyle name="Normal 12 5 7 3 4 7" xfId="16829" xr:uid="{00000000-0005-0000-0000-000043400000}"/>
    <cellStyle name="Normal 12 5 7 3 4 8" xfId="16830" xr:uid="{00000000-0005-0000-0000-000044400000}"/>
    <cellStyle name="Normal 12 5 7 3 5" xfId="16831" xr:uid="{00000000-0005-0000-0000-000045400000}"/>
    <cellStyle name="Normal 12 5 7 3 5 2" xfId="16832" xr:uid="{00000000-0005-0000-0000-000046400000}"/>
    <cellStyle name="Normal 12 5 7 3 5 3" xfId="16833" xr:uid="{00000000-0005-0000-0000-000047400000}"/>
    <cellStyle name="Normal 12 5 7 3 5 4" xfId="16834" xr:uid="{00000000-0005-0000-0000-000048400000}"/>
    <cellStyle name="Normal 12 5 7 3 5 5" xfId="16835" xr:uid="{00000000-0005-0000-0000-000049400000}"/>
    <cellStyle name="Normal 12 5 7 3 6" xfId="16836" xr:uid="{00000000-0005-0000-0000-00004A400000}"/>
    <cellStyle name="Normal 12 5 7 3 7" xfId="16837" xr:uid="{00000000-0005-0000-0000-00004B400000}"/>
    <cellStyle name="Normal 12 5 7 3 8" xfId="16838" xr:uid="{00000000-0005-0000-0000-00004C400000}"/>
    <cellStyle name="Normal 12 5 7 3 9" xfId="16839" xr:uid="{00000000-0005-0000-0000-00004D400000}"/>
    <cellStyle name="Normal 12 5 7 4" xfId="16840" xr:uid="{00000000-0005-0000-0000-00004E400000}"/>
    <cellStyle name="Normal 12 5 7 4 10" xfId="16841" xr:uid="{00000000-0005-0000-0000-00004F400000}"/>
    <cellStyle name="Normal 12 5 7 4 2" xfId="16842" xr:uid="{00000000-0005-0000-0000-000050400000}"/>
    <cellStyle name="Normal 12 5 7 4 2 2" xfId="16843" xr:uid="{00000000-0005-0000-0000-000051400000}"/>
    <cellStyle name="Normal 12 5 7 4 2 2 2" xfId="16844" xr:uid="{00000000-0005-0000-0000-000052400000}"/>
    <cellStyle name="Normal 12 5 7 4 2 2 3" xfId="16845" xr:uid="{00000000-0005-0000-0000-000053400000}"/>
    <cellStyle name="Normal 12 5 7 4 2 2 4" xfId="16846" xr:uid="{00000000-0005-0000-0000-000054400000}"/>
    <cellStyle name="Normal 12 5 7 4 2 2 5" xfId="16847" xr:uid="{00000000-0005-0000-0000-000055400000}"/>
    <cellStyle name="Normal 12 5 7 4 2 3" xfId="16848" xr:uid="{00000000-0005-0000-0000-000056400000}"/>
    <cellStyle name="Normal 12 5 7 4 2 4" xfId="16849" xr:uid="{00000000-0005-0000-0000-000057400000}"/>
    <cellStyle name="Normal 12 5 7 4 2 5" xfId="16850" xr:uid="{00000000-0005-0000-0000-000058400000}"/>
    <cellStyle name="Normal 12 5 7 4 2 6" xfId="16851" xr:uid="{00000000-0005-0000-0000-000059400000}"/>
    <cellStyle name="Normal 12 5 7 4 2 7" xfId="16852" xr:uid="{00000000-0005-0000-0000-00005A400000}"/>
    <cellStyle name="Normal 12 5 7 4 2 8" xfId="16853" xr:uid="{00000000-0005-0000-0000-00005B400000}"/>
    <cellStyle name="Normal 12 5 7 4 3" xfId="16854" xr:uid="{00000000-0005-0000-0000-00005C400000}"/>
    <cellStyle name="Normal 12 5 7 4 3 2" xfId="16855" xr:uid="{00000000-0005-0000-0000-00005D400000}"/>
    <cellStyle name="Normal 12 5 7 4 3 2 2" xfId="16856" xr:uid="{00000000-0005-0000-0000-00005E400000}"/>
    <cellStyle name="Normal 12 5 7 4 3 2 3" xfId="16857" xr:uid="{00000000-0005-0000-0000-00005F400000}"/>
    <cellStyle name="Normal 12 5 7 4 3 2 4" xfId="16858" xr:uid="{00000000-0005-0000-0000-000060400000}"/>
    <cellStyle name="Normal 12 5 7 4 3 2 5" xfId="16859" xr:uid="{00000000-0005-0000-0000-000061400000}"/>
    <cellStyle name="Normal 12 5 7 4 3 3" xfId="16860" xr:uid="{00000000-0005-0000-0000-000062400000}"/>
    <cellStyle name="Normal 12 5 7 4 3 4" xfId="16861" xr:uid="{00000000-0005-0000-0000-000063400000}"/>
    <cellStyle name="Normal 12 5 7 4 3 5" xfId="16862" xr:uid="{00000000-0005-0000-0000-000064400000}"/>
    <cellStyle name="Normal 12 5 7 4 3 6" xfId="16863" xr:uid="{00000000-0005-0000-0000-000065400000}"/>
    <cellStyle name="Normal 12 5 7 4 3 7" xfId="16864" xr:uid="{00000000-0005-0000-0000-000066400000}"/>
    <cellStyle name="Normal 12 5 7 4 3 8" xfId="16865" xr:uid="{00000000-0005-0000-0000-000067400000}"/>
    <cellStyle name="Normal 12 5 7 4 4" xfId="16866" xr:uid="{00000000-0005-0000-0000-000068400000}"/>
    <cellStyle name="Normal 12 5 7 4 4 2" xfId="16867" xr:uid="{00000000-0005-0000-0000-000069400000}"/>
    <cellStyle name="Normal 12 5 7 4 4 3" xfId="16868" xr:uid="{00000000-0005-0000-0000-00006A400000}"/>
    <cellStyle name="Normal 12 5 7 4 4 4" xfId="16869" xr:uid="{00000000-0005-0000-0000-00006B400000}"/>
    <cellStyle name="Normal 12 5 7 4 4 5" xfId="16870" xr:uid="{00000000-0005-0000-0000-00006C400000}"/>
    <cellStyle name="Normal 12 5 7 4 5" xfId="16871" xr:uid="{00000000-0005-0000-0000-00006D400000}"/>
    <cellStyle name="Normal 12 5 7 4 6" xfId="16872" xr:uid="{00000000-0005-0000-0000-00006E400000}"/>
    <cellStyle name="Normal 12 5 7 4 7" xfId="16873" xr:uid="{00000000-0005-0000-0000-00006F400000}"/>
    <cellStyle name="Normal 12 5 7 4 8" xfId="16874" xr:uid="{00000000-0005-0000-0000-000070400000}"/>
    <cellStyle name="Normal 12 5 7 4 9" xfId="16875" xr:uid="{00000000-0005-0000-0000-000071400000}"/>
    <cellStyle name="Normal 12 5 7 5" xfId="16876" xr:uid="{00000000-0005-0000-0000-000072400000}"/>
    <cellStyle name="Normal 12 5 7 5 2" xfId="16877" xr:uid="{00000000-0005-0000-0000-000073400000}"/>
    <cellStyle name="Normal 12 5 7 5 2 2" xfId="16878" xr:uid="{00000000-0005-0000-0000-000074400000}"/>
    <cellStyle name="Normal 12 5 7 5 2 3" xfId="16879" xr:uid="{00000000-0005-0000-0000-000075400000}"/>
    <cellStyle name="Normal 12 5 7 5 2 4" xfId="16880" xr:uid="{00000000-0005-0000-0000-000076400000}"/>
    <cellStyle name="Normal 12 5 7 5 2 5" xfId="16881" xr:uid="{00000000-0005-0000-0000-000077400000}"/>
    <cellStyle name="Normal 12 5 7 5 3" xfId="16882" xr:uid="{00000000-0005-0000-0000-000078400000}"/>
    <cellStyle name="Normal 12 5 7 5 4" xfId="16883" xr:uid="{00000000-0005-0000-0000-000079400000}"/>
    <cellStyle name="Normal 12 5 7 5 5" xfId="16884" xr:uid="{00000000-0005-0000-0000-00007A400000}"/>
    <cellStyle name="Normal 12 5 7 5 6" xfId="16885" xr:uid="{00000000-0005-0000-0000-00007B400000}"/>
    <cellStyle name="Normal 12 5 7 5 7" xfId="16886" xr:uid="{00000000-0005-0000-0000-00007C400000}"/>
    <cellStyle name="Normal 12 5 7 5 8" xfId="16887" xr:uid="{00000000-0005-0000-0000-00007D400000}"/>
    <cellStyle name="Normal 12 5 7 6" xfId="16888" xr:uid="{00000000-0005-0000-0000-00007E400000}"/>
    <cellStyle name="Normal 12 5 7 6 2" xfId="16889" xr:uid="{00000000-0005-0000-0000-00007F400000}"/>
    <cellStyle name="Normal 12 5 7 6 2 2" xfId="16890" xr:uid="{00000000-0005-0000-0000-000080400000}"/>
    <cellStyle name="Normal 12 5 7 6 2 3" xfId="16891" xr:uid="{00000000-0005-0000-0000-000081400000}"/>
    <cellStyle name="Normal 12 5 7 6 2 4" xfId="16892" xr:uid="{00000000-0005-0000-0000-000082400000}"/>
    <cellStyle name="Normal 12 5 7 6 2 5" xfId="16893" xr:uid="{00000000-0005-0000-0000-000083400000}"/>
    <cellStyle name="Normal 12 5 7 6 3" xfId="16894" xr:uid="{00000000-0005-0000-0000-000084400000}"/>
    <cellStyle name="Normal 12 5 7 6 4" xfId="16895" xr:uid="{00000000-0005-0000-0000-000085400000}"/>
    <cellStyle name="Normal 12 5 7 6 5" xfId="16896" xr:uid="{00000000-0005-0000-0000-000086400000}"/>
    <cellStyle name="Normal 12 5 7 6 6" xfId="16897" xr:uid="{00000000-0005-0000-0000-000087400000}"/>
    <cellStyle name="Normal 12 5 7 6 7" xfId="16898" xr:uid="{00000000-0005-0000-0000-000088400000}"/>
    <cellStyle name="Normal 12 5 7 6 8" xfId="16899" xr:uid="{00000000-0005-0000-0000-000089400000}"/>
    <cellStyle name="Normal 12 5 7 7" xfId="16900" xr:uid="{00000000-0005-0000-0000-00008A400000}"/>
    <cellStyle name="Normal 12 5 7 7 2" xfId="16901" xr:uid="{00000000-0005-0000-0000-00008B400000}"/>
    <cellStyle name="Normal 12 5 7 7 3" xfId="16902" xr:uid="{00000000-0005-0000-0000-00008C400000}"/>
    <cellStyle name="Normal 12 5 7 7 4" xfId="16903" xr:uid="{00000000-0005-0000-0000-00008D400000}"/>
    <cellStyle name="Normal 12 5 7 7 5" xfId="16904" xr:uid="{00000000-0005-0000-0000-00008E400000}"/>
    <cellStyle name="Normal 12 5 7 8" xfId="16905" xr:uid="{00000000-0005-0000-0000-00008F400000}"/>
    <cellStyle name="Normal 12 5 7 9" xfId="16906" xr:uid="{00000000-0005-0000-0000-000090400000}"/>
    <cellStyle name="Normal 12 5 8" xfId="16907" xr:uid="{00000000-0005-0000-0000-000091400000}"/>
    <cellStyle name="Normal 12 5 8 10" xfId="16908" xr:uid="{00000000-0005-0000-0000-000092400000}"/>
    <cellStyle name="Normal 12 5 8 11" xfId="16909" xr:uid="{00000000-0005-0000-0000-000093400000}"/>
    <cellStyle name="Normal 12 5 8 12" xfId="16910" xr:uid="{00000000-0005-0000-0000-000094400000}"/>
    <cellStyle name="Normal 12 5 8 13" xfId="16911" xr:uid="{00000000-0005-0000-0000-000095400000}"/>
    <cellStyle name="Normal 12 5 8 2" xfId="16912" xr:uid="{00000000-0005-0000-0000-000096400000}"/>
    <cellStyle name="Normal 12 5 8 2 10" xfId="16913" xr:uid="{00000000-0005-0000-0000-000097400000}"/>
    <cellStyle name="Normal 12 5 8 2 11" xfId="16914" xr:uid="{00000000-0005-0000-0000-000098400000}"/>
    <cellStyle name="Normal 12 5 8 2 2" xfId="16915" xr:uid="{00000000-0005-0000-0000-000099400000}"/>
    <cellStyle name="Normal 12 5 8 2 2 10" xfId="16916" xr:uid="{00000000-0005-0000-0000-00009A400000}"/>
    <cellStyle name="Normal 12 5 8 2 2 2" xfId="16917" xr:uid="{00000000-0005-0000-0000-00009B400000}"/>
    <cellStyle name="Normal 12 5 8 2 2 2 2" xfId="16918" xr:uid="{00000000-0005-0000-0000-00009C400000}"/>
    <cellStyle name="Normal 12 5 8 2 2 2 2 2" xfId="16919" xr:uid="{00000000-0005-0000-0000-00009D400000}"/>
    <cellStyle name="Normal 12 5 8 2 2 2 2 3" xfId="16920" xr:uid="{00000000-0005-0000-0000-00009E400000}"/>
    <cellStyle name="Normal 12 5 8 2 2 2 2 4" xfId="16921" xr:uid="{00000000-0005-0000-0000-00009F400000}"/>
    <cellStyle name="Normal 12 5 8 2 2 2 2 5" xfId="16922" xr:uid="{00000000-0005-0000-0000-0000A0400000}"/>
    <cellStyle name="Normal 12 5 8 2 2 2 3" xfId="16923" xr:uid="{00000000-0005-0000-0000-0000A1400000}"/>
    <cellStyle name="Normal 12 5 8 2 2 2 4" xfId="16924" xr:uid="{00000000-0005-0000-0000-0000A2400000}"/>
    <cellStyle name="Normal 12 5 8 2 2 2 5" xfId="16925" xr:uid="{00000000-0005-0000-0000-0000A3400000}"/>
    <cellStyle name="Normal 12 5 8 2 2 2 6" xfId="16926" xr:uid="{00000000-0005-0000-0000-0000A4400000}"/>
    <cellStyle name="Normal 12 5 8 2 2 2 7" xfId="16927" xr:uid="{00000000-0005-0000-0000-0000A5400000}"/>
    <cellStyle name="Normal 12 5 8 2 2 2 8" xfId="16928" xr:uid="{00000000-0005-0000-0000-0000A6400000}"/>
    <cellStyle name="Normal 12 5 8 2 2 3" xfId="16929" xr:uid="{00000000-0005-0000-0000-0000A7400000}"/>
    <cellStyle name="Normal 12 5 8 2 2 3 2" xfId="16930" xr:uid="{00000000-0005-0000-0000-0000A8400000}"/>
    <cellStyle name="Normal 12 5 8 2 2 3 2 2" xfId="16931" xr:uid="{00000000-0005-0000-0000-0000A9400000}"/>
    <cellStyle name="Normal 12 5 8 2 2 3 2 3" xfId="16932" xr:uid="{00000000-0005-0000-0000-0000AA400000}"/>
    <cellStyle name="Normal 12 5 8 2 2 3 2 4" xfId="16933" xr:uid="{00000000-0005-0000-0000-0000AB400000}"/>
    <cellStyle name="Normal 12 5 8 2 2 3 2 5" xfId="16934" xr:uid="{00000000-0005-0000-0000-0000AC400000}"/>
    <cellStyle name="Normal 12 5 8 2 2 3 3" xfId="16935" xr:uid="{00000000-0005-0000-0000-0000AD400000}"/>
    <cellStyle name="Normal 12 5 8 2 2 3 4" xfId="16936" xr:uid="{00000000-0005-0000-0000-0000AE400000}"/>
    <cellStyle name="Normal 12 5 8 2 2 3 5" xfId="16937" xr:uid="{00000000-0005-0000-0000-0000AF400000}"/>
    <cellStyle name="Normal 12 5 8 2 2 3 6" xfId="16938" xr:uid="{00000000-0005-0000-0000-0000B0400000}"/>
    <cellStyle name="Normal 12 5 8 2 2 3 7" xfId="16939" xr:uid="{00000000-0005-0000-0000-0000B1400000}"/>
    <cellStyle name="Normal 12 5 8 2 2 3 8" xfId="16940" xr:uid="{00000000-0005-0000-0000-0000B2400000}"/>
    <cellStyle name="Normal 12 5 8 2 2 4" xfId="16941" xr:uid="{00000000-0005-0000-0000-0000B3400000}"/>
    <cellStyle name="Normal 12 5 8 2 2 4 2" xfId="16942" xr:uid="{00000000-0005-0000-0000-0000B4400000}"/>
    <cellStyle name="Normal 12 5 8 2 2 4 3" xfId="16943" xr:uid="{00000000-0005-0000-0000-0000B5400000}"/>
    <cellStyle name="Normal 12 5 8 2 2 4 4" xfId="16944" xr:uid="{00000000-0005-0000-0000-0000B6400000}"/>
    <cellStyle name="Normal 12 5 8 2 2 4 5" xfId="16945" xr:uid="{00000000-0005-0000-0000-0000B7400000}"/>
    <cellStyle name="Normal 12 5 8 2 2 5" xfId="16946" xr:uid="{00000000-0005-0000-0000-0000B8400000}"/>
    <cellStyle name="Normal 12 5 8 2 2 6" xfId="16947" xr:uid="{00000000-0005-0000-0000-0000B9400000}"/>
    <cellStyle name="Normal 12 5 8 2 2 7" xfId="16948" xr:uid="{00000000-0005-0000-0000-0000BA400000}"/>
    <cellStyle name="Normal 12 5 8 2 2 8" xfId="16949" xr:uid="{00000000-0005-0000-0000-0000BB400000}"/>
    <cellStyle name="Normal 12 5 8 2 2 9" xfId="16950" xr:uid="{00000000-0005-0000-0000-0000BC400000}"/>
    <cellStyle name="Normal 12 5 8 2 3" xfId="16951" xr:uid="{00000000-0005-0000-0000-0000BD400000}"/>
    <cellStyle name="Normal 12 5 8 2 3 2" xfId="16952" xr:uid="{00000000-0005-0000-0000-0000BE400000}"/>
    <cellStyle name="Normal 12 5 8 2 3 2 2" xfId="16953" xr:uid="{00000000-0005-0000-0000-0000BF400000}"/>
    <cellStyle name="Normal 12 5 8 2 3 2 3" xfId="16954" xr:uid="{00000000-0005-0000-0000-0000C0400000}"/>
    <cellStyle name="Normal 12 5 8 2 3 2 4" xfId="16955" xr:uid="{00000000-0005-0000-0000-0000C1400000}"/>
    <cellStyle name="Normal 12 5 8 2 3 2 5" xfId="16956" xr:uid="{00000000-0005-0000-0000-0000C2400000}"/>
    <cellStyle name="Normal 12 5 8 2 3 3" xfId="16957" xr:uid="{00000000-0005-0000-0000-0000C3400000}"/>
    <cellStyle name="Normal 12 5 8 2 3 4" xfId="16958" xr:uid="{00000000-0005-0000-0000-0000C4400000}"/>
    <cellStyle name="Normal 12 5 8 2 3 5" xfId="16959" xr:uid="{00000000-0005-0000-0000-0000C5400000}"/>
    <cellStyle name="Normal 12 5 8 2 3 6" xfId="16960" xr:uid="{00000000-0005-0000-0000-0000C6400000}"/>
    <cellStyle name="Normal 12 5 8 2 3 7" xfId="16961" xr:uid="{00000000-0005-0000-0000-0000C7400000}"/>
    <cellStyle name="Normal 12 5 8 2 3 8" xfId="16962" xr:uid="{00000000-0005-0000-0000-0000C8400000}"/>
    <cellStyle name="Normal 12 5 8 2 4" xfId="16963" xr:uid="{00000000-0005-0000-0000-0000C9400000}"/>
    <cellStyle name="Normal 12 5 8 2 4 2" xfId="16964" xr:uid="{00000000-0005-0000-0000-0000CA400000}"/>
    <cellStyle name="Normal 12 5 8 2 4 2 2" xfId="16965" xr:uid="{00000000-0005-0000-0000-0000CB400000}"/>
    <cellStyle name="Normal 12 5 8 2 4 2 3" xfId="16966" xr:uid="{00000000-0005-0000-0000-0000CC400000}"/>
    <cellStyle name="Normal 12 5 8 2 4 2 4" xfId="16967" xr:uid="{00000000-0005-0000-0000-0000CD400000}"/>
    <cellStyle name="Normal 12 5 8 2 4 2 5" xfId="16968" xr:uid="{00000000-0005-0000-0000-0000CE400000}"/>
    <cellStyle name="Normal 12 5 8 2 4 3" xfId="16969" xr:uid="{00000000-0005-0000-0000-0000CF400000}"/>
    <cellStyle name="Normal 12 5 8 2 4 4" xfId="16970" xr:uid="{00000000-0005-0000-0000-0000D0400000}"/>
    <cellStyle name="Normal 12 5 8 2 4 5" xfId="16971" xr:uid="{00000000-0005-0000-0000-0000D1400000}"/>
    <cellStyle name="Normal 12 5 8 2 4 6" xfId="16972" xr:uid="{00000000-0005-0000-0000-0000D2400000}"/>
    <cellStyle name="Normal 12 5 8 2 4 7" xfId="16973" xr:uid="{00000000-0005-0000-0000-0000D3400000}"/>
    <cellStyle name="Normal 12 5 8 2 4 8" xfId="16974" xr:uid="{00000000-0005-0000-0000-0000D4400000}"/>
    <cellStyle name="Normal 12 5 8 2 5" xfId="16975" xr:uid="{00000000-0005-0000-0000-0000D5400000}"/>
    <cellStyle name="Normal 12 5 8 2 5 2" xfId="16976" xr:uid="{00000000-0005-0000-0000-0000D6400000}"/>
    <cellStyle name="Normal 12 5 8 2 5 3" xfId="16977" xr:uid="{00000000-0005-0000-0000-0000D7400000}"/>
    <cellStyle name="Normal 12 5 8 2 5 4" xfId="16978" xr:uid="{00000000-0005-0000-0000-0000D8400000}"/>
    <cellStyle name="Normal 12 5 8 2 5 5" xfId="16979" xr:uid="{00000000-0005-0000-0000-0000D9400000}"/>
    <cellStyle name="Normal 12 5 8 2 6" xfId="16980" xr:uid="{00000000-0005-0000-0000-0000DA400000}"/>
    <cellStyle name="Normal 12 5 8 2 7" xfId="16981" xr:uid="{00000000-0005-0000-0000-0000DB400000}"/>
    <cellStyle name="Normal 12 5 8 2 8" xfId="16982" xr:uid="{00000000-0005-0000-0000-0000DC400000}"/>
    <cellStyle name="Normal 12 5 8 2 9" xfId="16983" xr:uid="{00000000-0005-0000-0000-0000DD400000}"/>
    <cellStyle name="Normal 12 5 8 3" xfId="16984" xr:uid="{00000000-0005-0000-0000-0000DE400000}"/>
    <cellStyle name="Normal 12 5 8 3 10" xfId="16985" xr:uid="{00000000-0005-0000-0000-0000DF400000}"/>
    <cellStyle name="Normal 12 5 8 3 11" xfId="16986" xr:uid="{00000000-0005-0000-0000-0000E0400000}"/>
    <cellStyle name="Normal 12 5 8 3 2" xfId="16987" xr:uid="{00000000-0005-0000-0000-0000E1400000}"/>
    <cellStyle name="Normal 12 5 8 3 2 10" xfId="16988" xr:uid="{00000000-0005-0000-0000-0000E2400000}"/>
    <cellStyle name="Normal 12 5 8 3 2 2" xfId="16989" xr:uid="{00000000-0005-0000-0000-0000E3400000}"/>
    <cellStyle name="Normal 12 5 8 3 2 2 2" xfId="16990" xr:uid="{00000000-0005-0000-0000-0000E4400000}"/>
    <cellStyle name="Normal 12 5 8 3 2 2 2 2" xfId="16991" xr:uid="{00000000-0005-0000-0000-0000E5400000}"/>
    <cellStyle name="Normal 12 5 8 3 2 2 2 3" xfId="16992" xr:uid="{00000000-0005-0000-0000-0000E6400000}"/>
    <cellStyle name="Normal 12 5 8 3 2 2 2 4" xfId="16993" xr:uid="{00000000-0005-0000-0000-0000E7400000}"/>
    <cellStyle name="Normal 12 5 8 3 2 2 2 5" xfId="16994" xr:uid="{00000000-0005-0000-0000-0000E8400000}"/>
    <cellStyle name="Normal 12 5 8 3 2 2 3" xfId="16995" xr:uid="{00000000-0005-0000-0000-0000E9400000}"/>
    <cellStyle name="Normal 12 5 8 3 2 2 4" xfId="16996" xr:uid="{00000000-0005-0000-0000-0000EA400000}"/>
    <cellStyle name="Normal 12 5 8 3 2 2 5" xfId="16997" xr:uid="{00000000-0005-0000-0000-0000EB400000}"/>
    <cellStyle name="Normal 12 5 8 3 2 2 6" xfId="16998" xr:uid="{00000000-0005-0000-0000-0000EC400000}"/>
    <cellStyle name="Normal 12 5 8 3 2 2 7" xfId="16999" xr:uid="{00000000-0005-0000-0000-0000ED400000}"/>
    <cellStyle name="Normal 12 5 8 3 2 2 8" xfId="17000" xr:uid="{00000000-0005-0000-0000-0000EE400000}"/>
    <cellStyle name="Normal 12 5 8 3 2 3" xfId="17001" xr:uid="{00000000-0005-0000-0000-0000EF400000}"/>
    <cellStyle name="Normal 12 5 8 3 2 3 2" xfId="17002" xr:uid="{00000000-0005-0000-0000-0000F0400000}"/>
    <cellStyle name="Normal 12 5 8 3 2 3 2 2" xfId="17003" xr:uid="{00000000-0005-0000-0000-0000F1400000}"/>
    <cellStyle name="Normal 12 5 8 3 2 3 2 3" xfId="17004" xr:uid="{00000000-0005-0000-0000-0000F2400000}"/>
    <cellStyle name="Normal 12 5 8 3 2 3 2 4" xfId="17005" xr:uid="{00000000-0005-0000-0000-0000F3400000}"/>
    <cellStyle name="Normal 12 5 8 3 2 3 2 5" xfId="17006" xr:uid="{00000000-0005-0000-0000-0000F4400000}"/>
    <cellStyle name="Normal 12 5 8 3 2 3 3" xfId="17007" xr:uid="{00000000-0005-0000-0000-0000F5400000}"/>
    <cellStyle name="Normal 12 5 8 3 2 3 4" xfId="17008" xr:uid="{00000000-0005-0000-0000-0000F6400000}"/>
    <cellStyle name="Normal 12 5 8 3 2 3 5" xfId="17009" xr:uid="{00000000-0005-0000-0000-0000F7400000}"/>
    <cellStyle name="Normal 12 5 8 3 2 3 6" xfId="17010" xr:uid="{00000000-0005-0000-0000-0000F8400000}"/>
    <cellStyle name="Normal 12 5 8 3 2 3 7" xfId="17011" xr:uid="{00000000-0005-0000-0000-0000F9400000}"/>
    <cellStyle name="Normal 12 5 8 3 2 3 8" xfId="17012" xr:uid="{00000000-0005-0000-0000-0000FA400000}"/>
    <cellStyle name="Normal 12 5 8 3 2 4" xfId="17013" xr:uid="{00000000-0005-0000-0000-0000FB400000}"/>
    <cellStyle name="Normal 12 5 8 3 2 4 2" xfId="17014" xr:uid="{00000000-0005-0000-0000-0000FC400000}"/>
    <cellStyle name="Normal 12 5 8 3 2 4 3" xfId="17015" xr:uid="{00000000-0005-0000-0000-0000FD400000}"/>
    <cellStyle name="Normal 12 5 8 3 2 4 4" xfId="17016" xr:uid="{00000000-0005-0000-0000-0000FE400000}"/>
    <cellStyle name="Normal 12 5 8 3 2 4 5" xfId="17017" xr:uid="{00000000-0005-0000-0000-0000FF400000}"/>
    <cellStyle name="Normal 12 5 8 3 2 5" xfId="17018" xr:uid="{00000000-0005-0000-0000-000000410000}"/>
    <cellStyle name="Normal 12 5 8 3 2 6" xfId="17019" xr:uid="{00000000-0005-0000-0000-000001410000}"/>
    <cellStyle name="Normal 12 5 8 3 2 7" xfId="17020" xr:uid="{00000000-0005-0000-0000-000002410000}"/>
    <cellStyle name="Normal 12 5 8 3 2 8" xfId="17021" xr:uid="{00000000-0005-0000-0000-000003410000}"/>
    <cellStyle name="Normal 12 5 8 3 2 9" xfId="17022" xr:uid="{00000000-0005-0000-0000-000004410000}"/>
    <cellStyle name="Normal 12 5 8 3 3" xfId="17023" xr:uid="{00000000-0005-0000-0000-000005410000}"/>
    <cellStyle name="Normal 12 5 8 3 3 2" xfId="17024" xr:uid="{00000000-0005-0000-0000-000006410000}"/>
    <cellStyle name="Normal 12 5 8 3 3 2 2" xfId="17025" xr:uid="{00000000-0005-0000-0000-000007410000}"/>
    <cellStyle name="Normal 12 5 8 3 3 2 3" xfId="17026" xr:uid="{00000000-0005-0000-0000-000008410000}"/>
    <cellStyle name="Normal 12 5 8 3 3 2 4" xfId="17027" xr:uid="{00000000-0005-0000-0000-000009410000}"/>
    <cellStyle name="Normal 12 5 8 3 3 2 5" xfId="17028" xr:uid="{00000000-0005-0000-0000-00000A410000}"/>
    <cellStyle name="Normal 12 5 8 3 3 3" xfId="17029" xr:uid="{00000000-0005-0000-0000-00000B410000}"/>
    <cellStyle name="Normal 12 5 8 3 3 4" xfId="17030" xr:uid="{00000000-0005-0000-0000-00000C410000}"/>
    <cellStyle name="Normal 12 5 8 3 3 5" xfId="17031" xr:uid="{00000000-0005-0000-0000-00000D410000}"/>
    <cellStyle name="Normal 12 5 8 3 3 6" xfId="17032" xr:uid="{00000000-0005-0000-0000-00000E410000}"/>
    <cellStyle name="Normal 12 5 8 3 3 7" xfId="17033" xr:uid="{00000000-0005-0000-0000-00000F410000}"/>
    <cellStyle name="Normal 12 5 8 3 3 8" xfId="17034" xr:uid="{00000000-0005-0000-0000-000010410000}"/>
    <cellStyle name="Normal 12 5 8 3 4" xfId="17035" xr:uid="{00000000-0005-0000-0000-000011410000}"/>
    <cellStyle name="Normal 12 5 8 3 4 2" xfId="17036" xr:uid="{00000000-0005-0000-0000-000012410000}"/>
    <cellStyle name="Normal 12 5 8 3 4 2 2" xfId="17037" xr:uid="{00000000-0005-0000-0000-000013410000}"/>
    <cellStyle name="Normal 12 5 8 3 4 2 3" xfId="17038" xr:uid="{00000000-0005-0000-0000-000014410000}"/>
    <cellStyle name="Normal 12 5 8 3 4 2 4" xfId="17039" xr:uid="{00000000-0005-0000-0000-000015410000}"/>
    <cellStyle name="Normal 12 5 8 3 4 2 5" xfId="17040" xr:uid="{00000000-0005-0000-0000-000016410000}"/>
    <cellStyle name="Normal 12 5 8 3 4 3" xfId="17041" xr:uid="{00000000-0005-0000-0000-000017410000}"/>
    <cellStyle name="Normal 12 5 8 3 4 4" xfId="17042" xr:uid="{00000000-0005-0000-0000-000018410000}"/>
    <cellStyle name="Normal 12 5 8 3 4 5" xfId="17043" xr:uid="{00000000-0005-0000-0000-000019410000}"/>
    <cellStyle name="Normal 12 5 8 3 4 6" xfId="17044" xr:uid="{00000000-0005-0000-0000-00001A410000}"/>
    <cellStyle name="Normal 12 5 8 3 4 7" xfId="17045" xr:uid="{00000000-0005-0000-0000-00001B410000}"/>
    <cellStyle name="Normal 12 5 8 3 4 8" xfId="17046" xr:uid="{00000000-0005-0000-0000-00001C410000}"/>
    <cellStyle name="Normal 12 5 8 3 5" xfId="17047" xr:uid="{00000000-0005-0000-0000-00001D410000}"/>
    <cellStyle name="Normal 12 5 8 3 5 2" xfId="17048" xr:uid="{00000000-0005-0000-0000-00001E410000}"/>
    <cellStyle name="Normal 12 5 8 3 5 3" xfId="17049" xr:uid="{00000000-0005-0000-0000-00001F410000}"/>
    <cellStyle name="Normal 12 5 8 3 5 4" xfId="17050" xr:uid="{00000000-0005-0000-0000-000020410000}"/>
    <cellStyle name="Normal 12 5 8 3 5 5" xfId="17051" xr:uid="{00000000-0005-0000-0000-000021410000}"/>
    <cellStyle name="Normal 12 5 8 3 6" xfId="17052" xr:uid="{00000000-0005-0000-0000-000022410000}"/>
    <cellStyle name="Normal 12 5 8 3 7" xfId="17053" xr:uid="{00000000-0005-0000-0000-000023410000}"/>
    <cellStyle name="Normal 12 5 8 3 8" xfId="17054" xr:uid="{00000000-0005-0000-0000-000024410000}"/>
    <cellStyle name="Normal 12 5 8 3 9" xfId="17055" xr:uid="{00000000-0005-0000-0000-000025410000}"/>
    <cellStyle name="Normal 12 5 8 4" xfId="17056" xr:uid="{00000000-0005-0000-0000-000026410000}"/>
    <cellStyle name="Normal 12 5 8 4 10" xfId="17057" xr:uid="{00000000-0005-0000-0000-000027410000}"/>
    <cellStyle name="Normal 12 5 8 4 2" xfId="17058" xr:uid="{00000000-0005-0000-0000-000028410000}"/>
    <cellStyle name="Normal 12 5 8 4 2 2" xfId="17059" xr:uid="{00000000-0005-0000-0000-000029410000}"/>
    <cellStyle name="Normal 12 5 8 4 2 2 2" xfId="17060" xr:uid="{00000000-0005-0000-0000-00002A410000}"/>
    <cellStyle name="Normal 12 5 8 4 2 2 3" xfId="17061" xr:uid="{00000000-0005-0000-0000-00002B410000}"/>
    <cellStyle name="Normal 12 5 8 4 2 2 4" xfId="17062" xr:uid="{00000000-0005-0000-0000-00002C410000}"/>
    <cellStyle name="Normal 12 5 8 4 2 2 5" xfId="17063" xr:uid="{00000000-0005-0000-0000-00002D410000}"/>
    <cellStyle name="Normal 12 5 8 4 2 3" xfId="17064" xr:uid="{00000000-0005-0000-0000-00002E410000}"/>
    <cellStyle name="Normal 12 5 8 4 2 4" xfId="17065" xr:uid="{00000000-0005-0000-0000-00002F410000}"/>
    <cellStyle name="Normal 12 5 8 4 2 5" xfId="17066" xr:uid="{00000000-0005-0000-0000-000030410000}"/>
    <cellStyle name="Normal 12 5 8 4 2 6" xfId="17067" xr:uid="{00000000-0005-0000-0000-000031410000}"/>
    <cellStyle name="Normal 12 5 8 4 2 7" xfId="17068" xr:uid="{00000000-0005-0000-0000-000032410000}"/>
    <cellStyle name="Normal 12 5 8 4 2 8" xfId="17069" xr:uid="{00000000-0005-0000-0000-000033410000}"/>
    <cellStyle name="Normal 12 5 8 4 3" xfId="17070" xr:uid="{00000000-0005-0000-0000-000034410000}"/>
    <cellStyle name="Normal 12 5 8 4 3 2" xfId="17071" xr:uid="{00000000-0005-0000-0000-000035410000}"/>
    <cellStyle name="Normal 12 5 8 4 3 2 2" xfId="17072" xr:uid="{00000000-0005-0000-0000-000036410000}"/>
    <cellStyle name="Normal 12 5 8 4 3 2 3" xfId="17073" xr:uid="{00000000-0005-0000-0000-000037410000}"/>
    <cellStyle name="Normal 12 5 8 4 3 2 4" xfId="17074" xr:uid="{00000000-0005-0000-0000-000038410000}"/>
    <cellStyle name="Normal 12 5 8 4 3 2 5" xfId="17075" xr:uid="{00000000-0005-0000-0000-000039410000}"/>
    <cellStyle name="Normal 12 5 8 4 3 3" xfId="17076" xr:uid="{00000000-0005-0000-0000-00003A410000}"/>
    <cellStyle name="Normal 12 5 8 4 3 4" xfId="17077" xr:uid="{00000000-0005-0000-0000-00003B410000}"/>
    <cellStyle name="Normal 12 5 8 4 3 5" xfId="17078" xr:uid="{00000000-0005-0000-0000-00003C410000}"/>
    <cellStyle name="Normal 12 5 8 4 3 6" xfId="17079" xr:uid="{00000000-0005-0000-0000-00003D410000}"/>
    <cellStyle name="Normal 12 5 8 4 3 7" xfId="17080" xr:uid="{00000000-0005-0000-0000-00003E410000}"/>
    <cellStyle name="Normal 12 5 8 4 3 8" xfId="17081" xr:uid="{00000000-0005-0000-0000-00003F410000}"/>
    <cellStyle name="Normal 12 5 8 4 4" xfId="17082" xr:uid="{00000000-0005-0000-0000-000040410000}"/>
    <cellStyle name="Normal 12 5 8 4 4 2" xfId="17083" xr:uid="{00000000-0005-0000-0000-000041410000}"/>
    <cellStyle name="Normal 12 5 8 4 4 3" xfId="17084" xr:uid="{00000000-0005-0000-0000-000042410000}"/>
    <cellStyle name="Normal 12 5 8 4 4 4" xfId="17085" xr:uid="{00000000-0005-0000-0000-000043410000}"/>
    <cellStyle name="Normal 12 5 8 4 4 5" xfId="17086" xr:uid="{00000000-0005-0000-0000-000044410000}"/>
    <cellStyle name="Normal 12 5 8 4 5" xfId="17087" xr:uid="{00000000-0005-0000-0000-000045410000}"/>
    <cellStyle name="Normal 12 5 8 4 6" xfId="17088" xr:uid="{00000000-0005-0000-0000-000046410000}"/>
    <cellStyle name="Normal 12 5 8 4 7" xfId="17089" xr:uid="{00000000-0005-0000-0000-000047410000}"/>
    <cellStyle name="Normal 12 5 8 4 8" xfId="17090" xr:uid="{00000000-0005-0000-0000-000048410000}"/>
    <cellStyle name="Normal 12 5 8 4 9" xfId="17091" xr:uid="{00000000-0005-0000-0000-000049410000}"/>
    <cellStyle name="Normal 12 5 8 5" xfId="17092" xr:uid="{00000000-0005-0000-0000-00004A410000}"/>
    <cellStyle name="Normal 12 5 8 5 2" xfId="17093" xr:uid="{00000000-0005-0000-0000-00004B410000}"/>
    <cellStyle name="Normal 12 5 8 5 2 2" xfId="17094" xr:uid="{00000000-0005-0000-0000-00004C410000}"/>
    <cellStyle name="Normal 12 5 8 5 2 3" xfId="17095" xr:uid="{00000000-0005-0000-0000-00004D410000}"/>
    <cellStyle name="Normal 12 5 8 5 2 4" xfId="17096" xr:uid="{00000000-0005-0000-0000-00004E410000}"/>
    <cellStyle name="Normal 12 5 8 5 2 5" xfId="17097" xr:uid="{00000000-0005-0000-0000-00004F410000}"/>
    <cellStyle name="Normal 12 5 8 5 3" xfId="17098" xr:uid="{00000000-0005-0000-0000-000050410000}"/>
    <cellStyle name="Normal 12 5 8 5 4" xfId="17099" xr:uid="{00000000-0005-0000-0000-000051410000}"/>
    <cellStyle name="Normal 12 5 8 5 5" xfId="17100" xr:uid="{00000000-0005-0000-0000-000052410000}"/>
    <cellStyle name="Normal 12 5 8 5 6" xfId="17101" xr:uid="{00000000-0005-0000-0000-000053410000}"/>
    <cellStyle name="Normal 12 5 8 5 7" xfId="17102" xr:uid="{00000000-0005-0000-0000-000054410000}"/>
    <cellStyle name="Normal 12 5 8 5 8" xfId="17103" xr:uid="{00000000-0005-0000-0000-000055410000}"/>
    <cellStyle name="Normal 12 5 8 6" xfId="17104" xr:uid="{00000000-0005-0000-0000-000056410000}"/>
    <cellStyle name="Normal 12 5 8 6 2" xfId="17105" xr:uid="{00000000-0005-0000-0000-000057410000}"/>
    <cellStyle name="Normal 12 5 8 6 2 2" xfId="17106" xr:uid="{00000000-0005-0000-0000-000058410000}"/>
    <cellStyle name="Normal 12 5 8 6 2 3" xfId="17107" xr:uid="{00000000-0005-0000-0000-000059410000}"/>
    <cellStyle name="Normal 12 5 8 6 2 4" xfId="17108" xr:uid="{00000000-0005-0000-0000-00005A410000}"/>
    <cellStyle name="Normal 12 5 8 6 2 5" xfId="17109" xr:uid="{00000000-0005-0000-0000-00005B410000}"/>
    <cellStyle name="Normal 12 5 8 6 3" xfId="17110" xr:uid="{00000000-0005-0000-0000-00005C410000}"/>
    <cellStyle name="Normal 12 5 8 6 4" xfId="17111" xr:uid="{00000000-0005-0000-0000-00005D410000}"/>
    <cellStyle name="Normal 12 5 8 6 5" xfId="17112" xr:uid="{00000000-0005-0000-0000-00005E410000}"/>
    <cellStyle name="Normal 12 5 8 6 6" xfId="17113" xr:uid="{00000000-0005-0000-0000-00005F410000}"/>
    <cellStyle name="Normal 12 5 8 6 7" xfId="17114" xr:uid="{00000000-0005-0000-0000-000060410000}"/>
    <cellStyle name="Normal 12 5 8 6 8" xfId="17115" xr:uid="{00000000-0005-0000-0000-000061410000}"/>
    <cellStyle name="Normal 12 5 8 7" xfId="17116" xr:uid="{00000000-0005-0000-0000-000062410000}"/>
    <cellStyle name="Normal 12 5 8 7 2" xfId="17117" xr:uid="{00000000-0005-0000-0000-000063410000}"/>
    <cellStyle name="Normal 12 5 8 7 3" xfId="17118" xr:uid="{00000000-0005-0000-0000-000064410000}"/>
    <cellStyle name="Normal 12 5 8 7 4" xfId="17119" xr:uid="{00000000-0005-0000-0000-000065410000}"/>
    <cellStyle name="Normal 12 5 8 7 5" xfId="17120" xr:uid="{00000000-0005-0000-0000-000066410000}"/>
    <cellStyle name="Normal 12 5 8 8" xfId="17121" xr:uid="{00000000-0005-0000-0000-000067410000}"/>
    <cellStyle name="Normal 12 5 8 9" xfId="17122" xr:uid="{00000000-0005-0000-0000-000068410000}"/>
    <cellStyle name="Normal 12 5 9" xfId="17123" xr:uid="{00000000-0005-0000-0000-000069410000}"/>
    <cellStyle name="Normal 12 5 9 10" xfId="17124" xr:uid="{00000000-0005-0000-0000-00006A410000}"/>
    <cellStyle name="Normal 12 5 9 11" xfId="17125" xr:uid="{00000000-0005-0000-0000-00006B410000}"/>
    <cellStyle name="Normal 12 5 9 2" xfId="17126" xr:uid="{00000000-0005-0000-0000-00006C410000}"/>
    <cellStyle name="Normal 12 5 9 2 10" xfId="17127" xr:uid="{00000000-0005-0000-0000-00006D410000}"/>
    <cellStyle name="Normal 12 5 9 2 2" xfId="17128" xr:uid="{00000000-0005-0000-0000-00006E410000}"/>
    <cellStyle name="Normal 12 5 9 2 2 2" xfId="17129" xr:uid="{00000000-0005-0000-0000-00006F410000}"/>
    <cellStyle name="Normal 12 5 9 2 2 2 2" xfId="17130" xr:uid="{00000000-0005-0000-0000-000070410000}"/>
    <cellStyle name="Normal 12 5 9 2 2 2 3" xfId="17131" xr:uid="{00000000-0005-0000-0000-000071410000}"/>
    <cellStyle name="Normal 12 5 9 2 2 2 4" xfId="17132" xr:uid="{00000000-0005-0000-0000-000072410000}"/>
    <cellStyle name="Normal 12 5 9 2 2 2 5" xfId="17133" xr:uid="{00000000-0005-0000-0000-000073410000}"/>
    <cellStyle name="Normal 12 5 9 2 2 3" xfId="17134" xr:uid="{00000000-0005-0000-0000-000074410000}"/>
    <cellStyle name="Normal 12 5 9 2 2 4" xfId="17135" xr:uid="{00000000-0005-0000-0000-000075410000}"/>
    <cellStyle name="Normal 12 5 9 2 2 5" xfId="17136" xr:uid="{00000000-0005-0000-0000-000076410000}"/>
    <cellStyle name="Normal 12 5 9 2 2 6" xfId="17137" xr:uid="{00000000-0005-0000-0000-000077410000}"/>
    <cellStyle name="Normal 12 5 9 2 2 7" xfId="17138" xr:uid="{00000000-0005-0000-0000-000078410000}"/>
    <cellStyle name="Normal 12 5 9 2 2 8" xfId="17139" xr:uid="{00000000-0005-0000-0000-000079410000}"/>
    <cellStyle name="Normal 12 5 9 2 3" xfId="17140" xr:uid="{00000000-0005-0000-0000-00007A410000}"/>
    <cellStyle name="Normal 12 5 9 2 3 2" xfId="17141" xr:uid="{00000000-0005-0000-0000-00007B410000}"/>
    <cellStyle name="Normal 12 5 9 2 3 2 2" xfId="17142" xr:uid="{00000000-0005-0000-0000-00007C410000}"/>
    <cellStyle name="Normal 12 5 9 2 3 2 3" xfId="17143" xr:uid="{00000000-0005-0000-0000-00007D410000}"/>
    <cellStyle name="Normal 12 5 9 2 3 2 4" xfId="17144" xr:uid="{00000000-0005-0000-0000-00007E410000}"/>
    <cellStyle name="Normal 12 5 9 2 3 2 5" xfId="17145" xr:uid="{00000000-0005-0000-0000-00007F410000}"/>
    <cellStyle name="Normal 12 5 9 2 3 3" xfId="17146" xr:uid="{00000000-0005-0000-0000-000080410000}"/>
    <cellStyle name="Normal 12 5 9 2 3 4" xfId="17147" xr:uid="{00000000-0005-0000-0000-000081410000}"/>
    <cellStyle name="Normal 12 5 9 2 3 5" xfId="17148" xr:uid="{00000000-0005-0000-0000-000082410000}"/>
    <cellStyle name="Normal 12 5 9 2 3 6" xfId="17149" xr:uid="{00000000-0005-0000-0000-000083410000}"/>
    <cellStyle name="Normal 12 5 9 2 3 7" xfId="17150" xr:uid="{00000000-0005-0000-0000-000084410000}"/>
    <cellStyle name="Normal 12 5 9 2 3 8" xfId="17151" xr:uid="{00000000-0005-0000-0000-000085410000}"/>
    <cellStyle name="Normal 12 5 9 2 4" xfId="17152" xr:uid="{00000000-0005-0000-0000-000086410000}"/>
    <cellStyle name="Normal 12 5 9 2 4 2" xfId="17153" xr:uid="{00000000-0005-0000-0000-000087410000}"/>
    <cellStyle name="Normal 12 5 9 2 4 3" xfId="17154" xr:uid="{00000000-0005-0000-0000-000088410000}"/>
    <cellStyle name="Normal 12 5 9 2 4 4" xfId="17155" xr:uid="{00000000-0005-0000-0000-000089410000}"/>
    <cellStyle name="Normal 12 5 9 2 4 5" xfId="17156" xr:uid="{00000000-0005-0000-0000-00008A410000}"/>
    <cellStyle name="Normal 12 5 9 2 5" xfId="17157" xr:uid="{00000000-0005-0000-0000-00008B410000}"/>
    <cellStyle name="Normal 12 5 9 2 6" xfId="17158" xr:uid="{00000000-0005-0000-0000-00008C410000}"/>
    <cellStyle name="Normal 12 5 9 2 7" xfId="17159" xr:uid="{00000000-0005-0000-0000-00008D410000}"/>
    <cellStyle name="Normal 12 5 9 2 8" xfId="17160" xr:uid="{00000000-0005-0000-0000-00008E410000}"/>
    <cellStyle name="Normal 12 5 9 2 9" xfId="17161" xr:uid="{00000000-0005-0000-0000-00008F410000}"/>
    <cellStyle name="Normal 12 5 9 3" xfId="17162" xr:uid="{00000000-0005-0000-0000-000090410000}"/>
    <cellStyle name="Normal 12 5 9 3 2" xfId="17163" xr:uid="{00000000-0005-0000-0000-000091410000}"/>
    <cellStyle name="Normal 12 5 9 3 2 2" xfId="17164" xr:uid="{00000000-0005-0000-0000-000092410000}"/>
    <cellStyle name="Normal 12 5 9 3 2 3" xfId="17165" xr:uid="{00000000-0005-0000-0000-000093410000}"/>
    <cellStyle name="Normal 12 5 9 3 2 4" xfId="17166" xr:uid="{00000000-0005-0000-0000-000094410000}"/>
    <cellStyle name="Normal 12 5 9 3 2 5" xfId="17167" xr:uid="{00000000-0005-0000-0000-000095410000}"/>
    <cellStyle name="Normal 12 5 9 3 3" xfId="17168" xr:uid="{00000000-0005-0000-0000-000096410000}"/>
    <cellStyle name="Normal 12 5 9 3 4" xfId="17169" xr:uid="{00000000-0005-0000-0000-000097410000}"/>
    <cellStyle name="Normal 12 5 9 3 5" xfId="17170" xr:uid="{00000000-0005-0000-0000-000098410000}"/>
    <cellStyle name="Normal 12 5 9 3 6" xfId="17171" xr:uid="{00000000-0005-0000-0000-000099410000}"/>
    <cellStyle name="Normal 12 5 9 3 7" xfId="17172" xr:uid="{00000000-0005-0000-0000-00009A410000}"/>
    <cellStyle name="Normal 12 5 9 3 8" xfId="17173" xr:uid="{00000000-0005-0000-0000-00009B410000}"/>
    <cellStyle name="Normal 12 5 9 4" xfId="17174" xr:uid="{00000000-0005-0000-0000-00009C410000}"/>
    <cellStyle name="Normal 12 5 9 4 2" xfId="17175" xr:uid="{00000000-0005-0000-0000-00009D410000}"/>
    <cellStyle name="Normal 12 5 9 4 2 2" xfId="17176" xr:uid="{00000000-0005-0000-0000-00009E410000}"/>
    <cellStyle name="Normal 12 5 9 4 2 3" xfId="17177" xr:uid="{00000000-0005-0000-0000-00009F410000}"/>
    <cellStyle name="Normal 12 5 9 4 2 4" xfId="17178" xr:uid="{00000000-0005-0000-0000-0000A0410000}"/>
    <cellStyle name="Normal 12 5 9 4 2 5" xfId="17179" xr:uid="{00000000-0005-0000-0000-0000A1410000}"/>
    <cellStyle name="Normal 12 5 9 4 3" xfId="17180" xr:uid="{00000000-0005-0000-0000-0000A2410000}"/>
    <cellStyle name="Normal 12 5 9 4 4" xfId="17181" xr:uid="{00000000-0005-0000-0000-0000A3410000}"/>
    <cellStyle name="Normal 12 5 9 4 5" xfId="17182" xr:uid="{00000000-0005-0000-0000-0000A4410000}"/>
    <cellStyle name="Normal 12 5 9 4 6" xfId="17183" xr:uid="{00000000-0005-0000-0000-0000A5410000}"/>
    <cellStyle name="Normal 12 5 9 4 7" xfId="17184" xr:uid="{00000000-0005-0000-0000-0000A6410000}"/>
    <cellStyle name="Normal 12 5 9 4 8" xfId="17185" xr:uid="{00000000-0005-0000-0000-0000A7410000}"/>
    <cellStyle name="Normal 12 5 9 5" xfId="17186" xr:uid="{00000000-0005-0000-0000-0000A8410000}"/>
    <cellStyle name="Normal 12 5 9 5 2" xfId="17187" xr:uid="{00000000-0005-0000-0000-0000A9410000}"/>
    <cellStyle name="Normal 12 5 9 5 3" xfId="17188" xr:uid="{00000000-0005-0000-0000-0000AA410000}"/>
    <cellStyle name="Normal 12 5 9 5 4" xfId="17189" xr:uid="{00000000-0005-0000-0000-0000AB410000}"/>
    <cellStyle name="Normal 12 5 9 5 5" xfId="17190" xr:uid="{00000000-0005-0000-0000-0000AC410000}"/>
    <cellStyle name="Normal 12 5 9 6" xfId="17191" xr:uid="{00000000-0005-0000-0000-0000AD410000}"/>
    <cellStyle name="Normal 12 5 9 7" xfId="17192" xr:uid="{00000000-0005-0000-0000-0000AE410000}"/>
    <cellStyle name="Normal 12 5 9 8" xfId="17193" xr:uid="{00000000-0005-0000-0000-0000AF410000}"/>
    <cellStyle name="Normal 12 5 9 9" xfId="17194" xr:uid="{00000000-0005-0000-0000-0000B0410000}"/>
    <cellStyle name="Normal 12 6" xfId="17195" xr:uid="{00000000-0005-0000-0000-0000B1410000}"/>
    <cellStyle name="Normal 12 6 10" xfId="17196" xr:uid="{00000000-0005-0000-0000-0000B2410000}"/>
    <cellStyle name="Normal 12 6 10 10" xfId="17197" xr:uid="{00000000-0005-0000-0000-0000B3410000}"/>
    <cellStyle name="Normal 12 6 10 11" xfId="17198" xr:uid="{00000000-0005-0000-0000-0000B4410000}"/>
    <cellStyle name="Normal 12 6 10 2" xfId="17199" xr:uid="{00000000-0005-0000-0000-0000B5410000}"/>
    <cellStyle name="Normal 12 6 10 2 10" xfId="17200" xr:uid="{00000000-0005-0000-0000-0000B6410000}"/>
    <cellStyle name="Normal 12 6 10 2 2" xfId="17201" xr:uid="{00000000-0005-0000-0000-0000B7410000}"/>
    <cellStyle name="Normal 12 6 10 2 2 2" xfId="17202" xr:uid="{00000000-0005-0000-0000-0000B8410000}"/>
    <cellStyle name="Normal 12 6 10 2 2 2 2" xfId="17203" xr:uid="{00000000-0005-0000-0000-0000B9410000}"/>
    <cellStyle name="Normal 12 6 10 2 2 2 3" xfId="17204" xr:uid="{00000000-0005-0000-0000-0000BA410000}"/>
    <cellStyle name="Normal 12 6 10 2 2 2 4" xfId="17205" xr:uid="{00000000-0005-0000-0000-0000BB410000}"/>
    <cellStyle name="Normal 12 6 10 2 2 2 5" xfId="17206" xr:uid="{00000000-0005-0000-0000-0000BC410000}"/>
    <cellStyle name="Normal 12 6 10 2 2 3" xfId="17207" xr:uid="{00000000-0005-0000-0000-0000BD410000}"/>
    <cellStyle name="Normal 12 6 10 2 2 4" xfId="17208" xr:uid="{00000000-0005-0000-0000-0000BE410000}"/>
    <cellStyle name="Normal 12 6 10 2 2 5" xfId="17209" xr:uid="{00000000-0005-0000-0000-0000BF410000}"/>
    <cellStyle name="Normal 12 6 10 2 2 6" xfId="17210" xr:uid="{00000000-0005-0000-0000-0000C0410000}"/>
    <cellStyle name="Normal 12 6 10 2 2 7" xfId="17211" xr:uid="{00000000-0005-0000-0000-0000C1410000}"/>
    <cellStyle name="Normal 12 6 10 2 2 8" xfId="17212" xr:uid="{00000000-0005-0000-0000-0000C2410000}"/>
    <cellStyle name="Normal 12 6 10 2 3" xfId="17213" xr:uid="{00000000-0005-0000-0000-0000C3410000}"/>
    <cellStyle name="Normal 12 6 10 2 3 2" xfId="17214" xr:uid="{00000000-0005-0000-0000-0000C4410000}"/>
    <cellStyle name="Normal 12 6 10 2 3 2 2" xfId="17215" xr:uid="{00000000-0005-0000-0000-0000C5410000}"/>
    <cellStyle name="Normal 12 6 10 2 3 2 3" xfId="17216" xr:uid="{00000000-0005-0000-0000-0000C6410000}"/>
    <cellStyle name="Normal 12 6 10 2 3 2 4" xfId="17217" xr:uid="{00000000-0005-0000-0000-0000C7410000}"/>
    <cellStyle name="Normal 12 6 10 2 3 2 5" xfId="17218" xr:uid="{00000000-0005-0000-0000-0000C8410000}"/>
    <cellStyle name="Normal 12 6 10 2 3 3" xfId="17219" xr:uid="{00000000-0005-0000-0000-0000C9410000}"/>
    <cellStyle name="Normal 12 6 10 2 3 4" xfId="17220" xr:uid="{00000000-0005-0000-0000-0000CA410000}"/>
    <cellStyle name="Normal 12 6 10 2 3 5" xfId="17221" xr:uid="{00000000-0005-0000-0000-0000CB410000}"/>
    <cellStyle name="Normal 12 6 10 2 3 6" xfId="17222" xr:uid="{00000000-0005-0000-0000-0000CC410000}"/>
    <cellStyle name="Normal 12 6 10 2 3 7" xfId="17223" xr:uid="{00000000-0005-0000-0000-0000CD410000}"/>
    <cellStyle name="Normal 12 6 10 2 3 8" xfId="17224" xr:uid="{00000000-0005-0000-0000-0000CE410000}"/>
    <cellStyle name="Normal 12 6 10 2 4" xfId="17225" xr:uid="{00000000-0005-0000-0000-0000CF410000}"/>
    <cellStyle name="Normal 12 6 10 2 4 2" xfId="17226" xr:uid="{00000000-0005-0000-0000-0000D0410000}"/>
    <cellStyle name="Normal 12 6 10 2 4 3" xfId="17227" xr:uid="{00000000-0005-0000-0000-0000D1410000}"/>
    <cellStyle name="Normal 12 6 10 2 4 4" xfId="17228" xr:uid="{00000000-0005-0000-0000-0000D2410000}"/>
    <cellStyle name="Normal 12 6 10 2 4 5" xfId="17229" xr:uid="{00000000-0005-0000-0000-0000D3410000}"/>
    <cellStyle name="Normal 12 6 10 2 5" xfId="17230" xr:uid="{00000000-0005-0000-0000-0000D4410000}"/>
    <cellStyle name="Normal 12 6 10 2 6" xfId="17231" xr:uid="{00000000-0005-0000-0000-0000D5410000}"/>
    <cellStyle name="Normal 12 6 10 2 7" xfId="17232" xr:uid="{00000000-0005-0000-0000-0000D6410000}"/>
    <cellStyle name="Normal 12 6 10 2 8" xfId="17233" xr:uid="{00000000-0005-0000-0000-0000D7410000}"/>
    <cellStyle name="Normal 12 6 10 2 9" xfId="17234" xr:uid="{00000000-0005-0000-0000-0000D8410000}"/>
    <cellStyle name="Normal 12 6 10 3" xfId="17235" xr:uid="{00000000-0005-0000-0000-0000D9410000}"/>
    <cellStyle name="Normal 12 6 10 3 2" xfId="17236" xr:uid="{00000000-0005-0000-0000-0000DA410000}"/>
    <cellStyle name="Normal 12 6 10 3 2 2" xfId="17237" xr:uid="{00000000-0005-0000-0000-0000DB410000}"/>
    <cellStyle name="Normal 12 6 10 3 2 3" xfId="17238" xr:uid="{00000000-0005-0000-0000-0000DC410000}"/>
    <cellStyle name="Normal 12 6 10 3 2 4" xfId="17239" xr:uid="{00000000-0005-0000-0000-0000DD410000}"/>
    <cellStyle name="Normal 12 6 10 3 2 5" xfId="17240" xr:uid="{00000000-0005-0000-0000-0000DE410000}"/>
    <cellStyle name="Normal 12 6 10 3 3" xfId="17241" xr:uid="{00000000-0005-0000-0000-0000DF410000}"/>
    <cellStyle name="Normal 12 6 10 3 4" xfId="17242" xr:uid="{00000000-0005-0000-0000-0000E0410000}"/>
    <cellStyle name="Normal 12 6 10 3 5" xfId="17243" xr:uid="{00000000-0005-0000-0000-0000E1410000}"/>
    <cellStyle name="Normal 12 6 10 3 6" xfId="17244" xr:uid="{00000000-0005-0000-0000-0000E2410000}"/>
    <cellStyle name="Normal 12 6 10 3 7" xfId="17245" xr:uid="{00000000-0005-0000-0000-0000E3410000}"/>
    <cellStyle name="Normal 12 6 10 3 8" xfId="17246" xr:uid="{00000000-0005-0000-0000-0000E4410000}"/>
    <cellStyle name="Normal 12 6 10 4" xfId="17247" xr:uid="{00000000-0005-0000-0000-0000E5410000}"/>
    <cellStyle name="Normal 12 6 10 4 2" xfId="17248" xr:uid="{00000000-0005-0000-0000-0000E6410000}"/>
    <cellStyle name="Normal 12 6 10 4 2 2" xfId="17249" xr:uid="{00000000-0005-0000-0000-0000E7410000}"/>
    <cellStyle name="Normal 12 6 10 4 2 3" xfId="17250" xr:uid="{00000000-0005-0000-0000-0000E8410000}"/>
    <cellStyle name="Normal 12 6 10 4 2 4" xfId="17251" xr:uid="{00000000-0005-0000-0000-0000E9410000}"/>
    <cellStyle name="Normal 12 6 10 4 2 5" xfId="17252" xr:uid="{00000000-0005-0000-0000-0000EA410000}"/>
    <cellStyle name="Normal 12 6 10 4 3" xfId="17253" xr:uid="{00000000-0005-0000-0000-0000EB410000}"/>
    <cellStyle name="Normal 12 6 10 4 4" xfId="17254" xr:uid="{00000000-0005-0000-0000-0000EC410000}"/>
    <cellStyle name="Normal 12 6 10 4 5" xfId="17255" xr:uid="{00000000-0005-0000-0000-0000ED410000}"/>
    <cellStyle name="Normal 12 6 10 4 6" xfId="17256" xr:uid="{00000000-0005-0000-0000-0000EE410000}"/>
    <cellStyle name="Normal 12 6 10 4 7" xfId="17257" xr:uid="{00000000-0005-0000-0000-0000EF410000}"/>
    <cellStyle name="Normal 12 6 10 4 8" xfId="17258" xr:uid="{00000000-0005-0000-0000-0000F0410000}"/>
    <cellStyle name="Normal 12 6 10 5" xfId="17259" xr:uid="{00000000-0005-0000-0000-0000F1410000}"/>
    <cellStyle name="Normal 12 6 10 5 2" xfId="17260" xr:uid="{00000000-0005-0000-0000-0000F2410000}"/>
    <cellStyle name="Normal 12 6 10 5 3" xfId="17261" xr:uid="{00000000-0005-0000-0000-0000F3410000}"/>
    <cellStyle name="Normal 12 6 10 5 4" xfId="17262" xr:uid="{00000000-0005-0000-0000-0000F4410000}"/>
    <cellStyle name="Normal 12 6 10 5 5" xfId="17263" xr:uid="{00000000-0005-0000-0000-0000F5410000}"/>
    <cellStyle name="Normal 12 6 10 6" xfId="17264" xr:uid="{00000000-0005-0000-0000-0000F6410000}"/>
    <cellStyle name="Normal 12 6 10 7" xfId="17265" xr:uid="{00000000-0005-0000-0000-0000F7410000}"/>
    <cellStyle name="Normal 12 6 10 8" xfId="17266" xr:uid="{00000000-0005-0000-0000-0000F8410000}"/>
    <cellStyle name="Normal 12 6 10 9" xfId="17267" xr:uid="{00000000-0005-0000-0000-0000F9410000}"/>
    <cellStyle name="Normal 12 6 11" xfId="17268" xr:uid="{00000000-0005-0000-0000-0000FA410000}"/>
    <cellStyle name="Normal 12 6 11 10" xfId="17269" xr:uid="{00000000-0005-0000-0000-0000FB410000}"/>
    <cellStyle name="Normal 12 6 11 2" xfId="17270" xr:uid="{00000000-0005-0000-0000-0000FC410000}"/>
    <cellStyle name="Normal 12 6 11 2 2" xfId="17271" xr:uid="{00000000-0005-0000-0000-0000FD410000}"/>
    <cellStyle name="Normal 12 6 11 2 2 2" xfId="17272" xr:uid="{00000000-0005-0000-0000-0000FE410000}"/>
    <cellStyle name="Normal 12 6 11 2 2 3" xfId="17273" xr:uid="{00000000-0005-0000-0000-0000FF410000}"/>
    <cellStyle name="Normal 12 6 11 2 2 4" xfId="17274" xr:uid="{00000000-0005-0000-0000-000000420000}"/>
    <cellStyle name="Normal 12 6 11 2 2 5" xfId="17275" xr:uid="{00000000-0005-0000-0000-000001420000}"/>
    <cellStyle name="Normal 12 6 11 2 3" xfId="17276" xr:uid="{00000000-0005-0000-0000-000002420000}"/>
    <cellStyle name="Normal 12 6 11 2 4" xfId="17277" xr:uid="{00000000-0005-0000-0000-000003420000}"/>
    <cellStyle name="Normal 12 6 11 2 5" xfId="17278" xr:uid="{00000000-0005-0000-0000-000004420000}"/>
    <cellStyle name="Normal 12 6 11 2 6" xfId="17279" xr:uid="{00000000-0005-0000-0000-000005420000}"/>
    <cellStyle name="Normal 12 6 11 2 7" xfId="17280" xr:uid="{00000000-0005-0000-0000-000006420000}"/>
    <cellStyle name="Normal 12 6 11 2 8" xfId="17281" xr:uid="{00000000-0005-0000-0000-000007420000}"/>
    <cellStyle name="Normal 12 6 11 3" xfId="17282" xr:uid="{00000000-0005-0000-0000-000008420000}"/>
    <cellStyle name="Normal 12 6 11 3 2" xfId="17283" xr:uid="{00000000-0005-0000-0000-000009420000}"/>
    <cellStyle name="Normal 12 6 11 3 2 2" xfId="17284" xr:uid="{00000000-0005-0000-0000-00000A420000}"/>
    <cellStyle name="Normal 12 6 11 3 2 3" xfId="17285" xr:uid="{00000000-0005-0000-0000-00000B420000}"/>
    <cellStyle name="Normal 12 6 11 3 2 4" xfId="17286" xr:uid="{00000000-0005-0000-0000-00000C420000}"/>
    <cellStyle name="Normal 12 6 11 3 2 5" xfId="17287" xr:uid="{00000000-0005-0000-0000-00000D420000}"/>
    <cellStyle name="Normal 12 6 11 3 3" xfId="17288" xr:uid="{00000000-0005-0000-0000-00000E420000}"/>
    <cellStyle name="Normal 12 6 11 3 4" xfId="17289" xr:uid="{00000000-0005-0000-0000-00000F420000}"/>
    <cellStyle name="Normal 12 6 11 3 5" xfId="17290" xr:uid="{00000000-0005-0000-0000-000010420000}"/>
    <cellStyle name="Normal 12 6 11 3 6" xfId="17291" xr:uid="{00000000-0005-0000-0000-000011420000}"/>
    <cellStyle name="Normal 12 6 11 3 7" xfId="17292" xr:uid="{00000000-0005-0000-0000-000012420000}"/>
    <cellStyle name="Normal 12 6 11 3 8" xfId="17293" xr:uid="{00000000-0005-0000-0000-000013420000}"/>
    <cellStyle name="Normal 12 6 11 4" xfId="17294" xr:uid="{00000000-0005-0000-0000-000014420000}"/>
    <cellStyle name="Normal 12 6 11 4 2" xfId="17295" xr:uid="{00000000-0005-0000-0000-000015420000}"/>
    <cellStyle name="Normal 12 6 11 4 3" xfId="17296" xr:uid="{00000000-0005-0000-0000-000016420000}"/>
    <cellStyle name="Normal 12 6 11 4 4" xfId="17297" xr:uid="{00000000-0005-0000-0000-000017420000}"/>
    <cellStyle name="Normal 12 6 11 4 5" xfId="17298" xr:uid="{00000000-0005-0000-0000-000018420000}"/>
    <cellStyle name="Normal 12 6 11 5" xfId="17299" xr:uid="{00000000-0005-0000-0000-000019420000}"/>
    <cellStyle name="Normal 12 6 11 6" xfId="17300" xr:uid="{00000000-0005-0000-0000-00001A420000}"/>
    <cellStyle name="Normal 12 6 11 7" xfId="17301" xr:uid="{00000000-0005-0000-0000-00001B420000}"/>
    <cellStyle name="Normal 12 6 11 8" xfId="17302" xr:uid="{00000000-0005-0000-0000-00001C420000}"/>
    <cellStyle name="Normal 12 6 11 9" xfId="17303" xr:uid="{00000000-0005-0000-0000-00001D420000}"/>
    <cellStyle name="Normal 12 6 12" xfId="17304" xr:uid="{00000000-0005-0000-0000-00001E420000}"/>
    <cellStyle name="Normal 12 6 12 2" xfId="17305" xr:uid="{00000000-0005-0000-0000-00001F420000}"/>
    <cellStyle name="Normal 12 6 12 2 2" xfId="17306" xr:uid="{00000000-0005-0000-0000-000020420000}"/>
    <cellStyle name="Normal 12 6 12 2 3" xfId="17307" xr:uid="{00000000-0005-0000-0000-000021420000}"/>
    <cellStyle name="Normal 12 6 12 2 4" xfId="17308" xr:uid="{00000000-0005-0000-0000-000022420000}"/>
    <cellStyle name="Normal 12 6 12 2 5" xfId="17309" xr:uid="{00000000-0005-0000-0000-000023420000}"/>
    <cellStyle name="Normal 12 6 12 3" xfId="17310" xr:uid="{00000000-0005-0000-0000-000024420000}"/>
    <cellStyle name="Normal 12 6 12 4" xfId="17311" xr:uid="{00000000-0005-0000-0000-000025420000}"/>
    <cellStyle name="Normal 12 6 12 5" xfId="17312" xr:uid="{00000000-0005-0000-0000-000026420000}"/>
    <cellStyle name="Normal 12 6 12 6" xfId="17313" xr:uid="{00000000-0005-0000-0000-000027420000}"/>
    <cellStyle name="Normal 12 6 12 7" xfId="17314" xr:uid="{00000000-0005-0000-0000-000028420000}"/>
    <cellStyle name="Normal 12 6 12 8" xfId="17315" xr:uid="{00000000-0005-0000-0000-000029420000}"/>
    <cellStyle name="Normal 12 6 13" xfId="17316" xr:uid="{00000000-0005-0000-0000-00002A420000}"/>
    <cellStyle name="Normal 12 6 13 2" xfId="17317" xr:uid="{00000000-0005-0000-0000-00002B420000}"/>
    <cellStyle name="Normal 12 6 13 2 2" xfId="17318" xr:uid="{00000000-0005-0000-0000-00002C420000}"/>
    <cellStyle name="Normal 12 6 13 2 3" xfId="17319" xr:uid="{00000000-0005-0000-0000-00002D420000}"/>
    <cellStyle name="Normal 12 6 13 2 4" xfId="17320" xr:uid="{00000000-0005-0000-0000-00002E420000}"/>
    <cellStyle name="Normal 12 6 13 2 5" xfId="17321" xr:uid="{00000000-0005-0000-0000-00002F420000}"/>
    <cellStyle name="Normal 12 6 13 3" xfId="17322" xr:uid="{00000000-0005-0000-0000-000030420000}"/>
    <cellStyle name="Normal 12 6 13 4" xfId="17323" xr:uid="{00000000-0005-0000-0000-000031420000}"/>
    <cellStyle name="Normal 12 6 13 5" xfId="17324" xr:uid="{00000000-0005-0000-0000-000032420000}"/>
    <cellStyle name="Normal 12 6 13 6" xfId="17325" xr:uid="{00000000-0005-0000-0000-000033420000}"/>
    <cellStyle name="Normal 12 6 13 7" xfId="17326" xr:uid="{00000000-0005-0000-0000-000034420000}"/>
    <cellStyle name="Normal 12 6 13 8" xfId="17327" xr:uid="{00000000-0005-0000-0000-000035420000}"/>
    <cellStyle name="Normal 12 6 14" xfId="17328" xr:uid="{00000000-0005-0000-0000-000036420000}"/>
    <cellStyle name="Normal 12 6 14 2" xfId="17329" xr:uid="{00000000-0005-0000-0000-000037420000}"/>
    <cellStyle name="Normal 12 6 14 3" xfId="17330" xr:uid="{00000000-0005-0000-0000-000038420000}"/>
    <cellStyle name="Normal 12 6 14 4" xfId="17331" xr:uid="{00000000-0005-0000-0000-000039420000}"/>
    <cellStyle name="Normal 12 6 14 5" xfId="17332" xr:uid="{00000000-0005-0000-0000-00003A420000}"/>
    <cellStyle name="Normal 12 6 15" xfId="17333" xr:uid="{00000000-0005-0000-0000-00003B420000}"/>
    <cellStyle name="Normal 12 6 16" xfId="17334" xr:uid="{00000000-0005-0000-0000-00003C420000}"/>
    <cellStyle name="Normal 12 6 17" xfId="17335" xr:uid="{00000000-0005-0000-0000-00003D420000}"/>
    <cellStyle name="Normal 12 6 18" xfId="17336" xr:uid="{00000000-0005-0000-0000-00003E420000}"/>
    <cellStyle name="Normal 12 6 19" xfId="17337" xr:uid="{00000000-0005-0000-0000-00003F420000}"/>
    <cellStyle name="Normal 12 6 2" xfId="17338" xr:uid="{00000000-0005-0000-0000-000040420000}"/>
    <cellStyle name="Normal 12 6 2 10" xfId="17339" xr:uid="{00000000-0005-0000-0000-000041420000}"/>
    <cellStyle name="Normal 12 6 2 11" xfId="17340" xr:uid="{00000000-0005-0000-0000-000042420000}"/>
    <cellStyle name="Normal 12 6 2 12" xfId="17341" xr:uid="{00000000-0005-0000-0000-000043420000}"/>
    <cellStyle name="Normal 12 6 2 13" xfId="17342" xr:uid="{00000000-0005-0000-0000-000044420000}"/>
    <cellStyle name="Normal 12 6 2 2" xfId="17343" xr:uid="{00000000-0005-0000-0000-000045420000}"/>
    <cellStyle name="Normal 12 6 2 2 10" xfId="17344" xr:uid="{00000000-0005-0000-0000-000046420000}"/>
    <cellStyle name="Normal 12 6 2 2 11" xfId="17345" xr:uid="{00000000-0005-0000-0000-000047420000}"/>
    <cellStyle name="Normal 12 6 2 2 2" xfId="17346" xr:uid="{00000000-0005-0000-0000-000048420000}"/>
    <cellStyle name="Normal 12 6 2 2 2 10" xfId="17347" xr:uid="{00000000-0005-0000-0000-000049420000}"/>
    <cellStyle name="Normal 12 6 2 2 2 2" xfId="17348" xr:uid="{00000000-0005-0000-0000-00004A420000}"/>
    <cellStyle name="Normal 12 6 2 2 2 2 2" xfId="17349" xr:uid="{00000000-0005-0000-0000-00004B420000}"/>
    <cellStyle name="Normal 12 6 2 2 2 2 2 2" xfId="17350" xr:uid="{00000000-0005-0000-0000-00004C420000}"/>
    <cellStyle name="Normal 12 6 2 2 2 2 2 3" xfId="17351" xr:uid="{00000000-0005-0000-0000-00004D420000}"/>
    <cellStyle name="Normal 12 6 2 2 2 2 2 4" xfId="17352" xr:uid="{00000000-0005-0000-0000-00004E420000}"/>
    <cellStyle name="Normal 12 6 2 2 2 2 2 5" xfId="17353" xr:uid="{00000000-0005-0000-0000-00004F420000}"/>
    <cellStyle name="Normal 12 6 2 2 2 2 3" xfId="17354" xr:uid="{00000000-0005-0000-0000-000050420000}"/>
    <cellStyle name="Normal 12 6 2 2 2 2 4" xfId="17355" xr:uid="{00000000-0005-0000-0000-000051420000}"/>
    <cellStyle name="Normal 12 6 2 2 2 2 5" xfId="17356" xr:uid="{00000000-0005-0000-0000-000052420000}"/>
    <cellStyle name="Normal 12 6 2 2 2 2 6" xfId="17357" xr:uid="{00000000-0005-0000-0000-000053420000}"/>
    <cellStyle name="Normal 12 6 2 2 2 2 7" xfId="17358" xr:uid="{00000000-0005-0000-0000-000054420000}"/>
    <cellStyle name="Normal 12 6 2 2 2 2 8" xfId="17359" xr:uid="{00000000-0005-0000-0000-000055420000}"/>
    <cellStyle name="Normal 12 6 2 2 2 3" xfId="17360" xr:uid="{00000000-0005-0000-0000-000056420000}"/>
    <cellStyle name="Normal 12 6 2 2 2 3 2" xfId="17361" xr:uid="{00000000-0005-0000-0000-000057420000}"/>
    <cellStyle name="Normal 12 6 2 2 2 3 2 2" xfId="17362" xr:uid="{00000000-0005-0000-0000-000058420000}"/>
    <cellStyle name="Normal 12 6 2 2 2 3 2 3" xfId="17363" xr:uid="{00000000-0005-0000-0000-000059420000}"/>
    <cellStyle name="Normal 12 6 2 2 2 3 2 4" xfId="17364" xr:uid="{00000000-0005-0000-0000-00005A420000}"/>
    <cellStyle name="Normal 12 6 2 2 2 3 2 5" xfId="17365" xr:uid="{00000000-0005-0000-0000-00005B420000}"/>
    <cellStyle name="Normal 12 6 2 2 2 3 3" xfId="17366" xr:uid="{00000000-0005-0000-0000-00005C420000}"/>
    <cellStyle name="Normal 12 6 2 2 2 3 4" xfId="17367" xr:uid="{00000000-0005-0000-0000-00005D420000}"/>
    <cellStyle name="Normal 12 6 2 2 2 3 5" xfId="17368" xr:uid="{00000000-0005-0000-0000-00005E420000}"/>
    <cellStyle name="Normal 12 6 2 2 2 3 6" xfId="17369" xr:uid="{00000000-0005-0000-0000-00005F420000}"/>
    <cellStyle name="Normal 12 6 2 2 2 3 7" xfId="17370" xr:uid="{00000000-0005-0000-0000-000060420000}"/>
    <cellStyle name="Normal 12 6 2 2 2 3 8" xfId="17371" xr:uid="{00000000-0005-0000-0000-000061420000}"/>
    <cellStyle name="Normal 12 6 2 2 2 4" xfId="17372" xr:uid="{00000000-0005-0000-0000-000062420000}"/>
    <cellStyle name="Normal 12 6 2 2 2 4 2" xfId="17373" xr:uid="{00000000-0005-0000-0000-000063420000}"/>
    <cellStyle name="Normal 12 6 2 2 2 4 3" xfId="17374" xr:uid="{00000000-0005-0000-0000-000064420000}"/>
    <cellStyle name="Normal 12 6 2 2 2 4 4" xfId="17375" xr:uid="{00000000-0005-0000-0000-000065420000}"/>
    <cellStyle name="Normal 12 6 2 2 2 4 5" xfId="17376" xr:uid="{00000000-0005-0000-0000-000066420000}"/>
    <cellStyle name="Normal 12 6 2 2 2 5" xfId="17377" xr:uid="{00000000-0005-0000-0000-000067420000}"/>
    <cellStyle name="Normal 12 6 2 2 2 6" xfId="17378" xr:uid="{00000000-0005-0000-0000-000068420000}"/>
    <cellStyle name="Normal 12 6 2 2 2 7" xfId="17379" xr:uid="{00000000-0005-0000-0000-000069420000}"/>
    <cellStyle name="Normal 12 6 2 2 2 8" xfId="17380" xr:uid="{00000000-0005-0000-0000-00006A420000}"/>
    <cellStyle name="Normal 12 6 2 2 2 9" xfId="17381" xr:uid="{00000000-0005-0000-0000-00006B420000}"/>
    <cellStyle name="Normal 12 6 2 2 3" xfId="17382" xr:uid="{00000000-0005-0000-0000-00006C420000}"/>
    <cellStyle name="Normal 12 6 2 2 3 2" xfId="17383" xr:uid="{00000000-0005-0000-0000-00006D420000}"/>
    <cellStyle name="Normal 12 6 2 2 3 2 2" xfId="17384" xr:uid="{00000000-0005-0000-0000-00006E420000}"/>
    <cellStyle name="Normal 12 6 2 2 3 2 3" xfId="17385" xr:uid="{00000000-0005-0000-0000-00006F420000}"/>
    <cellStyle name="Normal 12 6 2 2 3 2 4" xfId="17386" xr:uid="{00000000-0005-0000-0000-000070420000}"/>
    <cellStyle name="Normal 12 6 2 2 3 2 5" xfId="17387" xr:uid="{00000000-0005-0000-0000-000071420000}"/>
    <cellStyle name="Normal 12 6 2 2 3 3" xfId="17388" xr:uid="{00000000-0005-0000-0000-000072420000}"/>
    <cellStyle name="Normal 12 6 2 2 3 4" xfId="17389" xr:uid="{00000000-0005-0000-0000-000073420000}"/>
    <cellStyle name="Normal 12 6 2 2 3 5" xfId="17390" xr:uid="{00000000-0005-0000-0000-000074420000}"/>
    <cellStyle name="Normal 12 6 2 2 3 6" xfId="17391" xr:uid="{00000000-0005-0000-0000-000075420000}"/>
    <cellStyle name="Normal 12 6 2 2 3 7" xfId="17392" xr:uid="{00000000-0005-0000-0000-000076420000}"/>
    <cellStyle name="Normal 12 6 2 2 3 8" xfId="17393" xr:uid="{00000000-0005-0000-0000-000077420000}"/>
    <cellStyle name="Normal 12 6 2 2 4" xfId="17394" xr:uid="{00000000-0005-0000-0000-000078420000}"/>
    <cellStyle name="Normal 12 6 2 2 4 2" xfId="17395" xr:uid="{00000000-0005-0000-0000-000079420000}"/>
    <cellStyle name="Normal 12 6 2 2 4 2 2" xfId="17396" xr:uid="{00000000-0005-0000-0000-00007A420000}"/>
    <cellStyle name="Normal 12 6 2 2 4 2 3" xfId="17397" xr:uid="{00000000-0005-0000-0000-00007B420000}"/>
    <cellStyle name="Normal 12 6 2 2 4 2 4" xfId="17398" xr:uid="{00000000-0005-0000-0000-00007C420000}"/>
    <cellStyle name="Normal 12 6 2 2 4 2 5" xfId="17399" xr:uid="{00000000-0005-0000-0000-00007D420000}"/>
    <cellStyle name="Normal 12 6 2 2 4 3" xfId="17400" xr:uid="{00000000-0005-0000-0000-00007E420000}"/>
    <cellStyle name="Normal 12 6 2 2 4 4" xfId="17401" xr:uid="{00000000-0005-0000-0000-00007F420000}"/>
    <cellStyle name="Normal 12 6 2 2 4 5" xfId="17402" xr:uid="{00000000-0005-0000-0000-000080420000}"/>
    <cellStyle name="Normal 12 6 2 2 4 6" xfId="17403" xr:uid="{00000000-0005-0000-0000-000081420000}"/>
    <cellStyle name="Normal 12 6 2 2 4 7" xfId="17404" xr:uid="{00000000-0005-0000-0000-000082420000}"/>
    <cellStyle name="Normal 12 6 2 2 4 8" xfId="17405" xr:uid="{00000000-0005-0000-0000-000083420000}"/>
    <cellStyle name="Normal 12 6 2 2 5" xfId="17406" xr:uid="{00000000-0005-0000-0000-000084420000}"/>
    <cellStyle name="Normal 12 6 2 2 5 2" xfId="17407" xr:uid="{00000000-0005-0000-0000-000085420000}"/>
    <cellStyle name="Normal 12 6 2 2 5 3" xfId="17408" xr:uid="{00000000-0005-0000-0000-000086420000}"/>
    <cellStyle name="Normal 12 6 2 2 5 4" xfId="17409" xr:uid="{00000000-0005-0000-0000-000087420000}"/>
    <cellStyle name="Normal 12 6 2 2 5 5" xfId="17410" xr:uid="{00000000-0005-0000-0000-000088420000}"/>
    <cellStyle name="Normal 12 6 2 2 6" xfId="17411" xr:uid="{00000000-0005-0000-0000-000089420000}"/>
    <cellStyle name="Normal 12 6 2 2 7" xfId="17412" xr:uid="{00000000-0005-0000-0000-00008A420000}"/>
    <cellStyle name="Normal 12 6 2 2 8" xfId="17413" xr:uid="{00000000-0005-0000-0000-00008B420000}"/>
    <cellStyle name="Normal 12 6 2 2 9" xfId="17414" xr:uid="{00000000-0005-0000-0000-00008C420000}"/>
    <cellStyle name="Normal 12 6 2 3" xfId="17415" xr:uid="{00000000-0005-0000-0000-00008D420000}"/>
    <cellStyle name="Normal 12 6 2 3 10" xfId="17416" xr:uid="{00000000-0005-0000-0000-00008E420000}"/>
    <cellStyle name="Normal 12 6 2 3 11" xfId="17417" xr:uid="{00000000-0005-0000-0000-00008F420000}"/>
    <cellStyle name="Normal 12 6 2 3 2" xfId="17418" xr:uid="{00000000-0005-0000-0000-000090420000}"/>
    <cellStyle name="Normal 12 6 2 3 2 10" xfId="17419" xr:uid="{00000000-0005-0000-0000-000091420000}"/>
    <cellStyle name="Normal 12 6 2 3 2 2" xfId="17420" xr:uid="{00000000-0005-0000-0000-000092420000}"/>
    <cellStyle name="Normal 12 6 2 3 2 2 2" xfId="17421" xr:uid="{00000000-0005-0000-0000-000093420000}"/>
    <cellStyle name="Normal 12 6 2 3 2 2 2 2" xfId="17422" xr:uid="{00000000-0005-0000-0000-000094420000}"/>
    <cellStyle name="Normal 12 6 2 3 2 2 2 3" xfId="17423" xr:uid="{00000000-0005-0000-0000-000095420000}"/>
    <cellStyle name="Normal 12 6 2 3 2 2 2 4" xfId="17424" xr:uid="{00000000-0005-0000-0000-000096420000}"/>
    <cellStyle name="Normal 12 6 2 3 2 2 2 5" xfId="17425" xr:uid="{00000000-0005-0000-0000-000097420000}"/>
    <cellStyle name="Normal 12 6 2 3 2 2 3" xfId="17426" xr:uid="{00000000-0005-0000-0000-000098420000}"/>
    <cellStyle name="Normal 12 6 2 3 2 2 4" xfId="17427" xr:uid="{00000000-0005-0000-0000-000099420000}"/>
    <cellStyle name="Normal 12 6 2 3 2 2 5" xfId="17428" xr:uid="{00000000-0005-0000-0000-00009A420000}"/>
    <cellStyle name="Normal 12 6 2 3 2 2 6" xfId="17429" xr:uid="{00000000-0005-0000-0000-00009B420000}"/>
    <cellStyle name="Normal 12 6 2 3 2 2 7" xfId="17430" xr:uid="{00000000-0005-0000-0000-00009C420000}"/>
    <cellStyle name="Normal 12 6 2 3 2 2 8" xfId="17431" xr:uid="{00000000-0005-0000-0000-00009D420000}"/>
    <cellStyle name="Normal 12 6 2 3 2 3" xfId="17432" xr:uid="{00000000-0005-0000-0000-00009E420000}"/>
    <cellStyle name="Normal 12 6 2 3 2 3 2" xfId="17433" xr:uid="{00000000-0005-0000-0000-00009F420000}"/>
    <cellStyle name="Normal 12 6 2 3 2 3 2 2" xfId="17434" xr:uid="{00000000-0005-0000-0000-0000A0420000}"/>
    <cellStyle name="Normal 12 6 2 3 2 3 2 3" xfId="17435" xr:uid="{00000000-0005-0000-0000-0000A1420000}"/>
    <cellStyle name="Normal 12 6 2 3 2 3 2 4" xfId="17436" xr:uid="{00000000-0005-0000-0000-0000A2420000}"/>
    <cellStyle name="Normal 12 6 2 3 2 3 2 5" xfId="17437" xr:uid="{00000000-0005-0000-0000-0000A3420000}"/>
    <cellStyle name="Normal 12 6 2 3 2 3 3" xfId="17438" xr:uid="{00000000-0005-0000-0000-0000A4420000}"/>
    <cellStyle name="Normal 12 6 2 3 2 3 4" xfId="17439" xr:uid="{00000000-0005-0000-0000-0000A5420000}"/>
    <cellStyle name="Normal 12 6 2 3 2 3 5" xfId="17440" xr:uid="{00000000-0005-0000-0000-0000A6420000}"/>
    <cellStyle name="Normal 12 6 2 3 2 3 6" xfId="17441" xr:uid="{00000000-0005-0000-0000-0000A7420000}"/>
    <cellStyle name="Normal 12 6 2 3 2 3 7" xfId="17442" xr:uid="{00000000-0005-0000-0000-0000A8420000}"/>
    <cellStyle name="Normal 12 6 2 3 2 3 8" xfId="17443" xr:uid="{00000000-0005-0000-0000-0000A9420000}"/>
    <cellStyle name="Normal 12 6 2 3 2 4" xfId="17444" xr:uid="{00000000-0005-0000-0000-0000AA420000}"/>
    <cellStyle name="Normal 12 6 2 3 2 4 2" xfId="17445" xr:uid="{00000000-0005-0000-0000-0000AB420000}"/>
    <cellStyle name="Normal 12 6 2 3 2 4 3" xfId="17446" xr:uid="{00000000-0005-0000-0000-0000AC420000}"/>
    <cellStyle name="Normal 12 6 2 3 2 4 4" xfId="17447" xr:uid="{00000000-0005-0000-0000-0000AD420000}"/>
    <cellStyle name="Normal 12 6 2 3 2 4 5" xfId="17448" xr:uid="{00000000-0005-0000-0000-0000AE420000}"/>
    <cellStyle name="Normal 12 6 2 3 2 5" xfId="17449" xr:uid="{00000000-0005-0000-0000-0000AF420000}"/>
    <cellStyle name="Normal 12 6 2 3 2 6" xfId="17450" xr:uid="{00000000-0005-0000-0000-0000B0420000}"/>
    <cellStyle name="Normal 12 6 2 3 2 7" xfId="17451" xr:uid="{00000000-0005-0000-0000-0000B1420000}"/>
    <cellStyle name="Normal 12 6 2 3 2 8" xfId="17452" xr:uid="{00000000-0005-0000-0000-0000B2420000}"/>
    <cellStyle name="Normal 12 6 2 3 2 9" xfId="17453" xr:uid="{00000000-0005-0000-0000-0000B3420000}"/>
    <cellStyle name="Normal 12 6 2 3 3" xfId="17454" xr:uid="{00000000-0005-0000-0000-0000B4420000}"/>
    <cellStyle name="Normal 12 6 2 3 3 2" xfId="17455" xr:uid="{00000000-0005-0000-0000-0000B5420000}"/>
    <cellStyle name="Normal 12 6 2 3 3 2 2" xfId="17456" xr:uid="{00000000-0005-0000-0000-0000B6420000}"/>
    <cellStyle name="Normal 12 6 2 3 3 2 3" xfId="17457" xr:uid="{00000000-0005-0000-0000-0000B7420000}"/>
    <cellStyle name="Normal 12 6 2 3 3 2 4" xfId="17458" xr:uid="{00000000-0005-0000-0000-0000B8420000}"/>
    <cellStyle name="Normal 12 6 2 3 3 2 5" xfId="17459" xr:uid="{00000000-0005-0000-0000-0000B9420000}"/>
    <cellStyle name="Normal 12 6 2 3 3 3" xfId="17460" xr:uid="{00000000-0005-0000-0000-0000BA420000}"/>
    <cellStyle name="Normal 12 6 2 3 3 4" xfId="17461" xr:uid="{00000000-0005-0000-0000-0000BB420000}"/>
    <cellStyle name="Normal 12 6 2 3 3 5" xfId="17462" xr:uid="{00000000-0005-0000-0000-0000BC420000}"/>
    <cellStyle name="Normal 12 6 2 3 3 6" xfId="17463" xr:uid="{00000000-0005-0000-0000-0000BD420000}"/>
    <cellStyle name="Normal 12 6 2 3 3 7" xfId="17464" xr:uid="{00000000-0005-0000-0000-0000BE420000}"/>
    <cellStyle name="Normal 12 6 2 3 3 8" xfId="17465" xr:uid="{00000000-0005-0000-0000-0000BF420000}"/>
    <cellStyle name="Normal 12 6 2 3 4" xfId="17466" xr:uid="{00000000-0005-0000-0000-0000C0420000}"/>
    <cellStyle name="Normal 12 6 2 3 4 2" xfId="17467" xr:uid="{00000000-0005-0000-0000-0000C1420000}"/>
    <cellStyle name="Normal 12 6 2 3 4 2 2" xfId="17468" xr:uid="{00000000-0005-0000-0000-0000C2420000}"/>
    <cellStyle name="Normal 12 6 2 3 4 2 3" xfId="17469" xr:uid="{00000000-0005-0000-0000-0000C3420000}"/>
    <cellStyle name="Normal 12 6 2 3 4 2 4" xfId="17470" xr:uid="{00000000-0005-0000-0000-0000C4420000}"/>
    <cellStyle name="Normal 12 6 2 3 4 2 5" xfId="17471" xr:uid="{00000000-0005-0000-0000-0000C5420000}"/>
    <cellStyle name="Normal 12 6 2 3 4 3" xfId="17472" xr:uid="{00000000-0005-0000-0000-0000C6420000}"/>
    <cellStyle name="Normal 12 6 2 3 4 4" xfId="17473" xr:uid="{00000000-0005-0000-0000-0000C7420000}"/>
    <cellStyle name="Normal 12 6 2 3 4 5" xfId="17474" xr:uid="{00000000-0005-0000-0000-0000C8420000}"/>
    <cellStyle name="Normal 12 6 2 3 4 6" xfId="17475" xr:uid="{00000000-0005-0000-0000-0000C9420000}"/>
    <cellStyle name="Normal 12 6 2 3 4 7" xfId="17476" xr:uid="{00000000-0005-0000-0000-0000CA420000}"/>
    <cellStyle name="Normal 12 6 2 3 4 8" xfId="17477" xr:uid="{00000000-0005-0000-0000-0000CB420000}"/>
    <cellStyle name="Normal 12 6 2 3 5" xfId="17478" xr:uid="{00000000-0005-0000-0000-0000CC420000}"/>
    <cellStyle name="Normal 12 6 2 3 5 2" xfId="17479" xr:uid="{00000000-0005-0000-0000-0000CD420000}"/>
    <cellStyle name="Normal 12 6 2 3 5 3" xfId="17480" xr:uid="{00000000-0005-0000-0000-0000CE420000}"/>
    <cellStyle name="Normal 12 6 2 3 5 4" xfId="17481" xr:uid="{00000000-0005-0000-0000-0000CF420000}"/>
    <cellStyle name="Normal 12 6 2 3 5 5" xfId="17482" xr:uid="{00000000-0005-0000-0000-0000D0420000}"/>
    <cellStyle name="Normal 12 6 2 3 6" xfId="17483" xr:uid="{00000000-0005-0000-0000-0000D1420000}"/>
    <cellStyle name="Normal 12 6 2 3 7" xfId="17484" xr:uid="{00000000-0005-0000-0000-0000D2420000}"/>
    <cellStyle name="Normal 12 6 2 3 8" xfId="17485" xr:uid="{00000000-0005-0000-0000-0000D3420000}"/>
    <cellStyle name="Normal 12 6 2 3 9" xfId="17486" xr:uid="{00000000-0005-0000-0000-0000D4420000}"/>
    <cellStyle name="Normal 12 6 2 4" xfId="17487" xr:uid="{00000000-0005-0000-0000-0000D5420000}"/>
    <cellStyle name="Normal 12 6 2 4 10" xfId="17488" xr:uid="{00000000-0005-0000-0000-0000D6420000}"/>
    <cellStyle name="Normal 12 6 2 4 2" xfId="17489" xr:uid="{00000000-0005-0000-0000-0000D7420000}"/>
    <cellStyle name="Normal 12 6 2 4 2 2" xfId="17490" xr:uid="{00000000-0005-0000-0000-0000D8420000}"/>
    <cellStyle name="Normal 12 6 2 4 2 2 2" xfId="17491" xr:uid="{00000000-0005-0000-0000-0000D9420000}"/>
    <cellStyle name="Normal 12 6 2 4 2 2 3" xfId="17492" xr:uid="{00000000-0005-0000-0000-0000DA420000}"/>
    <cellStyle name="Normal 12 6 2 4 2 2 4" xfId="17493" xr:uid="{00000000-0005-0000-0000-0000DB420000}"/>
    <cellStyle name="Normal 12 6 2 4 2 2 5" xfId="17494" xr:uid="{00000000-0005-0000-0000-0000DC420000}"/>
    <cellStyle name="Normal 12 6 2 4 2 3" xfId="17495" xr:uid="{00000000-0005-0000-0000-0000DD420000}"/>
    <cellStyle name="Normal 12 6 2 4 2 4" xfId="17496" xr:uid="{00000000-0005-0000-0000-0000DE420000}"/>
    <cellStyle name="Normal 12 6 2 4 2 5" xfId="17497" xr:uid="{00000000-0005-0000-0000-0000DF420000}"/>
    <cellStyle name="Normal 12 6 2 4 2 6" xfId="17498" xr:uid="{00000000-0005-0000-0000-0000E0420000}"/>
    <cellStyle name="Normal 12 6 2 4 2 7" xfId="17499" xr:uid="{00000000-0005-0000-0000-0000E1420000}"/>
    <cellStyle name="Normal 12 6 2 4 2 8" xfId="17500" xr:uid="{00000000-0005-0000-0000-0000E2420000}"/>
    <cellStyle name="Normal 12 6 2 4 3" xfId="17501" xr:uid="{00000000-0005-0000-0000-0000E3420000}"/>
    <cellStyle name="Normal 12 6 2 4 3 2" xfId="17502" xr:uid="{00000000-0005-0000-0000-0000E4420000}"/>
    <cellStyle name="Normal 12 6 2 4 3 2 2" xfId="17503" xr:uid="{00000000-0005-0000-0000-0000E5420000}"/>
    <cellStyle name="Normal 12 6 2 4 3 2 3" xfId="17504" xr:uid="{00000000-0005-0000-0000-0000E6420000}"/>
    <cellStyle name="Normal 12 6 2 4 3 2 4" xfId="17505" xr:uid="{00000000-0005-0000-0000-0000E7420000}"/>
    <cellStyle name="Normal 12 6 2 4 3 2 5" xfId="17506" xr:uid="{00000000-0005-0000-0000-0000E8420000}"/>
    <cellStyle name="Normal 12 6 2 4 3 3" xfId="17507" xr:uid="{00000000-0005-0000-0000-0000E9420000}"/>
    <cellStyle name="Normal 12 6 2 4 3 4" xfId="17508" xr:uid="{00000000-0005-0000-0000-0000EA420000}"/>
    <cellStyle name="Normal 12 6 2 4 3 5" xfId="17509" xr:uid="{00000000-0005-0000-0000-0000EB420000}"/>
    <cellStyle name="Normal 12 6 2 4 3 6" xfId="17510" xr:uid="{00000000-0005-0000-0000-0000EC420000}"/>
    <cellStyle name="Normal 12 6 2 4 3 7" xfId="17511" xr:uid="{00000000-0005-0000-0000-0000ED420000}"/>
    <cellStyle name="Normal 12 6 2 4 3 8" xfId="17512" xr:uid="{00000000-0005-0000-0000-0000EE420000}"/>
    <cellStyle name="Normal 12 6 2 4 4" xfId="17513" xr:uid="{00000000-0005-0000-0000-0000EF420000}"/>
    <cellStyle name="Normal 12 6 2 4 4 2" xfId="17514" xr:uid="{00000000-0005-0000-0000-0000F0420000}"/>
    <cellStyle name="Normal 12 6 2 4 4 3" xfId="17515" xr:uid="{00000000-0005-0000-0000-0000F1420000}"/>
    <cellStyle name="Normal 12 6 2 4 4 4" xfId="17516" xr:uid="{00000000-0005-0000-0000-0000F2420000}"/>
    <cellStyle name="Normal 12 6 2 4 4 5" xfId="17517" xr:uid="{00000000-0005-0000-0000-0000F3420000}"/>
    <cellStyle name="Normal 12 6 2 4 5" xfId="17518" xr:uid="{00000000-0005-0000-0000-0000F4420000}"/>
    <cellStyle name="Normal 12 6 2 4 6" xfId="17519" xr:uid="{00000000-0005-0000-0000-0000F5420000}"/>
    <cellStyle name="Normal 12 6 2 4 7" xfId="17520" xr:uid="{00000000-0005-0000-0000-0000F6420000}"/>
    <cellStyle name="Normal 12 6 2 4 8" xfId="17521" xr:uid="{00000000-0005-0000-0000-0000F7420000}"/>
    <cellStyle name="Normal 12 6 2 4 9" xfId="17522" xr:uid="{00000000-0005-0000-0000-0000F8420000}"/>
    <cellStyle name="Normal 12 6 2 5" xfId="17523" xr:uid="{00000000-0005-0000-0000-0000F9420000}"/>
    <cellStyle name="Normal 12 6 2 5 2" xfId="17524" xr:uid="{00000000-0005-0000-0000-0000FA420000}"/>
    <cellStyle name="Normal 12 6 2 5 2 2" xfId="17525" xr:uid="{00000000-0005-0000-0000-0000FB420000}"/>
    <cellStyle name="Normal 12 6 2 5 2 3" xfId="17526" xr:uid="{00000000-0005-0000-0000-0000FC420000}"/>
    <cellStyle name="Normal 12 6 2 5 2 4" xfId="17527" xr:uid="{00000000-0005-0000-0000-0000FD420000}"/>
    <cellStyle name="Normal 12 6 2 5 2 5" xfId="17528" xr:uid="{00000000-0005-0000-0000-0000FE420000}"/>
    <cellStyle name="Normal 12 6 2 5 3" xfId="17529" xr:uid="{00000000-0005-0000-0000-0000FF420000}"/>
    <cellStyle name="Normal 12 6 2 5 4" xfId="17530" xr:uid="{00000000-0005-0000-0000-000000430000}"/>
    <cellStyle name="Normal 12 6 2 5 5" xfId="17531" xr:uid="{00000000-0005-0000-0000-000001430000}"/>
    <cellStyle name="Normal 12 6 2 5 6" xfId="17532" xr:uid="{00000000-0005-0000-0000-000002430000}"/>
    <cellStyle name="Normal 12 6 2 5 7" xfId="17533" xr:uid="{00000000-0005-0000-0000-000003430000}"/>
    <cellStyle name="Normal 12 6 2 5 8" xfId="17534" xr:uid="{00000000-0005-0000-0000-000004430000}"/>
    <cellStyle name="Normal 12 6 2 6" xfId="17535" xr:uid="{00000000-0005-0000-0000-000005430000}"/>
    <cellStyle name="Normal 12 6 2 6 2" xfId="17536" xr:uid="{00000000-0005-0000-0000-000006430000}"/>
    <cellStyle name="Normal 12 6 2 6 2 2" xfId="17537" xr:uid="{00000000-0005-0000-0000-000007430000}"/>
    <cellStyle name="Normal 12 6 2 6 2 3" xfId="17538" xr:uid="{00000000-0005-0000-0000-000008430000}"/>
    <cellStyle name="Normal 12 6 2 6 2 4" xfId="17539" xr:uid="{00000000-0005-0000-0000-000009430000}"/>
    <cellStyle name="Normal 12 6 2 6 2 5" xfId="17540" xr:uid="{00000000-0005-0000-0000-00000A430000}"/>
    <cellStyle name="Normal 12 6 2 6 3" xfId="17541" xr:uid="{00000000-0005-0000-0000-00000B430000}"/>
    <cellStyle name="Normal 12 6 2 6 4" xfId="17542" xr:uid="{00000000-0005-0000-0000-00000C430000}"/>
    <cellStyle name="Normal 12 6 2 6 5" xfId="17543" xr:uid="{00000000-0005-0000-0000-00000D430000}"/>
    <cellStyle name="Normal 12 6 2 6 6" xfId="17544" xr:uid="{00000000-0005-0000-0000-00000E430000}"/>
    <cellStyle name="Normal 12 6 2 6 7" xfId="17545" xr:uid="{00000000-0005-0000-0000-00000F430000}"/>
    <cellStyle name="Normal 12 6 2 6 8" xfId="17546" xr:uid="{00000000-0005-0000-0000-000010430000}"/>
    <cellStyle name="Normal 12 6 2 7" xfId="17547" xr:uid="{00000000-0005-0000-0000-000011430000}"/>
    <cellStyle name="Normal 12 6 2 7 2" xfId="17548" xr:uid="{00000000-0005-0000-0000-000012430000}"/>
    <cellStyle name="Normal 12 6 2 7 3" xfId="17549" xr:uid="{00000000-0005-0000-0000-000013430000}"/>
    <cellStyle name="Normal 12 6 2 7 4" xfId="17550" xr:uid="{00000000-0005-0000-0000-000014430000}"/>
    <cellStyle name="Normal 12 6 2 7 5" xfId="17551" xr:uid="{00000000-0005-0000-0000-000015430000}"/>
    <cellStyle name="Normal 12 6 2 8" xfId="17552" xr:uid="{00000000-0005-0000-0000-000016430000}"/>
    <cellStyle name="Normal 12 6 2 9" xfId="17553" xr:uid="{00000000-0005-0000-0000-000017430000}"/>
    <cellStyle name="Normal 12 6 20" xfId="17554" xr:uid="{00000000-0005-0000-0000-000018430000}"/>
    <cellStyle name="Normal 12 6 3" xfId="17555" xr:uid="{00000000-0005-0000-0000-000019430000}"/>
    <cellStyle name="Normal 12 6 3 10" xfId="17556" xr:uid="{00000000-0005-0000-0000-00001A430000}"/>
    <cellStyle name="Normal 12 6 3 11" xfId="17557" xr:uid="{00000000-0005-0000-0000-00001B430000}"/>
    <cellStyle name="Normal 12 6 3 12" xfId="17558" xr:uid="{00000000-0005-0000-0000-00001C430000}"/>
    <cellStyle name="Normal 12 6 3 13" xfId="17559" xr:uid="{00000000-0005-0000-0000-00001D430000}"/>
    <cellStyle name="Normal 12 6 3 2" xfId="17560" xr:uid="{00000000-0005-0000-0000-00001E430000}"/>
    <cellStyle name="Normal 12 6 3 2 10" xfId="17561" xr:uid="{00000000-0005-0000-0000-00001F430000}"/>
    <cellStyle name="Normal 12 6 3 2 11" xfId="17562" xr:uid="{00000000-0005-0000-0000-000020430000}"/>
    <cellStyle name="Normal 12 6 3 2 2" xfId="17563" xr:uid="{00000000-0005-0000-0000-000021430000}"/>
    <cellStyle name="Normal 12 6 3 2 2 10" xfId="17564" xr:uid="{00000000-0005-0000-0000-000022430000}"/>
    <cellStyle name="Normal 12 6 3 2 2 2" xfId="17565" xr:uid="{00000000-0005-0000-0000-000023430000}"/>
    <cellStyle name="Normal 12 6 3 2 2 2 2" xfId="17566" xr:uid="{00000000-0005-0000-0000-000024430000}"/>
    <cellStyle name="Normal 12 6 3 2 2 2 2 2" xfId="17567" xr:uid="{00000000-0005-0000-0000-000025430000}"/>
    <cellStyle name="Normal 12 6 3 2 2 2 2 3" xfId="17568" xr:uid="{00000000-0005-0000-0000-000026430000}"/>
    <cellStyle name="Normal 12 6 3 2 2 2 2 4" xfId="17569" xr:uid="{00000000-0005-0000-0000-000027430000}"/>
    <cellStyle name="Normal 12 6 3 2 2 2 2 5" xfId="17570" xr:uid="{00000000-0005-0000-0000-000028430000}"/>
    <cellStyle name="Normal 12 6 3 2 2 2 3" xfId="17571" xr:uid="{00000000-0005-0000-0000-000029430000}"/>
    <cellStyle name="Normal 12 6 3 2 2 2 4" xfId="17572" xr:uid="{00000000-0005-0000-0000-00002A430000}"/>
    <cellStyle name="Normal 12 6 3 2 2 2 5" xfId="17573" xr:uid="{00000000-0005-0000-0000-00002B430000}"/>
    <cellStyle name="Normal 12 6 3 2 2 2 6" xfId="17574" xr:uid="{00000000-0005-0000-0000-00002C430000}"/>
    <cellStyle name="Normal 12 6 3 2 2 2 7" xfId="17575" xr:uid="{00000000-0005-0000-0000-00002D430000}"/>
    <cellStyle name="Normal 12 6 3 2 2 2 8" xfId="17576" xr:uid="{00000000-0005-0000-0000-00002E430000}"/>
    <cellStyle name="Normal 12 6 3 2 2 3" xfId="17577" xr:uid="{00000000-0005-0000-0000-00002F430000}"/>
    <cellStyle name="Normal 12 6 3 2 2 3 2" xfId="17578" xr:uid="{00000000-0005-0000-0000-000030430000}"/>
    <cellStyle name="Normal 12 6 3 2 2 3 2 2" xfId="17579" xr:uid="{00000000-0005-0000-0000-000031430000}"/>
    <cellStyle name="Normal 12 6 3 2 2 3 2 3" xfId="17580" xr:uid="{00000000-0005-0000-0000-000032430000}"/>
    <cellStyle name="Normal 12 6 3 2 2 3 2 4" xfId="17581" xr:uid="{00000000-0005-0000-0000-000033430000}"/>
    <cellStyle name="Normal 12 6 3 2 2 3 2 5" xfId="17582" xr:uid="{00000000-0005-0000-0000-000034430000}"/>
    <cellStyle name="Normal 12 6 3 2 2 3 3" xfId="17583" xr:uid="{00000000-0005-0000-0000-000035430000}"/>
    <cellStyle name="Normal 12 6 3 2 2 3 4" xfId="17584" xr:uid="{00000000-0005-0000-0000-000036430000}"/>
    <cellStyle name="Normal 12 6 3 2 2 3 5" xfId="17585" xr:uid="{00000000-0005-0000-0000-000037430000}"/>
    <cellStyle name="Normal 12 6 3 2 2 3 6" xfId="17586" xr:uid="{00000000-0005-0000-0000-000038430000}"/>
    <cellStyle name="Normal 12 6 3 2 2 3 7" xfId="17587" xr:uid="{00000000-0005-0000-0000-000039430000}"/>
    <cellStyle name="Normal 12 6 3 2 2 3 8" xfId="17588" xr:uid="{00000000-0005-0000-0000-00003A430000}"/>
    <cellStyle name="Normal 12 6 3 2 2 4" xfId="17589" xr:uid="{00000000-0005-0000-0000-00003B430000}"/>
    <cellStyle name="Normal 12 6 3 2 2 4 2" xfId="17590" xr:uid="{00000000-0005-0000-0000-00003C430000}"/>
    <cellStyle name="Normal 12 6 3 2 2 4 3" xfId="17591" xr:uid="{00000000-0005-0000-0000-00003D430000}"/>
    <cellStyle name="Normal 12 6 3 2 2 4 4" xfId="17592" xr:uid="{00000000-0005-0000-0000-00003E430000}"/>
    <cellStyle name="Normal 12 6 3 2 2 4 5" xfId="17593" xr:uid="{00000000-0005-0000-0000-00003F430000}"/>
    <cellStyle name="Normal 12 6 3 2 2 5" xfId="17594" xr:uid="{00000000-0005-0000-0000-000040430000}"/>
    <cellStyle name="Normal 12 6 3 2 2 6" xfId="17595" xr:uid="{00000000-0005-0000-0000-000041430000}"/>
    <cellStyle name="Normal 12 6 3 2 2 7" xfId="17596" xr:uid="{00000000-0005-0000-0000-000042430000}"/>
    <cellStyle name="Normal 12 6 3 2 2 8" xfId="17597" xr:uid="{00000000-0005-0000-0000-000043430000}"/>
    <cellStyle name="Normal 12 6 3 2 2 9" xfId="17598" xr:uid="{00000000-0005-0000-0000-000044430000}"/>
    <cellStyle name="Normal 12 6 3 2 3" xfId="17599" xr:uid="{00000000-0005-0000-0000-000045430000}"/>
    <cellStyle name="Normal 12 6 3 2 3 2" xfId="17600" xr:uid="{00000000-0005-0000-0000-000046430000}"/>
    <cellStyle name="Normal 12 6 3 2 3 2 2" xfId="17601" xr:uid="{00000000-0005-0000-0000-000047430000}"/>
    <cellStyle name="Normal 12 6 3 2 3 2 3" xfId="17602" xr:uid="{00000000-0005-0000-0000-000048430000}"/>
    <cellStyle name="Normal 12 6 3 2 3 2 4" xfId="17603" xr:uid="{00000000-0005-0000-0000-000049430000}"/>
    <cellStyle name="Normal 12 6 3 2 3 2 5" xfId="17604" xr:uid="{00000000-0005-0000-0000-00004A430000}"/>
    <cellStyle name="Normal 12 6 3 2 3 3" xfId="17605" xr:uid="{00000000-0005-0000-0000-00004B430000}"/>
    <cellStyle name="Normal 12 6 3 2 3 4" xfId="17606" xr:uid="{00000000-0005-0000-0000-00004C430000}"/>
    <cellStyle name="Normal 12 6 3 2 3 5" xfId="17607" xr:uid="{00000000-0005-0000-0000-00004D430000}"/>
    <cellStyle name="Normal 12 6 3 2 3 6" xfId="17608" xr:uid="{00000000-0005-0000-0000-00004E430000}"/>
    <cellStyle name="Normal 12 6 3 2 3 7" xfId="17609" xr:uid="{00000000-0005-0000-0000-00004F430000}"/>
    <cellStyle name="Normal 12 6 3 2 3 8" xfId="17610" xr:uid="{00000000-0005-0000-0000-000050430000}"/>
    <cellStyle name="Normal 12 6 3 2 4" xfId="17611" xr:uid="{00000000-0005-0000-0000-000051430000}"/>
    <cellStyle name="Normal 12 6 3 2 4 2" xfId="17612" xr:uid="{00000000-0005-0000-0000-000052430000}"/>
    <cellStyle name="Normal 12 6 3 2 4 2 2" xfId="17613" xr:uid="{00000000-0005-0000-0000-000053430000}"/>
    <cellStyle name="Normal 12 6 3 2 4 2 3" xfId="17614" xr:uid="{00000000-0005-0000-0000-000054430000}"/>
    <cellStyle name="Normal 12 6 3 2 4 2 4" xfId="17615" xr:uid="{00000000-0005-0000-0000-000055430000}"/>
    <cellStyle name="Normal 12 6 3 2 4 2 5" xfId="17616" xr:uid="{00000000-0005-0000-0000-000056430000}"/>
    <cellStyle name="Normal 12 6 3 2 4 3" xfId="17617" xr:uid="{00000000-0005-0000-0000-000057430000}"/>
    <cellStyle name="Normal 12 6 3 2 4 4" xfId="17618" xr:uid="{00000000-0005-0000-0000-000058430000}"/>
    <cellStyle name="Normal 12 6 3 2 4 5" xfId="17619" xr:uid="{00000000-0005-0000-0000-000059430000}"/>
    <cellStyle name="Normal 12 6 3 2 4 6" xfId="17620" xr:uid="{00000000-0005-0000-0000-00005A430000}"/>
    <cellStyle name="Normal 12 6 3 2 4 7" xfId="17621" xr:uid="{00000000-0005-0000-0000-00005B430000}"/>
    <cellStyle name="Normal 12 6 3 2 4 8" xfId="17622" xr:uid="{00000000-0005-0000-0000-00005C430000}"/>
    <cellStyle name="Normal 12 6 3 2 5" xfId="17623" xr:uid="{00000000-0005-0000-0000-00005D430000}"/>
    <cellStyle name="Normal 12 6 3 2 5 2" xfId="17624" xr:uid="{00000000-0005-0000-0000-00005E430000}"/>
    <cellStyle name="Normal 12 6 3 2 5 3" xfId="17625" xr:uid="{00000000-0005-0000-0000-00005F430000}"/>
    <cellStyle name="Normal 12 6 3 2 5 4" xfId="17626" xr:uid="{00000000-0005-0000-0000-000060430000}"/>
    <cellStyle name="Normal 12 6 3 2 5 5" xfId="17627" xr:uid="{00000000-0005-0000-0000-000061430000}"/>
    <cellStyle name="Normal 12 6 3 2 6" xfId="17628" xr:uid="{00000000-0005-0000-0000-000062430000}"/>
    <cellStyle name="Normal 12 6 3 2 7" xfId="17629" xr:uid="{00000000-0005-0000-0000-000063430000}"/>
    <cellStyle name="Normal 12 6 3 2 8" xfId="17630" xr:uid="{00000000-0005-0000-0000-000064430000}"/>
    <cellStyle name="Normal 12 6 3 2 9" xfId="17631" xr:uid="{00000000-0005-0000-0000-000065430000}"/>
    <cellStyle name="Normal 12 6 3 3" xfId="17632" xr:uid="{00000000-0005-0000-0000-000066430000}"/>
    <cellStyle name="Normal 12 6 3 3 10" xfId="17633" xr:uid="{00000000-0005-0000-0000-000067430000}"/>
    <cellStyle name="Normal 12 6 3 3 11" xfId="17634" xr:uid="{00000000-0005-0000-0000-000068430000}"/>
    <cellStyle name="Normal 12 6 3 3 2" xfId="17635" xr:uid="{00000000-0005-0000-0000-000069430000}"/>
    <cellStyle name="Normal 12 6 3 3 2 10" xfId="17636" xr:uid="{00000000-0005-0000-0000-00006A430000}"/>
    <cellStyle name="Normal 12 6 3 3 2 2" xfId="17637" xr:uid="{00000000-0005-0000-0000-00006B430000}"/>
    <cellStyle name="Normal 12 6 3 3 2 2 2" xfId="17638" xr:uid="{00000000-0005-0000-0000-00006C430000}"/>
    <cellStyle name="Normal 12 6 3 3 2 2 2 2" xfId="17639" xr:uid="{00000000-0005-0000-0000-00006D430000}"/>
    <cellStyle name="Normal 12 6 3 3 2 2 2 3" xfId="17640" xr:uid="{00000000-0005-0000-0000-00006E430000}"/>
    <cellStyle name="Normal 12 6 3 3 2 2 2 4" xfId="17641" xr:uid="{00000000-0005-0000-0000-00006F430000}"/>
    <cellStyle name="Normal 12 6 3 3 2 2 2 5" xfId="17642" xr:uid="{00000000-0005-0000-0000-000070430000}"/>
    <cellStyle name="Normal 12 6 3 3 2 2 3" xfId="17643" xr:uid="{00000000-0005-0000-0000-000071430000}"/>
    <cellStyle name="Normal 12 6 3 3 2 2 4" xfId="17644" xr:uid="{00000000-0005-0000-0000-000072430000}"/>
    <cellStyle name="Normal 12 6 3 3 2 2 5" xfId="17645" xr:uid="{00000000-0005-0000-0000-000073430000}"/>
    <cellStyle name="Normal 12 6 3 3 2 2 6" xfId="17646" xr:uid="{00000000-0005-0000-0000-000074430000}"/>
    <cellStyle name="Normal 12 6 3 3 2 2 7" xfId="17647" xr:uid="{00000000-0005-0000-0000-000075430000}"/>
    <cellStyle name="Normal 12 6 3 3 2 2 8" xfId="17648" xr:uid="{00000000-0005-0000-0000-000076430000}"/>
    <cellStyle name="Normal 12 6 3 3 2 3" xfId="17649" xr:uid="{00000000-0005-0000-0000-000077430000}"/>
    <cellStyle name="Normal 12 6 3 3 2 3 2" xfId="17650" xr:uid="{00000000-0005-0000-0000-000078430000}"/>
    <cellStyle name="Normal 12 6 3 3 2 3 2 2" xfId="17651" xr:uid="{00000000-0005-0000-0000-000079430000}"/>
    <cellStyle name="Normal 12 6 3 3 2 3 2 3" xfId="17652" xr:uid="{00000000-0005-0000-0000-00007A430000}"/>
    <cellStyle name="Normal 12 6 3 3 2 3 2 4" xfId="17653" xr:uid="{00000000-0005-0000-0000-00007B430000}"/>
    <cellStyle name="Normal 12 6 3 3 2 3 2 5" xfId="17654" xr:uid="{00000000-0005-0000-0000-00007C430000}"/>
    <cellStyle name="Normal 12 6 3 3 2 3 3" xfId="17655" xr:uid="{00000000-0005-0000-0000-00007D430000}"/>
    <cellStyle name="Normal 12 6 3 3 2 3 4" xfId="17656" xr:uid="{00000000-0005-0000-0000-00007E430000}"/>
    <cellStyle name="Normal 12 6 3 3 2 3 5" xfId="17657" xr:uid="{00000000-0005-0000-0000-00007F430000}"/>
    <cellStyle name="Normal 12 6 3 3 2 3 6" xfId="17658" xr:uid="{00000000-0005-0000-0000-000080430000}"/>
    <cellStyle name="Normal 12 6 3 3 2 3 7" xfId="17659" xr:uid="{00000000-0005-0000-0000-000081430000}"/>
    <cellStyle name="Normal 12 6 3 3 2 3 8" xfId="17660" xr:uid="{00000000-0005-0000-0000-000082430000}"/>
    <cellStyle name="Normal 12 6 3 3 2 4" xfId="17661" xr:uid="{00000000-0005-0000-0000-000083430000}"/>
    <cellStyle name="Normal 12 6 3 3 2 4 2" xfId="17662" xr:uid="{00000000-0005-0000-0000-000084430000}"/>
    <cellStyle name="Normal 12 6 3 3 2 4 3" xfId="17663" xr:uid="{00000000-0005-0000-0000-000085430000}"/>
    <cellStyle name="Normal 12 6 3 3 2 4 4" xfId="17664" xr:uid="{00000000-0005-0000-0000-000086430000}"/>
    <cellStyle name="Normal 12 6 3 3 2 4 5" xfId="17665" xr:uid="{00000000-0005-0000-0000-000087430000}"/>
    <cellStyle name="Normal 12 6 3 3 2 5" xfId="17666" xr:uid="{00000000-0005-0000-0000-000088430000}"/>
    <cellStyle name="Normal 12 6 3 3 2 6" xfId="17667" xr:uid="{00000000-0005-0000-0000-000089430000}"/>
    <cellStyle name="Normal 12 6 3 3 2 7" xfId="17668" xr:uid="{00000000-0005-0000-0000-00008A430000}"/>
    <cellStyle name="Normal 12 6 3 3 2 8" xfId="17669" xr:uid="{00000000-0005-0000-0000-00008B430000}"/>
    <cellStyle name="Normal 12 6 3 3 2 9" xfId="17670" xr:uid="{00000000-0005-0000-0000-00008C430000}"/>
    <cellStyle name="Normal 12 6 3 3 3" xfId="17671" xr:uid="{00000000-0005-0000-0000-00008D430000}"/>
    <cellStyle name="Normal 12 6 3 3 3 2" xfId="17672" xr:uid="{00000000-0005-0000-0000-00008E430000}"/>
    <cellStyle name="Normal 12 6 3 3 3 2 2" xfId="17673" xr:uid="{00000000-0005-0000-0000-00008F430000}"/>
    <cellStyle name="Normal 12 6 3 3 3 2 3" xfId="17674" xr:uid="{00000000-0005-0000-0000-000090430000}"/>
    <cellStyle name="Normal 12 6 3 3 3 2 4" xfId="17675" xr:uid="{00000000-0005-0000-0000-000091430000}"/>
    <cellStyle name="Normal 12 6 3 3 3 2 5" xfId="17676" xr:uid="{00000000-0005-0000-0000-000092430000}"/>
    <cellStyle name="Normal 12 6 3 3 3 3" xfId="17677" xr:uid="{00000000-0005-0000-0000-000093430000}"/>
    <cellStyle name="Normal 12 6 3 3 3 4" xfId="17678" xr:uid="{00000000-0005-0000-0000-000094430000}"/>
    <cellStyle name="Normal 12 6 3 3 3 5" xfId="17679" xr:uid="{00000000-0005-0000-0000-000095430000}"/>
    <cellStyle name="Normal 12 6 3 3 3 6" xfId="17680" xr:uid="{00000000-0005-0000-0000-000096430000}"/>
    <cellStyle name="Normal 12 6 3 3 3 7" xfId="17681" xr:uid="{00000000-0005-0000-0000-000097430000}"/>
    <cellStyle name="Normal 12 6 3 3 3 8" xfId="17682" xr:uid="{00000000-0005-0000-0000-000098430000}"/>
    <cellStyle name="Normal 12 6 3 3 4" xfId="17683" xr:uid="{00000000-0005-0000-0000-000099430000}"/>
    <cellStyle name="Normal 12 6 3 3 4 2" xfId="17684" xr:uid="{00000000-0005-0000-0000-00009A430000}"/>
    <cellStyle name="Normal 12 6 3 3 4 2 2" xfId="17685" xr:uid="{00000000-0005-0000-0000-00009B430000}"/>
    <cellStyle name="Normal 12 6 3 3 4 2 3" xfId="17686" xr:uid="{00000000-0005-0000-0000-00009C430000}"/>
    <cellStyle name="Normal 12 6 3 3 4 2 4" xfId="17687" xr:uid="{00000000-0005-0000-0000-00009D430000}"/>
    <cellStyle name="Normal 12 6 3 3 4 2 5" xfId="17688" xr:uid="{00000000-0005-0000-0000-00009E430000}"/>
    <cellStyle name="Normal 12 6 3 3 4 3" xfId="17689" xr:uid="{00000000-0005-0000-0000-00009F430000}"/>
    <cellStyle name="Normal 12 6 3 3 4 4" xfId="17690" xr:uid="{00000000-0005-0000-0000-0000A0430000}"/>
    <cellStyle name="Normal 12 6 3 3 4 5" xfId="17691" xr:uid="{00000000-0005-0000-0000-0000A1430000}"/>
    <cellStyle name="Normal 12 6 3 3 4 6" xfId="17692" xr:uid="{00000000-0005-0000-0000-0000A2430000}"/>
    <cellStyle name="Normal 12 6 3 3 4 7" xfId="17693" xr:uid="{00000000-0005-0000-0000-0000A3430000}"/>
    <cellStyle name="Normal 12 6 3 3 4 8" xfId="17694" xr:uid="{00000000-0005-0000-0000-0000A4430000}"/>
    <cellStyle name="Normal 12 6 3 3 5" xfId="17695" xr:uid="{00000000-0005-0000-0000-0000A5430000}"/>
    <cellStyle name="Normal 12 6 3 3 5 2" xfId="17696" xr:uid="{00000000-0005-0000-0000-0000A6430000}"/>
    <cellStyle name="Normal 12 6 3 3 5 3" xfId="17697" xr:uid="{00000000-0005-0000-0000-0000A7430000}"/>
    <cellStyle name="Normal 12 6 3 3 5 4" xfId="17698" xr:uid="{00000000-0005-0000-0000-0000A8430000}"/>
    <cellStyle name="Normal 12 6 3 3 5 5" xfId="17699" xr:uid="{00000000-0005-0000-0000-0000A9430000}"/>
    <cellStyle name="Normal 12 6 3 3 6" xfId="17700" xr:uid="{00000000-0005-0000-0000-0000AA430000}"/>
    <cellStyle name="Normal 12 6 3 3 7" xfId="17701" xr:uid="{00000000-0005-0000-0000-0000AB430000}"/>
    <cellStyle name="Normal 12 6 3 3 8" xfId="17702" xr:uid="{00000000-0005-0000-0000-0000AC430000}"/>
    <cellStyle name="Normal 12 6 3 3 9" xfId="17703" xr:uid="{00000000-0005-0000-0000-0000AD430000}"/>
    <cellStyle name="Normal 12 6 3 4" xfId="17704" xr:uid="{00000000-0005-0000-0000-0000AE430000}"/>
    <cellStyle name="Normal 12 6 3 4 10" xfId="17705" xr:uid="{00000000-0005-0000-0000-0000AF430000}"/>
    <cellStyle name="Normal 12 6 3 4 2" xfId="17706" xr:uid="{00000000-0005-0000-0000-0000B0430000}"/>
    <cellStyle name="Normal 12 6 3 4 2 2" xfId="17707" xr:uid="{00000000-0005-0000-0000-0000B1430000}"/>
    <cellStyle name="Normal 12 6 3 4 2 2 2" xfId="17708" xr:uid="{00000000-0005-0000-0000-0000B2430000}"/>
    <cellStyle name="Normal 12 6 3 4 2 2 3" xfId="17709" xr:uid="{00000000-0005-0000-0000-0000B3430000}"/>
    <cellStyle name="Normal 12 6 3 4 2 2 4" xfId="17710" xr:uid="{00000000-0005-0000-0000-0000B4430000}"/>
    <cellStyle name="Normal 12 6 3 4 2 2 5" xfId="17711" xr:uid="{00000000-0005-0000-0000-0000B5430000}"/>
    <cellStyle name="Normal 12 6 3 4 2 3" xfId="17712" xr:uid="{00000000-0005-0000-0000-0000B6430000}"/>
    <cellStyle name="Normal 12 6 3 4 2 4" xfId="17713" xr:uid="{00000000-0005-0000-0000-0000B7430000}"/>
    <cellStyle name="Normal 12 6 3 4 2 5" xfId="17714" xr:uid="{00000000-0005-0000-0000-0000B8430000}"/>
    <cellStyle name="Normal 12 6 3 4 2 6" xfId="17715" xr:uid="{00000000-0005-0000-0000-0000B9430000}"/>
    <cellStyle name="Normal 12 6 3 4 2 7" xfId="17716" xr:uid="{00000000-0005-0000-0000-0000BA430000}"/>
    <cellStyle name="Normal 12 6 3 4 2 8" xfId="17717" xr:uid="{00000000-0005-0000-0000-0000BB430000}"/>
    <cellStyle name="Normal 12 6 3 4 3" xfId="17718" xr:uid="{00000000-0005-0000-0000-0000BC430000}"/>
    <cellStyle name="Normal 12 6 3 4 3 2" xfId="17719" xr:uid="{00000000-0005-0000-0000-0000BD430000}"/>
    <cellStyle name="Normal 12 6 3 4 3 2 2" xfId="17720" xr:uid="{00000000-0005-0000-0000-0000BE430000}"/>
    <cellStyle name="Normal 12 6 3 4 3 2 3" xfId="17721" xr:uid="{00000000-0005-0000-0000-0000BF430000}"/>
    <cellStyle name="Normal 12 6 3 4 3 2 4" xfId="17722" xr:uid="{00000000-0005-0000-0000-0000C0430000}"/>
    <cellStyle name="Normal 12 6 3 4 3 2 5" xfId="17723" xr:uid="{00000000-0005-0000-0000-0000C1430000}"/>
    <cellStyle name="Normal 12 6 3 4 3 3" xfId="17724" xr:uid="{00000000-0005-0000-0000-0000C2430000}"/>
    <cellStyle name="Normal 12 6 3 4 3 4" xfId="17725" xr:uid="{00000000-0005-0000-0000-0000C3430000}"/>
    <cellStyle name="Normal 12 6 3 4 3 5" xfId="17726" xr:uid="{00000000-0005-0000-0000-0000C4430000}"/>
    <cellStyle name="Normal 12 6 3 4 3 6" xfId="17727" xr:uid="{00000000-0005-0000-0000-0000C5430000}"/>
    <cellStyle name="Normal 12 6 3 4 3 7" xfId="17728" xr:uid="{00000000-0005-0000-0000-0000C6430000}"/>
    <cellStyle name="Normal 12 6 3 4 3 8" xfId="17729" xr:uid="{00000000-0005-0000-0000-0000C7430000}"/>
    <cellStyle name="Normal 12 6 3 4 4" xfId="17730" xr:uid="{00000000-0005-0000-0000-0000C8430000}"/>
    <cellStyle name="Normal 12 6 3 4 4 2" xfId="17731" xr:uid="{00000000-0005-0000-0000-0000C9430000}"/>
    <cellStyle name="Normal 12 6 3 4 4 3" xfId="17732" xr:uid="{00000000-0005-0000-0000-0000CA430000}"/>
    <cellStyle name="Normal 12 6 3 4 4 4" xfId="17733" xr:uid="{00000000-0005-0000-0000-0000CB430000}"/>
    <cellStyle name="Normal 12 6 3 4 4 5" xfId="17734" xr:uid="{00000000-0005-0000-0000-0000CC430000}"/>
    <cellStyle name="Normal 12 6 3 4 5" xfId="17735" xr:uid="{00000000-0005-0000-0000-0000CD430000}"/>
    <cellStyle name="Normal 12 6 3 4 6" xfId="17736" xr:uid="{00000000-0005-0000-0000-0000CE430000}"/>
    <cellStyle name="Normal 12 6 3 4 7" xfId="17737" xr:uid="{00000000-0005-0000-0000-0000CF430000}"/>
    <cellStyle name="Normal 12 6 3 4 8" xfId="17738" xr:uid="{00000000-0005-0000-0000-0000D0430000}"/>
    <cellStyle name="Normal 12 6 3 4 9" xfId="17739" xr:uid="{00000000-0005-0000-0000-0000D1430000}"/>
    <cellStyle name="Normal 12 6 3 5" xfId="17740" xr:uid="{00000000-0005-0000-0000-0000D2430000}"/>
    <cellStyle name="Normal 12 6 3 5 2" xfId="17741" xr:uid="{00000000-0005-0000-0000-0000D3430000}"/>
    <cellStyle name="Normal 12 6 3 5 2 2" xfId="17742" xr:uid="{00000000-0005-0000-0000-0000D4430000}"/>
    <cellStyle name="Normal 12 6 3 5 2 3" xfId="17743" xr:uid="{00000000-0005-0000-0000-0000D5430000}"/>
    <cellStyle name="Normal 12 6 3 5 2 4" xfId="17744" xr:uid="{00000000-0005-0000-0000-0000D6430000}"/>
    <cellStyle name="Normal 12 6 3 5 2 5" xfId="17745" xr:uid="{00000000-0005-0000-0000-0000D7430000}"/>
    <cellStyle name="Normal 12 6 3 5 3" xfId="17746" xr:uid="{00000000-0005-0000-0000-0000D8430000}"/>
    <cellStyle name="Normal 12 6 3 5 4" xfId="17747" xr:uid="{00000000-0005-0000-0000-0000D9430000}"/>
    <cellStyle name="Normal 12 6 3 5 5" xfId="17748" xr:uid="{00000000-0005-0000-0000-0000DA430000}"/>
    <cellStyle name="Normal 12 6 3 5 6" xfId="17749" xr:uid="{00000000-0005-0000-0000-0000DB430000}"/>
    <cellStyle name="Normal 12 6 3 5 7" xfId="17750" xr:uid="{00000000-0005-0000-0000-0000DC430000}"/>
    <cellStyle name="Normal 12 6 3 5 8" xfId="17751" xr:uid="{00000000-0005-0000-0000-0000DD430000}"/>
    <cellStyle name="Normal 12 6 3 6" xfId="17752" xr:uid="{00000000-0005-0000-0000-0000DE430000}"/>
    <cellStyle name="Normal 12 6 3 6 2" xfId="17753" xr:uid="{00000000-0005-0000-0000-0000DF430000}"/>
    <cellStyle name="Normal 12 6 3 6 2 2" xfId="17754" xr:uid="{00000000-0005-0000-0000-0000E0430000}"/>
    <cellStyle name="Normal 12 6 3 6 2 3" xfId="17755" xr:uid="{00000000-0005-0000-0000-0000E1430000}"/>
    <cellStyle name="Normal 12 6 3 6 2 4" xfId="17756" xr:uid="{00000000-0005-0000-0000-0000E2430000}"/>
    <cellStyle name="Normal 12 6 3 6 2 5" xfId="17757" xr:uid="{00000000-0005-0000-0000-0000E3430000}"/>
    <cellStyle name="Normal 12 6 3 6 3" xfId="17758" xr:uid="{00000000-0005-0000-0000-0000E4430000}"/>
    <cellStyle name="Normal 12 6 3 6 4" xfId="17759" xr:uid="{00000000-0005-0000-0000-0000E5430000}"/>
    <cellStyle name="Normal 12 6 3 6 5" xfId="17760" xr:uid="{00000000-0005-0000-0000-0000E6430000}"/>
    <cellStyle name="Normal 12 6 3 6 6" xfId="17761" xr:uid="{00000000-0005-0000-0000-0000E7430000}"/>
    <cellStyle name="Normal 12 6 3 6 7" xfId="17762" xr:uid="{00000000-0005-0000-0000-0000E8430000}"/>
    <cellStyle name="Normal 12 6 3 6 8" xfId="17763" xr:uid="{00000000-0005-0000-0000-0000E9430000}"/>
    <cellStyle name="Normal 12 6 3 7" xfId="17764" xr:uid="{00000000-0005-0000-0000-0000EA430000}"/>
    <cellStyle name="Normal 12 6 3 7 2" xfId="17765" xr:uid="{00000000-0005-0000-0000-0000EB430000}"/>
    <cellStyle name="Normal 12 6 3 7 3" xfId="17766" xr:uid="{00000000-0005-0000-0000-0000EC430000}"/>
    <cellStyle name="Normal 12 6 3 7 4" xfId="17767" xr:uid="{00000000-0005-0000-0000-0000ED430000}"/>
    <cellStyle name="Normal 12 6 3 7 5" xfId="17768" xr:uid="{00000000-0005-0000-0000-0000EE430000}"/>
    <cellStyle name="Normal 12 6 3 8" xfId="17769" xr:uid="{00000000-0005-0000-0000-0000EF430000}"/>
    <cellStyle name="Normal 12 6 3 9" xfId="17770" xr:uid="{00000000-0005-0000-0000-0000F0430000}"/>
    <cellStyle name="Normal 12 6 4" xfId="17771" xr:uid="{00000000-0005-0000-0000-0000F1430000}"/>
    <cellStyle name="Normal 12 6 4 10" xfId="17772" xr:uid="{00000000-0005-0000-0000-0000F2430000}"/>
    <cellStyle name="Normal 12 6 4 11" xfId="17773" xr:uid="{00000000-0005-0000-0000-0000F3430000}"/>
    <cellStyle name="Normal 12 6 4 12" xfId="17774" xr:uid="{00000000-0005-0000-0000-0000F4430000}"/>
    <cellStyle name="Normal 12 6 4 13" xfId="17775" xr:uid="{00000000-0005-0000-0000-0000F5430000}"/>
    <cellStyle name="Normal 12 6 4 2" xfId="17776" xr:uid="{00000000-0005-0000-0000-0000F6430000}"/>
    <cellStyle name="Normal 12 6 4 2 10" xfId="17777" xr:uid="{00000000-0005-0000-0000-0000F7430000}"/>
    <cellStyle name="Normal 12 6 4 2 11" xfId="17778" xr:uid="{00000000-0005-0000-0000-0000F8430000}"/>
    <cellStyle name="Normal 12 6 4 2 2" xfId="17779" xr:uid="{00000000-0005-0000-0000-0000F9430000}"/>
    <cellStyle name="Normal 12 6 4 2 2 10" xfId="17780" xr:uid="{00000000-0005-0000-0000-0000FA430000}"/>
    <cellStyle name="Normal 12 6 4 2 2 2" xfId="17781" xr:uid="{00000000-0005-0000-0000-0000FB430000}"/>
    <cellStyle name="Normal 12 6 4 2 2 2 2" xfId="17782" xr:uid="{00000000-0005-0000-0000-0000FC430000}"/>
    <cellStyle name="Normal 12 6 4 2 2 2 2 2" xfId="17783" xr:uid="{00000000-0005-0000-0000-0000FD430000}"/>
    <cellStyle name="Normal 12 6 4 2 2 2 2 3" xfId="17784" xr:uid="{00000000-0005-0000-0000-0000FE430000}"/>
    <cellStyle name="Normal 12 6 4 2 2 2 2 4" xfId="17785" xr:uid="{00000000-0005-0000-0000-0000FF430000}"/>
    <cellStyle name="Normal 12 6 4 2 2 2 2 5" xfId="17786" xr:uid="{00000000-0005-0000-0000-000000440000}"/>
    <cellStyle name="Normal 12 6 4 2 2 2 3" xfId="17787" xr:uid="{00000000-0005-0000-0000-000001440000}"/>
    <cellStyle name="Normal 12 6 4 2 2 2 4" xfId="17788" xr:uid="{00000000-0005-0000-0000-000002440000}"/>
    <cellStyle name="Normal 12 6 4 2 2 2 5" xfId="17789" xr:uid="{00000000-0005-0000-0000-000003440000}"/>
    <cellStyle name="Normal 12 6 4 2 2 2 6" xfId="17790" xr:uid="{00000000-0005-0000-0000-000004440000}"/>
    <cellStyle name="Normal 12 6 4 2 2 2 7" xfId="17791" xr:uid="{00000000-0005-0000-0000-000005440000}"/>
    <cellStyle name="Normal 12 6 4 2 2 2 8" xfId="17792" xr:uid="{00000000-0005-0000-0000-000006440000}"/>
    <cellStyle name="Normal 12 6 4 2 2 3" xfId="17793" xr:uid="{00000000-0005-0000-0000-000007440000}"/>
    <cellStyle name="Normal 12 6 4 2 2 3 2" xfId="17794" xr:uid="{00000000-0005-0000-0000-000008440000}"/>
    <cellStyle name="Normal 12 6 4 2 2 3 2 2" xfId="17795" xr:uid="{00000000-0005-0000-0000-000009440000}"/>
    <cellStyle name="Normal 12 6 4 2 2 3 2 3" xfId="17796" xr:uid="{00000000-0005-0000-0000-00000A440000}"/>
    <cellStyle name="Normal 12 6 4 2 2 3 2 4" xfId="17797" xr:uid="{00000000-0005-0000-0000-00000B440000}"/>
    <cellStyle name="Normal 12 6 4 2 2 3 2 5" xfId="17798" xr:uid="{00000000-0005-0000-0000-00000C440000}"/>
    <cellStyle name="Normal 12 6 4 2 2 3 3" xfId="17799" xr:uid="{00000000-0005-0000-0000-00000D440000}"/>
    <cellStyle name="Normal 12 6 4 2 2 3 4" xfId="17800" xr:uid="{00000000-0005-0000-0000-00000E440000}"/>
    <cellStyle name="Normal 12 6 4 2 2 3 5" xfId="17801" xr:uid="{00000000-0005-0000-0000-00000F440000}"/>
    <cellStyle name="Normal 12 6 4 2 2 3 6" xfId="17802" xr:uid="{00000000-0005-0000-0000-000010440000}"/>
    <cellStyle name="Normal 12 6 4 2 2 3 7" xfId="17803" xr:uid="{00000000-0005-0000-0000-000011440000}"/>
    <cellStyle name="Normal 12 6 4 2 2 3 8" xfId="17804" xr:uid="{00000000-0005-0000-0000-000012440000}"/>
    <cellStyle name="Normal 12 6 4 2 2 4" xfId="17805" xr:uid="{00000000-0005-0000-0000-000013440000}"/>
    <cellStyle name="Normal 12 6 4 2 2 4 2" xfId="17806" xr:uid="{00000000-0005-0000-0000-000014440000}"/>
    <cellStyle name="Normal 12 6 4 2 2 4 3" xfId="17807" xr:uid="{00000000-0005-0000-0000-000015440000}"/>
    <cellStyle name="Normal 12 6 4 2 2 4 4" xfId="17808" xr:uid="{00000000-0005-0000-0000-000016440000}"/>
    <cellStyle name="Normal 12 6 4 2 2 4 5" xfId="17809" xr:uid="{00000000-0005-0000-0000-000017440000}"/>
    <cellStyle name="Normal 12 6 4 2 2 5" xfId="17810" xr:uid="{00000000-0005-0000-0000-000018440000}"/>
    <cellStyle name="Normal 12 6 4 2 2 6" xfId="17811" xr:uid="{00000000-0005-0000-0000-000019440000}"/>
    <cellStyle name="Normal 12 6 4 2 2 7" xfId="17812" xr:uid="{00000000-0005-0000-0000-00001A440000}"/>
    <cellStyle name="Normal 12 6 4 2 2 8" xfId="17813" xr:uid="{00000000-0005-0000-0000-00001B440000}"/>
    <cellStyle name="Normal 12 6 4 2 2 9" xfId="17814" xr:uid="{00000000-0005-0000-0000-00001C440000}"/>
    <cellStyle name="Normal 12 6 4 2 3" xfId="17815" xr:uid="{00000000-0005-0000-0000-00001D440000}"/>
    <cellStyle name="Normal 12 6 4 2 3 2" xfId="17816" xr:uid="{00000000-0005-0000-0000-00001E440000}"/>
    <cellStyle name="Normal 12 6 4 2 3 2 2" xfId="17817" xr:uid="{00000000-0005-0000-0000-00001F440000}"/>
    <cellStyle name="Normal 12 6 4 2 3 2 3" xfId="17818" xr:uid="{00000000-0005-0000-0000-000020440000}"/>
    <cellStyle name="Normal 12 6 4 2 3 2 4" xfId="17819" xr:uid="{00000000-0005-0000-0000-000021440000}"/>
    <cellStyle name="Normal 12 6 4 2 3 2 5" xfId="17820" xr:uid="{00000000-0005-0000-0000-000022440000}"/>
    <cellStyle name="Normal 12 6 4 2 3 3" xfId="17821" xr:uid="{00000000-0005-0000-0000-000023440000}"/>
    <cellStyle name="Normal 12 6 4 2 3 4" xfId="17822" xr:uid="{00000000-0005-0000-0000-000024440000}"/>
    <cellStyle name="Normal 12 6 4 2 3 5" xfId="17823" xr:uid="{00000000-0005-0000-0000-000025440000}"/>
    <cellStyle name="Normal 12 6 4 2 3 6" xfId="17824" xr:uid="{00000000-0005-0000-0000-000026440000}"/>
    <cellStyle name="Normal 12 6 4 2 3 7" xfId="17825" xr:uid="{00000000-0005-0000-0000-000027440000}"/>
    <cellStyle name="Normal 12 6 4 2 3 8" xfId="17826" xr:uid="{00000000-0005-0000-0000-000028440000}"/>
    <cellStyle name="Normal 12 6 4 2 4" xfId="17827" xr:uid="{00000000-0005-0000-0000-000029440000}"/>
    <cellStyle name="Normal 12 6 4 2 4 2" xfId="17828" xr:uid="{00000000-0005-0000-0000-00002A440000}"/>
    <cellStyle name="Normal 12 6 4 2 4 2 2" xfId="17829" xr:uid="{00000000-0005-0000-0000-00002B440000}"/>
    <cellStyle name="Normal 12 6 4 2 4 2 3" xfId="17830" xr:uid="{00000000-0005-0000-0000-00002C440000}"/>
    <cellStyle name="Normal 12 6 4 2 4 2 4" xfId="17831" xr:uid="{00000000-0005-0000-0000-00002D440000}"/>
    <cellStyle name="Normal 12 6 4 2 4 2 5" xfId="17832" xr:uid="{00000000-0005-0000-0000-00002E440000}"/>
    <cellStyle name="Normal 12 6 4 2 4 3" xfId="17833" xr:uid="{00000000-0005-0000-0000-00002F440000}"/>
    <cellStyle name="Normal 12 6 4 2 4 4" xfId="17834" xr:uid="{00000000-0005-0000-0000-000030440000}"/>
    <cellStyle name="Normal 12 6 4 2 4 5" xfId="17835" xr:uid="{00000000-0005-0000-0000-000031440000}"/>
    <cellStyle name="Normal 12 6 4 2 4 6" xfId="17836" xr:uid="{00000000-0005-0000-0000-000032440000}"/>
    <cellStyle name="Normal 12 6 4 2 4 7" xfId="17837" xr:uid="{00000000-0005-0000-0000-000033440000}"/>
    <cellStyle name="Normal 12 6 4 2 4 8" xfId="17838" xr:uid="{00000000-0005-0000-0000-000034440000}"/>
    <cellStyle name="Normal 12 6 4 2 5" xfId="17839" xr:uid="{00000000-0005-0000-0000-000035440000}"/>
    <cellStyle name="Normal 12 6 4 2 5 2" xfId="17840" xr:uid="{00000000-0005-0000-0000-000036440000}"/>
    <cellStyle name="Normal 12 6 4 2 5 3" xfId="17841" xr:uid="{00000000-0005-0000-0000-000037440000}"/>
    <cellStyle name="Normal 12 6 4 2 5 4" xfId="17842" xr:uid="{00000000-0005-0000-0000-000038440000}"/>
    <cellStyle name="Normal 12 6 4 2 5 5" xfId="17843" xr:uid="{00000000-0005-0000-0000-000039440000}"/>
    <cellStyle name="Normal 12 6 4 2 6" xfId="17844" xr:uid="{00000000-0005-0000-0000-00003A440000}"/>
    <cellStyle name="Normal 12 6 4 2 7" xfId="17845" xr:uid="{00000000-0005-0000-0000-00003B440000}"/>
    <cellStyle name="Normal 12 6 4 2 8" xfId="17846" xr:uid="{00000000-0005-0000-0000-00003C440000}"/>
    <cellStyle name="Normal 12 6 4 2 9" xfId="17847" xr:uid="{00000000-0005-0000-0000-00003D440000}"/>
    <cellStyle name="Normal 12 6 4 3" xfId="17848" xr:uid="{00000000-0005-0000-0000-00003E440000}"/>
    <cellStyle name="Normal 12 6 4 3 10" xfId="17849" xr:uid="{00000000-0005-0000-0000-00003F440000}"/>
    <cellStyle name="Normal 12 6 4 3 11" xfId="17850" xr:uid="{00000000-0005-0000-0000-000040440000}"/>
    <cellStyle name="Normal 12 6 4 3 2" xfId="17851" xr:uid="{00000000-0005-0000-0000-000041440000}"/>
    <cellStyle name="Normal 12 6 4 3 2 10" xfId="17852" xr:uid="{00000000-0005-0000-0000-000042440000}"/>
    <cellStyle name="Normal 12 6 4 3 2 2" xfId="17853" xr:uid="{00000000-0005-0000-0000-000043440000}"/>
    <cellStyle name="Normal 12 6 4 3 2 2 2" xfId="17854" xr:uid="{00000000-0005-0000-0000-000044440000}"/>
    <cellStyle name="Normal 12 6 4 3 2 2 2 2" xfId="17855" xr:uid="{00000000-0005-0000-0000-000045440000}"/>
    <cellStyle name="Normal 12 6 4 3 2 2 2 3" xfId="17856" xr:uid="{00000000-0005-0000-0000-000046440000}"/>
    <cellStyle name="Normal 12 6 4 3 2 2 2 4" xfId="17857" xr:uid="{00000000-0005-0000-0000-000047440000}"/>
    <cellStyle name="Normal 12 6 4 3 2 2 2 5" xfId="17858" xr:uid="{00000000-0005-0000-0000-000048440000}"/>
    <cellStyle name="Normal 12 6 4 3 2 2 3" xfId="17859" xr:uid="{00000000-0005-0000-0000-000049440000}"/>
    <cellStyle name="Normal 12 6 4 3 2 2 4" xfId="17860" xr:uid="{00000000-0005-0000-0000-00004A440000}"/>
    <cellStyle name="Normal 12 6 4 3 2 2 5" xfId="17861" xr:uid="{00000000-0005-0000-0000-00004B440000}"/>
    <cellStyle name="Normal 12 6 4 3 2 2 6" xfId="17862" xr:uid="{00000000-0005-0000-0000-00004C440000}"/>
    <cellStyle name="Normal 12 6 4 3 2 2 7" xfId="17863" xr:uid="{00000000-0005-0000-0000-00004D440000}"/>
    <cellStyle name="Normal 12 6 4 3 2 2 8" xfId="17864" xr:uid="{00000000-0005-0000-0000-00004E440000}"/>
    <cellStyle name="Normal 12 6 4 3 2 3" xfId="17865" xr:uid="{00000000-0005-0000-0000-00004F440000}"/>
    <cellStyle name="Normal 12 6 4 3 2 3 2" xfId="17866" xr:uid="{00000000-0005-0000-0000-000050440000}"/>
    <cellStyle name="Normal 12 6 4 3 2 3 2 2" xfId="17867" xr:uid="{00000000-0005-0000-0000-000051440000}"/>
    <cellStyle name="Normal 12 6 4 3 2 3 2 3" xfId="17868" xr:uid="{00000000-0005-0000-0000-000052440000}"/>
    <cellStyle name="Normal 12 6 4 3 2 3 2 4" xfId="17869" xr:uid="{00000000-0005-0000-0000-000053440000}"/>
    <cellStyle name="Normal 12 6 4 3 2 3 2 5" xfId="17870" xr:uid="{00000000-0005-0000-0000-000054440000}"/>
    <cellStyle name="Normal 12 6 4 3 2 3 3" xfId="17871" xr:uid="{00000000-0005-0000-0000-000055440000}"/>
    <cellStyle name="Normal 12 6 4 3 2 3 4" xfId="17872" xr:uid="{00000000-0005-0000-0000-000056440000}"/>
    <cellStyle name="Normal 12 6 4 3 2 3 5" xfId="17873" xr:uid="{00000000-0005-0000-0000-000057440000}"/>
    <cellStyle name="Normal 12 6 4 3 2 3 6" xfId="17874" xr:uid="{00000000-0005-0000-0000-000058440000}"/>
    <cellStyle name="Normal 12 6 4 3 2 3 7" xfId="17875" xr:uid="{00000000-0005-0000-0000-000059440000}"/>
    <cellStyle name="Normal 12 6 4 3 2 3 8" xfId="17876" xr:uid="{00000000-0005-0000-0000-00005A440000}"/>
    <cellStyle name="Normal 12 6 4 3 2 4" xfId="17877" xr:uid="{00000000-0005-0000-0000-00005B440000}"/>
    <cellStyle name="Normal 12 6 4 3 2 4 2" xfId="17878" xr:uid="{00000000-0005-0000-0000-00005C440000}"/>
    <cellStyle name="Normal 12 6 4 3 2 4 3" xfId="17879" xr:uid="{00000000-0005-0000-0000-00005D440000}"/>
    <cellStyle name="Normal 12 6 4 3 2 4 4" xfId="17880" xr:uid="{00000000-0005-0000-0000-00005E440000}"/>
    <cellStyle name="Normal 12 6 4 3 2 4 5" xfId="17881" xr:uid="{00000000-0005-0000-0000-00005F440000}"/>
    <cellStyle name="Normal 12 6 4 3 2 5" xfId="17882" xr:uid="{00000000-0005-0000-0000-000060440000}"/>
    <cellStyle name="Normal 12 6 4 3 2 6" xfId="17883" xr:uid="{00000000-0005-0000-0000-000061440000}"/>
    <cellStyle name="Normal 12 6 4 3 2 7" xfId="17884" xr:uid="{00000000-0005-0000-0000-000062440000}"/>
    <cellStyle name="Normal 12 6 4 3 2 8" xfId="17885" xr:uid="{00000000-0005-0000-0000-000063440000}"/>
    <cellStyle name="Normal 12 6 4 3 2 9" xfId="17886" xr:uid="{00000000-0005-0000-0000-000064440000}"/>
    <cellStyle name="Normal 12 6 4 3 3" xfId="17887" xr:uid="{00000000-0005-0000-0000-000065440000}"/>
    <cellStyle name="Normal 12 6 4 3 3 2" xfId="17888" xr:uid="{00000000-0005-0000-0000-000066440000}"/>
    <cellStyle name="Normal 12 6 4 3 3 2 2" xfId="17889" xr:uid="{00000000-0005-0000-0000-000067440000}"/>
    <cellStyle name="Normal 12 6 4 3 3 2 3" xfId="17890" xr:uid="{00000000-0005-0000-0000-000068440000}"/>
    <cellStyle name="Normal 12 6 4 3 3 2 4" xfId="17891" xr:uid="{00000000-0005-0000-0000-000069440000}"/>
    <cellStyle name="Normal 12 6 4 3 3 2 5" xfId="17892" xr:uid="{00000000-0005-0000-0000-00006A440000}"/>
    <cellStyle name="Normal 12 6 4 3 3 3" xfId="17893" xr:uid="{00000000-0005-0000-0000-00006B440000}"/>
    <cellStyle name="Normal 12 6 4 3 3 4" xfId="17894" xr:uid="{00000000-0005-0000-0000-00006C440000}"/>
    <cellStyle name="Normal 12 6 4 3 3 5" xfId="17895" xr:uid="{00000000-0005-0000-0000-00006D440000}"/>
    <cellStyle name="Normal 12 6 4 3 3 6" xfId="17896" xr:uid="{00000000-0005-0000-0000-00006E440000}"/>
    <cellStyle name="Normal 12 6 4 3 3 7" xfId="17897" xr:uid="{00000000-0005-0000-0000-00006F440000}"/>
    <cellStyle name="Normal 12 6 4 3 3 8" xfId="17898" xr:uid="{00000000-0005-0000-0000-000070440000}"/>
    <cellStyle name="Normal 12 6 4 3 4" xfId="17899" xr:uid="{00000000-0005-0000-0000-000071440000}"/>
    <cellStyle name="Normal 12 6 4 3 4 2" xfId="17900" xr:uid="{00000000-0005-0000-0000-000072440000}"/>
    <cellStyle name="Normal 12 6 4 3 4 2 2" xfId="17901" xr:uid="{00000000-0005-0000-0000-000073440000}"/>
    <cellStyle name="Normal 12 6 4 3 4 2 3" xfId="17902" xr:uid="{00000000-0005-0000-0000-000074440000}"/>
    <cellStyle name="Normal 12 6 4 3 4 2 4" xfId="17903" xr:uid="{00000000-0005-0000-0000-000075440000}"/>
    <cellStyle name="Normal 12 6 4 3 4 2 5" xfId="17904" xr:uid="{00000000-0005-0000-0000-000076440000}"/>
    <cellStyle name="Normal 12 6 4 3 4 3" xfId="17905" xr:uid="{00000000-0005-0000-0000-000077440000}"/>
    <cellStyle name="Normal 12 6 4 3 4 4" xfId="17906" xr:uid="{00000000-0005-0000-0000-000078440000}"/>
    <cellStyle name="Normal 12 6 4 3 4 5" xfId="17907" xr:uid="{00000000-0005-0000-0000-000079440000}"/>
    <cellStyle name="Normal 12 6 4 3 4 6" xfId="17908" xr:uid="{00000000-0005-0000-0000-00007A440000}"/>
    <cellStyle name="Normal 12 6 4 3 4 7" xfId="17909" xr:uid="{00000000-0005-0000-0000-00007B440000}"/>
    <cellStyle name="Normal 12 6 4 3 4 8" xfId="17910" xr:uid="{00000000-0005-0000-0000-00007C440000}"/>
    <cellStyle name="Normal 12 6 4 3 5" xfId="17911" xr:uid="{00000000-0005-0000-0000-00007D440000}"/>
    <cellStyle name="Normal 12 6 4 3 5 2" xfId="17912" xr:uid="{00000000-0005-0000-0000-00007E440000}"/>
    <cellStyle name="Normal 12 6 4 3 5 3" xfId="17913" xr:uid="{00000000-0005-0000-0000-00007F440000}"/>
    <cellStyle name="Normal 12 6 4 3 5 4" xfId="17914" xr:uid="{00000000-0005-0000-0000-000080440000}"/>
    <cellStyle name="Normal 12 6 4 3 5 5" xfId="17915" xr:uid="{00000000-0005-0000-0000-000081440000}"/>
    <cellStyle name="Normal 12 6 4 3 6" xfId="17916" xr:uid="{00000000-0005-0000-0000-000082440000}"/>
    <cellStyle name="Normal 12 6 4 3 7" xfId="17917" xr:uid="{00000000-0005-0000-0000-000083440000}"/>
    <cellStyle name="Normal 12 6 4 3 8" xfId="17918" xr:uid="{00000000-0005-0000-0000-000084440000}"/>
    <cellStyle name="Normal 12 6 4 3 9" xfId="17919" xr:uid="{00000000-0005-0000-0000-000085440000}"/>
    <cellStyle name="Normal 12 6 4 4" xfId="17920" xr:uid="{00000000-0005-0000-0000-000086440000}"/>
    <cellStyle name="Normal 12 6 4 4 10" xfId="17921" xr:uid="{00000000-0005-0000-0000-000087440000}"/>
    <cellStyle name="Normal 12 6 4 4 2" xfId="17922" xr:uid="{00000000-0005-0000-0000-000088440000}"/>
    <cellStyle name="Normal 12 6 4 4 2 2" xfId="17923" xr:uid="{00000000-0005-0000-0000-000089440000}"/>
    <cellStyle name="Normal 12 6 4 4 2 2 2" xfId="17924" xr:uid="{00000000-0005-0000-0000-00008A440000}"/>
    <cellStyle name="Normal 12 6 4 4 2 2 3" xfId="17925" xr:uid="{00000000-0005-0000-0000-00008B440000}"/>
    <cellStyle name="Normal 12 6 4 4 2 2 4" xfId="17926" xr:uid="{00000000-0005-0000-0000-00008C440000}"/>
    <cellStyle name="Normal 12 6 4 4 2 2 5" xfId="17927" xr:uid="{00000000-0005-0000-0000-00008D440000}"/>
    <cellStyle name="Normal 12 6 4 4 2 3" xfId="17928" xr:uid="{00000000-0005-0000-0000-00008E440000}"/>
    <cellStyle name="Normal 12 6 4 4 2 4" xfId="17929" xr:uid="{00000000-0005-0000-0000-00008F440000}"/>
    <cellStyle name="Normal 12 6 4 4 2 5" xfId="17930" xr:uid="{00000000-0005-0000-0000-000090440000}"/>
    <cellStyle name="Normal 12 6 4 4 2 6" xfId="17931" xr:uid="{00000000-0005-0000-0000-000091440000}"/>
    <cellStyle name="Normal 12 6 4 4 2 7" xfId="17932" xr:uid="{00000000-0005-0000-0000-000092440000}"/>
    <cellStyle name="Normal 12 6 4 4 2 8" xfId="17933" xr:uid="{00000000-0005-0000-0000-000093440000}"/>
    <cellStyle name="Normal 12 6 4 4 3" xfId="17934" xr:uid="{00000000-0005-0000-0000-000094440000}"/>
    <cellStyle name="Normal 12 6 4 4 3 2" xfId="17935" xr:uid="{00000000-0005-0000-0000-000095440000}"/>
    <cellStyle name="Normal 12 6 4 4 3 2 2" xfId="17936" xr:uid="{00000000-0005-0000-0000-000096440000}"/>
    <cellStyle name="Normal 12 6 4 4 3 2 3" xfId="17937" xr:uid="{00000000-0005-0000-0000-000097440000}"/>
    <cellStyle name="Normal 12 6 4 4 3 2 4" xfId="17938" xr:uid="{00000000-0005-0000-0000-000098440000}"/>
    <cellStyle name="Normal 12 6 4 4 3 2 5" xfId="17939" xr:uid="{00000000-0005-0000-0000-000099440000}"/>
    <cellStyle name="Normal 12 6 4 4 3 3" xfId="17940" xr:uid="{00000000-0005-0000-0000-00009A440000}"/>
    <cellStyle name="Normal 12 6 4 4 3 4" xfId="17941" xr:uid="{00000000-0005-0000-0000-00009B440000}"/>
    <cellStyle name="Normal 12 6 4 4 3 5" xfId="17942" xr:uid="{00000000-0005-0000-0000-00009C440000}"/>
    <cellStyle name="Normal 12 6 4 4 3 6" xfId="17943" xr:uid="{00000000-0005-0000-0000-00009D440000}"/>
    <cellStyle name="Normal 12 6 4 4 3 7" xfId="17944" xr:uid="{00000000-0005-0000-0000-00009E440000}"/>
    <cellStyle name="Normal 12 6 4 4 3 8" xfId="17945" xr:uid="{00000000-0005-0000-0000-00009F440000}"/>
    <cellStyle name="Normal 12 6 4 4 4" xfId="17946" xr:uid="{00000000-0005-0000-0000-0000A0440000}"/>
    <cellStyle name="Normal 12 6 4 4 4 2" xfId="17947" xr:uid="{00000000-0005-0000-0000-0000A1440000}"/>
    <cellStyle name="Normal 12 6 4 4 4 3" xfId="17948" xr:uid="{00000000-0005-0000-0000-0000A2440000}"/>
    <cellStyle name="Normal 12 6 4 4 4 4" xfId="17949" xr:uid="{00000000-0005-0000-0000-0000A3440000}"/>
    <cellStyle name="Normal 12 6 4 4 4 5" xfId="17950" xr:uid="{00000000-0005-0000-0000-0000A4440000}"/>
    <cellStyle name="Normal 12 6 4 4 5" xfId="17951" xr:uid="{00000000-0005-0000-0000-0000A5440000}"/>
    <cellStyle name="Normal 12 6 4 4 6" xfId="17952" xr:uid="{00000000-0005-0000-0000-0000A6440000}"/>
    <cellStyle name="Normal 12 6 4 4 7" xfId="17953" xr:uid="{00000000-0005-0000-0000-0000A7440000}"/>
    <cellStyle name="Normal 12 6 4 4 8" xfId="17954" xr:uid="{00000000-0005-0000-0000-0000A8440000}"/>
    <cellStyle name="Normal 12 6 4 4 9" xfId="17955" xr:uid="{00000000-0005-0000-0000-0000A9440000}"/>
    <cellStyle name="Normal 12 6 4 5" xfId="17956" xr:uid="{00000000-0005-0000-0000-0000AA440000}"/>
    <cellStyle name="Normal 12 6 4 5 2" xfId="17957" xr:uid="{00000000-0005-0000-0000-0000AB440000}"/>
    <cellStyle name="Normal 12 6 4 5 2 2" xfId="17958" xr:uid="{00000000-0005-0000-0000-0000AC440000}"/>
    <cellStyle name="Normal 12 6 4 5 2 3" xfId="17959" xr:uid="{00000000-0005-0000-0000-0000AD440000}"/>
    <cellStyle name="Normal 12 6 4 5 2 4" xfId="17960" xr:uid="{00000000-0005-0000-0000-0000AE440000}"/>
    <cellStyle name="Normal 12 6 4 5 2 5" xfId="17961" xr:uid="{00000000-0005-0000-0000-0000AF440000}"/>
    <cellStyle name="Normal 12 6 4 5 3" xfId="17962" xr:uid="{00000000-0005-0000-0000-0000B0440000}"/>
    <cellStyle name="Normal 12 6 4 5 4" xfId="17963" xr:uid="{00000000-0005-0000-0000-0000B1440000}"/>
    <cellStyle name="Normal 12 6 4 5 5" xfId="17964" xr:uid="{00000000-0005-0000-0000-0000B2440000}"/>
    <cellStyle name="Normal 12 6 4 5 6" xfId="17965" xr:uid="{00000000-0005-0000-0000-0000B3440000}"/>
    <cellStyle name="Normal 12 6 4 5 7" xfId="17966" xr:uid="{00000000-0005-0000-0000-0000B4440000}"/>
    <cellStyle name="Normal 12 6 4 5 8" xfId="17967" xr:uid="{00000000-0005-0000-0000-0000B5440000}"/>
    <cellStyle name="Normal 12 6 4 6" xfId="17968" xr:uid="{00000000-0005-0000-0000-0000B6440000}"/>
    <cellStyle name="Normal 12 6 4 6 2" xfId="17969" xr:uid="{00000000-0005-0000-0000-0000B7440000}"/>
    <cellStyle name="Normal 12 6 4 6 2 2" xfId="17970" xr:uid="{00000000-0005-0000-0000-0000B8440000}"/>
    <cellStyle name="Normal 12 6 4 6 2 3" xfId="17971" xr:uid="{00000000-0005-0000-0000-0000B9440000}"/>
    <cellStyle name="Normal 12 6 4 6 2 4" xfId="17972" xr:uid="{00000000-0005-0000-0000-0000BA440000}"/>
    <cellStyle name="Normal 12 6 4 6 2 5" xfId="17973" xr:uid="{00000000-0005-0000-0000-0000BB440000}"/>
    <cellStyle name="Normal 12 6 4 6 3" xfId="17974" xr:uid="{00000000-0005-0000-0000-0000BC440000}"/>
    <cellStyle name="Normal 12 6 4 6 4" xfId="17975" xr:uid="{00000000-0005-0000-0000-0000BD440000}"/>
    <cellStyle name="Normal 12 6 4 6 5" xfId="17976" xr:uid="{00000000-0005-0000-0000-0000BE440000}"/>
    <cellStyle name="Normal 12 6 4 6 6" xfId="17977" xr:uid="{00000000-0005-0000-0000-0000BF440000}"/>
    <cellStyle name="Normal 12 6 4 6 7" xfId="17978" xr:uid="{00000000-0005-0000-0000-0000C0440000}"/>
    <cellStyle name="Normal 12 6 4 6 8" xfId="17979" xr:uid="{00000000-0005-0000-0000-0000C1440000}"/>
    <cellStyle name="Normal 12 6 4 7" xfId="17980" xr:uid="{00000000-0005-0000-0000-0000C2440000}"/>
    <cellStyle name="Normal 12 6 4 7 2" xfId="17981" xr:uid="{00000000-0005-0000-0000-0000C3440000}"/>
    <cellStyle name="Normal 12 6 4 7 3" xfId="17982" xr:uid="{00000000-0005-0000-0000-0000C4440000}"/>
    <cellStyle name="Normal 12 6 4 7 4" xfId="17983" xr:uid="{00000000-0005-0000-0000-0000C5440000}"/>
    <cellStyle name="Normal 12 6 4 7 5" xfId="17984" xr:uid="{00000000-0005-0000-0000-0000C6440000}"/>
    <cellStyle name="Normal 12 6 4 8" xfId="17985" xr:uid="{00000000-0005-0000-0000-0000C7440000}"/>
    <cellStyle name="Normal 12 6 4 9" xfId="17986" xr:uid="{00000000-0005-0000-0000-0000C8440000}"/>
    <cellStyle name="Normal 12 6 5" xfId="17987" xr:uid="{00000000-0005-0000-0000-0000C9440000}"/>
    <cellStyle name="Normal 12 6 5 10" xfId="17988" xr:uid="{00000000-0005-0000-0000-0000CA440000}"/>
    <cellStyle name="Normal 12 6 5 11" xfId="17989" xr:uid="{00000000-0005-0000-0000-0000CB440000}"/>
    <cellStyle name="Normal 12 6 5 12" xfId="17990" xr:uid="{00000000-0005-0000-0000-0000CC440000}"/>
    <cellStyle name="Normal 12 6 5 13" xfId="17991" xr:uid="{00000000-0005-0000-0000-0000CD440000}"/>
    <cellStyle name="Normal 12 6 5 2" xfId="17992" xr:uid="{00000000-0005-0000-0000-0000CE440000}"/>
    <cellStyle name="Normal 12 6 5 2 10" xfId="17993" xr:uid="{00000000-0005-0000-0000-0000CF440000}"/>
    <cellStyle name="Normal 12 6 5 2 11" xfId="17994" xr:uid="{00000000-0005-0000-0000-0000D0440000}"/>
    <cellStyle name="Normal 12 6 5 2 2" xfId="17995" xr:uid="{00000000-0005-0000-0000-0000D1440000}"/>
    <cellStyle name="Normal 12 6 5 2 2 10" xfId="17996" xr:uid="{00000000-0005-0000-0000-0000D2440000}"/>
    <cellStyle name="Normal 12 6 5 2 2 2" xfId="17997" xr:uid="{00000000-0005-0000-0000-0000D3440000}"/>
    <cellStyle name="Normal 12 6 5 2 2 2 2" xfId="17998" xr:uid="{00000000-0005-0000-0000-0000D4440000}"/>
    <cellStyle name="Normal 12 6 5 2 2 2 2 2" xfId="17999" xr:uid="{00000000-0005-0000-0000-0000D5440000}"/>
    <cellStyle name="Normal 12 6 5 2 2 2 2 3" xfId="18000" xr:uid="{00000000-0005-0000-0000-0000D6440000}"/>
    <cellStyle name="Normal 12 6 5 2 2 2 2 4" xfId="18001" xr:uid="{00000000-0005-0000-0000-0000D7440000}"/>
    <cellStyle name="Normal 12 6 5 2 2 2 2 5" xfId="18002" xr:uid="{00000000-0005-0000-0000-0000D8440000}"/>
    <cellStyle name="Normal 12 6 5 2 2 2 3" xfId="18003" xr:uid="{00000000-0005-0000-0000-0000D9440000}"/>
    <cellStyle name="Normal 12 6 5 2 2 2 4" xfId="18004" xr:uid="{00000000-0005-0000-0000-0000DA440000}"/>
    <cellStyle name="Normal 12 6 5 2 2 2 5" xfId="18005" xr:uid="{00000000-0005-0000-0000-0000DB440000}"/>
    <cellStyle name="Normal 12 6 5 2 2 2 6" xfId="18006" xr:uid="{00000000-0005-0000-0000-0000DC440000}"/>
    <cellStyle name="Normal 12 6 5 2 2 2 7" xfId="18007" xr:uid="{00000000-0005-0000-0000-0000DD440000}"/>
    <cellStyle name="Normal 12 6 5 2 2 2 8" xfId="18008" xr:uid="{00000000-0005-0000-0000-0000DE440000}"/>
    <cellStyle name="Normal 12 6 5 2 2 3" xfId="18009" xr:uid="{00000000-0005-0000-0000-0000DF440000}"/>
    <cellStyle name="Normal 12 6 5 2 2 3 2" xfId="18010" xr:uid="{00000000-0005-0000-0000-0000E0440000}"/>
    <cellStyle name="Normal 12 6 5 2 2 3 2 2" xfId="18011" xr:uid="{00000000-0005-0000-0000-0000E1440000}"/>
    <cellStyle name="Normal 12 6 5 2 2 3 2 3" xfId="18012" xr:uid="{00000000-0005-0000-0000-0000E2440000}"/>
    <cellStyle name="Normal 12 6 5 2 2 3 2 4" xfId="18013" xr:uid="{00000000-0005-0000-0000-0000E3440000}"/>
    <cellStyle name="Normal 12 6 5 2 2 3 2 5" xfId="18014" xr:uid="{00000000-0005-0000-0000-0000E4440000}"/>
    <cellStyle name="Normal 12 6 5 2 2 3 3" xfId="18015" xr:uid="{00000000-0005-0000-0000-0000E5440000}"/>
    <cellStyle name="Normal 12 6 5 2 2 3 4" xfId="18016" xr:uid="{00000000-0005-0000-0000-0000E6440000}"/>
    <cellStyle name="Normal 12 6 5 2 2 3 5" xfId="18017" xr:uid="{00000000-0005-0000-0000-0000E7440000}"/>
    <cellStyle name="Normal 12 6 5 2 2 3 6" xfId="18018" xr:uid="{00000000-0005-0000-0000-0000E8440000}"/>
    <cellStyle name="Normal 12 6 5 2 2 3 7" xfId="18019" xr:uid="{00000000-0005-0000-0000-0000E9440000}"/>
    <cellStyle name="Normal 12 6 5 2 2 3 8" xfId="18020" xr:uid="{00000000-0005-0000-0000-0000EA440000}"/>
    <cellStyle name="Normal 12 6 5 2 2 4" xfId="18021" xr:uid="{00000000-0005-0000-0000-0000EB440000}"/>
    <cellStyle name="Normal 12 6 5 2 2 4 2" xfId="18022" xr:uid="{00000000-0005-0000-0000-0000EC440000}"/>
    <cellStyle name="Normal 12 6 5 2 2 4 3" xfId="18023" xr:uid="{00000000-0005-0000-0000-0000ED440000}"/>
    <cellStyle name="Normal 12 6 5 2 2 4 4" xfId="18024" xr:uid="{00000000-0005-0000-0000-0000EE440000}"/>
    <cellStyle name="Normal 12 6 5 2 2 4 5" xfId="18025" xr:uid="{00000000-0005-0000-0000-0000EF440000}"/>
    <cellStyle name="Normal 12 6 5 2 2 5" xfId="18026" xr:uid="{00000000-0005-0000-0000-0000F0440000}"/>
    <cellStyle name="Normal 12 6 5 2 2 6" xfId="18027" xr:uid="{00000000-0005-0000-0000-0000F1440000}"/>
    <cellStyle name="Normal 12 6 5 2 2 7" xfId="18028" xr:uid="{00000000-0005-0000-0000-0000F2440000}"/>
    <cellStyle name="Normal 12 6 5 2 2 8" xfId="18029" xr:uid="{00000000-0005-0000-0000-0000F3440000}"/>
    <cellStyle name="Normal 12 6 5 2 2 9" xfId="18030" xr:uid="{00000000-0005-0000-0000-0000F4440000}"/>
    <cellStyle name="Normal 12 6 5 2 3" xfId="18031" xr:uid="{00000000-0005-0000-0000-0000F5440000}"/>
    <cellStyle name="Normal 12 6 5 2 3 2" xfId="18032" xr:uid="{00000000-0005-0000-0000-0000F6440000}"/>
    <cellStyle name="Normal 12 6 5 2 3 2 2" xfId="18033" xr:uid="{00000000-0005-0000-0000-0000F7440000}"/>
    <cellStyle name="Normal 12 6 5 2 3 2 3" xfId="18034" xr:uid="{00000000-0005-0000-0000-0000F8440000}"/>
    <cellStyle name="Normal 12 6 5 2 3 2 4" xfId="18035" xr:uid="{00000000-0005-0000-0000-0000F9440000}"/>
    <cellStyle name="Normal 12 6 5 2 3 2 5" xfId="18036" xr:uid="{00000000-0005-0000-0000-0000FA440000}"/>
    <cellStyle name="Normal 12 6 5 2 3 3" xfId="18037" xr:uid="{00000000-0005-0000-0000-0000FB440000}"/>
    <cellStyle name="Normal 12 6 5 2 3 4" xfId="18038" xr:uid="{00000000-0005-0000-0000-0000FC440000}"/>
    <cellStyle name="Normal 12 6 5 2 3 5" xfId="18039" xr:uid="{00000000-0005-0000-0000-0000FD440000}"/>
    <cellStyle name="Normal 12 6 5 2 3 6" xfId="18040" xr:uid="{00000000-0005-0000-0000-0000FE440000}"/>
    <cellStyle name="Normal 12 6 5 2 3 7" xfId="18041" xr:uid="{00000000-0005-0000-0000-0000FF440000}"/>
    <cellStyle name="Normal 12 6 5 2 3 8" xfId="18042" xr:uid="{00000000-0005-0000-0000-000000450000}"/>
    <cellStyle name="Normal 12 6 5 2 4" xfId="18043" xr:uid="{00000000-0005-0000-0000-000001450000}"/>
    <cellStyle name="Normal 12 6 5 2 4 2" xfId="18044" xr:uid="{00000000-0005-0000-0000-000002450000}"/>
    <cellStyle name="Normal 12 6 5 2 4 2 2" xfId="18045" xr:uid="{00000000-0005-0000-0000-000003450000}"/>
    <cellStyle name="Normal 12 6 5 2 4 2 3" xfId="18046" xr:uid="{00000000-0005-0000-0000-000004450000}"/>
    <cellStyle name="Normal 12 6 5 2 4 2 4" xfId="18047" xr:uid="{00000000-0005-0000-0000-000005450000}"/>
    <cellStyle name="Normal 12 6 5 2 4 2 5" xfId="18048" xr:uid="{00000000-0005-0000-0000-000006450000}"/>
    <cellStyle name="Normal 12 6 5 2 4 3" xfId="18049" xr:uid="{00000000-0005-0000-0000-000007450000}"/>
    <cellStyle name="Normal 12 6 5 2 4 4" xfId="18050" xr:uid="{00000000-0005-0000-0000-000008450000}"/>
    <cellStyle name="Normal 12 6 5 2 4 5" xfId="18051" xr:uid="{00000000-0005-0000-0000-000009450000}"/>
    <cellStyle name="Normal 12 6 5 2 4 6" xfId="18052" xr:uid="{00000000-0005-0000-0000-00000A450000}"/>
    <cellStyle name="Normal 12 6 5 2 4 7" xfId="18053" xr:uid="{00000000-0005-0000-0000-00000B450000}"/>
    <cellStyle name="Normal 12 6 5 2 4 8" xfId="18054" xr:uid="{00000000-0005-0000-0000-00000C450000}"/>
    <cellStyle name="Normal 12 6 5 2 5" xfId="18055" xr:uid="{00000000-0005-0000-0000-00000D450000}"/>
    <cellStyle name="Normal 12 6 5 2 5 2" xfId="18056" xr:uid="{00000000-0005-0000-0000-00000E450000}"/>
    <cellStyle name="Normal 12 6 5 2 5 3" xfId="18057" xr:uid="{00000000-0005-0000-0000-00000F450000}"/>
    <cellStyle name="Normal 12 6 5 2 5 4" xfId="18058" xr:uid="{00000000-0005-0000-0000-000010450000}"/>
    <cellStyle name="Normal 12 6 5 2 5 5" xfId="18059" xr:uid="{00000000-0005-0000-0000-000011450000}"/>
    <cellStyle name="Normal 12 6 5 2 6" xfId="18060" xr:uid="{00000000-0005-0000-0000-000012450000}"/>
    <cellStyle name="Normal 12 6 5 2 7" xfId="18061" xr:uid="{00000000-0005-0000-0000-000013450000}"/>
    <cellStyle name="Normal 12 6 5 2 8" xfId="18062" xr:uid="{00000000-0005-0000-0000-000014450000}"/>
    <cellStyle name="Normal 12 6 5 2 9" xfId="18063" xr:uid="{00000000-0005-0000-0000-000015450000}"/>
    <cellStyle name="Normal 12 6 5 3" xfId="18064" xr:uid="{00000000-0005-0000-0000-000016450000}"/>
    <cellStyle name="Normal 12 6 5 3 10" xfId="18065" xr:uid="{00000000-0005-0000-0000-000017450000}"/>
    <cellStyle name="Normal 12 6 5 3 11" xfId="18066" xr:uid="{00000000-0005-0000-0000-000018450000}"/>
    <cellStyle name="Normal 12 6 5 3 2" xfId="18067" xr:uid="{00000000-0005-0000-0000-000019450000}"/>
    <cellStyle name="Normal 12 6 5 3 2 10" xfId="18068" xr:uid="{00000000-0005-0000-0000-00001A450000}"/>
    <cellStyle name="Normal 12 6 5 3 2 2" xfId="18069" xr:uid="{00000000-0005-0000-0000-00001B450000}"/>
    <cellStyle name="Normal 12 6 5 3 2 2 2" xfId="18070" xr:uid="{00000000-0005-0000-0000-00001C450000}"/>
    <cellStyle name="Normal 12 6 5 3 2 2 2 2" xfId="18071" xr:uid="{00000000-0005-0000-0000-00001D450000}"/>
    <cellStyle name="Normal 12 6 5 3 2 2 2 3" xfId="18072" xr:uid="{00000000-0005-0000-0000-00001E450000}"/>
    <cellStyle name="Normal 12 6 5 3 2 2 2 4" xfId="18073" xr:uid="{00000000-0005-0000-0000-00001F450000}"/>
    <cellStyle name="Normal 12 6 5 3 2 2 2 5" xfId="18074" xr:uid="{00000000-0005-0000-0000-000020450000}"/>
    <cellStyle name="Normal 12 6 5 3 2 2 3" xfId="18075" xr:uid="{00000000-0005-0000-0000-000021450000}"/>
    <cellStyle name="Normal 12 6 5 3 2 2 4" xfId="18076" xr:uid="{00000000-0005-0000-0000-000022450000}"/>
    <cellStyle name="Normal 12 6 5 3 2 2 5" xfId="18077" xr:uid="{00000000-0005-0000-0000-000023450000}"/>
    <cellStyle name="Normal 12 6 5 3 2 2 6" xfId="18078" xr:uid="{00000000-0005-0000-0000-000024450000}"/>
    <cellStyle name="Normal 12 6 5 3 2 2 7" xfId="18079" xr:uid="{00000000-0005-0000-0000-000025450000}"/>
    <cellStyle name="Normal 12 6 5 3 2 2 8" xfId="18080" xr:uid="{00000000-0005-0000-0000-000026450000}"/>
    <cellStyle name="Normal 12 6 5 3 2 3" xfId="18081" xr:uid="{00000000-0005-0000-0000-000027450000}"/>
    <cellStyle name="Normal 12 6 5 3 2 3 2" xfId="18082" xr:uid="{00000000-0005-0000-0000-000028450000}"/>
    <cellStyle name="Normal 12 6 5 3 2 3 2 2" xfId="18083" xr:uid="{00000000-0005-0000-0000-000029450000}"/>
    <cellStyle name="Normal 12 6 5 3 2 3 2 3" xfId="18084" xr:uid="{00000000-0005-0000-0000-00002A450000}"/>
    <cellStyle name="Normal 12 6 5 3 2 3 2 4" xfId="18085" xr:uid="{00000000-0005-0000-0000-00002B450000}"/>
    <cellStyle name="Normal 12 6 5 3 2 3 2 5" xfId="18086" xr:uid="{00000000-0005-0000-0000-00002C450000}"/>
    <cellStyle name="Normal 12 6 5 3 2 3 3" xfId="18087" xr:uid="{00000000-0005-0000-0000-00002D450000}"/>
    <cellStyle name="Normal 12 6 5 3 2 3 4" xfId="18088" xr:uid="{00000000-0005-0000-0000-00002E450000}"/>
    <cellStyle name="Normal 12 6 5 3 2 3 5" xfId="18089" xr:uid="{00000000-0005-0000-0000-00002F450000}"/>
    <cellStyle name="Normal 12 6 5 3 2 3 6" xfId="18090" xr:uid="{00000000-0005-0000-0000-000030450000}"/>
    <cellStyle name="Normal 12 6 5 3 2 3 7" xfId="18091" xr:uid="{00000000-0005-0000-0000-000031450000}"/>
    <cellStyle name="Normal 12 6 5 3 2 3 8" xfId="18092" xr:uid="{00000000-0005-0000-0000-000032450000}"/>
    <cellStyle name="Normal 12 6 5 3 2 4" xfId="18093" xr:uid="{00000000-0005-0000-0000-000033450000}"/>
    <cellStyle name="Normal 12 6 5 3 2 4 2" xfId="18094" xr:uid="{00000000-0005-0000-0000-000034450000}"/>
    <cellStyle name="Normal 12 6 5 3 2 4 3" xfId="18095" xr:uid="{00000000-0005-0000-0000-000035450000}"/>
    <cellStyle name="Normal 12 6 5 3 2 4 4" xfId="18096" xr:uid="{00000000-0005-0000-0000-000036450000}"/>
    <cellStyle name="Normal 12 6 5 3 2 4 5" xfId="18097" xr:uid="{00000000-0005-0000-0000-000037450000}"/>
    <cellStyle name="Normal 12 6 5 3 2 5" xfId="18098" xr:uid="{00000000-0005-0000-0000-000038450000}"/>
    <cellStyle name="Normal 12 6 5 3 2 6" xfId="18099" xr:uid="{00000000-0005-0000-0000-000039450000}"/>
    <cellStyle name="Normal 12 6 5 3 2 7" xfId="18100" xr:uid="{00000000-0005-0000-0000-00003A450000}"/>
    <cellStyle name="Normal 12 6 5 3 2 8" xfId="18101" xr:uid="{00000000-0005-0000-0000-00003B450000}"/>
    <cellStyle name="Normal 12 6 5 3 2 9" xfId="18102" xr:uid="{00000000-0005-0000-0000-00003C450000}"/>
    <cellStyle name="Normal 12 6 5 3 3" xfId="18103" xr:uid="{00000000-0005-0000-0000-00003D450000}"/>
    <cellStyle name="Normal 12 6 5 3 3 2" xfId="18104" xr:uid="{00000000-0005-0000-0000-00003E450000}"/>
    <cellStyle name="Normal 12 6 5 3 3 2 2" xfId="18105" xr:uid="{00000000-0005-0000-0000-00003F450000}"/>
    <cellStyle name="Normal 12 6 5 3 3 2 3" xfId="18106" xr:uid="{00000000-0005-0000-0000-000040450000}"/>
    <cellStyle name="Normal 12 6 5 3 3 2 4" xfId="18107" xr:uid="{00000000-0005-0000-0000-000041450000}"/>
    <cellStyle name="Normal 12 6 5 3 3 2 5" xfId="18108" xr:uid="{00000000-0005-0000-0000-000042450000}"/>
    <cellStyle name="Normal 12 6 5 3 3 3" xfId="18109" xr:uid="{00000000-0005-0000-0000-000043450000}"/>
    <cellStyle name="Normal 12 6 5 3 3 4" xfId="18110" xr:uid="{00000000-0005-0000-0000-000044450000}"/>
    <cellStyle name="Normal 12 6 5 3 3 5" xfId="18111" xr:uid="{00000000-0005-0000-0000-000045450000}"/>
    <cellStyle name="Normal 12 6 5 3 3 6" xfId="18112" xr:uid="{00000000-0005-0000-0000-000046450000}"/>
    <cellStyle name="Normal 12 6 5 3 3 7" xfId="18113" xr:uid="{00000000-0005-0000-0000-000047450000}"/>
    <cellStyle name="Normal 12 6 5 3 3 8" xfId="18114" xr:uid="{00000000-0005-0000-0000-000048450000}"/>
    <cellStyle name="Normal 12 6 5 3 4" xfId="18115" xr:uid="{00000000-0005-0000-0000-000049450000}"/>
    <cellStyle name="Normal 12 6 5 3 4 2" xfId="18116" xr:uid="{00000000-0005-0000-0000-00004A450000}"/>
    <cellStyle name="Normal 12 6 5 3 4 2 2" xfId="18117" xr:uid="{00000000-0005-0000-0000-00004B450000}"/>
    <cellStyle name="Normal 12 6 5 3 4 2 3" xfId="18118" xr:uid="{00000000-0005-0000-0000-00004C450000}"/>
    <cellStyle name="Normal 12 6 5 3 4 2 4" xfId="18119" xr:uid="{00000000-0005-0000-0000-00004D450000}"/>
    <cellStyle name="Normal 12 6 5 3 4 2 5" xfId="18120" xr:uid="{00000000-0005-0000-0000-00004E450000}"/>
    <cellStyle name="Normal 12 6 5 3 4 3" xfId="18121" xr:uid="{00000000-0005-0000-0000-00004F450000}"/>
    <cellStyle name="Normal 12 6 5 3 4 4" xfId="18122" xr:uid="{00000000-0005-0000-0000-000050450000}"/>
    <cellStyle name="Normal 12 6 5 3 4 5" xfId="18123" xr:uid="{00000000-0005-0000-0000-000051450000}"/>
    <cellStyle name="Normal 12 6 5 3 4 6" xfId="18124" xr:uid="{00000000-0005-0000-0000-000052450000}"/>
    <cellStyle name="Normal 12 6 5 3 4 7" xfId="18125" xr:uid="{00000000-0005-0000-0000-000053450000}"/>
    <cellStyle name="Normal 12 6 5 3 4 8" xfId="18126" xr:uid="{00000000-0005-0000-0000-000054450000}"/>
    <cellStyle name="Normal 12 6 5 3 5" xfId="18127" xr:uid="{00000000-0005-0000-0000-000055450000}"/>
    <cellStyle name="Normal 12 6 5 3 5 2" xfId="18128" xr:uid="{00000000-0005-0000-0000-000056450000}"/>
    <cellStyle name="Normal 12 6 5 3 5 3" xfId="18129" xr:uid="{00000000-0005-0000-0000-000057450000}"/>
    <cellStyle name="Normal 12 6 5 3 5 4" xfId="18130" xr:uid="{00000000-0005-0000-0000-000058450000}"/>
    <cellStyle name="Normal 12 6 5 3 5 5" xfId="18131" xr:uid="{00000000-0005-0000-0000-000059450000}"/>
    <cellStyle name="Normal 12 6 5 3 6" xfId="18132" xr:uid="{00000000-0005-0000-0000-00005A450000}"/>
    <cellStyle name="Normal 12 6 5 3 7" xfId="18133" xr:uid="{00000000-0005-0000-0000-00005B450000}"/>
    <cellStyle name="Normal 12 6 5 3 8" xfId="18134" xr:uid="{00000000-0005-0000-0000-00005C450000}"/>
    <cellStyle name="Normal 12 6 5 3 9" xfId="18135" xr:uid="{00000000-0005-0000-0000-00005D450000}"/>
    <cellStyle name="Normal 12 6 5 4" xfId="18136" xr:uid="{00000000-0005-0000-0000-00005E450000}"/>
    <cellStyle name="Normal 12 6 5 4 10" xfId="18137" xr:uid="{00000000-0005-0000-0000-00005F450000}"/>
    <cellStyle name="Normal 12 6 5 4 2" xfId="18138" xr:uid="{00000000-0005-0000-0000-000060450000}"/>
    <cellStyle name="Normal 12 6 5 4 2 2" xfId="18139" xr:uid="{00000000-0005-0000-0000-000061450000}"/>
    <cellStyle name="Normal 12 6 5 4 2 2 2" xfId="18140" xr:uid="{00000000-0005-0000-0000-000062450000}"/>
    <cellStyle name="Normal 12 6 5 4 2 2 3" xfId="18141" xr:uid="{00000000-0005-0000-0000-000063450000}"/>
    <cellStyle name="Normal 12 6 5 4 2 2 4" xfId="18142" xr:uid="{00000000-0005-0000-0000-000064450000}"/>
    <cellStyle name="Normal 12 6 5 4 2 2 5" xfId="18143" xr:uid="{00000000-0005-0000-0000-000065450000}"/>
    <cellStyle name="Normal 12 6 5 4 2 3" xfId="18144" xr:uid="{00000000-0005-0000-0000-000066450000}"/>
    <cellStyle name="Normal 12 6 5 4 2 4" xfId="18145" xr:uid="{00000000-0005-0000-0000-000067450000}"/>
    <cellStyle name="Normal 12 6 5 4 2 5" xfId="18146" xr:uid="{00000000-0005-0000-0000-000068450000}"/>
    <cellStyle name="Normal 12 6 5 4 2 6" xfId="18147" xr:uid="{00000000-0005-0000-0000-000069450000}"/>
    <cellStyle name="Normal 12 6 5 4 2 7" xfId="18148" xr:uid="{00000000-0005-0000-0000-00006A450000}"/>
    <cellStyle name="Normal 12 6 5 4 2 8" xfId="18149" xr:uid="{00000000-0005-0000-0000-00006B450000}"/>
    <cellStyle name="Normal 12 6 5 4 3" xfId="18150" xr:uid="{00000000-0005-0000-0000-00006C450000}"/>
    <cellStyle name="Normal 12 6 5 4 3 2" xfId="18151" xr:uid="{00000000-0005-0000-0000-00006D450000}"/>
    <cellStyle name="Normal 12 6 5 4 3 2 2" xfId="18152" xr:uid="{00000000-0005-0000-0000-00006E450000}"/>
    <cellStyle name="Normal 12 6 5 4 3 2 3" xfId="18153" xr:uid="{00000000-0005-0000-0000-00006F450000}"/>
    <cellStyle name="Normal 12 6 5 4 3 2 4" xfId="18154" xr:uid="{00000000-0005-0000-0000-000070450000}"/>
    <cellStyle name="Normal 12 6 5 4 3 2 5" xfId="18155" xr:uid="{00000000-0005-0000-0000-000071450000}"/>
    <cellStyle name="Normal 12 6 5 4 3 3" xfId="18156" xr:uid="{00000000-0005-0000-0000-000072450000}"/>
    <cellStyle name="Normal 12 6 5 4 3 4" xfId="18157" xr:uid="{00000000-0005-0000-0000-000073450000}"/>
    <cellStyle name="Normal 12 6 5 4 3 5" xfId="18158" xr:uid="{00000000-0005-0000-0000-000074450000}"/>
    <cellStyle name="Normal 12 6 5 4 3 6" xfId="18159" xr:uid="{00000000-0005-0000-0000-000075450000}"/>
    <cellStyle name="Normal 12 6 5 4 3 7" xfId="18160" xr:uid="{00000000-0005-0000-0000-000076450000}"/>
    <cellStyle name="Normal 12 6 5 4 3 8" xfId="18161" xr:uid="{00000000-0005-0000-0000-000077450000}"/>
    <cellStyle name="Normal 12 6 5 4 4" xfId="18162" xr:uid="{00000000-0005-0000-0000-000078450000}"/>
    <cellStyle name="Normal 12 6 5 4 4 2" xfId="18163" xr:uid="{00000000-0005-0000-0000-000079450000}"/>
    <cellStyle name="Normal 12 6 5 4 4 3" xfId="18164" xr:uid="{00000000-0005-0000-0000-00007A450000}"/>
    <cellStyle name="Normal 12 6 5 4 4 4" xfId="18165" xr:uid="{00000000-0005-0000-0000-00007B450000}"/>
    <cellStyle name="Normal 12 6 5 4 4 5" xfId="18166" xr:uid="{00000000-0005-0000-0000-00007C450000}"/>
    <cellStyle name="Normal 12 6 5 4 5" xfId="18167" xr:uid="{00000000-0005-0000-0000-00007D450000}"/>
    <cellStyle name="Normal 12 6 5 4 6" xfId="18168" xr:uid="{00000000-0005-0000-0000-00007E450000}"/>
    <cellStyle name="Normal 12 6 5 4 7" xfId="18169" xr:uid="{00000000-0005-0000-0000-00007F450000}"/>
    <cellStyle name="Normal 12 6 5 4 8" xfId="18170" xr:uid="{00000000-0005-0000-0000-000080450000}"/>
    <cellStyle name="Normal 12 6 5 4 9" xfId="18171" xr:uid="{00000000-0005-0000-0000-000081450000}"/>
    <cellStyle name="Normal 12 6 5 5" xfId="18172" xr:uid="{00000000-0005-0000-0000-000082450000}"/>
    <cellStyle name="Normal 12 6 5 5 2" xfId="18173" xr:uid="{00000000-0005-0000-0000-000083450000}"/>
    <cellStyle name="Normal 12 6 5 5 2 2" xfId="18174" xr:uid="{00000000-0005-0000-0000-000084450000}"/>
    <cellStyle name="Normal 12 6 5 5 2 3" xfId="18175" xr:uid="{00000000-0005-0000-0000-000085450000}"/>
    <cellStyle name="Normal 12 6 5 5 2 4" xfId="18176" xr:uid="{00000000-0005-0000-0000-000086450000}"/>
    <cellStyle name="Normal 12 6 5 5 2 5" xfId="18177" xr:uid="{00000000-0005-0000-0000-000087450000}"/>
    <cellStyle name="Normal 12 6 5 5 3" xfId="18178" xr:uid="{00000000-0005-0000-0000-000088450000}"/>
    <cellStyle name="Normal 12 6 5 5 4" xfId="18179" xr:uid="{00000000-0005-0000-0000-000089450000}"/>
    <cellStyle name="Normal 12 6 5 5 5" xfId="18180" xr:uid="{00000000-0005-0000-0000-00008A450000}"/>
    <cellStyle name="Normal 12 6 5 5 6" xfId="18181" xr:uid="{00000000-0005-0000-0000-00008B450000}"/>
    <cellStyle name="Normal 12 6 5 5 7" xfId="18182" xr:uid="{00000000-0005-0000-0000-00008C450000}"/>
    <cellStyle name="Normal 12 6 5 5 8" xfId="18183" xr:uid="{00000000-0005-0000-0000-00008D450000}"/>
    <cellStyle name="Normal 12 6 5 6" xfId="18184" xr:uid="{00000000-0005-0000-0000-00008E450000}"/>
    <cellStyle name="Normal 12 6 5 6 2" xfId="18185" xr:uid="{00000000-0005-0000-0000-00008F450000}"/>
    <cellStyle name="Normal 12 6 5 6 2 2" xfId="18186" xr:uid="{00000000-0005-0000-0000-000090450000}"/>
    <cellStyle name="Normal 12 6 5 6 2 3" xfId="18187" xr:uid="{00000000-0005-0000-0000-000091450000}"/>
    <cellStyle name="Normal 12 6 5 6 2 4" xfId="18188" xr:uid="{00000000-0005-0000-0000-000092450000}"/>
    <cellStyle name="Normal 12 6 5 6 2 5" xfId="18189" xr:uid="{00000000-0005-0000-0000-000093450000}"/>
    <cellStyle name="Normal 12 6 5 6 3" xfId="18190" xr:uid="{00000000-0005-0000-0000-000094450000}"/>
    <cellStyle name="Normal 12 6 5 6 4" xfId="18191" xr:uid="{00000000-0005-0000-0000-000095450000}"/>
    <cellStyle name="Normal 12 6 5 6 5" xfId="18192" xr:uid="{00000000-0005-0000-0000-000096450000}"/>
    <cellStyle name="Normal 12 6 5 6 6" xfId="18193" xr:uid="{00000000-0005-0000-0000-000097450000}"/>
    <cellStyle name="Normal 12 6 5 6 7" xfId="18194" xr:uid="{00000000-0005-0000-0000-000098450000}"/>
    <cellStyle name="Normal 12 6 5 6 8" xfId="18195" xr:uid="{00000000-0005-0000-0000-000099450000}"/>
    <cellStyle name="Normal 12 6 5 7" xfId="18196" xr:uid="{00000000-0005-0000-0000-00009A450000}"/>
    <cellStyle name="Normal 12 6 5 7 2" xfId="18197" xr:uid="{00000000-0005-0000-0000-00009B450000}"/>
    <cellStyle name="Normal 12 6 5 7 3" xfId="18198" xr:uid="{00000000-0005-0000-0000-00009C450000}"/>
    <cellStyle name="Normal 12 6 5 7 4" xfId="18199" xr:uid="{00000000-0005-0000-0000-00009D450000}"/>
    <cellStyle name="Normal 12 6 5 7 5" xfId="18200" xr:uid="{00000000-0005-0000-0000-00009E450000}"/>
    <cellStyle name="Normal 12 6 5 8" xfId="18201" xr:uid="{00000000-0005-0000-0000-00009F450000}"/>
    <cellStyle name="Normal 12 6 5 9" xfId="18202" xr:uid="{00000000-0005-0000-0000-0000A0450000}"/>
    <cellStyle name="Normal 12 6 6" xfId="18203" xr:uid="{00000000-0005-0000-0000-0000A1450000}"/>
    <cellStyle name="Normal 12 6 6 10" xfId="18204" xr:uid="{00000000-0005-0000-0000-0000A2450000}"/>
    <cellStyle name="Normal 12 6 6 11" xfId="18205" xr:uid="{00000000-0005-0000-0000-0000A3450000}"/>
    <cellStyle name="Normal 12 6 6 12" xfId="18206" xr:uid="{00000000-0005-0000-0000-0000A4450000}"/>
    <cellStyle name="Normal 12 6 6 13" xfId="18207" xr:uid="{00000000-0005-0000-0000-0000A5450000}"/>
    <cellStyle name="Normal 12 6 6 2" xfId="18208" xr:uid="{00000000-0005-0000-0000-0000A6450000}"/>
    <cellStyle name="Normal 12 6 6 2 10" xfId="18209" xr:uid="{00000000-0005-0000-0000-0000A7450000}"/>
    <cellStyle name="Normal 12 6 6 2 11" xfId="18210" xr:uid="{00000000-0005-0000-0000-0000A8450000}"/>
    <cellStyle name="Normal 12 6 6 2 2" xfId="18211" xr:uid="{00000000-0005-0000-0000-0000A9450000}"/>
    <cellStyle name="Normal 12 6 6 2 2 10" xfId="18212" xr:uid="{00000000-0005-0000-0000-0000AA450000}"/>
    <cellStyle name="Normal 12 6 6 2 2 2" xfId="18213" xr:uid="{00000000-0005-0000-0000-0000AB450000}"/>
    <cellStyle name="Normal 12 6 6 2 2 2 2" xfId="18214" xr:uid="{00000000-0005-0000-0000-0000AC450000}"/>
    <cellStyle name="Normal 12 6 6 2 2 2 2 2" xfId="18215" xr:uid="{00000000-0005-0000-0000-0000AD450000}"/>
    <cellStyle name="Normal 12 6 6 2 2 2 2 3" xfId="18216" xr:uid="{00000000-0005-0000-0000-0000AE450000}"/>
    <cellStyle name="Normal 12 6 6 2 2 2 2 4" xfId="18217" xr:uid="{00000000-0005-0000-0000-0000AF450000}"/>
    <cellStyle name="Normal 12 6 6 2 2 2 2 5" xfId="18218" xr:uid="{00000000-0005-0000-0000-0000B0450000}"/>
    <cellStyle name="Normal 12 6 6 2 2 2 3" xfId="18219" xr:uid="{00000000-0005-0000-0000-0000B1450000}"/>
    <cellStyle name="Normal 12 6 6 2 2 2 4" xfId="18220" xr:uid="{00000000-0005-0000-0000-0000B2450000}"/>
    <cellStyle name="Normal 12 6 6 2 2 2 5" xfId="18221" xr:uid="{00000000-0005-0000-0000-0000B3450000}"/>
    <cellStyle name="Normal 12 6 6 2 2 2 6" xfId="18222" xr:uid="{00000000-0005-0000-0000-0000B4450000}"/>
    <cellStyle name="Normal 12 6 6 2 2 2 7" xfId="18223" xr:uid="{00000000-0005-0000-0000-0000B5450000}"/>
    <cellStyle name="Normal 12 6 6 2 2 2 8" xfId="18224" xr:uid="{00000000-0005-0000-0000-0000B6450000}"/>
    <cellStyle name="Normal 12 6 6 2 2 3" xfId="18225" xr:uid="{00000000-0005-0000-0000-0000B7450000}"/>
    <cellStyle name="Normal 12 6 6 2 2 3 2" xfId="18226" xr:uid="{00000000-0005-0000-0000-0000B8450000}"/>
    <cellStyle name="Normal 12 6 6 2 2 3 2 2" xfId="18227" xr:uid="{00000000-0005-0000-0000-0000B9450000}"/>
    <cellStyle name="Normal 12 6 6 2 2 3 2 3" xfId="18228" xr:uid="{00000000-0005-0000-0000-0000BA450000}"/>
    <cellStyle name="Normal 12 6 6 2 2 3 2 4" xfId="18229" xr:uid="{00000000-0005-0000-0000-0000BB450000}"/>
    <cellStyle name="Normal 12 6 6 2 2 3 2 5" xfId="18230" xr:uid="{00000000-0005-0000-0000-0000BC450000}"/>
    <cellStyle name="Normal 12 6 6 2 2 3 3" xfId="18231" xr:uid="{00000000-0005-0000-0000-0000BD450000}"/>
    <cellStyle name="Normal 12 6 6 2 2 3 4" xfId="18232" xr:uid="{00000000-0005-0000-0000-0000BE450000}"/>
    <cellStyle name="Normal 12 6 6 2 2 3 5" xfId="18233" xr:uid="{00000000-0005-0000-0000-0000BF450000}"/>
    <cellStyle name="Normal 12 6 6 2 2 3 6" xfId="18234" xr:uid="{00000000-0005-0000-0000-0000C0450000}"/>
    <cellStyle name="Normal 12 6 6 2 2 3 7" xfId="18235" xr:uid="{00000000-0005-0000-0000-0000C1450000}"/>
    <cellStyle name="Normal 12 6 6 2 2 3 8" xfId="18236" xr:uid="{00000000-0005-0000-0000-0000C2450000}"/>
    <cellStyle name="Normal 12 6 6 2 2 4" xfId="18237" xr:uid="{00000000-0005-0000-0000-0000C3450000}"/>
    <cellStyle name="Normal 12 6 6 2 2 4 2" xfId="18238" xr:uid="{00000000-0005-0000-0000-0000C4450000}"/>
    <cellStyle name="Normal 12 6 6 2 2 4 3" xfId="18239" xr:uid="{00000000-0005-0000-0000-0000C5450000}"/>
    <cellStyle name="Normal 12 6 6 2 2 4 4" xfId="18240" xr:uid="{00000000-0005-0000-0000-0000C6450000}"/>
    <cellStyle name="Normal 12 6 6 2 2 4 5" xfId="18241" xr:uid="{00000000-0005-0000-0000-0000C7450000}"/>
    <cellStyle name="Normal 12 6 6 2 2 5" xfId="18242" xr:uid="{00000000-0005-0000-0000-0000C8450000}"/>
    <cellStyle name="Normal 12 6 6 2 2 6" xfId="18243" xr:uid="{00000000-0005-0000-0000-0000C9450000}"/>
    <cellStyle name="Normal 12 6 6 2 2 7" xfId="18244" xr:uid="{00000000-0005-0000-0000-0000CA450000}"/>
    <cellStyle name="Normal 12 6 6 2 2 8" xfId="18245" xr:uid="{00000000-0005-0000-0000-0000CB450000}"/>
    <cellStyle name="Normal 12 6 6 2 2 9" xfId="18246" xr:uid="{00000000-0005-0000-0000-0000CC450000}"/>
    <cellStyle name="Normal 12 6 6 2 3" xfId="18247" xr:uid="{00000000-0005-0000-0000-0000CD450000}"/>
    <cellStyle name="Normal 12 6 6 2 3 2" xfId="18248" xr:uid="{00000000-0005-0000-0000-0000CE450000}"/>
    <cellStyle name="Normal 12 6 6 2 3 2 2" xfId="18249" xr:uid="{00000000-0005-0000-0000-0000CF450000}"/>
    <cellStyle name="Normal 12 6 6 2 3 2 3" xfId="18250" xr:uid="{00000000-0005-0000-0000-0000D0450000}"/>
    <cellStyle name="Normal 12 6 6 2 3 2 4" xfId="18251" xr:uid="{00000000-0005-0000-0000-0000D1450000}"/>
    <cellStyle name="Normal 12 6 6 2 3 2 5" xfId="18252" xr:uid="{00000000-0005-0000-0000-0000D2450000}"/>
    <cellStyle name="Normal 12 6 6 2 3 3" xfId="18253" xr:uid="{00000000-0005-0000-0000-0000D3450000}"/>
    <cellStyle name="Normal 12 6 6 2 3 4" xfId="18254" xr:uid="{00000000-0005-0000-0000-0000D4450000}"/>
    <cellStyle name="Normal 12 6 6 2 3 5" xfId="18255" xr:uid="{00000000-0005-0000-0000-0000D5450000}"/>
    <cellStyle name="Normal 12 6 6 2 3 6" xfId="18256" xr:uid="{00000000-0005-0000-0000-0000D6450000}"/>
    <cellStyle name="Normal 12 6 6 2 3 7" xfId="18257" xr:uid="{00000000-0005-0000-0000-0000D7450000}"/>
    <cellStyle name="Normal 12 6 6 2 3 8" xfId="18258" xr:uid="{00000000-0005-0000-0000-0000D8450000}"/>
    <cellStyle name="Normal 12 6 6 2 4" xfId="18259" xr:uid="{00000000-0005-0000-0000-0000D9450000}"/>
    <cellStyle name="Normal 12 6 6 2 4 2" xfId="18260" xr:uid="{00000000-0005-0000-0000-0000DA450000}"/>
    <cellStyle name="Normal 12 6 6 2 4 2 2" xfId="18261" xr:uid="{00000000-0005-0000-0000-0000DB450000}"/>
    <cellStyle name="Normal 12 6 6 2 4 2 3" xfId="18262" xr:uid="{00000000-0005-0000-0000-0000DC450000}"/>
    <cellStyle name="Normal 12 6 6 2 4 2 4" xfId="18263" xr:uid="{00000000-0005-0000-0000-0000DD450000}"/>
    <cellStyle name="Normal 12 6 6 2 4 2 5" xfId="18264" xr:uid="{00000000-0005-0000-0000-0000DE450000}"/>
    <cellStyle name="Normal 12 6 6 2 4 3" xfId="18265" xr:uid="{00000000-0005-0000-0000-0000DF450000}"/>
    <cellStyle name="Normal 12 6 6 2 4 4" xfId="18266" xr:uid="{00000000-0005-0000-0000-0000E0450000}"/>
    <cellStyle name="Normal 12 6 6 2 4 5" xfId="18267" xr:uid="{00000000-0005-0000-0000-0000E1450000}"/>
    <cellStyle name="Normal 12 6 6 2 4 6" xfId="18268" xr:uid="{00000000-0005-0000-0000-0000E2450000}"/>
    <cellStyle name="Normal 12 6 6 2 4 7" xfId="18269" xr:uid="{00000000-0005-0000-0000-0000E3450000}"/>
    <cellStyle name="Normal 12 6 6 2 4 8" xfId="18270" xr:uid="{00000000-0005-0000-0000-0000E4450000}"/>
    <cellStyle name="Normal 12 6 6 2 5" xfId="18271" xr:uid="{00000000-0005-0000-0000-0000E5450000}"/>
    <cellStyle name="Normal 12 6 6 2 5 2" xfId="18272" xr:uid="{00000000-0005-0000-0000-0000E6450000}"/>
    <cellStyle name="Normal 12 6 6 2 5 3" xfId="18273" xr:uid="{00000000-0005-0000-0000-0000E7450000}"/>
    <cellStyle name="Normal 12 6 6 2 5 4" xfId="18274" xr:uid="{00000000-0005-0000-0000-0000E8450000}"/>
    <cellStyle name="Normal 12 6 6 2 5 5" xfId="18275" xr:uid="{00000000-0005-0000-0000-0000E9450000}"/>
    <cellStyle name="Normal 12 6 6 2 6" xfId="18276" xr:uid="{00000000-0005-0000-0000-0000EA450000}"/>
    <cellStyle name="Normal 12 6 6 2 7" xfId="18277" xr:uid="{00000000-0005-0000-0000-0000EB450000}"/>
    <cellStyle name="Normal 12 6 6 2 8" xfId="18278" xr:uid="{00000000-0005-0000-0000-0000EC450000}"/>
    <cellStyle name="Normal 12 6 6 2 9" xfId="18279" xr:uid="{00000000-0005-0000-0000-0000ED450000}"/>
    <cellStyle name="Normal 12 6 6 3" xfId="18280" xr:uid="{00000000-0005-0000-0000-0000EE450000}"/>
    <cellStyle name="Normal 12 6 6 3 10" xfId="18281" xr:uid="{00000000-0005-0000-0000-0000EF450000}"/>
    <cellStyle name="Normal 12 6 6 3 11" xfId="18282" xr:uid="{00000000-0005-0000-0000-0000F0450000}"/>
    <cellStyle name="Normal 12 6 6 3 2" xfId="18283" xr:uid="{00000000-0005-0000-0000-0000F1450000}"/>
    <cellStyle name="Normal 12 6 6 3 2 10" xfId="18284" xr:uid="{00000000-0005-0000-0000-0000F2450000}"/>
    <cellStyle name="Normal 12 6 6 3 2 2" xfId="18285" xr:uid="{00000000-0005-0000-0000-0000F3450000}"/>
    <cellStyle name="Normal 12 6 6 3 2 2 2" xfId="18286" xr:uid="{00000000-0005-0000-0000-0000F4450000}"/>
    <cellStyle name="Normal 12 6 6 3 2 2 2 2" xfId="18287" xr:uid="{00000000-0005-0000-0000-0000F5450000}"/>
    <cellStyle name="Normal 12 6 6 3 2 2 2 3" xfId="18288" xr:uid="{00000000-0005-0000-0000-0000F6450000}"/>
    <cellStyle name="Normal 12 6 6 3 2 2 2 4" xfId="18289" xr:uid="{00000000-0005-0000-0000-0000F7450000}"/>
    <cellStyle name="Normal 12 6 6 3 2 2 2 5" xfId="18290" xr:uid="{00000000-0005-0000-0000-0000F8450000}"/>
    <cellStyle name="Normal 12 6 6 3 2 2 3" xfId="18291" xr:uid="{00000000-0005-0000-0000-0000F9450000}"/>
    <cellStyle name="Normal 12 6 6 3 2 2 4" xfId="18292" xr:uid="{00000000-0005-0000-0000-0000FA450000}"/>
    <cellStyle name="Normal 12 6 6 3 2 2 5" xfId="18293" xr:uid="{00000000-0005-0000-0000-0000FB450000}"/>
    <cellStyle name="Normal 12 6 6 3 2 2 6" xfId="18294" xr:uid="{00000000-0005-0000-0000-0000FC450000}"/>
    <cellStyle name="Normal 12 6 6 3 2 2 7" xfId="18295" xr:uid="{00000000-0005-0000-0000-0000FD450000}"/>
    <cellStyle name="Normal 12 6 6 3 2 2 8" xfId="18296" xr:uid="{00000000-0005-0000-0000-0000FE450000}"/>
    <cellStyle name="Normal 12 6 6 3 2 3" xfId="18297" xr:uid="{00000000-0005-0000-0000-0000FF450000}"/>
    <cellStyle name="Normal 12 6 6 3 2 3 2" xfId="18298" xr:uid="{00000000-0005-0000-0000-000000460000}"/>
    <cellStyle name="Normal 12 6 6 3 2 3 2 2" xfId="18299" xr:uid="{00000000-0005-0000-0000-000001460000}"/>
    <cellStyle name="Normal 12 6 6 3 2 3 2 3" xfId="18300" xr:uid="{00000000-0005-0000-0000-000002460000}"/>
    <cellStyle name="Normal 12 6 6 3 2 3 2 4" xfId="18301" xr:uid="{00000000-0005-0000-0000-000003460000}"/>
    <cellStyle name="Normal 12 6 6 3 2 3 2 5" xfId="18302" xr:uid="{00000000-0005-0000-0000-000004460000}"/>
    <cellStyle name="Normal 12 6 6 3 2 3 3" xfId="18303" xr:uid="{00000000-0005-0000-0000-000005460000}"/>
    <cellStyle name="Normal 12 6 6 3 2 3 4" xfId="18304" xr:uid="{00000000-0005-0000-0000-000006460000}"/>
    <cellStyle name="Normal 12 6 6 3 2 3 5" xfId="18305" xr:uid="{00000000-0005-0000-0000-000007460000}"/>
    <cellStyle name="Normal 12 6 6 3 2 3 6" xfId="18306" xr:uid="{00000000-0005-0000-0000-000008460000}"/>
    <cellStyle name="Normal 12 6 6 3 2 3 7" xfId="18307" xr:uid="{00000000-0005-0000-0000-000009460000}"/>
    <cellStyle name="Normal 12 6 6 3 2 3 8" xfId="18308" xr:uid="{00000000-0005-0000-0000-00000A460000}"/>
    <cellStyle name="Normal 12 6 6 3 2 4" xfId="18309" xr:uid="{00000000-0005-0000-0000-00000B460000}"/>
    <cellStyle name="Normal 12 6 6 3 2 4 2" xfId="18310" xr:uid="{00000000-0005-0000-0000-00000C460000}"/>
    <cellStyle name="Normal 12 6 6 3 2 4 3" xfId="18311" xr:uid="{00000000-0005-0000-0000-00000D460000}"/>
    <cellStyle name="Normal 12 6 6 3 2 4 4" xfId="18312" xr:uid="{00000000-0005-0000-0000-00000E460000}"/>
    <cellStyle name="Normal 12 6 6 3 2 4 5" xfId="18313" xr:uid="{00000000-0005-0000-0000-00000F460000}"/>
    <cellStyle name="Normal 12 6 6 3 2 5" xfId="18314" xr:uid="{00000000-0005-0000-0000-000010460000}"/>
    <cellStyle name="Normal 12 6 6 3 2 6" xfId="18315" xr:uid="{00000000-0005-0000-0000-000011460000}"/>
    <cellStyle name="Normal 12 6 6 3 2 7" xfId="18316" xr:uid="{00000000-0005-0000-0000-000012460000}"/>
    <cellStyle name="Normal 12 6 6 3 2 8" xfId="18317" xr:uid="{00000000-0005-0000-0000-000013460000}"/>
    <cellStyle name="Normal 12 6 6 3 2 9" xfId="18318" xr:uid="{00000000-0005-0000-0000-000014460000}"/>
    <cellStyle name="Normal 12 6 6 3 3" xfId="18319" xr:uid="{00000000-0005-0000-0000-000015460000}"/>
    <cellStyle name="Normal 12 6 6 3 3 2" xfId="18320" xr:uid="{00000000-0005-0000-0000-000016460000}"/>
    <cellStyle name="Normal 12 6 6 3 3 2 2" xfId="18321" xr:uid="{00000000-0005-0000-0000-000017460000}"/>
    <cellStyle name="Normal 12 6 6 3 3 2 3" xfId="18322" xr:uid="{00000000-0005-0000-0000-000018460000}"/>
    <cellStyle name="Normal 12 6 6 3 3 2 4" xfId="18323" xr:uid="{00000000-0005-0000-0000-000019460000}"/>
    <cellStyle name="Normal 12 6 6 3 3 2 5" xfId="18324" xr:uid="{00000000-0005-0000-0000-00001A460000}"/>
    <cellStyle name="Normal 12 6 6 3 3 3" xfId="18325" xr:uid="{00000000-0005-0000-0000-00001B460000}"/>
    <cellStyle name="Normal 12 6 6 3 3 4" xfId="18326" xr:uid="{00000000-0005-0000-0000-00001C460000}"/>
    <cellStyle name="Normal 12 6 6 3 3 5" xfId="18327" xr:uid="{00000000-0005-0000-0000-00001D460000}"/>
    <cellStyle name="Normal 12 6 6 3 3 6" xfId="18328" xr:uid="{00000000-0005-0000-0000-00001E460000}"/>
    <cellStyle name="Normal 12 6 6 3 3 7" xfId="18329" xr:uid="{00000000-0005-0000-0000-00001F460000}"/>
    <cellStyle name="Normal 12 6 6 3 3 8" xfId="18330" xr:uid="{00000000-0005-0000-0000-000020460000}"/>
    <cellStyle name="Normal 12 6 6 3 4" xfId="18331" xr:uid="{00000000-0005-0000-0000-000021460000}"/>
    <cellStyle name="Normal 12 6 6 3 4 2" xfId="18332" xr:uid="{00000000-0005-0000-0000-000022460000}"/>
    <cellStyle name="Normal 12 6 6 3 4 2 2" xfId="18333" xr:uid="{00000000-0005-0000-0000-000023460000}"/>
    <cellStyle name="Normal 12 6 6 3 4 2 3" xfId="18334" xr:uid="{00000000-0005-0000-0000-000024460000}"/>
    <cellStyle name="Normal 12 6 6 3 4 2 4" xfId="18335" xr:uid="{00000000-0005-0000-0000-000025460000}"/>
    <cellStyle name="Normal 12 6 6 3 4 2 5" xfId="18336" xr:uid="{00000000-0005-0000-0000-000026460000}"/>
    <cellStyle name="Normal 12 6 6 3 4 3" xfId="18337" xr:uid="{00000000-0005-0000-0000-000027460000}"/>
    <cellStyle name="Normal 12 6 6 3 4 4" xfId="18338" xr:uid="{00000000-0005-0000-0000-000028460000}"/>
    <cellStyle name="Normal 12 6 6 3 4 5" xfId="18339" xr:uid="{00000000-0005-0000-0000-000029460000}"/>
    <cellStyle name="Normal 12 6 6 3 4 6" xfId="18340" xr:uid="{00000000-0005-0000-0000-00002A460000}"/>
    <cellStyle name="Normal 12 6 6 3 4 7" xfId="18341" xr:uid="{00000000-0005-0000-0000-00002B460000}"/>
    <cellStyle name="Normal 12 6 6 3 4 8" xfId="18342" xr:uid="{00000000-0005-0000-0000-00002C460000}"/>
    <cellStyle name="Normal 12 6 6 3 5" xfId="18343" xr:uid="{00000000-0005-0000-0000-00002D460000}"/>
    <cellStyle name="Normal 12 6 6 3 5 2" xfId="18344" xr:uid="{00000000-0005-0000-0000-00002E460000}"/>
    <cellStyle name="Normal 12 6 6 3 5 3" xfId="18345" xr:uid="{00000000-0005-0000-0000-00002F460000}"/>
    <cellStyle name="Normal 12 6 6 3 5 4" xfId="18346" xr:uid="{00000000-0005-0000-0000-000030460000}"/>
    <cellStyle name="Normal 12 6 6 3 5 5" xfId="18347" xr:uid="{00000000-0005-0000-0000-000031460000}"/>
    <cellStyle name="Normal 12 6 6 3 6" xfId="18348" xr:uid="{00000000-0005-0000-0000-000032460000}"/>
    <cellStyle name="Normal 12 6 6 3 7" xfId="18349" xr:uid="{00000000-0005-0000-0000-000033460000}"/>
    <cellStyle name="Normal 12 6 6 3 8" xfId="18350" xr:uid="{00000000-0005-0000-0000-000034460000}"/>
    <cellStyle name="Normal 12 6 6 3 9" xfId="18351" xr:uid="{00000000-0005-0000-0000-000035460000}"/>
    <cellStyle name="Normal 12 6 6 4" xfId="18352" xr:uid="{00000000-0005-0000-0000-000036460000}"/>
    <cellStyle name="Normal 12 6 6 4 10" xfId="18353" xr:uid="{00000000-0005-0000-0000-000037460000}"/>
    <cellStyle name="Normal 12 6 6 4 2" xfId="18354" xr:uid="{00000000-0005-0000-0000-000038460000}"/>
    <cellStyle name="Normal 12 6 6 4 2 2" xfId="18355" xr:uid="{00000000-0005-0000-0000-000039460000}"/>
    <cellStyle name="Normal 12 6 6 4 2 2 2" xfId="18356" xr:uid="{00000000-0005-0000-0000-00003A460000}"/>
    <cellStyle name="Normal 12 6 6 4 2 2 3" xfId="18357" xr:uid="{00000000-0005-0000-0000-00003B460000}"/>
    <cellStyle name="Normal 12 6 6 4 2 2 4" xfId="18358" xr:uid="{00000000-0005-0000-0000-00003C460000}"/>
    <cellStyle name="Normal 12 6 6 4 2 2 5" xfId="18359" xr:uid="{00000000-0005-0000-0000-00003D460000}"/>
    <cellStyle name="Normal 12 6 6 4 2 3" xfId="18360" xr:uid="{00000000-0005-0000-0000-00003E460000}"/>
    <cellStyle name="Normal 12 6 6 4 2 4" xfId="18361" xr:uid="{00000000-0005-0000-0000-00003F460000}"/>
    <cellStyle name="Normal 12 6 6 4 2 5" xfId="18362" xr:uid="{00000000-0005-0000-0000-000040460000}"/>
    <cellStyle name="Normal 12 6 6 4 2 6" xfId="18363" xr:uid="{00000000-0005-0000-0000-000041460000}"/>
    <cellStyle name="Normal 12 6 6 4 2 7" xfId="18364" xr:uid="{00000000-0005-0000-0000-000042460000}"/>
    <cellStyle name="Normal 12 6 6 4 2 8" xfId="18365" xr:uid="{00000000-0005-0000-0000-000043460000}"/>
    <cellStyle name="Normal 12 6 6 4 3" xfId="18366" xr:uid="{00000000-0005-0000-0000-000044460000}"/>
    <cellStyle name="Normal 12 6 6 4 3 2" xfId="18367" xr:uid="{00000000-0005-0000-0000-000045460000}"/>
    <cellStyle name="Normal 12 6 6 4 3 2 2" xfId="18368" xr:uid="{00000000-0005-0000-0000-000046460000}"/>
    <cellStyle name="Normal 12 6 6 4 3 2 3" xfId="18369" xr:uid="{00000000-0005-0000-0000-000047460000}"/>
    <cellStyle name="Normal 12 6 6 4 3 2 4" xfId="18370" xr:uid="{00000000-0005-0000-0000-000048460000}"/>
    <cellStyle name="Normal 12 6 6 4 3 2 5" xfId="18371" xr:uid="{00000000-0005-0000-0000-000049460000}"/>
    <cellStyle name="Normal 12 6 6 4 3 3" xfId="18372" xr:uid="{00000000-0005-0000-0000-00004A460000}"/>
    <cellStyle name="Normal 12 6 6 4 3 4" xfId="18373" xr:uid="{00000000-0005-0000-0000-00004B460000}"/>
    <cellStyle name="Normal 12 6 6 4 3 5" xfId="18374" xr:uid="{00000000-0005-0000-0000-00004C460000}"/>
    <cellStyle name="Normal 12 6 6 4 3 6" xfId="18375" xr:uid="{00000000-0005-0000-0000-00004D460000}"/>
    <cellStyle name="Normal 12 6 6 4 3 7" xfId="18376" xr:uid="{00000000-0005-0000-0000-00004E460000}"/>
    <cellStyle name="Normal 12 6 6 4 3 8" xfId="18377" xr:uid="{00000000-0005-0000-0000-00004F460000}"/>
    <cellStyle name="Normal 12 6 6 4 4" xfId="18378" xr:uid="{00000000-0005-0000-0000-000050460000}"/>
    <cellStyle name="Normal 12 6 6 4 4 2" xfId="18379" xr:uid="{00000000-0005-0000-0000-000051460000}"/>
    <cellStyle name="Normal 12 6 6 4 4 3" xfId="18380" xr:uid="{00000000-0005-0000-0000-000052460000}"/>
    <cellStyle name="Normal 12 6 6 4 4 4" xfId="18381" xr:uid="{00000000-0005-0000-0000-000053460000}"/>
    <cellStyle name="Normal 12 6 6 4 4 5" xfId="18382" xr:uid="{00000000-0005-0000-0000-000054460000}"/>
    <cellStyle name="Normal 12 6 6 4 5" xfId="18383" xr:uid="{00000000-0005-0000-0000-000055460000}"/>
    <cellStyle name="Normal 12 6 6 4 6" xfId="18384" xr:uid="{00000000-0005-0000-0000-000056460000}"/>
    <cellStyle name="Normal 12 6 6 4 7" xfId="18385" xr:uid="{00000000-0005-0000-0000-000057460000}"/>
    <cellStyle name="Normal 12 6 6 4 8" xfId="18386" xr:uid="{00000000-0005-0000-0000-000058460000}"/>
    <cellStyle name="Normal 12 6 6 4 9" xfId="18387" xr:uid="{00000000-0005-0000-0000-000059460000}"/>
    <cellStyle name="Normal 12 6 6 5" xfId="18388" xr:uid="{00000000-0005-0000-0000-00005A460000}"/>
    <cellStyle name="Normal 12 6 6 5 2" xfId="18389" xr:uid="{00000000-0005-0000-0000-00005B460000}"/>
    <cellStyle name="Normal 12 6 6 5 2 2" xfId="18390" xr:uid="{00000000-0005-0000-0000-00005C460000}"/>
    <cellStyle name="Normal 12 6 6 5 2 3" xfId="18391" xr:uid="{00000000-0005-0000-0000-00005D460000}"/>
    <cellStyle name="Normal 12 6 6 5 2 4" xfId="18392" xr:uid="{00000000-0005-0000-0000-00005E460000}"/>
    <cellStyle name="Normal 12 6 6 5 2 5" xfId="18393" xr:uid="{00000000-0005-0000-0000-00005F460000}"/>
    <cellStyle name="Normal 12 6 6 5 3" xfId="18394" xr:uid="{00000000-0005-0000-0000-000060460000}"/>
    <cellStyle name="Normal 12 6 6 5 4" xfId="18395" xr:uid="{00000000-0005-0000-0000-000061460000}"/>
    <cellStyle name="Normal 12 6 6 5 5" xfId="18396" xr:uid="{00000000-0005-0000-0000-000062460000}"/>
    <cellStyle name="Normal 12 6 6 5 6" xfId="18397" xr:uid="{00000000-0005-0000-0000-000063460000}"/>
    <cellStyle name="Normal 12 6 6 5 7" xfId="18398" xr:uid="{00000000-0005-0000-0000-000064460000}"/>
    <cellStyle name="Normal 12 6 6 5 8" xfId="18399" xr:uid="{00000000-0005-0000-0000-000065460000}"/>
    <cellStyle name="Normal 12 6 6 6" xfId="18400" xr:uid="{00000000-0005-0000-0000-000066460000}"/>
    <cellStyle name="Normal 12 6 6 6 2" xfId="18401" xr:uid="{00000000-0005-0000-0000-000067460000}"/>
    <cellStyle name="Normal 12 6 6 6 2 2" xfId="18402" xr:uid="{00000000-0005-0000-0000-000068460000}"/>
    <cellStyle name="Normal 12 6 6 6 2 3" xfId="18403" xr:uid="{00000000-0005-0000-0000-000069460000}"/>
    <cellStyle name="Normal 12 6 6 6 2 4" xfId="18404" xr:uid="{00000000-0005-0000-0000-00006A460000}"/>
    <cellStyle name="Normal 12 6 6 6 2 5" xfId="18405" xr:uid="{00000000-0005-0000-0000-00006B460000}"/>
    <cellStyle name="Normal 12 6 6 6 3" xfId="18406" xr:uid="{00000000-0005-0000-0000-00006C460000}"/>
    <cellStyle name="Normal 12 6 6 6 4" xfId="18407" xr:uid="{00000000-0005-0000-0000-00006D460000}"/>
    <cellStyle name="Normal 12 6 6 6 5" xfId="18408" xr:uid="{00000000-0005-0000-0000-00006E460000}"/>
    <cellStyle name="Normal 12 6 6 6 6" xfId="18409" xr:uid="{00000000-0005-0000-0000-00006F460000}"/>
    <cellStyle name="Normal 12 6 6 6 7" xfId="18410" xr:uid="{00000000-0005-0000-0000-000070460000}"/>
    <cellStyle name="Normal 12 6 6 6 8" xfId="18411" xr:uid="{00000000-0005-0000-0000-000071460000}"/>
    <cellStyle name="Normal 12 6 6 7" xfId="18412" xr:uid="{00000000-0005-0000-0000-000072460000}"/>
    <cellStyle name="Normal 12 6 6 7 2" xfId="18413" xr:uid="{00000000-0005-0000-0000-000073460000}"/>
    <cellStyle name="Normal 12 6 6 7 3" xfId="18414" xr:uid="{00000000-0005-0000-0000-000074460000}"/>
    <cellStyle name="Normal 12 6 6 7 4" xfId="18415" xr:uid="{00000000-0005-0000-0000-000075460000}"/>
    <cellStyle name="Normal 12 6 6 7 5" xfId="18416" xr:uid="{00000000-0005-0000-0000-000076460000}"/>
    <cellStyle name="Normal 12 6 6 8" xfId="18417" xr:uid="{00000000-0005-0000-0000-000077460000}"/>
    <cellStyle name="Normal 12 6 6 9" xfId="18418" xr:uid="{00000000-0005-0000-0000-000078460000}"/>
    <cellStyle name="Normal 12 6 7" xfId="18419" xr:uid="{00000000-0005-0000-0000-000079460000}"/>
    <cellStyle name="Normal 12 6 7 10" xfId="18420" xr:uid="{00000000-0005-0000-0000-00007A460000}"/>
    <cellStyle name="Normal 12 6 7 11" xfId="18421" xr:uid="{00000000-0005-0000-0000-00007B460000}"/>
    <cellStyle name="Normal 12 6 7 12" xfId="18422" xr:uid="{00000000-0005-0000-0000-00007C460000}"/>
    <cellStyle name="Normal 12 6 7 13" xfId="18423" xr:uid="{00000000-0005-0000-0000-00007D460000}"/>
    <cellStyle name="Normal 12 6 7 2" xfId="18424" xr:uid="{00000000-0005-0000-0000-00007E460000}"/>
    <cellStyle name="Normal 12 6 7 2 10" xfId="18425" xr:uid="{00000000-0005-0000-0000-00007F460000}"/>
    <cellStyle name="Normal 12 6 7 2 11" xfId="18426" xr:uid="{00000000-0005-0000-0000-000080460000}"/>
    <cellStyle name="Normal 12 6 7 2 2" xfId="18427" xr:uid="{00000000-0005-0000-0000-000081460000}"/>
    <cellStyle name="Normal 12 6 7 2 2 10" xfId="18428" xr:uid="{00000000-0005-0000-0000-000082460000}"/>
    <cellStyle name="Normal 12 6 7 2 2 2" xfId="18429" xr:uid="{00000000-0005-0000-0000-000083460000}"/>
    <cellStyle name="Normal 12 6 7 2 2 2 2" xfId="18430" xr:uid="{00000000-0005-0000-0000-000084460000}"/>
    <cellStyle name="Normal 12 6 7 2 2 2 2 2" xfId="18431" xr:uid="{00000000-0005-0000-0000-000085460000}"/>
    <cellStyle name="Normal 12 6 7 2 2 2 2 3" xfId="18432" xr:uid="{00000000-0005-0000-0000-000086460000}"/>
    <cellStyle name="Normal 12 6 7 2 2 2 2 4" xfId="18433" xr:uid="{00000000-0005-0000-0000-000087460000}"/>
    <cellStyle name="Normal 12 6 7 2 2 2 2 5" xfId="18434" xr:uid="{00000000-0005-0000-0000-000088460000}"/>
    <cellStyle name="Normal 12 6 7 2 2 2 3" xfId="18435" xr:uid="{00000000-0005-0000-0000-000089460000}"/>
    <cellStyle name="Normal 12 6 7 2 2 2 4" xfId="18436" xr:uid="{00000000-0005-0000-0000-00008A460000}"/>
    <cellStyle name="Normal 12 6 7 2 2 2 5" xfId="18437" xr:uid="{00000000-0005-0000-0000-00008B460000}"/>
    <cellStyle name="Normal 12 6 7 2 2 2 6" xfId="18438" xr:uid="{00000000-0005-0000-0000-00008C460000}"/>
    <cellStyle name="Normal 12 6 7 2 2 2 7" xfId="18439" xr:uid="{00000000-0005-0000-0000-00008D460000}"/>
    <cellStyle name="Normal 12 6 7 2 2 2 8" xfId="18440" xr:uid="{00000000-0005-0000-0000-00008E460000}"/>
    <cellStyle name="Normal 12 6 7 2 2 3" xfId="18441" xr:uid="{00000000-0005-0000-0000-00008F460000}"/>
    <cellStyle name="Normal 12 6 7 2 2 3 2" xfId="18442" xr:uid="{00000000-0005-0000-0000-000090460000}"/>
    <cellStyle name="Normal 12 6 7 2 2 3 2 2" xfId="18443" xr:uid="{00000000-0005-0000-0000-000091460000}"/>
    <cellStyle name="Normal 12 6 7 2 2 3 2 3" xfId="18444" xr:uid="{00000000-0005-0000-0000-000092460000}"/>
    <cellStyle name="Normal 12 6 7 2 2 3 2 4" xfId="18445" xr:uid="{00000000-0005-0000-0000-000093460000}"/>
    <cellStyle name="Normal 12 6 7 2 2 3 2 5" xfId="18446" xr:uid="{00000000-0005-0000-0000-000094460000}"/>
    <cellStyle name="Normal 12 6 7 2 2 3 3" xfId="18447" xr:uid="{00000000-0005-0000-0000-000095460000}"/>
    <cellStyle name="Normal 12 6 7 2 2 3 4" xfId="18448" xr:uid="{00000000-0005-0000-0000-000096460000}"/>
    <cellStyle name="Normal 12 6 7 2 2 3 5" xfId="18449" xr:uid="{00000000-0005-0000-0000-000097460000}"/>
    <cellStyle name="Normal 12 6 7 2 2 3 6" xfId="18450" xr:uid="{00000000-0005-0000-0000-000098460000}"/>
    <cellStyle name="Normal 12 6 7 2 2 3 7" xfId="18451" xr:uid="{00000000-0005-0000-0000-000099460000}"/>
    <cellStyle name="Normal 12 6 7 2 2 3 8" xfId="18452" xr:uid="{00000000-0005-0000-0000-00009A460000}"/>
    <cellStyle name="Normal 12 6 7 2 2 4" xfId="18453" xr:uid="{00000000-0005-0000-0000-00009B460000}"/>
    <cellStyle name="Normal 12 6 7 2 2 4 2" xfId="18454" xr:uid="{00000000-0005-0000-0000-00009C460000}"/>
    <cellStyle name="Normal 12 6 7 2 2 4 3" xfId="18455" xr:uid="{00000000-0005-0000-0000-00009D460000}"/>
    <cellStyle name="Normal 12 6 7 2 2 4 4" xfId="18456" xr:uid="{00000000-0005-0000-0000-00009E460000}"/>
    <cellStyle name="Normal 12 6 7 2 2 4 5" xfId="18457" xr:uid="{00000000-0005-0000-0000-00009F460000}"/>
    <cellStyle name="Normal 12 6 7 2 2 5" xfId="18458" xr:uid="{00000000-0005-0000-0000-0000A0460000}"/>
    <cellStyle name="Normal 12 6 7 2 2 6" xfId="18459" xr:uid="{00000000-0005-0000-0000-0000A1460000}"/>
    <cellStyle name="Normal 12 6 7 2 2 7" xfId="18460" xr:uid="{00000000-0005-0000-0000-0000A2460000}"/>
    <cellStyle name="Normal 12 6 7 2 2 8" xfId="18461" xr:uid="{00000000-0005-0000-0000-0000A3460000}"/>
    <cellStyle name="Normal 12 6 7 2 2 9" xfId="18462" xr:uid="{00000000-0005-0000-0000-0000A4460000}"/>
    <cellStyle name="Normal 12 6 7 2 3" xfId="18463" xr:uid="{00000000-0005-0000-0000-0000A5460000}"/>
    <cellStyle name="Normal 12 6 7 2 3 2" xfId="18464" xr:uid="{00000000-0005-0000-0000-0000A6460000}"/>
    <cellStyle name="Normal 12 6 7 2 3 2 2" xfId="18465" xr:uid="{00000000-0005-0000-0000-0000A7460000}"/>
    <cellStyle name="Normal 12 6 7 2 3 2 3" xfId="18466" xr:uid="{00000000-0005-0000-0000-0000A8460000}"/>
    <cellStyle name="Normal 12 6 7 2 3 2 4" xfId="18467" xr:uid="{00000000-0005-0000-0000-0000A9460000}"/>
    <cellStyle name="Normal 12 6 7 2 3 2 5" xfId="18468" xr:uid="{00000000-0005-0000-0000-0000AA460000}"/>
    <cellStyle name="Normal 12 6 7 2 3 3" xfId="18469" xr:uid="{00000000-0005-0000-0000-0000AB460000}"/>
    <cellStyle name="Normal 12 6 7 2 3 4" xfId="18470" xr:uid="{00000000-0005-0000-0000-0000AC460000}"/>
    <cellStyle name="Normal 12 6 7 2 3 5" xfId="18471" xr:uid="{00000000-0005-0000-0000-0000AD460000}"/>
    <cellStyle name="Normal 12 6 7 2 3 6" xfId="18472" xr:uid="{00000000-0005-0000-0000-0000AE460000}"/>
    <cellStyle name="Normal 12 6 7 2 3 7" xfId="18473" xr:uid="{00000000-0005-0000-0000-0000AF460000}"/>
    <cellStyle name="Normal 12 6 7 2 3 8" xfId="18474" xr:uid="{00000000-0005-0000-0000-0000B0460000}"/>
    <cellStyle name="Normal 12 6 7 2 4" xfId="18475" xr:uid="{00000000-0005-0000-0000-0000B1460000}"/>
    <cellStyle name="Normal 12 6 7 2 4 2" xfId="18476" xr:uid="{00000000-0005-0000-0000-0000B2460000}"/>
    <cellStyle name="Normal 12 6 7 2 4 2 2" xfId="18477" xr:uid="{00000000-0005-0000-0000-0000B3460000}"/>
    <cellStyle name="Normal 12 6 7 2 4 2 3" xfId="18478" xr:uid="{00000000-0005-0000-0000-0000B4460000}"/>
    <cellStyle name="Normal 12 6 7 2 4 2 4" xfId="18479" xr:uid="{00000000-0005-0000-0000-0000B5460000}"/>
    <cellStyle name="Normal 12 6 7 2 4 2 5" xfId="18480" xr:uid="{00000000-0005-0000-0000-0000B6460000}"/>
    <cellStyle name="Normal 12 6 7 2 4 3" xfId="18481" xr:uid="{00000000-0005-0000-0000-0000B7460000}"/>
    <cellStyle name="Normal 12 6 7 2 4 4" xfId="18482" xr:uid="{00000000-0005-0000-0000-0000B8460000}"/>
    <cellStyle name="Normal 12 6 7 2 4 5" xfId="18483" xr:uid="{00000000-0005-0000-0000-0000B9460000}"/>
    <cellStyle name="Normal 12 6 7 2 4 6" xfId="18484" xr:uid="{00000000-0005-0000-0000-0000BA460000}"/>
    <cellStyle name="Normal 12 6 7 2 4 7" xfId="18485" xr:uid="{00000000-0005-0000-0000-0000BB460000}"/>
    <cellStyle name="Normal 12 6 7 2 4 8" xfId="18486" xr:uid="{00000000-0005-0000-0000-0000BC460000}"/>
    <cellStyle name="Normal 12 6 7 2 5" xfId="18487" xr:uid="{00000000-0005-0000-0000-0000BD460000}"/>
    <cellStyle name="Normal 12 6 7 2 5 2" xfId="18488" xr:uid="{00000000-0005-0000-0000-0000BE460000}"/>
    <cellStyle name="Normal 12 6 7 2 5 3" xfId="18489" xr:uid="{00000000-0005-0000-0000-0000BF460000}"/>
    <cellStyle name="Normal 12 6 7 2 5 4" xfId="18490" xr:uid="{00000000-0005-0000-0000-0000C0460000}"/>
    <cellStyle name="Normal 12 6 7 2 5 5" xfId="18491" xr:uid="{00000000-0005-0000-0000-0000C1460000}"/>
    <cellStyle name="Normal 12 6 7 2 6" xfId="18492" xr:uid="{00000000-0005-0000-0000-0000C2460000}"/>
    <cellStyle name="Normal 12 6 7 2 7" xfId="18493" xr:uid="{00000000-0005-0000-0000-0000C3460000}"/>
    <cellStyle name="Normal 12 6 7 2 8" xfId="18494" xr:uid="{00000000-0005-0000-0000-0000C4460000}"/>
    <cellStyle name="Normal 12 6 7 2 9" xfId="18495" xr:uid="{00000000-0005-0000-0000-0000C5460000}"/>
    <cellStyle name="Normal 12 6 7 3" xfId="18496" xr:uid="{00000000-0005-0000-0000-0000C6460000}"/>
    <cellStyle name="Normal 12 6 7 3 10" xfId="18497" xr:uid="{00000000-0005-0000-0000-0000C7460000}"/>
    <cellStyle name="Normal 12 6 7 3 11" xfId="18498" xr:uid="{00000000-0005-0000-0000-0000C8460000}"/>
    <cellStyle name="Normal 12 6 7 3 2" xfId="18499" xr:uid="{00000000-0005-0000-0000-0000C9460000}"/>
    <cellStyle name="Normal 12 6 7 3 2 10" xfId="18500" xr:uid="{00000000-0005-0000-0000-0000CA460000}"/>
    <cellStyle name="Normal 12 6 7 3 2 2" xfId="18501" xr:uid="{00000000-0005-0000-0000-0000CB460000}"/>
    <cellStyle name="Normal 12 6 7 3 2 2 2" xfId="18502" xr:uid="{00000000-0005-0000-0000-0000CC460000}"/>
    <cellStyle name="Normal 12 6 7 3 2 2 2 2" xfId="18503" xr:uid="{00000000-0005-0000-0000-0000CD460000}"/>
    <cellStyle name="Normal 12 6 7 3 2 2 2 3" xfId="18504" xr:uid="{00000000-0005-0000-0000-0000CE460000}"/>
    <cellStyle name="Normal 12 6 7 3 2 2 2 4" xfId="18505" xr:uid="{00000000-0005-0000-0000-0000CF460000}"/>
    <cellStyle name="Normal 12 6 7 3 2 2 2 5" xfId="18506" xr:uid="{00000000-0005-0000-0000-0000D0460000}"/>
    <cellStyle name="Normal 12 6 7 3 2 2 3" xfId="18507" xr:uid="{00000000-0005-0000-0000-0000D1460000}"/>
    <cellStyle name="Normal 12 6 7 3 2 2 4" xfId="18508" xr:uid="{00000000-0005-0000-0000-0000D2460000}"/>
    <cellStyle name="Normal 12 6 7 3 2 2 5" xfId="18509" xr:uid="{00000000-0005-0000-0000-0000D3460000}"/>
    <cellStyle name="Normal 12 6 7 3 2 2 6" xfId="18510" xr:uid="{00000000-0005-0000-0000-0000D4460000}"/>
    <cellStyle name="Normal 12 6 7 3 2 2 7" xfId="18511" xr:uid="{00000000-0005-0000-0000-0000D5460000}"/>
    <cellStyle name="Normal 12 6 7 3 2 2 8" xfId="18512" xr:uid="{00000000-0005-0000-0000-0000D6460000}"/>
    <cellStyle name="Normal 12 6 7 3 2 3" xfId="18513" xr:uid="{00000000-0005-0000-0000-0000D7460000}"/>
    <cellStyle name="Normal 12 6 7 3 2 3 2" xfId="18514" xr:uid="{00000000-0005-0000-0000-0000D8460000}"/>
    <cellStyle name="Normal 12 6 7 3 2 3 2 2" xfId="18515" xr:uid="{00000000-0005-0000-0000-0000D9460000}"/>
    <cellStyle name="Normal 12 6 7 3 2 3 2 3" xfId="18516" xr:uid="{00000000-0005-0000-0000-0000DA460000}"/>
    <cellStyle name="Normal 12 6 7 3 2 3 2 4" xfId="18517" xr:uid="{00000000-0005-0000-0000-0000DB460000}"/>
    <cellStyle name="Normal 12 6 7 3 2 3 2 5" xfId="18518" xr:uid="{00000000-0005-0000-0000-0000DC460000}"/>
    <cellStyle name="Normal 12 6 7 3 2 3 3" xfId="18519" xr:uid="{00000000-0005-0000-0000-0000DD460000}"/>
    <cellStyle name="Normal 12 6 7 3 2 3 4" xfId="18520" xr:uid="{00000000-0005-0000-0000-0000DE460000}"/>
    <cellStyle name="Normal 12 6 7 3 2 3 5" xfId="18521" xr:uid="{00000000-0005-0000-0000-0000DF460000}"/>
    <cellStyle name="Normal 12 6 7 3 2 3 6" xfId="18522" xr:uid="{00000000-0005-0000-0000-0000E0460000}"/>
    <cellStyle name="Normal 12 6 7 3 2 3 7" xfId="18523" xr:uid="{00000000-0005-0000-0000-0000E1460000}"/>
    <cellStyle name="Normal 12 6 7 3 2 3 8" xfId="18524" xr:uid="{00000000-0005-0000-0000-0000E2460000}"/>
    <cellStyle name="Normal 12 6 7 3 2 4" xfId="18525" xr:uid="{00000000-0005-0000-0000-0000E3460000}"/>
    <cellStyle name="Normal 12 6 7 3 2 4 2" xfId="18526" xr:uid="{00000000-0005-0000-0000-0000E4460000}"/>
    <cellStyle name="Normal 12 6 7 3 2 4 3" xfId="18527" xr:uid="{00000000-0005-0000-0000-0000E5460000}"/>
    <cellStyle name="Normal 12 6 7 3 2 4 4" xfId="18528" xr:uid="{00000000-0005-0000-0000-0000E6460000}"/>
    <cellStyle name="Normal 12 6 7 3 2 4 5" xfId="18529" xr:uid="{00000000-0005-0000-0000-0000E7460000}"/>
    <cellStyle name="Normal 12 6 7 3 2 5" xfId="18530" xr:uid="{00000000-0005-0000-0000-0000E8460000}"/>
    <cellStyle name="Normal 12 6 7 3 2 6" xfId="18531" xr:uid="{00000000-0005-0000-0000-0000E9460000}"/>
    <cellStyle name="Normal 12 6 7 3 2 7" xfId="18532" xr:uid="{00000000-0005-0000-0000-0000EA460000}"/>
    <cellStyle name="Normal 12 6 7 3 2 8" xfId="18533" xr:uid="{00000000-0005-0000-0000-0000EB460000}"/>
    <cellStyle name="Normal 12 6 7 3 2 9" xfId="18534" xr:uid="{00000000-0005-0000-0000-0000EC460000}"/>
    <cellStyle name="Normal 12 6 7 3 3" xfId="18535" xr:uid="{00000000-0005-0000-0000-0000ED460000}"/>
    <cellStyle name="Normal 12 6 7 3 3 2" xfId="18536" xr:uid="{00000000-0005-0000-0000-0000EE460000}"/>
    <cellStyle name="Normal 12 6 7 3 3 2 2" xfId="18537" xr:uid="{00000000-0005-0000-0000-0000EF460000}"/>
    <cellStyle name="Normal 12 6 7 3 3 2 3" xfId="18538" xr:uid="{00000000-0005-0000-0000-0000F0460000}"/>
    <cellStyle name="Normal 12 6 7 3 3 2 4" xfId="18539" xr:uid="{00000000-0005-0000-0000-0000F1460000}"/>
    <cellStyle name="Normal 12 6 7 3 3 2 5" xfId="18540" xr:uid="{00000000-0005-0000-0000-0000F2460000}"/>
    <cellStyle name="Normal 12 6 7 3 3 3" xfId="18541" xr:uid="{00000000-0005-0000-0000-0000F3460000}"/>
    <cellStyle name="Normal 12 6 7 3 3 4" xfId="18542" xr:uid="{00000000-0005-0000-0000-0000F4460000}"/>
    <cellStyle name="Normal 12 6 7 3 3 5" xfId="18543" xr:uid="{00000000-0005-0000-0000-0000F5460000}"/>
    <cellStyle name="Normal 12 6 7 3 3 6" xfId="18544" xr:uid="{00000000-0005-0000-0000-0000F6460000}"/>
    <cellStyle name="Normal 12 6 7 3 3 7" xfId="18545" xr:uid="{00000000-0005-0000-0000-0000F7460000}"/>
    <cellStyle name="Normal 12 6 7 3 3 8" xfId="18546" xr:uid="{00000000-0005-0000-0000-0000F8460000}"/>
    <cellStyle name="Normal 12 6 7 3 4" xfId="18547" xr:uid="{00000000-0005-0000-0000-0000F9460000}"/>
    <cellStyle name="Normal 12 6 7 3 4 2" xfId="18548" xr:uid="{00000000-0005-0000-0000-0000FA460000}"/>
    <cellStyle name="Normal 12 6 7 3 4 2 2" xfId="18549" xr:uid="{00000000-0005-0000-0000-0000FB460000}"/>
    <cellStyle name="Normal 12 6 7 3 4 2 3" xfId="18550" xr:uid="{00000000-0005-0000-0000-0000FC460000}"/>
    <cellStyle name="Normal 12 6 7 3 4 2 4" xfId="18551" xr:uid="{00000000-0005-0000-0000-0000FD460000}"/>
    <cellStyle name="Normal 12 6 7 3 4 2 5" xfId="18552" xr:uid="{00000000-0005-0000-0000-0000FE460000}"/>
    <cellStyle name="Normal 12 6 7 3 4 3" xfId="18553" xr:uid="{00000000-0005-0000-0000-0000FF460000}"/>
    <cellStyle name="Normal 12 6 7 3 4 4" xfId="18554" xr:uid="{00000000-0005-0000-0000-000000470000}"/>
    <cellStyle name="Normal 12 6 7 3 4 5" xfId="18555" xr:uid="{00000000-0005-0000-0000-000001470000}"/>
    <cellStyle name="Normal 12 6 7 3 4 6" xfId="18556" xr:uid="{00000000-0005-0000-0000-000002470000}"/>
    <cellStyle name="Normal 12 6 7 3 4 7" xfId="18557" xr:uid="{00000000-0005-0000-0000-000003470000}"/>
    <cellStyle name="Normal 12 6 7 3 4 8" xfId="18558" xr:uid="{00000000-0005-0000-0000-000004470000}"/>
    <cellStyle name="Normal 12 6 7 3 5" xfId="18559" xr:uid="{00000000-0005-0000-0000-000005470000}"/>
    <cellStyle name="Normal 12 6 7 3 5 2" xfId="18560" xr:uid="{00000000-0005-0000-0000-000006470000}"/>
    <cellStyle name="Normal 12 6 7 3 5 3" xfId="18561" xr:uid="{00000000-0005-0000-0000-000007470000}"/>
    <cellStyle name="Normal 12 6 7 3 5 4" xfId="18562" xr:uid="{00000000-0005-0000-0000-000008470000}"/>
    <cellStyle name="Normal 12 6 7 3 5 5" xfId="18563" xr:uid="{00000000-0005-0000-0000-000009470000}"/>
    <cellStyle name="Normal 12 6 7 3 6" xfId="18564" xr:uid="{00000000-0005-0000-0000-00000A470000}"/>
    <cellStyle name="Normal 12 6 7 3 7" xfId="18565" xr:uid="{00000000-0005-0000-0000-00000B470000}"/>
    <cellStyle name="Normal 12 6 7 3 8" xfId="18566" xr:uid="{00000000-0005-0000-0000-00000C470000}"/>
    <cellStyle name="Normal 12 6 7 3 9" xfId="18567" xr:uid="{00000000-0005-0000-0000-00000D470000}"/>
    <cellStyle name="Normal 12 6 7 4" xfId="18568" xr:uid="{00000000-0005-0000-0000-00000E470000}"/>
    <cellStyle name="Normal 12 6 7 4 10" xfId="18569" xr:uid="{00000000-0005-0000-0000-00000F470000}"/>
    <cellStyle name="Normal 12 6 7 4 2" xfId="18570" xr:uid="{00000000-0005-0000-0000-000010470000}"/>
    <cellStyle name="Normal 12 6 7 4 2 2" xfId="18571" xr:uid="{00000000-0005-0000-0000-000011470000}"/>
    <cellStyle name="Normal 12 6 7 4 2 2 2" xfId="18572" xr:uid="{00000000-0005-0000-0000-000012470000}"/>
    <cellStyle name="Normal 12 6 7 4 2 2 3" xfId="18573" xr:uid="{00000000-0005-0000-0000-000013470000}"/>
    <cellStyle name="Normal 12 6 7 4 2 2 4" xfId="18574" xr:uid="{00000000-0005-0000-0000-000014470000}"/>
    <cellStyle name="Normal 12 6 7 4 2 2 5" xfId="18575" xr:uid="{00000000-0005-0000-0000-000015470000}"/>
    <cellStyle name="Normal 12 6 7 4 2 3" xfId="18576" xr:uid="{00000000-0005-0000-0000-000016470000}"/>
    <cellStyle name="Normal 12 6 7 4 2 4" xfId="18577" xr:uid="{00000000-0005-0000-0000-000017470000}"/>
    <cellStyle name="Normal 12 6 7 4 2 5" xfId="18578" xr:uid="{00000000-0005-0000-0000-000018470000}"/>
    <cellStyle name="Normal 12 6 7 4 2 6" xfId="18579" xr:uid="{00000000-0005-0000-0000-000019470000}"/>
    <cellStyle name="Normal 12 6 7 4 2 7" xfId="18580" xr:uid="{00000000-0005-0000-0000-00001A470000}"/>
    <cellStyle name="Normal 12 6 7 4 2 8" xfId="18581" xr:uid="{00000000-0005-0000-0000-00001B470000}"/>
    <cellStyle name="Normal 12 6 7 4 3" xfId="18582" xr:uid="{00000000-0005-0000-0000-00001C470000}"/>
    <cellStyle name="Normal 12 6 7 4 3 2" xfId="18583" xr:uid="{00000000-0005-0000-0000-00001D470000}"/>
    <cellStyle name="Normal 12 6 7 4 3 2 2" xfId="18584" xr:uid="{00000000-0005-0000-0000-00001E470000}"/>
    <cellStyle name="Normal 12 6 7 4 3 2 3" xfId="18585" xr:uid="{00000000-0005-0000-0000-00001F470000}"/>
    <cellStyle name="Normal 12 6 7 4 3 2 4" xfId="18586" xr:uid="{00000000-0005-0000-0000-000020470000}"/>
    <cellStyle name="Normal 12 6 7 4 3 2 5" xfId="18587" xr:uid="{00000000-0005-0000-0000-000021470000}"/>
    <cellStyle name="Normal 12 6 7 4 3 3" xfId="18588" xr:uid="{00000000-0005-0000-0000-000022470000}"/>
    <cellStyle name="Normal 12 6 7 4 3 4" xfId="18589" xr:uid="{00000000-0005-0000-0000-000023470000}"/>
    <cellStyle name="Normal 12 6 7 4 3 5" xfId="18590" xr:uid="{00000000-0005-0000-0000-000024470000}"/>
    <cellStyle name="Normal 12 6 7 4 3 6" xfId="18591" xr:uid="{00000000-0005-0000-0000-000025470000}"/>
    <cellStyle name="Normal 12 6 7 4 3 7" xfId="18592" xr:uid="{00000000-0005-0000-0000-000026470000}"/>
    <cellStyle name="Normal 12 6 7 4 3 8" xfId="18593" xr:uid="{00000000-0005-0000-0000-000027470000}"/>
    <cellStyle name="Normal 12 6 7 4 4" xfId="18594" xr:uid="{00000000-0005-0000-0000-000028470000}"/>
    <cellStyle name="Normal 12 6 7 4 4 2" xfId="18595" xr:uid="{00000000-0005-0000-0000-000029470000}"/>
    <cellStyle name="Normal 12 6 7 4 4 3" xfId="18596" xr:uid="{00000000-0005-0000-0000-00002A470000}"/>
    <cellStyle name="Normal 12 6 7 4 4 4" xfId="18597" xr:uid="{00000000-0005-0000-0000-00002B470000}"/>
    <cellStyle name="Normal 12 6 7 4 4 5" xfId="18598" xr:uid="{00000000-0005-0000-0000-00002C470000}"/>
    <cellStyle name="Normal 12 6 7 4 5" xfId="18599" xr:uid="{00000000-0005-0000-0000-00002D470000}"/>
    <cellStyle name="Normal 12 6 7 4 6" xfId="18600" xr:uid="{00000000-0005-0000-0000-00002E470000}"/>
    <cellStyle name="Normal 12 6 7 4 7" xfId="18601" xr:uid="{00000000-0005-0000-0000-00002F470000}"/>
    <cellStyle name="Normal 12 6 7 4 8" xfId="18602" xr:uid="{00000000-0005-0000-0000-000030470000}"/>
    <cellStyle name="Normal 12 6 7 4 9" xfId="18603" xr:uid="{00000000-0005-0000-0000-000031470000}"/>
    <cellStyle name="Normal 12 6 7 5" xfId="18604" xr:uid="{00000000-0005-0000-0000-000032470000}"/>
    <cellStyle name="Normal 12 6 7 5 2" xfId="18605" xr:uid="{00000000-0005-0000-0000-000033470000}"/>
    <cellStyle name="Normal 12 6 7 5 2 2" xfId="18606" xr:uid="{00000000-0005-0000-0000-000034470000}"/>
    <cellStyle name="Normal 12 6 7 5 2 3" xfId="18607" xr:uid="{00000000-0005-0000-0000-000035470000}"/>
    <cellStyle name="Normal 12 6 7 5 2 4" xfId="18608" xr:uid="{00000000-0005-0000-0000-000036470000}"/>
    <cellStyle name="Normal 12 6 7 5 2 5" xfId="18609" xr:uid="{00000000-0005-0000-0000-000037470000}"/>
    <cellStyle name="Normal 12 6 7 5 3" xfId="18610" xr:uid="{00000000-0005-0000-0000-000038470000}"/>
    <cellStyle name="Normal 12 6 7 5 4" xfId="18611" xr:uid="{00000000-0005-0000-0000-000039470000}"/>
    <cellStyle name="Normal 12 6 7 5 5" xfId="18612" xr:uid="{00000000-0005-0000-0000-00003A470000}"/>
    <cellStyle name="Normal 12 6 7 5 6" xfId="18613" xr:uid="{00000000-0005-0000-0000-00003B470000}"/>
    <cellStyle name="Normal 12 6 7 5 7" xfId="18614" xr:uid="{00000000-0005-0000-0000-00003C470000}"/>
    <cellStyle name="Normal 12 6 7 5 8" xfId="18615" xr:uid="{00000000-0005-0000-0000-00003D470000}"/>
    <cellStyle name="Normal 12 6 7 6" xfId="18616" xr:uid="{00000000-0005-0000-0000-00003E470000}"/>
    <cellStyle name="Normal 12 6 7 6 2" xfId="18617" xr:uid="{00000000-0005-0000-0000-00003F470000}"/>
    <cellStyle name="Normal 12 6 7 6 2 2" xfId="18618" xr:uid="{00000000-0005-0000-0000-000040470000}"/>
    <cellStyle name="Normal 12 6 7 6 2 3" xfId="18619" xr:uid="{00000000-0005-0000-0000-000041470000}"/>
    <cellStyle name="Normal 12 6 7 6 2 4" xfId="18620" xr:uid="{00000000-0005-0000-0000-000042470000}"/>
    <cellStyle name="Normal 12 6 7 6 2 5" xfId="18621" xr:uid="{00000000-0005-0000-0000-000043470000}"/>
    <cellStyle name="Normal 12 6 7 6 3" xfId="18622" xr:uid="{00000000-0005-0000-0000-000044470000}"/>
    <cellStyle name="Normal 12 6 7 6 4" xfId="18623" xr:uid="{00000000-0005-0000-0000-000045470000}"/>
    <cellStyle name="Normal 12 6 7 6 5" xfId="18624" xr:uid="{00000000-0005-0000-0000-000046470000}"/>
    <cellStyle name="Normal 12 6 7 6 6" xfId="18625" xr:uid="{00000000-0005-0000-0000-000047470000}"/>
    <cellStyle name="Normal 12 6 7 6 7" xfId="18626" xr:uid="{00000000-0005-0000-0000-000048470000}"/>
    <cellStyle name="Normal 12 6 7 6 8" xfId="18627" xr:uid="{00000000-0005-0000-0000-000049470000}"/>
    <cellStyle name="Normal 12 6 7 7" xfId="18628" xr:uid="{00000000-0005-0000-0000-00004A470000}"/>
    <cellStyle name="Normal 12 6 7 7 2" xfId="18629" xr:uid="{00000000-0005-0000-0000-00004B470000}"/>
    <cellStyle name="Normal 12 6 7 7 3" xfId="18630" xr:uid="{00000000-0005-0000-0000-00004C470000}"/>
    <cellStyle name="Normal 12 6 7 7 4" xfId="18631" xr:uid="{00000000-0005-0000-0000-00004D470000}"/>
    <cellStyle name="Normal 12 6 7 7 5" xfId="18632" xr:uid="{00000000-0005-0000-0000-00004E470000}"/>
    <cellStyle name="Normal 12 6 7 8" xfId="18633" xr:uid="{00000000-0005-0000-0000-00004F470000}"/>
    <cellStyle name="Normal 12 6 7 9" xfId="18634" xr:uid="{00000000-0005-0000-0000-000050470000}"/>
    <cellStyle name="Normal 12 6 8" xfId="18635" xr:uid="{00000000-0005-0000-0000-000051470000}"/>
    <cellStyle name="Normal 12 6 8 10" xfId="18636" xr:uid="{00000000-0005-0000-0000-000052470000}"/>
    <cellStyle name="Normal 12 6 8 11" xfId="18637" xr:uid="{00000000-0005-0000-0000-000053470000}"/>
    <cellStyle name="Normal 12 6 8 12" xfId="18638" xr:uid="{00000000-0005-0000-0000-000054470000}"/>
    <cellStyle name="Normal 12 6 8 13" xfId="18639" xr:uid="{00000000-0005-0000-0000-000055470000}"/>
    <cellStyle name="Normal 12 6 8 2" xfId="18640" xr:uid="{00000000-0005-0000-0000-000056470000}"/>
    <cellStyle name="Normal 12 6 8 2 10" xfId="18641" xr:uid="{00000000-0005-0000-0000-000057470000}"/>
    <cellStyle name="Normal 12 6 8 2 11" xfId="18642" xr:uid="{00000000-0005-0000-0000-000058470000}"/>
    <cellStyle name="Normal 12 6 8 2 2" xfId="18643" xr:uid="{00000000-0005-0000-0000-000059470000}"/>
    <cellStyle name="Normal 12 6 8 2 2 10" xfId="18644" xr:uid="{00000000-0005-0000-0000-00005A470000}"/>
    <cellStyle name="Normal 12 6 8 2 2 2" xfId="18645" xr:uid="{00000000-0005-0000-0000-00005B470000}"/>
    <cellStyle name="Normal 12 6 8 2 2 2 2" xfId="18646" xr:uid="{00000000-0005-0000-0000-00005C470000}"/>
    <cellStyle name="Normal 12 6 8 2 2 2 2 2" xfId="18647" xr:uid="{00000000-0005-0000-0000-00005D470000}"/>
    <cellStyle name="Normal 12 6 8 2 2 2 2 3" xfId="18648" xr:uid="{00000000-0005-0000-0000-00005E470000}"/>
    <cellStyle name="Normal 12 6 8 2 2 2 2 4" xfId="18649" xr:uid="{00000000-0005-0000-0000-00005F470000}"/>
    <cellStyle name="Normal 12 6 8 2 2 2 2 5" xfId="18650" xr:uid="{00000000-0005-0000-0000-000060470000}"/>
    <cellStyle name="Normal 12 6 8 2 2 2 3" xfId="18651" xr:uid="{00000000-0005-0000-0000-000061470000}"/>
    <cellStyle name="Normal 12 6 8 2 2 2 4" xfId="18652" xr:uid="{00000000-0005-0000-0000-000062470000}"/>
    <cellStyle name="Normal 12 6 8 2 2 2 5" xfId="18653" xr:uid="{00000000-0005-0000-0000-000063470000}"/>
    <cellStyle name="Normal 12 6 8 2 2 2 6" xfId="18654" xr:uid="{00000000-0005-0000-0000-000064470000}"/>
    <cellStyle name="Normal 12 6 8 2 2 2 7" xfId="18655" xr:uid="{00000000-0005-0000-0000-000065470000}"/>
    <cellStyle name="Normal 12 6 8 2 2 2 8" xfId="18656" xr:uid="{00000000-0005-0000-0000-000066470000}"/>
    <cellStyle name="Normal 12 6 8 2 2 3" xfId="18657" xr:uid="{00000000-0005-0000-0000-000067470000}"/>
    <cellStyle name="Normal 12 6 8 2 2 3 2" xfId="18658" xr:uid="{00000000-0005-0000-0000-000068470000}"/>
    <cellStyle name="Normal 12 6 8 2 2 3 2 2" xfId="18659" xr:uid="{00000000-0005-0000-0000-000069470000}"/>
    <cellStyle name="Normal 12 6 8 2 2 3 2 3" xfId="18660" xr:uid="{00000000-0005-0000-0000-00006A470000}"/>
    <cellStyle name="Normal 12 6 8 2 2 3 2 4" xfId="18661" xr:uid="{00000000-0005-0000-0000-00006B470000}"/>
    <cellStyle name="Normal 12 6 8 2 2 3 2 5" xfId="18662" xr:uid="{00000000-0005-0000-0000-00006C470000}"/>
    <cellStyle name="Normal 12 6 8 2 2 3 3" xfId="18663" xr:uid="{00000000-0005-0000-0000-00006D470000}"/>
    <cellStyle name="Normal 12 6 8 2 2 3 4" xfId="18664" xr:uid="{00000000-0005-0000-0000-00006E470000}"/>
    <cellStyle name="Normal 12 6 8 2 2 3 5" xfId="18665" xr:uid="{00000000-0005-0000-0000-00006F470000}"/>
    <cellStyle name="Normal 12 6 8 2 2 3 6" xfId="18666" xr:uid="{00000000-0005-0000-0000-000070470000}"/>
    <cellStyle name="Normal 12 6 8 2 2 3 7" xfId="18667" xr:uid="{00000000-0005-0000-0000-000071470000}"/>
    <cellStyle name="Normal 12 6 8 2 2 3 8" xfId="18668" xr:uid="{00000000-0005-0000-0000-000072470000}"/>
    <cellStyle name="Normal 12 6 8 2 2 4" xfId="18669" xr:uid="{00000000-0005-0000-0000-000073470000}"/>
    <cellStyle name="Normal 12 6 8 2 2 4 2" xfId="18670" xr:uid="{00000000-0005-0000-0000-000074470000}"/>
    <cellStyle name="Normal 12 6 8 2 2 4 3" xfId="18671" xr:uid="{00000000-0005-0000-0000-000075470000}"/>
    <cellStyle name="Normal 12 6 8 2 2 4 4" xfId="18672" xr:uid="{00000000-0005-0000-0000-000076470000}"/>
    <cellStyle name="Normal 12 6 8 2 2 4 5" xfId="18673" xr:uid="{00000000-0005-0000-0000-000077470000}"/>
    <cellStyle name="Normal 12 6 8 2 2 5" xfId="18674" xr:uid="{00000000-0005-0000-0000-000078470000}"/>
    <cellStyle name="Normal 12 6 8 2 2 6" xfId="18675" xr:uid="{00000000-0005-0000-0000-000079470000}"/>
    <cellStyle name="Normal 12 6 8 2 2 7" xfId="18676" xr:uid="{00000000-0005-0000-0000-00007A470000}"/>
    <cellStyle name="Normal 12 6 8 2 2 8" xfId="18677" xr:uid="{00000000-0005-0000-0000-00007B470000}"/>
    <cellStyle name="Normal 12 6 8 2 2 9" xfId="18678" xr:uid="{00000000-0005-0000-0000-00007C470000}"/>
    <cellStyle name="Normal 12 6 8 2 3" xfId="18679" xr:uid="{00000000-0005-0000-0000-00007D470000}"/>
    <cellStyle name="Normal 12 6 8 2 3 2" xfId="18680" xr:uid="{00000000-0005-0000-0000-00007E470000}"/>
    <cellStyle name="Normal 12 6 8 2 3 2 2" xfId="18681" xr:uid="{00000000-0005-0000-0000-00007F470000}"/>
    <cellStyle name="Normal 12 6 8 2 3 2 3" xfId="18682" xr:uid="{00000000-0005-0000-0000-000080470000}"/>
    <cellStyle name="Normal 12 6 8 2 3 2 4" xfId="18683" xr:uid="{00000000-0005-0000-0000-000081470000}"/>
    <cellStyle name="Normal 12 6 8 2 3 2 5" xfId="18684" xr:uid="{00000000-0005-0000-0000-000082470000}"/>
    <cellStyle name="Normal 12 6 8 2 3 3" xfId="18685" xr:uid="{00000000-0005-0000-0000-000083470000}"/>
    <cellStyle name="Normal 12 6 8 2 3 4" xfId="18686" xr:uid="{00000000-0005-0000-0000-000084470000}"/>
    <cellStyle name="Normal 12 6 8 2 3 5" xfId="18687" xr:uid="{00000000-0005-0000-0000-000085470000}"/>
    <cellStyle name="Normal 12 6 8 2 3 6" xfId="18688" xr:uid="{00000000-0005-0000-0000-000086470000}"/>
    <cellStyle name="Normal 12 6 8 2 3 7" xfId="18689" xr:uid="{00000000-0005-0000-0000-000087470000}"/>
    <cellStyle name="Normal 12 6 8 2 3 8" xfId="18690" xr:uid="{00000000-0005-0000-0000-000088470000}"/>
    <cellStyle name="Normal 12 6 8 2 4" xfId="18691" xr:uid="{00000000-0005-0000-0000-000089470000}"/>
    <cellStyle name="Normal 12 6 8 2 4 2" xfId="18692" xr:uid="{00000000-0005-0000-0000-00008A470000}"/>
    <cellStyle name="Normal 12 6 8 2 4 2 2" xfId="18693" xr:uid="{00000000-0005-0000-0000-00008B470000}"/>
    <cellStyle name="Normal 12 6 8 2 4 2 3" xfId="18694" xr:uid="{00000000-0005-0000-0000-00008C470000}"/>
    <cellStyle name="Normal 12 6 8 2 4 2 4" xfId="18695" xr:uid="{00000000-0005-0000-0000-00008D470000}"/>
    <cellStyle name="Normal 12 6 8 2 4 2 5" xfId="18696" xr:uid="{00000000-0005-0000-0000-00008E470000}"/>
    <cellStyle name="Normal 12 6 8 2 4 3" xfId="18697" xr:uid="{00000000-0005-0000-0000-00008F470000}"/>
    <cellStyle name="Normal 12 6 8 2 4 4" xfId="18698" xr:uid="{00000000-0005-0000-0000-000090470000}"/>
    <cellStyle name="Normal 12 6 8 2 4 5" xfId="18699" xr:uid="{00000000-0005-0000-0000-000091470000}"/>
    <cellStyle name="Normal 12 6 8 2 4 6" xfId="18700" xr:uid="{00000000-0005-0000-0000-000092470000}"/>
    <cellStyle name="Normal 12 6 8 2 4 7" xfId="18701" xr:uid="{00000000-0005-0000-0000-000093470000}"/>
    <cellStyle name="Normal 12 6 8 2 4 8" xfId="18702" xr:uid="{00000000-0005-0000-0000-000094470000}"/>
    <cellStyle name="Normal 12 6 8 2 5" xfId="18703" xr:uid="{00000000-0005-0000-0000-000095470000}"/>
    <cellStyle name="Normal 12 6 8 2 5 2" xfId="18704" xr:uid="{00000000-0005-0000-0000-000096470000}"/>
    <cellStyle name="Normal 12 6 8 2 5 3" xfId="18705" xr:uid="{00000000-0005-0000-0000-000097470000}"/>
    <cellStyle name="Normal 12 6 8 2 5 4" xfId="18706" xr:uid="{00000000-0005-0000-0000-000098470000}"/>
    <cellStyle name="Normal 12 6 8 2 5 5" xfId="18707" xr:uid="{00000000-0005-0000-0000-000099470000}"/>
    <cellStyle name="Normal 12 6 8 2 6" xfId="18708" xr:uid="{00000000-0005-0000-0000-00009A470000}"/>
    <cellStyle name="Normal 12 6 8 2 7" xfId="18709" xr:uid="{00000000-0005-0000-0000-00009B470000}"/>
    <cellStyle name="Normal 12 6 8 2 8" xfId="18710" xr:uid="{00000000-0005-0000-0000-00009C470000}"/>
    <cellStyle name="Normal 12 6 8 2 9" xfId="18711" xr:uid="{00000000-0005-0000-0000-00009D470000}"/>
    <cellStyle name="Normal 12 6 8 3" xfId="18712" xr:uid="{00000000-0005-0000-0000-00009E470000}"/>
    <cellStyle name="Normal 12 6 8 3 10" xfId="18713" xr:uid="{00000000-0005-0000-0000-00009F470000}"/>
    <cellStyle name="Normal 12 6 8 3 11" xfId="18714" xr:uid="{00000000-0005-0000-0000-0000A0470000}"/>
    <cellStyle name="Normal 12 6 8 3 2" xfId="18715" xr:uid="{00000000-0005-0000-0000-0000A1470000}"/>
    <cellStyle name="Normal 12 6 8 3 2 10" xfId="18716" xr:uid="{00000000-0005-0000-0000-0000A2470000}"/>
    <cellStyle name="Normal 12 6 8 3 2 2" xfId="18717" xr:uid="{00000000-0005-0000-0000-0000A3470000}"/>
    <cellStyle name="Normal 12 6 8 3 2 2 2" xfId="18718" xr:uid="{00000000-0005-0000-0000-0000A4470000}"/>
    <cellStyle name="Normal 12 6 8 3 2 2 2 2" xfId="18719" xr:uid="{00000000-0005-0000-0000-0000A5470000}"/>
    <cellStyle name="Normal 12 6 8 3 2 2 2 3" xfId="18720" xr:uid="{00000000-0005-0000-0000-0000A6470000}"/>
    <cellStyle name="Normal 12 6 8 3 2 2 2 4" xfId="18721" xr:uid="{00000000-0005-0000-0000-0000A7470000}"/>
    <cellStyle name="Normal 12 6 8 3 2 2 2 5" xfId="18722" xr:uid="{00000000-0005-0000-0000-0000A8470000}"/>
    <cellStyle name="Normal 12 6 8 3 2 2 3" xfId="18723" xr:uid="{00000000-0005-0000-0000-0000A9470000}"/>
    <cellStyle name="Normal 12 6 8 3 2 2 4" xfId="18724" xr:uid="{00000000-0005-0000-0000-0000AA470000}"/>
    <cellStyle name="Normal 12 6 8 3 2 2 5" xfId="18725" xr:uid="{00000000-0005-0000-0000-0000AB470000}"/>
    <cellStyle name="Normal 12 6 8 3 2 2 6" xfId="18726" xr:uid="{00000000-0005-0000-0000-0000AC470000}"/>
    <cellStyle name="Normal 12 6 8 3 2 2 7" xfId="18727" xr:uid="{00000000-0005-0000-0000-0000AD470000}"/>
    <cellStyle name="Normal 12 6 8 3 2 2 8" xfId="18728" xr:uid="{00000000-0005-0000-0000-0000AE470000}"/>
    <cellStyle name="Normal 12 6 8 3 2 3" xfId="18729" xr:uid="{00000000-0005-0000-0000-0000AF470000}"/>
    <cellStyle name="Normal 12 6 8 3 2 3 2" xfId="18730" xr:uid="{00000000-0005-0000-0000-0000B0470000}"/>
    <cellStyle name="Normal 12 6 8 3 2 3 2 2" xfId="18731" xr:uid="{00000000-0005-0000-0000-0000B1470000}"/>
    <cellStyle name="Normal 12 6 8 3 2 3 2 3" xfId="18732" xr:uid="{00000000-0005-0000-0000-0000B2470000}"/>
    <cellStyle name="Normal 12 6 8 3 2 3 2 4" xfId="18733" xr:uid="{00000000-0005-0000-0000-0000B3470000}"/>
    <cellStyle name="Normal 12 6 8 3 2 3 2 5" xfId="18734" xr:uid="{00000000-0005-0000-0000-0000B4470000}"/>
    <cellStyle name="Normal 12 6 8 3 2 3 3" xfId="18735" xr:uid="{00000000-0005-0000-0000-0000B5470000}"/>
    <cellStyle name="Normal 12 6 8 3 2 3 4" xfId="18736" xr:uid="{00000000-0005-0000-0000-0000B6470000}"/>
    <cellStyle name="Normal 12 6 8 3 2 3 5" xfId="18737" xr:uid="{00000000-0005-0000-0000-0000B7470000}"/>
    <cellStyle name="Normal 12 6 8 3 2 3 6" xfId="18738" xr:uid="{00000000-0005-0000-0000-0000B8470000}"/>
    <cellStyle name="Normal 12 6 8 3 2 3 7" xfId="18739" xr:uid="{00000000-0005-0000-0000-0000B9470000}"/>
    <cellStyle name="Normal 12 6 8 3 2 3 8" xfId="18740" xr:uid="{00000000-0005-0000-0000-0000BA470000}"/>
    <cellStyle name="Normal 12 6 8 3 2 4" xfId="18741" xr:uid="{00000000-0005-0000-0000-0000BB470000}"/>
    <cellStyle name="Normal 12 6 8 3 2 4 2" xfId="18742" xr:uid="{00000000-0005-0000-0000-0000BC470000}"/>
    <cellStyle name="Normal 12 6 8 3 2 4 3" xfId="18743" xr:uid="{00000000-0005-0000-0000-0000BD470000}"/>
    <cellStyle name="Normal 12 6 8 3 2 4 4" xfId="18744" xr:uid="{00000000-0005-0000-0000-0000BE470000}"/>
    <cellStyle name="Normal 12 6 8 3 2 4 5" xfId="18745" xr:uid="{00000000-0005-0000-0000-0000BF470000}"/>
    <cellStyle name="Normal 12 6 8 3 2 5" xfId="18746" xr:uid="{00000000-0005-0000-0000-0000C0470000}"/>
    <cellStyle name="Normal 12 6 8 3 2 6" xfId="18747" xr:uid="{00000000-0005-0000-0000-0000C1470000}"/>
    <cellStyle name="Normal 12 6 8 3 2 7" xfId="18748" xr:uid="{00000000-0005-0000-0000-0000C2470000}"/>
    <cellStyle name="Normal 12 6 8 3 2 8" xfId="18749" xr:uid="{00000000-0005-0000-0000-0000C3470000}"/>
    <cellStyle name="Normal 12 6 8 3 2 9" xfId="18750" xr:uid="{00000000-0005-0000-0000-0000C4470000}"/>
    <cellStyle name="Normal 12 6 8 3 3" xfId="18751" xr:uid="{00000000-0005-0000-0000-0000C5470000}"/>
    <cellStyle name="Normal 12 6 8 3 3 2" xfId="18752" xr:uid="{00000000-0005-0000-0000-0000C6470000}"/>
    <cellStyle name="Normal 12 6 8 3 3 2 2" xfId="18753" xr:uid="{00000000-0005-0000-0000-0000C7470000}"/>
    <cellStyle name="Normal 12 6 8 3 3 2 3" xfId="18754" xr:uid="{00000000-0005-0000-0000-0000C8470000}"/>
    <cellStyle name="Normal 12 6 8 3 3 2 4" xfId="18755" xr:uid="{00000000-0005-0000-0000-0000C9470000}"/>
    <cellStyle name="Normal 12 6 8 3 3 2 5" xfId="18756" xr:uid="{00000000-0005-0000-0000-0000CA470000}"/>
    <cellStyle name="Normal 12 6 8 3 3 3" xfId="18757" xr:uid="{00000000-0005-0000-0000-0000CB470000}"/>
    <cellStyle name="Normal 12 6 8 3 3 4" xfId="18758" xr:uid="{00000000-0005-0000-0000-0000CC470000}"/>
    <cellStyle name="Normal 12 6 8 3 3 5" xfId="18759" xr:uid="{00000000-0005-0000-0000-0000CD470000}"/>
    <cellStyle name="Normal 12 6 8 3 3 6" xfId="18760" xr:uid="{00000000-0005-0000-0000-0000CE470000}"/>
    <cellStyle name="Normal 12 6 8 3 3 7" xfId="18761" xr:uid="{00000000-0005-0000-0000-0000CF470000}"/>
    <cellStyle name="Normal 12 6 8 3 3 8" xfId="18762" xr:uid="{00000000-0005-0000-0000-0000D0470000}"/>
    <cellStyle name="Normal 12 6 8 3 4" xfId="18763" xr:uid="{00000000-0005-0000-0000-0000D1470000}"/>
    <cellStyle name="Normal 12 6 8 3 4 2" xfId="18764" xr:uid="{00000000-0005-0000-0000-0000D2470000}"/>
    <cellStyle name="Normal 12 6 8 3 4 2 2" xfId="18765" xr:uid="{00000000-0005-0000-0000-0000D3470000}"/>
    <cellStyle name="Normal 12 6 8 3 4 2 3" xfId="18766" xr:uid="{00000000-0005-0000-0000-0000D4470000}"/>
    <cellStyle name="Normal 12 6 8 3 4 2 4" xfId="18767" xr:uid="{00000000-0005-0000-0000-0000D5470000}"/>
    <cellStyle name="Normal 12 6 8 3 4 2 5" xfId="18768" xr:uid="{00000000-0005-0000-0000-0000D6470000}"/>
    <cellStyle name="Normal 12 6 8 3 4 3" xfId="18769" xr:uid="{00000000-0005-0000-0000-0000D7470000}"/>
    <cellStyle name="Normal 12 6 8 3 4 4" xfId="18770" xr:uid="{00000000-0005-0000-0000-0000D8470000}"/>
    <cellStyle name="Normal 12 6 8 3 4 5" xfId="18771" xr:uid="{00000000-0005-0000-0000-0000D9470000}"/>
    <cellStyle name="Normal 12 6 8 3 4 6" xfId="18772" xr:uid="{00000000-0005-0000-0000-0000DA470000}"/>
    <cellStyle name="Normal 12 6 8 3 4 7" xfId="18773" xr:uid="{00000000-0005-0000-0000-0000DB470000}"/>
    <cellStyle name="Normal 12 6 8 3 4 8" xfId="18774" xr:uid="{00000000-0005-0000-0000-0000DC470000}"/>
    <cellStyle name="Normal 12 6 8 3 5" xfId="18775" xr:uid="{00000000-0005-0000-0000-0000DD470000}"/>
    <cellStyle name="Normal 12 6 8 3 5 2" xfId="18776" xr:uid="{00000000-0005-0000-0000-0000DE470000}"/>
    <cellStyle name="Normal 12 6 8 3 5 3" xfId="18777" xr:uid="{00000000-0005-0000-0000-0000DF470000}"/>
    <cellStyle name="Normal 12 6 8 3 5 4" xfId="18778" xr:uid="{00000000-0005-0000-0000-0000E0470000}"/>
    <cellStyle name="Normal 12 6 8 3 5 5" xfId="18779" xr:uid="{00000000-0005-0000-0000-0000E1470000}"/>
    <cellStyle name="Normal 12 6 8 3 6" xfId="18780" xr:uid="{00000000-0005-0000-0000-0000E2470000}"/>
    <cellStyle name="Normal 12 6 8 3 7" xfId="18781" xr:uid="{00000000-0005-0000-0000-0000E3470000}"/>
    <cellStyle name="Normal 12 6 8 3 8" xfId="18782" xr:uid="{00000000-0005-0000-0000-0000E4470000}"/>
    <cellStyle name="Normal 12 6 8 3 9" xfId="18783" xr:uid="{00000000-0005-0000-0000-0000E5470000}"/>
    <cellStyle name="Normal 12 6 8 4" xfId="18784" xr:uid="{00000000-0005-0000-0000-0000E6470000}"/>
    <cellStyle name="Normal 12 6 8 4 10" xfId="18785" xr:uid="{00000000-0005-0000-0000-0000E7470000}"/>
    <cellStyle name="Normal 12 6 8 4 2" xfId="18786" xr:uid="{00000000-0005-0000-0000-0000E8470000}"/>
    <cellStyle name="Normal 12 6 8 4 2 2" xfId="18787" xr:uid="{00000000-0005-0000-0000-0000E9470000}"/>
    <cellStyle name="Normal 12 6 8 4 2 2 2" xfId="18788" xr:uid="{00000000-0005-0000-0000-0000EA470000}"/>
    <cellStyle name="Normal 12 6 8 4 2 2 3" xfId="18789" xr:uid="{00000000-0005-0000-0000-0000EB470000}"/>
    <cellStyle name="Normal 12 6 8 4 2 2 4" xfId="18790" xr:uid="{00000000-0005-0000-0000-0000EC470000}"/>
    <cellStyle name="Normal 12 6 8 4 2 2 5" xfId="18791" xr:uid="{00000000-0005-0000-0000-0000ED470000}"/>
    <cellStyle name="Normal 12 6 8 4 2 3" xfId="18792" xr:uid="{00000000-0005-0000-0000-0000EE470000}"/>
    <cellStyle name="Normal 12 6 8 4 2 4" xfId="18793" xr:uid="{00000000-0005-0000-0000-0000EF470000}"/>
    <cellStyle name="Normal 12 6 8 4 2 5" xfId="18794" xr:uid="{00000000-0005-0000-0000-0000F0470000}"/>
    <cellStyle name="Normal 12 6 8 4 2 6" xfId="18795" xr:uid="{00000000-0005-0000-0000-0000F1470000}"/>
    <cellStyle name="Normal 12 6 8 4 2 7" xfId="18796" xr:uid="{00000000-0005-0000-0000-0000F2470000}"/>
    <cellStyle name="Normal 12 6 8 4 2 8" xfId="18797" xr:uid="{00000000-0005-0000-0000-0000F3470000}"/>
    <cellStyle name="Normal 12 6 8 4 3" xfId="18798" xr:uid="{00000000-0005-0000-0000-0000F4470000}"/>
    <cellStyle name="Normal 12 6 8 4 3 2" xfId="18799" xr:uid="{00000000-0005-0000-0000-0000F5470000}"/>
    <cellStyle name="Normal 12 6 8 4 3 2 2" xfId="18800" xr:uid="{00000000-0005-0000-0000-0000F6470000}"/>
    <cellStyle name="Normal 12 6 8 4 3 2 3" xfId="18801" xr:uid="{00000000-0005-0000-0000-0000F7470000}"/>
    <cellStyle name="Normal 12 6 8 4 3 2 4" xfId="18802" xr:uid="{00000000-0005-0000-0000-0000F8470000}"/>
    <cellStyle name="Normal 12 6 8 4 3 2 5" xfId="18803" xr:uid="{00000000-0005-0000-0000-0000F9470000}"/>
    <cellStyle name="Normal 12 6 8 4 3 3" xfId="18804" xr:uid="{00000000-0005-0000-0000-0000FA470000}"/>
    <cellStyle name="Normal 12 6 8 4 3 4" xfId="18805" xr:uid="{00000000-0005-0000-0000-0000FB470000}"/>
    <cellStyle name="Normal 12 6 8 4 3 5" xfId="18806" xr:uid="{00000000-0005-0000-0000-0000FC470000}"/>
    <cellStyle name="Normal 12 6 8 4 3 6" xfId="18807" xr:uid="{00000000-0005-0000-0000-0000FD470000}"/>
    <cellStyle name="Normal 12 6 8 4 3 7" xfId="18808" xr:uid="{00000000-0005-0000-0000-0000FE470000}"/>
    <cellStyle name="Normal 12 6 8 4 3 8" xfId="18809" xr:uid="{00000000-0005-0000-0000-0000FF470000}"/>
    <cellStyle name="Normal 12 6 8 4 4" xfId="18810" xr:uid="{00000000-0005-0000-0000-000000480000}"/>
    <cellStyle name="Normal 12 6 8 4 4 2" xfId="18811" xr:uid="{00000000-0005-0000-0000-000001480000}"/>
    <cellStyle name="Normal 12 6 8 4 4 3" xfId="18812" xr:uid="{00000000-0005-0000-0000-000002480000}"/>
    <cellStyle name="Normal 12 6 8 4 4 4" xfId="18813" xr:uid="{00000000-0005-0000-0000-000003480000}"/>
    <cellStyle name="Normal 12 6 8 4 4 5" xfId="18814" xr:uid="{00000000-0005-0000-0000-000004480000}"/>
    <cellStyle name="Normal 12 6 8 4 5" xfId="18815" xr:uid="{00000000-0005-0000-0000-000005480000}"/>
    <cellStyle name="Normal 12 6 8 4 6" xfId="18816" xr:uid="{00000000-0005-0000-0000-000006480000}"/>
    <cellStyle name="Normal 12 6 8 4 7" xfId="18817" xr:uid="{00000000-0005-0000-0000-000007480000}"/>
    <cellStyle name="Normal 12 6 8 4 8" xfId="18818" xr:uid="{00000000-0005-0000-0000-000008480000}"/>
    <cellStyle name="Normal 12 6 8 4 9" xfId="18819" xr:uid="{00000000-0005-0000-0000-000009480000}"/>
    <cellStyle name="Normal 12 6 8 5" xfId="18820" xr:uid="{00000000-0005-0000-0000-00000A480000}"/>
    <cellStyle name="Normal 12 6 8 5 2" xfId="18821" xr:uid="{00000000-0005-0000-0000-00000B480000}"/>
    <cellStyle name="Normal 12 6 8 5 2 2" xfId="18822" xr:uid="{00000000-0005-0000-0000-00000C480000}"/>
    <cellStyle name="Normal 12 6 8 5 2 3" xfId="18823" xr:uid="{00000000-0005-0000-0000-00000D480000}"/>
    <cellStyle name="Normal 12 6 8 5 2 4" xfId="18824" xr:uid="{00000000-0005-0000-0000-00000E480000}"/>
    <cellStyle name="Normal 12 6 8 5 2 5" xfId="18825" xr:uid="{00000000-0005-0000-0000-00000F480000}"/>
    <cellStyle name="Normal 12 6 8 5 3" xfId="18826" xr:uid="{00000000-0005-0000-0000-000010480000}"/>
    <cellStyle name="Normal 12 6 8 5 4" xfId="18827" xr:uid="{00000000-0005-0000-0000-000011480000}"/>
    <cellStyle name="Normal 12 6 8 5 5" xfId="18828" xr:uid="{00000000-0005-0000-0000-000012480000}"/>
    <cellStyle name="Normal 12 6 8 5 6" xfId="18829" xr:uid="{00000000-0005-0000-0000-000013480000}"/>
    <cellStyle name="Normal 12 6 8 5 7" xfId="18830" xr:uid="{00000000-0005-0000-0000-000014480000}"/>
    <cellStyle name="Normal 12 6 8 5 8" xfId="18831" xr:uid="{00000000-0005-0000-0000-000015480000}"/>
    <cellStyle name="Normal 12 6 8 6" xfId="18832" xr:uid="{00000000-0005-0000-0000-000016480000}"/>
    <cellStyle name="Normal 12 6 8 6 2" xfId="18833" xr:uid="{00000000-0005-0000-0000-000017480000}"/>
    <cellStyle name="Normal 12 6 8 6 2 2" xfId="18834" xr:uid="{00000000-0005-0000-0000-000018480000}"/>
    <cellStyle name="Normal 12 6 8 6 2 3" xfId="18835" xr:uid="{00000000-0005-0000-0000-000019480000}"/>
    <cellStyle name="Normal 12 6 8 6 2 4" xfId="18836" xr:uid="{00000000-0005-0000-0000-00001A480000}"/>
    <cellStyle name="Normal 12 6 8 6 2 5" xfId="18837" xr:uid="{00000000-0005-0000-0000-00001B480000}"/>
    <cellStyle name="Normal 12 6 8 6 3" xfId="18838" xr:uid="{00000000-0005-0000-0000-00001C480000}"/>
    <cellStyle name="Normal 12 6 8 6 4" xfId="18839" xr:uid="{00000000-0005-0000-0000-00001D480000}"/>
    <cellStyle name="Normal 12 6 8 6 5" xfId="18840" xr:uid="{00000000-0005-0000-0000-00001E480000}"/>
    <cellStyle name="Normal 12 6 8 6 6" xfId="18841" xr:uid="{00000000-0005-0000-0000-00001F480000}"/>
    <cellStyle name="Normal 12 6 8 6 7" xfId="18842" xr:uid="{00000000-0005-0000-0000-000020480000}"/>
    <cellStyle name="Normal 12 6 8 6 8" xfId="18843" xr:uid="{00000000-0005-0000-0000-000021480000}"/>
    <cellStyle name="Normal 12 6 8 7" xfId="18844" xr:uid="{00000000-0005-0000-0000-000022480000}"/>
    <cellStyle name="Normal 12 6 8 7 2" xfId="18845" xr:uid="{00000000-0005-0000-0000-000023480000}"/>
    <cellStyle name="Normal 12 6 8 7 3" xfId="18846" xr:uid="{00000000-0005-0000-0000-000024480000}"/>
    <cellStyle name="Normal 12 6 8 7 4" xfId="18847" xr:uid="{00000000-0005-0000-0000-000025480000}"/>
    <cellStyle name="Normal 12 6 8 7 5" xfId="18848" xr:uid="{00000000-0005-0000-0000-000026480000}"/>
    <cellStyle name="Normal 12 6 8 8" xfId="18849" xr:uid="{00000000-0005-0000-0000-000027480000}"/>
    <cellStyle name="Normal 12 6 8 9" xfId="18850" xr:uid="{00000000-0005-0000-0000-000028480000}"/>
    <cellStyle name="Normal 12 6 9" xfId="18851" xr:uid="{00000000-0005-0000-0000-000029480000}"/>
    <cellStyle name="Normal 12 6 9 10" xfId="18852" xr:uid="{00000000-0005-0000-0000-00002A480000}"/>
    <cellStyle name="Normal 12 6 9 11" xfId="18853" xr:uid="{00000000-0005-0000-0000-00002B480000}"/>
    <cellStyle name="Normal 12 6 9 2" xfId="18854" xr:uid="{00000000-0005-0000-0000-00002C480000}"/>
    <cellStyle name="Normal 12 6 9 2 10" xfId="18855" xr:uid="{00000000-0005-0000-0000-00002D480000}"/>
    <cellStyle name="Normal 12 6 9 2 2" xfId="18856" xr:uid="{00000000-0005-0000-0000-00002E480000}"/>
    <cellStyle name="Normal 12 6 9 2 2 2" xfId="18857" xr:uid="{00000000-0005-0000-0000-00002F480000}"/>
    <cellStyle name="Normal 12 6 9 2 2 2 2" xfId="18858" xr:uid="{00000000-0005-0000-0000-000030480000}"/>
    <cellStyle name="Normal 12 6 9 2 2 2 3" xfId="18859" xr:uid="{00000000-0005-0000-0000-000031480000}"/>
    <cellStyle name="Normal 12 6 9 2 2 2 4" xfId="18860" xr:uid="{00000000-0005-0000-0000-000032480000}"/>
    <cellStyle name="Normal 12 6 9 2 2 2 5" xfId="18861" xr:uid="{00000000-0005-0000-0000-000033480000}"/>
    <cellStyle name="Normal 12 6 9 2 2 3" xfId="18862" xr:uid="{00000000-0005-0000-0000-000034480000}"/>
    <cellStyle name="Normal 12 6 9 2 2 4" xfId="18863" xr:uid="{00000000-0005-0000-0000-000035480000}"/>
    <cellStyle name="Normal 12 6 9 2 2 5" xfId="18864" xr:uid="{00000000-0005-0000-0000-000036480000}"/>
    <cellStyle name="Normal 12 6 9 2 2 6" xfId="18865" xr:uid="{00000000-0005-0000-0000-000037480000}"/>
    <cellStyle name="Normal 12 6 9 2 2 7" xfId="18866" xr:uid="{00000000-0005-0000-0000-000038480000}"/>
    <cellStyle name="Normal 12 6 9 2 2 8" xfId="18867" xr:uid="{00000000-0005-0000-0000-000039480000}"/>
    <cellStyle name="Normal 12 6 9 2 3" xfId="18868" xr:uid="{00000000-0005-0000-0000-00003A480000}"/>
    <cellStyle name="Normal 12 6 9 2 3 2" xfId="18869" xr:uid="{00000000-0005-0000-0000-00003B480000}"/>
    <cellStyle name="Normal 12 6 9 2 3 2 2" xfId="18870" xr:uid="{00000000-0005-0000-0000-00003C480000}"/>
    <cellStyle name="Normal 12 6 9 2 3 2 3" xfId="18871" xr:uid="{00000000-0005-0000-0000-00003D480000}"/>
    <cellStyle name="Normal 12 6 9 2 3 2 4" xfId="18872" xr:uid="{00000000-0005-0000-0000-00003E480000}"/>
    <cellStyle name="Normal 12 6 9 2 3 2 5" xfId="18873" xr:uid="{00000000-0005-0000-0000-00003F480000}"/>
    <cellStyle name="Normal 12 6 9 2 3 3" xfId="18874" xr:uid="{00000000-0005-0000-0000-000040480000}"/>
    <cellStyle name="Normal 12 6 9 2 3 4" xfId="18875" xr:uid="{00000000-0005-0000-0000-000041480000}"/>
    <cellStyle name="Normal 12 6 9 2 3 5" xfId="18876" xr:uid="{00000000-0005-0000-0000-000042480000}"/>
    <cellStyle name="Normal 12 6 9 2 3 6" xfId="18877" xr:uid="{00000000-0005-0000-0000-000043480000}"/>
    <cellStyle name="Normal 12 6 9 2 3 7" xfId="18878" xr:uid="{00000000-0005-0000-0000-000044480000}"/>
    <cellStyle name="Normal 12 6 9 2 3 8" xfId="18879" xr:uid="{00000000-0005-0000-0000-000045480000}"/>
    <cellStyle name="Normal 12 6 9 2 4" xfId="18880" xr:uid="{00000000-0005-0000-0000-000046480000}"/>
    <cellStyle name="Normal 12 6 9 2 4 2" xfId="18881" xr:uid="{00000000-0005-0000-0000-000047480000}"/>
    <cellStyle name="Normal 12 6 9 2 4 3" xfId="18882" xr:uid="{00000000-0005-0000-0000-000048480000}"/>
    <cellStyle name="Normal 12 6 9 2 4 4" xfId="18883" xr:uid="{00000000-0005-0000-0000-000049480000}"/>
    <cellStyle name="Normal 12 6 9 2 4 5" xfId="18884" xr:uid="{00000000-0005-0000-0000-00004A480000}"/>
    <cellStyle name="Normal 12 6 9 2 5" xfId="18885" xr:uid="{00000000-0005-0000-0000-00004B480000}"/>
    <cellStyle name="Normal 12 6 9 2 6" xfId="18886" xr:uid="{00000000-0005-0000-0000-00004C480000}"/>
    <cellStyle name="Normal 12 6 9 2 7" xfId="18887" xr:uid="{00000000-0005-0000-0000-00004D480000}"/>
    <cellStyle name="Normal 12 6 9 2 8" xfId="18888" xr:uid="{00000000-0005-0000-0000-00004E480000}"/>
    <cellStyle name="Normal 12 6 9 2 9" xfId="18889" xr:uid="{00000000-0005-0000-0000-00004F480000}"/>
    <cellStyle name="Normal 12 6 9 3" xfId="18890" xr:uid="{00000000-0005-0000-0000-000050480000}"/>
    <cellStyle name="Normal 12 6 9 3 2" xfId="18891" xr:uid="{00000000-0005-0000-0000-000051480000}"/>
    <cellStyle name="Normal 12 6 9 3 2 2" xfId="18892" xr:uid="{00000000-0005-0000-0000-000052480000}"/>
    <cellStyle name="Normal 12 6 9 3 2 3" xfId="18893" xr:uid="{00000000-0005-0000-0000-000053480000}"/>
    <cellStyle name="Normal 12 6 9 3 2 4" xfId="18894" xr:uid="{00000000-0005-0000-0000-000054480000}"/>
    <cellStyle name="Normal 12 6 9 3 2 5" xfId="18895" xr:uid="{00000000-0005-0000-0000-000055480000}"/>
    <cellStyle name="Normal 12 6 9 3 3" xfId="18896" xr:uid="{00000000-0005-0000-0000-000056480000}"/>
    <cellStyle name="Normal 12 6 9 3 4" xfId="18897" xr:uid="{00000000-0005-0000-0000-000057480000}"/>
    <cellStyle name="Normal 12 6 9 3 5" xfId="18898" xr:uid="{00000000-0005-0000-0000-000058480000}"/>
    <cellStyle name="Normal 12 6 9 3 6" xfId="18899" xr:uid="{00000000-0005-0000-0000-000059480000}"/>
    <cellStyle name="Normal 12 6 9 3 7" xfId="18900" xr:uid="{00000000-0005-0000-0000-00005A480000}"/>
    <cellStyle name="Normal 12 6 9 3 8" xfId="18901" xr:uid="{00000000-0005-0000-0000-00005B480000}"/>
    <cellStyle name="Normal 12 6 9 4" xfId="18902" xr:uid="{00000000-0005-0000-0000-00005C480000}"/>
    <cellStyle name="Normal 12 6 9 4 2" xfId="18903" xr:uid="{00000000-0005-0000-0000-00005D480000}"/>
    <cellStyle name="Normal 12 6 9 4 2 2" xfId="18904" xr:uid="{00000000-0005-0000-0000-00005E480000}"/>
    <cellStyle name="Normal 12 6 9 4 2 3" xfId="18905" xr:uid="{00000000-0005-0000-0000-00005F480000}"/>
    <cellStyle name="Normal 12 6 9 4 2 4" xfId="18906" xr:uid="{00000000-0005-0000-0000-000060480000}"/>
    <cellStyle name="Normal 12 6 9 4 2 5" xfId="18907" xr:uid="{00000000-0005-0000-0000-000061480000}"/>
    <cellStyle name="Normal 12 6 9 4 3" xfId="18908" xr:uid="{00000000-0005-0000-0000-000062480000}"/>
    <cellStyle name="Normal 12 6 9 4 4" xfId="18909" xr:uid="{00000000-0005-0000-0000-000063480000}"/>
    <cellStyle name="Normal 12 6 9 4 5" xfId="18910" xr:uid="{00000000-0005-0000-0000-000064480000}"/>
    <cellStyle name="Normal 12 6 9 4 6" xfId="18911" xr:uid="{00000000-0005-0000-0000-000065480000}"/>
    <cellStyle name="Normal 12 6 9 4 7" xfId="18912" xr:uid="{00000000-0005-0000-0000-000066480000}"/>
    <cellStyle name="Normal 12 6 9 4 8" xfId="18913" xr:uid="{00000000-0005-0000-0000-000067480000}"/>
    <cellStyle name="Normal 12 6 9 5" xfId="18914" xr:uid="{00000000-0005-0000-0000-000068480000}"/>
    <cellStyle name="Normal 12 6 9 5 2" xfId="18915" xr:uid="{00000000-0005-0000-0000-000069480000}"/>
    <cellStyle name="Normal 12 6 9 5 3" xfId="18916" xr:uid="{00000000-0005-0000-0000-00006A480000}"/>
    <cellStyle name="Normal 12 6 9 5 4" xfId="18917" xr:uid="{00000000-0005-0000-0000-00006B480000}"/>
    <cellStyle name="Normal 12 6 9 5 5" xfId="18918" xr:uid="{00000000-0005-0000-0000-00006C480000}"/>
    <cellStyle name="Normal 12 6 9 6" xfId="18919" xr:uid="{00000000-0005-0000-0000-00006D480000}"/>
    <cellStyle name="Normal 12 6 9 7" xfId="18920" xr:uid="{00000000-0005-0000-0000-00006E480000}"/>
    <cellStyle name="Normal 12 6 9 8" xfId="18921" xr:uid="{00000000-0005-0000-0000-00006F480000}"/>
    <cellStyle name="Normal 12 6 9 9" xfId="18922" xr:uid="{00000000-0005-0000-0000-000070480000}"/>
    <cellStyle name="Normal 12 7" xfId="18923" xr:uid="{00000000-0005-0000-0000-000071480000}"/>
    <cellStyle name="Normal 12 7 10" xfId="18924" xr:uid="{00000000-0005-0000-0000-000072480000}"/>
    <cellStyle name="Normal 12 7 10 10" xfId="18925" xr:uid="{00000000-0005-0000-0000-000073480000}"/>
    <cellStyle name="Normal 12 7 10 11" xfId="18926" xr:uid="{00000000-0005-0000-0000-000074480000}"/>
    <cellStyle name="Normal 12 7 10 2" xfId="18927" xr:uid="{00000000-0005-0000-0000-000075480000}"/>
    <cellStyle name="Normal 12 7 10 2 10" xfId="18928" xr:uid="{00000000-0005-0000-0000-000076480000}"/>
    <cellStyle name="Normal 12 7 10 2 2" xfId="18929" xr:uid="{00000000-0005-0000-0000-000077480000}"/>
    <cellStyle name="Normal 12 7 10 2 2 2" xfId="18930" xr:uid="{00000000-0005-0000-0000-000078480000}"/>
    <cellStyle name="Normal 12 7 10 2 2 2 2" xfId="18931" xr:uid="{00000000-0005-0000-0000-000079480000}"/>
    <cellStyle name="Normal 12 7 10 2 2 2 3" xfId="18932" xr:uid="{00000000-0005-0000-0000-00007A480000}"/>
    <cellStyle name="Normal 12 7 10 2 2 2 4" xfId="18933" xr:uid="{00000000-0005-0000-0000-00007B480000}"/>
    <cellStyle name="Normal 12 7 10 2 2 2 5" xfId="18934" xr:uid="{00000000-0005-0000-0000-00007C480000}"/>
    <cellStyle name="Normal 12 7 10 2 2 3" xfId="18935" xr:uid="{00000000-0005-0000-0000-00007D480000}"/>
    <cellStyle name="Normal 12 7 10 2 2 4" xfId="18936" xr:uid="{00000000-0005-0000-0000-00007E480000}"/>
    <cellStyle name="Normal 12 7 10 2 2 5" xfId="18937" xr:uid="{00000000-0005-0000-0000-00007F480000}"/>
    <cellStyle name="Normal 12 7 10 2 2 6" xfId="18938" xr:uid="{00000000-0005-0000-0000-000080480000}"/>
    <cellStyle name="Normal 12 7 10 2 2 7" xfId="18939" xr:uid="{00000000-0005-0000-0000-000081480000}"/>
    <cellStyle name="Normal 12 7 10 2 2 8" xfId="18940" xr:uid="{00000000-0005-0000-0000-000082480000}"/>
    <cellStyle name="Normal 12 7 10 2 3" xfId="18941" xr:uid="{00000000-0005-0000-0000-000083480000}"/>
    <cellStyle name="Normal 12 7 10 2 3 2" xfId="18942" xr:uid="{00000000-0005-0000-0000-000084480000}"/>
    <cellStyle name="Normal 12 7 10 2 3 2 2" xfId="18943" xr:uid="{00000000-0005-0000-0000-000085480000}"/>
    <cellStyle name="Normal 12 7 10 2 3 2 3" xfId="18944" xr:uid="{00000000-0005-0000-0000-000086480000}"/>
    <cellStyle name="Normal 12 7 10 2 3 2 4" xfId="18945" xr:uid="{00000000-0005-0000-0000-000087480000}"/>
    <cellStyle name="Normal 12 7 10 2 3 2 5" xfId="18946" xr:uid="{00000000-0005-0000-0000-000088480000}"/>
    <cellStyle name="Normal 12 7 10 2 3 3" xfId="18947" xr:uid="{00000000-0005-0000-0000-000089480000}"/>
    <cellStyle name="Normal 12 7 10 2 3 4" xfId="18948" xr:uid="{00000000-0005-0000-0000-00008A480000}"/>
    <cellStyle name="Normal 12 7 10 2 3 5" xfId="18949" xr:uid="{00000000-0005-0000-0000-00008B480000}"/>
    <cellStyle name="Normal 12 7 10 2 3 6" xfId="18950" xr:uid="{00000000-0005-0000-0000-00008C480000}"/>
    <cellStyle name="Normal 12 7 10 2 3 7" xfId="18951" xr:uid="{00000000-0005-0000-0000-00008D480000}"/>
    <cellStyle name="Normal 12 7 10 2 3 8" xfId="18952" xr:uid="{00000000-0005-0000-0000-00008E480000}"/>
    <cellStyle name="Normal 12 7 10 2 4" xfId="18953" xr:uid="{00000000-0005-0000-0000-00008F480000}"/>
    <cellStyle name="Normal 12 7 10 2 4 2" xfId="18954" xr:uid="{00000000-0005-0000-0000-000090480000}"/>
    <cellStyle name="Normal 12 7 10 2 4 3" xfId="18955" xr:uid="{00000000-0005-0000-0000-000091480000}"/>
    <cellStyle name="Normal 12 7 10 2 4 4" xfId="18956" xr:uid="{00000000-0005-0000-0000-000092480000}"/>
    <cellStyle name="Normal 12 7 10 2 4 5" xfId="18957" xr:uid="{00000000-0005-0000-0000-000093480000}"/>
    <cellStyle name="Normal 12 7 10 2 5" xfId="18958" xr:uid="{00000000-0005-0000-0000-000094480000}"/>
    <cellStyle name="Normal 12 7 10 2 6" xfId="18959" xr:uid="{00000000-0005-0000-0000-000095480000}"/>
    <cellStyle name="Normal 12 7 10 2 7" xfId="18960" xr:uid="{00000000-0005-0000-0000-000096480000}"/>
    <cellStyle name="Normal 12 7 10 2 8" xfId="18961" xr:uid="{00000000-0005-0000-0000-000097480000}"/>
    <cellStyle name="Normal 12 7 10 2 9" xfId="18962" xr:uid="{00000000-0005-0000-0000-000098480000}"/>
    <cellStyle name="Normal 12 7 10 3" xfId="18963" xr:uid="{00000000-0005-0000-0000-000099480000}"/>
    <cellStyle name="Normal 12 7 10 3 2" xfId="18964" xr:uid="{00000000-0005-0000-0000-00009A480000}"/>
    <cellStyle name="Normal 12 7 10 3 2 2" xfId="18965" xr:uid="{00000000-0005-0000-0000-00009B480000}"/>
    <cellStyle name="Normal 12 7 10 3 2 3" xfId="18966" xr:uid="{00000000-0005-0000-0000-00009C480000}"/>
    <cellStyle name="Normal 12 7 10 3 2 4" xfId="18967" xr:uid="{00000000-0005-0000-0000-00009D480000}"/>
    <cellStyle name="Normal 12 7 10 3 2 5" xfId="18968" xr:uid="{00000000-0005-0000-0000-00009E480000}"/>
    <cellStyle name="Normal 12 7 10 3 3" xfId="18969" xr:uid="{00000000-0005-0000-0000-00009F480000}"/>
    <cellStyle name="Normal 12 7 10 3 4" xfId="18970" xr:uid="{00000000-0005-0000-0000-0000A0480000}"/>
    <cellStyle name="Normal 12 7 10 3 5" xfId="18971" xr:uid="{00000000-0005-0000-0000-0000A1480000}"/>
    <cellStyle name="Normal 12 7 10 3 6" xfId="18972" xr:uid="{00000000-0005-0000-0000-0000A2480000}"/>
    <cellStyle name="Normal 12 7 10 3 7" xfId="18973" xr:uid="{00000000-0005-0000-0000-0000A3480000}"/>
    <cellStyle name="Normal 12 7 10 3 8" xfId="18974" xr:uid="{00000000-0005-0000-0000-0000A4480000}"/>
    <cellStyle name="Normal 12 7 10 4" xfId="18975" xr:uid="{00000000-0005-0000-0000-0000A5480000}"/>
    <cellStyle name="Normal 12 7 10 4 2" xfId="18976" xr:uid="{00000000-0005-0000-0000-0000A6480000}"/>
    <cellStyle name="Normal 12 7 10 4 2 2" xfId="18977" xr:uid="{00000000-0005-0000-0000-0000A7480000}"/>
    <cellStyle name="Normal 12 7 10 4 2 3" xfId="18978" xr:uid="{00000000-0005-0000-0000-0000A8480000}"/>
    <cellStyle name="Normal 12 7 10 4 2 4" xfId="18979" xr:uid="{00000000-0005-0000-0000-0000A9480000}"/>
    <cellStyle name="Normal 12 7 10 4 2 5" xfId="18980" xr:uid="{00000000-0005-0000-0000-0000AA480000}"/>
    <cellStyle name="Normal 12 7 10 4 3" xfId="18981" xr:uid="{00000000-0005-0000-0000-0000AB480000}"/>
    <cellStyle name="Normal 12 7 10 4 4" xfId="18982" xr:uid="{00000000-0005-0000-0000-0000AC480000}"/>
    <cellStyle name="Normal 12 7 10 4 5" xfId="18983" xr:uid="{00000000-0005-0000-0000-0000AD480000}"/>
    <cellStyle name="Normal 12 7 10 4 6" xfId="18984" xr:uid="{00000000-0005-0000-0000-0000AE480000}"/>
    <cellStyle name="Normal 12 7 10 4 7" xfId="18985" xr:uid="{00000000-0005-0000-0000-0000AF480000}"/>
    <cellStyle name="Normal 12 7 10 4 8" xfId="18986" xr:uid="{00000000-0005-0000-0000-0000B0480000}"/>
    <cellStyle name="Normal 12 7 10 5" xfId="18987" xr:uid="{00000000-0005-0000-0000-0000B1480000}"/>
    <cellStyle name="Normal 12 7 10 5 2" xfId="18988" xr:uid="{00000000-0005-0000-0000-0000B2480000}"/>
    <cellStyle name="Normal 12 7 10 5 3" xfId="18989" xr:uid="{00000000-0005-0000-0000-0000B3480000}"/>
    <cellStyle name="Normal 12 7 10 5 4" xfId="18990" xr:uid="{00000000-0005-0000-0000-0000B4480000}"/>
    <cellStyle name="Normal 12 7 10 5 5" xfId="18991" xr:uid="{00000000-0005-0000-0000-0000B5480000}"/>
    <cellStyle name="Normal 12 7 10 6" xfId="18992" xr:uid="{00000000-0005-0000-0000-0000B6480000}"/>
    <cellStyle name="Normal 12 7 10 7" xfId="18993" xr:uid="{00000000-0005-0000-0000-0000B7480000}"/>
    <cellStyle name="Normal 12 7 10 8" xfId="18994" xr:uid="{00000000-0005-0000-0000-0000B8480000}"/>
    <cellStyle name="Normal 12 7 10 9" xfId="18995" xr:uid="{00000000-0005-0000-0000-0000B9480000}"/>
    <cellStyle name="Normal 12 7 11" xfId="18996" xr:uid="{00000000-0005-0000-0000-0000BA480000}"/>
    <cellStyle name="Normal 12 7 11 10" xfId="18997" xr:uid="{00000000-0005-0000-0000-0000BB480000}"/>
    <cellStyle name="Normal 12 7 11 2" xfId="18998" xr:uid="{00000000-0005-0000-0000-0000BC480000}"/>
    <cellStyle name="Normal 12 7 11 2 2" xfId="18999" xr:uid="{00000000-0005-0000-0000-0000BD480000}"/>
    <cellStyle name="Normal 12 7 11 2 2 2" xfId="19000" xr:uid="{00000000-0005-0000-0000-0000BE480000}"/>
    <cellStyle name="Normal 12 7 11 2 2 3" xfId="19001" xr:uid="{00000000-0005-0000-0000-0000BF480000}"/>
    <cellStyle name="Normal 12 7 11 2 2 4" xfId="19002" xr:uid="{00000000-0005-0000-0000-0000C0480000}"/>
    <cellStyle name="Normal 12 7 11 2 2 5" xfId="19003" xr:uid="{00000000-0005-0000-0000-0000C1480000}"/>
    <cellStyle name="Normal 12 7 11 2 3" xfId="19004" xr:uid="{00000000-0005-0000-0000-0000C2480000}"/>
    <cellStyle name="Normal 12 7 11 2 4" xfId="19005" xr:uid="{00000000-0005-0000-0000-0000C3480000}"/>
    <cellStyle name="Normal 12 7 11 2 5" xfId="19006" xr:uid="{00000000-0005-0000-0000-0000C4480000}"/>
    <cellStyle name="Normal 12 7 11 2 6" xfId="19007" xr:uid="{00000000-0005-0000-0000-0000C5480000}"/>
    <cellStyle name="Normal 12 7 11 2 7" xfId="19008" xr:uid="{00000000-0005-0000-0000-0000C6480000}"/>
    <cellStyle name="Normal 12 7 11 2 8" xfId="19009" xr:uid="{00000000-0005-0000-0000-0000C7480000}"/>
    <cellStyle name="Normal 12 7 11 3" xfId="19010" xr:uid="{00000000-0005-0000-0000-0000C8480000}"/>
    <cellStyle name="Normal 12 7 11 3 2" xfId="19011" xr:uid="{00000000-0005-0000-0000-0000C9480000}"/>
    <cellStyle name="Normal 12 7 11 3 2 2" xfId="19012" xr:uid="{00000000-0005-0000-0000-0000CA480000}"/>
    <cellStyle name="Normal 12 7 11 3 2 3" xfId="19013" xr:uid="{00000000-0005-0000-0000-0000CB480000}"/>
    <cellStyle name="Normal 12 7 11 3 2 4" xfId="19014" xr:uid="{00000000-0005-0000-0000-0000CC480000}"/>
    <cellStyle name="Normal 12 7 11 3 2 5" xfId="19015" xr:uid="{00000000-0005-0000-0000-0000CD480000}"/>
    <cellStyle name="Normal 12 7 11 3 3" xfId="19016" xr:uid="{00000000-0005-0000-0000-0000CE480000}"/>
    <cellStyle name="Normal 12 7 11 3 4" xfId="19017" xr:uid="{00000000-0005-0000-0000-0000CF480000}"/>
    <cellStyle name="Normal 12 7 11 3 5" xfId="19018" xr:uid="{00000000-0005-0000-0000-0000D0480000}"/>
    <cellStyle name="Normal 12 7 11 3 6" xfId="19019" xr:uid="{00000000-0005-0000-0000-0000D1480000}"/>
    <cellStyle name="Normal 12 7 11 3 7" xfId="19020" xr:uid="{00000000-0005-0000-0000-0000D2480000}"/>
    <cellStyle name="Normal 12 7 11 3 8" xfId="19021" xr:uid="{00000000-0005-0000-0000-0000D3480000}"/>
    <cellStyle name="Normal 12 7 11 4" xfId="19022" xr:uid="{00000000-0005-0000-0000-0000D4480000}"/>
    <cellStyle name="Normal 12 7 11 4 2" xfId="19023" xr:uid="{00000000-0005-0000-0000-0000D5480000}"/>
    <cellStyle name="Normal 12 7 11 4 3" xfId="19024" xr:uid="{00000000-0005-0000-0000-0000D6480000}"/>
    <cellStyle name="Normal 12 7 11 4 4" xfId="19025" xr:uid="{00000000-0005-0000-0000-0000D7480000}"/>
    <cellStyle name="Normal 12 7 11 4 5" xfId="19026" xr:uid="{00000000-0005-0000-0000-0000D8480000}"/>
    <cellStyle name="Normal 12 7 11 5" xfId="19027" xr:uid="{00000000-0005-0000-0000-0000D9480000}"/>
    <cellStyle name="Normal 12 7 11 6" xfId="19028" xr:uid="{00000000-0005-0000-0000-0000DA480000}"/>
    <cellStyle name="Normal 12 7 11 7" xfId="19029" xr:uid="{00000000-0005-0000-0000-0000DB480000}"/>
    <cellStyle name="Normal 12 7 11 8" xfId="19030" xr:uid="{00000000-0005-0000-0000-0000DC480000}"/>
    <cellStyle name="Normal 12 7 11 9" xfId="19031" xr:uid="{00000000-0005-0000-0000-0000DD480000}"/>
    <cellStyle name="Normal 12 7 12" xfId="19032" xr:uid="{00000000-0005-0000-0000-0000DE480000}"/>
    <cellStyle name="Normal 12 7 12 2" xfId="19033" xr:uid="{00000000-0005-0000-0000-0000DF480000}"/>
    <cellStyle name="Normal 12 7 12 2 2" xfId="19034" xr:uid="{00000000-0005-0000-0000-0000E0480000}"/>
    <cellStyle name="Normal 12 7 12 2 3" xfId="19035" xr:uid="{00000000-0005-0000-0000-0000E1480000}"/>
    <cellStyle name="Normal 12 7 12 2 4" xfId="19036" xr:uid="{00000000-0005-0000-0000-0000E2480000}"/>
    <cellStyle name="Normal 12 7 12 2 5" xfId="19037" xr:uid="{00000000-0005-0000-0000-0000E3480000}"/>
    <cellStyle name="Normal 12 7 12 3" xfId="19038" xr:uid="{00000000-0005-0000-0000-0000E4480000}"/>
    <cellStyle name="Normal 12 7 12 4" xfId="19039" xr:uid="{00000000-0005-0000-0000-0000E5480000}"/>
    <cellStyle name="Normal 12 7 12 5" xfId="19040" xr:uid="{00000000-0005-0000-0000-0000E6480000}"/>
    <cellStyle name="Normal 12 7 12 6" xfId="19041" xr:uid="{00000000-0005-0000-0000-0000E7480000}"/>
    <cellStyle name="Normal 12 7 12 7" xfId="19042" xr:uid="{00000000-0005-0000-0000-0000E8480000}"/>
    <cellStyle name="Normal 12 7 12 8" xfId="19043" xr:uid="{00000000-0005-0000-0000-0000E9480000}"/>
    <cellStyle name="Normal 12 7 13" xfId="19044" xr:uid="{00000000-0005-0000-0000-0000EA480000}"/>
    <cellStyle name="Normal 12 7 13 2" xfId="19045" xr:uid="{00000000-0005-0000-0000-0000EB480000}"/>
    <cellStyle name="Normal 12 7 13 2 2" xfId="19046" xr:uid="{00000000-0005-0000-0000-0000EC480000}"/>
    <cellStyle name="Normal 12 7 13 2 3" xfId="19047" xr:uid="{00000000-0005-0000-0000-0000ED480000}"/>
    <cellStyle name="Normal 12 7 13 2 4" xfId="19048" xr:uid="{00000000-0005-0000-0000-0000EE480000}"/>
    <cellStyle name="Normal 12 7 13 2 5" xfId="19049" xr:uid="{00000000-0005-0000-0000-0000EF480000}"/>
    <cellStyle name="Normal 12 7 13 3" xfId="19050" xr:uid="{00000000-0005-0000-0000-0000F0480000}"/>
    <cellStyle name="Normal 12 7 13 4" xfId="19051" xr:uid="{00000000-0005-0000-0000-0000F1480000}"/>
    <cellStyle name="Normal 12 7 13 5" xfId="19052" xr:uid="{00000000-0005-0000-0000-0000F2480000}"/>
    <cellStyle name="Normal 12 7 13 6" xfId="19053" xr:uid="{00000000-0005-0000-0000-0000F3480000}"/>
    <cellStyle name="Normal 12 7 13 7" xfId="19054" xr:uid="{00000000-0005-0000-0000-0000F4480000}"/>
    <cellStyle name="Normal 12 7 13 8" xfId="19055" xr:uid="{00000000-0005-0000-0000-0000F5480000}"/>
    <cellStyle name="Normal 12 7 14" xfId="19056" xr:uid="{00000000-0005-0000-0000-0000F6480000}"/>
    <cellStyle name="Normal 12 7 14 2" xfId="19057" xr:uid="{00000000-0005-0000-0000-0000F7480000}"/>
    <cellStyle name="Normal 12 7 14 3" xfId="19058" xr:uid="{00000000-0005-0000-0000-0000F8480000}"/>
    <cellStyle name="Normal 12 7 14 4" xfId="19059" xr:uid="{00000000-0005-0000-0000-0000F9480000}"/>
    <cellStyle name="Normal 12 7 14 5" xfId="19060" xr:uid="{00000000-0005-0000-0000-0000FA480000}"/>
    <cellStyle name="Normal 12 7 15" xfId="19061" xr:uid="{00000000-0005-0000-0000-0000FB480000}"/>
    <cellStyle name="Normal 12 7 16" xfId="19062" xr:uid="{00000000-0005-0000-0000-0000FC480000}"/>
    <cellStyle name="Normal 12 7 17" xfId="19063" xr:uid="{00000000-0005-0000-0000-0000FD480000}"/>
    <cellStyle name="Normal 12 7 18" xfId="19064" xr:uid="{00000000-0005-0000-0000-0000FE480000}"/>
    <cellStyle name="Normal 12 7 19" xfId="19065" xr:uid="{00000000-0005-0000-0000-0000FF480000}"/>
    <cellStyle name="Normal 12 7 2" xfId="19066" xr:uid="{00000000-0005-0000-0000-000000490000}"/>
    <cellStyle name="Normal 12 7 2 10" xfId="19067" xr:uid="{00000000-0005-0000-0000-000001490000}"/>
    <cellStyle name="Normal 12 7 2 11" xfId="19068" xr:uid="{00000000-0005-0000-0000-000002490000}"/>
    <cellStyle name="Normal 12 7 2 12" xfId="19069" xr:uid="{00000000-0005-0000-0000-000003490000}"/>
    <cellStyle name="Normal 12 7 2 13" xfId="19070" xr:uid="{00000000-0005-0000-0000-000004490000}"/>
    <cellStyle name="Normal 12 7 2 2" xfId="19071" xr:uid="{00000000-0005-0000-0000-000005490000}"/>
    <cellStyle name="Normal 12 7 2 2 10" xfId="19072" xr:uid="{00000000-0005-0000-0000-000006490000}"/>
    <cellStyle name="Normal 12 7 2 2 11" xfId="19073" xr:uid="{00000000-0005-0000-0000-000007490000}"/>
    <cellStyle name="Normal 12 7 2 2 2" xfId="19074" xr:uid="{00000000-0005-0000-0000-000008490000}"/>
    <cellStyle name="Normal 12 7 2 2 2 10" xfId="19075" xr:uid="{00000000-0005-0000-0000-000009490000}"/>
    <cellStyle name="Normal 12 7 2 2 2 2" xfId="19076" xr:uid="{00000000-0005-0000-0000-00000A490000}"/>
    <cellStyle name="Normal 12 7 2 2 2 2 2" xfId="19077" xr:uid="{00000000-0005-0000-0000-00000B490000}"/>
    <cellStyle name="Normal 12 7 2 2 2 2 2 2" xfId="19078" xr:uid="{00000000-0005-0000-0000-00000C490000}"/>
    <cellStyle name="Normal 12 7 2 2 2 2 2 3" xfId="19079" xr:uid="{00000000-0005-0000-0000-00000D490000}"/>
    <cellStyle name="Normal 12 7 2 2 2 2 2 4" xfId="19080" xr:uid="{00000000-0005-0000-0000-00000E490000}"/>
    <cellStyle name="Normal 12 7 2 2 2 2 2 5" xfId="19081" xr:uid="{00000000-0005-0000-0000-00000F490000}"/>
    <cellStyle name="Normal 12 7 2 2 2 2 3" xfId="19082" xr:uid="{00000000-0005-0000-0000-000010490000}"/>
    <cellStyle name="Normal 12 7 2 2 2 2 4" xfId="19083" xr:uid="{00000000-0005-0000-0000-000011490000}"/>
    <cellStyle name="Normal 12 7 2 2 2 2 5" xfId="19084" xr:uid="{00000000-0005-0000-0000-000012490000}"/>
    <cellStyle name="Normal 12 7 2 2 2 2 6" xfId="19085" xr:uid="{00000000-0005-0000-0000-000013490000}"/>
    <cellStyle name="Normal 12 7 2 2 2 2 7" xfId="19086" xr:uid="{00000000-0005-0000-0000-000014490000}"/>
    <cellStyle name="Normal 12 7 2 2 2 2 8" xfId="19087" xr:uid="{00000000-0005-0000-0000-000015490000}"/>
    <cellStyle name="Normal 12 7 2 2 2 3" xfId="19088" xr:uid="{00000000-0005-0000-0000-000016490000}"/>
    <cellStyle name="Normal 12 7 2 2 2 3 2" xfId="19089" xr:uid="{00000000-0005-0000-0000-000017490000}"/>
    <cellStyle name="Normal 12 7 2 2 2 3 2 2" xfId="19090" xr:uid="{00000000-0005-0000-0000-000018490000}"/>
    <cellStyle name="Normal 12 7 2 2 2 3 2 3" xfId="19091" xr:uid="{00000000-0005-0000-0000-000019490000}"/>
    <cellStyle name="Normal 12 7 2 2 2 3 2 4" xfId="19092" xr:uid="{00000000-0005-0000-0000-00001A490000}"/>
    <cellStyle name="Normal 12 7 2 2 2 3 2 5" xfId="19093" xr:uid="{00000000-0005-0000-0000-00001B490000}"/>
    <cellStyle name="Normal 12 7 2 2 2 3 3" xfId="19094" xr:uid="{00000000-0005-0000-0000-00001C490000}"/>
    <cellStyle name="Normal 12 7 2 2 2 3 4" xfId="19095" xr:uid="{00000000-0005-0000-0000-00001D490000}"/>
    <cellStyle name="Normal 12 7 2 2 2 3 5" xfId="19096" xr:uid="{00000000-0005-0000-0000-00001E490000}"/>
    <cellStyle name="Normal 12 7 2 2 2 3 6" xfId="19097" xr:uid="{00000000-0005-0000-0000-00001F490000}"/>
    <cellStyle name="Normal 12 7 2 2 2 3 7" xfId="19098" xr:uid="{00000000-0005-0000-0000-000020490000}"/>
    <cellStyle name="Normal 12 7 2 2 2 3 8" xfId="19099" xr:uid="{00000000-0005-0000-0000-000021490000}"/>
    <cellStyle name="Normal 12 7 2 2 2 4" xfId="19100" xr:uid="{00000000-0005-0000-0000-000022490000}"/>
    <cellStyle name="Normal 12 7 2 2 2 4 2" xfId="19101" xr:uid="{00000000-0005-0000-0000-000023490000}"/>
    <cellStyle name="Normal 12 7 2 2 2 4 3" xfId="19102" xr:uid="{00000000-0005-0000-0000-000024490000}"/>
    <cellStyle name="Normal 12 7 2 2 2 4 4" xfId="19103" xr:uid="{00000000-0005-0000-0000-000025490000}"/>
    <cellStyle name="Normal 12 7 2 2 2 4 5" xfId="19104" xr:uid="{00000000-0005-0000-0000-000026490000}"/>
    <cellStyle name="Normal 12 7 2 2 2 5" xfId="19105" xr:uid="{00000000-0005-0000-0000-000027490000}"/>
    <cellStyle name="Normal 12 7 2 2 2 6" xfId="19106" xr:uid="{00000000-0005-0000-0000-000028490000}"/>
    <cellStyle name="Normal 12 7 2 2 2 7" xfId="19107" xr:uid="{00000000-0005-0000-0000-000029490000}"/>
    <cellStyle name="Normal 12 7 2 2 2 8" xfId="19108" xr:uid="{00000000-0005-0000-0000-00002A490000}"/>
    <cellStyle name="Normal 12 7 2 2 2 9" xfId="19109" xr:uid="{00000000-0005-0000-0000-00002B490000}"/>
    <cellStyle name="Normal 12 7 2 2 3" xfId="19110" xr:uid="{00000000-0005-0000-0000-00002C490000}"/>
    <cellStyle name="Normal 12 7 2 2 3 2" xfId="19111" xr:uid="{00000000-0005-0000-0000-00002D490000}"/>
    <cellStyle name="Normal 12 7 2 2 3 2 2" xfId="19112" xr:uid="{00000000-0005-0000-0000-00002E490000}"/>
    <cellStyle name="Normal 12 7 2 2 3 2 3" xfId="19113" xr:uid="{00000000-0005-0000-0000-00002F490000}"/>
    <cellStyle name="Normal 12 7 2 2 3 2 4" xfId="19114" xr:uid="{00000000-0005-0000-0000-000030490000}"/>
    <cellStyle name="Normal 12 7 2 2 3 2 5" xfId="19115" xr:uid="{00000000-0005-0000-0000-000031490000}"/>
    <cellStyle name="Normal 12 7 2 2 3 3" xfId="19116" xr:uid="{00000000-0005-0000-0000-000032490000}"/>
    <cellStyle name="Normal 12 7 2 2 3 4" xfId="19117" xr:uid="{00000000-0005-0000-0000-000033490000}"/>
    <cellStyle name="Normal 12 7 2 2 3 5" xfId="19118" xr:uid="{00000000-0005-0000-0000-000034490000}"/>
    <cellStyle name="Normal 12 7 2 2 3 6" xfId="19119" xr:uid="{00000000-0005-0000-0000-000035490000}"/>
    <cellStyle name="Normal 12 7 2 2 3 7" xfId="19120" xr:uid="{00000000-0005-0000-0000-000036490000}"/>
    <cellStyle name="Normal 12 7 2 2 3 8" xfId="19121" xr:uid="{00000000-0005-0000-0000-000037490000}"/>
    <cellStyle name="Normal 12 7 2 2 4" xfId="19122" xr:uid="{00000000-0005-0000-0000-000038490000}"/>
    <cellStyle name="Normal 12 7 2 2 4 2" xfId="19123" xr:uid="{00000000-0005-0000-0000-000039490000}"/>
    <cellStyle name="Normal 12 7 2 2 4 2 2" xfId="19124" xr:uid="{00000000-0005-0000-0000-00003A490000}"/>
    <cellStyle name="Normal 12 7 2 2 4 2 3" xfId="19125" xr:uid="{00000000-0005-0000-0000-00003B490000}"/>
    <cellStyle name="Normal 12 7 2 2 4 2 4" xfId="19126" xr:uid="{00000000-0005-0000-0000-00003C490000}"/>
    <cellStyle name="Normal 12 7 2 2 4 2 5" xfId="19127" xr:uid="{00000000-0005-0000-0000-00003D490000}"/>
    <cellStyle name="Normal 12 7 2 2 4 3" xfId="19128" xr:uid="{00000000-0005-0000-0000-00003E490000}"/>
    <cellStyle name="Normal 12 7 2 2 4 4" xfId="19129" xr:uid="{00000000-0005-0000-0000-00003F490000}"/>
    <cellStyle name="Normal 12 7 2 2 4 5" xfId="19130" xr:uid="{00000000-0005-0000-0000-000040490000}"/>
    <cellStyle name="Normal 12 7 2 2 4 6" xfId="19131" xr:uid="{00000000-0005-0000-0000-000041490000}"/>
    <cellStyle name="Normal 12 7 2 2 4 7" xfId="19132" xr:uid="{00000000-0005-0000-0000-000042490000}"/>
    <cellStyle name="Normal 12 7 2 2 4 8" xfId="19133" xr:uid="{00000000-0005-0000-0000-000043490000}"/>
    <cellStyle name="Normal 12 7 2 2 5" xfId="19134" xr:uid="{00000000-0005-0000-0000-000044490000}"/>
    <cellStyle name="Normal 12 7 2 2 5 2" xfId="19135" xr:uid="{00000000-0005-0000-0000-000045490000}"/>
    <cellStyle name="Normal 12 7 2 2 5 3" xfId="19136" xr:uid="{00000000-0005-0000-0000-000046490000}"/>
    <cellStyle name="Normal 12 7 2 2 5 4" xfId="19137" xr:uid="{00000000-0005-0000-0000-000047490000}"/>
    <cellStyle name="Normal 12 7 2 2 5 5" xfId="19138" xr:uid="{00000000-0005-0000-0000-000048490000}"/>
    <cellStyle name="Normal 12 7 2 2 6" xfId="19139" xr:uid="{00000000-0005-0000-0000-000049490000}"/>
    <cellStyle name="Normal 12 7 2 2 7" xfId="19140" xr:uid="{00000000-0005-0000-0000-00004A490000}"/>
    <cellStyle name="Normal 12 7 2 2 8" xfId="19141" xr:uid="{00000000-0005-0000-0000-00004B490000}"/>
    <cellStyle name="Normal 12 7 2 2 9" xfId="19142" xr:uid="{00000000-0005-0000-0000-00004C490000}"/>
    <cellStyle name="Normal 12 7 2 3" xfId="19143" xr:uid="{00000000-0005-0000-0000-00004D490000}"/>
    <cellStyle name="Normal 12 7 2 3 10" xfId="19144" xr:uid="{00000000-0005-0000-0000-00004E490000}"/>
    <cellStyle name="Normal 12 7 2 3 11" xfId="19145" xr:uid="{00000000-0005-0000-0000-00004F490000}"/>
    <cellStyle name="Normal 12 7 2 3 2" xfId="19146" xr:uid="{00000000-0005-0000-0000-000050490000}"/>
    <cellStyle name="Normal 12 7 2 3 2 10" xfId="19147" xr:uid="{00000000-0005-0000-0000-000051490000}"/>
    <cellStyle name="Normal 12 7 2 3 2 2" xfId="19148" xr:uid="{00000000-0005-0000-0000-000052490000}"/>
    <cellStyle name="Normal 12 7 2 3 2 2 2" xfId="19149" xr:uid="{00000000-0005-0000-0000-000053490000}"/>
    <cellStyle name="Normal 12 7 2 3 2 2 2 2" xfId="19150" xr:uid="{00000000-0005-0000-0000-000054490000}"/>
    <cellStyle name="Normal 12 7 2 3 2 2 2 3" xfId="19151" xr:uid="{00000000-0005-0000-0000-000055490000}"/>
    <cellStyle name="Normal 12 7 2 3 2 2 2 4" xfId="19152" xr:uid="{00000000-0005-0000-0000-000056490000}"/>
    <cellStyle name="Normal 12 7 2 3 2 2 2 5" xfId="19153" xr:uid="{00000000-0005-0000-0000-000057490000}"/>
    <cellStyle name="Normal 12 7 2 3 2 2 3" xfId="19154" xr:uid="{00000000-0005-0000-0000-000058490000}"/>
    <cellStyle name="Normal 12 7 2 3 2 2 4" xfId="19155" xr:uid="{00000000-0005-0000-0000-000059490000}"/>
    <cellStyle name="Normal 12 7 2 3 2 2 5" xfId="19156" xr:uid="{00000000-0005-0000-0000-00005A490000}"/>
    <cellStyle name="Normal 12 7 2 3 2 2 6" xfId="19157" xr:uid="{00000000-0005-0000-0000-00005B490000}"/>
    <cellStyle name="Normal 12 7 2 3 2 2 7" xfId="19158" xr:uid="{00000000-0005-0000-0000-00005C490000}"/>
    <cellStyle name="Normal 12 7 2 3 2 2 8" xfId="19159" xr:uid="{00000000-0005-0000-0000-00005D490000}"/>
    <cellStyle name="Normal 12 7 2 3 2 3" xfId="19160" xr:uid="{00000000-0005-0000-0000-00005E490000}"/>
    <cellStyle name="Normal 12 7 2 3 2 3 2" xfId="19161" xr:uid="{00000000-0005-0000-0000-00005F490000}"/>
    <cellStyle name="Normal 12 7 2 3 2 3 2 2" xfId="19162" xr:uid="{00000000-0005-0000-0000-000060490000}"/>
    <cellStyle name="Normal 12 7 2 3 2 3 2 3" xfId="19163" xr:uid="{00000000-0005-0000-0000-000061490000}"/>
    <cellStyle name="Normal 12 7 2 3 2 3 2 4" xfId="19164" xr:uid="{00000000-0005-0000-0000-000062490000}"/>
    <cellStyle name="Normal 12 7 2 3 2 3 2 5" xfId="19165" xr:uid="{00000000-0005-0000-0000-000063490000}"/>
    <cellStyle name="Normal 12 7 2 3 2 3 3" xfId="19166" xr:uid="{00000000-0005-0000-0000-000064490000}"/>
    <cellStyle name="Normal 12 7 2 3 2 3 4" xfId="19167" xr:uid="{00000000-0005-0000-0000-000065490000}"/>
    <cellStyle name="Normal 12 7 2 3 2 3 5" xfId="19168" xr:uid="{00000000-0005-0000-0000-000066490000}"/>
    <cellStyle name="Normal 12 7 2 3 2 3 6" xfId="19169" xr:uid="{00000000-0005-0000-0000-000067490000}"/>
    <cellStyle name="Normal 12 7 2 3 2 3 7" xfId="19170" xr:uid="{00000000-0005-0000-0000-000068490000}"/>
    <cellStyle name="Normal 12 7 2 3 2 3 8" xfId="19171" xr:uid="{00000000-0005-0000-0000-000069490000}"/>
    <cellStyle name="Normal 12 7 2 3 2 4" xfId="19172" xr:uid="{00000000-0005-0000-0000-00006A490000}"/>
    <cellStyle name="Normal 12 7 2 3 2 4 2" xfId="19173" xr:uid="{00000000-0005-0000-0000-00006B490000}"/>
    <cellStyle name="Normal 12 7 2 3 2 4 3" xfId="19174" xr:uid="{00000000-0005-0000-0000-00006C490000}"/>
    <cellStyle name="Normal 12 7 2 3 2 4 4" xfId="19175" xr:uid="{00000000-0005-0000-0000-00006D490000}"/>
    <cellStyle name="Normal 12 7 2 3 2 4 5" xfId="19176" xr:uid="{00000000-0005-0000-0000-00006E490000}"/>
    <cellStyle name="Normal 12 7 2 3 2 5" xfId="19177" xr:uid="{00000000-0005-0000-0000-00006F490000}"/>
    <cellStyle name="Normal 12 7 2 3 2 6" xfId="19178" xr:uid="{00000000-0005-0000-0000-000070490000}"/>
    <cellStyle name="Normal 12 7 2 3 2 7" xfId="19179" xr:uid="{00000000-0005-0000-0000-000071490000}"/>
    <cellStyle name="Normal 12 7 2 3 2 8" xfId="19180" xr:uid="{00000000-0005-0000-0000-000072490000}"/>
    <cellStyle name="Normal 12 7 2 3 2 9" xfId="19181" xr:uid="{00000000-0005-0000-0000-000073490000}"/>
    <cellStyle name="Normal 12 7 2 3 3" xfId="19182" xr:uid="{00000000-0005-0000-0000-000074490000}"/>
    <cellStyle name="Normal 12 7 2 3 3 2" xfId="19183" xr:uid="{00000000-0005-0000-0000-000075490000}"/>
    <cellStyle name="Normal 12 7 2 3 3 2 2" xfId="19184" xr:uid="{00000000-0005-0000-0000-000076490000}"/>
    <cellStyle name="Normal 12 7 2 3 3 2 3" xfId="19185" xr:uid="{00000000-0005-0000-0000-000077490000}"/>
    <cellStyle name="Normal 12 7 2 3 3 2 4" xfId="19186" xr:uid="{00000000-0005-0000-0000-000078490000}"/>
    <cellStyle name="Normal 12 7 2 3 3 2 5" xfId="19187" xr:uid="{00000000-0005-0000-0000-000079490000}"/>
    <cellStyle name="Normal 12 7 2 3 3 3" xfId="19188" xr:uid="{00000000-0005-0000-0000-00007A490000}"/>
    <cellStyle name="Normal 12 7 2 3 3 4" xfId="19189" xr:uid="{00000000-0005-0000-0000-00007B490000}"/>
    <cellStyle name="Normal 12 7 2 3 3 5" xfId="19190" xr:uid="{00000000-0005-0000-0000-00007C490000}"/>
    <cellStyle name="Normal 12 7 2 3 3 6" xfId="19191" xr:uid="{00000000-0005-0000-0000-00007D490000}"/>
    <cellStyle name="Normal 12 7 2 3 3 7" xfId="19192" xr:uid="{00000000-0005-0000-0000-00007E490000}"/>
    <cellStyle name="Normal 12 7 2 3 3 8" xfId="19193" xr:uid="{00000000-0005-0000-0000-00007F490000}"/>
    <cellStyle name="Normal 12 7 2 3 4" xfId="19194" xr:uid="{00000000-0005-0000-0000-000080490000}"/>
    <cellStyle name="Normal 12 7 2 3 4 2" xfId="19195" xr:uid="{00000000-0005-0000-0000-000081490000}"/>
    <cellStyle name="Normal 12 7 2 3 4 2 2" xfId="19196" xr:uid="{00000000-0005-0000-0000-000082490000}"/>
    <cellStyle name="Normal 12 7 2 3 4 2 3" xfId="19197" xr:uid="{00000000-0005-0000-0000-000083490000}"/>
    <cellStyle name="Normal 12 7 2 3 4 2 4" xfId="19198" xr:uid="{00000000-0005-0000-0000-000084490000}"/>
    <cellStyle name="Normal 12 7 2 3 4 2 5" xfId="19199" xr:uid="{00000000-0005-0000-0000-000085490000}"/>
    <cellStyle name="Normal 12 7 2 3 4 3" xfId="19200" xr:uid="{00000000-0005-0000-0000-000086490000}"/>
    <cellStyle name="Normal 12 7 2 3 4 4" xfId="19201" xr:uid="{00000000-0005-0000-0000-000087490000}"/>
    <cellStyle name="Normal 12 7 2 3 4 5" xfId="19202" xr:uid="{00000000-0005-0000-0000-000088490000}"/>
    <cellStyle name="Normal 12 7 2 3 4 6" xfId="19203" xr:uid="{00000000-0005-0000-0000-000089490000}"/>
    <cellStyle name="Normal 12 7 2 3 4 7" xfId="19204" xr:uid="{00000000-0005-0000-0000-00008A490000}"/>
    <cellStyle name="Normal 12 7 2 3 4 8" xfId="19205" xr:uid="{00000000-0005-0000-0000-00008B490000}"/>
    <cellStyle name="Normal 12 7 2 3 5" xfId="19206" xr:uid="{00000000-0005-0000-0000-00008C490000}"/>
    <cellStyle name="Normal 12 7 2 3 5 2" xfId="19207" xr:uid="{00000000-0005-0000-0000-00008D490000}"/>
    <cellStyle name="Normal 12 7 2 3 5 3" xfId="19208" xr:uid="{00000000-0005-0000-0000-00008E490000}"/>
    <cellStyle name="Normal 12 7 2 3 5 4" xfId="19209" xr:uid="{00000000-0005-0000-0000-00008F490000}"/>
    <cellStyle name="Normal 12 7 2 3 5 5" xfId="19210" xr:uid="{00000000-0005-0000-0000-000090490000}"/>
    <cellStyle name="Normal 12 7 2 3 6" xfId="19211" xr:uid="{00000000-0005-0000-0000-000091490000}"/>
    <cellStyle name="Normal 12 7 2 3 7" xfId="19212" xr:uid="{00000000-0005-0000-0000-000092490000}"/>
    <cellStyle name="Normal 12 7 2 3 8" xfId="19213" xr:uid="{00000000-0005-0000-0000-000093490000}"/>
    <cellStyle name="Normal 12 7 2 3 9" xfId="19214" xr:uid="{00000000-0005-0000-0000-000094490000}"/>
    <cellStyle name="Normal 12 7 2 4" xfId="19215" xr:uid="{00000000-0005-0000-0000-000095490000}"/>
    <cellStyle name="Normal 12 7 2 4 10" xfId="19216" xr:uid="{00000000-0005-0000-0000-000096490000}"/>
    <cellStyle name="Normal 12 7 2 4 2" xfId="19217" xr:uid="{00000000-0005-0000-0000-000097490000}"/>
    <cellStyle name="Normal 12 7 2 4 2 2" xfId="19218" xr:uid="{00000000-0005-0000-0000-000098490000}"/>
    <cellStyle name="Normal 12 7 2 4 2 2 2" xfId="19219" xr:uid="{00000000-0005-0000-0000-000099490000}"/>
    <cellStyle name="Normal 12 7 2 4 2 2 3" xfId="19220" xr:uid="{00000000-0005-0000-0000-00009A490000}"/>
    <cellStyle name="Normal 12 7 2 4 2 2 4" xfId="19221" xr:uid="{00000000-0005-0000-0000-00009B490000}"/>
    <cellStyle name="Normal 12 7 2 4 2 2 5" xfId="19222" xr:uid="{00000000-0005-0000-0000-00009C490000}"/>
    <cellStyle name="Normal 12 7 2 4 2 3" xfId="19223" xr:uid="{00000000-0005-0000-0000-00009D490000}"/>
    <cellStyle name="Normal 12 7 2 4 2 4" xfId="19224" xr:uid="{00000000-0005-0000-0000-00009E490000}"/>
    <cellStyle name="Normal 12 7 2 4 2 5" xfId="19225" xr:uid="{00000000-0005-0000-0000-00009F490000}"/>
    <cellStyle name="Normal 12 7 2 4 2 6" xfId="19226" xr:uid="{00000000-0005-0000-0000-0000A0490000}"/>
    <cellStyle name="Normal 12 7 2 4 2 7" xfId="19227" xr:uid="{00000000-0005-0000-0000-0000A1490000}"/>
    <cellStyle name="Normal 12 7 2 4 2 8" xfId="19228" xr:uid="{00000000-0005-0000-0000-0000A2490000}"/>
    <cellStyle name="Normal 12 7 2 4 3" xfId="19229" xr:uid="{00000000-0005-0000-0000-0000A3490000}"/>
    <cellStyle name="Normal 12 7 2 4 3 2" xfId="19230" xr:uid="{00000000-0005-0000-0000-0000A4490000}"/>
    <cellStyle name="Normal 12 7 2 4 3 2 2" xfId="19231" xr:uid="{00000000-0005-0000-0000-0000A5490000}"/>
    <cellStyle name="Normal 12 7 2 4 3 2 3" xfId="19232" xr:uid="{00000000-0005-0000-0000-0000A6490000}"/>
    <cellStyle name="Normal 12 7 2 4 3 2 4" xfId="19233" xr:uid="{00000000-0005-0000-0000-0000A7490000}"/>
    <cellStyle name="Normal 12 7 2 4 3 2 5" xfId="19234" xr:uid="{00000000-0005-0000-0000-0000A8490000}"/>
    <cellStyle name="Normal 12 7 2 4 3 3" xfId="19235" xr:uid="{00000000-0005-0000-0000-0000A9490000}"/>
    <cellStyle name="Normal 12 7 2 4 3 4" xfId="19236" xr:uid="{00000000-0005-0000-0000-0000AA490000}"/>
    <cellStyle name="Normal 12 7 2 4 3 5" xfId="19237" xr:uid="{00000000-0005-0000-0000-0000AB490000}"/>
    <cellStyle name="Normal 12 7 2 4 3 6" xfId="19238" xr:uid="{00000000-0005-0000-0000-0000AC490000}"/>
    <cellStyle name="Normal 12 7 2 4 3 7" xfId="19239" xr:uid="{00000000-0005-0000-0000-0000AD490000}"/>
    <cellStyle name="Normal 12 7 2 4 3 8" xfId="19240" xr:uid="{00000000-0005-0000-0000-0000AE490000}"/>
    <cellStyle name="Normal 12 7 2 4 4" xfId="19241" xr:uid="{00000000-0005-0000-0000-0000AF490000}"/>
    <cellStyle name="Normal 12 7 2 4 4 2" xfId="19242" xr:uid="{00000000-0005-0000-0000-0000B0490000}"/>
    <cellStyle name="Normal 12 7 2 4 4 3" xfId="19243" xr:uid="{00000000-0005-0000-0000-0000B1490000}"/>
    <cellStyle name="Normal 12 7 2 4 4 4" xfId="19244" xr:uid="{00000000-0005-0000-0000-0000B2490000}"/>
    <cellStyle name="Normal 12 7 2 4 4 5" xfId="19245" xr:uid="{00000000-0005-0000-0000-0000B3490000}"/>
    <cellStyle name="Normal 12 7 2 4 5" xfId="19246" xr:uid="{00000000-0005-0000-0000-0000B4490000}"/>
    <cellStyle name="Normal 12 7 2 4 6" xfId="19247" xr:uid="{00000000-0005-0000-0000-0000B5490000}"/>
    <cellStyle name="Normal 12 7 2 4 7" xfId="19248" xr:uid="{00000000-0005-0000-0000-0000B6490000}"/>
    <cellStyle name="Normal 12 7 2 4 8" xfId="19249" xr:uid="{00000000-0005-0000-0000-0000B7490000}"/>
    <cellStyle name="Normal 12 7 2 4 9" xfId="19250" xr:uid="{00000000-0005-0000-0000-0000B8490000}"/>
    <cellStyle name="Normal 12 7 2 5" xfId="19251" xr:uid="{00000000-0005-0000-0000-0000B9490000}"/>
    <cellStyle name="Normal 12 7 2 5 2" xfId="19252" xr:uid="{00000000-0005-0000-0000-0000BA490000}"/>
    <cellStyle name="Normal 12 7 2 5 2 2" xfId="19253" xr:uid="{00000000-0005-0000-0000-0000BB490000}"/>
    <cellStyle name="Normal 12 7 2 5 2 3" xfId="19254" xr:uid="{00000000-0005-0000-0000-0000BC490000}"/>
    <cellStyle name="Normal 12 7 2 5 2 4" xfId="19255" xr:uid="{00000000-0005-0000-0000-0000BD490000}"/>
    <cellStyle name="Normal 12 7 2 5 2 5" xfId="19256" xr:uid="{00000000-0005-0000-0000-0000BE490000}"/>
    <cellStyle name="Normal 12 7 2 5 3" xfId="19257" xr:uid="{00000000-0005-0000-0000-0000BF490000}"/>
    <cellStyle name="Normal 12 7 2 5 4" xfId="19258" xr:uid="{00000000-0005-0000-0000-0000C0490000}"/>
    <cellStyle name="Normal 12 7 2 5 5" xfId="19259" xr:uid="{00000000-0005-0000-0000-0000C1490000}"/>
    <cellStyle name="Normal 12 7 2 5 6" xfId="19260" xr:uid="{00000000-0005-0000-0000-0000C2490000}"/>
    <cellStyle name="Normal 12 7 2 5 7" xfId="19261" xr:uid="{00000000-0005-0000-0000-0000C3490000}"/>
    <cellStyle name="Normal 12 7 2 5 8" xfId="19262" xr:uid="{00000000-0005-0000-0000-0000C4490000}"/>
    <cellStyle name="Normal 12 7 2 6" xfId="19263" xr:uid="{00000000-0005-0000-0000-0000C5490000}"/>
    <cellStyle name="Normal 12 7 2 6 2" xfId="19264" xr:uid="{00000000-0005-0000-0000-0000C6490000}"/>
    <cellStyle name="Normal 12 7 2 6 2 2" xfId="19265" xr:uid="{00000000-0005-0000-0000-0000C7490000}"/>
    <cellStyle name="Normal 12 7 2 6 2 3" xfId="19266" xr:uid="{00000000-0005-0000-0000-0000C8490000}"/>
    <cellStyle name="Normal 12 7 2 6 2 4" xfId="19267" xr:uid="{00000000-0005-0000-0000-0000C9490000}"/>
    <cellStyle name="Normal 12 7 2 6 2 5" xfId="19268" xr:uid="{00000000-0005-0000-0000-0000CA490000}"/>
    <cellStyle name="Normal 12 7 2 6 3" xfId="19269" xr:uid="{00000000-0005-0000-0000-0000CB490000}"/>
    <cellStyle name="Normal 12 7 2 6 4" xfId="19270" xr:uid="{00000000-0005-0000-0000-0000CC490000}"/>
    <cellStyle name="Normal 12 7 2 6 5" xfId="19271" xr:uid="{00000000-0005-0000-0000-0000CD490000}"/>
    <cellStyle name="Normal 12 7 2 6 6" xfId="19272" xr:uid="{00000000-0005-0000-0000-0000CE490000}"/>
    <cellStyle name="Normal 12 7 2 6 7" xfId="19273" xr:uid="{00000000-0005-0000-0000-0000CF490000}"/>
    <cellStyle name="Normal 12 7 2 6 8" xfId="19274" xr:uid="{00000000-0005-0000-0000-0000D0490000}"/>
    <cellStyle name="Normal 12 7 2 7" xfId="19275" xr:uid="{00000000-0005-0000-0000-0000D1490000}"/>
    <cellStyle name="Normal 12 7 2 7 2" xfId="19276" xr:uid="{00000000-0005-0000-0000-0000D2490000}"/>
    <cellStyle name="Normal 12 7 2 7 3" xfId="19277" xr:uid="{00000000-0005-0000-0000-0000D3490000}"/>
    <cellStyle name="Normal 12 7 2 7 4" xfId="19278" xr:uid="{00000000-0005-0000-0000-0000D4490000}"/>
    <cellStyle name="Normal 12 7 2 7 5" xfId="19279" xr:uid="{00000000-0005-0000-0000-0000D5490000}"/>
    <cellStyle name="Normal 12 7 2 8" xfId="19280" xr:uid="{00000000-0005-0000-0000-0000D6490000}"/>
    <cellStyle name="Normal 12 7 2 9" xfId="19281" xr:uid="{00000000-0005-0000-0000-0000D7490000}"/>
    <cellStyle name="Normal 12 7 20" xfId="19282" xr:uid="{00000000-0005-0000-0000-0000D8490000}"/>
    <cellStyle name="Normal 12 7 3" xfId="19283" xr:uid="{00000000-0005-0000-0000-0000D9490000}"/>
    <cellStyle name="Normal 12 7 3 10" xfId="19284" xr:uid="{00000000-0005-0000-0000-0000DA490000}"/>
    <cellStyle name="Normal 12 7 3 11" xfId="19285" xr:uid="{00000000-0005-0000-0000-0000DB490000}"/>
    <cellStyle name="Normal 12 7 3 12" xfId="19286" xr:uid="{00000000-0005-0000-0000-0000DC490000}"/>
    <cellStyle name="Normal 12 7 3 13" xfId="19287" xr:uid="{00000000-0005-0000-0000-0000DD490000}"/>
    <cellStyle name="Normal 12 7 3 2" xfId="19288" xr:uid="{00000000-0005-0000-0000-0000DE490000}"/>
    <cellStyle name="Normal 12 7 3 2 10" xfId="19289" xr:uid="{00000000-0005-0000-0000-0000DF490000}"/>
    <cellStyle name="Normal 12 7 3 2 11" xfId="19290" xr:uid="{00000000-0005-0000-0000-0000E0490000}"/>
    <cellStyle name="Normal 12 7 3 2 2" xfId="19291" xr:uid="{00000000-0005-0000-0000-0000E1490000}"/>
    <cellStyle name="Normal 12 7 3 2 2 10" xfId="19292" xr:uid="{00000000-0005-0000-0000-0000E2490000}"/>
    <cellStyle name="Normal 12 7 3 2 2 2" xfId="19293" xr:uid="{00000000-0005-0000-0000-0000E3490000}"/>
    <cellStyle name="Normal 12 7 3 2 2 2 2" xfId="19294" xr:uid="{00000000-0005-0000-0000-0000E4490000}"/>
    <cellStyle name="Normal 12 7 3 2 2 2 2 2" xfId="19295" xr:uid="{00000000-0005-0000-0000-0000E5490000}"/>
    <cellStyle name="Normal 12 7 3 2 2 2 2 3" xfId="19296" xr:uid="{00000000-0005-0000-0000-0000E6490000}"/>
    <cellStyle name="Normal 12 7 3 2 2 2 2 4" xfId="19297" xr:uid="{00000000-0005-0000-0000-0000E7490000}"/>
    <cellStyle name="Normal 12 7 3 2 2 2 2 5" xfId="19298" xr:uid="{00000000-0005-0000-0000-0000E8490000}"/>
    <cellStyle name="Normal 12 7 3 2 2 2 3" xfId="19299" xr:uid="{00000000-0005-0000-0000-0000E9490000}"/>
    <cellStyle name="Normal 12 7 3 2 2 2 4" xfId="19300" xr:uid="{00000000-0005-0000-0000-0000EA490000}"/>
    <cellStyle name="Normal 12 7 3 2 2 2 5" xfId="19301" xr:uid="{00000000-0005-0000-0000-0000EB490000}"/>
    <cellStyle name="Normal 12 7 3 2 2 2 6" xfId="19302" xr:uid="{00000000-0005-0000-0000-0000EC490000}"/>
    <cellStyle name="Normal 12 7 3 2 2 2 7" xfId="19303" xr:uid="{00000000-0005-0000-0000-0000ED490000}"/>
    <cellStyle name="Normal 12 7 3 2 2 2 8" xfId="19304" xr:uid="{00000000-0005-0000-0000-0000EE490000}"/>
    <cellStyle name="Normal 12 7 3 2 2 3" xfId="19305" xr:uid="{00000000-0005-0000-0000-0000EF490000}"/>
    <cellStyle name="Normal 12 7 3 2 2 3 2" xfId="19306" xr:uid="{00000000-0005-0000-0000-0000F0490000}"/>
    <cellStyle name="Normal 12 7 3 2 2 3 2 2" xfId="19307" xr:uid="{00000000-0005-0000-0000-0000F1490000}"/>
    <cellStyle name="Normal 12 7 3 2 2 3 2 3" xfId="19308" xr:uid="{00000000-0005-0000-0000-0000F2490000}"/>
    <cellStyle name="Normal 12 7 3 2 2 3 2 4" xfId="19309" xr:uid="{00000000-0005-0000-0000-0000F3490000}"/>
    <cellStyle name="Normal 12 7 3 2 2 3 2 5" xfId="19310" xr:uid="{00000000-0005-0000-0000-0000F4490000}"/>
    <cellStyle name="Normal 12 7 3 2 2 3 3" xfId="19311" xr:uid="{00000000-0005-0000-0000-0000F5490000}"/>
    <cellStyle name="Normal 12 7 3 2 2 3 4" xfId="19312" xr:uid="{00000000-0005-0000-0000-0000F6490000}"/>
    <cellStyle name="Normal 12 7 3 2 2 3 5" xfId="19313" xr:uid="{00000000-0005-0000-0000-0000F7490000}"/>
    <cellStyle name="Normal 12 7 3 2 2 3 6" xfId="19314" xr:uid="{00000000-0005-0000-0000-0000F8490000}"/>
    <cellStyle name="Normal 12 7 3 2 2 3 7" xfId="19315" xr:uid="{00000000-0005-0000-0000-0000F9490000}"/>
    <cellStyle name="Normal 12 7 3 2 2 3 8" xfId="19316" xr:uid="{00000000-0005-0000-0000-0000FA490000}"/>
    <cellStyle name="Normal 12 7 3 2 2 4" xfId="19317" xr:uid="{00000000-0005-0000-0000-0000FB490000}"/>
    <cellStyle name="Normal 12 7 3 2 2 4 2" xfId="19318" xr:uid="{00000000-0005-0000-0000-0000FC490000}"/>
    <cellStyle name="Normal 12 7 3 2 2 4 3" xfId="19319" xr:uid="{00000000-0005-0000-0000-0000FD490000}"/>
    <cellStyle name="Normal 12 7 3 2 2 4 4" xfId="19320" xr:uid="{00000000-0005-0000-0000-0000FE490000}"/>
    <cellStyle name="Normal 12 7 3 2 2 4 5" xfId="19321" xr:uid="{00000000-0005-0000-0000-0000FF490000}"/>
    <cellStyle name="Normal 12 7 3 2 2 5" xfId="19322" xr:uid="{00000000-0005-0000-0000-0000004A0000}"/>
    <cellStyle name="Normal 12 7 3 2 2 6" xfId="19323" xr:uid="{00000000-0005-0000-0000-0000014A0000}"/>
    <cellStyle name="Normal 12 7 3 2 2 7" xfId="19324" xr:uid="{00000000-0005-0000-0000-0000024A0000}"/>
    <cellStyle name="Normal 12 7 3 2 2 8" xfId="19325" xr:uid="{00000000-0005-0000-0000-0000034A0000}"/>
    <cellStyle name="Normal 12 7 3 2 2 9" xfId="19326" xr:uid="{00000000-0005-0000-0000-0000044A0000}"/>
    <cellStyle name="Normal 12 7 3 2 3" xfId="19327" xr:uid="{00000000-0005-0000-0000-0000054A0000}"/>
    <cellStyle name="Normal 12 7 3 2 3 2" xfId="19328" xr:uid="{00000000-0005-0000-0000-0000064A0000}"/>
    <cellStyle name="Normal 12 7 3 2 3 2 2" xfId="19329" xr:uid="{00000000-0005-0000-0000-0000074A0000}"/>
    <cellStyle name="Normal 12 7 3 2 3 2 3" xfId="19330" xr:uid="{00000000-0005-0000-0000-0000084A0000}"/>
    <cellStyle name="Normal 12 7 3 2 3 2 4" xfId="19331" xr:uid="{00000000-0005-0000-0000-0000094A0000}"/>
    <cellStyle name="Normal 12 7 3 2 3 2 5" xfId="19332" xr:uid="{00000000-0005-0000-0000-00000A4A0000}"/>
    <cellStyle name="Normal 12 7 3 2 3 3" xfId="19333" xr:uid="{00000000-0005-0000-0000-00000B4A0000}"/>
    <cellStyle name="Normal 12 7 3 2 3 4" xfId="19334" xr:uid="{00000000-0005-0000-0000-00000C4A0000}"/>
    <cellStyle name="Normal 12 7 3 2 3 5" xfId="19335" xr:uid="{00000000-0005-0000-0000-00000D4A0000}"/>
    <cellStyle name="Normal 12 7 3 2 3 6" xfId="19336" xr:uid="{00000000-0005-0000-0000-00000E4A0000}"/>
    <cellStyle name="Normal 12 7 3 2 3 7" xfId="19337" xr:uid="{00000000-0005-0000-0000-00000F4A0000}"/>
    <cellStyle name="Normal 12 7 3 2 3 8" xfId="19338" xr:uid="{00000000-0005-0000-0000-0000104A0000}"/>
    <cellStyle name="Normal 12 7 3 2 4" xfId="19339" xr:uid="{00000000-0005-0000-0000-0000114A0000}"/>
    <cellStyle name="Normal 12 7 3 2 4 2" xfId="19340" xr:uid="{00000000-0005-0000-0000-0000124A0000}"/>
    <cellStyle name="Normal 12 7 3 2 4 2 2" xfId="19341" xr:uid="{00000000-0005-0000-0000-0000134A0000}"/>
    <cellStyle name="Normal 12 7 3 2 4 2 3" xfId="19342" xr:uid="{00000000-0005-0000-0000-0000144A0000}"/>
    <cellStyle name="Normal 12 7 3 2 4 2 4" xfId="19343" xr:uid="{00000000-0005-0000-0000-0000154A0000}"/>
    <cellStyle name="Normal 12 7 3 2 4 2 5" xfId="19344" xr:uid="{00000000-0005-0000-0000-0000164A0000}"/>
    <cellStyle name="Normal 12 7 3 2 4 3" xfId="19345" xr:uid="{00000000-0005-0000-0000-0000174A0000}"/>
    <cellStyle name="Normal 12 7 3 2 4 4" xfId="19346" xr:uid="{00000000-0005-0000-0000-0000184A0000}"/>
    <cellStyle name="Normal 12 7 3 2 4 5" xfId="19347" xr:uid="{00000000-0005-0000-0000-0000194A0000}"/>
    <cellStyle name="Normal 12 7 3 2 4 6" xfId="19348" xr:uid="{00000000-0005-0000-0000-00001A4A0000}"/>
    <cellStyle name="Normal 12 7 3 2 4 7" xfId="19349" xr:uid="{00000000-0005-0000-0000-00001B4A0000}"/>
    <cellStyle name="Normal 12 7 3 2 4 8" xfId="19350" xr:uid="{00000000-0005-0000-0000-00001C4A0000}"/>
    <cellStyle name="Normal 12 7 3 2 5" xfId="19351" xr:uid="{00000000-0005-0000-0000-00001D4A0000}"/>
    <cellStyle name="Normal 12 7 3 2 5 2" xfId="19352" xr:uid="{00000000-0005-0000-0000-00001E4A0000}"/>
    <cellStyle name="Normal 12 7 3 2 5 3" xfId="19353" xr:uid="{00000000-0005-0000-0000-00001F4A0000}"/>
    <cellStyle name="Normal 12 7 3 2 5 4" xfId="19354" xr:uid="{00000000-0005-0000-0000-0000204A0000}"/>
    <cellStyle name="Normal 12 7 3 2 5 5" xfId="19355" xr:uid="{00000000-0005-0000-0000-0000214A0000}"/>
    <cellStyle name="Normal 12 7 3 2 6" xfId="19356" xr:uid="{00000000-0005-0000-0000-0000224A0000}"/>
    <cellStyle name="Normal 12 7 3 2 7" xfId="19357" xr:uid="{00000000-0005-0000-0000-0000234A0000}"/>
    <cellStyle name="Normal 12 7 3 2 8" xfId="19358" xr:uid="{00000000-0005-0000-0000-0000244A0000}"/>
    <cellStyle name="Normal 12 7 3 2 9" xfId="19359" xr:uid="{00000000-0005-0000-0000-0000254A0000}"/>
    <cellStyle name="Normal 12 7 3 3" xfId="19360" xr:uid="{00000000-0005-0000-0000-0000264A0000}"/>
    <cellStyle name="Normal 12 7 3 3 10" xfId="19361" xr:uid="{00000000-0005-0000-0000-0000274A0000}"/>
    <cellStyle name="Normal 12 7 3 3 11" xfId="19362" xr:uid="{00000000-0005-0000-0000-0000284A0000}"/>
    <cellStyle name="Normal 12 7 3 3 2" xfId="19363" xr:uid="{00000000-0005-0000-0000-0000294A0000}"/>
    <cellStyle name="Normal 12 7 3 3 2 10" xfId="19364" xr:uid="{00000000-0005-0000-0000-00002A4A0000}"/>
    <cellStyle name="Normal 12 7 3 3 2 2" xfId="19365" xr:uid="{00000000-0005-0000-0000-00002B4A0000}"/>
    <cellStyle name="Normal 12 7 3 3 2 2 2" xfId="19366" xr:uid="{00000000-0005-0000-0000-00002C4A0000}"/>
    <cellStyle name="Normal 12 7 3 3 2 2 2 2" xfId="19367" xr:uid="{00000000-0005-0000-0000-00002D4A0000}"/>
    <cellStyle name="Normal 12 7 3 3 2 2 2 3" xfId="19368" xr:uid="{00000000-0005-0000-0000-00002E4A0000}"/>
    <cellStyle name="Normal 12 7 3 3 2 2 2 4" xfId="19369" xr:uid="{00000000-0005-0000-0000-00002F4A0000}"/>
    <cellStyle name="Normal 12 7 3 3 2 2 2 5" xfId="19370" xr:uid="{00000000-0005-0000-0000-0000304A0000}"/>
    <cellStyle name="Normal 12 7 3 3 2 2 3" xfId="19371" xr:uid="{00000000-0005-0000-0000-0000314A0000}"/>
    <cellStyle name="Normal 12 7 3 3 2 2 4" xfId="19372" xr:uid="{00000000-0005-0000-0000-0000324A0000}"/>
    <cellStyle name="Normal 12 7 3 3 2 2 5" xfId="19373" xr:uid="{00000000-0005-0000-0000-0000334A0000}"/>
    <cellStyle name="Normal 12 7 3 3 2 2 6" xfId="19374" xr:uid="{00000000-0005-0000-0000-0000344A0000}"/>
    <cellStyle name="Normal 12 7 3 3 2 2 7" xfId="19375" xr:uid="{00000000-0005-0000-0000-0000354A0000}"/>
    <cellStyle name="Normal 12 7 3 3 2 2 8" xfId="19376" xr:uid="{00000000-0005-0000-0000-0000364A0000}"/>
    <cellStyle name="Normal 12 7 3 3 2 3" xfId="19377" xr:uid="{00000000-0005-0000-0000-0000374A0000}"/>
    <cellStyle name="Normal 12 7 3 3 2 3 2" xfId="19378" xr:uid="{00000000-0005-0000-0000-0000384A0000}"/>
    <cellStyle name="Normal 12 7 3 3 2 3 2 2" xfId="19379" xr:uid="{00000000-0005-0000-0000-0000394A0000}"/>
    <cellStyle name="Normal 12 7 3 3 2 3 2 3" xfId="19380" xr:uid="{00000000-0005-0000-0000-00003A4A0000}"/>
    <cellStyle name="Normal 12 7 3 3 2 3 2 4" xfId="19381" xr:uid="{00000000-0005-0000-0000-00003B4A0000}"/>
    <cellStyle name="Normal 12 7 3 3 2 3 2 5" xfId="19382" xr:uid="{00000000-0005-0000-0000-00003C4A0000}"/>
    <cellStyle name="Normal 12 7 3 3 2 3 3" xfId="19383" xr:uid="{00000000-0005-0000-0000-00003D4A0000}"/>
    <cellStyle name="Normal 12 7 3 3 2 3 4" xfId="19384" xr:uid="{00000000-0005-0000-0000-00003E4A0000}"/>
    <cellStyle name="Normal 12 7 3 3 2 3 5" xfId="19385" xr:uid="{00000000-0005-0000-0000-00003F4A0000}"/>
    <cellStyle name="Normal 12 7 3 3 2 3 6" xfId="19386" xr:uid="{00000000-0005-0000-0000-0000404A0000}"/>
    <cellStyle name="Normal 12 7 3 3 2 3 7" xfId="19387" xr:uid="{00000000-0005-0000-0000-0000414A0000}"/>
    <cellStyle name="Normal 12 7 3 3 2 3 8" xfId="19388" xr:uid="{00000000-0005-0000-0000-0000424A0000}"/>
    <cellStyle name="Normal 12 7 3 3 2 4" xfId="19389" xr:uid="{00000000-0005-0000-0000-0000434A0000}"/>
    <cellStyle name="Normal 12 7 3 3 2 4 2" xfId="19390" xr:uid="{00000000-0005-0000-0000-0000444A0000}"/>
    <cellStyle name="Normal 12 7 3 3 2 4 3" xfId="19391" xr:uid="{00000000-0005-0000-0000-0000454A0000}"/>
    <cellStyle name="Normal 12 7 3 3 2 4 4" xfId="19392" xr:uid="{00000000-0005-0000-0000-0000464A0000}"/>
    <cellStyle name="Normal 12 7 3 3 2 4 5" xfId="19393" xr:uid="{00000000-0005-0000-0000-0000474A0000}"/>
    <cellStyle name="Normal 12 7 3 3 2 5" xfId="19394" xr:uid="{00000000-0005-0000-0000-0000484A0000}"/>
    <cellStyle name="Normal 12 7 3 3 2 6" xfId="19395" xr:uid="{00000000-0005-0000-0000-0000494A0000}"/>
    <cellStyle name="Normal 12 7 3 3 2 7" xfId="19396" xr:uid="{00000000-0005-0000-0000-00004A4A0000}"/>
    <cellStyle name="Normal 12 7 3 3 2 8" xfId="19397" xr:uid="{00000000-0005-0000-0000-00004B4A0000}"/>
    <cellStyle name="Normal 12 7 3 3 2 9" xfId="19398" xr:uid="{00000000-0005-0000-0000-00004C4A0000}"/>
    <cellStyle name="Normal 12 7 3 3 3" xfId="19399" xr:uid="{00000000-0005-0000-0000-00004D4A0000}"/>
    <cellStyle name="Normal 12 7 3 3 3 2" xfId="19400" xr:uid="{00000000-0005-0000-0000-00004E4A0000}"/>
    <cellStyle name="Normal 12 7 3 3 3 2 2" xfId="19401" xr:uid="{00000000-0005-0000-0000-00004F4A0000}"/>
    <cellStyle name="Normal 12 7 3 3 3 2 3" xfId="19402" xr:uid="{00000000-0005-0000-0000-0000504A0000}"/>
    <cellStyle name="Normal 12 7 3 3 3 2 4" xfId="19403" xr:uid="{00000000-0005-0000-0000-0000514A0000}"/>
    <cellStyle name="Normal 12 7 3 3 3 2 5" xfId="19404" xr:uid="{00000000-0005-0000-0000-0000524A0000}"/>
    <cellStyle name="Normal 12 7 3 3 3 3" xfId="19405" xr:uid="{00000000-0005-0000-0000-0000534A0000}"/>
    <cellStyle name="Normal 12 7 3 3 3 4" xfId="19406" xr:uid="{00000000-0005-0000-0000-0000544A0000}"/>
    <cellStyle name="Normal 12 7 3 3 3 5" xfId="19407" xr:uid="{00000000-0005-0000-0000-0000554A0000}"/>
    <cellStyle name="Normal 12 7 3 3 3 6" xfId="19408" xr:uid="{00000000-0005-0000-0000-0000564A0000}"/>
    <cellStyle name="Normal 12 7 3 3 3 7" xfId="19409" xr:uid="{00000000-0005-0000-0000-0000574A0000}"/>
    <cellStyle name="Normal 12 7 3 3 3 8" xfId="19410" xr:uid="{00000000-0005-0000-0000-0000584A0000}"/>
    <cellStyle name="Normal 12 7 3 3 4" xfId="19411" xr:uid="{00000000-0005-0000-0000-0000594A0000}"/>
    <cellStyle name="Normal 12 7 3 3 4 2" xfId="19412" xr:uid="{00000000-0005-0000-0000-00005A4A0000}"/>
    <cellStyle name="Normal 12 7 3 3 4 2 2" xfId="19413" xr:uid="{00000000-0005-0000-0000-00005B4A0000}"/>
    <cellStyle name="Normal 12 7 3 3 4 2 3" xfId="19414" xr:uid="{00000000-0005-0000-0000-00005C4A0000}"/>
    <cellStyle name="Normal 12 7 3 3 4 2 4" xfId="19415" xr:uid="{00000000-0005-0000-0000-00005D4A0000}"/>
    <cellStyle name="Normal 12 7 3 3 4 2 5" xfId="19416" xr:uid="{00000000-0005-0000-0000-00005E4A0000}"/>
    <cellStyle name="Normal 12 7 3 3 4 3" xfId="19417" xr:uid="{00000000-0005-0000-0000-00005F4A0000}"/>
    <cellStyle name="Normal 12 7 3 3 4 4" xfId="19418" xr:uid="{00000000-0005-0000-0000-0000604A0000}"/>
    <cellStyle name="Normal 12 7 3 3 4 5" xfId="19419" xr:uid="{00000000-0005-0000-0000-0000614A0000}"/>
    <cellStyle name="Normal 12 7 3 3 4 6" xfId="19420" xr:uid="{00000000-0005-0000-0000-0000624A0000}"/>
    <cellStyle name="Normal 12 7 3 3 4 7" xfId="19421" xr:uid="{00000000-0005-0000-0000-0000634A0000}"/>
    <cellStyle name="Normal 12 7 3 3 4 8" xfId="19422" xr:uid="{00000000-0005-0000-0000-0000644A0000}"/>
    <cellStyle name="Normal 12 7 3 3 5" xfId="19423" xr:uid="{00000000-0005-0000-0000-0000654A0000}"/>
    <cellStyle name="Normal 12 7 3 3 5 2" xfId="19424" xr:uid="{00000000-0005-0000-0000-0000664A0000}"/>
    <cellStyle name="Normal 12 7 3 3 5 3" xfId="19425" xr:uid="{00000000-0005-0000-0000-0000674A0000}"/>
    <cellStyle name="Normal 12 7 3 3 5 4" xfId="19426" xr:uid="{00000000-0005-0000-0000-0000684A0000}"/>
    <cellStyle name="Normal 12 7 3 3 5 5" xfId="19427" xr:uid="{00000000-0005-0000-0000-0000694A0000}"/>
    <cellStyle name="Normal 12 7 3 3 6" xfId="19428" xr:uid="{00000000-0005-0000-0000-00006A4A0000}"/>
    <cellStyle name="Normal 12 7 3 3 7" xfId="19429" xr:uid="{00000000-0005-0000-0000-00006B4A0000}"/>
    <cellStyle name="Normal 12 7 3 3 8" xfId="19430" xr:uid="{00000000-0005-0000-0000-00006C4A0000}"/>
    <cellStyle name="Normal 12 7 3 3 9" xfId="19431" xr:uid="{00000000-0005-0000-0000-00006D4A0000}"/>
    <cellStyle name="Normal 12 7 3 4" xfId="19432" xr:uid="{00000000-0005-0000-0000-00006E4A0000}"/>
    <cellStyle name="Normal 12 7 3 4 10" xfId="19433" xr:uid="{00000000-0005-0000-0000-00006F4A0000}"/>
    <cellStyle name="Normal 12 7 3 4 2" xfId="19434" xr:uid="{00000000-0005-0000-0000-0000704A0000}"/>
    <cellStyle name="Normal 12 7 3 4 2 2" xfId="19435" xr:uid="{00000000-0005-0000-0000-0000714A0000}"/>
    <cellStyle name="Normal 12 7 3 4 2 2 2" xfId="19436" xr:uid="{00000000-0005-0000-0000-0000724A0000}"/>
    <cellStyle name="Normal 12 7 3 4 2 2 3" xfId="19437" xr:uid="{00000000-0005-0000-0000-0000734A0000}"/>
    <cellStyle name="Normal 12 7 3 4 2 2 4" xfId="19438" xr:uid="{00000000-0005-0000-0000-0000744A0000}"/>
    <cellStyle name="Normal 12 7 3 4 2 2 5" xfId="19439" xr:uid="{00000000-0005-0000-0000-0000754A0000}"/>
    <cellStyle name="Normal 12 7 3 4 2 3" xfId="19440" xr:uid="{00000000-0005-0000-0000-0000764A0000}"/>
    <cellStyle name="Normal 12 7 3 4 2 4" xfId="19441" xr:uid="{00000000-0005-0000-0000-0000774A0000}"/>
    <cellStyle name="Normal 12 7 3 4 2 5" xfId="19442" xr:uid="{00000000-0005-0000-0000-0000784A0000}"/>
    <cellStyle name="Normal 12 7 3 4 2 6" xfId="19443" xr:uid="{00000000-0005-0000-0000-0000794A0000}"/>
    <cellStyle name="Normal 12 7 3 4 2 7" xfId="19444" xr:uid="{00000000-0005-0000-0000-00007A4A0000}"/>
    <cellStyle name="Normal 12 7 3 4 2 8" xfId="19445" xr:uid="{00000000-0005-0000-0000-00007B4A0000}"/>
    <cellStyle name="Normal 12 7 3 4 3" xfId="19446" xr:uid="{00000000-0005-0000-0000-00007C4A0000}"/>
    <cellStyle name="Normal 12 7 3 4 3 2" xfId="19447" xr:uid="{00000000-0005-0000-0000-00007D4A0000}"/>
    <cellStyle name="Normal 12 7 3 4 3 2 2" xfId="19448" xr:uid="{00000000-0005-0000-0000-00007E4A0000}"/>
    <cellStyle name="Normal 12 7 3 4 3 2 3" xfId="19449" xr:uid="{00000000-0005-0000-0000-00007F4A0000}"/>
    <cellStyle name="Normal 12 7 3 4 3 2 4" xfId="19450" xr:uid="{00000000-0005-0000-0000-0000804A0000}"/>
    <cellStyle name="Normal 12 7 3 4 3 2 5" xfId="19451" xr:uid="{00000000-0005-0000-0000-0000814A0000}"/>
    <cellStyle name="Normal 12 7 3 4 3 3" xfId="19452" xr:uid="{00000000-0005-0000-0000-0000824A0000}"/>
    <cellStyle name="Normal 12 7 3 4 3 4" xfId="19453" xr:uid="{00000000-0005-0000-0000-0000834A0000}"/>
    <cellStyle name="Normal 12 7 3 4 3 5" xfId="19454" xr:uid="{00000000-0005-0000-0000-0000844A0000}"/>
    <cellStyle name="Normal 12 7 3 4 3 6" xfId="19455" xr:uid="{00000000-0005-0000-0000-0000854A0000}"/>
    <cellStyle name="Normal 12 7 3 4 3 7" xfId="19456" xr:uid="{00000000-0005-0000-0000-0000864A0000}"/>
    <cellStyle name="Normal 12 7 3 4 3 8" xfId="19457" xr:uid="{00000000-0005-0000-0000-0000874A0000}"/>
    <cellStyle name="Normal 12 7 3 4 4" xfId="19458" xr:uid="{00000000-0005-0000-0000-0000884A0000}"/>
    <cellStyle name="Normal 12 7 3 4 4 2" xfId="19459" xr:uid="{00000000-0005-0000-0000-0000894A0000}"/>
    <cellStyle name="Normal 12 7 3 4 4 3" xfId="19460" xr:uid="{00000000-0005-0000-0000-00008A4A0000}"/>
    <cellStyle name="Normal 12 7 3 4 4 4" xfId="19461" xr:uid="{00000000-0005-0000-0000-00008B4A0000}"/>
    <cellStyle name="Normal 12 7 3 4 4 5" xfId="19462" xr:uid="{00000000-0005-0000-0000-00008C4A0000}"/>
    <cellStyle name="Normal 12 7 3 4 5" xfId="19463" xr:uid="{00000000-0005-0000-0000-00008D4A0000}"/>
    <cellStyle name="Normal 12 7 3 4 6" xfId="19464" xr:uid="{00000000-0005-0000-0000-00008E4A0000}"/>
    <cellStyle name="Normal 12 7 3 4 7" xfId="19465" xr:uid="{00000000-0005-0000-0000-00008F4A0000}"/>
    <cellStyle name="Normal 12 7 3 4 8" xfId="19466" xr:uid="{00000000-0005-0000-0000-0000904A0000}"/>
    <cellStyle name="Normal 12 7 3 4 9" xfId="19467" xr:uid="{00000000-0005-0000-0000-0000914A0000}"/>
    <cellStyle name="Normal 12 7 3 5" xfId="19468" xr:uid="{00000000-0005-0000-0000-0000924A0000}"/>
    <cellStyle name="Normal 12 7 3 5 2" xfId="19469" xr:uid="{00000000-0005-0000-0000-0000934A0000}"/>
    <cellStyle name="Normal 12 7 3 5 2 2" xfId="19470" xr:uid="{00000000-0005-0000-0000-0000944A0000}"/>
    <cellStyle name="Normal 12 7 3 5 2 3" xfId="19471" xr:uid="{00000000-0005-0000-0000-0000954A0000}"/>
    <cellStyle name="Normal 12 7 3 5 2 4" xfId="19472" xr:uid="{00000000-0005-0000-0000-0000964A0000}"/>
    <cellStyle name="Normal 12 7 3 5 2 5" xfId="19473" xr:uid="{00000000-0005-0000-0000-0000974A0000}"/>
    <cellStyle name="Normal 12 7 3 5 3" xfId="19474" xr:uid="{00000000-0005-0000-0000-0000984A0000}"/>
    <cellStyle name="Normal 12 7 3 5 4" xfId="19475" xr:uid="{00000000-0005-0000-0000-0000994A0000}"/>
    <cellStyle name="Normal 12 7 3 5 5" xfId="19476" xr:uid="{00000000-0005-0000-0000-00009A4A0000}"/>
    <cellStyle name="Normal 12 7 3 5 6" xfId="19477" xr:uid="{00000000-0005-0000-0000-00009B4A0000}"/>
    <cellStyle name="Normal 12 7 3 5 7" xfId="19478" xr:uid="{00000000-0005-0000-0000-00009C4A0000}"/>
    <cellStyle name="Normal 12 7 3 5 8" xfId="19479" xr:uid="{00000000-0005-0000-0000-00009D4A0000}"/>
    <cellStyle name="Normal 12 7 3 6" xfId="19480" xr:uid="{00000000-0005-0000-0000-00009E4A0000}"/>
    <cellStyle name="Normal 12 7 3 6 2" xfId="19481" xr:uid="{00000000-0005-0000-0000-00009F4A0000}"/>
    <cellStyle name="Normal 12 7 3 6 2 2" xfId="19482" xr:uid="{00000000-0005-0000-0000-0000A04A0000}"/>
    <cellStyle name="Normal 12 7 3 6 2 3" xfId="19483" xr:uid="{00000000-0005-0000-0000-0000A14A0000}"/>
    <cellStyle name="Normal 12 7 3 6 2 4" xfId="19484" xr:uid="{00000000-0005-0000-0000-0000A24A0000}"/>
    <cellStyle name="Normal 12 7 3 6 2 5" xfId="19485" xr:uid="{00000000-0005-0000-0000-0000A34A0000}"/>
    <cellStyle name="Normal 12 7 3 6 3" xfId="19486" xr:uid="{00000000-0005-0000-0000-0000A44A0000}"/>
    <cellStyle name="Normal 12 7 3 6 4" xfId="19487" xr:uid="{00000000-0005-0000-0000-0000A54A0000}"/>
    <cellStyle name="Normal 12 7 3 6 5" xfId="19488" xr:uid="{00000000-0005-0000-0000-0000A64A0000}"/>
    <cellStyle name="Normal 12 7 3 6 6" xfId="19489" xr:uid="{00000000-0005-0000-0000-0000A74A0000}"/>
    <cellStyle name="Normal 12 7 3 6 7" xfId="19490" xr:uid="{00000000-0005-0000-0000-0000A84A0000}"/>
    <cellStyle name="Normal 12 7 3 6 8" xfId="19491" xr:uid="{00000000-0005-0000-0000-0000A94A0000}"/>
    <cellStyle name="Normal 12 7 3 7" xfId="19492" xr:uid="{00000000-0005-0000-0000-0000AA4A0000}"/>
    <cellStyle name="Normal 12 7 3 7 2" xfId="19493" xr:uid="{00000000-0005-0000-0000-0000AB4A0000}"/>
    <cellStyle name="Normal 12 7 3 7 3" xfId="19494" xr:uid="{00000000-0005-0000-0000-0000AC4A0000}"/>
    <cellStyle name="Normal 12 7 3 7 4" xfId="19495" xr:uid="{00000000-0005-0000-0000-0000AD4A0000}"/>
    <cellStyle name="Normal 12 7 3 7 5" xfId="19496" xr:uid="{00000000-0005-0000-0000-0000AE4A0000}"/>
    <cellStyle name="Normal 12 7 3 8" xfId="19497" xr:uid="{00000000-0005-0000-0000-0000AF4A0000}"/>
    <cellStyle name="Normal 12 7 3 9" xfId="19498" xr:uid="{00000000-0005-0000-0000-0000B04A0000}"/>
    <cellStyle name="Normal 12 7 4" xfId="19499" xr:uid="{00000000-0005-0000-0000-0000B14A0000}"/>
    <cellStyle name="Normal 12 7 4 10" xfId="19500" xr:uid="{00000000-0005-0000-0000-0000B24A0000}"/>
    <cellStyle name="Normal 12 7 4 11" xfId="19501" xr:uid="{00000000-0005-0000-0000-0000B34A0000}"/>
    <cellStyle name="Normal 12 7 4 12" xfId="19502" xr:uid="{00000000-0005-0000-0000-0000B44A0000}"/>
    <cellStyle name="Normal 12 7 4 13" xfId="19503" xr:uid="{00000000-0005-0000-0000-0000B54A0000}"/>
    <cellStyle name="Normal 12 7 4 2" xfId="19504" xr:uid="{00000000-0005-0000-0000-0000B64A0000}"/>
    <cellStyle name="Normal 12 7 4 2 10" xfId="19505" xr:uid="{00000000-0005-0000-0000-0000B74A0000}"/>
    <cellStyle name="Normal 12 7 4 2 11" xfId="19506" xr:uid="{00000000-0005-0000-0000-0000B84A0000}"/>
    <cellStyle name="Normal 12 7 4 2 2" xfId="19507" xr:uid="{00000000-0005-0000-0000-0000B94A0000}"/>
    <cellStyle name="Normal 12 7 4 2 2 10" xfId="19508" xr:uid="{00000000-0005-0000-0000-0000BA4A0000}"/>
    <cellStyle name="Normal 12 7 4 2 2 2" xfId="19509" xr:uid="{00000000-0005-0000-0000-0000BB4A0000}"/>
    <cellStyle name="Normal 12 7 4 2 2 2 2" xfId="19510" xr:uid="{00000000-0005-0000-0000-0000BC4A0000}"/>
    <cellStyle name="Normal 12 7 4 2 2 2 2 2" xfId="19511" xr:uid="{00000000-0005-0000-0000-0000BD4A0000}"/>
    <cellStyle name="Normal 12 7 4 2 2 2 2 3" xfId="19512" xr:uid="{00000000-0005-0000-0000-0000BE4A0000}"/>
    <cellStyle name="Normal 12 7 4 2 2 2 2 4" xfId="19513" xr:uid="{00000000-0005-0000-0000-0000BF4A0000}"/>
    <cellStyle name="Normal 12 7 4 2 2 2 2 5" xfId="19514" xr:uid="{00000000-0005-0000-0000-0000C04A0000}"/>
    <cellStyle name="Normal 12 7 4 2 2 2 3" xfId="19515" xr:uid="{00000000-0005-0000-0000-0000C14A0000}"/>
    <cellStyle name="Normal 12 7 4 2 2 2 4" xfId="19516" xr:uid="{00000000-0005-0000-0000-0000C24A0000}"/>
    <cellStyle name="Normal 12 7 4 2 2 2 5" xfId="19517" xr:uid="{00000000-0005-0000-0000-0000C34A0000}"/>
    <cellStyle name="Normal 12 7 4 2 2 2 6" xfId="19518" xr:uid="{00000000-0005-0000-0000-0000C44A0000}"/>
    <cellStyle name="Normal 12 7 4 2 2 2 7" xfId="19519" xr:uid="{00000000-0005-0000-0000-0000C54A0000}"/>
    <cellStyle name="Normal 12 7 4 2 2 2 8" xfId="19520" xr:uid="{00000000-0005-0000-0000-0000C64A0000}"/>
    <cellStyle name="Normal 12 7 4 2 2 3" xfId="19521" xr:uid="{00000000-0005-0000-0000-0000C74A0000}"/>
    <cellStyle name="Normal 12 7 4 2 2 3 2" xfId="19522" xr:uid="{00000000-0005-0000-0000-0000C84A0000}"/>
    <cellStyle name="Normal 12 7 4 2 2 3 2 2" xfId="19523" xr:uid="{00000000-0005-0000-0000-0000C94A0000}"/>
    <cellStyle name="Normal 12 7 4 2 2 3 2 3" xfId="19524" xr:uid="{00000000-0005-0000-0000-0000CA4A0000}"/>
    <cellStyle name="Normal 12 7 4 2 2 3 2 4" xfId="19525" xr:uid="{00000000-0005-0000-0000-0000CB4A0000}"/>
    <cellStyle name="Normal 12 7 4 2 2 3 2 5" xfId="19526" xr:uid="{00000000-0005-0000-0000-0000CC4A0000}"/>
    <cellStyle name="Normal 12 7 4 2 2 3 3" xfId="19527" xr:uid="{00000000-0005-0000-0000-0000CD4A0000}"/>
    <cellStyle name="Normal 12 7 4 2 2 3 4" xfId="19528" xr:uid="{00000000-0005-0000-0000-0000CE4A0000}"/>
    <cellStyle name="Normal 12 7 4 2 2 3 5" xfId="19529" xr:uid="{00000000-0005-0000-0000-0000CF4A0000}"/>
    <cellStyle name="Normal 12 7 4 2 2 3 6" xfId="19530" xr:uid="{00000000-0005-0000-0000-0000D04A0000}"/>
    <cellStyle name="Normal 12 7 4 2 2 3 7" xfId="19531" xr:uid="{00000000-0005-0000-0000-0000D14A0000}"/>
    <cellStyle name="Normal 12 7 4 2 2 3 8" xfId="19532" xr:uid="{00000000-0005-0000-0000-0000D24A0000}"/>
    <cellStyle name="Normal 12 7 4 2 2 4" xfId="19533" xr:uid="{00000000-0005-0000-0000-0000D34A0000}"/>
    <cellStyle name="Normal 12 7 4 2 2 4 2" xfId="19534" xr:uid="{00000000-0005-0000-0000-0000D44A0000}"/>
    <cellStyle name="Normal 12 7 4 2 2 4 3" xfId="19535" xr:uid="{00000000-0005-0000-0000-0000D54A0000}"/>
    <cellStyle name="Normal 12 7 4 2 2 4 4" xfId="19536" xr:uid="{00000000-0005-0000-0000-0000D64A0000}"/>
    <cellStyle name="Normal 12 7 4 2 2 4 5" xfId="19537" xr:uid="{00000000-0005-0000-0000-0000D74A0000}"/>
    <cellStyle name="Normal 12 7 4 2 2 5" xfId="19538" xr:uid="{00000000-0005-0000-0000-0000D84A0000}"/>
    <cellStyle name="Normal 12 7 4 2 2 6" xfId="19539" xr:uid="{00000000-0005-0000-0000-0000D94A0000}"/>
    <cellStyle name="Normal 12 7 4 2 2 7" xfId="19540" xr:uid="{00000000-0005-0000-0000-0000DA4A0000}"/>
    <cellStyle name="Normal 12 7 4 2 2 8" xfId="19541" xr:uid="{00000000-0005-0000-0000-0000DB4A0000}"/>
    <cellStyle name="Normal 12 7 4 2 2 9" xfId="19542" xr:uid="{00000000-0005-0000-0000-0000DC4A0000}"/>
    <cellStyle name="Normal 12 7 4 2 3" xfId="19543" xr:uid="{00000000-0005-0000-0000-0000DD4A0000}"/>
    <cellStyle name="Normal 12 7 4 2 3 2" xfId="19544" xr:uid="{00000000-0005-0000-0000-0000DE4A0000}"/>
    <cellStyle name="Normal 12 7 4 2 3 2 2" xfId="19545" xr:uid="{00000000-0005-0000-0000-0000DF4A0000}"/>
    <cellStyle name="Normal 12 7 4 2 3 2 3" xfId="19546" xr:uid="{00000000-0005-0000-0000-0000E04A0000}"/>
    <cellStyle name="Normal 12 7 4 2 3 2 4" xfId="19547" xr:uid="{00000000-0005-0000-0000-0000E14A0000}"/>
    <cellStyle name="Normal 12 7 4 2 3 2 5" xfId="19548" xr:uid="{00000000-0005-0000-0000-0000E24A0000}"/>
    <cellStyle name="Normal 12 7 4 2 3 3" xfId="19549" xr:uid="{00000000-0005-0000-0000-0000E34A0000}"/>
    <cellStyle name="Normal 12 7 4 2 3 4" xfId="19550" xr:uid="{00000000-0005-0000-0000-0000E44A0000}"/>
    <cellStyle name="Normal 12 7 4 2 3 5" xfId="19551" xr:uid="{00000000-0005-0000-0000-0000E54A0000}"/>
    <cellStyle name="Normal 12 7 4 2 3 6" xfId="19552" xr:uid="{00000000-0005-0000-0000-0000E64A0000}"/>
    <cellStyle name="Normal 12 7 4 2 3 7" xfId="19553" xr:uid="{00000000-0005-0000-0000-0000E74A0000}"/>
    <cellStyle name="Normal 12 7 4 2 3 8" xfId="19554" xr:uid="{00000000-0005-0000-0000-0000E84A0000}"/>
    <cellStyle name="Normal 12 7 4 2 4" xfId="19555" xr:uid="{00000000-0005-0000-0000-0000E94A0000}"/>
    <cellStyle name="Normal 12 7 4 2 4 2" xfId="19556" xr:uid="{00000000-0005-0000-0000-0000EA4A0000}"/>
    <cellStyle name="Normal 12 7 4 2 4 2 2" xfId="19557" xr:uid="{00000000-0005-0000-0000-0000EB4A0000}"/>
    <cellStyle name="Normal 12 7 4 2 4 2 3" xfId="19558" xr:uid="{00000000-0005-0000-0000-0000EC4A0000}"/>
    <cellStyle name="Normal 12 7 4 2 4 2 4" xfId="19559" xr:uid="{00000000-0005-0000-0000-0000ED4A0000}"/>
    <cellStyle name="Normal 12 7 4 2 4 2 5" xfId="19560" xr:uid="{00000000-0005-0000-0000-0000EE4A0000}"/>
    <cellStyle name="Normal 12 7 4 2 4 3" xfId="19561" xr:uid="{00000000-0005-0000-0000-0000EF4A0000}"/>
    <cellStyle name="Normal 12 7 4 2 4 4" xfId="19562" xr:uid="{00000000-0005-0000-0000-0000F04A0000}"/>
    <cellStyle name="Normal 12 7 4 2 4 5" xfId="19563" xr:uid="{00000000-0005-0000-0000-0000F14A0000}"/>
    <cellStyle name="Normal 12 7 4 2 4 6" xfId="19564" xr:uid="{00000000-0005-0000-0000-0000F24A0000}"/>
    <cellStyle name="Normal 12 7 4 2 4 7" xfId="19565" xr:uid="{00000000-0005-0000-0000-0000F34A0000}"/>
    <cellStyle name="Normal 12 7 4 2 4 8" xfId="19566" xr:uid="{00000000-0005-0000-0000-0000F44A0000}"/>
    <cellStyle name="Normal 12 7 4 2 5" xfId="19567" xr:uid="{00000000-0005-0000-0000-0000F54A0000}"/>
    <cellStyle name="Normal 12 7 4 2 5 2" xfId="19568" xr:uid="{00000000-0005-0000-0000-0000F64A0000}"/>
    <cellStyle name="Normal 12 7 4 2 5 3" xfId="19569" xr:uid="{00000000-0005-0000-0000-0000F74A0000}"/>
    <cellStyle name="Normal 12 7 4 2 5 4" xfId="19570" xr:uid="{00000000-0005-0000-0000-0000F84A0000}"/>
    <cellStyle name="Normal 12 7 4 2 5 5" xfId="19571" xr:uid="{00000000-0005-0000-0000-0000F94A0000}"/>
    <cellStyle name="Normal 12 7 4 2 6" xfId="19572" xr:uid="{00000000-0005-0000-0000-0000FA4A0000}"/>
    <cellStyle name="Normal 12 7 4 2 7" xfId="19573" xr:uid="{00000000-0005-0000-0000-0000FB4A0000}"/>
    <cellStyle name="Normal 12 7 4 2 8" xfId="19574" xr:uid="{00000000-0005-0000-0000-0000FC4A0000}"/>
    <cellStyle name="Normal 12 7 4 2 9" xfId="19575" xr:uid="{00000000-0005-0000-0000-0000FD4A0000}"/>
    <cellStyle name="Normal 12 7 4 3" xfId="19576" xr:uid="{00000000-0005-0000-0000-0000FE4A0000}"/>
    <cellStyle name="Normal 12 7 4 3 10" xfId="19577" xr:uid="{00000000-0005-0000-0000-0000FF4A0000}"/>
    <cellStyle name="Normal 12 7 4 3 11" xfId="19578" xr:uid="{00000000-0005-0000-0000-0000004B0000}"/>
    <cellStyle name="Normal 12 7 4 3 2" xfId="19579" xr:uid="{00000000-0005-0000-0000-0000014B0000}"/>
    <cellStyle name="Normal 12 7 4 3 2 10" xfId="19580" xr:uid="{00000000-0005-0000-0000-0000024B0000}"/>
    <cellStyle name="Normal 12 7 4 3 2 2" xfId="19581" xr:uid="{00000000-0005-0000-0000-0000034B0000}"/>
    <cellStyle name="Normal 12 7 4 3 2 2 2" xfId="19582" xr:uid="{00000000-0005-0000-0000-0000044B0000}"/>
    <cellStyle name="Normal 12 7 4 3 2 2 2 2" xfId="19583" xr:uid="{00000000-0005-0000-0000-0000054B0000}"/>
    <cellStyle name="Normal 12 7 4 3 2 2 2 3" xfId="19584" xr:uid="{00000000-0005-0000-0000-0000064B0000}"/>
    <cellStyle name="Normal 12 7 4 3 2 2 2 4" xfId="19585" xr:uid="{00000000-0005-0000-0000-0000074B0000}"/>
    <cellStyle name="Normal 12 7 4 3 2 2 2 5" xfId="19586" xr:uid="{00000000-0005-0000-0000-0000084B0000}"/>
    <cellStyle name="Normal 12 7 4 3 2 2 3" xfId="19587" xr:uid="{00000000-0005-0000-0000-0000094B0000}"/>
    <cellStyle name="Normal 12 7 4 3 2 2 4" xfId="19588" xr:uid="{00000000-0005-0000-0000-00000A4B0000}"/>
    <cellStyle name="Normal 12 7 4 3 2 2 5" xfId="19589" xr:uid="{00000000-0005-0000-0000-00000B4B0000}"/>
    <cellStyle name="Normal 12 7 4 3 2 2 6" xfId="19590" xr:uid="{00000000-0005-0000-0000-00000C4B0000}"/>
    <cellStyle name="Normal 12 7 4 3 2 2 7" xfId="19591" xr:uid="{00000000-0005-0000-0000-00000D4B0000}"/>
    <cellStyle name="Normal 12 7 4 3 2 2 8" xfId="19592" xr:uid="{00000000-0005-0000-0000-00000E4B0000}"/>
    <cellStyle name="Normal 12 7 4 3 2 3" xfId="19593" xr:uid="{00000000-0005-0000-0000-00000F4B0000}"/>
    <cellStyle name="Normal 12 7 4 3 2 3 2" xfId="19594" xr:uid="{00000000-0005-0000-0000-0000104B0000}"/>
    <cellStyle name="Normal 12 7 4 3 2 3 2 2" xfId="19595" xr:uid="{00000000-0005-0000-0000-0000114B0000}"/>
    <cellStyle name="Normal 12 7 4 3 2 3 2 3" xfId="19596" xr:uid="{00000000-0005-0000-0000-0000124B0000}"/>
    <cellStyle name="Normal 12 7 4 3 2 3 2 4" xfId="19597" xr:uid="{00000000-0005-0000-0000-0000134B0000}"/>
    <cellStyle name="Normal 12 7 4 3 2 3 2 5" xfId="19598" xr:uid="{00000000-0005-0000-0000-0000144B0000}"/>
    <cellStyle name="Normal 12 7 4 3 2 3 3" xfId="19599" xr:uid="{00000000-0005-0000-0000-0000154B0000}"/>
    <cellStyle name="Normal 12 7 4 3 2 3 4" xfId="19600" xr:uid="{00000000-0005-0000-0000-0000164B0000}"/>
    <cellStyle name="Normal 12 7 4 3 2 3 5" xfId="19601" xr:uid="{00000000-0005-0000-0000-0000174B0000}"/>
    <cellStyle name="Normal 12 7 4 3 2 3 6" xfId="19602" xr:uid="{00000000-0005-0000-0000-0000184B0000}"/>
    <cellStyle name="Normal 12 7 4 3 2 3 7" xfId="19603" xr:uid="{00000000-0005-0000-0000-0000194B0000}"/>
    <cellStyle name="Normal 12 7 4 3 2 3 8" xfId="19604" xr:uid="{00000000-0005-0000-0000-00001A4B0000}"/>
    <cellStyle name="Normal 12 7 4 3 2 4" xfId="19605" xr:uid="{00000000-0005-0000-0000-00001B4B0000}"/>
    <cellStyle name="Normal 12 7 4 3 2 4 2" xfId="19606" xr:uid="{00000000-0005-0000-0000-00001C4B0000}"/>
    <cellStyle name="Normal 12 7 4 3 2 4 3" xfId="19607" xr:uid="{00000000-0005-0000-0000-00001D4B0000}"/>
    <cellStyle name="Normal 12 7 4 3 2 4 4" xfId="19608" xr:uid="{00000000-0005-0000-0000-00001E4B0000}"/>
    <cellStyle name="Normal 12 7 4 3 2 4 5" xfId="19609" xr:uid="{00000000-0005-0000-0000-00001F4B0000}"/>
    <cellStyle name="Normal 12 7 4 3 2 5" xfId="19610" xr:uid="{00000000-0005-0000-0000-0000204B0000}"/>
    <cellStyle name="Normal 12 7 4 3 2 6" xfId="19611" xr:uid="{00000000-0005-0000-0000-0000214B0000}"/>
    <cellStyle name="Normal 12 7 4 3 2 7" xfId="19612" xr:uid="{00000000-0005-0000-0000-0000224B0000}"/>
    <cellStyle name="Normal 12 7 4 3 2 8" xfId="19613" xr:uid="{00000000-0005-0000-0000-0000234B0000}"/>
    <cellStyle name="Normal 12 7 4 3 2 9" xfId="19614" xr:uid="{00000000-0005-0000-0000-0000244B0000}"/>
    <cellStyle name="Normal 12 7 4 3 3" xfId="19615" xr:uid="{00000000-0005-0000-0000-0000254B0000}"/>
    <cellStyle name="Normal 12 7 4 3 3 2" xfId="19616" xr:uid="{00000000-0005-0000-0000-0000264B0000}"/>
    <cellStyle name="Normal 12 7 4 3 3 2 2" xfId="19617" xr:uid="{00000000-0005-0000-0000-0000274B0000}"/>
    <cellStyle name="Normal 12 7 4 3 3 2 3" xfId="19618" xr:uid="{00000000-0005-0000-0000-0000284B0000}"/>
    <cellStyle name="Normal 12 7 4 3 3 2 4" xfId="19619" xr:uid="{00000000-0005-0000-0000-0000294B0000}"/>
    <cellStyle name="Normal 12 7 4 3 3 2 5" xfId="19620" xr:uid="{00000000-0005-0000-0000-00002A4B0000}"/>
    <cellStyle name="Normal 12 7 4 3 3 3" xfId="19621" xr:uid="{00000000-0005-0000-0000-00002B4B0000}"/>
    <cellStyle name="Normal 12 7 4 3 3 4" xfId="19622" xr:uid="{00000000-0005-0000-0000-00002C4B0000}"/>
    <cellStyle name="Normal 12 7 4 3 3 5" xfId="19623" xr:uid="{00000000-0005-0000-0000-00002D4B0000}"/>
    <cellStyle name="Normal 12 7 4 3 3 6" xfId="19624" xr:uid="{00000000-0005-0000-0000-00002E4B0000}"/>
    <cellStyle name="Normal 12 7 4 3 3 7" xfId="19625" xr:uid="{00000000-0005-0000-0000-00002F4B0000}"/>
    <cellStyle name="Normal 12 7 4 3 3 8" xfId="19626" xr:uid="{00000000-0005-0000-0000-0000304B0000}"/>
    <cellStyle name="Normal 12 7 4 3 4" xfId="19627" xr:uid="{00000000-0005-0000-0000-0000314B0000}"/>
    <cellStyle name="Normal 12 7 4 3 4 2" xfId="19628" xr:uid="{00000000-0005-0000-0000-0000324B0000}"/>
    <cellStyle name="Normal 12 7 4 3 4 2 2" xfId="19629" xr:uid="{00000000-0005-0000-0000-0000334B0000}"/>
    <cellStyle name="Normal 12 7 4 3 4 2 3" xfId="19630" xr:uid="{00000000-0005-0000-0000-0000344B0000}"/>
    <cellStyle name="Normal 12 7 4 3 4 2 4" xfId="19631" xr:uid="{00000000-0005-0000-0000-0000354B0000}"/>
    <cellStyle name="Normal 12 7 4 3 4 2 5" xfId="19632" xr:uid="{00000000-0005-0000-0000-0000364B0000}"/>
    <cellStyle name="Normal 12 7 4 3 4 3" xfId="19633" xr:uid="{00000000-0005-0000-0000-0000374B0000}"/>
    <cellStyle name="Normal 12 7 4 3 4 4" xfId="19634" xr:uid="{00000000-0005-0000-0000-0000384B0000}"/>
    <cellStyle name="Normal 12 7 4 3 4 5" xfId="19635" xr:uid="{00000000-0005-0000-0000-0000394B0000}"/>
    <cellStyle name="Normal 12 7 4 3 4 6" xfId="19636" xr:uid="{00000000-0005-0000-0000-00003A4B0000}"/>
    <cellStyle name="Normal 12 7 4 3 4 7" xfId="19637" xr:uid="{00000000-0005-0000-0000-00003B4B0000}"/>
    <cellStyle name="Normal 12 7 4 3 4 8" xfId="19638" xr:uid="{00000000-0005-0000-0000-00003C4B0000}"/>
    <cellStyle name="Normal 12 7 4 3 5" xfId="19639" xr:uid="{00000000-0005-0000-0000-00003D4B0000}"/>
    <cellStyle name="Normal 12 7 4 3 5 2" xfId="19640" xr:uid="{00000000-0005-0000-0000-00003E4B0000}"/>
    <cellStyle name="Normal 12 7 4 3 5 3" xfId="19641" xr:uid="{00000000-0005-0000-0000-00003F4B0000}"/>
    <cellStyle name="Normal 12 7 4 3 5 4" xfId="19642" xr:uid="{00000000-0005-0000-0000-0000404B0000}"/>
    <cellStyle name="Normal 12 7 4 3 5 5" xfId="19643" xr:uid="{00000000-0005-0000-0000-0000414B0000}"/>
    <cellStyle name="Normal 12 7 4 3 6" xfId="19644" xr:uid="{00000000-0005-0000-0000-0000424B0000}"/>
    <cellStyle name="Normal 12 7 4 3 7" xfId="19645" xr:uid="{00000000-0005-0000-0000-0000434B0000}"/>
    <cellStyle name="Normal 12 7 4 3 8" xfId="19646" xr:uid="{00000000-0005-0000-0000-0000444B0000}"/>
    <cellStyle name="Normal 12 7 4 3 9" xfId="19647" xr:uid="{00000000-0005-0000-0000-0000454B0000}"/>
    <cellStyle name="Normal 12 7 4 4" xfId="19648" xr:uid="{00000000-0005-0000-0000-0000464B0000}"/>
    <cellStyle name="Normal 12 7 4 4 10" xfId="19649" xr:uid="{00000000-0005-0000-0000-0000474B0000}"/>
    <cellStyle name="Normal 12 7 4 4 2" xfId="19650" xr:uid="{00000000-0005-0000-0000-0000484B0000}"/>
    <cellStyle name="Normal 12 7 4 4 2 2" xfId="19651" xr:uid="{00000000-0005-0000-0000-0000494B0000}"/>
    <cellStyle name="Normal 12 7 4 4 2 2 2" xfId="19652" xr:uid="{00000000-0005-0000-0000-00004A4B0000}"/>
    <cellStyle name="Normal 12 7 4 4 2 2 3" xfId="19653" xr:uid="{00000000-0005-0000-0000-00004B4B0000}"/>
    <cellStyle name="Normal 12 7 4 4 2 2 4" xfId="19654" xr:uid="{00000000-0005-0000-0000-00004C4B0000}"/>
    <cellStyle name="Normal 12 7 4 4 2 2 5" xfId="19655" xr:uid="{00000000-0005-0000-0000-00004D4B0000}"/>
    <cellStyle name="Normal 12 7 4 4 2 3" xfId="19656" xr:uid="{00000000-0005-0000-0000-00004E4B0000}"/>
    <cellStyle name="Normal 12 7 4 4 2 4" xfId="19657" xr:uid="{00000000-0005-0000-0000-00004F4B0000}"/>
    <cellStyle name="Normal 12 7 4 4 2 5" xfId="19658" xr:uid="{00000000-0005-0000-0000-0000504B0000}"/>
    <cellStyle name="Normal 12 7 4 4 2 6" xfId="19659" xr:uid="{00000000-0005-0000-0000-0000514B0000}"/>
    <cellStyle name="Normal 12 7 4 4 2 7" xfId="19660" xr:uid="{00000000-0005-0000-0000-0000524B0000}"/>
    <cellStyle name="Normal 12 7 4 4 2 8" xfId="19661" xr:uid="{00000000-0005-0000-0000-0000534B0000}"/>
    <cellStyle name="Normal 12 7 4 4 3" xfId="19662" xr:uid="{00000000-0005-0000-0000-0000544B0000}"/>
    <cellStyle name="Normal 12 7 4 4 3 2" xfId="19663" xr:uid="{00000000-0005-0000-0000-0000554B0000}"/>
    <cellStyle name="Normal 12 7 4 4 3 2 2" xfId="19664" xr:uid="{00000000-0005-0000-0000-0000564B0000}"/>
    <cellStyle name="Normal 12 7 4 4 3 2 3" xfId="19665" xr:uid="{00000000-0005-0000-0000-0000574B0000}"/>
    <cellStyle name="Normal 12 7 4 4 3 2 4" xfId="19666" xr:uid="{00000000-0005-0000-0000-0000584B0000}"/>
    <cellStyle name="Normal 12 7 4 4 3 2 5" xfId="19667" xr:uid="{00000000-0005-0000-0000-0000594B0000}"/>
    <cellStyle name="Normal 12 7 4 4 3 3" xfId="19668" xr:uid="{00000000-0005-0000-0000-00005A4B0000}"/>
    <cellStyle name="Normal 12 7 4 4 3 4" xfId="19669" xr:uid="{00000000-0005-0000-0000-00005B4B0000}"/>
    <cellStyle name="Normal 12 7 4 4 3 5" xfId="19670" xr:uid="{00000000-0005-0000-0000-00005C4B0000}"/>
    <cellStyle name="Normal 12 7 4 4 3 6" xfId="19671" xr:uid="{00000000-0005-0000-0000-00005D4B0000}"/>
    <cellStyle name="Normal 12 7 4 4 3 7" xfId="19672" xr:uid="{00000000-0005-0000-0000-00005E4B0000}"/>
    <cellStyle name="Normal 12 7 4 4 3 8" xfId="19673" xr:uid="{00000000-0005-0000-0000-00005F4B0000}"/>
    <cellStyle name="Normal 12 7 4 4 4" xfId="19674" xr:uid="{00000000-0005-0000-0000-0000604B0000}"/>
    <cellStyle name="Normal 12 7 4 4 4 2" xfId="19675" xr:uid="{00000000-0005-0000-0000-0000614B0000}"/>
    <cellStyle name="Normal 12 7 4 4 4 3" xfId="19676" xr:uid="{00000000-0005-0000-0000-0000624B0000}"/>
    <cellStyle name="Normal 12 7 4 4 4 4" xfId="19677" xr:uid="{00000000-0005-0000-0000-0000634B0000}"/>
    <cellStyle name="Normal 12 7 4 4 4 5" xfId="19678" xr:uid="{00000000-0005-0000-0000-0000644B0000}"/>
    <cellStyle name="Normal 12 7 4 4 5" xfId="19679" xr:uid="{00000000-0005-0000-0000-0000654B0000}"/>
    <cellStyle name="Normal 12 7 4 4 6" xfId="19680" xr:uid="{00000000-0005-0000-0000-0000664B0000}"/>
    <cellStyle name="Normal 12 7 4 4 7" xfId="19681" xr:uid="{00000000-0005-0000-0000-0000674B0000}"/>
    <cellStyle name="Normal 12 7 4 4 8" xfId="19682" xr:uid="{00000000-0005-0000-0000-0000684B0000}"/>
    <cellStyle name="Normal 12 7 4 4 9" xfId="19683" xr:uid="{00000000-0005-0000-0000-0000694B0000}"/>
    <cellStyle name="Normal 12 7 4 5" xfId="19684" xr:uid="{00000000-0005-0000-0000-00006A4B0000}"/>
    <cellStyle name="Normal 12 7 4 5 2" xfId="19685" xr:uid="{00000000-0005-0000-0000-00006B4B0000}"/>
    <cellStyle name="Normal 12 7 4 5 2 2" xfId="19686" xr:uid="{00000000-0005-0000-0000-00006C4B0000}"/>
    <cellStyle name="Normal 12 7 4 5 2 3" xfId="19687" xr:uid="{00000000-0005-0000-0000-00006D4B0000}"/>
    <cellStyle name="Normal 12 7 4 5 2 4" xfId="19688" xr:uid="{00000000-0005-0000-0000-00006E4B0000}"/>
    <cellStyle name="Normal 12 7 4 5 2 5" xfId="19689" xr:uid="{00000000-0005-0000-0000-00006F4B0000}"/>
    <cellStyle name="Normal 12 7 4 5 3" xfId="19690" xr:uid="{00000000-0005-0000-0000-0000704B0000}"/>
    <cellStyle name="Normal 12 7 4 5 4" xfId="19691" xr:uid="{00000000-0005-0000-0000-0000714B0000}"/>
    <cellStyle name="Normal 12 7 4 5 5" xfId="19692" xr:uid="{00000000-0005-0000-0000-0000724B0000}"/>
    <cellStyle name="Normal 12 7 4 5 6" xfId="19693" xr:uid="{00000000-0005-0000-0000-0000734B0000}"/>
    <cellStyle name="Normal 12 7 4 5 7" xfId="19694" xr:uid="{00000000-0005-0000-0000-0000744B0000}"/>
    <cellStyle name="Normal 12 7 4 5 8" xfId="19695" xr:uid="{00000000-0005-0000-0000-0000754B0000}"/>
    <cellStyle name="Normal 12 7 4 6" xfId="19696" xr:uid="{00000000-0005-0000-0000-0000764B0000}"/>
    <cellStyle name="Normal 12 7 4 6 2" xfId="19697" xr:uid="{00000000-0005-0000-0000-0000774B0000}"/>
    <cellStyle name="Normal 12 7 4 6 2 2" xfId="19698" xr:uid="{00000000-0005-0000-0000-0000784B0000}"/>
    <cellStyle name="Normal 12 7 4 6 2 3" xfId="19699" xr:uid="{00000000-0005-0000-0000-0000794B0000}"/>
    <cellStyle name="Normal 12 7 4 6 2 4" xfId="19700" xr:uid="{00000000-0005-0000-0000-00007A4B0000}"/>
    <cellStyle name="Normal 12 7 4 6 2 5" xfId="19701" xr:uid="{00000000-0005-0000-0000-00007B4B0000}"/>
    <cellStyle name="Normal 12 7 4 6 3" xfId="19702" xr:uid="{00000000-0005-0000-0000-00007C4B0000}"/>
    <cellStyle name="Normal 12 7 4 6 4" xfId="19703" xr:uid="{00000000-0005-0000-0000-00007D4B0000}"/>
    <cellStyle name="Normal 12 7 4 6 5" xfId="19704" xr:uid="{00000000-0005-0000-0000-00007E4B0000}"/>
    <cellStyle name="Normal 12 7 4 6 6" xfId="19705" xr:uid="{00000000-0005-0000-0000-00007F4B0000}"/>
    <cellStyle name="Normal 12 7 4 6 7" xfId="19706" xr:uid="{00000000-0005-0000-0000-0000804B0000}"/>
    <cellStyle name="Normal 12 7 4 6 8" xfId="19707" xr:uid="{00000000-0005-0000-0000-0000814B0000}"/>
    <cellStyle name="Normal 12 7 4 7" xfId="19708" xr:uid="{00000000-0005-0000-0000-0000824B0000}"/>
    <cellStyle name="Normal 12 7 4 7 2" xfId="19709" xr:uid="{00000000-0005-0000-0000-0000834B0000}"/>
    <cellStyle name="Normal 12 7 4 7 3" xfId="19710" xr:uid="{00000000-0005-0000-0000-0000844B0000}"/>
    <cellStyle name="Normal 12 7 4 7 4" xfId="19711" xr:uid="{00000000-0005-0000-0000-0000854B0000}"/>
    <cellStyle name="Normal 12 7 4 7 5" xfId="19712" xr:uid="{00000000-0005-0000-0000-0000864B0000}"/>
    <cellStyle name="Normal 12 7 4 8" xfId="19713" xr:uid="{00000000-0005-0000-0000-0000874B0000}"/>
    <cellStyle name="Normal 12 7 4 9" xfId="19714" xr:uid="{00000000-0005-0000-0000-0000884B0000}"/>
    <cellStyle name="Normal 12 7 5" xfId="19715" xr:uid="{00000000-0005-0000-0000-0000894B0000}"/>
    <cellStyle name="Normal 12 7 5 10" xfId="19716" xr:uid="{00000000-0005-0000-0000-00008A4B0000}"/>
    <cellStyle name="Normal 12 7 5 11" xfId="19717" xr:uid="{00000000-0005-0000-0000-00008B4B0000}"/>
    <cellStyle name="Normal 12 7 5 12" xfId="19718" xr:uid="{00000000-0005-0000-0000-00008C4B0000}"/>
    <cellStyle name="Normal 12 7 5 13" xfId="19719" xr:uid="{00000000-0005-0000-0000-00008D4B0000}"/>
    <cellStyle name="Normal 12 7 5 2" xfId="19720" xr:uid="{00000000-0005-0000-0000-00008E4B0000}"/>
    <cellStyle name="Normal 12 7 5 2 10" xfId="19721" xr:uid="{00000000-0005-0000-0000-00008F4B0000}"/>
    <cellStyle name="Normal 12 7 5 2 11" xfId="19722" xr:uid="{00000000-0005-0000-0000-0000904B0000}"/>
    <cellStyle name="Normal 12 7 5 2 2" xfId="19723" xr:uid="{00000000-0005-0000-0000-0000914B0000}"/>
    <cellStyle name="Normal 12 7 5 2 2 10" xfId="19724" xr:uid="{00000000-0005-0000-0000-0000924B0000}"/>
    <cellStyle name="Normal 12 7 5 2 2 2" xfId="19725" xr:uid="{00000000-0005-0000-0000-0000934B0000}"/>
    <cellStyle name="Normal 12 7 5 2 2 2 2" xfId="19726" xr:uid="{00000000-0005-0000-0000-0000944B0000}"/>
    <cellStyle name="Normal 12 7 5 2 2 2 2 2" xfId="19727" xr:uid="{00000000-0005-0000-0000-0000954B0000}"/>
    <cellStyle name="Normal 12 7 5 2 2 2 2 3" xfId="19728" xr:uid="{00000000-0005-0000-0000-0000964B0000}"/>
    <cellStyle name="Normal 12 7 5 2 2 2 2 4" xfId="19729" xr:uid="{00000000-0005-0000-0000-0000974B0000}"/>
    <cellStyle name="Normal 12 7 5 2 2 2 2 5" xfId="19730" xr:uid="{00000000-0005-0000-0000-0000984B0000}"/>
    <cellStyle name="Normal 12 7 5 2 2 2 3" xfId="19731" xr:uid="{00000000-0005-0000-0000-0000994B0000}"/>
    <cellStyle name="Normal 12 7 5 2 2 2 4" xfId="19732" xr:uid="{00000000-0005-0000-0000-00009A4B0000}"/>
    <cellStyle name="Normal 12 7 5 2 2 2 5" xfId="19733" xr:uid="{00000000-0005-0000-0000-00009B4B0000}"/>
    <cellStyle name="Normal 12 7 5 2 2 2 6" xfId="19734" xr:uid="{00000000-0005-0000-0000-00009C4B0000}"/>
    <cellStyle name="Normal 12 7 5 2 2 2 7" xfId="19735" xr:uid="{00000000-0005-0000-0000-00009D4B0000}"/>
    <cellStyle name="Normal 12 7 5 2 2 2 8" xfId="19736" xr:uid="{00000000-0005-0000-0000-00009E4B0000}"/>
    <cellStyle name="Normal 12 7 5 2 2 3" xfId="19737" xr:uid="{00000000-0005-0000-0000-00009F4B0000}"/>
    <cellStyle name="Normal 12 7 5 2 2 3 2" xfId="19738" xr:uid="{00000000-0005-0000-0000-0000A04B0000}"/>
    <cellStyle name="Normal 12 7 5 2 2 3 2 2" xfId="19739" xr:uid="{00000000-0005-0000-0000-0000A14B0000}"/>
    <cellStyle name="Normal 12 7 5 2 2 3 2 3" xfId="19740" xr:uid="{00000000-0005-0000-0000-0000A24B0000}"/>
    <cellStyle name="Normal 12 7 5 2 2 3 2 4" xfId="19741" xr:uid="{00000000-0005-0000-0000-0000A34B0000}"/>
    <cellStyle name="Normal 12 7 5 2 2 3 2 5" xfId="19742" xr:uid="{00000000-0005-0000-0000-0000A44B0000}"/>
    <cellStyle name="Normal 12 7 5 2 2 3 3" xfId="19743" xr:uid="{00000000-0005-0000-0000-0000A54B0000}"/>
    <cellStyle name="Normal 12 7 5 2 2 3 4" xfId="19744" xr:uid="{00000000-0005-0000-0000-0000A64B0000}"/>
    <cellStyle name="Normal 12 7 5 2 2 3 5" xfId="19745" xr:uid="{00000000-0005-0000-0000-0000A74B0000}"/>
    <cellStyle name="Normal 12 7 5 2 2 3 6" xfId="19746" xr:uid="{00000000-0005-0000-0000-0000A84B0000}"/>
    <cellStyle name="Normal 12 7 5 2 2 3 7" xfId="19747" xr:uid="{00000000-0005-0000-0000-0000A94B0000}"/>
    <cellStyle name="Normal 12 7 5 2 2 3 8" xfId="19748" xr:uid="{00000000-0005-0000-0000-0000AA4B0000}"/>
    <cellStyle name="Normal 12 7 5 2 2 4" xfId="19749" xr:uid="{00000000-0005-0000-0000-0000AB4B0000}"/>
    <cellStyle name="Normal 12 7 5 2 2 4 2" xfId="19750" xr:uid="{00000000-0005-0000-0000-0000AC4B0000}"/>
    <cellStyle name="Normal 12 7 5 2 2 4 3" xfId="19751" xr:uid="{00000000-0005-0000-0000-0000AD4B0000}"/>
    <cellStyle name="Normal 12 7 5 2 2 4 4" xfId="19752" xr:uid="{00000000-0005-0000-0000-0000AE4B0000}"/>
    <cellStyle name="Normal 12 7 5 2 2 4 5" xfId="19753" xr:uid="{00000000-0005-0000-0000-0000AF4B0000}"/>
    <cellStyle name="Normal 12 7 5 2 2 5" xfId="19754" xr:uid="{00000000-0005-0000-0000-0000B04B0000}"/>
    <cellStyle name="Normal 12 7 5 2 2 6" xfId="19755" xr:uid="{00000000-0005-0000-0000-0000B14B0000}"/>
    <cellStyle name="Normal 12 7 5 2 2 7" xfId="19756" xr:uid="{00000000-0005-0000-0000-0000B24B0000}"/>
    <cellStyle name="Normal 12 7 5 2 2 8" xfId="19757" xr:uid="{00000000-0005-0000-0000-0000B34B0000}"/>
    <cellStyle name="Normal 12 7 5 2 2 9" xfId="19758" xr:uid="{00000000-0005-0000-0000-0000B44B0000}"/>
    <cellStyle name="Normal 12 7 5 2 3" xfId="19759" xr:uid="{00000000-0005-0000-0000-0000B54B0000}"/>
    <cellStyle name="Normal 12 7 5 2 3 2" xfId="19760" xr:uid="{00000000-0005-0000-0000-0000B64B0000}"/>
    <cellStyle name="Normal 12 7 5 2 3 2 2" xfId="19761" xr:uid="{00000000-0005-0000-0000-0000B74B0000}"/>
    <cellStyle name="Normal 12 7 5 2 3 2 3" xfId="19762" xr:uid="{00000000-0005-0000-0000-0000B84B0000}"/>
    <cellStyle name="Normal 12 7 5 2 3 2 4" xfId="19763" xr:uid="{00000000-0005-0000-0000-0000B94B0000}"/>
    <cellStyle name="Normal 12 7 5 2 3 2 5" xfId="19764" xr:uid="{00000000-0005-0000-0000-0000BA4B0000}"/>
    <cellStyle name="Normal 12 7 5 2 3 3" xfId="19765" xr:uid="{00000000-0005-0000-0000-0000BB4B0000}"/>
    <cellStyle name="Normal 12 7 5 2 3 4" xfId="19766" xr:uid="{00000000-0005-0000-0000-0000BC4B0000}"/>
    <cellStyle name="Normal 12 7 5 2 3 5" xfId="19767" xr:uid="{00000000-0005-0000-0000-0000BD4B0000}"/>
    <cellStyle name="Normal 12 7 5 2 3 6" xfId="19768" xr:uid="{00000000-0005-0000-0000-0000BE4B0000}"/>
    <cellStyle name="Normal 12 7 5 2 3 7" xfId="19769" xr:uid="{00000000-0005-0000-0000-0000BF4B0000}"/>
    <cellStyle name="Normal 12 7 5 2 3 8" xfId="19770" xr:uid="{00000000-0005-0000-0000-0000C04B0000}"/>
    <cellStyle name="Normal 12 7 5 2 4" xfId="19771" xr:uid="{00000000-0005-0000-0000-0000C14B0000}"/>
    <cellStyle name="Normal 12 7 5 2 4 2" xfId="19772" xr:uid="{00000000-0005-0000-0000-0000C24B0000}"/>
    <cellStyle name="Normal 12 7 5 2 4 2 2" xfId="19773" xr:uid="{00000000-0005-0000-0000-0000C34B0000}"/>
    <cellStyle name="Normal 12 7 5 2 4 2 3" xfId="19774" xr:uid="{00000000-0005-0000-0000-0000C44B0000}"/>
    <cellStyle name="Normal 12 7 5 2 4 2 4" xfId="19775" xr:uid="{00000000-0005-0000-0000-0000C54B0000}"/>
    <cellStyle name="Normal 12 7 5 2 4 2 5" xfId="19776" xr:uid="{00000000-0005-0000-0000-0000C64B0000}"/>
    <cellStyle name="Normal 12 7 5 2 4 3" xfId="19777" xr:uid="{00000000-0005-0000-0000-0000C74B0000}"/>
    <cellStyle name="Normal 12 7 5 2 4 4" xfId="19778" xr:uid="{00000000-0005-0000-0000-0000C84B0000}"/>
    <cellStyle name="Normal 12 7 5 2 4 5" xfId="19779" xr:uid="{00000000-0005-0000-0000-0000C94B0000}"/>
    <cellStyle name="Normal 12 7 5 2 4 6" xfId="19780" xr:uid="{00000000-0005-0000-0000-0000CA4B0000}"/>
    <cellStyle name="Normal 12 7 5 2 4 7" xfId="19781" xr:uid="{00000000-0005-0000-0000-0000CB4B0000}"/>
    <cellStyle name="Normal 12 7 5 2 4 8" xfId="19782" xr:uid="{00000000-0005-0000-0000-0000CC4B0000}"/>
    <cellStyle name="Normal 12 7 5 2 5" xfId="19783" xr:uid="{00000000-0005-0000-0000-0000CD4B0000}"/>
    <cellStyle name="Normal 12 7 5 2 5 2" xfId="19784" xr:uid="{00000000-0005-0000-0000-0000CE4B0000}"/>
    <cellStyle name="Normal 12 7 5 2 5 3" xfId="19785" xr:uid="{00000000-0005-0000-0000-0000CF4B0000}"/>
    <cellStyle name="Normal 12 7 5 2 5 4" xfId="19786" xr:uid="{00000000-0005-0000-0000-0000D04B0000}"/>
    <cellStyle name="Normal 12 7 5 2 5 5" xfId="19787" xr:uid="{00000000-0005-0000-0000-0000D14B0000}"/>
    <cellStyle name="Normal 12 7 5 2 6" xfId="19788" xr:uid="{00000000-0005-0000-0000-0000D24B0000}"/>
    <cellStyle name="Normal 12 7 5 2 7" xfId="19789" xr:uid="{00000000-0005-0000-0000-0000D34B0000}"/>
    <cellStyle name="Normal 12 7 5 2 8" xfId="19790" xr:uid="{00000000-0005-0000-0000-0000D44B0000}"/>
    <cellStyle name="Normal 12 7 5 2 9" xfId="19791" xr:uid="{00000000-0005-0000-0000-0000D54B0000}"/>
    <cellStyle name="Normal 12 7 5 3" xfId="19792" xr:uid="{00000000-0005-0000-0000-0000D64B0000}"/>
    <cellStyle name="Normal 12 7 5 3 10" xfId="19793" xr:uid="{00000000-0005-0000-0000-0000D74B0000}"/>
    <cellStyle name="Normal 12 7 5 3 11" xfId="19794" xr:uid="{00000000-0005-0000-0000-0000D84B0000}"/>
    <cellStyle name="Normal 12 7 5 3 2" xfId="19795" xr:uid="{00000000-0005-0000-0000-0000D94B0000}"/>
    <cellStyle name="Normal 12 7 5 3 2 10" xfId="19796" xr:uid="{00000000-0005-0000-0000-0000DA4B0000}"/>
    <cellStyle name="Normal 12 7 5 3 2 2" xfId="19797" xr:uid="{00000000-0005-0000-0000-0000DB4B0000}"/>
    <cellStyle name="Normal 12 7 5 3 2 2 2" xfId="19798" xr:uid="{00000000-0005-0000-0000-0000DC4B0000}"/>
    <cellStyle name="Normal 12 7 5 3 2 2 2 2" xfId="19799" xr:uid="{00000000-0005-0000-0000-0000DD4B0000}"/>
    <cellStyle name="Normal 12 7 5 3 2 2 2 3" xfId="19800" xr:uid="{00000000-0005-0000-0000-0000DE4B0000}"/>
    <cellStyle name="Normal 12 7 5 3 2 2 2 4" xfId="19801" xr:uid="{00000000-0005-0000-0000-0000DF4B0000}"/>
    <cellStyle name="Normal 12 7 5 3 2 2 2 5" xfId="19802" xr:uid="{00000000-0005-0000-0000-0000E04B0000}"/>
    <cellStyle name="Normal 12 7 5 3 2 2 3" xfId="19803" xr:uid="{00000000-0005-0000-0000-0000E14B0000}"/>
    <cellStyle name="Normal 12 7 5 3 2 2 4" xfId="19804" xr:uid="{00000000-0005-0000-0000-0000E24B0000}"/>
    <cellStyle name="Normal 12 7 5 3 2 2 5" xfId="19805" xr:uid="{00000000-0005-0000-0000-0000E34B0000}"/>
    <cellStyle name="Normal 12 7 5 3 2 2 6" xfId="19806" xr:uid="{00000000-0005-0000-0000-0000E44B0000}"/>
    <cellStyle name="Normal 12 7 5 3 2 2 7" xfId="19807" xr:uid="{00000000-0005-0000-0000-0000E54B0000}"/>
    <cellStyle name="Normal 12 7 5 3 2 2 8" xfId="19808" xr:uid="{00000000-0005-0000-0000-0000E64B0000}"/>
    <cellStyle name="Normal 12 7 5 3 2 3" xfId="19809" xr:uid="{00000000-0005-0000-0000-0000E74B0000}"/>
    <cellStyle name="Normal 12 7 5 3 2 3 2" xfId="19810" xr:uid="{00000000-0005-0000-0000-0000E84B0000}"/>
    <cellStyle name="Normal 12 7 5 3 2 3 2 2" xfId="19811" xr:uid="{00000000-0005-0000-0000-0000E94B0000}"/>
    <cellStyle name="Normal 12 7 5 3 2 3 2 3" xfId="19812" xr:uid="{00000000-0005-0000-0000-0000EA4B0000}"/>
    <cellStyle name="Normal 12 7 5 3 2 3 2 4" xfId="19813" xr:uid="{00000000-0005-0000-0000-0000EB4B0000}"/>
    <cellStyle name="Normal 12 7 5 3 2 3 2 5" xfId="19814" xr:uid="{00000000-0005-0000-0000-0000EC4B0000}"/>
    <cellStyle name="Normal 12 7 5 3 2 3 3" xfId="19815" xr:uid="{00000000-0005-0000-0000-0000ED4B0000}"/>
    <cellStyle name="Normal 12 7 5 3 2 3 4" xfId="19816" xr:uid="{00000000-0005-0000-0000-0000EE4B0000}"/>
    <cellStyle name="Normal 12 7 5 3 2 3 5" xfId="19817" xr:uid="{00000000-0005-0000-0000-0000EF4B0000}"/>
    <cellStyle name="Normal 12 7 5 3 2 3 6" xfId="19818" xr:uid="{00000000-0005-0000-0000-0000F04B0000}"/>
    <cellStyle name="Normal 12 7 5 3 2 3 7" xfId="19819" xr:uid="{00000000-0005-0000-0000-0000F14B0000}"/>
    <cellStyle name="Normal 12 7 5 3 2 3 8" xfId="19820" xr:uid="{00000000-0005-0000-0000-0000F24B0000}"/>
    <cellStyle name="Normal 12 7 5 3 2 4" xfId="19821" xr:uid="{00000000-0005-0000-0000-0000F34B0000}"/>
    <cellStyle name="Normal 12 7 5 3 2 4 2" xfId="19822" xr:uid="{00000000-0005-0000-0000-0000F44B0000}"/>
    <cellStyle name="Normal 12 7 5 3 2 4 3" xfId="19823" xr:uid="{00000000-0005-0000-0000-0000F54B0000}"/>
    <cellStyle name="Normal 12 7 5 3 2 4 4" xfId="19824" xr:uid="{00000000-0005-0000-0000-0000F64B0000}"/>
    <cellStyle name="Normal 12 7 5 3 2 4 5" xfId="19825" xr:uid="{00000000-0005-0000-0000-0000F74B0000}"/>
    <cellStyle name="Normal 12 7 5 3 2 5" xfId="19826" xr:uid="{00000000-0005-0000-0000-0000F84B0000}"/>
    <cellStyle name="Normal 12 7 5 3 2 6" xfId="19827" xr:uid="{00000000-0005-0000-0000-0000F94B0000}"/>
    <cellStyle name="Normal 12 7 5 3 2 7" xfId="19828" xr:uid="{00000000-0005-0000-0000-0000FA4B0000}"/>
    <cellStyle name="Normal 12 7 5 3 2 8" xfId="19829" xr:uid="{00000000-0005-0000-0000-0000FB4B0000}"/>
    <cellStyle name="Normal 12 7 5 3 2 9" xfId="19830" xr:uid="{00000000-0005-0000-0000-0000FC4B0000}"/>
    <cellStyle name="Normal 12 7 5 3 3" xfId="19831" xr:uid="{00000000-0005-0000-0000-0000FD4B0000}"/>
    <cellStyle name="Normal 12 7 5 3 3 2" xfId="19832" xr:uid="{00000000-0005-0000-0000-0000FE4B0000}"/>
    <cellStyle name="Normal 12 7 5 3 3 2 2" xfId="19833" xr:uid="{00000000-0005-0000-0000-0000FF4B0000}"/>
    <cellStyle name="Normal 12 7 5 3 3 2 3" xfId="19834" xr:uid="{00000000-0005-0000-0000-0000004C0000}"/>
    <cellStyle name="Normal 12 7 5 3 3 2 4" xfId="19835" xr:uid="{00000000-0005-0000-0000-0000014C0000}"/>
    <cellStyle name="Normal 12 7 5 3 3 2 5" xfId="19836" xr:uid="{00000000-0005-0000-0000-0000024C0000}"/>
    <cellStyle name="Normal 12 7 5 3 3 3" xfId="19837" xr:uid="{00000000-0005-0000-0000-0000034C0000}"/>
    <cellStyle name="Normal 12 7 5 3 3 4" xfId="19838" xr:uid="{00000000-0005-0000-0000-0000044C0000}"/>
    <cellStyle name="Normal 12 7 5 3 3 5" xfId="19839" xr:uid="{00000000-0005-0000-0000-0000054C0000}"/>
    <cellStyle name="Normal 12 7 5 3 3 6" xfId="19840" xr:uid="{00000000-0005-0000-0000-0000064C0000}"/>
    <cellStyle name="Normal 12 7 5 3 3 7" xfId="19841" xr:uid="{00000000-0005-0000-0000-0000074C0000}"/>
    <cellStyle name="Normal 12 7 5 3 3 8" xfId="19842" xr:uid="{00000000-0005-0000-0000-0000084C0000}"/>
    <cellStyle name="Normal 12 7 5 3 4" xfId="19843" xr:uid="{00000000-0005-0000-0000-0000094C0000}"/>
    <cellStyle name="Normal 12 7 5 3 4 2" xfId="19844" xr:uid="{00000000-0005-0000-0000-00000A4C0000}"/>
    <cellStyle name="Normal 12 7 5 3 4 2 2" xfId="19845" xr:uid="{00000000-0005-0000-0000-00000B4C0000}"/>
    <cellStyle name="Normal 12 7 5 3 4 2 3" xfId="19846" xr:uid="{00000000-0005-0000-0000-00000C4C0000}"/>
    <cellStyle name="Normal 12 7 5 3 4 2 4" xfId="19847" xr:uid="{00000000-0005-0000-0000-00000D4C0000}"/>
    <cellStyle name="Normal 12 7 5 3 4 2 5" xfId="19848" xr:uid="{00000000-0005-0000-0000-00000E4C0000}"/>
    <cellStyle name="Normal 12 7 5 3 4 3" xfId="19849" xr:uid="{00000000-0005-0000-0000-00000F4C0000}"/>
    <cellStyle name="Normal 12 7 5 3 4 4" xfId="19850" xr:uid="{00000000-0005-0000-0000-0000104C0000}"/>
    <cellStyle name="Normal 12 7 5 3 4 5" xfId="19851" xr:uid="{00000000-0005-0000-0000-0000114C0000}"/>
    <cellStyle name="Normal 12 7 5 3 4 6" xfId="19852" xr:uid="{00000000-0005-0000-0000-0000124C0000}"/>
    <cellStyle name="Normal 12 7 5 3 4 7" xfId="19853" xr:uid="{00000000-0005-0000-0000-0000134C0000}"/>
    <cellStyle name="Normal 12 7 5 3 4 8" xfId="19854" xr:uid="{00000000-0005-0000-0000-0000144C0000}"/>
    <cellStyle name="Normal 12 7 5 3 5" xfId="19855" xr:uid="{00000000-0005-0000-0000-0000154C0000}"/>
    <cellStyle name="Normal 12 7 5 3 5 2" xfId="19856" xr:uid="{00000000-0005-0000-0000-0000164C0000}"/>
    <cellStyle name="Normal 12 7 5 3 5 3" xfId="19857" xr:uid="{00000000-0005-0000-0000-0000174C0000}"/>
    <cellStyle name="Normal 12 7 5 3 5 4" xfId="19858" xr:uid="{00000000-0005-0000-0000-0000184C0000}"/>
    <cellStyle name="Normal 12 7 5 3 5 5" xfId="19859" xr:uid="{00000000-0005-0000-0000-0000194C0000}"/>
    <cellStyle name="Normal 12 7 5 3 6" xfId="19860" xr:uid="{00000000-0005-0000-0000-00001A4C0000}"/>
    <cellStyle name="Normal 12 7 5 3 7" xfId="19861" xr:uid="{00000000-0005-0000-0000-00001B4C0000}"/>
    <cellStyle name="Normal 12 7 5 3 8" xfId="19862" xr:uid="{00000000-0005-0000-0000-00001C4C0000}"/>
    <cellStyle name="Normal 12 7 5 3 9" xfId="19863" xr:uid="{00000000-0005-0000-0000-00001D4C0000}"/>
    <cellStyle name="Normal 12 7 5 4" xfId="19864" xr:uid="{00000000-0005-0000-0000-00001E4C0000}"/>
    <cellStyle name="Normal 12 7 5 4 10" xfId="19865" xr:uid="{00000000-0005-0000-0000-00001F4C0000}"/>
    <cellStyle name="Normal 12 7 5 4 2" xfId="19866" xr:uid="{00000000-0005-0000-0000-0000204C0000}"/>
    <cellStyle name="Normal 12 7 5 4 2 2" xfId="19867" xr:uid="{00000000-0005-0000-0000-0000214C0000}"/>
    <cellStyle name="Normal 12 7 5 4 2 2 2" xfId="19868" xr:uid="{00000000-0005-0000-0000-0000224C0000}"/>
    <cellStyle name="Normal 12 7 5 4 2 2 3" xfId="19869" xr:uid="{00000000-0005-0000-0000-0000234C0000}"/>
    <cellStyle name="Normal 12 7 5 4 2 2 4" xfId="19870" xr:uid="{00000000-0005-0000-0000-0000244C0000}"/>
    <cellStyle name="Normal 12 7 5 4 2 2 5" xfId="19871" xr:uid="{00000000-0005-0000-0000-0000254C0000}"/>
    <cellStyle name="Normal 12 7 5 4 2 3" xfId="19872" xr:uid="{00000000-0005-0000-0000-0000264C0000}"/>
    <cellStyle name="Normal 12 7 5 4 2 4" xfId="19873" xr:uid="{00000000-0005-0000-0000-0000274C0000}"/>
    <cellStyle name="Normal 12 7 5 4 2 5" xfId="19874" xr:uid="{00000000-0005-0000-0000-0000284C0000}"/>
    <cellStyle name="Normal 12 7 5 4 2 6" xfId="19875" xr:uid="{00000000-0005-0000-0000-0000294C0000}"/>
    <cellStyle name="Normal 12 7 5 4 2 7" xfId="19876" xr:uid="{00000000-0005-0000-0000-00002A4C0000}"/>
    <cellStyle name="Normal 12 7 5 4 2 8" xfId="19877" xr:uid="{00000000-0005-0000-0000-00002B4C0000}"/>
    <cellStyle name="Normal 12 7 5 4 3" xfId="19878" xr:uid="{00000000-0005-0000-0000-00002C4C0000}"/>
    <cellStyle name="Normal 12 7 5 4 3 2" xfId="19879" xr:uid="{00000000-0005-0000-0000-00002D4C0000}"/>
    <cellStyle name="Normal 12 7 5 4 3 2 2" xfId="19880" xr:uid="{00000000-0005-0000-0000-00002E4C0000}"/>
    <cellStyle name="Normal 12 7 5 4 3 2 3" xfId="19881" xr:uid="{00000000-0005-0000-0000-00002F4C0000}"/>
    <cellStyle name="Normal 12 7 5 4 3 2 4" xfId="19882" xr:uid="{00000000-0005-0000-0000-0000304C0000}"/>
    <cellStyle name="Normal 12 7 5 4 3 2 5" xfId="19883" xr:uid="{00000000-0005-0000-0000-0000314C0000}"/>
    <cellStyle name="Normal 12 7 5 4 3 3" xfId="19884" xr:uid="{00000000-0005-0000-0000-0000324C0000}"/>
    <cellStyle name="Normal 12 7 5 4 3 4" xfId="19885" xr:uid="{00000000-0005-0000-0000-0000334C0000}"/>
    <cellStyle name="Normal 12 7 5 4 3 5" xfId="19886" xr:uid="{00000000-0005-0000-0000-0000344C0000}"/>
    <cellStyle name="Normal 12 7 5 4 3 6" xfId="19887" xr:uid="{00000000-0005-0000-0000-0000354C0000}"/>
    <cellStyle name="Normal 12 7 5 4 3 7" xfId="19888" xr:uid="{00000000-0005-0000-0000-0000364C0000}"/>
    <cellStyle name="Normal 12 7 5 4 3 8" xfId="19889" xr:uid="{00000000-0005-0000-0000-0000374C0000}"/>
    <cellStyle name="Normal 12 7 5 4 4" xfId="19890" xr:uid="{00000000-0005-0000-0000-0000384C0000}"/>
    <cellStyle name="Normal 12 7 5 4 4 2" xfId="19891" xr:uid="{00000000-0005-0000-0000-0000394C0000}"/>
    <cellStyle name="Normal 12 7 5 4 4 3" xfId="19892" xr:uid="{00000000-0005-0000-0000-00003A4C0000}"/>
    <cellStyle name="Normal 12 7 5 4 4 4" xfId="19893" xr:uid="{00000000-0005-0000-0000-00003B4C0000}"/>
    <cellStyle name="Normal 12 7 5 4 4 5" xfId="19894" xr:uid="{00000000-0005-0000-0000-00003C4C0000}"/>
    <cellStyle name="Normal 12 7 5 4 5" xfId="19895" xr:uid="{00000000-0005-0000-0000-00003D4C0000}"/>
    <cellStyle name="Normal 12 7 5 4 6" xfId="19896" xr:uid="{00000000-0005-0000-0000-00003E4C0000}"/>
    <cellStyle name="Normal 12 7 5 4 7" xfId="19897" xr:uid="{00000000-0005-0000-0000-00003F4C0000}"/>
    <cellStyle name="Normal 12 7 5 4 8" xfId="19898" xr:uid="{00000000-0005-0000-0000-0000404C0000}"/>
    <cellStyle name="Normal 12 7 5 4 9" xfId="19899" xr:uid="{00000000-0005-0000-0000-0000414C0000}"/>
    <cellStyle name="Normal 12 7 5 5" xfId="19900" xr:uid="{00000000-0005-0000-0000-0000424C0000}"/>
    <cellStyle name="Normal 12 7 5 5 2" xfId="19901" xr:uid="{00000000-0005-0000-0000-0000434C0000}"/>
    <cellStyle name="Normal 12 7 5 5 2 2" xfId="19902" xr:uid="{00000000-0005-0000-0000-0000444C0000}"/>
    <cellStyle name="Normal 12 7 5 5 2 3" xfId="19903" xr:uid="{00000000-0005-0000-0000-0000454C0000}"/>
    <cellStyle name="Normal 12 7 5 5 2 4" xfId="19904" xr:uid="{00000000-0005-0000-0000-0000464C0000}"/>
    <cellStyle name="Normal 12 7 5 5 2 5" xfId="19905" xr:uid="{00000000-0005-0000-0000-0000474C0000}"/>
    <cellStyle name="Normal 12 7 5 5 3" xfId="19906" xr:uid="{00000000-0005-0000-0000-0000484C0000}"/>
    <cellStyle name="Normal 12 7 5 5 4" xfId="19907" xr:uid="{00000000-0005-0000-0000-0000494C0000}"/>
    <cellStyle name="Normal 12 7 5 5 5" xfId="19908" xr:uid="{00000000-0005-0000-0000-00004A4C0000}"/>
    <cellStyle name="Normal 12 7 5 5 6" xfId="19909" xr:uid="{00000000-0005-0000-0000-00004B4C0000}"/>
    <cellStyle name="Normal 12 7 5 5 7" xfId="19910" xr:uid="{00000000-0005-0000-0000-00004C4C0000}"/>
    <cellStyle name="Normal 12 7 5 5 8" xfId="19911" xr:uid="{00000000-0005-0000-0000-00004D4C0000}"/>
    <cellStyle name="Normal 12 7 5 6" xfId="19912" xr:uid="{00000000-0005-0000-0000-00004E4C0000}"/>
    <cellStyle name="Normal 12 7 5 6 2" xfId="19913" xr:uid="{00000000-0005-0000-0000-00004F4C0000}"/>
    <cellStyle name="Normal 12 7 5 6 2 2" xfId="19914" xr:uid="{00000000-0005-0000-0000-0000504C0000}"/>
    <cellStyle name="Normal 12 7 5 6 2 3" xfId="19915" xr:uid="{00000000-0005-0000-0000-0000514C0000}"/>
    <cellStyle name="Normal 12 7 5 6 2 4" xfId="19916" xr:uid="{00000000-0005-0000-0000-0000524C0000}"/>
    <cellStyle name="Normal 12 7 5 6 2 5" xfId="19917" xr:uid="{00000000-0005-0000-0000-0000534C0000}"/>
    <cellStyle name="Normal 12 7 5 6 3" xfId="19918" xr:uid="{00000000-0005-0000-0000-0000544C0000}"/>
    <cellStyle name="Normal 12 7 5 6 4" xfId="19919" xr:uid="{00000000-0005-0000-0000-0000554C0000}"/>
    <cellStyle name="Normal 12 7 5 6 5" xfId="19920" xr:uid="{00000000-0005-0000-0000-0000564C0000}"/>
    <cellStyle name="Normal 12 7 5 6 6" xfId="19921" xr:uid="{00000000-0005-0000-0000-0000574C0000}"/>
    <cellStyle name="Normal 12 7 5 6 7" xfId="19922" xr:uid="{00000000-0005-0000-0000-0000584C0000}"/>
    <cellStyle name="Normal 12 7 5 6 8" xfId="19923" xr:uid="{00000000-0005-0000-0000-0000594C0000}"/>
    <cellStyle name="Normal 12 7 5 7" xfId="19924" xr:uid="{00000000-0005-0000-0000-00005A4C0000}"/>
    <cellStyle name="Normal 12 7 5 7 2" xfId="19925" xr:uid="{00000000-0005-0000-0000-00005B4C0000}"/>
    <cellStyle name="Normal 12 7 5 7 3" xfId="19926" xr:uid="{00000000-0005-0000-0000-00005C4C0000}"/>
    <cellStyle name="Normal 12 7 5 7 4" xfId="19927" xr:uid="{00000000-0005-0000-0000-00005D4C0000}"/>
    <cellStyle name="Normal 12 7 5 7 5" xfId="19928" xr:uid="{00000000-0005-0000-0000-00005E4C0000}"/>
    <cellStyle name="Normal 12 7 5 8" xfId="19929" xr:uid="{00000000-0005-0000-0000-00005F4C0000}"/>
    <cellStyle name="Normal 12 7 5 9" xfId="19930" xr:uid="{00000000-0005-0000-0000-0000604C0000}"/>
    <cellStyle name="Normal 12 7 6" xfId="19931" xr:uid="{00000000-0005-0000-0000-0000614C0000}"/>
    <cellStyle name="Normal 12 7 6 10" xfId="19932" xr:uid="{00000000-0005-0000-0000-0000624C0000}"/>
    <cellStyle name="Normal 12 7 6 11" xfId="19933" xr:uid="{00000000-0005-0000-0000-0000634C0000}"/>
    <cellStyle name="Normal 12 7 6 12" xfId="19934" xr:uid="{00000000-0005-0000-0000-0000644C0000}"/>
    <cellStyle name="Normal 12 7 6 13" xfId="19935" xr:uid="{00000000-0005-0000-0000-0000654C0000}"/>
    <cellStyle name="Normal 12 7 6 2" xfId="19936" xr:uid="{00000000-0005-0000-0000-0000664C0000}"/>
    <cellStyle name="Normal 12 7 6 2 10" xfId="19937" xr:uid="{00000000-0005-0000-0000-0000674C0000}"/>
    <cellStyle name="Normal 12 7 6 2 11" xfId="19938" xr:uid="{00000000-0005-0000-0000-0000684C0000}"/>
    <cellStyle name="Normal 12 7 6 2 2" xfId="19939" xr:uid="{00000000-0005-0000-0000-0000694C0000}"/>
    <cellStyle name="Normal 12 7 6 2 2 10" xfId="19940" xr:uid="{00000000-0005-0000-0000-00006A4C0000}"/>
    <cellStyle name="Normal 12 7 6 2 2 2" xfId="19941" xr:uid="{00000000-0005-0000-0000-00006B4C0000}"/>
    <cellStyle name="Normal 12 7 6 2 2 2 2" xfId="19942" xr:uid="{00000000-0005-0000-0000-00006C4C0000}"/>
    <cellStyle name="Normal 12 7 6 2 2 2 2 2" xfId="19943" xr:uid="{00000000-0005-0000-0000-00006D4C0000}"/>
    <cellStyle name="Normal 12 7 6 2 2 2 2 3" xfId="19944" xr:uid="{00000000-0005-0000-0000-00006E4C0000}"/>
    <cellStyle name="Normal 12 7 6 2 2 2 2 4" xfId="19945" xr:uid="{00000000-0005-0000-0000-00006F4C0000}"/>
    <cellStyle name="Normal 12 7 6 2 2 2 2 5" xfId="19946" xr:uid="{00000000-0005-0000-0000-0000704C0000}"/>
    <cellStyle name="Normal 12 7 6 2 2 2 3" xfId="19947" xr:uid="{00000000-0005-0000-0000-0000714C0000}"/>
    <cellStyle name="Normal 12 7 6 2 2 2 4" xfId="19948" xr:uid="{00000000-0005-0000-0000-0000724C0000}"/>
    <cellStyle name="Normal 12 7 6 2 2 2 5" xfId="19949" xr:uid="{00000000-0005-0000-0000-0000734C0000}"/>
    <cellStyle name="Normal 12 7 6 2 2 2 6" xfId="19950" xr:uid="{00000000-0005-0000-0000-0000744C0000}"/>
    <cellStyle name="Normal 12 7 6 2 2 2 7" xfId="19951" xr:uid="{00000000-0005-0000-0000-0000754C0000}"/>
    <cellStyle name="Normal 12 7 6 2 2 2 8" xfId="19952" xr:uid="{00000000-0005-0000-0000-0000764C0000}"/>
    <cellStyle name="Normal 12 7 6 2 2 3" xfId="19953" xr:uid="{00000000-0005-0000-0000-0000774C0000}"/>
    <cellStyle name="Normal 12 7 6 2 2 3 2" xfId="19954" xr:uid="{00000000-0005-0000-0000-0000784C0000}"/>
    <cellStyle name="Normal 12 7 6 2 2 3 2 2" xfId="19955" xr:uid="{00000000-0005-0000-0000-0000794C0000}"/>
    <cellStyle name="Normal 12 7 6 2 2 3 2 3" xfId="19956" xr:uid="{00000000-0005-0000-0000-00007A4C0000}"/>
    <cellStyle name="Normal 12 7 6 2 2 3 2 4" xfId="19957" xr:uid="{00000000-0005-0000-0000-00007B4C0000}"/>
    <cellStyle name="Normal 12 7 6 2 2 3 2 5" xfId="19958" xr:uid="{00000000-0005-0000-0000-00007C4C0000}"/>
    <cellStyle name="Normal 12 7 6 2 2 3 3" xfId="19959" xr:uid="{00000000-0005-0000-0000-00007D4C0000}"/>
    <cellStyle name="Normal 12 7 6 2 2 3 4" xfId="19960" xr:uid="{00000000-0005-0000-0000-00007E4C0000}"/>
    <cellStyle name="Normal 12 7 6 2 2 3 5" xfId="19961" xr:uid="{00000000-0005-0000-0000-00007F4C0000}"/>
    <cellStyle name="Normal 12 7 6 2 2 3 6" xfId="19962" xr:uid="{00000000-0005-0000-0000-0000804C0000}"/>
    <cellStyle name="Normal 12 7 6 2 2 3 7" xfId="19963" xr:uid="{00000000-0005-0000-0000-0000814C0000}"/>
    <cellStyle name="Normal 12 7 6 2 2 3 8" xfId="19964" xr:uid="{00000000-0005-0000-0000-0000824C0000}"/>
    <cellStyle name="Normal 12 7 6 2 2 4" xfId="19965" xr:uid="{00000000-0005-0000-0000-0000834C0000}"/>
    <cellStyle name="Normal 12 7 6 2 2 4 2" xfId="19966" xr:uid="{00000000-0005-0000-0000-0000844C0000}"/>
    <cellStyle name="Normal 12 7 6 2 2 4 3" xfId="19967" xr:uid="{00000000-0005-0000-0000-0000854C0000}"/>
    <cellStyle name="Normal 12 7 6 2 2 4 4" xfId="19968" xr:uid="{00000000-0005-0000-0000-0000864C0000}"/>
    <cellStyle name="Normal 12 7 6 2 2 4 5" xfId="19969" xr:uid="{00000000-0005-0000-0000-0000874C0000}"/>
    <cellStyle name="Normal 12 7 6 2 2 5" xfId="19970" xr:uid="{00000000-0005-0000-0000-0000884C0000}"/>
    <cellStyle name="Normal 12 7 6 2 2 6" xfId="19971" xr:uid="{00000000-0005-0000-0000-0000894C0000}"/>
    <cellStyle name="Normal 12 7 6 2 2 7" xfId="19972" xr:uid="{00000000-0005-0000-0000-00008A4C0000}"/>
    <cellStyle name="Normal 12 7 6 2 2 8" xfId="19973" xr:uid="{00000000-0005-0000-0000-00008B4C0000}"/>
    <cellStyle name="Normal 12 7 6 2 2 9" xfId="19974" xr:uid="{00000000-0005-0000-0000-00008C4C0000}"/>
    <cellStyle name="Normal 12 7 6 2 3" xfId="19975" xr:uid="{00000000-0005-0000-0000-00008D4C0000}"/>
    <cellStyle name="Normal 12 7 6 2 3 2" xfId="19976" xr:uid="{00000000-0005-0000-0000-00008E4C0000}"/>
    <cellStyle name="Normal 12 7 6 2 3 2 2" xfId="19977" xr:uid="{00000000-0005-0000-0000-00008F4C0000}"/>
    <cellStyle name="Normal 12 7 6 2 3 2 3" xfId="19978" xr:uid="{00000000-0005-0000-0000-0000904C0000}"/>
    <cellStyle name="Normal 12 7 6 2 3 2 4" xfId="19979" xr:uid="{00000000-0005-0000-0000-0000914C0000}"/>
    <cellStyle name="Normal 12 7 6 2 3 2 5" xfId="19980" xr:uid="{00000000-0005-0000-0000-0000924C0000}"/>
    <cellStyle name="Normal 12 7 6 2 3 3" xfId="19981" xr:uid="{00000000-0005-0000-0000-0000934C0000}"/>
    <cellStyle name="Normal 12 7 6 2 3 4" xfId="19982" xr:uid="{00000000-0005-0000-0000-0000944C0000}"/>
    <cellStyle name="Normal 12 7 6 2 3 5" xfId="19983" xr:uid="{00000000-0005-0000-0000-0000954C0000}"/>
    <cellStyle name="Normal 12 7 6 2 3 6" xfId="19984" xr:uid="{00000000-0005-0000-0000-0000964C0000}"/>
    <cellStyle name="Normal 12 7 6 2 3 7" xfId="19985" xr:uid="{00000000-0005-0000-0000-0000974C0000}"/>
    <cellStyle name="Normal 12 7 6 2 3 8" xfId="19986" xr:uid="{00000000-0005-0000-0000-0000984C0000}"/>
    <cellStyle name="Normal 12 7 6 2 4" xfId="19987" xr:uid="{00000000-0005-0000-0000-0000994C0000}"/>
    <cellStyle name="Normal 12 7 6 2 4 2" xfId="19988" xr:uid="{00000000-0005-0000-0000-00009A4C0000}"/>
    <cellStyle name="Normal 12 7 6 2 4 2 2" xfId="19989" xr:uid="{00000000-0005-0000-0000-00009B4C0000}"/>
    <cellStyle name="Normal 12 7 6 2 4 2 3" xfId="19990" xr:uid="{00000000-0005-0000-0000-00009C4C0000}"/>
    <cellStyle name="Normal 12 7 6 2 4 2 4" xfId="19991" xr:uid="{00000000-0005-0000-0000-00009D4C0000}"/>
    <cellStyle name="Normal 12 7 6 2 4 2 5" xfId="19992" xr:uid="{00000000-0005-0000-0000-00009E4C0000}"/>
    <cellStyle name="Normal 12 7 6 2 4 3" xfId="19993" xr:uid="{00000000-0005-0000-0000-00009F4C0000}"/>
    <cellStyle name="Normal 12 7 6 2 4 4" xfId="19994" xr:uid="{00000000-0005-0000-0000-0000A04C0000}"/>
    <cellStyle name="Normal 12 7 6 2 4 5" xfId="19995" xr:uid="{00000000-0005-0000-0000-0000A14C0000}"/>
    <cellStyle name="Normal 12 7 6 2 4 6" xfId="19996" xr:uid="{00000000-0005-0000-0000-0000A24C0000}"/>
    <cellStyle name="Normal 12 7 6 2 4 7" xfId="19997" xr:uid="{00000000-0005-0000-0000-0000A34C0000}"/>
    <cellStyle name="Normal 12 7 6 2 4 8" xfId="19998" xr:uid="{00000000-0005-0000-0000-0000A44C0000}"/>
    <cellStyle name="Normal 12 7 6 2 5" xfId="19999" xr:uid="{00000000-0005-0000-0000-0000A54C0000}"/>
    <cellStyle name="Normal 12 7 6 2 5 2" xfId="20000" xr:uid="{00000000-0005-0000-0000-0000A64C0000}"/>
    <cellStyle name="Normal 12 7 6 2 5 3" xfId="20001" xr:uid="{00000000-0005-0000-0000-0000A74C0000}"/>
    <cellStyle name="Normal 12 7 6 2 5 4" xfId="20002" xr:uid="{00000000-0005-0000-0000-0000A84C0000}"/>
    <cellStyle name="Normal 12 7 6 2 5 5" xfId="20003" xr:uid="{00000000-0005-0000-0000-0000A94C0000}"/>
    <cellStyle name="Normal 12 7 6 2 6" xfId="20004" xr:uid="{00000000-0005-0000-0000-0000AA4C0000}"/>
    <cellStyle name="Normal 12 7 6 2 7" xfId="20005" xr:uid="{00000000-0005-0000-0000-0000AB4C0000}"/>
    <cellStyle name="Normal 12 7 6 2 8" xfId="20006" xr:uid="{00000000-0005-0000-0000-0000AC4C0000}"/>
    <cellStyle name="Normal 12 7 6 2 9" xfId="20007" xr:uid="{00000000-0005-0000-0000-0000AD4C0000}"/>
    <cellStyle name="Normal 12 7 6 3" xfId="20008" xr:uid="{00000000-0005-0000-0000-0000AE4C0000}"/>
    <cellStyle name="Normal 12 7 6 3 10" xfId="20009" xr:uid="{00000000-0005-0000-0000-0000AF4C0000}"/>
    <cellStyle name="Normal 12 7 6 3 11" xfId="20010" xr:uid="{00000000-0005-0000-0000-0000B04C0000}"/>
    <cellStyle name="Normal 12 7 6 3 2" xfId="20011" xr:uid="{00000000-0005-0000-0000-0000B14C0000}"/>
    <cellStyle name="Normal 12 7 6 3 2 10" xfId="20012" xr:uid="{00000000-0005-0000-0000-0000B24C0000}"/>
    <cellStyle name="Normal 12 7 6 3 2 2" xfId="20013" xr:uid="{00000000-0005-0000-0000-0000B34C0000}"/>
    <cellStyle name="Normal 12 7 6 3 2 2 2" xfId="20014" xr:uid="{00000000-0005-0000-0000-0000B44C0000}"/>
    <cellStyle name="Normal 12 7 6 3 2 2 2 2" xfId="20015" xr:uid="{00000000-0005-0000-0000-0000B54C0000}"/>
    <cellStyle name="Normal 12 7 6 3 2 2 2 3" xfId="20016" xr:uid="{00000000-0005-0000-0000-0000B64C0000}"/>
    <cellStyle name="Normal 12 7 6 3 2 2 2 4" xfId="20017" xr:uid="{00000000-0005-0000-0000-0000B74C0000}"/>
    <cellStyle name="Normal 12 7 6 3 2 2 2 5" xfId="20018" xr:uid="{00000000-0005-0000-0000-0000B84C0000}"/>
    <cellStyle name="Normal 12 7 6 3 2 2 3" xfId="20019" xr:uid="{00000000-0005-0000-0000-0000B94C0000}"/>
    <cellStyle name="Normal 12 7 6 3 2 2 4" xfId="20020" xr:uid="{00000000-0005-0000-0000-0000BA4C0000}"/>
    <cellStyle name="Normal 12 7 6 3 2 2 5" xfId="20021" xr:uid="{00000000-0005-0000-0000-0000BB4C0000}"/>
    <cellStyle name="Normal 12 7 6 3 2 2 6" xfId="20022" xr:uid="{00000000-0005-0000-0000-0000BC4C0000}"/>
    <cellStyle name="Normal 12 7 6 3 2 2 7" xfId="20023" xr:uid="{00000000-0005-0000-0000-0000BD4C0000}"/>
    <cellStyle name="Normal 12 7 6 3 2 2 8" xfId="20024" xr:uid="{00000000-0005-0000-0000-0000BE4C0000}"/>
    <cellStyle name="Normal 12 7 6 3 2 3" xfId="20025" xr:uid="{00000000-0005-0000-0000-0000BF4C0000}"/>
    <cellStyle name="Normal 12 7 6 3 2 3 2" xfId="20026" xr:uid="{00000000-0005-0000-0000-0000C04C0000}"/>
    <cellStyle name="Normal 12 7 6 3 2 3 2 2" xfId="20027" xr:uid="{00000000-0005-0000-0000-0000C14C0000}"/>
    <cellStyle name="Normal 12 7 6 3 2 3 2 3" xfId="20028" xr:uid="{00000000-0005-0000-0000-0000C24C0000}"/>
    <cellStyle name="Normal 12 7 6 3 2 3 2 4" xfId="20029" xr:uid="{00000000-0005-0000-0000-0000C34C0000}"/>
    <cellStyle name="Normal 12 7 6 3 2 3 2 5" xfId="20030" xr:uid="{00000000-0005-0000-0000-0000C44C0000}"/>
    <cellStyle name="Normal 12 7 6 3 2 3 3" xfId="20031" xr:uid="{00000000-0005-0000-0000-0000C54C0000}"/>
    <cellStyle name="Normal 12 7 6 3 2 3 4" xfId="20032" xr:uid="{00000000-0005-0000-0000-0000C64C0000}"/>
    <cellStyle name="Normal 12 7 6 3 2 3 5" xfId="20033" xr:uid="{00000000-0005-0000-0000-0000C74C0000}"/>
    <cellStyle name="Normal 12 7 6 3 2 3 6" xfId="20034" xr:uid="{00000000-0005-0000-0000-0000C84C0000}"/>
    <cellStyle name="Normal 12 7 6 3 2 3 7" xfId="20035" xr:uid="{00000000-0005-0000-0000-0000C94C0000}"/>
    <cellStyle name="Normal 12 7 6 3 2 3 8" xfId="20036" xr:uid="{00000000-0005-0000-0000-0000CA4C0000}"/>
    <cellStyle name="Normal 12 7 6 3 2 4" xfId="20037" xr:uid="{00000000-0005-0000-0000-0000CB4C0000}"/>
    <cellStyle name="Normal 12 7 6 3 2 4 2" xfId="20038" xr:uid="{00000000-0005-0000-0000-0000CC4C0000}"/>
    <cellStyle name="Normal 12 7 6 3 2 4 3" xfId="20039" xr:uid="{00000000-0005-0000-0000-0000CD4C0000}"/>
    <cellStyle name="Normal 12 7 6 3 2 4 4" xfId="20040" xr:uid="{00000000-0005-0000-0000-0000CE4C0000}"/>
    <cellStyle name="Normal 12 7 6 3 2 4 5" xfId="20041" xr:uid="{00000000-0005-0000-0000-0000CF4C0000}"/>
    <cellStyle name="Normal 12 7 6 3 2 5" xfId="20042" xr:uid="{00000000-0005-0000-0000-0000D04C0000}"/>
    <cellStyle name="Normal 12 7 6 3 2 6" xfId="20043" xr:uid="{00000000-0005-0000-0000-0000D14C0000}"/>
    <cellStyle name="Normal 12 7 6 3 2 7" xfId="20044" xr:uid="{00000000-0005-0000-0000-0000D24C0000}"/>
    <cellStyle name="Normal 12 7 6 3 2 8" xfId="20045" xr:uid="{00000000-0005-0000-0000-0000D34C0000}"/>
    <cellStyle name="Normal 12 7 6 3 2 9" xfId="20046" xr:uid="{00000000-0005-0000-0000-0000D44C0000}"/>
    <cellStyle name="Normal 12 7 6 3 3" xfId="20047" xr:uid="{00000000-0005-0000-0000-0000D54C0000}"/>
    <cellStyle name="Normal 12 7 6 3 3 2" xfId="20048" xr:uid="{00000000-0005-0000-0000-0000D64C0000}"/>
    <cellStyle name="Normal 12 7 6 3 3 2 2" xfId="20049" xr:uid="{00000000-0005-0000-0000-0000D74C0000}"/>
    <cellStyle name="Normal 12 7 6 3 3 2 3" xfId="20050" xr:uid="{00000000-0005-0000-0000-0000D84C0000}"/>
    <cellStyle name="Normal 12 7 6 3 3 2 4" xfId="20051" xr:uid="{00000000-0005-0000-0000-0000D94C0000}"/>
    <cellStyle name="Normal 12 7 6 3 3 2 5" xfId="20052" xr:uid="{00000000-0005-0000-0000-0000DA4C0000}"/>
    <cellStyle name="Normal 12 7 6 3 3 3" xfId="20053" xr:uid="{00000000-0005-0000-0000-0000DB4C0000}"/>
    <cellStyle name="Normal 12 7 6 3 3 4" xfId="20054" xr:uid="{00000000-0005-0000-0000-0000DC4C0000}"/>
    <cellStyle name="Normal 12 7 6 3 3 5" xfId="20055" xr:uid="{00000000-0005-0000-0000-0000DD4C0000}"/>
    <cellStyle name="Normal 12 7 6 3 3 6" xfId="20056" xr:uid="{00000000-0005-0000-0000-0000DE4C0000}"/>
    <cellStyle name="Normal 12 7 6 3 3 7" xfId="20057" xr:uid="{00000000-0005-0000-0000-0000DF4C0000}"/>
    <cellStyle name="Normal 12 7 6 3 3 8" xfId="20058" xr:uid="{00000000-0005-0000-0000-0000E04C0000}"/>
    <cellStyle name="Normal 12 7 6 3 4" xfId="20059" xr:uid="{00000000-0005-0000-0000-0000E14C0000}"/>
    <cellStyle name="Normal 12 7 6 3 4 2" xfId="20060" xr:uid="{00000000-0005-0000-0000-0000E24C0000}"/>
    <cellStyle name="Normal 12 7 6 3 4 2 2" xfId="20061" xr:uid="{00000000-0005-0000-0000-0000E34C0000}"/>
    <cellStyle name="Normal 12 7 6 3 4 2 3" xfId="20062" xr:uid="{00000000-0005-0000-0000-0000E44C0000}"/>
    <cellStyle name="Normal 12 7 6 3 4 2 4" xfId="20063" xr:uid="{00000000-0005-0000-0000-0000E54C0000}"/>
    <cellStyle name="Normal 12 7 6 3 4 2 5" xfId="20064" xr:uid="{00000000-0005-0000-0000-0000E64C0000}"/>
    <cellStyle name="Normal 12 7 6 3 4 3" xfId="20065" xr:uid="{00000000-0005-0000-0000-0000E74C0000}"/>
    <cellStyle name="Normal 12 7 6 3 4 4" xfId="20066" xr:uid="{00000000-0005-0000-0000-0000E84C0000}"/>
    <cellStyle name="Normal 12 7 6 3 4 5" xfId="20067" xr:uid="{00000000-0005-0000-0000-0000E94C0000}"/>
    <cellStyle name="Normal 12 7 6 3 4 6" xfId="20068" xr:uid="{00000000-0005-0000-0000-0000EA4C0000}"/>
    <cellStyle name="Normal 12 7 6 3 4 7" xfId="20069" xr:uid="{00000000-0005-0000-0000-0000EB4C0000}"/>
    <cellStyle name="Normal 12 7 6 3 4 8" xfId="20070" xr:uid="{00000000-0005-0000-0000-0000EC4C0000}"/>
    <cellStyle name="Normal 12 7 6 3 5" xfId="20071" xr:uid="{00000000-0005-0000-0000-0000ED4C0000}"/>
    <cellStyle name="Normal 12 7 6 3 5 2" xfId="20072" xr:uid="{00000000-0005-0000-0000-0000EE4C0000}"/>
    <cellStyle name="Normal 12 7 6 3 5 3" xfId="20073" xr:uid="{00000000-0005-0000-0000-0000EF4C0000}"/>
    <cellStyle name="Normal 12 7 6 3 5 4" xfId="20074" xr:uid="{00000000-0005-0000-0000-0000F04C0000}"/>
    <cellStyle name="Normal 12 7 6 3 5 5" xfId="20075" xr:uid="{00000000-0005-0000-0000-0000F14C0000}"/>
    <cellStyle name="Normal 12 7 6 3 6" xfId="20076" xr:uid="{00000000-0005-0000-0000-0000F24C0000}"/>
    <cellStyle name="Normal 12 7 6 3 7" xfId="20077" xr:uid="{00000000-0005-0000-0000-0000F34C0000}"/>
    <cellStyle name="Normal 12 7 6 3 8" xfId="20078" xr:uid="{00000000-0005-0000-0000-0000F44C0000}"/>
    <cellStyle name="Normal 12 7 6 3 9" xfId="20079" xr:uid="{00000000-0005-0000-0000-0000F54C0000}"/>
    <cellStyle name="Normal 12 7 6 4" xfId="20080" xr:uid="{00000000-0005-0000-0000-0000F64C0000}"/>
    <cellStyle name="Normal 12 7 6 4 10" xfId="20081" xr:uid="{00000000-0005-0000-0000-0000F74C0000}"/>
    <cellStyle name="Normal 12 7 6 4 2" xfId="20082" xr:uid="{00000000-0005-0000-0000-0000F84C0000}"/>
    <cellStyle name="Normal 12 7 6 4 2 2" xfId="20083" xr:uid="{00000000-0005-0000-0000-0000F94C0000}"/>
    <cellStyle name="Normal 12 7 6 4 2 2 2" xfId="20084" xr:uid="{00000000-0005-0000-0000-0000FA4C0000}"/>
    <cellStyle name="Normal 12 7 6 4 2 2 3" xfId="20085" xr:uid="{00000000-0005-0000-0000-0000FB4C0000}"/>
    <cellStyle name="Normal 12 7 6 4 2 2 4" xfId="20086" xr:uid="{00000000-0005-0000-0000-0000FC4C0000}"/>
    <cellStyle name="Normal 12 7 6 4 2 2 5" xfId="20087" xr:uid="{00000000-0005-0000-0000-0000FD4C0000}"/>
    <cellStyle name="Normal 12 7 6 4 2 3" xfId="20088" xr:uid="{00000000-0005-0000-0000-0000FE4C0000}"/>
    <cellStyle name="Normal 12 7 6 4 2 4" xfId="20089" xr:uid="{00000000-0005-0000-0000-0000FF4C0000}"/>
    <cellStyle name="Normal 12 7 6 4 2 5" xfId="20090" xr:uid="{00000000-0005-0000-0000-0000004D0000}"/>
    <cellStyle name="Normal 12 7 6 4 2 6" xfId="20091" xr:uid="{00000000-0005-0000-0000-0000014D0000}"/>
    <cellStyle name="Normal 12 7 6 4 2 7" xfId="20092" xr:uid="{00000000-0005-0000-0000-0000024D0000}"/>
    <cellStyle name="Normal 12 7 6 4 2 8" xfId="20093" xr:uid="{00000000-0005-0000-0000-0000034D0000}"/>
    <cellStyle name="Normal 12 7 6 4 3" xfId="20094" xr:uid="{00000000-0005-0000-0000-0000044D0000}"/>
    <cellStyle name="Normal 12 7 6 4 3 2" xfId="20095" xr:uid="{00000000-0005-0000-0000-0000054D0000}"/>
    <cellStyle name="Normal 12 7 6 4 3 2 2" xfId="20096" xr:uid="{00000000-0005-0000-0000-0000064D0000}"/>
    <cellStyle name="Normal 12 7 6 4 3 2 3" xfId="20097" xr:uid="{00000000-0005-0000-0000-0000074D0000}"/>
    <cellStyle name="Normal 12 7 6 4 3 2 4" xfId="20098" xr:uid="{00000000-0005-0000-0000-0000084D0000}"/>
    <cellStyle name="Normal 12 7 6 4 3 2 5" xfId="20099" xr:uid="{00000000-0005-0000-0000-0000094D0000}"/>
    <cellStyle name="Normal 12 7 6 4 3 3" xfId="20100" xr:uid="{00000000-0005-0000-0000-00000A4D0000}"/>
    <cellStyle name="Normal 12 7 6 4 3 4" xfId="20101" xr:uid="{00000000-0005-0000-0000-00000B4D0000}"/>
    <cellStyle name="Normal 12 7 6 4 3 5" xfId="20102" xr:uid="{00000000-0005-0000-0000-00000C4D0000}"/>
    <cellStyle name="Normal 12 7 6 4 3 6" xfId="20103" xr:uid="{00000000-0005-0000-0000-00000D4D0000}"/>
    <cellStyle name="Normal 12 7 6 4 3 7" xfId="20104" xr:uid="{00000000-0005-0000-0000-00000E4D0000}"/>
    <cellStyle name="Normal 12 7 6 4 3 8" xfId="20105" xr:uid="{00000000-0005-0000-0000-00000F4D0000}"/>
    <cellStyle name="Normal 12 7 6 4 4" xfId="20106" xr:uid="{00000000-0005-0000-0000-0000104D0000}"/>
    <cellStyle name="Normal 12 7 6 4 4 2" xfId="20107" xr:uid="{00000000-0005-0000-0000-0000114D0000}"/>
    <cellStyle name="Normal 12 7 6 4 4 3" xfId="20108" xr:uid="{00000000-0005-0000-0000-0000124D0000}"/>
    <cellStyle name="Normal 12 7 6 4 4 4" xfId="20109" xr:uid="{00000000-0005-0000-0000-0000134D0000}"/>
    <cellStyle name="Normal 12 7 6 4 4 5" xfId="20110" xr:uid="{00000000-0005-0000-0000-0000144D0000}"/>
    <cellStyle name="Normal 12 7 6 4 5" xfId="20111" xr:uid="{00000000-0005-0000-0000-0000154D0000}"/>
    <cellStyle name="Normal 12 7 6 4 6" xfId="20112" xr:uid="{00000000-0005-0000-0000-0000164D0000}"/>
    <cellStyle name="Normal 12 7 6 4 7" xfId="20113" xr:uid="{00000000-0005-0000-0000-0000174D0000}"/>
    <cellStyle name="Normal 12 7 6 4 8" xfId="20114" xr:uid="{00000000-0005-0000-0000-0000184D0000}"/>
    <cellStyle name="Normal 12 7 6 4 9" xfId="20115" xr:uid="{00000000-0005-0000-0000-0000194D0000}"/>
    <cellStyle name="Normal 12 7 6 5" xfId="20116" xr:uid="{00000000-0005-0000-0000-00001A4D0000}"/>
    <cellStyle name="Normal 12 7 6 5 2" xfId="20117" xr:uid="{00000000-0005-0000-0000-00001B4D0000}"/>
    <cellStyle name="Normal 12 7 6 5 2 2" xfId="20118" xr:uid="{00000000-0005-0000-0000-00001C4D0000}"/>
    <cellStyle name="Normal 12 7 6 5 2 3" xfId="20119" xr:uid="{00000000-0005-0000-0000-00001D4D0000}"/>
    <cellStyle name="Normal 12 7 6 5 2 4" xfId="20120" xr:uid="{00000000-0005-0000-0000-00001E4D0000}"/>
    <cellStyle name="Normal 12 7 6 5 2 5" xfId="20121" xr:uid="{00000000-0005-0000-0000-00001F4D0000}"/>
    <cellStyle name="Normal 12 7 6 5 3" xfId="20122" xr:uid="{00000000-0005-0000-0000-0000204D0000}"/>
    <cellStyle name="Normal 12 7 6 5 4" xfId="20123" xr:uid="{00000000-0005-0000-0000-0000214D0000}"/>
    <cellStyle name="Normal 12 7 6 5 5" xfId="20124" xr:uid="{00000000-0005-0000-0000-0000224D0000}"/>
    <cellStyle name="Normal 12 7 6 5 6" xfId="20125" xr:uid="{00000000-0005-0000-0000-0000234D0000}"/>
    <cellStyle name="Normal 12 7 6 5 7" xfId="20126" xr:uid="{00000000-0005-0000-0000-0000244D0000}"/>
    <cellStyle name="Normal 12 7 6 5 8" xfId="20127" xr:uid="{00000000-0005-0000-0000-0000254D0000}"/>
    <cellStyle name="Normal 12 7 6 6" xfId="20128" xr:uid="{00000000-0005-0000-0000-0000264D0000}"/>
    <cellStyle name="Normal 12 7 6 6 2" xfId="20129" xr:uid="{00000000-0005-0000-0000-0000274D0000}"/>
    <cellStyle name="Normal 12 7 6 6 2 2" xfId="20130" xr:uid="{00000000-0005-0000-0000-0000284D0000}"/>
    <cellStyle name="Normal 12 7 6 6 2 3" xfId="20131" xr:uid="{00000000-0005-0000-0000-0000294D0000}"/>
    <cellStyle name="Normal 12 7 6 6 2 4" xfId="20132" xr:uid="{00000000-0005-0000-0000-00002A4D0000}"/>
    <cellStyle name="Normal 12 7 6 6 2 5" xfId="20133" xr:uid="{00000000-0005-0000-0000-00002B4D0000}"/>
    <cellStyle name="Normal 12 7 6 6 3" xfId="20134" xr:uid="{00000000-0005-0000-0000-00002C4D0000}"/>
    <cellStyle name="Normal 12 7 6 6 4" xfId="20135" xr:uid="{00000000-0005-0000-0000-00002D4D0000}"/>
    <cellStyle name="Normal 12 7 6 6 5" xfId="20136" xr:uid="{00000000-0005-0000-0000-00002E4D0000}"/>
    <cellStyle name="Normal 12 7 6 6 6" xfId="20137" xr:uid="{00000000-0005-0000-0000-00002F4D0000}"/>
    <cellStyle name="Normal 12 7 6 6 7" xfId="20138" xr:uid="{00000000-0005-0000-0000-0000304D0000}"/>
    <cellStyle name="Normal 12 7 6 6 8" xfId="20139" xr:uid="{00000000-0005-0000-0000-0000314D0000}"/>
    <cellStyle name="Normal 12 7 6 7" xfId="20140" xr:uid="{00000000-0005-0000-0000-0000324D0000}"/>
    <cellStyle name="Normal 12 7 6 7 2" xfId="20141" xr:uid="{00000000-0005-0000-0000-0000334D0000}"/>
    <cellStyle name="Normal 12 7 6 7 3" xfId="20142" xr:uid="{00000000-0005-0000-0000-0000344D0000}"/>
    <cellStyle name="Normal 12 7 6 7 4" xfId="20143" xr:uid="{00000000-0005-0000-0000-0000354D0000}"/>
    <cellStyle name="Normal 12 7 6 7 5" xfId="20144" xr:uid="{00000000-0005-0000-0000-0000364D0000}"/>
    <cellStyle name="Normal 12 7 6 8" xfId="20145" xr:uid="{00000000-0005-0000-0000-0000374D0000}"/>
    <cellStyle name="Normal 12 7 6 9" xfId="20146" xr:uid="{00000000-0005-0000-0000-0000384D0000}"/>
    <cellStyle name="Normal 12 7 7" xfId="20147" xr:uid="{00000000-0005-0000-0000-0000394D0000}"/>
    <cellStyle name="Normal 12 7 7 10" xfId="20148" xr:uid="{00000000-0005-0000-0000-00003A4D0000}"/>
    <cellStyle name="Normal 12 7 7 11" xfId="20149" xr:uid="{00000000-0005-0000-0000-00003B4D0000}"/>
    <cellStyle name="Normal 12 7 7 12" xfId="20150" xr:uid="{00000000-0005-0000-0000-00003C4D0000}"/>
    <cellStyle name="Normal 12 7 7 13" xfId="20151" xr:uid="{00000000-0005-0000-0000-00003D4D0000}"/>
    <cellStyle name="Normal 12 7 7 2" xfId="20152" xr:uid="{00000000-0005-0000-0000-00003E4D0000}"/>
    <cellStyle name="Normal 12 7 7 2 10" xfId="20153" xr:uid="{00000000-0005-0000-0000-00003F4D0000}"/>
    <cellStyle name="Normal 12 7 7 2 11" xfId="20154" xr:uid="{00000000-0005-0000-0000-0000404D0000}"/>
    <cellStyle name="Normal 12 7 7 2 2" xfId="20155" xr:uid="{00000000-0005-0000-0000-0000414D0000}"/>
    <cellStyle name="Normal 12 7 7 2 2 10" xfId="20156" xr:uid="{00000000-0005-0000-0000-0000424D0000}"/>
    <cellStyle name="Normal 12 7 7 2 2 2" xfId="20157" xr:uid="{00000000-0005-0000-0000-0000434D0000}"/>
    <cellStyle name="Normal 12 7 7 2 2 2 2" xfId="20158" xr:uid="{00000000-0005-0000-0000-0000444D0000}"/>
    <cellStyle name="Normal 12 7 7 2 2 2 2 2" xfId="20159" xr:uid="{00000000-0005-0000-0000-0000454D0000}"/>
    <cellStyle name="Normal 12 7 7 2 2 2 2 3" xfId="20160" xr:uid="{00000000-0005-0000-0000-0000464D0000}"/>
    <cellStyle name="Normal 12 7 7 2 2 2 2 4" xfId="20161" xr:uid="{00000000-0005-0000-0000-0000474D0000}"/>
    <cellStyle name="Normal 12 7 7 2 2 2 2 5" xfId="20162" xr:uid="{00000000-0005-0000-0000-0000484D0000}"/>
    <cellStyle name="Normal 12 7 7 2 2 2 3" xfId="20163" xr:uid="{00000000-0005-0000-0000-0000494D0000}"/>
    <cellStyle name="Normal 12 7 7 2 2 2 4" xfId="20164" xr:uid="{00000000-0005-0000-0000-00004A4D0000}"/>
    <cellStyle name="Normal 12 7 7 2 2 2 5" xfId="20165" xr:uid="{00000000-0005-0000-0000-00004B4D0000}"/>
    <cellStyle name="Normal 12 7 7 2 2 2 6" xfId="20166" xr:uid="{00000000-0005-0000-0000-00004C4D0000}"/>
    <cellStyle name="Normal 12 7 7 2 2 2 7" xfId="20167" xr:uid="{00000000-0005-0000-0000-00004D4D0000}"/>
    <cellStyle name="Normal 12 7 7 2 2 2 8" xfId="20168" xr:uid="{00000000-0005-0000-0000-00004E4D0000}"/>
    <cellStyle name="Normal 12 7 7 2 2 3" xfId="20169" xr:uid="{00000000-0005-0000-0000-00004F4D0000}"/>
    <cellStyle name="Normal 12 7 7 2 2 3 2" xfId="20170" xr:uid="{00000000-0005-0000-0000-0000504D0000}"/>
    <cellStyle name="Normal 12 7 7 2 2 3 2 2" xfId="20171" xr:uid="{00000000-0005-0000-0000-0000514D0000}"/>
    <cellStyle name="Normal 12 7 7 2 2 3 2 3" xfId="20172" xr:uid="{00000000-0005-0000-0000-0000524D0000}"/>
    <cellStyle name="Normal 12 7 7 2 2 3 2 4" xfId="20173" xr:uid="{00000000-0005-0000-0000-0000534D0000}"/>
    <cellStyle name="Normal 12 7 7 2 2 3 2 5" xfId="20174" xr:uid="{00000000-0005-0000-0000-0000544D0000}"/>
    <cellStyle name="Normal 12 7 7 2 2 3 3" xfId="20175" xr:uid="{00000000-0005-0000-0000-0000554D0000}"/>
    <cellStyle name="Normal 12 7 7 2 2 3 4" xfId="20176" xr:uid="{00000000-0005-0000-0000-0000564D0000}"/>
    <cellStyle name="Normal 12 7 7 2 2 3 5" xfId="20177" xr:uid="{00000000-0005-0000-0000-0000574D0000}"/>
    <cellStyle name="Normal 12 7 7 2 2 3 6" xfId="20178" xr:uid="{00000000-0005-0000-0000-0000584D0000}"/>
    <cellStyle name="Normal 12 7 7 2 2 3 7" xfId="20179" xr:uid="{00000000-0005-0000-0000-0000594D0000}"/>
    <cellStyle name="Normal 12 7 7 2 2 3 8" xfId="20180" xr:uid="{00000000-0005-0000-0000-00005A4D0000}"/>
    <cellStyle name="Normal 12 7 7 2 2 4" xfId="20181" xr:uid="{00000000-0005-0000-0000-00005B4D0000}"/>
    <cellStyle name="Normal 12 7 7 2 2 4 2" xfId="20182" xr:uid="{00000000-0005-0000-0000-00005C4D0000}"/>
    <cellStyle name="Normal 12 7 7 2 2 4 3" xfId="20183" xr:uid="{00000000-0005-0000-0000-00005D4D0000}"/>
    <cellStyle name="Normal 12 7 7 2 2 4 4" xfId="20184" xr:uid="{00000000-0005-0000-0000-00005E4D0000}"/>
    <cellStyle name="Normal 12 7 7 2 2 4 5" xfId="20185" xr:uid="{00000000-0005-0000-0000-00005F4D0000}"/>
    <cellStyle name="Normal 12 7 7 2 2 5" xfId="20186" xr:uid="{00000000-0005-0000-0000-0000604D0000}"/>
    <cellStyle name="Normal 12 7 7 2 2 6" xfId="20187" xr:uid="{00000000-0005-0000-0000-0000614D0000}"/>
    <cellStyle name="Normal 12 7 7 2 2 7" xfId="20188" xr:uid="{00000000-0005-0000-0000-0000624D0000}"/>
    <cellStyle name="Normal 12 7 7 2 2 8" xfId="20189" xr:uid="{00000000-0005-0000-0000-0000634D0000}"/>
    <cellStyle name="Normal 12 7 7 2 2 9" xfId="20190" xr:uid="{00000000-0005-0000-0000-0000644D0000}"/>
    <cellStyle name="Normal 12 7 7 2 3" xfId="20191" xr:uid="{00000000-0005-0000-0000-0000654D0000}"/>
    <cellStyle name="Normal 12 7 7 2 3 2" xfId="20192" xr:uid="{00000000-0005-0000-0000-0000664D0000}"/>
    <cellStyle name="Normal 12 7 7 2 3 2 2" xfId="20193" xr:uid="{00000000-0005-0000-0000-0000674D0000}"/>
    <cellStyle name="Normal 12 7 7 2 3 2 3" xfId="20194" xr:uid="{00000000-0005-0000-0000-0000684D0000}"/>
    <cellStyle name="Normal 12 7 7 2 3 2 4" xfId="20195" xr:uid="{00000000-0005-0000-0000-0000694D0000}"/>
    <cellStyle name="Normal 12 7 7 2 3 2 5" xfId="20196" xr:uid="{00000000-0005-0000-0000-00006A4D0000}"/>
    <cellStyle name="Normal 12 7 7 2 3 3" xfId="20197" xr:uid="{00000000-0005-0000-0000-00006B4D0000}"/>
    <cellStyle name="Normal 12 7 7 2 3 4" xfId="20198" xr:uid="{00000000-0005-0000-0000-00006C4D0000}"/>
    <cellStyle name="Normal 12 7 7 2 3 5" xfId="20199" xr:uid="{00000000-0005-0000-0000-00006D4D0000}"/>
    <cellStyle name="Normal 12 7 7 2 3 6" xfId="20200" xr:uid="{00000000-0005-0000-0000-00006E4D0000}"/>
    <cellStyle name="Normal 12 7 7 2 3 7" xfId="20201" xr:uid="{00000000-0005-0000-0000-00006F4D0000}"/>
    <cellStyle name="Normal 12 7 7 2 3 8" xfId="20202" xr:uid="{00000000-0005-0000-0000-0000704D0000}"/>
    <cellStyle name="Normal 12 7 7 2 4" xfId="20203" xr:uid="{00000000-0005-0000-0000-0000714D0000}"/>
    <cellStyle name="Normal 12 7 7 2 4 2" xfId="20204" xr:uid="{00000000-0005-0000-0000-0000724D0000}"/>
    <cellStyle name="Normal 12 7 7 2 4 2 2" xfId="20205" xr:uid="{00000000-0005-0000-0000-0000734D0000}"/>
    <cellStyle name="Normal 12 7 7 2 4 2 3" xfId="20206" xr:uid="{00000000-0005-0000-0000-0000744D0000}"/>
    <cellStyle name="Normal 12 7 7 2 4 2 4" xfId="20207" xr:uid="{00000000-0005-0000-0000-0000754D0000}"/>
    <cellStyle name="Normal 12 7 7 2 4 2 5" xfId="20208" xr:uid="{00000000-0005-0000-0000-0000764D0000}"/>
    <cellStyle name="Normal 12 7 7 2 4 3" xfId="20209" xr:uid="{00000000-0005-0000-0000-0000774D0000}"/>
    <cellStyle name="Normal 12 7 7 2 4 4" xfId="20210" xr:uid="{00000000-0005-0000-0000-0000784D0000}"/>
    <cellStyle name="Normal 12 7 7 2 4 5" xfId="20211" xr:uid="{00000000-0005-0000-0000-0000794D0000}"/>
    <cellStyle name="Normal 12 7 7 2 4 6" xfId="20212" xr:uid="{00000000-0005-0000-0000-00007A4D0000}"/>
    <cellStyle name="Normal 12 7 7 2 4 7" xfId="20213" xr:uid="{00000000-0005-0000-0000-00007B4D0000}"/>
    <cellStyle name="Normal 12 7 7 2 4 8" xfId="20214" xr:uid="{00000000-0005-0000-0000-00007C4D0000}"/>
    <cellStyle name="Normal 12 7 7 2 5" xfId="20215" xr:uid="{00000000-0005-0000-0000-00007D4D0000}"/>
    <cellStyle name="Normal 12 7 7 2 5 2" xfId="20216" xr:uid="{00000000-0005-0000-0000-00007E4D0000}"/>
    <cellStyle name="Normal 12 7 7 2 5 3" xfId="20217" xr:uid="{00000000-0005-0000-0000-00007F4D0000}"/>
    <cellStyle name="Normal 12 7 7 2 5 4" xfId="20218" xr:uid="{00000000-0005-0000-0000-0000804D0000}"/>
    <cellStyle name="Normal 12 7 7 2 5 5" xfId="20219" xr:uid="{00000000-0005-0000-0000-0000814D0000}"/>
    <cellStyle name="Normal 12 7 7 2 6" xfId="20220" xr:uid="{00000000-0005-0000-0000-0000824D0000}"/>
    <cellStyle name="Normal 12 7 7 2 7" xfId="20221" xr:uid="{00000000-0005-0000-0000-0000834D0000}"/>
    <cellStyle name="Normal 12 7 7 2 8" xfId="20222" xr:uid="{00000000-0005-0000-0000-0000844D0000}"/>
    <cellStyle name="Normal 12 7 7 2 9" xfId="20223" xr:uid="{00000000-0005-0000-0000-0000854D0000}"/>
    <cellStyle name="Normal 12 7 7 3" xfId="20224" xr:uid="{00000000-0005-0000-0000-0000864D0000}"/>
    <cellStyle name="Normal 12 7 7 3 10" xfId="20225" xr:uid="{00000000-0005-0000-0000-0000874D0000}"/>
    <cellStyle name="Normal 12 7 7 3 11" xfId="20226" xr:uid="{00000000-0005-0000-0000-0000884D0000}"/>
    <cellStyle name="Normal 12 7 7 3 2" xfId="20227" xr:uid="{00000000-0005-0000-0000-0000894D0000}"/>
    <cellStyle name="Normal 12 7 7 3 2 10" xfId="20228" xr:uid="{00000000-0005-0000-0000-00008A4D0000}"/>
    <cellStyle name="Normal 12 7 7 3 2 2" xfId="20229" xr:uid="{00000000-0005-0000-0000-00008B4D0000}"/>
    <cellStyle name="Normal 12 7 7 3 2 2 2" xfId="20230" xr:uid="{00000000-0005-0000-0000-00008C4D0000}"/>
    <cellStyle name="Normal 12 7 7 3 2 2 2 2" xfId="20231" xr:uid="{00000000-0005-0000-0000-00008D4D0000}"/>
    <cellStyle name="Normal 12 7 7 3 2 2 2 3" xfId="20232" xr:uid="{00000000-0005-0000-0000-00008E4D0000}"/>
    <cellStyle name="Normal 12 7 7 3 2 2 2 4" xfId="20233" xr:uid="{00000000-0005-0000-0000-00008F4D0000}"/>
    <cellStyle name="Normal 12 7 7 3 2 2 2 5" xfId="20234" xr:uid="{00000000-0005-0000-0000-0000904D0000}"/>
    <cellStyle name="Normal 12 7 7 3 2 2 3" xfId="20235" xr:uid="{00000000-0005-0000-0000-0000914D0000}"/>
    <cellStyle name="Normal 12 7 7 3 2 2 4" xfId="20236" xr:uid="{00000000-0005-0000-0000-0000924D0000}"/>
    <cellStyle name="Normal 12 7 7 3 2 2 5" xfId="20237" xr:uid="{00000000-0005-0000-0000-0000934D0000}"/>
    <cellStyle name="Normal 12 7 7 3 2 2 6" xfId="20238" xr:uid="{00000000-0005-0000-0000-0000944D0000}"/>
    <cellStyle name="Normal 12 7 7 3 2 2 7" xfId="20239" xr:uid="{00000000-0005-0000-0000-0000954D0000}"/>
    <cellStyle name="Normal 12 7 7 3 2 2 8" xfId="20240" xr:uid="{00000000-0005-0000-0000-0000964D0000}"/>
    <cellStyle name="Normal 12 7 7 3 2 3" xfId="20241" xr:uid="{00000000-0005-0000-0000-0000974D0000}"/>
    <cellStyle name="Normal 12 7 7 3 2 3 2" xfId="20242" xr:uid="{00000000-0005-0000-0000-0000984D0000}"/>
    <cellStyle name="Normal 12 7 7 3 2 3 2 2" xfId="20243" xr:uid="{00000000-0005-0000-0000-0000994D0000}"/>
    <cellStyle name="Normal 12 7 7 3 2 3 2 3" xfId="20244" xr:uid="{00000000-0005-0000-0000-00009A4D0000}"/>
    <cellStyle name="Normal 12 7 7 3 2 3 2 4" xfId="20245" xr:uid="{00000000-0005-0000-0000-00009B4D0000}"/>
    <cellStyle name="Normal 12 7 7 3 2 3 2 5" xfId="20246" xr:uid="{00000000-0005-0000-0000-00009C4D0000}"/>
    <cellStyle name="Normal 12 7 7 3 2 3 3" xfId="20247" xr:uid="{00000000-0005-0000-0000-00009D4D0000}"/>
    <cellStyle name="Normal 12 7 7 3 2 3 4" xfId="20248" xr:uid="{00000000-0005-0000-0000-00009E4D0000}"/>
    <cellStyle name="Normal 12 7 7 3 2 3 5" xfId="20249" xr:uid="{00000000-0005-0000-0000-00009F4D0000}"/>
    <cellStyle name="Normal 12 7 7 3 2 3 6" xfId="20250" xr:uid="{00000000-0005-0000-0000-0000A04D0000}"/>
    <cellStyle name="Normal 12 7 7 3 2 3 7" xfId="20251" xr:uid="{00000000-0005-0000-0000-0000A14D0000}"/>
    <cellStyle name="Normal 12 7 7 3 2 3 8" xfId="20252" xr:uid="{00000000-0005-0000-0000-0000A24D0000}"/>
    <cellStyle name="Normal 12 7 7 3 2 4" xfId="20253" xr:uid="{00000000-0005-0000-0000-0000A34D0000}"/>
    <cellStyle name="Normal 12 7 7 3 2 4 2" xfId="20254" xr:uid="{00000000-0005-0000-0000-0000A44D0000}"/>
    <cellStyle name="Normal 12 7 7 3 2 4 3" xfId="20255" xr:uid="{00000000-0005-0000-0000-0000A54D0000}"/>
    <cellStyle name="Normal 12 7 7 3 2 4 4" xfId="20256" xr:uid="{00000000-0005-0000-0000-0000A64D0000}"/>
    <cellStyle name="Normal 12 7 7 3 2 4 5" xfId="20257" xr:uid="{00000000-0005-0000-0000-0000A74D0000}"/>
    <cellStyle name="Normal 12 7 7 3 2 5" xfId="20258" xr:uid="{00000000-0005-0000-0000-0000A84D0000}"/>
    <cellStyle name="Normal 12 7 7 3 2 6" xfId="20259" xr:uid="{00000000-0005-0000-0000-0000A94D0000}"/>
    <cellStyle name="Normal 12 7 7 3 2 7" xfId="20260" xr:uid="{00000000-0005-0000-0000-0000AA4D0000}"/>
    <cellStyle name="Normal 12 7 7 3 2 8" xfId="20261" xr:uid="{00000000-0005-0000-0000-0000AB4D0000}"/>
    <cellStyle name="Normal 12 7 7 3 2 9" xfId="20262" xr:uid="{00000000-0005-0000-0000-0000AC4D0000}"/>
    <cellStyle name="Normal 12 7 7 3 3" xfId="20263" xr:uid="{00000000-0005-0000-0000-0000AD4D0000}"/>
    <cellStyle name="Normal 12 7 7 3 3 2" xfId="20264" xr:uid="{00000000-0005-0000-0000-0000AE4D0000}"/>
    <cellStyle name="Normal 12 7 7 3 3 2 2" xfId="20265" xr:uid="{00000000-0005-0000-0000-0000AF4D0000}"/>
    <cellStyle name="Normal 12 7 7 3 3 2 3" xfId="20266" xr:uid="{00000000-0005-0000-0000-0000B04D0000}"/>
    <cellStyle name="Normal 12 7 7 3 3 2 4" xfId="20267" xr:uid="{00000000-0005-0000-0000-0000B14D0000}"/>
    <cellStyle name="Normal 12 7 7 3 3 2 5" xfId="20268" xr:uid="{00000000-0005-0000-0000-0000B24D0000}"/>
    <cellStyle name="Normal 12 7 7 3 3 3" xfId="20269" xr:uid="{00000000-0005-0000-0000-0000B34D0000}"/>
    <cellStyle name="Normal 12 7 7 3 3 4" xfId="20270" xr:uid="{00000000-0005-0000-0000-0000B44D0000}"/>
    <cellStyle name="Normal 12 7 7 3 3 5" xfId="20271" xr:uid="{00000000-0005-0000-0000-0000B54D0000}"/>
    <cellStyle name="Normal 12 7 7 3 3 6" xfId="20272" xr:uid="{00000000-0005-0000-0000-0000B64D0000}"/>
    <cellStyle name="Normal 12 7 7 3 3 7" xfId="20273" xr:uid="{00000000-0005-0000-0000-0000B74D0000}"/>
    <cellStyle name="Normal 12 7 7 3 3 8" xfId="20274" xr:uid="{00000000-0005-0000-0000-0000B84D0000}"/>
    <cellStyle name="Normal 12 7 7 3 4" xfId="20275" xr:uid="{00000000-0005-0000-0000-0000B94D0000}"/>
    <cellStyle name="Normal 12 7 7 3 4 2" xfId="20276" xr:uid="{00000000-0005-0000-0000-0000BA4D0000}"/>
    <cellStyle name="Normal 12 7 7 3 4 2 2" xfId="20277" xr:uid="{00000000-0005-0000-0000-0000BB4D0000}"/>
    <cellStyle name="Normal 12 7 7 3 4 2 3" xfId="20278" xr:uid="{00000000-0005-0000-0000-0000BC4D0000}"/>
    <cellStyle name="Normal 12 7 7 3 4 2 4" xfId="20279" xr:uid="{00000000-0005-0000-0000-0000BD4D0000}"/>
    <cellStyle name="Normal 12 7 7 3 4 2 5" xfId="20280" xr:uid="{00000000-0005-0000-0000-0000BE4D0000}"/>
    <cellStyle name="Normal 12 7 7 3 4 3" xfId="20281" xr:uid="{00000000-0005-0000-0000-0000BF4D0000}"/>
    <cellStyle name="Normal 12 7 7 3 4 4" xfId="20282" xr:uid="{00000000-0005-0000-0000-0000C04D0000}"/>
    <cellStyle name="Normal 12 7 7 3 4 5" xfId="20283" xr:uid="{00000000-0005-0000-0000-0000C14D0000}"/>
    <cellStyle name="Normal 12 7 7 3 4 6" xfId="20284" xr:uid="{00000000-0005-0000-0000-0000C24D0000}"/>
    <cellStyle name="Normal 12 7 7 3 4 7" xfId="20285" xr:uid="{00000000-0005-0000-0000-0000C34D0000}"/>
    <cellStyle name="Normal 12 7 7 3 4 8" xfId="20286" xr:uid="{00000000-0005-0000-0000-0000C44D0000}"/>
    <cellStyle name="Normal 12 7 7 3 5" xfId="20287" xr:uid="{00000000-0005-0000-0000-0000C54D0000}"/>
    <cellStyle name="Normal 12 7 7 3 5 2" xfId="20288" xr:uid="{00000000-0005-0000-0000-0000C64D0000}"/>
    <cellStyle name="Normal 12 7 7 3 5 3" xfId="20289" xr:uid="{00000000-0005-0000-0000-0000C74D0000}"/>
    <cellStyle name="Normal 12 7 7 3 5 4" xfId="20290" xr:uid="{00000000-0005-0000-0000-0000C84D0000}"/>
    <cellStyle name="Normal 12 7 7 3 5 5" xfId="20291" xr:uid="{00000000-0005-0000-0000-0000C94D0000}"/>
    <cellStyle name="Normal 12 7 7 3 6" xfId="20292" xr:uid="{00000000-0005-0000-0000-0000CA4D0000}"/>
    <cellStyle name="Normal 12 7 7 3 7" xfId="20293" xr:uid="{00000000-0005-0000-0000-0000CB4D0000}"/>
    <cellStyle name="Normal 12 7 7 3 8" xfId="20294" xr:uid="{00000000-0005-0000-0000-0000CC4D0000}"/>
    <cellStyle name="Normal 12 7 7 3 9" xfId="20295" xr:uid="{00000000-0005-0000-0000-0000CD4D0000}"/>
    <cellStyle name="Normal 12 7 7 4" xfId="20296" xr:uid="{00000000-0005-0000-0000-0000CE4D0000}"/>
    <cellStyle name="Normal 12 7 7 4 10" xfId="20297" xr:uid="{00000000-0005-0000-0000-0000CF4D0000}"/>
    <cellStyle name="Normal 12 7 7 4 2" xfId="20298" xr:uid="{00000000-0005-0000-0000-0000D04D0000}"/>
    <cellStyle name="Normal 12 7 7 4 2 2" xfId="20299" xr:uid="{00000000-0005-0000-0000-0000D14D0000}"/>
    <cellStyle name="Normal 12 7 7 4 2 2 2" xfId="20300" xr:uid="{00000000-0005-0000-0000-0000D24D0000}"/>
    <cellStyle name="Normal 12 7 7 4 2 2 3" xfId="20301" xr:uid="{00000000-0005-0000-0000-0000D34D0000}"/>
    <cellStyle name="Normal 12 7 7 4 2 2 4" xfId="20302" xr:uid="{00000000-0005-0000-0000-0000D44D0000}"/>
    <cellStyle name="Normal 12 7 7 4 2 2 5" xfId="20303" xr:uid="{00000000-0005-0000-0000-0000D54D0000}"/>
    <cellStyle name="Normal 12 7 7 4 2 3" xfId="20304" xr:uid="{00000000-0005-0000-0000-0000D64D0000}"/>
    <cellStyle name="Normal 12 7 7 4 2 4" xfId="20305" xr:uid="{00000000-0005-0000-0000-0000D74D0000}"/>
    <cellStyle name="Normal 12 7 7 4 2 5" xfId="20306" xr:uid="{00000000-0005-0000-0000-0000D84D0000}"/>
    <cellStyle name="Normal 12 7 7 4 2 6" xfId="20307" xr:uid="{00000000-0005-0000-0000-0000D94D0000}"/>
    <cellStyle name="Normal 12 7 7 4 2 7" xfId="20308" xr:uid="{00000000-0005-0000-0000-0000DA4D0000}"/>
    <cellStyle name="Normal 12 7 7 4 2 8" xfId="20309" xr:uid="{00000000-0005-0000-0000-0000DB4D0000}"/>
    <cellStyle name="Normal 12 7 7 4 3" xfId="20310" xr:uid="{00000000-0005-0000-0000-0000DC4D0000}"/>
    <cellStyle name="Normal 12 7 7 4 3 2" xfId="20311" xr:uid="{00000000-0005-0000-0000-0000DD4D0000}"/>
    <cellStyle name="Normal 12 7 7 4 3 2 2" xfId="20312" xr:uid="{00000000-0005-0000-0000-0000DE4D0000}"/>
    <cellStyle name="Normal 12 7 7 4 3 2 3" xfId="20313" xr:uid="{00000000-0005-0000-0000-0000DF4D0000}"/>
    <cellStyle name="Normal 12 7 7 4 3 2 4" xfId="20314" xr:uid="{00000000-0005-0000-0000-0000E04D0000}"/>
    <cellStyle name="Normal 12 7 7 4 3 2 5" xfId="20315" xr:uid="{00000000-0005-0000-0000-0000E14D0000}"/>
    <cellStyle name="Normal 12 7 7 4 3 3" xfId="20316" xr:uid="{00000000-0005-0000-0000-0000E24D0000}"/>
    <cellStyle name="Normal 12 7 7 4 3 4" xfId="20317" xr:uid="{00000000-0005-0000-0000-0000E34D0000}"/>
    <cellStyle name="Normal 12 7 7 4 3 5" xfId="20318" xr:uid="{00000000-0005-0000-0000-0000E44D0000}"/>
    <cellStyle name="Normal 12 7 7 4 3 6" xfId="20319" xr:uid="{00000000-0005-0000-0000-0000E54D0000}"/>
    <cellStyle name="Normal 12 7 7 4 3 7" xfId="20320" xr:uid="{00000000-0005-0000-0000-0000E64D0000}"/>
    <cellStyle name="Normal 12 7 7 4 3 8" xfId="20321" xr:uid="{00000000-0005-0000-0000-0000E74D0000}"/>
    <cellStyle name="Normal 12 7 7 4 4" xfId="20322" xr:uid="{00000000-0005-0000-0000-0000E84D0000}"/>
    <cellStyle name="Normal 12 7 7 4 4 2" xfId="20323" xr:uid="{00000000-0005-0000-0000-0000E94D0000}"/>
    <cellStyle name="Normal 12 7 7 4 4 3" xfId="20324" xr:uid="{00000000-0005-0000-0000-0000EA4D0000}"/>
    <cellStyle name="Normal 12 7 7 4 4 4" xfId="20325" xr:uid="{00000000-0005-0000-0000-0000EB4D0000}"/>
    <cellStyle name="Normal 12 7 7 4 4 5" xfId="20326" xr:uid="{00000000-0005-0000-0000-0000EC4D0000}"/>
    <cellStyle name="Normal 12 7 7 4 5" xfId="20327" xr:uid="{00000000-0005-0000-0000-0000ED4D0000}"/>
    <cellStyle name="Normal 12 7 7 4 6" xfId="20328" xr:uid="{00000000-0005-0000-0000-0000EE4D0000}"/>
    <cellStyle name="Normal 12 7 7 4 7" xfId="20329" xr:uid="{00000000-0005-0000-0000-0000EF4D0000}"/>
    <cellStyle name="Normal 12 7 7 4 8" xfId="20330" xr:uid="{00000000-0005-0000-0000-0000F04D0000}"/>
    <cellStyle name="Normal 12 7 7 4 9" xfId="20331" xr:uid="{00000000-0005-0000-0000-0000F14D0000}"/>
    <cellStyle name="Normal 12 7 7 5" xfId="20332" xr:uid="{00000000-0005-0000-0000-0000F24D0000}"/>
    <cellStyle name="Normal 12 7 7 5 2" xfId="20333" xr:uid="{00000000-0005-0000-0000-0000F34D0000}"/>
    <cellStyle name="Normal 12 7 7 5 2 2" xfId="20334" xr:uid="{00000000-0005-0000-0000-0000F44D0000}"/>
    <cellStyle name="Normal 12 7 7 5 2 3" xfId="20335" xr:uid="{00000000-0005-0000-0000-0000F54D0000}"/>
    <cellStyle name="Normal 12 7 7 5 2 4" xfId="20336" xr:uid="{00000000-0005-0000-0000-0000F64D0000}"/>
    <cellStyle name="Normal 12 7 7 5 2 5" xfId="20337" xr:uid="{00000000-0005-0000-0000-0000F74D0000}"/>
    <cellStyle name="Normal 12 7 7 5 3" xfId="20338" xr:uid="{00000000-0005-0000-0000-0000F84D0000}"/>
    <cellStyle name="Normal 12 7 7 5 4" xfId="20339" xr:uid="{00000000-0005-0000-0000-0000F94D0000}"/>
    <cellStyle name="Normal 12 7 7 5 5" xfId="20340" xr:uid="{00000000-0005-0000-0000-0000FA4D0000}"/>
    <cellStyle name="Normal 12 7 7 5 6" xfId="20341" xr:uid="{00000000-0005-0000-0000-0000FB4D0000}"/>
    <cellStyle name="Normal 12 7 7 5 7" xfId="20342" xr:uid="{00000000-0005-0000-0000-0000FC4D0000}"/>
    <cellStyle name="Normal 12 7 7 5 8" xfId="20343" xr:uid="{00000000-0005-0000-0000-0000FD4D0000}"/>
    <cellStyle name="Normal 12 7 7 6" xfId="20344" xr:uid="{00000000-0005-0000-0000-0000FE4D0000}"/>
    <cellStyle name="Normal 12 7 7 6 2" xfId="20345" xr:uid="{00000000-0005-0000-0000-0000FF4D0000}"/>
    <cellStyle name="Normal 12 7 7 6 2 2" xfId="20346" xr:uid="{00000000-0005-0000-0000-0000004E0000}"/>
    <cellStyle name="Normal 12 7 7 6 2 3" xfId="20347" xr:uid="{00000000-0005-0000-0000-0000014E0000}"/>
    <cellStyle name="Normal 12 7 7 6 2 4" xfId="20348" xr:uid="{00000000-0005-0000-0000-0000024E0000}"/>
    <cellStyle name="Normal 12 7 7 6 2 5" xfId="20349" xr:uid="{00000000-0005-0000-0000-0000034E0000}"/>
    <cellStyle name="Normal 12 7 7 6 3" xfId="20350" xr:uid="{00000000-0005-0000-0000-0000044E0000}"/>
    <cellStyle name="Normal 12 7 7 6 4" xfId="20351" xr:uid="{00000000-0005-0000-0000-0000054E0000}"/>
    <cellStyle name="Normal 12 7 7 6 5" xfId="20352" xr:uid="{00000000-0005-0000-0000-0000064E0000}"/>
    <cellStyle name="Normal 12 7 7 6 6" xfId="20353" xr:uid="{00000000-0005-0000-0000-0000074E0000}"/>
    <cellStyle name="Normal 12 7 7 6 7" xfId="20354" xr:uid="{00000000-0005-0000-0000-0000084E0000}"/>
    <cellStyle name="Normal 12 7 7 6 8" xfId="20355" xr:uid="{00000000-0005-0000-0000-0000094E0000}"/>
    <cellStyle name="Normal 12 7 7 7" xfId="20356" xr:uid="{00000000-0005-0000-0000-00000A4E0000}"/>
    <cellStyle name="Normal 12 7 7 7 2" xfId="20357" xr:uid="{00000000-0005-0000-0000-00000B4E0000}"/>
    <cellStyle name="Normal 12 7 7 7 3" xfId="20358" xr:uid="{00000000-0005-0000-0000-00000C4E0000}"/>
    <cellStyle name="Normal 12 7 7 7 4" xfId="20359" xr:uid="{00000000-0005-0000-0000-00000D4E0000}"/>
    <cellStyle name="Normal 12 7 7 7 5" xfId="20360" xr:uid="{00000000-0005-0000-0000-00000E4E0000}"/>
    <cellStyle name="Normal 12 7 7 8" xfId="20361" xr:uid="{00000000-0005-0000-0000-00000F4E0000}"/>
    <cellStyle name="Normal 12 7 7 9" xfId="20362" xr:uid="{00000000-0005-0000-0000-0000104E0000}"/>
    <cellStyle name="Normal 12 7 8" xfId="20363" xr:uid="{00000000-0005-0000-0000-0000114E0000}"/>
    <cellStyle name="Normal 12 7 8 10" xfId="20364" xr:uid="{00000000-0005-0000-0000-0000124E0000}"/>
    <cellStyle name="Normal 12 7 8 11" xfId="20365" xr:uid="{00000000-0005-0000-0000-0000134E0000}"/>
    <cellStyle name="Normal 12 7 8 12" xfId="20366" xr:uid="{00000000-0005-0000-0000-0000144E0000}"/>
    <cellStyle name="Normal 12 7 8 13" xfId="20367" xr:uid="{00000000-0005-0000-0000-0000154E0000}"/>
    <cellStyle name="Normal 12 7 8 2" xfId="20368" xr:uid="{00000000-0005-0000-0000-0000164E0000}"/>
    <cellStyle name="Normal 12 7 8 2 10" xfId="20369" xr:uid="{00000000-0005-0000-0000-0000174E0000}"/>
    <cellStyle name="Normal 12 7 8 2 11" xfId="20370" xr:uid="{00000000-0005-0000-0000-0000184E0000}"/>
    <cellStyle name="Normal 12 7 8 2 2" xfId="20371" xr:uid="{00000000-0005-0000-0000-0000194E0000}"/>
    <cellStyle name="Normal 12 7 8 2 2 10" xfId="20372" xr:uid="{00000000-0005-0000-0000-00001A4E0000}"/>
    <cellStyle name="Normal 12 7 8 2 2 2" xfId="20373" xr:uid="{00000000-0005-0000-0000-00001B4E0000}"/>
    <cellStyle name="Normal 12 7 8 2 2 2 2" xfId="20374" xr:uid="{00000000-0005-0000-0000-00001C4E0000}"/>
    <cellStyle name="Normal 12 7 8 2 2 2 2 2" xfId="20375" xr:uid="{00000000-0005-0000-0000-00001D4E0000}"/>
    <cellStyle name="Normal 12 7 8 2 2 2 2 3" xfId="20376" xr:uid="{00000000-0005-0000-0000-00001E4E0000}"/>
    <cellStyle name="Normal 12 7 8 2 2 2 2 4" xfId="20377" xr:uid="{00000000-0005-0000-0000-00001F4E0000}"/>
    <cellStyle name="Normal 12 7 8 2 2 2 2 5" xfId="20378" xr:uid="{00000000-0005-0000-0000-0000204E0000}"/>
    <cellStyle name="Normal 12 7 8 2 2 2 3" xfId="20379" xr:uid="{00000000-0005-0000-0000-0000214E0000}"/>
    <cellStyle name="Normal 12 7 8 2 2 2 4" xfId="20380" xr:uid="{00000000-0005-0000-0000-0000224E0000}"/>
    <cellStyle name="Normal 12 7 8 2 2 2 5" xfId="20381" xr:uid="{00000000-0005-0000-0000-0000234E0000}"/>
    <cellStyle name="Normal 12 7 8 2 2 2 6" xfId="20382" xr:uid="{00000000-0005-0000-0000-0000244E0000}"/>
    <cellStyle name="Normal 12 7 8 2 2 2 7" xfId="20383" xr:uid="{00000000-0005-0000-0000-0000254E0000}"/>
    <cellStyle name="Normal 12 7 8 2 2 2 8" xfId="20384" xr:uid="{00000000-0005-0000-0000-0000264E0000}"/>
    <cellStyle name="Normal 12 7 8 2 2 3" xfId="20385" xr:uid="{00000000-0005-0000-0000-0000274E0000}"/>
    <cellStyle name="Normal 12 7 8 2 2 3 2" xfId="20386" xr:uid="{00000000-0005-0000-0000-0000284E0000}"/>
    <cellStyle name="Normal 12 7 8 2 2 3 2 2" xfId="20387" xr:uid="{00000000-0005-0000-0000-0000294E0000}"/>
    <cellStyle name="Normal 12 7 8 2 2 3 2 3" xfId="20388" xr:uid="{00000000-0005-0000-0000-00002A4E0000}"/>
    <cellStyle name="Normal 12 7 8 2 2 3 2 4" xfId="20389" xr:uid="{00000000-0005-0000-0000-00002B4E0000}"/>
    <cellStyle name="Normal 12 7 8 2 2 3 2 5" xfId="20390" xr:uid="{00000000-0005-0000-0000-00002C4E0000}"/>
    <cellStyle name="Normal 12 7 8 2 2 3 3" xfId="20391" xr:uid="{00000000-0005-0000-0000-00002D4E0000}"/>
    <cellStyle name="Normal 12 7 8 2 2 3 4" xfId="20392" xr:uid="{00000000-0005-0000-0000-00002E4E0000}"/>
    <cellStyle name="Normal 12 7 8 2 2 3 5" xfId="20393" xr:uid="{00000000-0005-0000-0000-00002F4E0000}"/>
    <cellStyle name="Normal 12 7 8 2 2 3 6" xfId="20394" xr:uid="{00000000-0005-0000-0000-0000304E0000}"/>
    <cellStyle name="Normal 12 7 8 2 2 3 7" xfId="20395" xr:uid="{00000000-0005-0000-0000-0000314E0000}"/>
    <cellStyle name="Normal 12 7 8 2 2 3 8" xfId="20396" xr:uid="{00000000-0005-0000-0000-0000324E0000}"/>
    <cellStyle name="Normal 12 7 8 2 2 4" xfId="20397" xr:uid="{00000000-0005-0000-0000-0000334E0000}"/>
    <cellStyle name="Normal 12 7 8 2 2 4 2" xfId="20398" xr:uid="{00000000-0005-0000-0000-0000344E0000}"/>
    <cellStyle name="Normal 12 7 8 2 2 4 3" xfId="20399" xr:uid="{00000000-0005-0000-0000-0000354E0000}"/>
    <cellStyle name="Normal 12 7 8 2 2 4 4" xfId="20400" xr:uid="{00000000-0005-0000-0000-0000364E0000}"/>
    <cellStyle name="Normal 12 7 8 2 2 4 5" xfId="20401" xr:uid="{00000000-0005-0000-0000-0000374E0000}"/>
    <cellStyle name="Normal 12 7 8 2 2 5" xfId="20402" xr:uid="{00000000-0005-0000-0000-0000384E0000}"/>
    <cellStyle name="Normal 12 7 8 2 2 6" xfId="20403" xr:uid="{00000000-0005-0000-0000-0000394E0000}"/>
    <cellStyle name="Normal 12 7 8 2 2 7" xfId="20404" xr:uid="{00000000-0005-0000-0000-00003A4E0000}"/>
    <cellStyle name="Normal 12 7 8 2 2 8" xfId="20405" xr:uid="{00000000-0005-0000-0000-00003B4E0000}"/>
    <cellStyle name="Normal 12 7 8 2 2 9" xfId="20406" xr:uid="{00000000-0005-0000-0000-00003C4E0000}"/>
    <cellStyle name="Normal 12 7 8 2 3" xfId="20407" xr:uid="{00000000-0005-0000-0000-00003D4E0000}"/>
    <cellStyle name="Normal 12 7 8 2 3 2" xfId="20408" xr:uid="{00000000-0005-0000-0000-00003E4E0000}"/>
    <cellStyle name="Normal 12 7 8 2 3 2 2" xfId="20409" xr:uid="{00000000-0005-0000-0000-00003F4E0000}"/>
    <cellStyle name="Normal 12 7 8 2 3 2 3" xfId="20410" xr:uid="{00000000-0005-0000-0000-0000404E0000}"/>
    <cellStyle name="Normal 12 7 8 2 3 2 4" xfId="20411" xr:uid="{00000000-0005-0000-0000-0000414E0000}"/>
    <cellStyle name="Normal 12 7 8 2 3 2 5" xfId="20412" xr:uid="{00000000-0005-0000-0000-0000424E0000}"/>
    <cellStyle name="Normal 12 7 8 2 3 3" xfId="20413" xr:uid="{00000000-0005-0000-0000-0000434E0000}"/>
    <cellStyle name="Normal 12 7 8 2 3 4" xfId="20414" xr:uid="{00000000-0005-0000-0000-0000444E0000}"/>
    <cellStyle name="Normal 12 7 8 2 3 5" xfId="20415" xr:uid="{00000000-0005-0000-0000-0000454E0000}"/>
    <cellStyle name="Normal 12 7 8 2 3 6" xfId="20416" xr:uid="{00000000-0005-0000-0000-0000464E0000}"/>
    <cellStyle name="Normal 12 7 8 2 3 7" xfId="20417" xr:uid="{00000000-0005-0000-0000-0000474E0000}"/>
    <cellStyle name="Normal 12 7 8 2 3 8" xfId="20418" xr:uid="{00000000-0005-0000-0000-0000484E0000}"/>
    <cellStyle name="Normal 12 7 8 2 4" xfId="20419" xr:uid="{00000000-0005-0000-0000-0000494E0000}"/>
    <cellStyle name="Normal 12 7 8 2 4 2" xfId="20420" xr:uid="{00000000-0005-0000-0000-00004A4E0000}"/>
    <cellStyle name="Normal 12 7 8 2 4 2 2" xfId="20421" xr:uid="{00000000-0005-0000-0000-00004B4E0000}"/>
    <cellStyle name="Normal 12 7 8 2 4 2 3" xfId="20422" xr:uid="{00000000-0005-0000-0000-00004C4E0000}"/>
    <cellStyle name="Normal 12 7 8 2 4 2 4" xfId="20423" xr:uid="{00000000-0005-0000-0000-00004D4E0000}"/>
    <cellStyle name="Normal 12 7 8 2 4 2 5" xfId="20424" xr:uid="{00000000-0005-0000-0000-00004E4E0000}"/>
    <cellStyle name="Normal 12 7 8 2 4 3" xfId="20425" xr:uid="{00000000-0005-0000-0000-00004F4E0000}"/>
    <cellStyle name="Normal 12 7 8 2 4 4" xfId="20426" xr:uid="{00000000-0005-0000-0000-0000504E0000}"/>
    <cellStyle name="Normal 12 7 8 2 4 5" xfId="20427" xr:uid="{00000000-0005-0000-0000-0000514E0000}"/>
    <cellStyle name="Normal 12 7 8 2 4 6" xfId="20428" xr:uid="{00000000-0005-0000-0000-0000524E0000}"/>
    <cellStyle name="Normal 12 7 8 2 4 7" xfId="20429" xr:uid="{00000000-0005-0000-0000-0000534E0000}"/>
    <cellStyle name="Normal 12 7 8 2 4 8" xfId="20430" xr:uid="{00000000-0005-0000-0000-0000544E0000}"/>
    <cellStyle name="Normal 12 7 8 2 5" xfId="20431" xr:uid="{00000000-0005-0000-0000-0000554E0000}"/>
    <cellStyle name="Normal 12 7 8 2 5 2" xfId="20432" xr:uid="{00000000-0005-0000-0000-0000564E0000}"/>
    <cellStyle name="Normal 12 7 8 2 5 3" xfId="20433" xr:uid="{00000000-0005-0000-0000-0000574E0000}"/>
    <cellStyle name="Normal 12 7 8 2 5 4" xfId="20434" xr:uid="{00000000-0005-0000-0000-0000584E0000}"/>
    <cellStyle name="Normal 12 7 8 2 5 5" xfId="20435" xr:uid="{00000000-0005-0000-0000-0000594E0000}"/>
    <cellStyle name="Normal 12 7 8 2 6" xfId="20436" xr:uid="{00000000-0005-0000-0000-00005A4E0000}"/>
    <cellStyle name="Normal 12 7 8 2 7" xfId="20437" xr:uid="{00000000-0005-0000-0000-00005B4E0000}"/>
    <cellStyle name="Normal 12 7 8 2 8" xfId="20438" xr:uid="{00000000-0005-0000-0000-00005C4E0000}"/>
    <cellStyle name="Normal 12 7 8 2 9" xfId="20439" xr:uid="{00000000-0005-0000-0000-00005D4E0000}"/>
    <cellStyle name="Normal 12 7 8 3" xfId="20440" xr:uid="{00000000-0005-0000-0000-00005E4E0000}"/>
    <cellStyle name="Normal 12 7 8 3 10" xfId="20441" xr:uid="{00000000-0005-0000-0000-00005F4E0000}"/>
    <cellStyle name="Normal 12 7 8 3 11" xfId="20442" xr:uid="{00000000-0005-0000-0000-0000604E0000}"/>
    <cellStyle name="Normal 12 7 8 3 2" xfId="20443" xr:uid="{00000000-0005-0000-0000-0000614E0000}"/>
    <cellStyle name="Normal 12 7 8 3 2 10" xfId="20444" xr:uid="{00000000-0005-0000-0000-0000624E0000}"/>
    <cellStyle name="Normal 12 7 8 3 2 2" xfId="20445" xr:uid="{00000000-0005-0000-0000-0000634E0000}"/>
    <cellStyle name="Normal 12 7 8 3 2 2 2" xfId="20446" xr:uid="{00000000-0005-0000-0000-0000644E0000}"/>
    <cellStyle name="Normal 12 7 8 3 2 2 2 2" xfId="20447" xr:uid="{00000000-0005-0000-0000-0000654E0000}"/>
    <cellStyle name="Normal 12 7 8 3 2 2 2 3" xfId="20448" xr:uid="{00000000-0005-0000-0000-0000664E0000}"/>
    <cellStyle name="Normal 12 7 8 3 2 2 2 4" xfId="20449" xr:uid="{00000000-0005-0000-0000-0000674E0000}"/>
    <cellStyle name="Normal 12 7 8 3 2 2 2 5" xfId="20450" xr:uid="{00000000-0005-0000-0000-0000684E0000}"/>
    <cellStyle name="Normal 12 7 8 3 2 2 3" xfId="20451" xr:uid="{00000000-0005-0000-0000-0000694E0000}"/>
    <cellStyle name="Normal 12 7 8 3 2 2 4" xfId="20452" xr:uid="{00000000-0005-0000-0000-00006A4E0000}"/>
    <cellStyle name="Normal 12 7 8 3 2 2 5" xfId="20453" xr:uid="{00000000-0005-0000-0000-00006B4E0000}"/>
    <cellStyle name="Normal 12 7 8 3 2 2 6" xfId="20454" xr:uid="{00000000-0005-0000-0000-00006C4E0000}"/>
    <cellStyle name="Normal 12 7 8 3 2 2 7" xfId="20455" xr:uid="{00000000-0005-0000-0000-00006D4E0000}"/>
    <cellStyle name="Normal 12 7 8 3 2 2 8" xfId="20456" xr:uid="{00000000-0005-0000-0000-00006E4E0000}"/>
    <cellStyle name="Normal 12 7 8 3 2 3" xfId="20457" xr:uid="{00000000-0005-0000-0000-00006F4E0000}"/>
    <cellStyle name="Normal 12 7 8 3 2 3 2" xfId="20458" xr:uid="{00000000-0005-0000-0000-0000704E0000}"/>
    <cellStyle name="Normal 12 7 8 3 2 3 2 2" xfId="20459" xr:uid="{00000000-0005-0000-0000-0000714E0000}"/>
    <cellStyle name="Normal 12 7 8 3 2 3 2 3" xfId="20460" xr:uid="{00000000-0005-0000-0000-0000724E0000}"/>
    <cellStyle name="Normal 12 7 8 3 2 3 2 4" xfId="20461" xr:uid="{00000000-0005-0000-0000-0000734E0000}"/>
    <cellStyle name="Normal 12 7 8 3 2 3 2 5" xfId="20462" xr:uid="{00000000-0005-0000-0000-0000744E0000}"/>
    <cellStyle name="Normal 12 7 8 3 2 3 3" xfId="20463" xr:uid="{00000000-0005-0000-0000-0000754E0000}"/>
    <cellStyle name="Normal 12 7 8 3 2 3 4" xfId="20464" xr:uid="{00000000-0005-0000-0000-0000764E0000}"/>
    <cellStyle name="Normal 12 7 8 3 2 3 5" xfId="20465" xr:uid="{00000000-0005-0000-0000-0000774E0000}"/>
    <cellStyle name="Normal 12 7 8 3 2 3 6" xfId="20466" xr:uid="{00000000-0005-0000-0000-0000784E0000}"/>
    <cellStyle name="Normal 12 7 8 3 2 3 7" xfId="20467" xr:uid="{00000000-0005-0000-0000-0000794E0000}"/>
    <cellStyle name="Normal 12 7 8 3 2 3 8" xfId="20468" xr:uid="{00000000-0005-0000-0000-00007A4E0000}"/>
    <cellStyle name="Normal 12 7 8 3 2 4" xfId="20469" xr:uid="{00000000-0005-0000-0000-00007B4E0000}"/>
    <cellStyle name="Normal 12 7 8 3 2 4 2" xfId="20470" xr:uid="{00000000-0005-0000-0000-00007C4E0000}"/>
    <cellStyle name="Normal 12 7 8 3 2 4 3" xfId="20471" xr:uid="{00000000-0005-0000-0000-00007D4E0000}"/>
    <cellStyle name="Normal 12 7 8 3 2 4 4" xfId="20472" xr:uid="{00000000-0005-0000-0000-00007E4E0000}"/>
    <cellStyle name="Normal 12 7 8 3 2 4 5" xfId="20473" xr:uid="{00000000-0005-0000-0000-00007F4E0000}"/>
    <cellStyle name="Normal 12 7 8 3 2 5" xfId="20474" xr:uid="{00000000-0005-0000-0000-0000804E0000}"/>
    <cellStyle name="Normal 12 7 8 3 2 6" xfId="20475" xr:uid="{00000000-0005-0000-0000-0000814E0000}"/>
    <cellStyle name="Normal 12 7 8 3 2 7" xfId="20476" xr:uid="{00000000-0005-0000-0000-0000824E0000}"/>
    <cellStyle name="Normal 12 7 8 3 2 8" xfId="20477" xr:uid="{00000000-0005-0000-0000-0000834E0000}"/>
    <cellStyle name="Normal 12 7 8 3 2 9" xfId="20478" xr:uid="{00000000-0005-0000-0000-0000844E0000}"/>
    <cellStyle name="Normal 12 7 8 3 3" xfId="20479" xr:uid="{00000000-0005-0000-0000-0000854E0000}"/>
    <cellStyle name="Normal 12 7 8 3 3 2" xfId="20480" xr:uid="{00000000-0005-0000-0000-0000864E0000}"/>
    <cellStyle name="Normal 12 7 8 3 3 2 2" xfId="20481" xr:uid="{00000000-0005-0000-0000-0000874E0000}"/>
    <cellStyle name="Normal 12 7 8 3 3 2 3" xfId="20482" xr:uid="{00000000-0005-0000-0000-0000884E0000}"/>
    <cellStyle name="Normal 12 7 8 3 3 2 4" xfId="20483" xr:uid="{00000000-0005-0000-0000-0000894E0000}"/>
    <cellStyle name="Normal 12 7 8 3 3 2 5" xfId="20484" xr:uid="{00000000-0005-0000-0000-00008A4E0000}"/>
    <cellStyle name="Normal 12 7 8 3 3 3" xfId="20485" xr:uid="{00000000-0005-0000-0000-00008B4E0000}"/>
    <cellStyle name="Normal 12 7 8 3 3 4" xfId="20486" xr:uid="{00000000-0005-0000-0000-00008C4E0000}"/>
    <cellStyle name="Normal 12 7 8 3 3 5" xfId="20487" xr:uid="{00000000-0005-0000-0000-00008D4E0000}"/>
    <cellStyle name="Normal 12 7 8 3 3 6" xfId="20488" xr:uid="{00000000-0005-0000-0000-00008E4E0000}"/>
    <cellStyle name="Normal 12 7 8 3 3 7" xfId="20489" xr:uid="{00000000-0005-0000-0000-00008F4E0000}"/>
    <cellStyle name="Normal 12 7 8 3 3 8" xfId="20490" xr:uid="{00000000-0005-0000-0000-0000904E0000}"/>
    <cellStyle name="Normal 12 7 8 3 4" xfId="20491" xr:uid="{00000000-0005-0000-0000-0000914E0000}"/>
    <cellStyle name="Normal 12 7 8 3 4 2" xfId="20492" xr:uid="{00000000-0005-0000-0000-0000924E0000}"/>
    <cellStyle name="Normal 12 7 8 3 4 2 2" xfId="20493" xr:uid="{00000000-0005-0000-0000-0000934E0000}"/>
    <cellStyle name="Normal 12 7 8 3 4 2 3" xfId="20494" xr:uid="{00000000-0005-0000-0000-0000944E0000}"/>
    <cellStyle name="Normal 12 7 8 3 4 2 4" xfId="20495" xr:uid="{00000000-0005-0000-0000-0000954E0000}"/>
    <cellStyle name="Normal 12 7 8 3 4 2 5" xfId="20496" xr:uid="{00000000-0005-0000-0000-0000964E0000}"/>
    <cellStyle name="Normal 12 7 8 3 4 3" xfId="20497" xr:uid="{00000000-0005-0000-0000-0000974E0000}"/>
    <cellStyle name="Normal 12 7 8 3 4 4" xfId="20498" xr:uid="{00000000-0005-0000-0000-0000984E0000}"/>
    <cellStyle name="Normal 12 7 8 3 4 5" xfId="20499" xr:uid="{00000000-0005-0000-0000-0000994E0000}"/>
    <cellStyle name="Normal 12 7 8 3 4 6" xfId="20500" xr:uid="{00000000-0005-0000-0000-00009A4E0000}"/>
    <cellStyle name="Normal 12 7 8 3 4 7" xfId="20501" xr:uid="{00000000-0005-0000-0000-00009B4E0000}"/>
    <cellStyle name="Normal 12 7 8 3 4 8" xfId="20502" xr:uid="{00000000-0005-0000-0000-00009C4E0000}"/>
    <cellStyle name="Normal 12 7 8 3 5" xfId="20503" xr:uid="{00000000-0005-0000-0000-00009D4E0000}"/>
    <cellStyle name="Normal 12 7 8 3 5 2" xfId="20504" xr:uid="{00000000-0005-0000-0000-00009E4E0000}"/>
    <cellStyle name="Normal 12 7 8 3 5 3" xfId="20505" xr:uid="{00000000-0005-0000-0000-00009F4E0000}"/>
    <cellStyle name="Normal 12 7 8 3 5 4" xfId="20506" xr:uid="{00000000-0005-0000-0000-0000A04E0000}"/>
    <cellStyle name="Normal 12 7 8 3 5 5" xfId="20507" xr:uid="{00000000-0005-0000-0000-0000A14E0000}"/>
    <cellStyle name="Normal 12 7 8 3 6" xfId="20508" xr:uid="{00000000-0005-0000-0000-0000A24E0000}"/>
    <cellStyle name="Normal 12 7 8 3 7" xfId="20509" xr:uid="{00000000-0005-0000-0000-0000A34E0000}"/>
    <cellStyle name="Normal 12 7 8 3 8" xfId="20510" xr:uid="{00000000-0005-0000-0000-0000A44E0000}"/>
    <cellStyle name="Normal 12 7 8 3 9" xfId="20511" xr:uid="{00000000-0005-0000-0000-0000A54E0000}"/>
    <cellStyle name="Normal 12 7 8 4" xfId="20512" xr:uid="{00000000-0005-0000-0000-0000A64E0000}"/>
    <cellStyle name="Normal 12 7 8 4 10" xfId="20513" xr:uid="{00000000-0005-0000-0000-0000A74E0000}"/>
    <cellStyle name="Normal 12 7 8 4 2" xfId="20514" xr:uid="{00000000-0005-0000-0000-0000A84E0000}"/>
    <cellStyle name="Normal 12 7 8 4 2 2" xfId="20515" xr:uid="{00000000-0005-0000-0000-0000A94E0000}"/>
    <cellStyle name="Normal 12 7 8 4 2 2 2" xfId="20516" xr:uid="{00000000-0005-0000-0000-0000AA4E0000}"/>
    <cellStyle name="Normal 12 7 8 4 2 2 3" xfId="20517" xr:uid="{00000000-0005-0000-0000-0000AB4E0000}"/>
    <cellStyle name="Normal 12 7 8 4 2 2 4" xfId="20518" xr:uid="{00000000-0005-0000-0000-0000AC4E0000}"/>
    <cellStyle name="Normal 12 7 8 4 2 2 5" xfId="20519" xr:uid="{00000000-0005-0000-0000-0000AD4E0000}"/>
    <cellStyle name="Normal 12 7 8 4 2 3" xfId="20520" xr:uid="{00000000-0005-0000-0000-0000AE4E0000}"/>
    <cellStyle name="Normal 12 7 8 4 2 4" xfId="20521" xr:uid="{00000000-0005-0000-0000-0000AF4E0000}"/>
    <cellStyle name="Normal 12 7 8 4 2 5" xfId="20522" xr:uid="{00000000-0005-0000-0000-0000B04E0000}"/>
    <cellStyle name="Normal 12 7 8 4 2 6" xfId="20523" xr:uid="{00000000-0005-0000-0000-0000B14E0000}"/>
    <cellStyle name="Normal 12 7 8 4 2 7" xfId="20524" xr:uid="{00000000-0005-0000-0000-0000B24E0000}"/>
    <cellStyle name="Normal 12 7 8 4 2 8" xfId="20525" xr:uid="{00000000-0005-0000-0000-0000B34E0000}"/>
    <cellStyle name="Normal 12 7 8 4 3" xfId="20526" xr:uid="{00000000-0005-0000-0000-0000B44E0000}"/>
    <cellStyle name="Normal 12 7 8 4 3 2" xfId="20527" xr:uid="{00000000-0005-0000-0000-0000B54E0000}"/>
    <cellStyle name="Normal 12 7 8 4 3 2 2" xfId="20528" xr:uid="{00000000-0005-0000-0000-0000B64E0000}"/>
    <cellStyle name="Normal 12 7 8 4 3 2 3" xfId="20529" xr:uid="{00000000-0005-0000-0000-0000B74E0000}"/>
    <cellStyle name="Normal 12 7 8 4 3 2 4" xfId="20530" xr:uid="{00000000-0005-0000-0000-0000B84E0000}"/>
    <cellStyle name="Normal 12 7 8 4 3 2 5" xfId="20531" xr:uid="{00000000-0005-0000-0000-0000B94E0000}"/>
    <cellStyle name="Normal 12 7 8 4 3 3" xfId="20532" xr:uid="{00000000-0005-0000-0000-0000BA4E0000}"/>
    <cellStyle name="Normal 12 7 8 4 3 4" xfId="20533" xr:uid="{00000000-0005-0000-0000-0000BB4E0000}"/>
    <cellStyle name="Normal 12 7 8 4 3 5" xfId="20534" xr:uid="{00000000-0005-0000-0000-0000BC4E0000}"/>
    <cellStyle name="Normal 12 7 8 4 3 6" xfId="20535" xr:uid="{00000000-0005-0000-0000-0000BD4E0000}"/>
    <cellStyle name="Normal 12 7 8 4 3 7" xfId="20536" xr:uid="{00000000-0005-0000-0000-0000BE4E0000}"/>
    <cellStyle name="Normal 12 7 8 4 3 8" xfId="20537" xr:uid="{00000000-0005-0000-0000-0000BF4E0000}"/>
    <cellStyle name="Normal 12 7 8 4 4" xfId="20538" xr:uid="{00000000-0005-0000-0000-0000C04E0000}"/>
    <cellStyle name="Normal 12 7 8 4 4 2" xfId="20539" xr:uid="{00000000-0005-0000-0000-0000C14E0000}"/>
    <cellStyle name="Normal 12 7 8 4 4 3" xfId="20540" xr:uid="{00000000-0005-0000-0000-0000C24E0000}"/>
    <cellStyle name="Normal 12 7 8 4 4 4" xfId="20541" xr:uid="{00000000-0005-0000-0000-0000C34E0000}"/>
    <cellStyle name="Normal 12 7 8 4 4 5" xfId="20542" xr:uid="{00000000-0005-0000-0000-0000C44E0000}"/>
    <cellStyle name="Normal 12 7 8 4 5" xfId="20543" xr:uid="{00000000-0005-0000-0000-0000C54E0000}"/>
    <cellStyle name="Normal 12 7 8 4 6" xfId="20544" xr:uid="{00000000-0005-0000-0000-0000C64E0000}"/>
    <cellStyle name="Normal 12 7 8 4 7" xfId="20545" xr:uid="{00000000-0005-0000-0000-0000C74E0000}"/>
    <cellStyle name="Normal 12 7 8 4 8" xfId="20546" xr:uid="{00000000-0005-0000-0000-0000C84E0000}"/>
    <cellStyle name="Normal 12 7 8 4 9" xfId="20547" xr:uid="{00000000-0005-0000-0000-0000C94E0000}"/>
    <cellStyle name="Normal 12 7 8 5" xfId="20548" xr:uid="{00000000-0005-0000-0000-0000CA4E0000}"/>
    <cellStyle name="Normal 12 7 8 5 2" xfId="20549" xr:uid="{00000000-0005-0000-0000-0000CB4E0000}"/>
    <cellStyle name="Normal 12 7 8 5 2 2" xfId="20550" xr:uid="{00000000-0005-0000-0000-0000CC4E0000}"/>
    <cellStyle name="Normal 12 7 8 5 2 3" xfId="20551" xr:uid="{00000000-0005-0000-0000-0000CD4E0000}"/>
    <cellStyle name="Normal 12 7 8 5 2 4" xfId="20552" xr:uid="{00000000-0005-0000-0000-0000CE4E0000}"/>
    <cellStyle name="Normal 12 7 8 5 2 5" xfId="20553" xr:uid="{00000000-0005-0000-0000-0000CF4E0000}"/>
    <cellStyle name="Normal 12 7 8 5 3" xfId="20554" xr:uid="{00000000-0005-0000-0000-0000D04E0000}"/>
    <cellStyle name="Normal 12 7 8 5 4" xfId="20555" xr:uid="{00000000-0005-0000-0000-0000D14E0000}"/>
    <cellStyle name="Normal 12 7 8 5 5" xfId="20556" xr:uid="{00000000-0005-0000-0000-0000D24E0000}"/>
    <cellStyle name="Normal 12 7 8 5 6" xfId="20557" xr:uid="{00000000-0005-0000-0000-0000D34E0000}"/>
    <cellStyle name="Normal 12 7 8 5 7" xfId="20558" xr:uid="{00000000-0005-0000-0000-0000D44E0000}"/>
    <cellStyle name="Normal 12 7 8 5 8" xfId="20559" xr:uid="{00000000-0005-0000-0000-0000D54E0000}"/>
    <cellStyle name="Normal 12 7 8 6" xfId="20560" xr:uid="{00000000-0005-0000-0000-0000D64E0000}"/>
    <cellStyle name="Normal 12 7 8 6 2" xfId="20561" xr:uid="{00000000-0005-0000-0000-0000D74E0000}"/>
    <cellStyle name="Normal 12 7 8 6 2 2" xfId="20562" xr:uid="{00000000-0005-0000-0000-0000D84E0000}"/>
    <cellStyle name="Normal 12 7 8 6 2 3" xfId="20563" xr:uid="{00000000-0005-0000-0000-0000D94E0000}"/>
    <cellStyle name="Normal 12 7 8 6 2 4" xfId="20564" xr:uid="{00000000-0005-0000-0000-0000DA4E0000}"/>
    <cellStyle name="Normal 12 7 8 6 2 5" xfId="20565" xr:uid="{00000000-0005-0000-0000-0000DB4E0000}"/>
    <cellStyle name="Normal 12 7 8 6 3" xfId="20566" xr:uid="{00000000-0005-0000-0000-0000DC4E0000}"/>
    <cellStyle name="Normal 12 7 8 6 4" xfId="20567" xr:uid="{00000000-0005-0000-0000-0000DD4E0000}"/>
    <cellStyle name="Normal 12 7 8 6 5" xfId="20568" xr:uid="{00000000-0005-0000-0000-0000DE4E0000}"/>
    <cellStyle name="Normal 12 7 8 6 6" xfId="20569" xr:uid="{00000000-0005-0000-0000-0000DF4E0000}"/>
    <cellStyle name="Normal 12 7 8 6 7" xfId="20570" xr:uid="{00000000-0005-0000-0000-0000E04E0000}"/>
    <cellStyle name="Normal 12 7 8 6 8" xfId="20571" xr:uid="{00000000-0005-0000-0000-0000E14E0000}"/>
    <cellStyle name="Normal 12 7 8 7" xfId="20572" xr:uid="{00000000-0005-0000-0000-0000E24E0000}"/>
    <cellStyle name="Normal 12 7 8 7 2" xfId="20573" xr:uid="{00000000-0005-0000-0000-0000E34E0000}"/>
    <cellStyle name="Normal 12 7 8 7 3" xfId="20574" xr:uid="{00000000-0005-0000-0000-0000E44E0000}"/>
    <cellStyle name="Normal 12 7 8 7 4" xfId="20575" xr:uid="{00000000-0005-0000-0000-0000E54E0000}"/>
    <cellStyle name="Normal 12 7 8 7 5" xfId="20576" xr:uid="{00000000-0005-0000-0000-0000E64E0000}"/>
    <cellStyle name="Normal 12 7 8 8" xfId="20577" xr:uid="{00000000-0005-0000-0000-0000E74E0000}"/>
    <cellStyle name="Normal 12 7 8 9" xfId="20578" xr:uid="{00000000-0005-0000-0000-0000E84E0000}"/>
    <cellStyle name="Normal 12 7 9" xfId="20579" xr:uid="{00000000-0005-0000-0000-0000E94E0000}"/>
    <cellStyle name="Normal 12 7 9 10" xfId="20580" xr:uid="{00000000-0005-0000-0000-0000EA4E0000}"/>
    <cellStyle name="Normal 12 7 9 11" xfId="20581" xr:uid="{00000000-0005-0000-0000-0000EB4E0000}"/>
    <cellStyle name="Normal 12 7 9 2" xfId="20582" xr:uid="{00000000-0005-0000-0000-0000EC4E0000}"/>
    <cellStyle name="Normal 12 7 9 2 10" xfId="20583" xr:uid="{00000000-0005-0000-0000-0000ED4E0000}"/>
    <cellStyle name="Normal 12 7 9 2 2" xfId="20584" xr:uid="{00000000-0005-0000-0000-0000EE4E0000}"/>
    <cellStyle name="Normal 12 7 9 2 2 2" xfId="20585" xr:uid="{00000000-0005-0000-0000-0000EF4E0000}"/>
    <cellStyle name="Normal 12 7 9 2 2 2 2" xfId="20586" xr:uid="{00000000-0005-0000-0000-0000F04E0000}"/>
    <cellStyle name="Normal 12 7 9 2 2 2 3" xfId="20587" xr:uid="{00000000-0005-0000-0000-0000F14E0000}"/>
    <cellStyle name="Normal 12 7 9 2 2 2 4" xfId="20588" xr:uid="{00000000-0005-0000-0000-0000F24E0000}"/>
    <cellStyle name="Normal 12 7 9 2 2 2 5" xfId="20589" xr:uid="{00000000-0005-0000-0000-0000F34E0000}"/>
    <cellStyle name="Normal 12 7 9 2 2 3" xfId="20590" xr:uid="{00000000-0005-0000-0000-0000F44E0000}"/>
    <cellStyle name="Normal 12 7 9 2 2 4" xfId="20591" xr:uid="{00000000-0005-0000-0000-0000F54E0000}"/>
    <cellStyle name="Normal 12 7 9 2 2 5" xfId="20592" xr:uid="{00000000-0005-0000-0000-0000F64E0000}"/>
    <cellStyle name="Normal 12 7 9 2 2 6" xfId="20593" xr:uid="{00000000-0005-0000-0000-0000F74E0000}"/>
    <cellStyle name="Normal 12 7 9 2 2 7" xfId="20594" xr:uid="{00000000-0005-0000-0000-0000F84E0000}"/>
    <cellStyle name="Normal 12 7 9 2 2 8" xfId="20595" xr:uid="{00000000-0005-0000-0000-0000F94E0000}"/>
    <cellStyle name="Normal 12 7 9 2 3" xfId="20596" xr:uid="{00000000-0005-0000-0000-0000FA4E0000}"/>
    <cellStyle name="Normal 12 7 9 2 3 2" xfId="20597" xr:uid="{00000000-0005-0000-0000-0000FB4E0000}"/>
    <cellStyle name="Normal 12 7 9 2 3 2 2" xfId="20598" xr:uid="{00000000-0005-0000-0000-0000FC4E0000}"/>
    <cellStyle name="Normal 12 7 9 2 3 2 3" xfId="20599" xr:uid="{00000000-0005-0000-0000-0000FD4E0000}"/>
    <cellStyle name="Normal 12 7 9 2 3 2 4" xfId="20600" xr:uid="{00000000-0005-0000-0000-0000FE4E0000}"/>
    <cellStyle name="Normal 12 7 9 2 3 2 5" xfId="20601" xr:uid="{00000000-0005-0000-0000-0000FF4E0000}"/>
    <cellStyle name="Normal 12 7 9 2 3 3" xfId="20602" xr:uid="{00000000-0005-0000-0000-0000004F0000}"/>
    <cellStyle name="Normal 12 7 9 2 3 4" xfId="20603" xr:uid="{00000000-0005-0000-0000-0000014F0000}"/>
    <cellStyle name="Normal 12 7 9 2 3 5" xfId="20604" xr:uid="{00000000-0005-0000-0000-0000024F0000}"/>
    <cellStyle name="Normal 12 7 9 2 3 6" xfId="20605" xr:uid="{00000000-0005-0000-0000-0000034F0000}"/>
    <cellStyle name="Normal 12 7 9 2 3 7" xfId="20606" xr:uid="{00000000-0005-0000-0000-0000044F0000}"/>
    <cellStyle name="Normal 12 7 9 2 3 8" xfId="20607" xr:uid="{00000000-0005-0000-0000-0000054F0000}"/>
    <cellStyle name="Normal 12 7 9 2 4" xfId="20608" xr:uid="{00000000-0005-0000-0000-0000064F0000}"/>
    <cellStyle name="Normal 12 7 9 2 4 2" xfId="20609" xr:uid="{00000000-0005-0000-0000-0000074F0000}"/>
    <cellStyle name="Normal 12 7 9 2 4 3" xfId="20610" xr:uid="{00000000-0005-0000-0000-0000084F0000}"/>
    <cellStyle name="Normal 12 7 9 2 4 4" xfId="20611" xr:uid="{00000000-0005-0000-0000-0000094F0000}"/>
    <cellStyle name="Normal 12 7 9 2 4 5" xfId="20612" xr:uid="{00000000-0005-0000-0000-00000A4F0000}"/>
    <cellStyle name="Normal 12 7 9 2 5" xfId="20613" xr:uid="{00000000-0005-0000-0000-00000B4F0000}"/>
    <cellStyle name="Normal 12 7 9 2 6" xfId="20614" xr:uid="{00000000-0005-0000-0000-00000C4F0000}"/>
    <cellStyle name="Normal 12 7 9 2 7" xfId="20615" xr:uid="{00000000-0005-0000-0000-00000D4F0000}"/>
    <cellStyle name="Normal 12 7 9 2 8" xfId="20616" xr:uid="{00000000-0005-0000-0000-00000E4F0000}"/>
    <cellStyle name="Normal 12 7 9 2 9" xfId="20617" xr:uid="{00000000-0005-0000-0000-00000F4F0000}"/>
    <cellStyle name="Normal 12 7 9 3" xfId="20618" xr:uid="{00000000-0005-0000-0000-0000104F0000}"/>
    <cellStyle name="Normal 12 7 9 3 2" xfId="20619" xr:uid="{00000000-0005-0000-0000-0000114F0000}"/>
    <cellStyle name="Normal 12 7 9 3 2 2" xfId="20620" xr:uid="{00000000-0005-0000-0000-0000124F0000}"/>
    <cellStyle name="Normal 12 7 9 3 2 3" xfId="20621" xr:uid="{00000000-0005-0000-0000-0000134F0000}"/>
    <cellStyle name="Normal 12 7 9 3 2 4" xfId="20622" xr:uid="{00000000-0005-0000-0000-0000144F0000}"/>
    <cellStyle name="Normal 12 7 9 3 2 5" xfId="20623" xr:uid="{00000000-0005-0000-0000-0000154F0000}"/>
    <cellStyle name="Normal 12 7 9 3 3" xfId="20624" xr:uid="{00000000-0005-0000-0000-0000164F0000}"/>
    <cellStyle name="Normal 12 7 9 3 4" xfId="20625" xr:uid="{00000000-0005-0000-0000-0000174F0000}"/>
    <cellStyle name="Normal 12 7 9 3 5" xfId="20626" xr:uid="{00000000-0005-0000-0000-0000184F0000}"/>
    <cellStyle name="Normal 12 7 9 3 6" xfId="20627" xr:uid="{00000000-0005-0000-0000-0000194F0000}"/>
    <cellStyle name="Normal 12 7 9 3 7" xfId="20628" xr:uid="{00000000-0005-0000-0000-00001A4F0000}"/>
    <cellStyle name="Normal 12 7 9 3 8" xfId="20629" xr:uid="{00000000-0005-0000-0000-00001B4F0000}"/>
    <cellStyle name="Normal 12 7 9 4" xfId="20630" xr:uid="{00000000-0005-0000-0000-00001C4F0000}"/>
    <cellStyle name="Normal 12 7 9 4 2" xfId="20631" xr:uid="{00000000-0005-0000-0000-00001D4F0000}"/>
    <cellStyle name="Normal 12 7 9 4 2 2" xfId="20632" xr:uid="{00000000-0005-0000-0000-00001E4F0000}"/>
    <cellStyle name="Normal 12 7 9 4 2 3" xfId="20633" xr:uid="{00000000-0005-0000-0000-00001F4F0000}"/>
    <cellStyle name="Normal 12 7 9 4 2 4" xfId="20634" xr:uid="{00000000-0005-0000-0000-0000204F0000}"/>
    <cellStyle name="Normal 12 7 9 4 2 5" xfId="20635" xr:uid="{00000000-0005-0000-0000-0000214F0000}"/>
    <cellStyle name="Normal 12 7 9 4 3" xfId="20636" xr:uid="{00000000-0005-0000-0000-0000224F0000}"/>
    <cellStyle name="Normal 12 7 9 4 4" xfId="20637" xr:uid="{00000000-0005-0000-0000-0000234F0000}"/>
    <cellStyle name="Normal 12 7 9 4 5" xfId="20638" xr:uid="{00000000-0005-0000-0000-0000244F0000}"/>
    <cellStyle name="Normal 12 7 9 4 6" xfId="20639" xr:uid="{00000000-0005-0000-0000-0000254F0000}"/>
    <cellStyle name="Normal 12 7 9 4 7" xfId="20640" xr:uid="{00000000-0005-0000-0000-0000264F0000}"/>
    <cellStyle name="Normal 12 7 9 4 8" xfId="20641" xr:uid="{00000000-0005-0000-0000-0000274F0000}"/>
    <cellStyle name="Normal 12 7 9 5" xfId="20642" xr:uid="{00000000-0005-0000-0000-0000284F0000}"/>
    <cellStyle name="Normal 12 7 9 5 2" xfId="20643" xr:uid="{00000000-0005-0000-0000-0000294F0000}"/>
    <cellStyle name="Normal 12 7 9 5 3" xfId="20644" xr:uid="{00000000-0005-0000-0000-00002A4F0000}"/>
    <cellStyle name="Normal 12 7 9 5 4" xfId="20645" xr:uid="{00000000-0005-0000-0000-00002B4F0000}"/>
    <cellStyle name="Normal 12 7 9 5 5" xfId="20646" xr:uid="{00000000-0005-0000-0000-00002C4F0000}"/>
    <cellStyle name="Normal 12 7 9 6" xfId="20647" xr:uid="{00000000-0005-0000-0000-00002D4F0000}"/>
    <cellStyle name="Normal 12 7 9 7" xfId="20648" xr:uid="{00000000-0005-0000-0000-00002E4F0000}"/>
    <cellStyle name="Normal 12 7 9 8" xfId="20649" xr:uid="{00000000-0005-0000-0000-00002F4F0000}"/>
    <cellStyle name="Normal 12 7 9 9" xfId="20650" xr:uid="{00000000-0005-0000-0000-0000304F0000}"/>
    <cellStyle name="Normal 12 8" xfId="20651" xr:uid="{00000000-0005-0000-0000-0000314F0000}"/>
    <cellStyle name="Normal 12 8 10" xfId="20652" xr:uid="{00000000-0005-0000-0000-0000324F0000}"/>
    <cellStyle name="Normal 12 8 11" xfId="20653" xr:uid="{00000000-0005-0000-0000-0000334F0000}"/>
    <cellStyle name="Normal 12 8 12" xfId="20654" xr:uid="{00000000-0005-0000-0000-0000344F0000}"/>
    <cellStyle name="Normal 12 8 13" xfId="20655" xr:uid="{00000000-0005-0000-0000-0000354F0000}"/>
    <cellStyle name="Normal 12 8 14" xfId="20656" xr:uid="{00000000-0005-0000-0000-0000364F0000}"/>
    <cellStyle name="Normal 12 8 15" xfId="20657" xr:uid="{00000000-0005-0000-0000-0000374F0000}"/>
    <cellStyle name="Normal 12 8 2" xfId="20658" xr:uid="{00000000-0005-0000-0000-0000384F0000}"/>
    <cellStyle name="Normal 12 8 2 10" xfId="20659" xr:uid="{00000000-0005-0000-0000-0000394F0000}"/>
    <cellStyle name="Normal 12 8 2 11" xfId="20660" xr:uid="{00000000-0005-0000-0000-00003A4F0000}"/>
    <cellStyle name="Normal 12 8 2 12" xfId="20661" xr:uid="{00000000-0005-0000-0000-00003B4F0000}"/>
    <cellStyle name="Normal 12 8 2 13" xfId="20662" xr:uid="{00000000-0005-0000-0000-00003C4F0000}"/>
    <cellStyle name="Normal 12 8 2 2" xfId="20663" xr:uid="{00000000-0005-0000-0000-00003D4F0000}"/>
    <cellStyle name="Normal 12 8 2 2 10" xfId="20664" xr:uid="{00000000-0005-0000-0000-00003E4F0000}"/>
    <cellStyle name="Normal 12 8 2 2 11" xfId="20665" xr:uid="{00000000-0005-0000-0000-00003F4F0000}"/>
    <cellStyle name="Normal 12 8 2 2 2" xfId="20666" xr:uid="{00000000-0005-0000-0000-0000404F0000}"/>
    <cellStyle name="Normal 12 8 2 2 2 10" xfId="20667" xr:uid="{00000000-0005-0000-0000-0000414F0000}"/>
    <cellStyle name="Normal 12 8 2 2 2 2" xfId="20668" xr:uid="{00000000-0005-0000-0000-0000424F0000}"/>
    <cellStyle name="Normal 12 8 2 2 2 2 2" xfId="20669" xr:uid="{00000000-0005-0000-0000-0000434F0000}"/>
    <cellStyle name="Normal 12 8 2 2 2 2 2 2" xfId="20670" xr:uid="{00000000-0005-0000-0000-0000444F0000}"/>
    <cellStyle name="Normal 12 8 2 2 2 2 2 3" xfId="20671" xr:uid="{00000000-0005-0000-0000-0000454F0000}"/>
    <cellStyle name="Normal 12 8 2 2 2 2 2 4" xfId="20672" xr:uid="{00000000-0005-0000-0000-0000464F0000}"/>
    <cellStyle name="Normal 12 8 2 2 2 2 2 5" xfId="20673" xr:uid="{00000000-0005-0000-0000-0000474F0000}"/>
    <cellStyle name="Normal 12 8 2 2 2 2 3" xfId="20674" xr:uid="{00000000-0005-0000-0000-0000484F0000}"/>
    <cellStyle name="Normal 12 8 2 2 2 2 4" xfId="20675" xr:uid="{00000000-0005-0000-0000-0000494F0000}"/>
    <cellStyle name="Normal 12 8 2 2 2 2 5" xfId="20676" xr:uid="{00000000-0005-0000-0000-00004A4F0000}"/>
    <cellStyle name="Normal 12 8 2 2 2 2 6" xfId="20677" xr:uid="{00000000-0005-0000-0000-00004B4F0000}"/>
    <cellStyle name="Normal 12 8 2 2 2 2 7" xfId="20678" xr:uid="{00000000-0005-0000-0000-00004C4F0000}"/>
    <cellStyle name="Normal 12 8 2 2 2 2 8" xfId="20679" xr:uid="{00000000-0005-0000-0000-00004D4F0000}"/>
    <cellStyle name="Normal 12 8 2 2 2 3" xfId="20680" xr:uid="{00000000-0005-0000-0000-00004E4F0000}"/>
    <cellStyle name="Normal 12 8 2 2 2 3 2" xfId="20681" xr:uid="{00000000-0005-0000-0000-00004F4F0000}"/>
    <cellStyle name="Normal 12 8 2 2 2 3 2 2" xfId="20682" xr:uid="{00000000-0005-0000-0000-0000504F0000}"/>
    <cellStyle name="Normal 12 8 2 2 2 3 2 3" xfId="20683" xr:uid="{00000000-0005-0000-0000-0000514F0000}"/>
    <cellStyle name="Normal 12 8 2 2 2 3 2 4" xfId="20684" xr:uid="{00000000-0005-0000-0000-0000524F0000}"/>
    <cellStyle name="Normal 12 8 2 2 2 3 2 5" xfId="20685" xr:uid="{00000000-0005-0000-0000-0000534F0000}"/>
    <cellStyle name="Normal 12 8 2 2 2 3 3" xfId="20686" xr:uid="{00000000-0005-0000-0000-0000544F0000}"/>
    <cellStyle name="Normal 12 8 2 2 2 3 4" xfId="20687" xr:uid="{00000000-0005-0000-0000-0000554F0000}"/>
    <cellStyle name="Normal 12 8 2 2 2 3 5" xfId="20688" xr:uid="{00000000-0005-0000-0000-0000564F0000}"/>
    <cellStyle name="Normal 12 8 2 2 2 3 6" xfId="20689" xr:uid="{00000000-0005-0000-0000-0000574F0000}"/>
    <cellStyle name="Normal 12 8 2 2 2 3 7" xfId="20690" xr:uid="{00000000-0005-0000-0000-0000584F0000}"/>
    <cellStyle name="Normal 12 8 2 2 2 3 8" xfId="20691" xr:uid="{00000000-0005-0000-0000-0000594F0000}"/>
    <cellStyle name="Normal 12 8 2 2 2 4" xfId="20692" xr:uid="{00000000-0005-0000-0000-00005A4F0000}"/>
    <cellStyle name="Normal 12 8 2 2 2 4 2" xfId="20693" xr:uid="{00000000-0005-0000-0000-00005B4F0000}"/>
    <cellStyle name="Normal 12 8 2 2 2 4 3" xfId="20694" xr:uid="{00000000-0005-0000-0000-00005C4F0000}"/>
    <cellStyle name="Normal 12 8 2 2 2 4 4" xfId="20695" xr:uid="{00000000-0005-0000-0000-00005D4F0000}"/>
    <cellStyle name="Normal 12 8 2 2 2 4 5" xfId="20696" xr:uid="{00000000-0005-0000-0000-00005E4F0000}"/>
    <cellStyle name="Normal 12 8 2 2 2 5" xfId="20697" xr:uid="{00000000-0005-0000-0000-00005F4F0000}"/>
    <cellStyle name="Normal 12 8 2 2 2 6" xfId="20698" xr:uid="{00000000-0005-0000-0000-0000604F0000}"/>
    <cellStyle name="Normal 12 8 2 2 2 7" xfId="20699" xr:uid="{00000000-0005-0000-0000-0000614F0000}"/>
    <cellStyle name="Normal 12 8 2 2 2 8" xfId="20700" xr:uid="{00000000-0005-0000-0000-0000624F0000}"/>
    <cellStyle name="Normal 12 8 2 2 2 9" xfId="20701" xr:uid="{00000000-0005-0000-0000-0000634F0000}"/>
    <cellStyle name="Normal 12 8 2 2 3" xfId="20702" xr:uid="{00000000-0005-0000-0000-0000644F0000}"/>
    <cellStyle name="Normal 12 8 2 2 3 2" xfId="20703" xr:uid="{00000000-0005-0000-0000-0000654F0000}"/>
    <cellStyle name="Normal 12 8 2 2 3 2 2" xfId="20704" xr:uid="{00000000-0005-0000-0000-0000664F0000}"/>
    <cellStyle name="Normal 12 8 2 2 3 2 3" xfId="20705" xr:uid="{00000000-0005-0000-0000-0000674F0000}"/>
    <cellStyle name="Normal 12 8 2 2 3 2 4" xfId="20706" xr:uid="{00000000-0005-0000-0000-0000684F0000}"/>
    <cellStyle name="Normal 12 8 2 2 3 2 5" xfId="20707" xr:uid="{00000000-0005-0000-0000-0000694F0000}"/>
    <cellStyle name="Normal 12 8 2 2 3 3" xfId="20708" xr:uid="{00000000-0005-0000-0000-00006A4F0000}"/>
    <cellStyle name="Normal 12 8 2 2 3 4" xfId="20709" xr:uid="{00000000-0005-0000-0000-00006B4F0000}"/>
    <cellStyle name="Normal 12 8 2 2 3 5" xfId="20710" xr:uid="{00000000-0005-0000-0000-00006C4F0000}"/>
    <cellStyle name="Normal 12 8 2 2 3 6" xfId="20711" xr:uid="{00000000-0005-0000-0000-00006D4F0000}"/>
    <cellStyle name="Normal 12 8 2 2 3 7" xfId="20712" xr:uid="{00000000-0005-0000-0000-00006E4F0000}"/>
    <cellStyle name="Normal 12 8 2 2 3 8" xfId="20713" xr:uid="{00000000-0005-0000-0000-00006F4F0000}"/>
    <cellStyle name="Normal 12 8 2 2 4" xfId="20714" xr:uid="{00000000-0005-0000-0000-0000704F0000}"/>
    <cellStyle name="Normal 12 8 2 2 4 2" xfId="20715" xr:uid="{00000000-0005-0000-0000-0000714F0000}"/>
    <cellStyle name="Normal 12 8 2 2 4 2 2" xfId="20716" xr:uid="{00000000-0005-0000-0000-0000724F0000}"/>
    <cellStyle name="Normal 12 8 2 2 4 2 3" xfId="20717" xr:uid="{00000000-0005-0000-0000-0000734F0000}"/>
    <cellStyle name="Normal 12 8 2 2 4 2 4" xfId="20718" xr:uid="{00000000-0005-0000-0000-0000744F0000}"/>
    <cellStyle name="Normal 12 8 2 2 4 2 5" xfId="20719" xr:uid="{00000000-0005-0000-0000-0000754F0000}"/>
    <cellStyle name="Normal 12 8 2 2 4 3" xfId="20720" xr:uid="{00000000-0005-0000-0000-0000764F0000}"/>
    <cellStyle name="Normal 12 8 2 2 4 4" xfId="20721" xr:uid="{00000000-0005-0000-0000-0000774F0000}"/>
    <cellStyle name="Normal 12 8 2 2 4 5" xfId="20722" xr:uid="{00000000-0005-0000-0000-0000784F0000}"/>
    <cellStyle name="Normal 12 8 2 2 4 6" xfId="20723" xr:uid="{00000000-0005-0000-0000-0000794F0000}"/>
    <cellStyle name="Normal 12 8 2 2 4 7" xfId="20724" xr:uid="{00000000-0005-0000-0000-00007A4F0000}"/>
    <cellStyle name="Normal 12 8 2 2 4 8" xfId="20725" xr:uid="{00000000-0005-0000-0000-00007B4F0000}"/>
    <cellStyle name="Normal 12 8 2 2 5" xfId="20726" xr:uid="{00000000-0005-0000-0000-00007C4F0000}"/>
    <cellStyle name="Normal 12 8 2 2 5 2" xfId="20727" xr:uid="{00000000-0005-0000-0000-00007D4F0000}"/>
    <cellStyle name="Normal 12 8 2 2 5 3" xfId="20728" xr:uid="{00000000-0005-0000-0000-00007E4F0000}"/>
    <cellStyle name="Normal 12 8 2 2 5 4" xfId="20729" xr:uid="{00000000-0005-0000-0000-00007F4F0000}"/>
    <cellStyle name="Normal 12 8 2 2 5 5" xfId="20730" xr:uid="{00000000-0005-0000-0000-0000804F0000}"/>
    <cellStyle name="Normal 12 8 2 2 6" xfId="20731" xr:uid="{00000000-0005-0000-0000-0000814F0000}"/>
    <cellStyle name="Normal 12 8 2 2 7" xfId="20732" xr:uid="{00000000-0005-0000-0000-0000824F0000}"/>
    <cellStyle name="Normal 12 8 2 2 8" xfId="20733" xr:uid="{00000000-0005-0000-0000-0000834F0000}"/>
    <cellStyle name="Normal 12 8 2 2 9" xfId="20734" xr:uid="{00000000-0005-0000-0000-0000844F0000}"/>
    <cellStyle name="Normal 12 8 2 3" xfId="20735" xr:uid="{00000000-0005-0000-0000-0000854F0000}"/>
    <cellStyle name="Normal 12 8 2 3 10" xfId="20736" xr:uid="{00000000-0005-0000-0000-0000864F0000}"/>
    <cellStyle name="Normal 12 8 2 3 11" xfId="20737" xr:uid="{00000000-0005-0000-0000-0000874F0000}"/>
    <cellStyle name="Normal 12 8 2 3 2" xfId="20738" xr:uid="{00000000-0005-0000-0000-0000884F0000}"/>
    <cellStyle name="Normal 12 8 2 3 2 10" xfId="20739" xr:uid="{00000000-0005-0000-0000-0000894F0000}"/>
    <cellStyle name="Normal 12 8 2 3 2 2" xfId="20740" xr:uid="{00000000-0005-0000-0000-00008A4F0000}"/>
    <cellStyle name="Normal 12 8 2 3 2 2 2" xfId="20741" xr:uid="{00000000-0005-0000-0000-00008B4F0000}"/>
    <cellStyle name="Normal 12 8 2 3 2 2 2 2" xfId="20742" xr:uid="{00000000-0005-0000-0000-00008C4F0000}"/>
    <cellStyle name="Normal 12 8 2 3 2 2 2 3" xfId="20743" xr:uid="{00000000-0005-0000-0000-00008D4F0000}"/>
    <cellStyle name="Normal 12 8 2 3 2 2 2 4" xfId="20744" xr:uid="{00000000-0005-0000-0000-00008E4F0000}"/>
    <cellStyle name="Normal 12 8 2 3 2 2 2 5" xfId="20745" xr:uid="{00000000-0005-0000-0000-00008F4F0000}"/>
    <cellStyle name="Normal 12 8 2 3 2 2 3" xfId="20746" xr:uid="{00000000-0005-0000-0000-0000904F0000}"/>
    <cellStyle name="Normal 12 8 2 3 2 2 4" xfId="20747" xr:uid="{00000000-0005-0000-0000-0000914F0000}"/>
    <cellStyle name="Normal 12 8 2 3 2 2 5" xfId="20748" xr:uid="{00000000-0005-0000-0000-0000924F0000}"/>
    <cellStyle name="Normal 12 8 2 3 2 2 6" xfId="20749" xr:uid="{00000000-0005-0000-0000-0000934F0000}"/>
    <cellStyle name="Normal 12 8 2 3 2 2 7" xfId="20750" xr:uid="{00000000-0005-0000-0000-0000944F0000}"/>
    <cellStyle name="Normal 12 8 2 3 2 2 8" xfId="20751" xr:uid="{00000000-0005-0000-0000-0000954F0000}"/>
    <cellStyle name="Normal 12 8 2 3 2 3" xfId="20752" xr:uid="{00000000-0005-0000-0000-0000964F0000}"/>
    <cellStyle name="Normal 12 8 2 3 2 3 2" xfId="20753" xr:uid="{00000000-0005-0000-0000-0000974F0000}"/>
    <cellStyle name="Normal 12 8 2 3 2 3 2 2" xfId="20754" xr:uid="{00000000-0005-0000-0000-0000984F0000}"/>
    <cellStyle name="Normal 12 8 2 3 2 3 2 3" xfId="20755" xr:uid="{00000000-0005-0000-0000-0000994F0000}"/>
    <cellStyle name="Normal 12 8 2 3 2 3 2 4" xfId="20756" xr:uid="{00000000-0005-0000-0000-00009A4F0000}"/>
    <cellStyle name="Normal 12 8 2 3 2 3 2 5" xfId="20757" xr:uid="{00000000-0005-0000-0000-00009B4F0000}"/>
    <cellStyle name="Normal 12 8 2 3 2 3 3" xfId="20758" xr:uid="{00000000-0005-0000-0000-00009C4F0000}"/>
    <cellStyle name="Normal 12 8 2 3 2 3 4" xfId="20759" xr:uid="{00000000-0005-0000-0000-00009D4F0000}"/>
    <cellStyle name="Normal 12 8 2 3 2 3 5" xfId="20760" xr:uid="{00000000-0005-0000-0000-00009E4F0000}"/>
    <cellStyle name="Normal 12 8 2 3 2 3 6" xfId="20761" xr:uid="{00000000-0005-0000-0000-00009F4F0000}"/>
    <cellStyle name="Normal 12 8 2 3 2 3 7" xfId="20762" xr:uid="{00000000-0005-0000-0000-0000A04F0000}"/>
    <cellStyle name="Normal 12 8 2 3 2 3 8" xfId="20763" xr:uid="{00000000-0005-0000-0000-0000A14F0000}"/>
    <cellStyle name="Normal 12 8 2 3 2 4" xfId="20764" xr:uid="{00000000-0005-0000-0000-0000A24F0000}"/>
    <cellStyle name="Normal 12 8 2 3 2 4 2" xfId="20765" xr:uid="{00000000-0005-0000-0000-0000A34F0000}"/>
    <cellStyle name="Normal 12 8 2 3 2 4 3" xfId="20766" xr:uid="{00000000-0005-0000-0000-0000A44F0000}"/>
    <cellStyle name="Normal 12 8 2 3 2 4 4" xfId="20767" xr:uid="{00000000-0005-0000-0000-0000A54F0000}"/>
    <cellStyle name="Normal 12 8 2 3 2 4 5" xfId="20768" xr:uid="{00000000-0005-0000-0000-0000A64F0000}"/>
    <cellStyle name="Normal 12 8 2 3 2 5" xfId="20769" xr:uid="{00000000-0005-0000-0000-0000A74F0000}"/>
    <cellStyle name="Normal 12 8 2 3 2 6" xfId="20770" xr:uid="{00000000-0005-0000-0000-0000A84F0000}"/>
    <cellStyle name="Normal 12 8 2 3 2 7" xfId="20771" xr:uid="{00000000-0005-0000-0000-0000A94F0000}"/>
    <cellStyle name="Normal 12 8 2 3 2 8" xfId="20772" xr:uid="{00000000-0005-0000-0000-0000AA4F0000}"/>
    <cellStyle name="Normal 12 8 2 3 2 9" xfId="20773" xr:uid="{00000000-0005-0000-0000-0000AB4F0000}"/>
    <cellStyle name="Normal 12 8 2 3 3" xfId="20774" xr:uid="{00000000-0005-0000-0000-0000AC4F0000}"/>
    <cellStyle name="Normal 12 8 2 3 3 2" xfId="20775" xr:uid="{00000000-0005-0000-0000-0000AD4F0000}"/>
    <cellStyle name="Normal 12 8 2 3 3 2 2" xfId="20776" xr:uid="{00000000-0005-0000-0000-0000AE4F0000}"/>
    <cellStyle name="Normal 12 8 2 3 3 2 3" xfId="20777" xr:uid="{00000000-0005-0000-0000-0000AF4F0000}"/>
    <cellStyle name="Normal 12 8 2 3 3 2 4" xfId="20778" xr:uid="{00000000-0005-0000-0000-0000B04F0000}"/>
    <cellStyle name="Normal 12 8 2 3 3 2 5" xfId="20779" xr:uid="{00000000-0005-0000-0000-0000B14F0000}"/>
    <cellStyle name="Normal 12 8 2 3 3 3" xfId="20780" xr:uid="{00000000-0005-0000-0000-0000B24F0000}"/>
    <cellStyle name="Normal 12 8 2 3 3 4" xfId="20781" xr:uid="{00000000-0005-0000-0000-0000B34F0000}"/>
    <cellStyle name="Normal 12 8 2 3 3 5" xfId="20782" xr:uid="{00000000-0005-0000-0000-0000B44F0000}"/>
    <cellStyle name="Normal 12 8 2 3 3 6" xfId="20783" xr:uid="{00000000-0005-0000-0000-0000B54F0000}"/>
    <cellStyle name="Normal 12 8 2 3 3 7" xfId="20784" xr:uid="{00000000-0005-0000-0000-0000B64F0000}"/>
    <cellStyle name="Normal 12 8 2 3 3 8" xfId="20785" xr:uid="{00000000-0005-0000-0000-0000B74F0000}"/>
    <cellStyle name="Normal 12 8 2 3 4" xfId="20786" xr:uid="{00000000-0005-0000-0000-0000B84F0000}"/>
    <cellStyle name="Normal 12 8 2 3 4 2" xfId="20787" xr:uid="{00000000-0005-0000-0000-0000B94F0000}"/>
    <cellStyle name="Normal 12 8 2 3 4 2 2" xfId="20788" xr:uid="{00000000-0005-0000-0000-0000BA4F0000}"/>
    <cellStyle name="Normal 12 8 2 3 4 2 3" xfId="20789" xr:uid="{00000000-0005-0000-0000-0000BB4F0000}"/>
    <cellStyle name="Normal 12 8 2 3 4 2 4" xfId="20790" xr:uid="{00000000-0005-0000-0000-0000BC4F0000}"/>
    <cellStyle name="Normal 12 8 2 3 4 2 5" xfId="20791" xr:uid="{00000000-0005-0000-0000-0000BD4F0000}"/>
    <cellStyle name="Normal 12 8 2 3 4 3" xfId="20792" xr:uid="{00000000-0005-0000-0000-0000BE4F0000}"/>
    <cellStyle name="Normal 12 8 2 3 4 4" xfId="20793" xr:uid="{00000000-0005-0000-0000-0000BF4F0000}"/>
    <cellStyle name="Normal 12 8 2 3 4 5" xfId="20794" xr:uid="{00000000-0005-0000-0000-0000C04F0000}"/>
    <cellStyle name="Normal 12 8 2 3 4 6" xfId="20795" xr:uid="{00000000-0005-0000-0000-0000C14F0000}"/>
    <cellStyle name="Normal 12 8 2 3 4 7" xfId="20796" xr:uid="{00000000-0005-0000-0000-0000C24F0000}"/>
    <cellStyle name="Normal 12 8 2 3 4 8" xfId="20797" xr:uid="{00000000-0005-0000-0000-0000C34F0000}"/>
    <cellStyle name="Normal 12 8 2 3 5" xfId="20798" xr:uid="{00000000-0005-0000-0000-0000C44F0000}"/>
    <cellStyle name="Normal 12 8 2 3 5 2" xfId="20799" xr:uid="{00000000-0005-0000-0000-0000C54F0000}"/>
    <cellStyle name="Normal 12 8 2 3 5 3" xfId="20800" xr:uid="{00000000-0005-0000-0000-0000C64F0000}"/>
    <cellStyle name="Normal 12 8 2 3 5 4" xfId="20801" xr:uid="{00000000-0005-0000-0000-0000C74F0000}"/>
    <cellStyle name="Normal 12 8 2 3 5 5" xfId="20802" xr:uid="{00000000-0005-0000-0000-0000C84F0000}"/>
    <cellStyle name="Normal 12 8 2 3 6" xfId="20803" xr:uid="{00000000-0005-0000-0000-0000C94F0000}"/>
    <cellStyle name="Normal 12 8 2 3 7" xfId="20804" xr:uid="{00000000-0005-0000-0000-0000CA4F0000}"/>
    <cellStyle name="Normal 12 8 2 3 8" xfId="20805" xr:uid="{00000000-0005-0000-0000-0000CB4F0000}"/>
    <cellStyle name="Normal 12 8 2 3 9" xfId="20806" xr:uid="{00000000-0005-0000-0000-0000CC4F0000}"/>
    <cellStyle name="Normal 12 8 2 4" xfId="20807" xr:uid="{00000000-0005-0000-0000-0000CD4F0000}"/>
    <cellStyle name="Normal 12 8 2 4 10" xfId="20808" xr:uid="{00000000-0005-0000-0000-0000CE4F0000}"/>
    <cellStyle name="Normal 12 8 2 4 2" xfId="20809" xr:uid="{00000000-0005-0000-0000-0000CF4F0000}"/>
    <cellStyle name="Normal 12 8 2 4 2 2" xfId="20810" xr:uid="{00000000-0005-0000-0000-0000D04F0000}"/>
    <cellStyle name="Normal 12 8 2 4 2 2 2" xfId="20811" xr:uid="{00000000-0005-0000-0000-0000D14F0000}"/>
    <cellStyle name="Normal 12 8 2 4 2 2 3" xfId="20812" xr:uid="{00000000-0005-0000-0000-0000D24F0000}"/>
    <cellStyle name="Normal 12 8 2 4 2 2 4" xfId="20813" xr:uid="{00000000-0005-0000-0000-0000D34F0000}"/>
    <cellStyle name="Normal 12 8 2 4 2 2 5" xfId="20814" xr:uid="{00000000-0005-0000-0000-0000D44F0000}"/>
    <cellStyle name="Normal 12 8 2 4 2 3" xfId="20815" xr:uid="{00000000-0005-0000-0000-0000D54F0000}"/>
    <cellStyle name="Normal 12 8 2 4 2 4" xfId="20816" xr:uid="{00000000-0005-0000-0000-0000D64F0000}"/>
    <cellStyle name="Normal 12 8 2 4 2 5" xfId="20817" xr:uid="{00000000-0005-0000-0000-0000D74F0000}"/>
    <cellStyle name="Normal 12 8 2 4 2 6" xfId="20818" xr:uid="{00000000-0005-0000-0000-0000D84F0000}"/>
    <cellStyle name="Normal 12 8 2 4 2 7" xfId="20819" xr:uid="{00000000-0005-0000-0000-0000D94F0000}"/>
    <cellStyle name="Normal 12 8 2 4 2 8" xfId="20820" xr:uid="{00000000-0005-0000-0000-0000DA4F0000}"/>
    <cellStyle name="Normal 12 8 2 4 3" xfId="20821" xr:uid="{00000000-0005-0000-0000-0000DB4F0000}"/>
    <cellStyle name="Normal 12 8 2 4 3 2" xfId="20822" xr:uid="{00000000-0005-0000-0000-0000DC4F0000}"/>
    <cellStyle name="Normal 12 8 2 4 3 2 2" xfId="20823" xr:uid="{00000000-0005-0000-0000-0000DD4F0000}"/>
    <cellStyle name="Normal 12 8 2 4 3 2 3" xfId="20824" xr:uid="{00000000-0005-0000-0000-0000DE4F0000}"/>
    <cellStyle name="Normal 12 8 2 4 3 2 4" xfId="20825" xr:uid="{00000000-0005-0000-0000-0000DF4F0000}"/>
    <cellStyle name="Normal 12 8 2 4 3 2 5" xfId="20826" xr:uid="{00000000-0005-0000-0000-0000E04F0000}"/>
    <cellStyle name="Normal 12 8 2 4 3 3" xfId="20827" xr:uid="{00000000-0005-0000-0000-0000E14F0000}"/>
    <cellStyle name="Normal 12 8 2 4 3 4" xfId="20828" xr:uid="{00000000-0005-0000-0000-0000E24F0000}"/>
    <cellStyle name="Normal 12 8 2 4 3 5" xfId="20829" xr:uid="{00000000-0005-0000-0000-0000E34F0000}"/>
    <cellStyle name="Normal 12 8 2 4 3 6" xfId="20830" xr:uid="{00000000-0005-0000-0000-0000E44F0000}"/>
    <cellStyle name="Normal 12 8 2 4 3 7" xfId="20831" xr:uid="{00000000-0005-0000-0000-0000E54F0000}"/>
    <cellStyle name="Normal 12 8 2 4 3 8" xfId="20832" xr:uid="{00000000-0005-0000-0000-0000E64F0000}"/>
    <cellStyle name="Normal 12 8 2 4 4" xfId="20833" xr:uid="{00000000-0005-0000-0000-0000E74F0000}"/>
    <cellStyle name="Normal 12 8 2 4 4 2" xfId="20834" xr:uid="{00000000-0005-0000-0000-0000E84F0000}"/>
    <cellStyle name="Normal 12 8 2 4 4 3" xfId="20835" xr:uid="{00000000-0005-0000-0000-0000E94F0000}"/>
    <cellStyle name="Normal 12 8 2 4 4 4" xfId="20836" xr:uid="{00000000-0005-0000-0000-0000EA4F0000}"/>
    <cellStyle name="Normal 12 8 2 4 4 5" xfId="20837" xr:uid="{00000000-0005-0000-0000-0000EB4F0000}"/>
    <cellStyle name="Normal 12 8 2 4 5" xfId="20838" xr:uid="{00000000-0005-0000-0000-0000EC4F0000}"/>
    <cellStyle name="Normal 12 8 2 4 6" xfId="20839" xr:uid="{00000000-0005-0000-0000-0000ED4F0000}"/>
    <cellStyle name="Normal 12 8 2 4 7" xfId="20840" xr:uid="{00000000-0005-0000-0000-0000EE4F0000}"/>
    <cellStyle name="Normal 12 8 2 4 8" xfId="20841" xr:uid="{00000000-0005-0000-0000-0000EF4F0000}"/>
    <cellStyle name="Normal 12 8 2 4 9" xfId="20842" xr:uid="{00000000-0005-0000-0000-0000F04F0000}"/>
    <cellStyle name="Normal 12 8 2 5" xfId="20843" xr:uid="{00000000-0005-0000-0000-0000F14F0000}"/>
    <cellStyle name="Normal 12 8 2 5 2" xfId="20844" xr:uid="{00000000-0005-0000-0000-0000F24F0000}"/>
    <cellStyle name="Normal 12 8 2 5 2 2" xfId="20845" xr:uid="{00000000-0005-0000-0000-0000F34F0000}"/>
    <cellStyle name="Normal 12 8 2 5 2 3" xfId="20846" xr:uid="{00000000-0005-0000-0000-0000F44F0000}"/>
    <cellStyle name="Normal 12 8 2 5 2 4" xfId="20847" xr:uid="{00000000-0005-0000-0000-0000F54F0000}"/>
    <cellStyle name="Normal 12 8 2 5 2 5" xfId="20848" xr:uid="{00000000-0005-0000-0000-0000F64F0000}"/>
    <cellStyle name="Normal 12 8 2 5 3" xfId="20849" xr:uid="{00000000-0005-0000-0000-0000F74F0000}"/>
    <cellStyle name="Normal 12 8 2 5 4" xfId="20850" xr:uid="{00000000-0005-0000-0000-0000F84F0000}"/>
    <cellStyle name="Normal 12 8 2 5 5" xfId="20851" xr:uid="{00000000-0005-0000-0000-0000F94F0000}"/>
    <cellStyle name="Normal 12 8 2 5 6" xfId="20852" xr:uid="{00000000-0005-0000-0000-0000FA4F0000}"/>
    <cellStyle name="Normal 12 8 2 5 7" xfId="20853" xr:uid="{00000000-0005-0000-0000-0000FB4F0000}"/>
    <cellStyle name="Normal 12 8 2 5 8" xfId="20854" xr:uid="{00000000-0005-0000-0000-0000FC4F0000}"/>
    <cellStyle name="Normal 12 8 2 6" xfId="20855" xr:uid="{00000000-0005-0000-0000-0000FD4F0000}"/>
    <cellStyle name="Normal 12 8 2 6 2" xfId="20856" xr:uid="{00000000-0005-0000-0000-0000FE4F0000}"/>
    <cellStyle name="Normal 12 8 2 6 2 2" xfId="20857" xr:uid="{00000000-0005-0000-0000-0000FF4F0000}"/>
    <cellStyle name="Normal 12 8 2 6 2 3" xfId="20858" xr:uid="{00000000-0005-0000-0000-000000500000}"/>
    <cellStyle name="Normal 12 8 2 6 2 4" xfId="20859" xr:uid="{00000000-0005-0000-0000-000001500000}"/>
    <cellStyle name="Normal 12 8 2 6 2 5" xfId="20860" xr:uid="{00000000-0005-0000-0000-000002500000}"/>
    <cellStyle name="Normal 12 8 2 6 3" xfId="20861" xr:uid="{00000000-0005-0000-0000-000003500000}"/>
    <cellStyle name="Normal 12 8 2 6 4" xfId="20862" xr:uid="{00000000-0005-0000-0000-000004500000}"/>
    <cellStyle name="Normal 12 8 2 6 5" xfId="20863" xr:uid="{00000000-0005-0000-0000-000005500000}"/>
    <cellStyle name="Normal 12 8 2 6 6" xfId="20864" xr:uid="{00000000-0005-0000-0000-000006500000}"/>
    <cellStyle name="Normal 12 8 2 6 7" xfId="20865" xr:uid="{00000000-0005-0000-0000-000007500000}"/>
    <cellStyle name="Normal 12 8 2 6 8" xfId="20866" xr:uid="{00000000-0005-0000-0000-000008500000}"/>
    <cellStyle name="Normal 12 8 2 7" xfId="20867" xr:uid="{00000000-0005-0000-0000-000009500000}"/>
    <cellStyle name="Normal 12 8 2 7 2" xfId="20868" xr:uid="{00000000-0005-0000-0000-00000A500000}"/>
    <cellStyle name="Normal 12 8 2 7 3" xfId="20869" xr:uid="{00000000-0005-0000-0000-00000B500000}"/>
    <cellStyle name="Normal 12 8 2 7 4" xfId="20870" xr:uid="{00000000-0005-0000-0000-00000C500000}"/>
    <cellStyle name="Normal 12 8 2 7 5" xfId="20871" xr:uid="{00000000-0005-0000-0000-00000D500000}"/>
    <cellStyle name="Normal 12 8 2 8" xfId="20872" xr:uid="{00000000-0005-0000-0000-00000E500000}"/>
    <cellStyle name="Normal 12 8 2 9" xfId="20873" xr:uid="{00000000-0005-0000-0000-00000F500000}"/>
    <cellStyle name="Normal 12 8 3" xfId="20874" xr:uid="{00000000-0005-0000-0000-000010500000}"/>
    <cellStyle name="Normal 12 8 3 10" xfId="20875" xr:uid="{00000000-0005-0000-0000-000011500000}"/>
    <cellStyle name="Normal 12 8 3 11" xfId="20876" xr:uid="{00000000-0005-0000-0000-000012500000}"/>
    <cellStyle name="Normal 12 8 3 12" xfId="20877" xr:uid="{00000000-0005-0000-0000-000013500000}"/>
    <cellStyle name="Normal 12 8 3 13" xfId="20878" xr:uid="{00000000-0005-0000-0000-000014500000}"/>
    <cellStyle name="Normal 12 8 3 2" xfId="20879" xr:uid="{00000000-0005-0000-0000-000015500000}"/>
    <cellStyle name="Normal 12 8 3 2 10" xfId="20880" xr:uid="{00000000-0005-0000-0000-000016500000}"/>
    <cellStyle name="Normal 12 8 3 2 11" xfId="20881" xr:uid="{00000000-0005-0000-0000-000017500000}"/>
    <cellStyle name="Normal 12 8 3 2 2" xfId="20882" xr:uid="{00000000-0005-0000-0000-000018500000}"/>
    <cellStyle name="Normal 12 8 3 2 2 10" xfId="20883" xr:uid="{00000000-0005-0000-0000-000019500000}"/>
    <cellStyle name="Normal 12 8 3 2 2 2" xfId="20884" xr:uid="{00000000-0005-0000-0000-00001A500000}"/>
    <cellStyle name="Normal 12 8 3 2 2 2 2" xfId="20885" xr:uid="{00000000-0005-0000-0000-00001B500000}"/>
    <cellStyle name="Normal 12 8 3 2 2 2 2 2" xfId="20886" xr:uid="{00000000-0005-0000-0000-00001C500000}"/>
    <cellStyle name="Normal 12 8 3 2 2 2 2 3" xfId="20887" xr:uid="{00000000-0005-0000-0000-00001D500000}"/>
    <cellStyle name="Normal 12 8 3 2 2 2 2 4" xfId="20888" xr:uid="{00000000-0005-0000-0000-00001E500000}"/>
    <cellStyle name="Normal 12 8 3 2 2 2 2 5" xfId="20889" xr:uid="{00000000-0005-0000-0000-00001F500000}"/>
    <cellStyle name="Normal 12 8 3 2 2 2 3" xfId="20890" xr:uid="{00000000-0005-0000-0000-000020500000}"/>
    <cellStyle name="Normal 12 8 3 2 2 2 4" xfId="20891" xr:uid="{00000000-0005-0000-0000-000021500000}"/>
    <cellStyle name="Normal 12 8 3 2 2 2 5" xfId="20892" xr:uid="{00000000-0005-0000-0000-000022500000}"/>
    <cellStyle name="Normal 12 8 3 2 2 2 6" xfId="20893" xr:uid="{00000000-0005-0000-0000-000023500000}"/>
    <cellStyle name="Normal 12 8 3 2 2 2 7" xfId="20894" xr:uid="{00000000-0005-0000-0000-000024500000}"/>
    <cellStyle name="Normal 12 8 3 2 2 2 8" xfId="20895" xr:uid="{00000000-0005-0000-0000-000025500000}"/>
    <cellStyle name="Normal 12 8 3 2 2 3" xfId="20896" xr:uid="{00000000-0005-0000-0000-000026500000}"/>
    <cellStyle name="Normal 12 8 3 2 2 3 2" xfId="20897" xr:uid="{00000000-0005-0000-0000-000027500000}"/>
    <cellStyle name="Normal 12 8 3 2 2 3 2 2" xfId="20898" xr:uid="{00000000-0005-0000-0000-000028500000}"/>
    <cellStyle name="Normal 12 8 3 2 2 3 2 3" xfId="20899" xr:uid="{00000000-0005-0000-0000-000029500000}"/>
    <cellStyle name="Normal 12 8 3 2 2 3 2 4" xfId="20900" xr:uid="{00000000-0005-0000-0000-00002A500000}"/>
    <cellStyle name="Normal 12 8 3 2 2 3 2 5" xfId="20901" xr:uid="{00000000-0005-0000-0000-00002B500000}"/>
    <cellStyle name="Normal 12 8 3 2 2 3 3" xfId="20902" xr:uid="{00000000-0005-0000-0000-00002C500000}"/>
    <cellStyle name="Normal 12 8 3 2 2 3 4" xfId="20903" xr:uid="{00000000-0005-0000-0000-00002D500000}"/>
    <cellStyle name="Normal 12 8 3 2 2 3 5" xfId="20904" xr:uid="{00000000-0005-0000-0000-00002E500000}"/>
    <cellStyle name="Normal 12 8 3 2 2 3 6" xfId="20905" xr:uid="{00000000-0005-0000-0000-00002F500000}"/>
    <cellStyle name="Normal 12 8 3 2 2 3 7" xfId="20906" xr:uid="{00000000-0005-0000-0000-000030500000}"/>
    <cellStyle name="Normal 12 8 3 2 2 3 8" xfId="20907" xr:uid="{00000000-0005-0000-0000-000031500000}"/>
    <cellStyle name="Normal 12 8 3 2 2 4" xfId="20908" xr:uid="{00000000-0005-0000-0000-000032500000}"/>
    <cellStyle name="Normal 12 8 3 2 2 4 2" xfId="20909" xr:uid="{00000000-0005-0000-0000-000033500000}"/>
    <cellStyle name="Normal 12 8 3 2 2 4 3" xfId="20910" xr:uid="{00000000-0005-0000-0000-000034500000}"/>
    <cellStyle name="Normal 12 8 3 2 2 4 4" xfId="20911" xr:uid="{00000000-0005-0000-0000-000035500000}"/>
    <cellStyle name="Normal 12 8 3 2 2 4 5" xfId="20912" xr:uid="{00000000-0005-0000-0000-000036500000}"/>
    <cellStyle name="Normal 12 8 3 2 2 5" xfId="20913" xr:uid="{00000000-0005-0000-0000-000037500000}"/>
    <cellStyle name="Normal 12 8 3 2 2 6" xfId="20914" xr:uid="{00000000-0005-0000-0000-000038500000}"/>
    <cellStyle name="Normal 12 8 3 2 2 7" xfId="20915" xr:uid="{00000000-0005-0000-0000-000039500000}"/>
    <cellStyle name="Normal 12 8 3 2 2 8" xfId="20916" xr:uid="{00000000-0005-0000-0000-00003A500000}"/>
    <cellStyle name="Normal 12 8 3 2 2 9" xfId="20917" xr:uid="{00000000-0005-0000-0000-00003B500000}"/>
    <cellStyle name="Normal 12 8 3 2 3" xfId="20918" xr:uid="{00000000-0005-0000-0000-00003C500000}"/>
    <cellStyle name="Normal 12 8 3 2 3 2" xfId="20919" xr:uid="{00000000-0005-0000-0000-00003D500000}"/>
    <cellStyle name="Normal 12 8 3 2 3 2 2" xfId="20920" xr:uid="{00000000-0005-0000-0000-00003E500000}"/>
    <cellStyle name="Normal 12 8 3 2 3 2 3" xfId="20921" xr:uid="{00000000-0005-0000-0000-00003F500000}"/>
    <cellStyle name="Normal 12 8 3 2 3 2 4" xfId="20922" xr:uid="{00000000-0005-0000-0000-000040500000}"/>
    <cellStyle name="Normal 12 8 3 2 3 2 5" xfId="20923" xr:uid="{00000000-0005-0000-0000-000041500000}"/>
    <cellStyle name="Normal 12 8 3 2 3 3" xfId="20924" xr:uid="{00000000-0005-0000-0000-000042500000}"/>
    <cellStyle name="Normal 12 8 3 2 3 4" xfId="20925" xr:uid="{00000000-0005-0000-0000-000043500000}"/>
    <cellStyle name="Normal 12 8 3 2 3 5" xfId="20926" xr:uid="{00000000-0005-0000-0000-000044500000}"/>
    <cellStyle name="Normal 12 8 3 2 3 6" xfId="20927" xr:uid="{00000000-0005-0000-0000-000045500000}"/>
    <cellStyle name="Normal 12 8 3 2 3 7" xfId="20928" xr:uid="{00000000-0005-0000-0000-000046500000}"/>
    <cellStyle name="Normal 12 8 3 2 3 8" xfId="20929" xr:uid="{00000000-0005-0000-0000-000047500000}"/>
    <cellStyle name="Normal 12 8 3 2 4" xfId="20930" xr:uid="{00000000-0005-0000-0000-000048500000}"/>
    <cellStyle name="Normal 12 8 3 2 4 2" xfId="20931" xr:uid="{00000000-0005-0000-0000-000049500000}"/>
    <cellStyle name="Normal 12 8 3 2 4 2 2" xfId="20932" xr:uid="{00000000-0005-0000-0000-00004A500000}"/>
    <cellStyle name="Normal 12 8 3 2 4 2 3" xfId="20933" xr:uid="{00000000-0005-0000-0000-00004B500000}"/>
    <cellStyle name="Normal 12 8 3 2 4 2 4" xfId="20934" xr:uid="{00000000-0005-0000-0000-00004C500000}"/>
    <cellStyle name="Normal 12 8 3 2 4 2 5" xfId="20935" xr:uid="{00000000-0005-0000-0000-00004D500000}"/>
    <cellStyle name="Normal 12 8 3 2 4 3" xfId="20936" xr:uid="{00000000-0005-0000-0000-00004E500000}"/>
    <cellStyle name="Normal 12 8 3 2 4 4" xfId="20937" xr:uid="{00000000-0005-0000-0000-00004F500000}"/>
    <cellStyle name="Normal 12 8 3 2 4 5" xfId="20938" xr:uid="{00000000-0005-0000-0000-000050500000}"/>
    <cellStyle name="Normal 12 8 3 2 4 6" xfId="20939" xr:uid="{00000000-0005-0000-0000-000051500000}"/>
    <cellStyle name="Normal 12 8 3 2 4 7" xfId="20940" xr:uid="{00000000-0005-0000-0000-000052500000}"/>
    <cellStyle name="Normal 12 8 3 2 4 8" xfId="20941" xr:uid="{00000000-0005-0000-0000-000053500000}"/>
    <cellStyle name="Normal 12 8 3 2 5" xfId="20942" xr:uid="{00000000-0005-0000-0000-000054500000}"/>
    <cellStyle name="Normal 12 8 3 2 5 2" xfId="20943" xr:uid="{00000000-0005-0000-0000-000055500000}"/>
    <cellStyle name="Normal 12 8 3 2 5 3" xfId="20944" xr:uid="{00000000-0005-0000-0000-000056500000}"/>
    <cellStyle name="Normal 12 8 3 2 5 4" xfId="20945" xr:uid="{00000000-0005-0000-0000-000057500000}"/>
    <cellStyle name="Normal 12 8 3 2 5 5" xfId="20946" xr:uid="{00000000-0005-0000-0000-000058500000}"/>
    <cellStyle name="Normal 12 8 3 2 6" xfId="20947" xr:uid="{00000000-0005-0000-0000-000059500000}"/>
    <cellStyle name="Normal 12 8 3 2 7" xfId="20948" xr:uid="{00000000-0005-0000-0000-00005A500000}"/>
    <cellStyle name="Normal 12 8 3 2 8" xfId="20949" xr:uid="{00000000-0005-0000-0000-00005B500000}"/>
    <cellStyle name="Normal 12 8 3 2 9" xfId="20950" xr:uid="{00000000-0005-0000-0000-00005C500000}"/>
    <cellStyle name="Normal 12 8 3 3" xfId="20951" xr:uid="{00000000-0005-0000-0000-00005D500000}"/>
    <cellStyle name="Normal 12 8 3 3 10" xfId="20952" xr:uid="{00000000-0005-0000-0000-00005E500000}"/>
    <cellStyle name="Normal 12 8 3 3 11" xfId="20953" xr:uid="{00000000-0005-0000-0000-00005F500000}"/>
    <cellStyle name="Normal 12 8 3 3 2" xfId="20954" xr:uid="{00000000-0005-0000-0000-000060500000}"/>
    <cellStyle name="Normal 12 8 3 3 2 10" xfId="20955" xr:uid="{00000000-0005-0000-0000-000061500000}"/>
    <cellStyle name="Normal 12 8 3 3 2 2" xfId="20956" xr:uid="{00000000-0005-0000-0000-000062500000}"/>
    <cellStyle name="Normal 12 8 3 3 2 2 2" xfId="20957" xr:uid="{00000000-0005-0000-0000-000063500000}"/>
    <cellStyle name="Normal 12 8 3 3 2 2 2 2" xfId="20958" xr:uid="{00000000-0005-0000-0000-000064500000}"/>
    <cellStyle name="Normal 12 8 3 3 2 2 2 3" xfId="20959" xr:uid="{00000000-0005-0000-0000-000065500000}"/>
    <cellStyle name="Normal 12 8 3 3 2 2 2 4" xfId="20960" xr:uid="{00000000-0005-0000-0000-000066500000}"/>
    <cellStyle name="Normal 12 8 3 3 2 2 2 5" xfId="20961" xr:uid="{00000000-0005-0000-0000-000067500000}"/>
    <cellStyle name="Normal 12 8 3 3 2 2 3" xfId="20962" xr:uid="{00000000-0005-0000-0000-000068500000}"/>
    <cellStyle name="Normal 12 8 3 3 2 2 4" xfId="20963" xr:uid="{00000000-0005-0000-0000-000069500000}"/>
    <cellStyle name="Normal 12 8 3 3 2 2 5" xfId="20964" xr:uid="{00000000-0005-0000-0000-00006A500000}"/>
    <cellStyle name="Normal 12 8 3 3 2 2 6" xfId="20965" xr:uid="{00000000-0005-0000-0000-00006B500000}"/>
    <cellStyle name="Normal 12 8 3 3 2 2 7" xfId="20966" xr:uid="{00000000-0005-0000-0000-00006C500000}"/>
    <cellStyle name="Normal 12 8 3 3 2 2 8" xfId="20967" xr:uid="{00000000-0005-0000-0000-00006D500000}"/>
    <cellStyle name="Normal 12 8 3 3 2 3" xfId="20968" xr:uid="{00000000-0005-0000-0000-00006E500000}"/>
    <cellStyle name="Normal 12 8 3 3 2 3 2" xfId="20969" xr:uid="{00000000-0005-0000-0000-00006F500000}"/>
    <cellStyle name="Normal 12 8 3 3 2 3 2 2" xfId="20970" xr:uid="{00000000-0005-0000-0000-000070500000}"/>
    <cellStyle name="Normal 12 8 3 3 2 3 2 3" xfId="20971" xr:uid="{00000000-0005-0000-0000-000071500000}"/>
    <cellStyle name="Normal 12 8 3 3 2 3 2 4" xfId="20972" xr:uid="{00000000-0005-0000-0000-000072500000}"/>
    <cellStyle name="Normal 12 8 3 3 2 3 2 5" xfId="20973" xr:uid="{00000000-0005-0000-0000-000073500000}"/>
    <cellStyle name="Normal 12 8 3 3 2 3 3" xfId="20974" xr:uid="{00000000-0005-0000-0000-000074500000}"/>
    <cellStyle name="Normal 12 8 3 3 2 3 4" xfId="20975" xr:uid="{00000000-0005-0000-0000-000075500000}"/>
    <cellStyle name="Normal 12 8 3 3 2 3 5" xfId="20976" xr:uid="{00000000-0005-0000-0000-000076500000}"/>
    <cellStyle name="Normal 12 8 3 3 2 3 6" xfId="20977" xr:uid="{00000000-0005-0000-0000-000077500000}"/>
    <cellStyle name="Normal 12 8 3 3 2 3 7" xfId="20978" xr:uid="{00000000-0005-0000-0000-000078500000}"/>
    <cellStyle name="Normal 12 8 3 3 2 3 8" xfId="20979" xr:uid="{00000000-0005-0000-0000-000079500000}"/>
    <cellStyle name="Normal 12 8 3 3 2 4" xfId="20980" xr:uid="{00000000-0005-0000-0000-00007A500000}"/>
    <cellStyle name="Normal 12 8 3 3 2 4 2" xfId="20981" xr:uid="{00000000-0005-0000-0000-00007B500000}"/>
    <cellStyle name="Normal 12 8 3 3 2 4 3" xfId="20982" xr:uid="{00000000-0005-0000-0000-00007C500000}"/>
    <cellStyle name="Normal 12 8 3 3 2 4 4" xfId="20983" xr:uid="{00000000-0005-0000-0000-00007D500000}"/>
    <cellStyle name="Normal 12 8 3 3 2 4 5" xfId="20984" xr:uid="{00000000-0005-0000-0000-00007E500000}"/>
    <cellStyle name="Normal 12 8 3 3 2 5" xfId="20985" xr:uid="{00000000-0005-0000-0000-00007F500000}"/>
    <cellStyle name="Normal 12 8 3 3 2 6" xfId="20986" xr:uid="{00000000-0005-0000-0000-000080500000}"/>
    <cellStyle name="Normal 12 8 3 3 2 7" xfId="20987" xr:uid="{00000000-0005-0000-0000-000081500000}"/>
    <cellStyle name="Normal 12 8 3 3 2 8" xfId="20988" xr:uid="{00000000-0005-0000-0000-000082500000}"/>
    <cellStyle name="Normal 12 8 3 3 2 9" xfId="20989" xr:uid="{00000000-0005-0000-0000-000083500000}"/>
    <cellStyle name="Normal 12 8 3 3 3" xfId="20990" xr:uid="{00000000-0005-0000-0000-000084500000}"/>
    <cellStyle name="Normal 12 8 3 3 3 2" xfId="20991" xr:uid="{00000000-0005-0000-0000-000085500000}"/>
    <cellStyle name="Normal 12 8 3 3 3 2 2" xfId="20992" xr:uid="{00000000-0005-0000-0000-000086500000}"/>
    <cellStyle name="Normal 12 8 3 3 3 2 3" xfId="20993" xr:uid="{00000000-0005-0000-0000-000087500000}"/>
    <cellStyle name="Normal 12 8 3 3 3 2 4" xfId="20994" xr:uid="{00000000-0005-0000-0000-000088500000}"/>
    <cellStyle name="Normal 12 8 3 3 3 2 5" xfId="20995" xr:uid="{00000000-0005-0000-0000-000089500000}"/>
    <cellStyle name="Normal 12 8 3 3 3 3" xfId="20996" xr:uid="{00000000-0005-0000-0000-00008A500000}"/>
    <cellStyle name="Normal 12 8 3 3 3 4" xfId="20997" xr:uid="{00000000-0005-0000-0000-00008B500000}"/>
    <cellStyle name="Normal 12 8 3 3 3 5" xfId="20998" xr:uid="{00000000-0005-0000-0000-00008C500000}"/>
    <cellStyle name="Normal 12 8 3 3 3 6" xfId="20999" xr:uid="{00000000-0005-0000-0000-00008D500000}"/>
    <cellStyle name="Normal 12 8 3 3 3 7" xfId="21000" xr:uid="{00000000-0005-0000-0000-00008E500000}"/>
    <cellStyle name="Normal 12 8 3 3 3 8" xfId="21001" xr:uid="{00000000-0005-0000-0000-00008F500000}"/>
    <cellStyle name="Normal 12 8 3 3 4" xfId="21002" xr:uid="{00000000-0005-0000-0000-000090500000}"/>
    <cellStyle name="Normal 12 8 3 3 4 2" xfId="21003" xr:uid="{00000000-0005-0000-0000-000091500000}"/>
    <cellStyle name="Normal 12 8 3 3 4 2 2" xfId="21004" xr:uid="{00000000-0005-0000-0000-000092500000}"/>
    <cellStyle name="Normal 12 8 3 3 4 2 3" xfId="21005" xr:uid="{00000000-0005-0000-0000-000093500000}"/>
    <cellStyle name="Normal 12 8 3 3 4 2 4" xfId="21006" xr:uid="{00000000-0005-0000-0000-000094500000}"/>
    <cellStyle name="Normal 12 8 3 3 4 2 5" xfId="21007" xr:uid="{00000000-0005-0000-0000-000095500000}"/>
    <cellStyle name="Normal 12 8 3 3 4 3" xfId="21008" xr:uid="{00000000-0005-0000-0000-000096500000}"/>
    <cellStyle name="Normal 12 8 3 3 4 4" xfId="21009" xr:uid="{00000000-0005-0000-0000-000097500000}"/>
    <cellStyle name="Normal 12 8 3 3 4 5" xfId="21010" xr:uid="{00000000-0005-0000-0000-000098500000}"/>
    <cellStyle name="Normal 12 8 3 3 4 6" xfId="21011" xr:uid="{00000000-0005-0000-0000-000099500000}"/>
    <cellStyle name="Normal 12 8 3 3 4 7" xfId="21012" xr:uid="{00000000-0005-0000-0000-00009A500000}"/>
    <cellStyle name="Normal 12 8 3 3 4 8" xfId="21013" xr:uid="{00000000-0005-0000-0000-00009B500000}"/>
    <cellStyle name="Normal 12 8 3 3 5" xfId="21014" xr:uid="{00000000-0005-0000-0000-00009C500000}"/>
    <cellStyle name="Normal 12 8 3 3 5 2" xfId="21015" xr:uid="{00000000-0005-0000-0000-00009D500000}"/>
    <cellStyle name="Normal 12 8 3 3 5 3" xfId="21016" xr:uid="{00000000-0005-0000-0000-00009E500000}"/>
    <cellStyle name="Normal 12 8 3 3 5 4" xfId="21017" xr:uid="{00000000-0005-0000-0000-00009F500000}"/>
    <cellStyle name="Normal 12 8 3 3 5 5" xfId="21018" xr:uid="{00000000-0005-0000-0000-0000A0500000}"/>
    <cellStyle name="Normal 12 8 3 3 6" xfId="21019" xr:uid="{00000000-0005-0000-0000-0000A1500000}"/>
    <cellStyle name="Normal 12 8 3 3 7" xfId="21020" xr:uid="{00000000-0005-0000-0000-0000A2500000}"/>
    <cellStyle name="Normal 12 8 3 3 8" xfId="21021" xr:uid="{00000000-0005-0000-0000-0000A3500000}"/>
    <cellStyle name="Normal 12 8 3 3 9" xfId="21022" xr:uid="{00000000-0005-0000-0000-0000A4500000}"/>
    <cellStyle name="Normal 12 8 3 4" xfId="21023" xr:uid="{00000000-0005-0000-0000-0000A5500000}"/>
    <cellStyle name="Normal 12 8 3 4 10" xfId="21024" xr:uid="{00000000-0005-0000-0000-0000A6500000}"/>
    <cellStyle name="Normal 12 8 3 4 2" xfId="21025" xr:uid="{00000000-0005-0000-0000-0000A7500000}"/>
    <cellStyle name="Normal 12 8 3 4 2 2" xfId="21026" xr:uid="{00000000-0005-0000-0000-0000A8500000}"/>
    <cellStyle name="Normal 12 8 3 4 2 2 2" xfId="21027" xr:uid="{00000000-0005-0000-0000-0000A9500000}"/>
    <cellStyle name="Normal 12 8 3 4 2 2 3" xfId="21028" xr:uid="{00000000-0005-0000-0000-0000AA500000}"/>
    <cellStyle name="Normal 12 8 3 4 2 2 4" xfId="21029" xr:uid="{00000000-0005-0000-0000-0000AB500000}"/>
    <cellStyle name="Normal 12 8 3 4 2 2 5" xfId="21030" xr:uid="{00000000-0005-0000-0000-0000AC500000}"/>
    <cellStyle name="Normal 12 8 3 4 2 3" xfId="21031" xr:uid="{00000000-0005-0000-0000-0000AD500000}"/>
    <cellStyle name="Normal 12 8 3 4 2 4" xfId="21032" xr:uid="{00000000-0005-0000-0000-0000AE500000}"/>
    <cellStyle name="Normal 12 8 3 4 2 5" xfId="21033" xr:uid="{00000000-0005-0000-0000-0000AF500000}"/>
    <cellStyle name="Normal 12 8 3 4 2 6" xfId="21034" xr:uid="{00000000-0005-0000-0000-0000B0500000}"/>
    <cellStyle name="Normal 12 8 3 4 2 7" xfId="21035" xr:uid="{00000000-0005-0000-0000-0000B1500000}"/>
    <cellStyle name="Normal 12 8 3 4 2 8" xfId="21036" xr:uid="{00000000-0005-0000-0000-0000B2500000}"/>
    <cellStyle name="Normal 12 8 3 4 3" xfId="21037" xr:uid="{00000000-0005-0000-0000-0000B3500000}"/>
    <cellStyle name="Normal 12 8 3 4 3 2" xfId="21038" xr:uid="{00000000-0005-0000-0000-0000B4500000}"/>
    <cellStyle name="Normal 12 8 3 4 3 2 2" xfId="21039" xr:uid="{00000000-0005-0000-0000-0000B5500000}"/>
    <cellStyle name="Normal 12 8 3 4 3 2 3" xfId="21040" xr:uid="{00000000-0005-0000-0000-0000B6500000}"/>
    <cellStyle name="Normal 12 8 3 4 3 2 4" xfId="21041" xr:uid="{00000000-0005-0000-0000-0000B7500000}"/>
    <cellStyle name="Normal 12 8 3 4 3 2 5" xfId="21042" xr:uid="{00000000-0005-0000-0000-0000B8500000}"/>
    <cellStyle name="Normal 12 8 3 4 3 3" xfId="21043" xr:uid="{00000000-0005-0000-0000-0000B9500000}"/>
    <cellStyle name="Normal 12 8 3 4 3 4" xfId="21044" xr:uid="{00000000-0005-0000-0000-0000BA500000}"/>
    <cellStyle name="Normal 12 8 3 4 3 5" xfId="21045" xr:uid="{00000000-0005-0000-0000-0000BB500000}"/>
    <cellStyle name="Normal 12 8 3 4 3 6" xfId="21046" xr:uid="{00000000-0005-0000-0000-0000BC500000}"/>
    <cellStyle name="Normal 12 8 3 4 3 7" xfId="21047" xr:uid="{00000000-0005-0000-0000-0000BD500000}"/>
    <cellStyle name="Normal 12 8 3 4 3 8" xfId="21048" xr:uid="{00000000-0005-0000-0000-0000BE500000}"/>
    <cellStyle name="Normal 12 8 3 4 4" xfId="21049" xr:uid="{00000000-0005-0000-0000-0000BF500000}"/>
    <cellStyle name="Normal 12 8 3 4 4 2" xfId="21050" xr:uid="{00000000-0005-0000-0000-0000C0500000}"/>
    <cellStyle name="Normal 12 8 3 4 4 3" xfId="21051" xr:uid="{00000000-0005-0000-0000-0000C1500000}"/>
    <cellStyle name="Normal 12 8 3 4 4 4" xfId="21052" xr:uid="{00000000-0005-0000-0000-0000C2500000}"/>
    <cellStyle name="Normal 12 8 3 4 4 5" xfId="21053" xr:uid="{00000000-0005-0000-0000-0000C3500000}"/>
    <cellStyle name="Normal 12 8 3 4 5" xfId="21054" xr:uid="{00000000-0005-0000-0000-0000C4500000}"/>
    <cellStyle name="Normal 12 8 3 4 6" xfId="21055" xr:uid="{00000000-0005-0000-0000-0000C5500000}"/>
    <cellStyle name="Normal 12 8 3 4 7" xfId="21056" xr:uid="{00000000-0005-0000-0000-0000C6500000}"/>
    <cellStyle name="Normal 12 8 3 4 8" xfId="21057" xr:uid="{00000000-0005-0000-0000-0000C7500000}"/>
    <cellStyle name="Normal 12 8 3 4 9" xfId="21058" xr:uid="{00000000-0005-0000-0000-0000C8500000}"/>
    <cellStyle name="Normal 12 8 3 5" xfId="21059" xr:uid="{00000000-0005-0000-0000-0000C9500000}"/>
    <cellStyle name="Normal 12 8 3 5 2" xfId="21060" xr:uid="{00000000-0005-0000-0000-0000CA500000}"/>
    <cellStyle name="Normal 12 8 3 5 2 2" xfId="21061" xr:uid="{00000000-0005-0000-0000-0000CB500000}"/>
    <cellStyle name="Normal 12 8 3 5 2 3" xfId="21062" xr:uid="{00000000-0005-0000-0000-0000CC500000}"/>
    <cellStyle name="Normal 12 8 3 5 2 4" xfId="21063" xr:uid="{00000000-0005-0000-0000-0000CD500000}"/>
    <cellStyle name="Normal 12 8 3 5 2 5" xfId="21064" xr:uid="{00000000-0005-0000-0000-0000CE500000}"/>
    <cellStyle name="Normal 12 8 3 5 3" xfId="21065" xr:uid="{00000000-0005-0000-0000-0000CF500000}"/>
    <cellStyle name="Normal 12 8 3 5 4" xfId="21066" xr:uid="{00000000-0005-0000-0000-0000D0500000}"/>
    <cellStyle name="Normal 12 8 3 5 5" xfId="21067" xr:uid="{00000000-0005-0000-0000-0000D1500000}"/>
    <cellStyle name="Normal 12 8 3 5 6" xfId="21068" xr:uid="{00000000-0005-0000-0000-0000D2500000}"/>
    <cellStyle name="Normal 12 8 3 5 7" xfId="21069" xr:uid="{00000000-0005-0000-0000-0000D3500000}"/>
    <cellStyle name="Normal 12 8 3 5 8" xfId="21070" xr:uid="{00000000-0005-0000-0000-0000D4500000}"/>
    <cellStyle name="Normal 12 8 3 6" xfId="21071" xr:uid="{00000000-0005-0000-0000-0000D5500000}"/>
    <cellStyle name="Normal 12 8 3 6 2" xfId="21072" xr:uid="{00000000-0005-0000-0000-0000D6500000}"/>
    <cellStyle name="Normal 12 8 3 6 2 2" xfId="21073" xr:uid="{00000000-0005-0000-0000-0000D7500000}"/>
    <cellStyle name="Normal 12 8 3 6 2 3" xfId="21074" xr:uid="{00000000-0005-0000-0000-0000D8500000}"/>
    <cellStyle name="Normal 12 8 3 6 2 4" xfId="21075" xr:uid="{00000000-0005-0000-0000-0000D9500000}"/>
    <cellStyle name="Normal 12 8 3 6 2 5" xfId="21076" xr:uid="{00000000-0005-0000-0000-0000DA500000}"/>
    <cellStyle name="Normal 12 8 3 6 3" xfId="21077" xr:uid="{00000000-0005-0000-0000-0000DB500000}"/>
    <cellStyle name="Normal 12 8 3 6 4" xfId="21078" xr:uid="{00000000-0005-0000-0000-0000DC500000}"/>
    <cellStyle name="Normal 12 8 3 6 5" xfId="21079" xr:uid="{00000000-0005-0000-0000-0000DD500000}"/>
    <cellStyle name="Normal 12 8 3 6 6" xfId="21080" xr:uid="{00000000-0005-0000-0000-0000DE500000}"/>
    <cellStyle name="Normal 12 8 3 6 7" xfId="21081" xr:uid="{00000000-0005-0000-0000-0000DF500000}"/>
    <cellStyle name="Normal 12 8 3 6 8" xfId="21082" xr:uid="{00000000-0005-0000-0000-0000E0500000}"/>
    <cellStyle name="Normal 12 8 3 7" xfId="21083" xr:uid="{00000000-0005-0000-0000-0000E1500000}"/>
    <cellStyle name="Normal 12 8 3 7 2" xfId="21084" xr:uid="{00000000-0005-0000-0000-0000E2500000}"/>
    <cellStyle name="Normal 12 8 3 7 3" xfId="21085" xr:uid="{00000000-0005-0000-0000-0000E3500000}"/>
    <cellStyle name="Normal 12 8 3 7 4" xfId="21086" xr:uid="{00000000-0005-0000-0000-0000E4500000}"/>
    <cellStyle name="Normal 12 8 3 7 5" xfId="21087" xr:uid="{00000000-0005-0000-0000-0000E5500000}"/>
    <cellStyle name="Normal 12 8 3 8" xfId="21088" xr:uid="{00000000-0005-0000-0000-0000E6500000}"/>
    <cellStyle name="Normal 12 8 3 9" xfId="21089" xr:uid="{00000000-0005-0000-0000-0000E7500000}"/>
    <cellStyle name="Normal 12 8 4" xfId="21090" xr:uid="{00000000-0005-0000-0000-0000E8500000}"/>
    <cellStyle name="Normal 12 8 4 10" xfId="21091" xr:uid="{00000000-0005-0000-0000-0000E9500000}"/>
    <cellStyle name="Normal 12 8 4 11" xfId="21092" xr:uid="{00000000-0005-0000-0000-0000EA500000}"/>
    <cellStyle name="Normal 12 8 4 2" xfId="21093" xr:uid="{00000000-0005-0000-0000-0000EB500000}"/>
    <cellStyle name="Normal 12 8 4 2 10" xfId="21094" xr:uid="{00000000-0005-0000-0000-0000EC500000}"/>
    <cellStyle name="Normal 12 8 4 2 2" xfId="21095" xr:uid="{00000000-0005-0000-0000-0000ED500000}"/>
    <cellStyle name="Normal 12 8 4 2 2 2" xfId="21096" xr:uid="{00000000-0005-0000-0000-0000EE500000}"/>
    <cellStyle name="Normal 12 8 4 2 2 2 2" xfId="21097" xr:uid="{00000000-0005-0000-0000-0000EF500000}"/>
    <cellStyle name="Normal 12 8 4 2 2 2 3" xfId="21098" xr:uid="{00000000-0005-0000-0000-0000F0500000}"/>
    <cellStyle name="Normal 12 8 4 2 2 2 4" xfId="21099" xr:uid="{00000000-0005-0000-0000-0000F1500000}"/>
    <cellStyle name="Normal 12 8 4 2 2 2 5" xfId="21100" xr:uid="{00000000-0005-0000-0000-0000F2500000}"/>
    <cellStyle name="Normal 12 8 4 2 2 3" xfId="21101" xr:uid="{00000000-0005-0000-0000-0000F3500000}"/>
    <cellStyle name="Normal 12 8 4 2 2 4" xfId="21102" xr:uid="{00000000-0005-0000-0000-0000F4500000}"/>
    <cellStyle name="Normal 12 8 4 2 2 5" xfId="21103" xr:uid="{00000000-0005-0000-0000-0000F5500000}"/>
    <cellStyle name="Normal 12 8 4 2 2 6" xfId="21104" xr:uid="{00000000-0005-0000-0000-0000F6500000}"/>
    <cellStyle name="Normal 12 8 4 2 2 7" xfId="21105" xr:uid="{00000000-0005-0000-0000-0000F7500000}"/>
    <cellStyle name="Normal 12 8 4 2 2 8" xfId="21106" xr:uid="{00000000-0005-0000-0000-0000F8500000}"/>
    <cellStyle name="Normal 12 8 4 2 3" xfId="21107" xr:uid="{00000000-0005-0000-0000-0000F9500000}"/>
    <cellStyle name="Normal 12 8 4 2 3 2" xfId="21108" xr:uid="{00000000-0005-0000-0000-0000FA500000}"/>
    <cellStyle name="Normal 12 8 4 2 3 2 2" xfId="21109" xr:uid="{00000000-0005-0000-0000-0000FB500000}"/>
    <cellStyle name="Normal 12 8 4 2 3 2 3" xfId="21110" xr:uid="{00000000-0005-0000-0000-0000FC500000}"/>
    <cellStyle name="Normal 12 8 4 2 3 2 4" xfId="21111" xr:uid="{00000000-0005-0000-0000-0000FD500000}"/>
    <cellStyle name="Normal 12 8 4 2 3 2 5" xfId="21112" xr:uid="{00000000-0005-0000-0000-0000FE500000}"/>
    <cellStyle name="Normal 12 8 4 2 3 3" xfId="21113" xr:uid="{00000000-0005-0000-0000-0000FF500000}"/>
    <cellStyle name="Normal 12 8 4 2 3 4" xfId="21114" xr:uid="{00000000-0005-0000-0000-000000510000}"/>
    <cellStyle name="Normal 12 8 4 2 3 5" xfId="21115" xr:uid="{00000000-0005-0000-0000-000001510000}"/>
    <cellStyle name="Normal 12 8 4 2 3 6" xfId="21116" xr:uid="{00000000-0005-0000-0000-000002510000}"/>
    <cellStyle name="Normal 12 8 4 2 3 7" xfId="21117" xr:uid="{00000000-0005-0000-0000-000003510000}"/>
    <cellStyle name="Normal 12 8 4 2 3 8" xfId="21118" xr:uid="{00000000-0005-0000-0000-000004510000}"/>
    <cellStyle name="Normal 12 8 4 2 4" xfId="21119" xr:uid="{00000000-0005-0000-0000-000005510000}"/>
    <cellStyle name="Normal 12 8 4 2 4 2" xfId="21120" xr:uid="{00000000-0005-0000-0000-000006510000}"/>
    <cellStyle name="Normal 12 8 4 2 4 3" xfId="21121" xr:uid="{00000000-0005-0000-0000-000007510000}"/>
    <cellStyle name="Normal 12 8 4 2 4 4" xfId="21122" xr:uid="{00000000-0005-0000-0000-000008510000}"/>
    <cellStyle name="Normal 12 8 4 2 4 5" xfId="21123" xr:uid="{00000000-0005-0000-0000-000009510000}"/>
    <cellStyle name="Normal 12 8 4 2 5" xfId="21124" xr:uid="{00000000-0005-0000-0000-00000A510000}"/>
    <cellStyle name="Normal 12 8 4 2 6" xfId="21125" xr:uid="{00000000-0005-0000-0000-00000B510000}"/>
    <cellStyle name="Normal 12 8 4 2 7" xfId="21126" xr:uid="{00000000-0005-0000-0000-00000C510000}"/>
    <cellStyle name="Normal 12 8 4 2 8" xfId="21127" xr:uid="{00000000-0005-0000-0000-00000D510000}"/>
    <cellStyle name="Normal 12 8 4 2 9" xfId="21128" xr:uid="{00000000-0005-0000-0000-00000E510000}"/>
    <cellStyle name="Normal 12 8 4 3" xfId="21129" xr:uid="{00000000-0005-0000-0000-00000F510000}"/>
    <cellStyle name="Normal 12 8 4 3 2" xfId="21130" xr:uid="{00000000-0005-0000-0000-000010510000}"/>
    <cellStyle name="Normal 12 8 4 3 2 2" xfId="21131" xr:uid="{00000000-0005-0000-0000-000011510000}"/>
    <cellStyle name="Normal 12 8 4 3 2 3" xfId="21132" xr:uid="{00000000-0005-0000-0000-000012510000}"/>
    <cellStyle name="Normal 12 8 4 3 2 4" xfId="21133" xr:uid="{00000000-0005-0000-0000-000013510000}"/>
    <cellStyle name="Normal 12 8 4 3 2 5" xfId="21134" xr:uid="{00000000-0005-0000-0000-000014510000}"/>
    <cellStyle name="Normal 12 8 4 3 3" xfId="21135" xr:uid="{00000000-0005-0000-0000-000015510000}"/>
    <cellStyle name="Normal 12 8 4 3 4" xfId="21136" xr:uid="{00000000-0005-0000-0000-000016510000}"/>
    <cellStyle name="Normal 12 8 4 3 5" xfId="21137" xr:uid="{00000000-0005-0000-0000-000017510000}"/>
    <cellStyle name="Normal 12 8 4 3 6" xfId="21138" xr:uid="{00000000-0005-0000-0000-000018510000}"/>
    <cellStyle name="Normal 12 8 4 3 7" xfId="21139" xr:uid="{00000000-0005-0000-0000-000019510000}"/>
    <cellStyle name="Normal 12 8 4 3 8" xfId="21140" xr:uid="{00000000-0005-0000-0000-00001A510000}"/>
    <cellStyle name="Normal 12 8 4 4" xfId="21141" xr:uid="{00000000-0005-0000-0000-00001B510000}"/>
    <cellStyle name="Normal 12 8 4 4 2" xfId="21142" xr:uid="{00000000-0005-0000-0000-00001C510000}"/>
    <cellStyle name="Normal 12 8 4 4 2 2" xfId="21143" xr:uid="{00000000-0005-0000-0000-00001D510000}"/>
    <cellStyle name="Normal 12 8 4 4 2 3" xfId="21144" xr:uid="{00000000-0005-0000-0000-00001E510000}"/>
    <cellStyle name="Normal 12 8 4 4 2 4" xfId="21145" xr:uid="{00000000-0005-0000-0000-00001F510000}"/>
    <cellStyle name="Normal 12 8 4 4 2 5" xfId="21146" xr:uid="{00000000-0005-0000-0000-000020510000}"/>
    <cellStyle name="Normal 12 8 4 4 3" xfId="21147" xr:uid="{00000000-0005-0000-0000-000021510000}"/>
    <cellStyle name="Normal 12 8 4 4 4" xfId="21148" xr:uid="{00000000-0005-0000-0000-000022510000}"/>
    <cellStyle name="Normal 12 8 4 4 5" xfId="21149" xr:uid="{00000000-0005-0000-0000-000023510000}"/>
    <cellStyle name="Normal 12 8 4 4 6" xfId="21150" xr:uid="{00000000-0005-0000-0000-000024510000}"/>
    <cellStyle name="Normal 12 8 4 4 7" xfId="21151" xr:uid="{00000000-0005-0000-0000-000025510000}"/>
    <cellStyle name="Normal 12 8 4 4 8" xfId="21152" xr:uid="{00000000-0005-0000-0000-000026510000}"/>
    <cellStyle name="Normal 12 8 4 5" xfId="21153" xr:uid="{00000000-0005-0000-0000-000027510000}"/>
    <cellStyle name="Normal 12 8 4 5 2" xfId="21154" xr:uid="{00000000-0005-0000-0000-000028510000}"/>
    <cellStyle name="Normal 12 8 4 5 3" xfId="21155" xr:uid="{00000000-0005-0000-0000-000029510000}"/>
    <cellStyle name="Normal 12 8 4 5 4" xfId="21156" xr:uid="{00000000-0005-0000-0000-00002A510000}"/>
    <cellStyle name="Normal 12 8 4 5 5" xfId="21157" xr:uid="{00000000-0005-0000-0000-00002B510000}"/>
    <cellStyle name="Normal 12 8 4 6" xfId="21158" xr:uid="{00000000-0005-0000-0000-00002C510000}"/>
    <cellStyle name="Normal 12 8 4 7" xfId="21159" xr:uid="{00000000-0005-0000-0000-00002D510000}"/>
    <cellStyle name="Normal 12 8 4 8" xfId="21160" xr:uid="{00000000-0005-0000-0000-00002E510000}"/>
    <cellStyle name="Normal 12 8 4 9" xfId="21161" xr:uid="{00000000-0005-0000-0000-00002F510000}"/>
    <cellStyle name="Normal 12 8 5" xfId="21162" xr:uid="{00000000-0005-0000-0000-000030510000}"/>
    <cellStyle name="Normal 12 8 5 10" xfId="21163" xr:uid="{00000000-0005-0000-0000-000031510000}"/>
    <cellStyle name="Normal 12 8 5 11" xfId="21164" xr:uid="{00000000-0005-0000-0000-000032510000}"/>
    <cellStyle name="Normal 12 8 5 2" xfId="21165" xr:uid="{00000000-0005-0000-0000-000033510000}"/>
    <cellStyle name="Normal 12 8 5 2 10" xfId="21166" xr:uid="{00000000-0005-0000-0000-000034510000}"/>
    <cellStyle name="Normal 12 8 5 2 2" xfId="21167" xr:uid="{00000000-0005-0000-0000-000035510000}"/>
    <cellStyle name="Normal 12 8 5 2 2 2" xfId="21168" xr:uid="{00000000-0005-0000-0000-000036510000}"/>
    <cellStyle name="Normal 12 8 5 2 2 2 2" xfId="21169" xr:uid="{00000000-0005-0000-0000-000037510000}"/>
    <cellStyle name="Normal 12 8 5 2 2 2 3" xfId="21170" xr:uid="{00000000-0005-0000-0000-000038510000}"/>
    <cellStyle name="Normal 12 8 5 2 2 2 4" xfId="21171" xr:uid="{00000000-0005-0000-0000-000039510000}"/>
    <cellStyle name="Normal 12 8 5 2 2 2 5" xfId="21172" xr:uid="{00000000-0005-0000-0000-00003A510000}"/>
    <cellStyle name="Normal 12 8 5 2 2 3" xfId="21173" xr:uid="{00000000-0005-0000-0000-00003B510000}"/>
    <cellStyle name="Normal 12 8 5 2 2 4" xfId="21174" xr:uid="{00000000-0005-0000-0000-00003C510000}"/>
    <cellStyle name="Normal 12 8 5 2 2 5" xfId="21175" xr:uid="{00000000-0005-0000-0000-00003D510000}"/>
    <cellStyle name="Normal 12 8 5 2 2 6" xfId="21176" xr:uid="{00000000-0005-0000-0000-00003E510000}"/>
    <cellStyle name="Normal 12 8 5 2 2 7" xfId="21177" xr:uid="{00000000-0005-0000-0000-00003F510000}"/>
    <cellStyle name="Normal 12 8 5 2 2 8" xfId="21178" xr:uid="{00000000-0005-0000-0000-000040510000}"/>
    <cellStyle name="Normal 12 8 5 2 3" xfId="21179" xr:uid="{00000000-0005-0000-0000-000041510000}"/>
    <cellStyle name="Normal 12 8 5 2 3 2" xfId="21180" xr:uid="{00000000-0005-0000-0000-000042510000}"/>
    <cellStyle name="Normal 12 8 5 2 3 2 2" xfId="21181" xr:uid="{00000000-0005-0000-0000-000043510000}"/>
    <cellStyle name="Normal 12 8 5 2 3 2 3" xfId="21182" xr:uid="{00000000-0005-0000-0000-000044510000}"/>
    <cellStyle name="Normal 12 8 5 2 3 2 4" xfId="21183" xr:uid="{00000000-0005-0000-0000-000045510000}"/>
    <cellStyle name="Normal 12 8 5 2 3 2 5" xfId="21184" xr:uid="{00000000-0005-0000-0000-000046510000}"/>
    <cellStyle name="Normal 12 8 5 2 3 3" xfId="21185" xr:uid="{00000000-0005-0000-0000-000047510000}"/>
    <cellStyle name="Normal 12 8 5 2 3 4" xfId="21186" xr:uid="{00000000-0005-0000-0000-000048510000}"/>
    <cellStyle name="Normal 12 8 5 2 3 5" xfId="21187" xr:uid="{00000000-0005-0000-0000-000049510000}"/>
    <cellStyle name="Normal 12 8 5 2 3 6" xfId="21188" xr:uid="{00000000-0005-0000-0000-00004A510000}"/>
    <cellStyle name="Normal 12 8 5 2 3 7" xfId="21189" xr:uid="{00000000-0005-0000-0000-00004B510000}"/>
    <cellStyle name="Normal 12 8 5 2 3 8" xfId="21190" xr:uid="{00000000-0005-0000-0000-00004C510000}"/>
    <cellStyle name="Normal 12 8 5 2 4" xfId="21191" xr:uid="{00000000-0005-0000-0000-00004D510000}"/>
    <cellStyle name="Normal 12 8 5 2 4 2" xfId="21192" xr:uid="{00000000-0005-0000-0000-00004E510000}"/>
    <cellStyle name="Normal 12 8 5 2 4 3" xfId="21193" xr:uid="{00000000-0005-0000-0000-00004F510000}"/>
    <cellStyle name="Normal 12 8 5 2 4 4" xfId="21194" xr:uid="{00000000-0005-0000-0000-000050510000}"/>
    <cellStyle name="Normal 12 8 5 2 4 5" xfId="21195" xr:uid="{00000000-0005-0000-0000-000051510000}"/>
    <cellStyle name="Normal 12 8 5 2 5" xfId="21196" xr:uid="{00000000-0005-0000-0000-000052510000}"/>
    <cellStyle name="Normal 12 8 5 2 6" xfId="21197" xr:uid="{00000000-0005-0000-0000-000053510000}"/>
    <cellStyle name="Normal 12 8 5 2 7" xfId="21198" xr:uid="{00000000-0005-0000-0000-000054510000}"/>
    <cellStyle name="Normal 12 8 5 2 8" xfId="21199" xr:uid="{00000000-0005-0000-0000-000055510000}"/>
    <cellStyle name="Normal 12 8 5 2 9" xfId="21200" xr:uid="{00000000-0005-0000-0000-000056510000}"/>
    <cellStyle name="Normal 12 8 5 3" xfId="21201" xr:uid="{00000000-0005-0000-0000-000057510000}"/>
    <cellStyle name="Normal 12 8 5 3 2" xfId="21202" xr:uid="{00000000-0005-0000-0000-000058510000}"/>
    <cellStyle name="Normal 12 8 5 3 2 2" xfId="21203" xr:uid="{00000000-0005-0000-0000-000059510000}"/>
    <cellStyle name="Normal 12 8 5 3 2 3" xfId="21204" xr:uid="{00000000-0005-0000-0000-00005A510000}"/>
    <cellStyle name="Normal 12 8 5 3 2 4" xfId="21205" xr:uid="{00000000-0005-0000-0000-00005B510000}"/>
    <cellStyle name="Normal 12 8 5 3 2 5" xfId="21206" xr:uid="{00000000-0005-0000-0000-00005C510000}"/>
    <cellStyle name="Normal 12 8 5 3 3" xfId="21207" xr:uid="{00000000-0005-0000-0000-00005D510000}"/>
    <cellStyle name="Normal 12 8 5 3 4" xfId="21208" xr:uid="{00000000-0005-0000-0000-00005E510000}"/>
    <cellStyle name="Normal 12 8 5 3 5" xfId="21209" xr:uid="{00000000-0005-0000-0000-00005F510000}"/>
    <cellStyle name="Normal 12 8 5 3 6" xfId="21210" xr:uid="{00000000-0005-0000-0000-000060510000}"/>
    <cellStyle name="Normal 12 8 5 3 7" xfId="21211" xr:uid="{00000000-0005-0000-0000-000061510000}"/>
    <cellStyle name="Normal 12 8 5 3 8" xfId="21212" xr:uid="{00000000-0005-0000-0000-000062510000}"/>
    <cellStyle name="Normal 12 8 5 4" xfId="21213" xr:uid="{00000000-0005-0000-0000-000063510000}"/>
    <cellStyle name="Normal 12 8 5 4 2" xfId="21214" xr:uid="{00000000-0005-0000-0000-000064510000}"/>
    <cellStyle name="Normal 12 8 5 4 2 2" xfId="21215" xr:uid="{00000000-0005-0000-0000-000065510000}"/>
    <cellStyle name="Normal 12 8 5 4 2 3" xfId="21216" xr:uid="{00000000-0005-0000-0000-000066510000}"/>
    <cellStyle name="Normal 12 8 5 4 2 4" xfId="21217" xr:uid="{00000000-0005-0000-0000-000067510000}"/>
    <cellStyle name="Normal 12 8 5 4 2 5" xfId="21218" xr:uid="{00000000-0005-0000-0000-000068510000}"/>
    <cellStyle name="Normal 12 8 5 4 3" xfId="21219" xr:uid="{00000000-0005-0000-0000-000069510000}"/>
    <cellStyle name="Normal 12 8 5 4 4" xfId="21220" xr:uid="{00000000-0005-0000-0000-00006A510000}"/>
    <cellStyle name="Normal 12 8 5 4 5" xfId="21221" xr:uid="{00000000-0005-0000-0000-00006B510000}"/>
    <cellStyle name="Normal 12 8 5 4 6" xfId="21222" xr:uid="{00000000-0005-0000-0000-00006C510000}"/>
    <cellStyle name="Normal 12 8 5 4 7" xfId="21223" xr:uid="{00000000-0005-0000-0000-00006D510000}"/>
    <cellStyle name="Normal 12 8 5 4 8" xfId="21224" xr:uid="{00000000-0005-0000-0000-00006E510000}"/>
    <cellStyle name="Normal 12 8 5 5" xfId="21225" xr:uid="{00000000-0005-0000-0000-00006F510000}"/>
    <cellStyle name="Normal 12 8 5 5 2" xfId="21226" xr:uid="{00000000-0005-0000-0000-000070510000}"/>
    <cellStyle name="Normal 12 8 5 5 3" xfId="21227" xr:uid="{00000000-0005-0000-0000-000071510000}"/>
    <cellStyle name="Normal 12 8 5 5 4" xfId="21228" xr:uid="{00000000-0005-0000-0000-000072510000}"/>
    <cellStyle name="Normal 12 8 5 5 5" xfId="21229" xr:uid="{00000000-0005-0000-0000-000073510000}"/>
    <cellStyle name="Normal 12 8 5 6" xfId="21230" xr:uid="{00000000-0005-0000-0000-000074510000}"/>
    <cellStyle name="Normal 12 8 5 7" xfId="21231" xr:uid="{00000000-0005-0000-0000-000075510000}"/>
    <cellStyle name="Normal 12 8 5 8" xfId="21232" xr:uid="{00000000-0005-0000-0000-000076510000}"/>
    <cellStyle name="Normal 12 8 5 9" xfId="21233" xr:uid="{00000000-0005-0000-0000-000077510000}"/>
    <cellStyle name="Normal 12 8 6" xfId="21234" xr:uid="{00000000-0005-0000-0000-000078510000}"/>
    <cellStyle name="Normal 12 8 6 10" xfId="21235" xr:uid="{00000000-0005-0000-0000-000079510000}"/>
    <cellStyle name="Normal 12 8 6 2" xfId="21236" xr:uid="{00000000-0005-0000-0000-00007A510000}"/>
    <cellStyle name="Normal 12 8 6 2 2" xfId="21237" xr:uid="{00000000-0005-0000-0000-00007B510000}"/>
    <cellStyle name="Normal 12 8 6 2 2 2" xfId="21238" xr:uid="{00000000-0005-0000-0000-00007C510000}"/>
    <cellStyle name="Normal 12 8 6 2 2 3" xfId="21239" xr:uid="{00000000-0005-0000-0000-00007D510000}"/>
    <cellStyle name="Normal 12 8 6 2 2 4" xfId="21240" xr:uid="{00000000-0005-0000-0000-00007E510000}"/>
    <cellStyle name="Normal 12 8 6 2 2 5" xfId="21241" xr:uid="{00000000-0005-0000-0000-00007F510000}"/>
    <cellStyle name="Normal 12 8 6 2 3" xfId="21242" xr:uid="{00000000-0005-0000-0000-000080510000}"/>
    <cellStyle name="Normal 12 8 6 2 4" xfId="21243" xr:uid="{00000000-0005-0000-0000-000081510000}"/>
    <cellStyle name="Normal 12 8 6 2 5" xfId="21244" xr:uid="{00000000-0005-0000-0000-000082510000}"/>
    <cellStyle name="Normal 12 8 6 2 6" xfId="21245" xr:uid="{00000000-0005-0000-0000-000083510000}"/>
    <cellStyle name="Normal 12 8 6 2 7" xfId="21246" xr:uid="{00000000-0005-0000-0000-000084510000}"/>
    <cellStyle name="Normal 12 8 6 2 8" xfId="21247" xr:uid="{00000000-0005-0000-0000-000085510000}"/>
    <cellStyle name="Normal 12 8 6 3" xfId="21248" xr:uid="{00000000-0005-0000-0000-000086510000}"/>
    <cellStyle name="Normal 12 8 6 3 2" xfId="21249" xr:uid="{00000000-0005-0000-0000-000087510000}"/>
    <cellStyle name="Normal 12 8 6 3 2 2" xfId="21250" xr:uid="{00000000-0005-0000-0000-000088510000}"/>
    <cellStyle name="Normal 12 8 6 3 2 3" xfId="21251" xr:uid="{00000000-0005-0000-0000-000089510000}"/>
    <cellStyle name="Normal 12 8 6 3 2 4" xfId="21252" xr:uid="{00000000-0005-0000-0000-00008A510000}"/>
    <cellStyle name="Normal 12 8 6 3 2 5" xfId="21253" xr:uid="{00000000-0005-0000-0000-00008B510000}"/>
    <cellStyle name="Normal 12 8 6 3 3" xfId="21254" xr:uid="{00000000-0005-0000-0000-00008C510000}"/>
    <cellStyle name="Normal 12 8 6 3 4" xfId="21255" xr:uid="{00000000-0005-0000-0000-00008D510000}"/>
    <cellStyle name="Normal 12 8 6 3 5" xfId="21256" xr:uid="{00000000-0005-0000-0000-00008E510000}"/>
    <cellStyle name="Normal 12 8 6 3 6" xfId="21257" xr:uid="{00000000-0005-0000-0000-00008F510000}"/>
    <cellStyle name="Normal 12 8 6 3 7" xfId="21258" xr:uid="{00000000-0005-0000-0000-000090510000}"/>
    <cellStyle name="Normal 12 8 6 3 8" xfId="21259" xr:uid="{00000000-0005-0000-0000-000091510000}"/>
    <cellStyle name="Normal 12 8 6 4" xfId="21260" xr:uid="{00000000-0005-0000-0000-000092510000}"/>
    <cellStyle name="Normal 12 8 6 4 2" xfId="21261" xr:uid="{00000000-0005-0000-0000-000093510000}"/>
    <cellStyle name="Normal 12 8 6 4 3" xfId="21262" xr:uid="{00000000-0005-0000-0000-000094510000}"/>
    <cellStyle name="Normal 12 8 6 4 4" xfId="21263" xr:uid="{00000000-0005-0000-0000-000095510000}"/>
    <cellStyle name="Normal 12 8 6 4 5" xfId="21264" xr:uid="{00000000-0005-0000-0000-000096510000}"/>
    <cellStyle name="Normal 12 8 6 5" xfId="21265" xr:uid="{00000000-0005-0000-0000-000097510000}"/>
    <cellStyle name="Normal 12 8 6 6" xfId="21266" xr:uid="{00000000-0005-0000-0000-000098510000}"/>
    <cellStyle name="Normal 12 8 6 7" xfId="21267" xr:uid="{00000000-0005-0000-0000-000099510000}"/>
    <cellStyle name="Normal 12 8 6 8" xfId="21268" xr:uid="{00000000-0005-0000-0000-00009A510000}"/>
    <cellStyle name="Normal 12 8 6 9" xfId="21269" xr:uid="{00000000-0005-0000-0000-00009B510000}"/>
    <cellStyle name="Normal 12 8 7" xfId="21270" xr:uid="{00000000-0005-0000-0000-00009C510000}"/>
    <cellStyle name="Normal 12 8 7 2" xfId="21271" xr:uid="{00000000-0005-0000-0000-00009D510000}"/>
    <cellStyle name="Normal 12 8 7 2 2" xfId="21272" xr:uid="{00000000-0005-0000-0000-00009E510000}"/>
    <cellStyle name="Normal 12 8 7 2 3" xfId="21273" xr:uid="{00000000-0005-0000-0000-00009F510000}"/>
    <cellStyle name="Normal 12 8 7 2 4" xfId="21274" xr:uid="{00000000-0005-0000-0000-0000A0510000}"/>
    <cellStyle name="Normal 12 8 7 2 5" xfId="21275" xr:uid="{00000000-0005-0000-0000-0000A1510000}"/>
    <cellStyle name="Normal 12 8 7 3" xfId="21276" xr:uid="{00000000-0005-0000-0000-0000A2510000}"/>
    <cellStyle name="Normal 12 8 7 4" xfId="21277" xr:uid="{00000000-0005-0000-0000-0000A3510000}"/>
    <cellStyle name="Normal 12 8 7 5" xfId="21278" xr:uid="{00000000-0005-0000-0000-0000A4510000}"/>
    <cellStyle name="Normal 12 8 7 6" xfId="21279" xr:uid="{00000000-0005-0000-0000-0000A5510000}"/>
    <cellStyle name="Normal 12 8 7 7" xfId="21280" xr:uid="{00000000-0005-0000-0000-0000A6510000}"/>
    <cellStyle name="Normal 12 8 7 8" xfId="21281" xr:uid="{00000000-0005-0000-0000-0000A7510000}"/>
    <cellStyle name="Normal 12 8 8" xfId="21282" xr:uid="{00000000-0005-0000-0000-0000A8510000}"/>
    <cellStyle name="Normal 12 8 8 2" xfId="21283" xr:uid="{00000000-0005-0000-0000-0000A9510000}"/>
    <cellStyle name="Normal 12 8 8 2 2" xfId="21284" xr:uid="{00000000-0005-0000-0000-0000AA510000}"/>
    <cellStyle name="Normal 12 8 8 2 3" xfId="21285" xr:uid="{00000000-0005-0000-0000-0000AB510000}"/>
    <cellStyle name="Normal 12 8 8 2 4" xfId="21286" xr:uid="{00000000-0005-0000-0000-0000AC510000}"/>
    <cellStyle name="Normal 12 8 8 2 5" xfId="21287" xr:uid="{00000000-0005-0000-0000-0000AD510000}"/>
    <cellStyle name="Normal 12 8 8 3" xfId="21288" xr:uid="{00000000-0005-0000-0000-0000AE510000}"/>
    <cellStyle name="Normal 12 8 8 4" xfId="21289" xr:uid="{00000000-0005-0000-0000-0000AF510000}"/>
    <cellStyle name="Normal 12 8 8 5" xfId="21290" xr:uid="{00000000-0005-0000-0000-0000B0510000}"/>
    <cellStyle name="Normal 12 8 8 6" xfId="21291" xr:uid="{00000000-0005-0000-0000-0000B1510000}"/>
    <cellStyle name="Normal 12 8 8 7" xfId="21292" xr:uid="{00000000-0005-0000-0000-0000B2510000}"/>
    <cellStyle name="Normal 12 8 8 8" xfId="21293" xr:uid="{00000000-0005-0000-0000-0000B3510000}"/>
    <cellStyle name="Normal 12 8 9" xfId="21294" xr:uid="{00000000-0005-0000-0000-0000B4510000}"/>
    <cellStyle name="Normal 12 8 9 2" xfId="21295" xr:uid="{00000000-0005-0000-0000-0000B5510000}"/>
    <cellStyle name="Normal 12 8 9 3" xfId="21296" xr:uid="{00000000-0005-0000-0000-0000B6510000}"/>
    <cellStyle name="Normal 12 8 9 4" xfId="21297" xr:uid="{00000000-0005-0000-0000-0000B7510000}"/>
    <cellStyle name="Normal 12 8 9 5" xfId="21298" xr:uid="{00000000-0005-0000-0000-0000B8510000}"/>
    <cellStyle name="Normal 12 9" xfId="21299" xr:uid="{00000000-0005-0000-0000-0000B9510000}"/>
    <cellStyle name="Normal 12 9 10" xfId="21300" xr:uid="{00000000-0005-0000-0000-0000BA510000}"/>
    <cellStyle name="Normal 12 9 11" xfId="21301" xr:uid="{00000000-0005-0000-0000-0000BB510000}"/>
    <cellStyle name="Normal 12 9 12" xfId="21302" xr:uid="{00000000-0005-0000-0000-0000BC510000}"/>
    <cellStyle name="Normal 12 9 13" xfId="21303" xr:uid="{00000000-0005-0000-0000-0000BD510000}"/>
    <cellStyle name="Normal 12 9 14" xfId="21304" xr:uid="{00000000-0005-0000-0000-0000BE510000}"/>
    <cellStyle name="Normal 12 9 15" xfId="21305" xr:uid="{00000000-0005-0000-0000-0000BF510000}"/>
    <cellStyle name="Normal 12 9 2" xfId="21306" xr:uid="{00000000-0005-0000-0000-0000C0510000}"/>
    <cellStyle name="Normal 12 9 2 10" xfId="21307" xr:uid="{00000000-0005-0000-0000-0000C1510000}"/>
    <cellStyle name="Normal 12 9 2 11" xfId="21308" xr:uid="{00000000-0005-0000-0000-0000C2510000}"/>
    <cellStyle name="Normal 12 9 2 12" xfId="21309" xr:uid="{00000000-0005-0000-0000-0000C3510000}"/>
    <cellStyle name="Normal 12 9 2 13" xfId="21310" xr:uid="{00000000-0005-0000-0000-0000C4510000}"/>
    <cellStyle name="Normal 12 9 2 2" xfId="21311" xr:uid="{00000000-0005-0000-0000-0000C5510000}"/>
    <cellStyle name="Normal 12 9 2 2 10" xfId="21312" xr:uid="{00000000-0005-0000-0000-0000C6510000}"/>
    <cellStyle name="Normal 12 9 2 2 11" xfId="21313" xr:uid="{00000000-0005-0000-0000-0000C7510000}"/>
    <cellStyle name="Normal 12 9 2 2 2" xfId="21314" xr:uid="{00000000-0005-0000-0000-0000C8510000}"/>
    <cellStyle name="Normal 12 9 2 2 2 10" xfId="21315" xr:uid="{00000000-0005-0000-0000-0000C9510000}"/>
    <cellStyle name="Normal 12 9 2 2 2 2" xfId="21316" xr:uid="{00000000-0005-0000-0000-0000CA510000}"/>
    <cellStyle name="Normal 12 9 2 2 2 2 2" xfId="21317" xr:uid="{00000000-0005-0000-0000-0000CB510000}"/>
    <cellStyle name="Normal 12 9 2 2 2 2 2 2" xfId="21318" xr:uid="{00000000-0005-0000-0000-0000CC510000}"/>
    <cellStyle name="Normal 12 9 2 2 2 2 2 3" xfId="21319" xr:uid="{00000000-0005-0000-0000-0000CD510000}"/>
    <cellStyle name="Normal 12 9 2 2 2 2 2 4" xfId="21320" xr:uid="{00000000-0005-0000-0000-0000CE510000}"/>
    <cellStyle name="Normal 12 9 2 2 2 2 2 5" xfId="21321" xr:uid="{00000000-0005-0000-0000-0000CF510000}"/>
    <cellStyle name="Normal 12 9 2 2 2 2 3" xfId="21322" xr:uid="{00000000-0005-0000-0000-0000D0510000}"/>
    <cellStyle name="Normal 12 9 2 2 2 2 4" xfId="21323" xr:uid="{00000000-0005-0000-0000-0000D1510000}"/>
    <cellStyle name="Normal 12 9 2 2 2 2 5" xfId="21324" xr:uid="{00000000-0005-0000-0000-0000D2510000}"/>
    <cellStyle name="Normal 12 9 2 2 2 2 6" xfId="21325" xr:uid="{00000000-0005-0000-0000-0000D3510000}"/>
    <cellStyle name="Normal 12 9 2 2 2 2 7" xfId="21326" xr:uid="{00000000-0005-0000-0000-0000D4510000}"/>
    <cellStyle name="Normal 12 9 2 2 2 2 8" xfId="21327" xr:uid="{00000000-0005-0000-0000-0000D5510000}"/>
    <cellStyle name="Normal 12 9 2 2 2 3" xfId="21328" xr:uid="{00000000-0005-0000-0000-0000D6510000}"/>
    <cellStyle name="Normal 12 9 2 2 2 3 2" xfId="21329" xr:uid="{00000000-0005-0000-0000-0000D7510000}"/>
    <cellStyle name="Normal 12 9 2 2 2 3 2 2" xfId="21330" xr:uid="{00000000-0005-0000-0000-0000D8510000}"/>
    <cellStyle name="Normal 12 9 2 2 2 3 2 3" xfId="21331" xr:uid="{00000000-0005-0000-0000-0000D9510000}"/>
    <cellStyle name="Normal 12 9 2 2 2 3 2 4" xfId="21332" xr:uid="{00000000-0005-0000-0000-0000DA510000}"/>
    <cellStyle name="Normal 12 9 2 2 2 3 2 5" xfId="21333" xr:uid="{00000000-0005-0000-0000-0000DB510000}"/>
    <cellStyle name="Normal 12 9 2 2 2 3 3" xfId="21334" xr:uid="{00000000-0005-0000-0000-0000DC510000}"/>
    <cellStyle name="Normal 12 9 2 2 2 3 4" xfId="21335" xr:uid="{00000000-0005-0000-0000-0000DD510000}"/>
    <cellStyle name="Normal 12 9 2 2 2 3 5" xfId="21336" xr:uid="{00000000-0005-0000-0000-0000DE510000}"/>
    <cellStyle name="Normal 12 9 2 2 2 3 6" xfId="21337" xr:uid="{00000000-0005-0000-0000-0000DF510000}"/>
    <cellStyle name="Normal 12 9 2 2 2 3 7" xfId="21338" xr:uid="{00000000-0005-0000-0000-0000E0510000}"/>
    <cellStyle name="Normal 12 9 2 2 2 3 8" xfId="21339" xr:uid="{00000000-0005-0000-0000-0000E1510000}"/>
    <cellStyle name="Normal 12 9 2 2 2 4" xfId="21340" xr:uid="{00000000-0005-0000-0000-0000E2510000}"/>
    <cellStyle name="Normal 12 9 2 2 2 4 2" xfId="21341" xr:uid="{00000000-0005-0000-0000-0000E3510000}"/>
    <cellStyle name="Normal 12 9 2 2 2 4 3" xfId="21342" xr:uid="{00000000-0005-0000-0000-0000E4510000}"/>
    <cellStyle name="Normal 12 9 2 2 2 4 4" xfId="21343" xr:uid="{00000000-0005-0000-0000-0000E5510000}"/>
    <cellStyle name="Normal 12 9 2 2 2 4 5" xfId="21344" xr:uid="{00000000-0005-0000-0000-0000E6510000}"/>
    <cellStyle name="Normal 12 9 2 2 2 5" xfId="21345" xr:uid="{00000000-0005-0000-0000-0000E7510000}"/>
    <cellStyle name="Normal 12 9 2 2 2 6" xfId="21346" xr:uid="{00000000-0005-0000-0000-0000E8510000}"/>
    <cellStyle name="Normal 12 9 2 2 2 7" xfId="21347" xr:uid="{00000000-0005-0000-0000-0000E9510000}"/>
    <cellStyle name="Normal 12 9 2 2 2 8" xfId="21348" xr:uid="{00000000-0005-0000-0000-0000EA510000}"/>
    <cellStyle name="Normal 12 9 2 2 2 9" xfId="21349" xr:uid="{00000000-0005-0000-0000-0000EB510000}"/>
    <cellStyle name="Normal 12 9 2 2 3" xfId="21350" xr:uid="{00000000-0005-0000-0000-0000EC510000}"/>
    <cellStyle name="Normal 12 9 2 2 3 2" xfId="21351" xr:uid="{00000000-0005-0000-0000-0000ED510000}"/>
    <cellStyle name="Normal 12 9 2 2 3 2 2" xfId="21352" xr:uid="{00000000-0005-0000-0000-0000EE510000}"/>
    <cellStyle name="Normal 12 9 2 2 3 2 3" xfId="21353" xr:uid="{00000000-0005-0000-0000-0000EF510000}"/>
    <cellStyle name="Normal 12 9 2 2 3 2 4" xfId="21354" xr:uid="{00000000-0005-0000-0000-0000F0510000}"/>
    <cellStyle name="Normal 12 9 2 2 3 2 5" xfId="21355" xr:uid="{00000000-0005-0000-0000-0000F1510000}"/>
    <cellStyle name="Normal 12 9 2 2 3 3" xfId="21356" xr:uid="{00000000-0005-0000-0000-0000F2510000}"/>
    <cellStyle name="Normal 12 9 2 2 3 4" xfId="21357" xr:uid="{00000000-0005-0000-0000-0000F3510000}"/>
    <cellStyle name="Normal 12 9 2 2 3 5" xfId="21358" xr:uid="{00000000-0005-0000-0000-0000F4510000}"/>
    <cellStyle name="Normal 12 9 2 2 3 6" xfId="21359" xr:uid="{00000000-0005-0000-0000-0000F5510000}"/>
    <cellStyle name="Normal 12 9 2 2 3 7" xfId="21360" xr:uid="{00000000-0005-0000-0000-0000F6510000}"/>
    <cellStyle name="Normal 12 9 2 2 3 8" xfId="21361" xr:uid="{00000000-0005-0000-0000-0000F7510000}"/>
    <cellStyle name="Normal 12 9 2 2 4" xfId="21362" xr:uid="{00000000-0005-0000-0000-0000F8510000}"/>
    <cellStyle name="Normal 12 9 2 2 4 2" xfId="21363" xr:uid="{00000000-0005-0000-0000-0000F9510000}"/>
    <cellStyle name="Normal 12 9 2 2 4 2 2" xfId="21364" xr:uid="{00000000-0005-0000-0000-0000FA510000}"/>
    <cellStyle name="Normal 12 9 2 2 4 2 3" xfId="21365" xr:uid="{00000000-0005-0000-0000-0000FB510000}"/>
    <cellStyle name="Normal 12 9 2 2 4 2 4" xfId="21366" xr:uid="{00000000-0005-0000-0000-0000FC510000}"/>
    <cellStyle name="Normal 12 9 2 2 4 2 5" xfId="21367" xr:uid="{00000000-0005-0000-0000-0000FD510000}"/>
    <cellStyle name="Normal 12 9 2 2 4 3" xfId="21368" xr:uid="{00000000-0005-0000-0000-0000FE510000}"/>
    <cellStyle name="Normal 12 9 2 2 4 4" xfId="21369" xr:uid="{00000000-0005-0000-0000-0000FF510000}"/>
    <cellStyle name="Normal 12 9 2 2 4 5" xfId="21370" xr:uid="{00000000-0005-0000-0000-000000520000}"/>
    <cellStyle name="Normal 12 9 2 2 4 6" xfId="21371" xr:uid="{00000000-0005-0000-0000-000001520000}"/>
    <cellStyle name="Normal 12 9 2 2 4 7" xfId="21372" xr:uid="{00000000-0005-0000-0000-000002520000}"/>
    <cellStyle name="Normal 12 9 2 2 4 8" xfId="21373" xr:uid="{00000000-0005-0000-0000-000003520000}"/>
    <cellStyle name="Normal 12 9 2 2 5" xfId="21374" xr:uid="{00000000-0005-0000-0000-000004520000}"/>
    <cellStyle name="Normal 12 9 2 2 5 2" xfId="21375" xr:uid="{00000000-0005-0000-0000-000005520000}"/>
    <cellStyle name="Normal 12 9 2 2 5 3" xfId="21376" xr:uid="{00000000-0005-0000-0000-000006520000}"/>
    <cellStyle name="Normal 12 9 2 2 5 4" xfId="21377" xr:uid="{00000000-0005-0000-0000-000007520000}"/>
    <cellStyle name="Normal 12 9 2 2 5 5" xfId="21378" xr:uid="{00000000-0005-0000-0000-000008520000}"/>
    <cellStyle name="Normal 12 9 2 2 6" xfId="21379" xr:uid="{00000000-0005-0000-0000-000009520000}"/>
    <cellStyle name="Normal 12 9 2 2 7" xfId="21380" xr:uid="{00000000-0005-0000-0000-00000A520000}"/>
    <cellStyle name="Normal 12 9 2 2 8" xfId="21381" xr:uid="{00000000-0005-0000-0000-00000B520000}"/>
    <cellStyle name="Normal 12 9 2 2 9" xfId="21382" xr:uid="{00000000-0005-0000-0000-00000C520000}"/>
    <cellStyle name="Normal 12 9 2 3" xfId="21383" xr:uid="{00000000-0005-0000-0000-00000D520000}"/>
    <cellStyle name="Normal 12 9 2 3 10" xfId="21384" xr:uid="{00000000-0005-0000-0000-00000E520000}"/>
    <cellStyle name="Normal 12 9 2 3 11" xfId="21385" xr:uid="{00000000-0005-0000-0000-00000F520000}"/>
    <cellStyle name="Normal 12 9 2 3 2" xfId="21386" xr:uid="{00000000-0005-0000-0000-000010520000}"/>
    <cellStyle name="Normal 12 9 2 3 2 10" xfId="21387" xr:uid="{00000000-0005-0000-0000-000011520000}"/>
    <cellStyle name="Normal 12 9 2 3 2 2" xfId="21388" xr:uid="{00000000-0005-0000-0000-000012520000}"/>
    <cellStyle name="Normal 12 9 2 3 2 2 2" xfId="21389" xr:uid="{00000000-0005-0000-0000-000013520000}"/>
    <cellStyle name="Normal 12 9 2 3 2 2 2 2" xfId="21390" xr:uid="{00000000-0005-0000-0000-000014520000}"/>
    <cellStyle name="Normal 12 9 2 3 2 2 2 3" xfId="21391" xr:uid="{00000000-0005-0000-0000-000015520000}"/>
    <cellStyle name="Normal 12 9 2 3 2 2 2 4" xfId="21392" xr:uid="{00000000-0005-0000-0000-000016520000}"/>
    <cellStyle name="Normal 12 9 2 3 2 2 2 5" xfId="21393" xr:uid="{00000000-0005-0000-0000-000017520000}"/>
    <cellStyle name="Normal 12 9 2 3 2 2 3" xfId="21394" xr:uid="{00000000-0005-0000-0000-000018520000}"/>
    <cellStyle name="Normal 12 9 2 3 2 2 4" xfId="21395" xr:uid="{00000000-0005-0000-0000-000019520000}"/>
    <cellStyle name="Normal 12 9 2 3 2 2 5" xfId="21396" xr:uid="{00000000-0005-0000-0000-00001A520000}"/>
    <cellStyle name="Normal 12 9 2 3 2 2 6" xfId="21397" xr:uid="{00000000-0005-0000-0000-00001B520000}"/>
    <cellStyle name="Normal 12 9 2 3 2 2 7" xfId="21398" xr:uid="{00000000-0005-0000-0000-00001C520000}"/>
    <cellStyle name="Normal 12 9 2 3 2 2 8" xfId="21399" xr:uid="{00000000-0005-0000-0000-00001D520000}"/>
    <cellStyle name="Normal 12 9 2 3 2 3" xfId="21400" xr:uid="{00000000-0005-0000-0000-00001E520000}"/>
    <cellStyle name="Normal 12 9 2 3 2 3 2" xfId="21401" xr:uid="{00000000-0005-0000-0000-00001F520000}"/>
    <cellStyle name="Normal 12 9 2 3 2 3 2 2" xfId="21402" xr:uid="{00000000-0005-0000-0000-000020520000}"/>
    <cellStyle name="Normal 12 9 2 3 2 3 2 3" xfId="21403" xr:uid="{00000000-0005-0000-0000-000021520000}"/>
    <cellStyle name="Normal 12 9 2 3 2 3 2 4" xfId="21404" xr:uid="{00000000-0005-0000-0000-000022520000}"/>
    <cellStyle name="Normal 12 9 2 3 2 3 2 5" xfId="21405" xr:uid="{00000000-0005-0000-0000-000023520000}"/>
    <cellStyle name="Normal 12 9 2 3 2 3 3" xfId="21406" xr:uid="{00000000-0005-0000-0000-000024520000}"/>
    <cellStyle name="Normal 12 9 2 3 2 3 4" xfId="21407" xr:uid="{00000000-0005-0000-0000-000025520000}"/>
    <cellStyle name="Normal 12 9 2 3 2 3 5" xfId="21408" xr:uid="{00000000-0005-0000-0000-000026520000}"/>
    <cellStyle name="Normal 12 9 2 3 2 3 6" xfId="21409" xr:uid="{00000000-0005-0000-0000-000027520000}"/>
    <cellStyle name="Normal 12 9 2 3 2 3 7" xfId="21410" xr:uid="{00000000-0005-0000-0000-000028520000}"/>
    <cellStyle name="Normal 12 9 2 3 2 3 8" xfId="21411" xr:uid="{00000000-0005-0000-0000-000029520000}"/>
    <cellStyle name="Normal 12 9 2 3 2 4" xfId="21412" xr:uid="{00000000-0005-0000-0000-00002A520000}"/>
    <cellStyle name="Normal 12 9 2 3 2 4 2" xfId="21413" xr:uid="{00000000-0005-0000-0000-00002B520000}"/>
    <cellStyle name="Normal 12 9 2 3 2 4 3" xfId="21414" xr:uid="{00000000-0005-0000-0000-00002C520000}"/>
    <cellStyle name="Normal 12 9 2 3 2 4 4" xfId="21415" xr:uid="{00000000-0005-0000-0000-00002D520000}"/>
    <cellStyle name="Normal 12 9 2 3 2 4 5" xfId="21416" xr:uid="{00000000-0005-0000-0000-00002E520000}"/>
    <cellStyle name="Normal 12 9 2 3 2 5" xfId="21417" xr:uid="{00000000-0005-0000-0000-00002F520000}"/>
    <cellStyle name="Normal 12 9 2 3 2 6" xfId="21418" xr:uid="{00000000-0005-0000-0000-000030520000}"/>
    <cellStyle name="Normal 12 9 2 3 2 7" xfId="21419" xr:uid="{00000000-0005-0000-0000-000031520000}"/>
    <cellStyle name="Normal 12 9 2 3 2 8" xfId="21420" xr:uid="{00000000-0005-0000-0000-000032520000}"/>
    <cellStyle name="Normal 12 9 2 3 2 9" xfId="21421" xr:uid="{00000000-0005-0000-0000-000033520000}"/>
    <cellStyle name="Normal 12 9 2 3 3" xfId="21422" xr:uid="{00000000-0005-0000-0000-000034520000}"/>
    <cellStyle name="Normal 12 9 2 3 3 2" xfId="21423" xr:uid="{00000000-0005-0000-0000-000035520000}"/>
    <cellStyle name="Normal 12 9 2 3 3 2 2" xfId="21424" xr:uid="{00000000-0005-0000-0000-000036520000}"/>
    <cellStyle name="Normal 12 9 2 3 3 2 3" xfId="21425" xr:uid="{00000000-0005-0000-0000-000037520000}"/>
    <cellStyle name="Normal 12 9 2 3 3 2 4" xfId="21426" xr:uid="{00000000-0005-0000-0000-000038520000}"/>
    <cellStyle name="Normal 12 9 2 3 3 2 5" xfId="21427" xr:uid="{00000000-0005-0000-0000-000039520000}"/>
    <cellStyle name="Normal 12 9 2 3 3 3" xfId="21428" xr:uid="{00000000-0005-0000-0000-00003A520000}"/>
    <cellStyle name="Normal 12 9 2 3 3 4" xfId="21429" xr:uid="{00000000-0005-0000-0000-00003B520000}"/>
    <cellStyle name="Normal 12 9 2 3 3 5" xfId="21430" xr:uid="{00000000-0005-0000-0000-00003C520000}"/>
    <cellStyle name="Normal 12 9 2 3 3 6" xfId="21431" xr:uid="{00000000-0005-0000-0000-00003D520000}"/>
    <cellStyle name="Normal 12 9 2 3 3 7" xfId="21432" xr:uid="{00000000-0005-0000-0000-00003E520000}"/>
    <cellStyle name="Normal 12 9 2 3 3 8" xfId="21433" xr:uid="{00000000-0005-0000-0000-00003F520000}"/>
    <cellStyle name="Normal 12 9 2 3 4" xfId="21434" xr:uid="{00000000-0005-0000-0000-000040520000}"/>
    <cellStyle name="Normal 12 9 2 3 4 2" xfId="21435" xr:uid="{00000000-0005-0000-0000-000041520000}"/>
    <cellStyle name="Normal 12 9 2 3 4 2 2" xfId="21436" xr:uid="{00000000-0005-0000-0000-000042520000}"/>
    <cellStyle name="Normal 12 9 2 3 4 2 3" xfId="21437" xr:uid="{00000000-0005-0000-0000-000043520000}"/>
    <cellStyle name="Normal 12 9 2 3 4 2 4" xfId="21438" xr:uid="{00000000-0005-0000-0000-000044520000}"/>
    <cellStyle name="Normal 12 9 2 3 4 2 5" xfId="21439" xr:uid="{00000000-0005-0000-0000-000045520000}"/>
    <cellStyle name="Normal 12 9 2 3 4 3" xfId="21440" xr:uid="{00000000-0005-0000-0000-000046520000}"/>
    <cellStyle name="Normal 12 9 2 3 4 4" xfId="21441" xr:uid="{00000000-0005-0000-0000-000047520000}"/>
    <cellStyle name="Normal 12 9 2 3 4 5" xfId="21442" xr:uid="{00000000-0005-0000-0000-000048520000}"/>
    <cellStyle name="Normal 12 9 2 3 4 6" xfId="21443" xr:uid="{00000000-0005-0000-0000-000049520000}"/>
    <cellStyle name="Normal 12 9 2 3 4 7" xfId="21444" xr:uid="{00000000-0005-0000-0000-00004A520000}"/>
    <cellStyle name="Normal 12 9 2 3 4 8" xfId="21445" xr:uid="{00000000-0005-0000-0000-00004B520000}"/>
    <cellStyle name="Normal 12 9 2 3 5" xfId="21446" xr:uid="{00000000-0005-0000-0000-00004C520000}"/>
    <cellStyle name="Normal 12 9 2 3 5 2" xfId="21447" xr:uid="{00000000-0005-0000-0000-00004D520000}"/>
    <cellStyle name="Normal 12 9 2 3 5 3" xfId="21448" xr:uid="{00000000-0005-0000-0000-00004E520000}"/>
    <cellStyle name="Normal 12 9 2 3 5 4" xfId="21449" xr:uid="{00000000-0005-0000-0000-00004F520000}"/>
    <cellStyle name="Normal 12 9 2 3 5 5" xfId="21450" xr:uid="{00000000-0005-0000-0000-000050520000}"/>
    <cellStyle name="Normal 12 9 2 3 6" xfId="21451" xr:uid="{00000000-0005-0000-0000-000051520000}"/>
    <cellStyle name="Normal 12 9 2 3 7" xfId="21452" xr:uid="{00000000-0005-0000-0000-000052520000}"/>
    <cellStyle name="Normal 12 9 2 3 8" xfId="21453" xr:uid="{00000000-0005-0000-0000-000053520000}"/>
    <cellStyle name="Normal 12 9 2 3 9" xfId="21454" xr:uid="{00000000-0005-0000-0000-000054520000}"/>
    <cellStyle name="Normal 12 9 2 4" xfId="21455" xr:uid="{00000000-0005-0000-0000-000055520000}"/>
    <cellStyle name="Normal 12 9 2 4 10" xfId="21456" xr:uid="{00000000-0005-0000-0000-000056520000}"/>
    <cellStyle name="Normal 12 9 2 4 2" xfId="21457" xr:uid="{00000000-0005-0000-0000-000057520000}"/>
    <cellStyle name="Normal 12 9 2 4 2 2" xfId="21458" xr:uid="{00000000-0005-0000-0000-000058520000}"/>
    <cellStyle name="Normal 12 9 2 4 2 2 2" xfId="21459" xr:uid="{00000000-0005-0000-0000-000059520000}"/>
    <cellStyle name="Normal 12 9 2 4 2 2 3" xfId="21460" xr:uid="{00000000-0005-0000-0000-00005A520000}"/>
    <cellStyle name="Normal 12 9 2 4 2 2 4" xfId="21461" xr:uid="{00000000-0005-0000-0000-00005B520000}"/>
    <cellStyle name="Normal 12 9 2 4 2 2 5" xfId="21462" xr:uid="{00000000-0005-0000-0000-00005C520000}"/>
    <cellStyle name="Normal 12 9 2 4 2 3" xfId="21463" xr:uid="{00000000-0005-0000-0000-00005D520000}"/>
    <cellStyle name="Normal 12 9 2 4 2 4" xfId="21464" xr:uid="{00000000-0005-0000-0000-00005E520000}"/>
    <cellStyle name="Normal 12 9 2 4 2 5" xfId="21465" xr:uid="{00000000-0005-0000-0000-00005F520000}"/>
    <cellStyle name="Normal 12 9 2 4 2 6" xfId="21466" xr:uid="{00000000-0005-0000-0000-000060520000}"/>
    <cellStyle name="Normal 12 9 2 4 2 7" xfId="21467" xr:uid="{00000000-0005-0000-0000-000061520000}"/>
    <cellStyle name="Normal 12 9 2 4 2 8" xfId="21468" xr:uid="{00000000-0005-0000-0000-000062520000}"/>
    <cellStyle name="Normal 12 9 2 4 3" xfId="21469" xr:uid="{00000000-0005-0000-0000-000063520000}"/>
    <cellStyle name="Normal 12 9 2 4 3 2" xfId="21470" xr:uid="{00000000-0005-0000-0000-000064520000}"/>
    <cellStyle name="Normal 12 9 2 4 3 2 2" xfId="21471" xr:uid="{00000000-0005-0000-0000-000065520000}"/>
    <cellStyle name="Normal 12 9 2 4 3 2 3" xfId="21472" xr:uid="{00000000-0005-0000-0000-000066520000}"/>
    <cellStyle name="Normal 12 9 2 4 3 2 4" xfId="21473" xr:uid="{00000000-0005-0000-0000-000067520000}"/>
    <cellStyle name="Normal 12 9 2 4 3 2 5" xfId="21474" xr:uid="{00000000-0005-0000-0000-000068520000}"/>
    <cellStyle name="Normal 12 9 2 4 3 3" xfId="21475" xr:uid="{00000000-0005-0000-0000-000069520000}"/>
    <cellStyle name="Normal 12 9 2 4 3 4" xfId="21476" xr:uid="{00000000-0005-0000-0000-00006A520000}"/>
    <cellStyle name="Normal 12 9 2 4 3 5" xfId="21477" xr:uid="{00000000-0005-0000-0000-00006B520000}"/>
    <cellStyle name="Normal 12 9 2 4 3 6" xfId="21478" xr:uid="{00000000-0005-0000-0000-00006C520000}"/>
    <cellStyle name="Normal 12 9 2 4 3 7" xfId="21479" xr:uid="{00000000-0005-0000-0000-00006D520000}"/>
    <cellStyle name="Normal 12 9 2 4 3 8" xfId="21480" xr:uid="{00000000-0005-0000-0000-00006E520000}"/>
    <cellStyle name="Normal 12 9 2 4 4" xfId="21481" xr:uid="{00000000-0005-0000-0000-00006F520000}"/>
    <cellStyle name="Normal 12 9 2 4 4 2" xfId="21482" xr:uid="{00000000-0005-0000-0000-000070520000}"/>
    <cellStyle name="Normal 12 9 2 4 4 3" xfId="21483" xr:uid="{00000000-0005-0000-0000-000071520000}"/>
    <cellStyle name="Normal 12 9 2 4 4 4" xfId="21484" xr:uid="{00000000-0005-0000-0000-000072520000}"/>
    <cellStyle name="Normal 12 9 2 4 4 5" xfId="21485" xr:uid="{00000000-0005-0000-0000-000073520000}"/>
    <cellStyle name="Normal 12 9 2 4 5" xfId="21486" xr:uid="{00000000-0005-0000-0000-000074520000}"/>
    <cellStyle name="Normal 12 9 2 4 6" xfId="21487" xr:uid="{00000000-0005-0000-0000-000075520000}"/>
    <cellStyle name="Normal 12 9 2 4 7" xfId="21488" xr:uid="{00000000-0005-0000-0000-000076520000}"/>
    <cellStyle name="Normal 12 9 2 4 8" xfId="21489" xr:uid="{00000000-0005-0000-0000-000077520000}"/>
    <cellStyle name="Normal 12 9 2 4 9" xfId="21490" xr:uid="{00000000-0005-0000-0000-000078520000}"/>
    <cellStyle name="Normal 12 9 2 5" xfId="21491" xr:uid="{00000000-0005-0000-0000-000079520000}"/>
    <cellStyle name="Normal 12 9 2 5 2" xfId="21492" xr:uid="{00000000-0005-0000-0000-00007A520000}"/>
    <cellStyle name="Normal 12 9 2 5 2 2" xfId="21493" xr:uid="{00000000-0005-0000-0000-00007B520000}"/>
    <cellStyle name="Normal 12 9 2 5 2 3" xfId="21494" xr:uid="{00000000-0005-0000-0000-00007C520000}"/>
    <cellStyle name="Normal 12 9 2 5 2 4" xfId="21495" xr:uid="{00000000-0005-0000-0000-00007D520000}"/>
    <cellStyle name="Normal 12 9 2 5 2 5" xfId="21496" xr:uid="{00000000-0005-0000-0000-00007E520000}"/>
    <cellStyle name="Normal 12 9 2 5 3" xfId="21497" xr:uid="{00000000-0005-0000-0000-00007F520000}"/>
    <cellStyle name="Normal 12 9 2 5 4" xfId="21498" xr:uid="{00000000-0005-0000-0000-000080520000}"/>
    <cellStyle name="Normal 12 9 2 5 5" xfId="21499" xr:uid="{00000000-0005-0000-0000-000081520000}"/>
    <cellStyle name="Normal 12 9 2 5 6" xfId="21500" xr:uid="{00000000-0005-0000-0000-000082520000}"/>
    <cellStyle name="Normal 12 9 2 5 7" xfId="21501" xr:uid="{00000000-0005-0000-0000-000083520000}"/>
    <cellStyle name="Normal 12 9 2 5 8" xfId="21502" xr:uid="{00000000-0005-0000-0000-000084520000}"/>
    <cellStyle name="Normal 12 9 2 6" xfId="21503" xr:uid="{00000000-0005-0000-0000-000085520000}"/>
    <cellStyle name="Normal 12 9 2 6 2" xfId="21504" xr:uid="{00000000-0005-0000-0000-000086520000}"/>
    <cellStyle name="Normal 12 9 2 6 2 2" xfId="21505" xr:uid="{00000000-0005-0000-0000-000087520000}"/>
    <cellStyle name="Normal 12 9 2 6 2 3" xfId="21506" xr:uid="{00000000-0005-0000-0000-000088520000}"/>
    <cellStyle name="Normal 12 9 2 6 2 4" xfId="21507" xr:uid="{00000000-0005-0000-0000-000089520000}"/>
    <cellStyle name="Normal 12 9 2 6 2 5" xfId="21508" xr:uid="{00000000-0005-0000-0000-00008A520000}"/>
    <cellStyle name="Normal 12 9 2 6 3" xfId="21509" xr:uid="{00000000-0005-0000-0000-00008B520000}"/>
    <cellStyle name="Normal 12 9 2 6 4" xfId="21510" xr:uid="{00000000-0005-0000-0000-00008C520000}"/>
    <cellStyle name="Normal 12 9 2 6 5" xfId="21511" xr:uid="{00000000-0005-0000-0000-00008D520000}"/>
    <cellStyle name="Normal 12 9 2 6 6" xfId="21512" xr:uid="{00000000-0005-0000-0000-00008E520000}"/>
    <cellStyle name="Normal 12 9 2 6 7" xfId="21513" xr:uid="{00000000-0005-0000-0000-00008F520000}"/>
    <cellStyle name="Normal 12 9 2 6 8" xfId="21514" xr:uid="{00000000-0005-0000-0000-000090520000}"/>
    <cellStyle name="Normal 12 9 2 7" xfId="21515" xr:uid="{00000000-0005-0000-0000-000091520000}"/>
    <cellStyle name="Normal 12 9 2 7 2" xfId="21516" xr:uid="{00000000-0005-0000-0000-000092520000}"/>
    <cellStyle name="Normal 12 9 2 7 3" xfId="21517" xr:uid="{00000000-0005-0000-0000-000093520000}"/>
    <cellStyle name="Normal 12 9 2 7 4" xfId="21518" xr:uid="{00000000-0005-0000-0000-000094520000}"/>
    <cellStyle name="Normal 12 9 2 7 5" xfId="21519" xr:uid="{00000000-0005-0000-0000-000095520000}"/>
    <cellStyle name="Normal 12 9 2 8" xfId="21520" xr:uid="{00000000-0005-0000-0000-000096520000}"/>
    <cellStyle name="Normal 12 9 2 9" xfId="21521" xr:uid="{00000000-0005-0000-0000-000097520000}"/>
    <cellStyle name="Normal 12 9 3" xfId="21522" xr:uid="{00000000-0005-0000-0000-000098520000}"/>
    <cellStyle name="Normal 12 9 3 10" xfId="21523" xr:uid="{00000000-0005-0000-0000-000099520000}"/>
    <cellStyle name="Normal 12 9 3 11" xfId="21524" xr:uid="{00000000-0005-0000-0000-00009A520000}"/>
    <cellStyle name="Normal 12 9 3 12" xfId="21525" xr:uid="{00000000-0005-0000-0000-00009B520000}"/>
    <cellStyle name="Normal 12 9 3 13" xfId="21526" xr:uid="{00000000-0005-0000-0000-00009C520000}"/>
    <cellStyle name="Normal 12 9 3 2" xfId="21527" xr:uid="{00000000-0005-0000-0000-00009D520000}"/>
    <cellStyle name="Normal 12 9 3 2 10" xfId="21528" xr:uid="{00000000-0005-0000-0000-00009E520000}"/>
    <cellStyle name="Normal 12 9 3 2 11" xfId="21529" xr:uid="{00000000-0005-0000-0000-00009F520000}"/>
    <cellStyle name="Normal 12 9 3 2 2" xfId="21530" xr:uid="{00000000-0005-0000-0000-0000A0520000}"/>
    <cellStyle name="Normal 12 9 3 2 2 10" xfId="21531" xr:uid="{00000000-0005-0000-0000-0000A1520000}"/>
    <cellStyle name="Normal 12 9 3 2 2 2" xfId="21532" xr:uid="{00000000-0005-0000-0000-0000A2520000}"/>
    <cellStyle name="Normal 12 9 3 2 2 2 2" xfId="21533" xr:uid="{00000000-0005-0000-0000-0000A3520000}"/>
    <cellStyle name="Normal 12 9 3 2 2 2 2 2" xfId="21534" xr:uid="{00000000-0005-0000-0000-0000A4520000}"/>
    <cellStyle name="Normal 12 9 3 2 2 2 2 3" xfId="21535" xr:uid="{00000000-0005-0000-0000-0000A5520000}"/>
    <cellStyle name="Normal 12 9 3 2 2 2 2 4" xfId="21536" xr:uid="{00000000-0005-0000-0000-0000A6520000}"/>
    <cellStyle name="Normal 12 9 3 2 2 2 2 5" xfId="21537" xr:uid="{00000000-0005-0000-0000-0000A7520000}"/>
    <cellStyle name="Normal 12 9 3 2 2 2 3" xfId="21538" xr:uid="{00000000-0005-0000-0000-0000A8520000}"/>
    <cellStyle name="Normal 12 9 3 2 2 2 4" xfId="21539" xr:uid="{00000000-0005-0000-0000-0000A9520000}"/>
    <cellStyle name="Normal 12 9 3 2 2 2 5" xfId="21540" xr:uid="{00000000-0005-0000-0000-0000AA520000}"/>
    <cellStyle name="Normal 12 9 3 2 2 2 6" xfId="21541" xr:uid="{00000000-0005-0000-0000-0000AB520000}"/>
    <cellStyle name="Normal 12 9 3 2 2 2 7" xfId="21542" xr:uid="{00000000-0005-0000-0000-0000AC520000}"/>
    <cellStyle name="Normal 12 9 3 2 2 2 8" xfId="21543" xr:uid="{00000000-0005-0000-0000-0000AD520000}"/>
    <cellStyle name="Normal 12 9 3 2 2 3" xfId="21544" xr:uid="{00000000-0005-0000-0000-0000AE520000}"/>
    <cellStyle name="Normal 12 9 3 2 2 3 2" xfId="21545" xr:uid="{00000000-0005-0000-0000-0000AF520000}"/>
    <cellStyle name="Normal 12 9 3 2 2 3 2 2" xfId="21546" xr:uid="{00000000-0005-0000-0000-0000B0520000}"/>
    <cellStyle name="Normal 12 9 3 2 2 3 2 3" xfId="21547" xr:uid="{00000000-0005-0000-0000-0000B1520000}"/>
    <cellStyle name="Normal 12 9 3 2 2 3 2 4" xfId="21548" xr:uid="{00000000-0005-0000-0000-0000B2520000}"/>
    <cellStyle name="Normal 12 9 3 2 2 3 2 5" xfId="21549" xr:uid="{00000000-0005-0000-0000-0000B3520000}"/>
    <cellStyle name="Normal 12 9 3 2 2 3 3" xfId="21550" xr:uid="{00000000-0005-0000-0000-0000B4520000}"/>
    <cellStyle name="Normal 12 9 3 2 2 3 4" xfId="21551" xr:uid="{00000000-0005-0000-0000-0000B5520000}"/>
    <cellStyle name="Normal 12 9 3 2 2 3 5" xfId="21552" xr:uid="{00000000-0005-0000-0000-0000B6520000}"/>
    <cellStyle name="Normal 12 9 3 2 2 3 6" xfId="21553" xr:uid="{00000000-0005-0000-0000-0000B7520000}"/>
    <cellStyle name="Normal 12 9 3 2 2 3 7" xfId="21554" xr:uid="{00000000-0005-0000-0000-0000B8520000}"/>
    <cellStyle name="Normal 12 9 3 2 2 3 8" xfId="21555" xr:uid="{00000000-0005-0000-0000-0000B9520000}"/>
    <cellStyle name="Normal 12 9 3 2 2 4" xfId="21556" xr:uid="{00000000-0005-0000-0000-0000BA520000}"/>
    <cellStyle name="Normal 12 9 3 2 2 4 2" xfId="21557" xr:uid="{00000000-0005-0000-0000-0000BB520000}"/>
    <cellStyle name="Normal 12 9 3 2 2 4 3" xfId="21558" xr:uid="{00000000-0005-0000-0000-0000BC520000}"/>
    <cellStyle name="Normal 12 9 3 2 2 4 4" xfId="21559" xr:uid="{00000000-0005-0000-0000-0000BD520000}"/>
    <cellStyle name="Normal 12 9 3 2 2 4 5" xfId="21560" xr:uid="{00000000-0005-0000-0000-0000BE520000}"/>
    <cellStyle name="Normal 12 9 3 2 2 5" xfId="21561" xr:uid="{00000000-0005-0000-0000-0000BF520000}"/>
    <cellStyle name="Normal 12 9 3 2 2 6" xfId="21562" xr:uid="{00000000-0005-0000-0000-0000C0520000}"/>
    <cellStyle name="Normal 12 9 3 2 2 7" xfId="21563" xr:uid="{00000000-0005-0000-0000-0000C1520000}"/>
    <cellStyle name="Normal 12 9 3 2 2 8" xfId="21564" xr:uid="{00000000-0005-0000-0000-0000C2520000}"/>
    <cellStyle name="Normal 12 9 3 2 2 9" xfId="21565" xr:uid="{00000000-0005-0000-0000-0000C3520000}"/>
    <cellStyle name="Normal 12 9 3 2 3" xfId="21566" xr:uid="{00000000-0005-0000-0000-0000C4520000}"/>
    <cellStyle name="Normal 12 9 3 2 3 2" xfId="21567" xr:uid="{00000000-0005-0000-0000-0000C5520000}"/>
    <cellStyle name="Normal 12 9 3 2 3 2 2" xfId="21568" xr:uid="{00000000-0005-0000-0000-0000C6520000}"/>
    <cellStyle name="Normal 12 9 3 2 3 2 3" xfId="21569" xr:uid="{00000000-0005-0000-0000-0000C7520000}"/>
    <cellStyle name="Normal 12 9 3 2 3 2 4" xfId="21570" xr:uid="{00000000-0005-0000-0000-0000C8520000}"/>
    <cellStyle name="Normal 12 9 3 2 3 2 5" xfId="21571" xr:uid="{00000000-0005-0000-0000-0000C9520000}"/>
    <cellStyle name="Normal 12 9 3 2 3 3" xfId="21572" xr:uid="{00000000-0005-0000-0000-0000CA520000}"/>
    <cellStyle name="Normal 12 9 3 2 3 4" xfId="21573" xr:uid="{00000000-0005-0000-0000-0000CB520000}"/>
    <cellStyle name="Normal 12 9 3 2 3 5" xfId="21574" xr:uid="{00000000-0005-0000-0000-0000CC520000}"/>
    <cellStyle name="Normal 12 9 3 2 3 6" xfId="21575" xr:uid="{00000000-0005-0000-0000-0000CD520000}"/>
    <cellStyle name="Normal 12 9 3 2 3 7" xfId="21576" xr:uid="{00000000-0005-0000-0000-0000CE520000}"/>
    <cellStyle name="Normal 12 9 3 2 3 8" xfId="21577" xr:uid="{00000000-0005-0000-0000-0000CF520000}"/>
    <cellStyle name="Normal 12 9 3 2 4" xfId="21578" xr:uid="{00000000-0005-0000-0000-0000D0520000}"/>
    <cellStyle name="Normal 12 9 3 2 4 2" xfId="21579" xr:uid="{00000000-0005-0000-0000-0000D1520000}"/>
    <cellStyle name="Normal 12 9 3 2 4 2 2" xfId="21580" xr:uid="{00000000-0005-0000-0000-0000D2520000}"/>
    <cellStyle name="Normal 12 9 3 2 4 2 3" xfId="21581" xr:uid="{00000000-0005-0000-0000-0000D3520000}"/>
    <cellStyle name="Normal 12 9 3 2 4 2 4" xfId="21582" xr:uid="{00000000-0005-0000-0000-0000D4520000}"/>
    <cellStyle name="Normal 12 9 3 2 4 2 5" xfId="21583" xr:uid="{00000000-0005-0000-0000-0000D5520000}"/>
    <cellStyle name="Normal 12 9 3 2 4 3" xfId="21584" xr:uid="{00000000-0005-0000-0000-0000D6520000}"/>
    <cellStyle name="Normal 12 9 3 2 4 4" xfId="21585" xr:uid="{00000000-0005-0000-0000-0000D7520000}"/>
    <cellStyle name="Normal 12 9 3 2 4 5" xfId="21586" xr:uid="{00000000-0005-0000-0000-0000D8520000}"/>
    <cellStyle name="Normal 12 9 3 2 4 6" xfId="21587" xr:uid="{00000000-0005-0000-0000-0000D9520000}"/>
    <cellStyle name="Normal 12 9 3 2 4 7" xfId="21588" xr:uid="{00000000-0005-0000-0000-0000DA520000}"/>
    <cellStyle name="Normal 12 9 3 2 4 8" xfId="21589" xr:uid="{00000000-0005-0000-0000-0000DB520000}"/>
    <cellStyle name="Normal 12 9 3 2 5" xfId="21590" xr:uid="{00000000-0005-0000-0000-0000DC520000}"/>
    <cellStyle name="Normal 12 9 3 2 5 2" xfId="21591" xr:uid="{00000000-0005-0000-0000-0000DD520000}"/>
    <cellStyle name="Normal 12 9 3 2 5 3" xfId="21592" xr:uid="{00000000-0005-0000-0000-0000DE520000}"/>
    <cellStyle name="Normal 12 9 3 2 5 4" xfId="21593" xr:uid="{00000000-0005-0000-0000-0000DF520000}"/>
    <cellStyle name="Normal 12 9 3 2 5 5" xfId="21594" xr:uid="{00000000-0005-0000-0000-0000E0520000}"/>
    <cellStyle name="Normal 12 9 3 2 6" xfId="21595" xr:uid="{00000000-0005-0000-0000-0000E1520000}"/>
    <cellStyle name="Normal 12 9 3 2 7" xfId="21596" xr:uid="{00000000-0005-0000-0000-0000E2520000}"/>
    <cellStyle name="Normal 12 9 3 2 8" xfId="21597" xr:uid="{00000000-0005-0000-0000-0000E3520000}"/>
    <cellStyle name="Normal 12 9 3 2 9" xfId="21598" xr:uid="{00000000-0005-0000-0000-0000E4520000}"/>
    <cellStyle name="Normal 12 9 3 3" xfId="21599" xr:uid="{00000000-0005-0000-0000-0000E5520000}"/>
    <cellStyle name="Normal 12 9 3 3 10" xfId="21600" xr:uid="{00000000-0005-0000-0000-0000E6520000}"/>
    <cellStyle name="Normal 12 9 3 3 11" xfId="21601" xr:uid="{00000000-0005-0000-0000-0000E7520000}"/>
    <cellStyle name="Normal 12 9 3 3 2" xfId="21602" xr:uid="{00000000-0005-0000-0000-0000E8520000}"/>
    <cellStyle name="Normal 12 9 3 3 2 10" xfId="21603" xr:uid="{00000000-0005-0000-0000-0000E9520000}"/>
    <cellStyle name="Normal 12 9 3 3 2 2" xfId="21604" xr:uid="{00000000-0005-0000-0000-0000EA520000}"/>
    <cellStyle name="Normal 12 9 3 3 2 2 2" xfId="21605" xr:uid="{00000000-0005-0000-0000-0000EB520000}"/>
    <cellStyle name="Normal 12 9 3 3 2 2 2 2" xfId="21606" xr:uid="{00000000-0005-0000-0000-0000EC520000}"/>
    <cellStyle name="Normal 12 9 3 3 2 2 2 3" xfId="21607" xr:uid="{00000000-0005-0000-0000-0000ED520000}"/>
    <cellStyle name="Normal 12 9 3 3 2 2 2 4" xfId="21608" xr:uid="{00000000-0005-0000-0000-0000EE520000}"/>
    <cellStyle name="Normal 12 9 3 3 2 2 2 5" xfId="21609" xr:uid="{00000000-0005-0000-0000-0000EF520000}"/>
    <cellStyle name="Normal 12 9 3 3 2 2 3" xfId="21610" xr:uid="{00000000-0005-0000-0000-0000F0520000}"/>
    <cellStyle name="Normal 12 9 3 3 2 2 4" xfId="21611" xr:uid="{00000000-0005-0000-0000-0000F1520000}"/>
    <cellStyle name="Normal 12 9 3 3 2 2 5" xfId="21612" xr:uid="{00000000-0005-0000-0000-0000F2520000}"/>
    <cellStyle name="Normal 12 9 3 3 2 2 6" xfId="21613" xr:uid="{00000000-0005-0000-0000-0000F3520000}"/>
    <cellStyle name="Normal 12 9 3 3 2 2 7" xfId="21614" xr:uid="{00000000-0005-0000-0000-0000F4520000}"/>
    <cellStyle name="Normal 12 9 3 3 2 2 8" xfId="21615" xr:uid="{00000000-0005-0000-0000-0000F5520000}"/>
    <cellStyle name="Normal 12 9 3 3 2 3" xfId="21616" xr:uid="{00000000-0005-0000-0000-0000F6520000}"/>
    <cellStyle name="Normal 12 9 3 3 2 3 2" xfId="21617" xr:uid="{00000000-0005-0000-0000-0000F7520000}"/>
    <cellStyle name="Normal 12 9 3 3 2 3 2 2" xfId="21618" xr:uid="{00000000-0005-0000-0000-0000F8520000}"/>
    <cellStyle name="Normal 12 9 3 3 2 3 2 3" xfId="21619" xr:uid="{00000000-0005-0000-0000-0000F9520000}"/>
    <cellStyle name="Normal 12 9 3 3 2 3 2 4" xfId="21620" xr:uid="{00000000-0005-0000-0000-0000FA520000}"/>
    <cellStyle name="Normal 12 9 3 3 2 3 2 5" xfId="21621" xr:uid="{00000000-0005-0000-0000-0000FB520000}"/>
    <cellStyle name="Normal 12 9 3 3 2 3 3" xfId="21622" xr:uid="{00000000-0005-0000-0000-0000FC520000}"/>
    <cellStyle name="Normal 12 9 3 3 2 3 4" xfId="21623" xr:uid="{00000000-0005-0000-0000-0000FD520000}"/>
    <cellStyle name="Normal 12 9 3 3 2 3 5" xfId="21624" xr:uid="{00000000-0005-0000-0000-0000FE520000}"/>
    <cellStyle name="Normal 12 9 3 3 2 3 6" xfId="21625" xr:uid="{00000000-0005-0000-0000-0000FF520000}"/>
    <cellStyle name="Normal 12 9 3 3 2 3 7" xfId="21626" xr:uid="{00000000-0005-0000-0000-000000530000}"/>
    <cellStyle name="Normal 12 9 3 3 2 3 8" xfId="21627" xr:uid="{00000000-0005-0000-0000-000001530000}"/>
    <cellStyle name="Normal 12 9 3 3 2 4" xfId="21628" xr:uid="{00000000-0005-0000-0000-000002530000}"/>
    <cellStyle name="Normal 12 9 3 3 2 4 2" xfId="21629" xr:uid="{00000000-0005-0000-0000-000003530000}"/>
    <cellStyle name="Normal 12 9 3 3 2 4 3" xfId="21630" xr:uid="{00000000-0005-0000-0000-000004530000}"/>
    <cellStyle name="Normal 12 9 3 3 2 4 4" xfId="21631" xr:uid="{00000000-0005-0000-0000-000005530000}"/>
    <cellStyle name="Normal 12 9 3 3 2 4 5" xfId="21632" xr:uid="{00000000-0005-0000-0000-000006530000}"/>
    <cellStyle name="Normal 12 9 3 3 2 5" xfId="21633" xr:uid="{00000000-0005-0000-0000-000007530000}"/>
    <cellStyle name="Normal 12 9 3 3 2 6" xfId="21634" xr:uid="{00000000-0005-0000-0000-000008530000}"/>
    <cellStyle name="Normal 12 9 3 3 2 7" xfId="21635" xr:uid="{00000000-0005-0000-0000-000009530000}"/>
    <cellStyle name="Normal 12 9 3 3 2 8" xfId="21636" xr:uid="{00000000-0005-0000-0000-00000A530000}"/>
    <cellStyle name="Normal 12 9 3 3 2 9" xfId="21637" xr:uid="{00000000-0005-0000-0000-00000B530000}"/>
    <cellStyle name="Normal 12 9 3 3 3" xfId="21638" xr:uid="{00000000-0005-0000-0000-00000C530000}"/>
    <cellStyle name="Normal 12 9 3 3 3 2" xfId="21639" xr:uid="{00000000-0005-0000-0000-00000D530000}"/>
    <cellStyle name="Normal 12 9 3 3 3 2 2" xfId="21640" xr:uid="{00000000-0005-0000-0000-00000E530000}"/>
    <cellStyle name="Normal 12 9 3 3 3 2 3" xfId="21641" xr:uid="{00000000-0005-0000-0000-00000F530000}"/>
    <cellStyle name="Normal 12 9 3 3 3 2 4" xfId="21642" xr:uid="{00000000-0005-0000-0000-000010530000}"/>
    <cellStyle name="Normal 12 9 3 3 3 2 5" xfId="21643" xr:uid="{00000000-0005-0000-0000-000011530000}"/>
    <cellStyle name="Normal 12 9 3 3 3 3" xfId="21644" xr:uid="{00000000-0005-0000-0000-000012530000}"/>
    <cellStyle name="Normal 12 9 3 3 3 4" xfId="21645" xr:uid="{00000000-0005-0000-0000-000013530000}"/>
    <cellStyle name="Normal 12 9 3 3 3 5" xfId="21646" xr:uid="{00000000-0005-0000-0000-000014530000}"/>
    <cellStyle name="Normal 12 9 3 3 3 6" xfId="21647" xr:uid="{00000000-0005-0000-0000-000015530000}"/>
    <cellStyle name="Normal 12 9 3 3 3 7" xfId="21648" xr:uid="{00000000-0005-0000-0000-000016530000}"/>
    <cellStyle name="Normal 12 9 3 3 3 8" xfId="21649" xr:uid="{00000000-0005-0000-0000-000017530000}"/>
    <cellStyle name="Normal 12 9 3 3 4" xfId="21650" xr:uid="{00000000-0005-0000-0000-000018530000}"/>
    <cellStyle name="Normal 12 9 3 3 4 2" xfId="21651" xr:uid="{00000000-0005-0000-0000-000019530000}"/>
    <cellStyle name="Normal 12 9 3 3 4 2 2" xfId="21652" xr:uid="{00000000-0005-0000-0000-00001A530000}"/>
    <cellStyle name="Normal 12 9 3 3 4 2 3" xfId="21653" xr:uid="{00000000-0005-0000-0000-00001B530000}"/>
    <cellStyle name="Normal 12 9 3 3 4 2 4" xfId="21654" xr:uid="{00000000-0005-0000-0000-00001C530000}"/>
    <cellStyle name="Normal 12 9 3 3 4 2 5" xfId="21655" xr:uid="{00000000-0005-0000-0000-00001D530000}"/>
    <cellStyle name="Normal 12 9 3 3 4 3" xfId="21656" xr:uid="{00000000-0005-0000-0000-00001E530000}"/>
    <cellStyle name="Normal 12 9 3 3 4 4" xfId="21657" xr:uid="{00000000-0005-0000-0000-00001F530000}"/>
    <cellStyle name="Normal 12 9 3 3 4 5" xfId="21658" xr:uid="{00000000-0005-0000-0000-000020530000}"/>
    <cellStyle name="Normal 12 9 3 3 4 6" xfId="21659" xr:uid="{00000000-0005-0000-0000-000021530000}"/>
    <cellStyle name="Normal 12 9 3 3 4 7" xfId="21660" xr:uid="{00000000-0005-0000-0000-000022530000}"/>
    <cellStyle name="Normal 12 9 3 3 4 8" xfId="21661" xr:uid="{00000000-0005-0000-0000-000023530000}"/>
    <cellStyle name="Normal 12 9 3 3 5" xfId="21662" xr:uid="{00000000-0005-0000-0000-000024530000}"/>
    <cellStyle name="Normal 12 9 3 3 5 2" xfId="21663" xr:uid="{00000000-0005-0000-0000-000025530000}"/>
    <cellStyle name="Normal 12 9 3 3 5 3" xfId="21664" xr:uid="{00000000-0005-0000-0000-000026530000}"/>
    <cellStyle name="Normal 12 9 3 3 5 4" xfId="21665" xr:uid="{00000000-0005-0000-0000-000027530000}"/>
    <cellStyle name="Normal 12 9 3 3 5 5" xfId="21666" xr:uid="{00000000-0005-0000-0000-000028530000}"/>
    <cellStyle name="Normal 12 9 3 3 6" xfId="21667" xr:uid="{00000000-0005-0000-0000-000029530000}"/>
    <cellStyle name="Normal 12 9 3 3 7" xfId="21668" xr:uid="{00000000-0005-0000-0000-00002A530000}"/>
    <cellStyle name="Normal 12 9 3 3 8" xfId="21669" xr:uid="{00000000-0005-0000-0000-00002B530000}"/>
    <cellStyle name="Normal 12 9 3 3 9" xfId="21670" xr:uid="{00000000-0005-0000-0000-00002C530000}"/>
    <cellStyle name="Normal 12 9 3 4" xfId="21671" xr:uid="{00000000-0005-0000-0000-00002D530000}"/>
    <cellStyle name="Normal 12 9 3 4 10" xfId="21672" xr:uid="{00000000-0005-0000-0000-00002E530000}"/>
    <cellStyle name="Normal 12 9 3 4 2" xfId="21673" xr:uid="{00000000-0005-0000-0000-00002F530000}"/>
    <cellStyle name="Normal 12 9 3 4 2 2" xfId="21674" xr:uid="{00000000-0005-0000-0000-000030530000}"/>
    <cellStyle name="Normal 12 9 3 4 2 2 2" xfId="21675" xr:uid="{00000000-0005-0000-0000-000031530000}"/>
    <cellStyle name="Normal 12 9 3 4 2 2 3" xfId="21676" xr:uid="{00000000-0005-0000-0000-000032530000}"/>
    <cellStyle name="Normal 12 9 3 4 2 2 4" xfId="21677" xr:uid="{00000000-0005-0000-0000-000033530000}"/>
    <cellStyle name="Normal 12 9 3 4 2 2 5" xfId="21678" xr:uid="{00000000-0005-0000-0000-000034530000}"/>
    <cellStyle name="Normal 12 9 3 4 2 3" xfId="21679" xr:uid="{00000000-0005-0000-0000-000035530000}"/>
    <cellStyle name="Normal 12 9 3 4 2 4" xfId="21680" xr:uid="{00000000-0005-0000-0000-000036530000}"/>
    <cellStyle name="Normal 12 9 3 4 2 5" xfId="21681" xr:uid="{00000000-0005-0000-0000-000037530000}"/>
    <cellStyle name="Normal 12 9 3 4 2 6" xfId="21682" xr:uid="{00000000-0005-0000-0000-000038530000}"/>
    <cellStyle name="Normal 12 9 3 4 2 7" xfId="21683" xr:uid="{00000000-0005-0000-0000-000039530000}"/>
    <cellStyle name="Normal 12 9 3 4 2 8" xfId="21684" xr:uid="{00000000-0005-0000-0000-00003A530000}"/>
    <cellStyle name="Normal 12 9 3 4 3" xfId="21685" xr:uid="{00000000-0005-0000-0000-00003B530000}"/>
    <cellStyle name="Normal 12 9 3 4 3 2" xfId="21686" xr:uid="{00000000-0005-0000-0000-00003C530000}"/>
    <cellStyle name="Normal 12 9 3 4 3 2 2" xfId="21687" xr:uid="{00000000-0005-0000-0000-00003D530000}"/>
    <cellStyle name="Normal 12 9 3 4 3 2 3" xfId="21688" xr:uid="{00000000-0005-0000-0000-00003E530000}"/>
    <cellStyle name="Normal 12 9 3 4 3 2 4" xfId="21689" xr:uid="{00000000-0005-0000-0000-00003F530000}"/>
    <cellStyle name="Normal 12 9 3 4 3 2 5" xfId="21690" xr:uid="{00000000-0005-0000-0000-000040530000}"/>
    <cellStyle name="Normal 12 9 3 4 3 3" xfId="21691" xr:uid="{00000000-0005-0000-0000-000041530000}"/>
    <cellStyle name="Normal 12 9 3 4 3 4" xfId="21692" xr:uid="{00000000-0005-0000-0000-000042530000}"/>
    <cellStyle name="Normal 12 9 3 4 3 5" xfId="21693" xr:uid="{00000000-0005-0000-0000-000043530000}"/>
    <cellStyle name="Normal 12 9 3 4 3 6" xfId="21694" xr:uid="{00000000-0005-0000-0000-000044530000}"/>
    <cellStyle name="Normal 12 9 3 4 3 7" xfId="21695" xr:uid="{00000000-0005-0000-0000-000045530000}"/>
    <cellStyle name="Normal 12 9 3 4 3 8" xfId="21696" xr:uid="{00000000-0005-0000-0000-000046530000}"/>
    <cellStyle name="Normal 12 9 3 4 4" xfId="21697" xr:uid="{00000000-0005-0000-0000-000047530000}"/>
    <cellStyle name="Normal 12 9 3 4 4 2" xfId="21698" xr:uid="{00000000-0005-0000-0000-000048530000}"/>
    <cellStyle name="Normal 12 9 3 4 4 3" xfId="21699" xr:uid="{00000000-0005-0000-0000-000049530000}"/>
    <cellStyle name="Normal 12 9 3 4 4 4" xfId="21700" xr:uid="{00000000-0005-0000-0000-00004A530000}"/>
    <cellStyle name="Normal 12 9 3 4 4 5" xfId="21701" xr:uid="{00000000-0005-0000-0000-00004B530000}"/>
    <cellStyle name="Normal 12 9 3 4 5" xfId="21702" xr:uid="{00000000-0005-0000-0000-00004C530000}"/>
    <cellStyle name="Normal 12 9 3 4 6" xfId="21703" xr:uid="{00000000-0005-0000-0000-00004D530000}"/>
    <cellStyle name="Normal 12 9 3 4 7" xfId="21704" xr:uid="{00000000-0005-0000-0000-00004E530000}"/>
    <cellStyle name="Normal 12 9 3 4 8" xfId="21705" xr:uid="{00000000-0005-0000-0000-00004F530000}"/>
    <cellStyle name="Normal 12 9 3 4 9" xfId="21706" xr:uid="{00000000-0005-0000-0000-000050530000}"/>
    <cellStyle name="Normal 12 9 3 5" xfId="21707" xr:uid="{00000000-0005-0000-0000-000051530000}"/>
    <cellStyle name="Normal 12 9 3 5 2" xfId="21708" xr:uid="{00000000-0005-0000-0000-000052530000}"/>
    <cellStyle name="Normal 12 9 3 5 2 2" xfId="21709" xr:uid="{00000000-0005-0000-0000-000053530000}"/>
    <cellStyle name="Normal 12 9 3 5 2 3" xfId="21710" xr:uid="{00000000-0005-0000-0000-000054530000}"/>
    <cellStyle name="Normal 12 9 3 5 2 4" xfId="21711" xr:uid="{00000000-0005-0000-0000-000055530000}"/>
    <cellStyle name="Normal 12 9 3 5 2 5" xfId="21712" xr:uid="{00000000-0005-0000-0000-000056530000}"/>
    <cellStyle name="Normal 12 9 3 5 3" xfId="21713" xr:uid="{00000000-0005-0000-0000-000057530000}"/>
    <cellStyle name="Normal 12 9 3 5 4" xfId="21714" xr:uid="{00000000-0005-0000-0000-000058530000}"/>
    <cellStyle name="Normal 12 9 3 5 5" xfId="21715" xr:uid="{00000000-0005-0000-0000-000059530000}"/>
    <cellStyle name="Normal 12 9 3 5 6" xfId="21716" xr:uid="{00000000-0005-0000-0000-00005A530000}"/>
    <cellStyle name="Normal 12 9 3 5 7" xfId="21717" xr:uid="{00000000-0005-0000-0000-00005B530000}"/>
    <cellStyle name="Normal 12 9 3 5 8" xfId="21718" xr:uid="{00000000-0005-0000-0000-00005C530000}"/>
    <cellStyle name="Normal 12 9 3 6" xfId="21719" xr:uid="{00000000-0005-0000-0000-00005D530000}"/>
    <cellStyle name="Normal 12 9 3 6 2" xfId="21720" xr:uid="{00000000-0005-0000-0000-00005E530000}"/>
    <cellStyle name="Normal 12 9 3 6 2 2" xfId="21721" xr:uid="{00000000-0005-0000-0000-00005F530000}"/>
    <cellStyle name="Normal 12 9 3 6 2 3" xfId="21722" xr:uid="{00000000-0005-0000-0000-000060530000}"/>
    <cellStyle name="Normal 12 9 3 6 2 4" xfId="21723" xr:uid="{00000000-0005-0000-0000-000061530000}"/>
    <cellStyle name="Normal 12 9 3 6 2 5" xfId="21724" xr:uid="{00000000-0005-0000-0000-000062530000}"/>
    <cellStyle name="Normal 12 9 3 6 3" xfId="21725" xr:uid="{00000000-0005-0000-0000-000063530000}"/>
    <cellStyle name="Normal 12 9 3 6 4" xfId="21726" xr:uid="{00000000-0005-0000-0000-000064530000}"/>
    <cellStyle name="Normal 12 9 3 6 5" xfId="21727" xr:uid="{00000000-0005-0000-0000-000065530000}"/>
    <cellStyle name="Normal 12 9 3 6 6" xfId="21728" xr:uid="{00000000-0005-0000-0000-000066530000}"/>
    <cellStyle name="Normal 12 9 3 6 7" xfId="21729" xr:uid="{00000000-0005-0000-0000-000067530000}"/>
    <cellStyle name="Normal 12 9 3 6 8" xfId="21730" xr:uid="{00000000-0005-0000-0000-000068530000}"/>
    <cellStyle name="Normal 12 9 3 7" xfId="21731" xr:uid="{00000000-0005-0000-0000-000069530000}"/>
    <cellStyle name="Normal 12 9 3 7 2" xfId="21732" xr:uid="{00000000-0005-0000-0000-00006A530000}"/>
    <cellStyle name="Normal 12 9 3 7 3" xfId="21733" xr:uid="{00000000-0005-0000-0000-00006B530000}"/>
    <cellStyle name="Normal 12 9 3 7 4" xfId="21734" xr:uid="{00000000-0005-0000-0000-00006C530000}"/>
    <cellStyle name="Normal 12 9 3 7 5" xfId="21735" xr:uid="{00000000-0005-0000-0000-00006D530000}"/>
    <cellStyle name="Normal 12 9 3 8" xfId="21736" xr:uid="{00000000-0005-0000-0000-00006E530000}"/>
    <cellStyle name="Normal 12 9 3 9" xfId="21737" xr:uid="{00000000-0005-0000-0000-00006F530000}"/>
    <cellStyle name="Normal 12 9 4" xfId="21738" xr:uid="{00000000-0005-0000-0000-000070530000}"/>
    <cellStyle name="Normal 12 9 4 10" xfId="21739" xr:uid="{00000000-0005-0000-0000-000071530000}"/>
    <cellStyle name="Normal 12 9 4 11" xfId="21740" xr:uid="{00000000-0005-0000-0000-000072530000}"/>
    <cellStyle name="Normal 12 9 4 2" xfId="21741" xr:uid="{00000000-0005-0000-0000-000073530000}"/>
    <cellStyle name="Normal 12 9 4 2 10" xfId="21742" xr:uid="{00000000-0005-0000-0000-000074530000}"/>
    <cellStyle name="Normal 12 9 4 2 2" xfId="21743" xr:uid="{00000000-0005-0000-0000-000075530000}"/>
    <cellStyle name="Normal 12 9 4 2 2 2" xfId="21744" xr:uid="{00000000-0005-0000-0000-000076530000}"/>
    <cellStyle name="Normal 12 9 4 2 2 2 2" xfId="21745" xr:uid="{00000000-0005-0000-0000-000077530000}"/>
    <cellStyle name="Normal 12 9 4 2 2 2 3" xfId="21746" xr:uid="{00000000-0005-0000-0000-000078530000}"/>
    <cellStyle name="Normal 12 9 4 2 2 2 4" xfId="21747" xr:uid="{00000000-0005-0000-0000-000079530000}"/>
    <cellStyle name="Normal 12 9 4 2 2 2 5" xfId="21748" xr:uid="{00000000-0005-0000-0000-00007A530000}"/>
    <cellStyle name="Normal 12 9 4 2 2 3" xfId="21749" xr:uid="{00000000-0005-0000-0000-00007B530000}"/>
    <cellStyle name="Normal 12 9 4 2 2 4" xfId="21750" xr:uid="{00000000-0005-0000-0000-00007C530000}"/>
    <cellStyle name="Normal 12 9 4 2 2 5" xfId="21751" xr:uid="{00000000-0005-0000-0000-00007D530000}"/>
    <cellStyle name="Normal 12 9 4 2 2 6" xfId="21752" xr:uid="{00000000-0005-0000-0000-00007E530000}"/>
    <cellStyle name="Normal 12 9 4 2 2 7" xfId="21753" xr:uid="{00000000-0005-0000-0000-00007F530000}"/>
    <cellStyle name="Normal 12 9 4 2 2 8" xfId="21754" xr:uid="{00000000-0005-0000-0000-000080530000}"/>
    <cellStyle name="Normal 12 9 4 2 3" xfId="21755" xr:uid="{00000000-0005-0000-0000-000081530000}"/>
    <cellStyle name="Normal 12 9 4 2 3 2" xfId="21756" xr:uid="{00000000-0005-0000-0000-000082530000}"/>
    <cellStyle name="Normal 12 9 4 2 3 2 2" xfId="21757" xr:uid="{00000000-0005-0000-0000-000083530000}"/>
    <cellStyle name="Normal 12 9 4 2 3 2 3" xfId="21758" xr:uid="{00000000-0005-0000-0000-000084530000}"/>
    <cellStyle name="Normal 12 9 4 2 3 2 4" xfId="21759" xr:uid="{00000000-0005-0000-0000-000085530000}"/>
    <cellStyle name="Normal 12 9 4 2 3 2 5" xfId="21760" xr:uid="{00000000-0005-0000-0000-000086530000}"/>
    <cellStyle name="Normal 12 9 4 2 3 3" xfId="21761" xr:uid="{00000000-0005-0000-0000-000087530000}"/>
    <cellStyle name="Normal 12 9 4 2 3 4" xfId="21762" xr:uid="{00000000-0005-0000-0000-000088530000}"/>
    <cellStyle name="Normal 12 9 4 2 3 5" xfId="21763" xr:uid="{00000000-0005-0000-0000-000089530000}"/>
    <cellStyle name="Normal 12 9 4 2 3 6" xfId="21764" xr:uid="{00000000-0005-0000-0000-00008A530000}"/>
    <cellStyle name="Normal 12 9 4 2 3 7" xfId="21765" xr:uid="{00000000-0005-0000-0000-00008B530000}"/>
    <cellStyle name="Normal 12 9 4 2 3 8" xfId="21766" xr:uid="{00000000-0005-0000-0000-00008C530000}"/>
    <cellStyle name="Normal 12 9 4 2 4" xfId="21767" xr:uid="{00000000-0005-0000-0000-00008D530000}"/>
    <cellStyle name="Normal 12 9 4 2 4 2" xfId="21768" xr:uid="{00000000-0005-0000-0000-00008E530000}"/>
    <cellStyle name="Normal 12 9 4 2 4 3" xfId="21769" xr:uid="{00000000-0005-0000-0000-00008F530000}"/>
    <cellStyle name="Normal 12 9 4 2 4 4" xfId="21770" xr:uid="{00000000-0005-0000-0000-000090530000}"/>
    <cellStyle name="Normal 12 9 4 2 4 5" xfId="21771" xr:uid="{00000000-0005-0000-0000-000091530000}"/>
    <cellStyle name="Normal 12 9 4 2 5" xfId="21772" xr:uid="{00000000-0005-0000-0000-000092530000}"/>
    <cellStyle name="Normal 12 9 4 2 6" xfId="21773" xr:uid="{00000000-0005-0000-0000-000093530000}"/>
    <cellStyle name="Normal 12 9 4 2 7" xfId="21774" xr:uid="{00000000-0005-0000-0000-000094530000}"/>
    <cellStyle name="Normal 12 9 4 2 8" xfId="21775" xr:uid="{00000000-0005-0000-0000-000095530000}"/>
    <cellStyle name="Normal 12 9 4 2 9" xfId="21776" xr:uid="{00000000-0005-0000-0000-000096530000}"/>
    <cellStyle name="Normal 12 9 4 3" xfId="21777" xr:uid="{00000000-0005-0000-0000-000097530000}"/>
    <cellStyle name="Normal 12 9 4 3 2" xfId="21778" xr:uid="{00000000-0005-0000-0000-000098530000}"/>
    <cellStyle name="Normal 12 9 4 3 2 2" xfId="21779" xr:uid="{00000000-0005-0000-0000-000099530000}"/>
    <cellStyle name="Normal 12 9 4 3 2 3" xfId="21780" xr:uid="{00000000-0005-0000-0000-00009A530000}"/>
    <cellStyle name="Normal 12 9 4 3 2 4" xfId="21781" xr:uid="{00000000-0005-0000-0000-00009B530000}"/>
    <cellStyle name="Normal 12 9 4 3 2 5" xfId="21782" xr:uid="{00000000-0005-0000-0000-00009C530000}"/>
    <cellStyle name="Normal 12 9 4 3 3" xfId="21783" xr:uid="{00000000-0005-0000-0000-00009D530000}"/>
    <cellStyle name="Normal 12 9 4 3 4" xfId="21784" xr:uid="{00000000-0005-0000-0000-00009E530000}"/>
    <cellStyle name="Normal 12 9 4 3 5" xfId="21785" xr:uid="{00000000-0005-0000-0000-00009F530000}"/>
    <cellStyle name="Normal 12 9 4 3 6" xfId="21786" xr:uid="{00000000-0005-0000-0000-0000A0530000}"/>
    <cellStyle name="Normal 12 9 4 3 7" xfId="21787" xr:uid="{00000000-0005-0000-0000-0000A1530000}"/>
    <cellStyle name="Normal 12 9 4 3 8" xfId="21788" xr:uid="{00000000-0005-0000-0000-0000A2530000}"/>
    <cellStyle name="Normal 12 9 4 4" xfId="21789" xr:uid="{00000000-0005-0000-0000-0000A3530000}"/>
    <cellStyle name="Normal 12 9 4 4 2" xfId="21790" xr:uid="{00000000-0005-0000-0000-0000A4530000}"/>
    <cellStyle name="Normal 12 9 4 4 2 2" xfId="21791" xr:uid="{00000000-0005-0000-0000-0000A5530000}"/>
    <cellStyle name="Normal 12 9 4 4 2 3" xfId="21792" xr:uid="{00000000-0005-0000-0000-0000A6530000}"/>
    <cellStyle name="Normal 12 9 4 4 2 4" xfId="21793" xr:uid="{00000000-0005-0000-0000-0000A7530000}"/>
    <cellStyle name="Normal 12 9 4 4 2 5" xfId="21794" xr:uid="{00000000-0005-0000-0000-0000A8530000}"/>
    <cellStyle name="Normal 12 9 4 4 3" xfId="21795" xr:uid="{00000000-0005-0000-0000-0000A9530000}"/>
    <cellStyle name="Normal 12 9 4 4 4" xfId="21796" xr:uid="{00000000-0005-0000-0000-0000AA530000}"/>
    <cellStyle name="Normal 12 9 4 4 5" xfId="21797" xr:uid="{00000000-0005-0000-0000-0000AB530000}"/>
    <cellStyle name="Normal 12 9 4 4 6" xfId="21798" xr:uid="{00000000-0005-0000-0000-0000AC530000}"/>
    <cellStyle name="Normal 12 9 4 4 7" xfId="21799" xr:uid="{00000000-0005-0000-0000-0000AD530000}"/>
    <cellStyle name="Normal 12 9 4 4 8" xfId="21800" xr:uid="{00000000-0005-0000-0000-0000AE530000}"/>
    <cellStyle name="Normal 12 9 4 5" xfId="21801" xr:uid="{00000000-0005-0000-0000-0000AF530000}"/>
    <cellStyle name="Normal 12 9 4 5 2" xfId="21802" xr:uid="{00000000-0005-0000-0000-0000B0530000}"/>
    <cellStyle name="Normal 12 9 4 5 3" xfId="21803" xr:uid="{00000000-0005-0000-0000-0000B1530000}"/>
    <cellStyle name="Normal 12 9 4 5 4" xfId="21804" xr:uid="{00000000-0005-0000-0000-0000B2530000}"/>
    <cellStyle name="Normal 12 9 4 5 5" xfId="21805" xr:uid="{00000000-0005-0000-0000-0000B3530000}"/>
    <cellStyle name="Normal 12 9 4 6" xfId="21806" xr:uid="{00000000-0005-0000-0000-0000B4530000}"/>
    <cellStyle name="Normal 12 9 4 7" xfId="21807" xr:uid="{00000000-0005-0000-0000-0000B5530000}"/>
    <cellStyle name="Normal 12 9 4 8" xfId="21808" xr:uid="{00000000-0005-0000-0000-0000B6530000}"/>
    <cellStyle name="Normal 12 9 4 9" xfId="21809" xr:uid="{00000000-0005-0000-0000-0000B7530000}"/>
    <cellStyle name="Normal 12 9 5" xfId="21810" xr:uid="{00000000-0005-0000-0000-0000B8530000}"/>
    <cellStyle name="Normal 12 9 5 10" xfId="21811" xr:uid="{00000000-0005-0000-0000-0000B9530000}"/>
    <cellStyle name="Normal 12 9 5 11" xfId="21812" xr:uid="{00000000-0005-0000-0000-0000BA530000}"/>
    <cellStyle name="Normal 12 9 5 2" xfId="21813" xr:uid="{00000000-0005-0000-0000-0000BB530000}"/>
    <cellStyle name="Normal 12 9 5 2 10" xfId="21814" xr:uid="{00000000-0005-0000-0000-0000BC530000}"/>
    <cellStyle name="Normal 12 9 5 2 2" xfId="21815" xr:uid="{00000000-0005-0000-0000-0000BD530000}"/>
    <cellStyle name="Normal 12 9 5 2 2 2" xfId="21816" xr:uid="{00000000-0005-0000-0000-0000BE530000}"/>
    <cellStyle name="Normal 12 9 5 2 2 2 2" xfId="21817" xr:uid="{00000000-0005-0000-0000-0000BF530000}"/>
    <cellStyle name="Normal 12 9 5 2 2 2 3" xfId="21818" xr:uid="{00000000-0005-0000-0000-0000C0530000}"/>
    <cellStyle name="Normal 12 9 5 2 2 2 4" xfId="21819" xr:uid="{00000000-0005-0000-0000-0000C1530000}"/>
    <cellStyle name="Normal 12 9 5 2 2 2 5" xfId="21820" xr:uid="{00000000-0005-0000-0000-0000C2530000}"/>
    <cellStyle name="Normal 12 9 5 2 2 3" xfId="21821" xr:uid="{00000000-0005-0000-0000-0000C3530000}"/>
    <cellStyle name="Normal 12 9 5 2 2 4" xfId="21822" xr:uid="{00000000-0005-0000-0000-0000C4530000}"/>
    <cellStyle name="Normal 12 9 5 2 2 5" xfId="21823" xr:uid="{00000000-0005-0000-0000-0000C5530000}"/>
    <cellStyle name="Normal 12 9 5 2 2 6" xfId="21824" xr:uid="{00000000-0005-0000-0000-0000C6530000}"/>
    <cellStyle name="Normal 12 9 5 2 2 7" xfId="21825" xr:uid="{00000000-0005-0000-0000-0000C7530000}"/>
    <cellStyle name="Normal 12 9 5 2 2 8" xfId="21826" xr:uid="{00000000-0005-0000-0000-0000C8530000}"/>
    <cellStyle name="Normal 12 9 5 2 3" xfId="21827" xr:uid="{00000000-0005-0000-0000-0000C9530000}"/>
    <cellStyle name="Normal 12 9 5 2 3 2" xfId="21828" xr:uid="{00000000-0005-0000-0000-0000CA530000}"/>
    <cellStyle name="Normal 12 9 5 2 3 2 2" xfId="21829" xr:uid="{00000000-0005-0000-0000-0000CB530000}"/>
    <cellStyle name="Normal 12 9 5 2 3 2 3" xfId="21830" xr:uid="{00000000-0005-0000-0000-0000CC530000}"/>
    <cellStyle name="Normal 12 9 5 2 3 2 4" xfId="21831" xr:uid="{00000000-0005-0000-0000-0000CD530000}"/>
    <cellStyle name="Normal 12 9 5 2 3 2 5" xfId="21832" xr:uid="{00000000-0005-0000-0000-0000CE530000}"/>
    <cellStyle name="Normal 12 9 5 2 3 3" xfId="21833" xr:uid="{00000000-0005-0000-0000-0000CF530000}"/>
    <cellStyle name="Normal 12 9 5 2 3 4" xfId="21834" xr:uid="{00000000-0005-0000-0000-0000D0530000}"/>
    <cellStyle name="Normal 12 9 5 2 3 5" xfId="21835" xr:uid="{00000000-0005-0000-0000-0000D1530000}"/>
    <cellStyle name="Normal 12 9 5 2 3 6" xfId="21836" xr:uid="{00000000-0005-0000-0000-0000D2530000}"/>
    <cellStyle name="Normal 12 9 5 2 3 7" xfId="21837" xr:uid="{00000000-0005-0000-0000-0000D3530000}"/>
    <cellStyle name="Normal 12 9 5 2 3 8" xfId="21838" xr:uid="{00000000-0005-0000-0000-0000D4530000}"/>
    <cellStyle name="Normal 12 9 5 2 4" xfId="21839" xr:uid="{00000000-0005-0000-0000-0000D5530000}"/>
    <cellStyle name="Normal 12 9 5 2 4 2" xfId="21840" xr:uid="{00000000-0005-0000-0000-0000D6530000}"/>
    <cellStyle name="Normal 12 9 5 2 4 3" xfId="21841" xr:uid="{00000000-0005-0000-0000-0000D7530000}"/>
    <cellStyle name="Normal 12 9 5 2 4 4" xfId="21842" xr:uid="{00000000-0005-0000-0000-0000D8530000}"/>
    <cellStyle name="Normal 12 9 5 2 4 5" xfId="21843" xr:uid="{00000000-0005-0000-0000-0000D9530000}"/>
    <cellStyle name="Normal 12 9 5 2 5" xfId="21844" xr:uid="{00000000-0005-0000-0000-0000DA530000}"/>
    <cellStyle name="Normal 12 9 5 2 6" xfId="21845" xr:uid="{00000000-0005-0000-0000-0000DB530000}"/>
    <cellStyle name="Normal 12 9 5 2 7" xfId="21846" xr:uid="{00000000-0005-0000-0000-0000DC530000}"/>
    <cellStyle name="Normal 12 9 5 2 8" xfId="21847" xr:uid="{00000000-0005-0000-0000-0000DD530000}"/>
    <cellStyle name="Normal 12 9 5 2 9" xfId="21848" xr:uid="{00000000-0005-0000-0000-0000DE530000}"/>
    <cellStyle name="Normal 12 9 5 3" xfId="21849" xr:uid="{00000000-0005-0000-0000-0000DF530000}"/>
    <cellStyle name="Normal 12 9 5 3 2" xfId="21850" xr:uid="{00000000-0005-0000-0000-0000E0530000}"/>
    <cellStyle name="Normal 12 9 5 3 2 2" xfId="21851" xr:uid="{00000000-0005-0000-0000-0000E1530000}"/>
    <cellStyle name="Normal 12 9 5 3 2 3" xfId="21852" xr:uid="{00000000-0005-0000-0000-0000E2530000}"/>
    <cellStyle name="Normal 12 9 5 3 2 4" xfId="21853" xr:uid="{00000000-0005-0000-0000-0000E3530000}"/>
    <cellStyle name="Normal 12 9 5 3 2 5" xfId="21854" xr:uid="{00000000-0005-0000-0000-0000E4530000}"/>
    <cellStyle name="Normal 12 9 5 3 3" xfId="21855" xr:uid="{00000000-0005-0000-0000-0000E5530000}"/>
    <cellStyle name="Normal 12 9 5 3 4" xfId="21856" xr:uid="{00000000-0005-0000-0000-0000E6530000}"/>
    <cellStyle name="Normal 12 9 5 3 5" xfId="21857" xr:uid="{00000000-0005-0000-0000-0000E7530000}"/>
    <cellStyle name="Normal 12 9 5 3 6" xfId="21858" xr:uid="{00000000-0005-0000-0000-0000E8530000}"/>
    <cellStyle name="Normal 12 9 5 3 7" xfId="21859" xr:uid="{00000000-0005-0000-0000-0000E9530000}"/>
    <cellStyle name="Normal 12 9 5 3 8" xfId="21860" xr:uid="{00000000-0005-0000-0000-0000EA530000}"/>
    <cellStyle name="Normal 12 9 5 4" xfId="21861" xr:uid="{00000000-0005-0000-0000-0000EB530000}"/>
    <cellStyle name="Normal 12 9 5 4 2" xfId="21862" xr:uid="{00000000-0005-0000-0000-0000EC530000}"/>
    <cellStyle name="Normal 12 9 5 4 2 2" xfId="21863" xr:uid="{00000000-0005-0000-0000-0000ED530000}"/>
    <cellStyle name="Normal 12 9 5 4 2 3" xfId="21864" xr:uid="{00000000-0005-0000-0000-0000EE530000}"/>
    <cellStyle name="Normal 12 9 5 4 2 4" xfId="21865" xr:uid="{00000000-0005-0000-0000-0000EF530000}"/>
    <cellStyle name="Normal 12 9 5 4 2 5" xfId="21866" xr:uid="{00000000-0005-0000-0000-0000F0530000}"/>
    <cellStyle name="Normal 12 9 5 4 3" xfId="21867" xr:uid="{00000000-0005-0000-0000-0000F1530000}"/>
    <cellStyle name="Normal 12 9 5 4 4" xfId="21868" xr:uid="{00000000-0005-0000-0000-0000F2530000}"/>
    <cellStyle name="Normal 12 9 5 4 5" xfId="21869" xr:uid="{00000000-0005-0000-0000-0000F3530000}"/>
    <cellStyle name="Normal 12 9 5 4 6" xfId="21870" xr:uid="{00000000-0005-0000-0000-0000F4530000}"/>
    <cellStyle name="Normal 12 9 5 4 7" xfId="21871" xr:uid="{00000000-0005-0000-0000-0000F5530000}"/>
    <cellStyle name="Normal 12 9 5 4 8" xfId="21872" xr:uid="{00000000-0005-0000-0000-0000F6530000}"/>
    <cellStyle name="Normal 12 9 5 5" xfId="21873" xr:uid="{00000000-0005-0000-0000-0000F7530000}"/>
    <cellStyle name="Normal 12 9 5 5 2" xfId="21874" xr:uid="{00000000-0005-0000-0000-0000F8530000}"/>
    <cellStyle name="Normal 12 9 5 5 3" xfId="21875" xr:uid="{00000000-0005-0000-0000-0000F9530000}"/>
    <cellStyle name="Normal 12 9 5 5 4" xfId="21876" xr:uid="{00000000-0005-0000-0000-0000FA530000}"/>
    <cellStyle name="Normal 12 9 5 5 5" xfId="21877" xr:uid="{00000000-0005-0000-0000-0000FB530000}"/>
    <cellStyle name="Normal 12 9 5 6" xfId="21878" xr:uid="{00000000-0005-0000-0000-0000FC530000}"/>
    <cellStyle name="Normal 12 9 5 7" xfId="21879" xr:uid="{00000000-0005-0000-0000-0000FD530000}"/>
    <cellStyle name="Normal 12 9 5 8" xfId="21880" xr:uid="{00000000-0005-0000-0000-0000FE530000}"/>
    <cellStyle name="Normal 12 9 5 9" xfId="21881" xr:uid="{00000000-0005-0000-0000-0000FF530000}"/>
    <cellStyle name="Normal 12 9 6" xfId="21882" xr:uid="{00000000-0005-0000-0000-000000540000}"/>
    <cellStyle name="Normal 12 9 6 10" xfId="21883" xr:uid="{00000000-0005-0000-0000-000001540000}"/>
    <cellStyle name="Normal 12 9 6 2" xfId="21884" xr:uid="{00000000-0005-0000-0000-000002540000}"/>
    <cellStyle name="Normal 12 9 6 2 2" xfId="21885" xr:uid="{00000000-0005-0000-0000-000003540000}"/>
    <cellStyle name="Normal 12 9 6 2 2 2" xfId="21886" xr:uid="{00000000-0005-0000-0000-000004540000}"/>
    <cellStyle name="Normal 12 9 6 2 2 3" xfId="21887" xr:uid="{00000000-0005-0000-0000-000005540000}"/>
    <cellStyle name="Normal 12 9 6 2 2 4" xfId="21888" xr:uid="{00000000-0005-0000-0000-000006540000}"/>
    <cellStyle name="Normal 12 9 6 2 2 5" xfId="21889" xr:uid="{00000000-0005-0000-0000-000007540000}"/>
    <cellStyle name="Normal 12 9 6 2 3" xfId="21890" xr:uid="{00000000-0005-0000-0000-000008540000}"/>
    <cellStyle name="Normal 12 9 6 2 4" xfId="21891" xr:uid="{00000000-0005-0000-0000-000009540000}"/>
    <cellStyle name="Normal 12 9 6 2 5" xfId="21892" xr:uid="{00000000-0005-0000-0000-00000A540000}"/>
    <cellStyle name="Normal 12 9 6 2 6" xfId="21893" xr:uid="{00000000-0005-0000-0000-00000B540000}"/>
    <cellStyle name="Normal 12 9 6 2 7" xfId="21894" xr:uid="{00000000-0005-0000-0000-00000C540000}"/>
    <cellStyle name="Normal 12 9 6 2 8" xfId="21895" xr:uid="{00000000-0005-0000-0000-00000D540000}"/>
    <cellStyle name="Normal 12 9 6 3" xfId="21896" xr:uid="{00000000-0005-0000-0000-00000E540000}"/>
    <cellStyle name="Normal 12 9 6 3 2" xfId="21897" xr:uid="{00000000-0005-0000-0000-00000F540000}"/>
    <cellStyle name="Normal 12 9 6 3 2 2" xfId="21898" xr:uid="{00000000-0005-0000-0000-000010540000}"/>
    <cellStyle name="Normal 12 9 6 3 2 3" xfId="21899" xr:uid="{00000000-0005-0000-0000-000011540000}"/>
    <cellStyle name="Normal 12 9 6 3 2 4" xfId="21900" xr:uid="{00000000-0005-0000-0000-000012540000}"/>
    <cellStyle name="Normal 12 9 6 3 2 5" xfId="21901" xr:uid="{00000000-0005-0000-0000-000013540000}"/>
    <cellStyle name="Normal 12 9 6 3 3" xfId="21902" xr:uid="{00000000-0005-0000-0000-000014540000}"/>
    <cellStyle name="Normal 12 9 6 3 4" xfId="21903" xr:uid="{00000000-0005-0000-0000-000015540000}"/>
    <cellStyle name="Normal 12 9 6 3 5" xfId="21904" xr:uid="{00000000-0005-0000-0000-000016540000}"/>
    <cellStyle name="Normal 12 9 6 3 6" xfId="21905" xr:uid="{00000000-0005-0000-0000-000017540000}"/>
    <cellStyle name="Normal 12 9 6 3 7" xfId="21906" xr:uid="{00000000-0005-0000-0000-000018540000}"/>
    <cellStyle name="Normal 12 9 6 3 8" xfId="21907" xr:uid="{00000000-0005-0000-0000-000019540000}"/>
    <cellStyle name="Normal 12 9 6 4" xfId="21908" xr:uid="{00000000-0005-0000-0000-00001A540000}"/>
    <cellStyle name="Normal 12 9 6 4 2" xfId="21909" xr:uid="{00000000-0005-0000-0000-00001B540000}"/>
    <cellStyle name="Normal 12 9 6 4 3" xfId="21910" xr:uid="{00000000-0005-0000-0000-00001C540000}"/>
    <cellStyle name="Normal 12 9 6 4 4" xfId="21911" xr:uid="{00000000-0005-0000-0000-00001D540000}"/>
    <cellStyle name="Normal 12 9 6 4 5" xfId="21912" xr:uid="{00000000-0005-0000-0000-00001E540000}"/>
    <cellStyle name="Normal 12 9 6 5" xfId="21913" xr:uid="{00000000-0005-0000-0000-00001F540000}"/>
    <cellStyle name="Normal 12 9 6 6" xfId="21914" xr:uid="{00000000-0005-0000-0000-000020540000}"/>
    <cellStyle name="Normal 12 9 6 7" xfId="21915" xr:uid="{00000000-0005-0000-0000-000021540000}"/>
    <cellStyle name="Normal 12 9 6 8" xfId="21916" xr:uid="{00000000-0005-0000-0000-000022540000}"/>
    <cellStyle name="Normal 12 9 6 9" xfId="21917" xr:uid="{00000000-0005-0000-0000-000023540000}"/>
    <cellStyle name="Normal 12 9 7" xfId="21918" xr:uid="{00000000-0005-0000-0000-000024540000}"/>
    <cellStyle name="Normal 12 9 7 2" xfId="21919" xr:uid="{00000000-0005-0000-0000-000025540000}"/>
    <cellStyle name="Normal 12 9 7 2 2" xfId="21920" xr:uid="{00000000-0005-0000-0000-000026540000}"/>
    <cellStyle name="Normal 12 9 7 2 3" xfId="21921" xr:uid="{00000000-0005-0000-0000-000027540000}"/>
    <cellStyle name="Normal 12 9 7 2 4" xfId="21922" xr:uid="{00000000-0005-0000-0000-000028540000}"/>
    <cellStyle name="Normal 12 9 7 2 5" xfId="21923" xr:uid="{00000000-0005-0000-0000-000029540000}"/>
    <cellStyle name="Normal 12 9 7 3" xfId="21924" xr:uid="{00000000-0005-0000-0000-00002A540000}"/>
    <cellStyle name="Normal 12 9 7 4" xfId="21925" xr:uid="{00000000-0005-0000-0000-00002B540000}"/>
    <cellStyle name="Normal 12 9 7 5" xfId="21926" xr:uid="{00000000-0005-0000-0000-00002C540000}"/>
    <cellStyle name="Normal 12 9 7 6" xfId="21927" xr:uid="{00000000-0005-0000-0000-00002D540000}"/>
    <cellStyle name="Normal 12 9 7 7" xfId="21928" xr:uid="{00000000-0005-0000-0000-00002E540000}"/>
    <cellStyle name="Normal 12 9 7 8" xfId="21929" xr:uid="{00000000-0005-0000-0000-00002F540000}"/>
    <cellStyle name="Normal 12 9 8" xfId="21930" xr:uid="{00000000-0005-0000-0000-000030540000}"/>
    <cellStyle name="Normal 12 9 8 2" xfId="21931" xr:uid="{00000000-0005-0000-0000-000031540000}"/>
    <cellStyle name="Normal 12 9 8 2 2" xfId="21932" xr:uid="{00000000-0005-0000-0000-000032540000}"/>
    <cellStyle name="Normal 12 9 8 2 3" xfId="21933" xr:uid="{00000000-0005-0000-0000-000033540000}"/>
    <cellStyle name="Normal 12 9 8 2 4" xfId="21934" xr:uid="{00000000-0005-0000-0000-000034540000}"/>
    <cellStyle name="Normal 12 9 8 2 5" xfId="21935" xr:uid="{00000000-0005-0000-0000-000035540000}"/>
    <cellStyle name="Normal 12 9 8 3" xfId="21936" xr:uid="{00000000-0005-0000-0000-000036540000}"/>
    <cellStyle name="Normal 12 9 8 4" xfId="21937" xr:uid="{00000000-0005-0000-0000-000037540000}"/>
    <cellStyle name="Normal 12 9 8 5" xfId="21938" xr:uid="{00000000-0005-0000-0000-000038540000}"/>
    <cellStyle name="Normal 12 9 8 6" xfId="21939" xr:uid="{00000000-0005-0000-0000-000039540000}"/>
    <cellStyle name="Normal 12 9 8 7" xfId="21940" xr:uid="{00000000-0005-0000-0000-00003A540000}"/>
    <cellStyle name="Normal 12 9 8 8" xfId="21941" xr:uid="{00000000-0005-0000-0000-00003B540000}"/>
    <cellStyle name="Normal 12 9 9" xfId="21942" xr:uid="{00000000-0005-0000-0000-00003C540000}"/>
    <cellStyle name="Normal 12 9 9 2" xfId="21943" xr:uid="{00000000-0005-0000-0000-00003D540000}"/>
    <cellStyle name="Normal 12 9 9 3" xfId="21944" xr:uid="{00000000-0005-0000-0000-00003E540000}"/>
    <cellStyle name="Normal 12 9 9 4" xfId="21945" xr:uid="{00000000-0005-0000-0000-00003F540000}"/>
    <cellStyle name="Normal 12 9 9 5" xfId="21946" xr:uid="{00000000-0005-0000-0000-000040540000}"/>
    <cellStyle name="Normal 12_PT JABAR 88%" xfId="21947" xr:uid="{00000000-0005-0000-0000-000041540000}"/>
    <cellStyle name="Normal 13" xfId="811" xr:uid="{00000000-0005-0000-0000-000042540000}"/>
    <cellStyle name="Normal 13 2" xfId="812" xr:uid="{00000000-0005-0000-0000-000043540000}"/>
    <cellStyle name="Normal 13 2 2" xfId="21948" xr:uid="{00000000-0005-0000-0000-000044540000}"/>
    <cellStyle name="Normal 13 3" xfId="813" xr:uid="{00000000-0005-0000-0000-000045540000}"/>
    <cellStyle name="Normal 14" xfId="814" xr:uid="{00000000-0005-0000-0000-000046540000}"/>
    <cellStyle name="Normal 14 2" xfId="815" xr:uid="{00000000-0005-0000-0000-000047540000}"/>
    <cellStyle name="Normal 14 3" xfId="816" xr:uid="{00000000-0005-0000-0000-000048540000}"/>
    <cellStyle name="Normal 14 3 2" xfId="817" xr:uid="{00000000-0005-0000-0000-000049540000}"/>
    <cellStyle name="Normal 14 4" xfId="21949" xr:uid="{00000000-0005-0000-0000-00004A540000}"/>
    <cellStyle name="Normal 14 5" xfId="21950" xr:uid="{00000000-0005-0000-0000-00004B540000}"/>
    <cellStyle name="Normal 14 6" xfId="42630" xr:uid="{00000000-0005-0000-0000-00004C540000}"/>
    <cellStyle name="Normal 15" xfId="818" xr:uid="{00000000-0005-0000-0000-00004D540000}"/>
    <cellStyle name="Normal 15 2" xfId="819" xr:uid="{00000000-0005-0000-0000-00004E540000}"/>
    <cellStyle name="Normal 15 2 2" xfId="21951" xr:uid="{00000000-0005-0000-0000-00004F540000}"/>
    <cellStyle name="Normal 15 3" xfId="820" xr:uid="{00000000-0005-0000-0000-000050540000}"/>
    <cellStyle name="Normal 15 3 2" xfId="821" xr:uid="{00000000-0005-0000-0000-000051540000}"/>
    <cellStyle name="Normal 16" xfId="822" xr:uid="{00000000-0005-0000-0000-000052540000}"/>
    <cellStyle name="Normal 16 2" xfId="823" xr:uid="{00000000-0005-0000-0000-000053540000}"/>
    <cellStyle name="Normal 16 3" xfId="824" xr:uid="{00000000-0005-0000-0000-000054540000}"/>
    <cellStyle name="Normal 16 3 2" xfId="825" xr:uid="{00000000-0005-0000-0000-000055540000}"/>
    <cellStyle name="Normal 16 4" xfId="42631" xr:uid="{00000000-0005-0000-0000-000056540000}"/>
    <cellStyle name="Normal 17" xfId="826" xr:uid="{00000000-0005-0000-0000-000057540000}"/>
    <cellStyle name="Normal 17 2" xfId="827" xr:uid="{00000000-0005-0000-0000-000058540000}"/>
    <cellStyle name="Normal 17 3" xfId="828" xr:uid="{00000000-0005-0000-0000-000059540000}"/>
    <cellStyle name="Normal 17 3 2" xfId="829" xr:uid="{00000000-0005-0000-0000-00005A540000}"/>
    <cellStyle name="Normal 17 4" xfId="42632" xr:uid="{00000000-0005-0000-0000-00005B540000}"/>
    <cellStyle name="Normal 18" xfId="830" xr:uid="{00000000-0005-0000-0000-00005C540000}"/>
    <cellStyle name="Normal 18 2" xfId="831" xr:uid="{00000000-0005-0000-0000-00005D540000}"/>
    <cellStyle name="Normal 18 3" xfId="832" xr:uid="{00000000-0005-0000-0000-00005E540000}"/>
    <cellStyle name="Normal 18 3 2" xfId="833" xr:uid="{00000000-0005-0000-0000-00005F540000}"/>
    <cellStyle name="Normal 18 4" xfId="42633" xr:uid="{00000000-0005-0000-0000-000060540000}"/>
    <cellStyle name="Normal 19" xfId="834" xr:uid="{00000000-0005-0000-0000-000061540000}"/>
    <cellStyle name="Normal 19 2" xfId="835" xr:uid="{00000000-0005-0000-0000-000062540000}"/>
    <cellStyle name="Normal 19 3" xfId="836" xr:uid="{00000000-0005-0000-0000-000063540000}"/>
    <cellStyle name="Normal 19 3 2" xfId="837" xr:uid="{00000000-0005-0000-0000-000064540000}"/>
    <cellStyle name="Normal 2" xfId="838" xr:uid="{00000000-0005-0000-0000-000065540000}"/>
    <cellStyle name="Normal 2 10" xfId="839" xr:uid="{00000000-0005-0000-0000-000066540000}"/>
    <cellStyle name="Normal 2 10 10" xfId="21952" xr:uid="{00000000-0005-0000-0000-000067540000}"/>
    <cellStyle name="Normal 2 10 11" xfId="21953" xr:uid="{00000000-0005-0000-0000-000068540000}"/>
    <cellStyle name="Normal 2 10 12" xfId="21954" xr:uid="{00000000-0005-0000-0000-000069540000}"/>
    <cellStyle name="Normal 2 10 13" xfId="21955" xr:uid="{00000000-0005-0000-0000-00006A540000}"/>
    <cellStyle name="Normal 2 10 14" xfId="21956" xr:uid="{00000000-0005-0000-0000-00006B540000}"/>
    <cellStyle name="Normal 2 10 15" xfId="21957" xr:uid="{00000000-0005-0000-0000-00006C540000}"/>
    <cellStyle name="Normal 2 10 2" xfId="21958" xr:uid="{00000000-0005-0000-0000-00006D540000}"/>
    <cellStyle name="Normal 2 10 2 10" xfId="21959" xr:uid="{00000000-0005-0000-0000-00006E540000}"/>
    <cellStyle name="Normal 2 10 2 11" xfId="21960" xr:uid="{00000000-0005-0000-0000-00006F540000}"/>
    <cellStyle name="Normal 2 10 2 12" xfId="21961" xr:uid="{00000000-0005-0000-0000-000070540000}"/>
    <cellStyle name="Normal 2 10 2 13" xfId="21962" xr:uid="{00000000-0005-0000-0000-000071540000}"/>
    <cellStyle name="Normal 2 10 2 2" xfId="21963" xr:uid="{00000000-0005-0000-0000-000072540000}"/>
    <cellStyle name="Normal 2 10 2 2 10" xfId="21964" xr:uid="{00000000-0005-0000-0000-000073540000}"/>
    <cellStyle name="Normal 2 10 2 2 11" xfId="21965" xr:uid="{00000000-0005-0000-0000-000074540000}"/>
    <cellStyle name="Normal 2 10 2 2 2" xfId="21966" xr:uid="{00000000-0005-0000-0000-000075540000}"/>
    <cellStyle name="Normal 2 10 2 2 2 10" xfId="21967" xr:uid="{00000000-0005-0000-0000-000076540000}"/>
    <cellStyle name="Normal 2 10 2 2 2 2" xfId="21968" xr:uid="{00000000-0005-0000-0000-000077540000}"/>
    <cellStyle name="Normal 2 10 2 2 2 2 2" xfId="21969" xr:uid="{00000000-0005-0000-0000-000078540000}"/>
    <cellStyle name="Normal 2 10 2 2 2 2 2 2" xfId="21970" xr:uid="{00000000-0005-0000-0000-000079540000}"/>
    <cellStyle name="Normal 2 10 2 2 2 2 2 3" xfId="21971" xr:uid="{00000000-0005-0000-0000-00007A540000}"/>
    <cellStyle name="Normal 2 10 2 2 2 2 2 4" xfId="21972" xr:uid="{00000000-0005-0000-0000-00007B540000}"/>
    <cellStyle name="Normal 2 10 2 2 2 2 2 5" xfId="21973" xr:uid="{00000000-0005-0000-0000-00007C540000}"/>
    <cellStyle name="Normal 2 10 2 2 2 2 3" xfId="21974" xr:uid="{00000000-0005-0000-0000-00007D540000}"/>
    <cellStyle name="Normal 2 10 2 2 2 2 4" xfId="21975" xr:uid="{00000000-0005-0000-0000-00007E540000}"/>
    <cellStyle name="Normal 2 10 2 2 2 2 5" xfId="21976" xr:uid="{00000000-0005-0000-0000-00007F540000}"/>
    <cellStyle name="Normal 2 10 2 2 2 2 6" xfId="21977" xr:uid="{00000000-0005-0000-0000-000080540000}"/>
    <cellStyle name="Normal 2 10 2 2 2 2 7" xfId="21978" xr:uid="{00000000-0005-0000-0000-000081540000}"/>
    <cellStyle name="Normal 2 10 2 2 2 2 8" xfId="21979" xr:uid="{00000000-0005-0000-0000-000082540000}"/>
    <cellStyle name="Normal 2 10 2 2 2 3" xfId="21980" xr:uid="{00000000-0005-0000-0000-000083540000}"/>
    <cellStyle name="Normal 2 10 2 2 2 3 2" xfId="21981" xr:uid="{00000000-0005-0000-0000-000084540000}"/>
    <cellStyle name="Normal 2 10 2 2 2 3 2 2" xfId="21982" xr:uid="{00000000-0005-0000-0000-000085540000}"/>
    <cellStyle name="Normal 2 10 2 2 2 3 2 3" xfId="21983" xr:uid="{00000000-0005-0000-0000-000086540000}"/>
    <cellStyle name="Normal 2 10 2 2 2 3 2 4" xfId="21984" xr:uid="{00000000-0005-0000-0000-000087540000}"/>
    <cellStyle name="Normal 2 10 2 2 2 3 2 5" xfId="21985" xr:uid="{00000000-0005-0000-0000-000088540000}"/>
    <cellStyle name="Normal 2 10 2 2 2 3 3" xfId="21986" xr:uid="{00000000-0005-0000-0000-000089540000}"/>
    <cellStyle name="Normal 2 10 2 2 2 3 4" xfId="21987" xr:uid="{00000000-0005-0000-0000-00008A540000}"/>
    <cellStyle name="Normal 2 10 2 2 2 3 5" xfId="21988" xr:uid="{00000000-0005-0000-0000-00008B540000}"/>
    <cellStyle name="Normal 2 10 2 2 2 3 6" xfId="21989" xr:uid="{00000000-0005-0000-0000-00008C540000}"/>
    <cellStyle name="Normal 2 10 2 2 2 3 7" xfId="21990" xr:uid="{00000000-0005-0000-0000-00008D540000}"/>
    <cellStyle name="Normal 2 10 2 2 2 3 8" xfId="21991" xr:uid="{00000000-0005-0000-0000-00008E540000}"/>
    <cellStyle name="Normal 2 10 2 2 2 4" xfId="21992" xr:uid="{00000000-0005-0000-0000-00008F540000}"/>
    <cellStyle name="Normal 2 10 2 2 2 4 2" xfId="21993" xr:uid="{00000000-0005-0000-0000-000090540000}"/>
    <cellStyle name="Normal 2 10 2 2 2 4 3" xfId="21994" xr:uid="{00000000-0005-0000-0000-000091540000}"/>
    <cellStyle name="Normal 2 10 2 2 2 4 4" xfId="21995" xr:uid="{00000000-0005-0000-0000-000092540000}"/>
    <cellStyle name="Normal 2 10 2 2 2 4 5" xfId="21996" xr:uid="{00000000-0005-0000-0000-000093540000}"/>
    <cellStyle name="Normal 2 10 2 2 2 5" xfId="21997" xr:uid="{00000000-0005-0000-0000-000094540000}"/>
    <cellStyle name="Normal 2 10 2 2 2 6" xfId="21998" xr:uid="{00000000-0005-0000-0000-000095540000}"/>
    <cellStyle name="Normal 2 10 2 2 2 7" xfId="21999" xr:uid="{00000000-0005-0000-0000-000096540000}"/>
    <cellStyle name="Normal 2 10 2 2 2 8" xfId="22000" xr:uid="{00000000-0005-0000-0000-000097540000}"/>
    <cellStyle name="Normal 2 10 2 2 2 9" xfId="22001" xr:uid="{00000000-0005-0000-0000-000098540000}"/>
    <cellStyle name="Normal 2 10 2 2 3" xfId="22002" xr:uid="{00000000-0005-0000-0000-000099540000}"/>
    <cellStyle name="Normal 2 10 2 2 3 2" xfId="22003" xr:uid="{00000000-0005-0000-0000-00009A540000}"/>
    <cellStyle name="Normal 2 10 2 2 3 2 2" xfId="22004" xr:uid="{00000000-0005-0000-0000-00009B540000}"/>
    <cellStyle name="Normal 2 10 2 2 3 2 3" xfId="22005" xr:uid="{00000000-0005-0000-0000-00009C540000}"/>
    <cellStyle name="Normal 2 10 2 2 3 2 4" xfId="22006" xr:uid="{00000000-0005-0000-0000-00009D540000}"/>
    <cellStyle name="Normal 2 10 2 2 3 2 5" xfId="22007" xr:uid="{00000000-0005-0000-0000-00009E540000}"/>
    <cellStyle name="Normal 2 10 2 2 3 3" xfId="22008" xr:uid="{00000000-0005-0000-0000-00009F540000}"/>
    <cellStyle name="Normal 2 10 2 2 3 4" xfId="22009" xr:uid="{00000000-0005-0000-0000-0000A0540000}"/>
    <cellStyle name="Normal 2 10 2 2 3 5" xfId="22010" xr:uid="{00000000-0005-0000-0000-0000A1540000}"/>
    <cellStyle name="Normal 2 10 2 2 3 6" xfId="22011" xr:uid="{00000000-0005-0000-0000-0000A2540000}"/>
    <cellStyle name="Normal 2 10 2 2 3 7" xfId="22012" xr:uid="{00000000-0005-0000-0000-0000A3540000}"/>
    <cellStyle name="Normal 2 10 2 2 3 8" xfId="22013" xr:uid="{00000000-0005-0000-0000-0000A4540000}"/>
    <cellStyle name="Normal 2 10 2 2 4" xfId="22014" xr:uid="{00000000-0005-0000-0000-0000A5540000}"/>
    <cellStyle name="Normal 2 10 2 2 4 2" xfId="22015" xr:uid="{00000000-0005-0000-0000-0000A6540000}"/>
    <cellStyle name="Normal 2 10 2 2 4 2 2" xfId="22016" xr:uid="{00000000-0005-0000-0000-0000A7540000}"/>
    <cellStyle name="Normal 2 10 2 2 4 2 3" xfId="22017" xr:uid="{00000000-0005-0000-0000-0000A8540000}"/>
    <cellStyle name="Normal 2 10 2 2 4 2 4" xfId="22018" xr:uid="{00000000-0005-0000-0000-0000A9540000}"/>
    <cellStyle name="Normal 2 10 2 2 4 2 5" xfId="22019" xr:uid="{00000000-0005-0000-0000-0000AA540000}"/>
    <cellStyle name="Normal 2 10 2 2 4 3" xfId="22020" xr:uid="{00000000-0005-0000-0000-0000AB540000}"/>
    <cellStyle name="Normal 2 10 2 2 4 4" xfId="22021" xr:uid="{00000000-0005-0000-0000-0000AC540000}"/>
    <cellStyle name="Normal 2 10 2 2 4 5" xfId="22022" xr:uid="{00000000-0005-0000-0000-0000AD540000}"/>
    <cellStyle name="Normal 2 10 2 2 4 6" xfId="22023" xr:uid="{00000000-0005-0000-0000-0000AE540000}"/>
    <cellStyle name="Normal 2 10 2 2 4 7" xfId="22024" xr:uid="{00000000-0005-0000-0000-0000AF540000}"/>
    <cellStyle name="Normal 2 10 2 2 4 8" xfId="22025" xr:uid="{00000000-0005-0000-0000-0000B0540000}"/>
    <cellStyle name="Normal 2 10 2 2 5" xfId="22026" xr:uid="{00000000-0005-0000-0000-0000B1540000}"/>
    <cellStyle name="Normal 2 10 2 2 5 2" xfId="22027" xr:uid="{00000000-0005-0000-0000-0000B2540000}"/>
    <cellStyle name="Normal 2 10 2 2 5 3" xfId="22028" xr:uid="{00000000-0005-0000-0000-0000B3540000}"/>
    <cellStyle name="Normal 2 10 2 2 5 4" xfId="22029" xr:uid="{00000000-0005-0000-0000-0000B4540000}"/>
    <cellStyle name="Normal 2 10 2 2 5 5" xfId="22030" xr:uid="{00000000-0005-0000-0000-0000B5540000}"/>
    <cellStyle name="Normal 2 10 2 2 6" xfId="22031" xr:uid="{00000000-0005-0000-0000-0000B6540000}"/>
    <cellStyle name="Normal 2 10 2 2 7" xfId="22032" xr:uid="{00000000-0005-0000-0000-0000B7540000}"/>
    <cellStyle name="Normal 2 10 2 2 8" xfId="22033" xr:uid="{00000000-0005-0000-0000-0000B8540000}"/>
    <cellStyle name="Normal 2 10 2 2 9" xfId="22034" xr:uid="{00000000-0005-0000-0000-0000B9540000}"/>
    <cellStyle name="Normal 2 10 2 3" xfId="22035" xr:uid="{00000000-0005-0000-0000-0000BA540000}"/>
    <cellStyle name="Normal 2 10 2 3 10" xfId="22036" xr:uid="{00000000-0005-0000-0000-0000BB540000}"/>
    <cellStyle name="Normal 2 10 2 3 11" xfId="22037" xr:uid="{00000000-0005-0000-0000-0000BC540000}"/>
    <cellStyle name="Normal 2 10 2 3 2" xfId="22038" xr:uid="{00000000-0005-0000-0000-0000BD540000}"/>
    <cellStyle name="Normal 2 10 2 3 2 10" xfId="22039" xr:uid="{00000000-0005-0000-0000-0000BE540000}"/>
    <cellStyle name="Normal 2 10 2 3 2 2" xfId="22040" xr:uid="{00000000-0005-0000-0000-0000BF540000}"/>
    <cellStyle name="Normal 2 10 2 3 2 2 2" xfId="22041" xr:uid="{00000000-0005-0000-0000-0000C0540000}"/>
    <cellStyle name="Normal 2 10 2 3 2 2 2 2" xfId="22042" xr:uid="{00000000-0005-0000-0000-0000C1540000}"/>
    <cellStyle name="Normal 2 10 2 3 2 2 2 3" xfId="22043" xr:uid="{00000000-0005-0000-0000-0000C2540000}"/>
    <cellStyle name="Normal 2 10 2 3 2 2 2 4" xfId="22044" xr:uid="{00000000-0005-0000-0000-0000C3540000}"/>
    <cellStyle name="Normal 2 10 2 3 2 2 2 5" xfId="22045" xr:uid="{00000000-0005-0000-0000-0000C4540000}"/>
    <cellStyle name="Normal 2 10 2 3 2 2 3" xfId="22046" xr:uid="{00000000-0005-0000-0000-0000C5540000}"/>
    <cellStyle name="Normal 2 10 2 3 2 2 4" xfId="22047" xr:uid="{00000000-0005-0000-0000-0000C6540000}"/>
    <cellStyle name="Normal 2 10 2 3 2 2 5" xfId="22048" xr:uid="{00000000-0005-0000-0000-0000C7540000}"/>
    <cellStyle name="Normal 2 10 2 3 2 2 6" xfId="22049" xr:uid="{00000000-0005-0000-0000-0000C8540000}"/>
    <cellStyle name="Normal 2 10 2 3 2 2 7" xfId="22050" xr:uid="{00000000-0005-0000-0000-0000C9540000}"/>
    <cellStyle name="Normal 2 10 2 3 2 2 8" xfId="22051" xr:uid="{00000000-0005-0000-0000-0000CA540000}"/>
    <cellStyle name="Normal 2 10 2 3 2 3" xfId="22052" xr:uid="{00000000-0005-0000-0000-0000CB540000}"/>
    <cellStyle name="Normal 2 10 2 3 2 3 2" xfId="22053" xr:uid="{00000000-0005-0000-0000-0000CC540000}"/>
    <cellStyle name="Normal 2 10 2 3 2 3 2 2" xfId="22054" xr:uid="{00000000-0005-0000-0000-0000CD540000}"/>
    <cellStyle name="Normal 2 10 2 3 2 3 2 3" xfId="22055" xr:uid="{00000000-0005-0000-0000-0000CE540000}"/>
    <cellStyle name="Normal 2 10 2 3 2 3 2 4" xfId="22056" xr:uid="{00000000-0005-0000-0000-0000CF540000}"/>
    <cellStyle name="Normal 2 10 2 3 2 3 2 5" xfId="22057" xr:uid="{00000000-0005-0000-0000-0000D0540000}"/>
    <cellStyle name="Normal 2 10 2 3 2 3 3" xfId="22058" xr:uid="{00000000-0005-0000-0000-0000D1540000}"/>
    <cellStyle name="Normal 2 10 2 3 2 3 4" xfId="22059" xr:uid="{00000000-0005-0000-0000-0000D2540000}"/>
    <cellStyle name="Normal 2 10 2 3 2 3 5" xfId="22060" xr:uid="{00000000-0005-0000-0000-0000D3540000}"/>
    <cellStyle name="Normal 2 10 2 3 2 3 6" xfId="22061" xr:uid="{00000000-0005-0000-0000-0000D4540000}"/>
    <cellStyle name="Normal 2 10 2 3 2 3 7" xfId="22062" xr:uid="{00000000-0005-0000-0000-0000D5540000}"/>
    <cellStyle name="Normal 2 10 2 3 2 3 8" xfId="22063" xr:uid="{00000000-0005-0000-0000-0000D6540000}"/>
    <cellStyle name="Normal 2 10 2 3 2 4" xfId="22064" xr:uid="{00000000-0005-0000-0000-0000D7540000}"/>
    <cellStyle name="Normal 2 10 2 3 2 4 2" xfId="22065" xr:uid="{00000000-0005-0000-0000-0000D8540000}"/>
    <cellStyle name="Normal 2 10 2 3 2 4 3" xfId="22066" xr:uid="{00000000-0005-0000-0000-0000D9540000}"/>
    <cellStyle name="Normal 2 10 2 3 2 4 4" xfId="22067" xr:uid="{00000000-0005-0000-0000-0000DA540000}"/>
    <cellStyle name="Normal 2 10 2 3 2 4 5" xfId="22068" xr:uid="{00000000-0005-0000-0000-0000DB540000}"/>
    <cellStyle name="Normal 2 10 2 3 2 5" xfId="22069" xr:uid="{00000000-0005-0000-0000-0000DC540000}"/>
    <cellStyle name="Normal 2 10 2 3 2 6" xfId="22070" xr:uid="{00000000-0005-0000-0000-0000DD540000}"/>
    <cellStyle name="Normal 2 10 2 3 2 7" xfId="22071" xr:uid="{00000000-0005-0000-0000-0000DE540000}"/>
    <cellStyle name="Normal 2 10 2 3 2 8" xfId="22072" xr:uid="{00000000-0005-0000-0000-0000DF540000}"/>
    <cellStyle name="Normal 2 10 2 3 2 9" xfId="22073" xr:uid="{00000000-0005-0000-0000-0000E0540000}"/>
    <cellStyle name="Normal 2 10 2 3 3" xfId="22074" xr:uid="{00000000-0005-0000-0000-0000E1540000}"/>
    <cellStyle name="Normal 2 10 2 3 3 2" xfId="22075" xr:uid="{00000000-0005-0000-0000-0000E2540000}"/>
    <cellStyle name="Normal 2 10 2 3 3 2 2" xfId="22076" xr:uid="{00000000-0005-0000-0000-0000E3540000}"/>
    <cellStyle name="Normal 2 10 2 3 3 2 3" xfId="22077" xr:uid="{00000000-0005-0000-0000-0000E4540000}"/>
    <cellStyle name="Normal 2 10 2 3 3 2 4" xfId="22078" xr:uid="{00000000-0005-0000-0000-0000E5540000}"/>
    <cellStyle name="Normal 2 10 2 3 3 2 5" xfId="22079" xr:uid="{00000000-0005-0000-0000-0000E6540000}"/>
    <cellStyle name="Normal 2 10 2 3 3 3" xfId="22080" xr:uid="{00000000-0005-0000-0000-0000E7540000}"/>
    <cellStyle name="Normal 2 10 2 3 3 4" xfId="22081" xr:uid="{00000000-0005-0000-0000-0000E8540000}"/>
    <cellStyle name="Normal 2 10 2 3 3 5" xfId="22082" xr:uid="{00000000-0005-0000-0000-0000E9540000}"/>
    <cellStyle name="Normal 2 10 2 3 3 6" xfId="22083" xr:uid="{00000000-0005-0000-0000-0000EA540000}"/>
    <cellStyle name="Normal 2 10 2 3 3 7" xfId="22084" xr:uid="{00000000-0005-0000-0000-0000EB540000}"/>
    <cellStyle name="Normal 2 10 2 3 3 8" xfId="22085" xr:uid="{00000000-0005-0000-0000-0000EC540000}"/>
    <cellStyle name="Normal 2 10 2 3 4" xfId="22086" xr:uid="{00000000-0005-0000-0000-0000ED540000}"/>
    <cellStyle name="Normal 2 10 2 3 4 2" xfId="22087" xr:uid="{00000000-0005-0000-0000-0000EE540000}"/>
    <cellStyle name="Normal 2 10 2 3 4 2 2" xfId="22088" xr:uid="{00000000-0005-0000-0000-0000EF540000}"/>
    <cellStyle name="Normal 2 10 2 3 4 2 3" xfId="22089" xr:uid="{00000000-0005-0000-0000-0000F0540000}"/>
    <cellStyle name="Normal 2 10 2 3 4 2 4" xfId="22090" xr:uid="{00000000-0005-0000-0000-0000F1540000}"/>
    <cellStyle name="Normal 2 10 2 3 4 2 5" xfId="22091" xr:uid="{00000000-0005-0000-0000-0000F2540000}"/>
    <cellStyle name="Normal 2 10 2 3 4 3" xfId="22092" xr:uid="{00000000-0005-0000-0000-0000F3540000}"/>
    <cellStyle name="Normal 2 10 2 3 4 4" xfId="22093" xr:uid="{00000000-0005-0000-0000-0000F4540000}"/>
    <cellStyle name="Normal 2 10 2 3 4 5" xfId="22094" xr:uid="{00000000-0005-0000-0000-0000F5540000}"/>
    <cellStyle name="Normal 2 10 2 3 4 6" xfId="22095" xr:uid="{00000000-0005-0000-0000-0000F6540000}"/>
    <cellStyle name="Normal 2 10 2 3 4 7" xfId="22096" xr:uid="{00000000-0005-0000-0000-0000F7540000}"/>
    <cellStyle name="Normal 2 10 2 3 4 8" xfId="22097" xr:uid="{00000000-0005-0000-0000-0000F8540000}"/>
    <cellStyle name="Normal 2 10 2 3 5" xfId="22098" xr:uid="{00000000-0005-0000-0000-0000F9540000}"/>
    <cellStyle name="Normal 2 10 2 3 5 2" xfId="22099" xr:uid="{00000000-0005-0000-0000-0000FA540000}"/>
    <cellStyle name="Normal 2 10 2 3 5 3" xfId="22100" xr:uid="{00000000-0005-0000-0000-0000FB540000}"/>
    <cellStyle name="Normal 2 10 2 3 5 4" xfId="22101" xr:uid="{00000000-0005-0000-0000-0000FC540000}"/>
    <cellStyle name="Normal 2 10 2 3 5 5" xfId="22102" xr:uid="{00000000-0005-0000-0000-0000FD540000}"/>
    <cellStyle name="Normal 2 10 2 3 6" xfId="22103" xr:uid="{00000000-0005-0000-0000-0000FE540000}"/>
    <cellStyle name="Normal 2 10 2 3 7" xfId="22104" xr:uid="{00000000-0005-0000-0000-0000FF540000}"/>
    <cellStyle name="Normal 2 10 2 3 8" xfId="22105" xr:uid="{00000000-0005-0000-0000-000000550000}"/>
    <cellStyle name="Normal 2 10 2 3 9" xfId="22106" xr:uid="{00000000-0005-0000-0000-000001550000}"/>
    <cellStyle name="Normal 2 10 2 4" xfId="22107" xr:uid="{00000000-0005-0000-0000-000002550000}"/>
    <cellStyle name="Normal 2 10 2 4 10" xfId="22108" xr:uid="{00000000-0005-0000-0000-000003550000}"/>
    <cellStyle name="Normal 2 10 2 4 2" xfId="22109" xr:uid="{00000000-0005-0000-0000-000004550000}"/>
    <cellStyle name="Normal 2 10 2 4 2 2" xfId="22110" xr:uid="{00000000-0005-0000-0000-000005550000}"/>
    <cellStyle name="Normal 2 10 2 4 2 2 2" xfId="22111" xr:uid="{00000000-0005-0000-0000-000006550000}"/>
    <cellStyle name="Normal 2 10 2 4 2 2 3" xfId="22112" xr:uid="{00000000-0005-0000-0000-000007550000}"/>
    <cellStyle name="Normal 2 10 2 4 2 2 4" xfId="22113" xr:uid="{00000000-0005-0000-0000-000008550000}"/>
    <cellStyle name="Normal 2 10 2 4 2 2 5" xfId="22114" xr:uid="{00000000-0005-0000-0000-000009550000}"/>
    <cellStyle name="Normal 2 10 2 4 2 3" xfId="22115" xr:uid="{00000000-0005-0000-0000-00000A550000}"/>
    <cellStyle name="Normal 2 10 2 4 2 4" xfId="22116" xr:uid="{00000000-0005-0000-0000-00000B550000}"/>
    <cellStyle name="Normal 2 10 2 4 2 5" xfId="22117" xr:uid="{00000000-0005-0000-0000-00000C550000}"/>
    <cellStyle name="Normal 2 10 2 4 2 6" xfId="22118" xr:uid="{00000000-0005-0000-0000-00000D550000}"/>
    <cellStyle name="Normal 2 10 2 4 2 7" xfId="22119" xr:uid="{00000000-0005-0000-0000-00000E550000}"/>
    <cellStyle name="Normal 2 10 2 4 2 8" xfId="22120" xr:uid="{00000000-0005-0000-0000-00000F550000}"/>
    <cellStyle name="Normal 2 10 2 4 3" xfId="22121" xr:uid="{00000000-0005-0000-0000-000010550000}"/>
    <cellStyle name="Normal 2 10 2 4 3 2" xfId="22122" xr:uid="{00000000-0005-0000-0000-000011550000}"/>
    <cellStyle name="Normal 2 10 2 4 3 2 2" xfId="22123" xr:uid="{00000000-0005-0000-0000-000012550000}"/>
    <cellStyle name="Normal 2 10 2 4 3 2 3" xfId="22124" xr:uid="{00000000-0005-0000-0000-000013550000}"/>
    <cellStyle name="Normal 2 10 2 4 3 2 4" xfId="22125" xr:uid="{00000000-0005-0000-0000-000014550000}"/>
    <cellStyle name="Normal 2 10 2 4 3 2 5" xfId="22126" xr:uid="{00000000-0005-0000-0000-000015550000}"/>
    <cellStyle name="Normal 2 10 2 4 3 3" xfId="22127" xr:uid="{00000000-0005-0000-0000-000016550000}"/>
    <cellStyle name="Normal 2 10 2 4 3 4" xfId="22128" xr:uid="{00000000-0005-0000-0000-000017550000}"/>
    <cellStyle name="Normal 2 10 2 4 3 5" xfId="22129" xr:uid="{00000000-0005-0000-0000-000018550000}"/>
    <cellStyle name="Normal 2 10 2 4 3 6" xfId="22130" xr:uid="{00000000-0005-0000-0000-000019550000}"/>
    <cellStyle name="Normal 2 10 2 4 3 7" xfId="22131" xr:uid="{00000000-0005-0000-0000-00001A550000}"/>
    <cellStyle name="Normal 2 10 2 4 3 8" xfId="22132" xr:uid="{00000000-0005-0000-0000-00001B550000}"/>
    <cellStyle name="Normal 2 10 2 4 4" xfId="22133" xr:uid="{00000000-0005-0000-0000-00001C550000}"/>
    <cellStyle name="Normal 2 10 2 4 4 2" xfId="22134" xr:uid="{00000000-0005-0000-0000-00001D550000}"/>
    <cellStyle name="Normal 2 10 2 4 4 3" xfId="22135" xr:uid="{00000000-0005-0000-0000-00001E550000}"/>
    <cellStyle name="Normal 2 10 2 4 4 4" xfId="22136" xr:uid="{00000000-0005-0000-0000-00001F550000}"/>
    <cellStyle name="Normal 2 10 2 4 4 5" xfId="22137" xr:uid="{00000000-0005-0000-0000-000020550000}"/>
    <cellStyle name="Normal 2 10 2 4 5" xfId="22138" xr:uid="{00000000-0005-0000-0000-000021550000}"/>
    <cellStyle name="Normal 2 10 2 4 6" xfId="22139" xr:uid="{00000000-0005-0000-0000-000022550000}"/>
    <cellStyle name="Normal 2 10 2 4 7" xfId="22140" xr:uid="{00000000-0005-0000-0000-000023550000}"/>
    <cellStyle name="Normal 2 10 2 4 8" xfId="22141" xr:uid="{00000000-0005-0000-0000-000024550000}"/>
    <cellStyle name="Normal 2 10 2 4 9" xfId="22142" xr:uid="{00000000-0005-0000-0000-000025550000}"/>
    <cellStyle name="Normal 2 10 2 5" xfId="22143" xr:uid="{00000000-0005-0000-0000-000026550000}"/>
    <cellStyle name="Normal 2 10 2 5 2" xfId="22144" xr:uid="{00000000-0005-0000-0000-000027550000}"/>
    <cellStyle name="Normal 2 10 2 5 2 2" xfId="22145" xr:uid="{00000000-0005-0000-0000-000028550000}"/>
    <cellStyle name="Normal 2 10 2 5 2 3" xfId="22146" xr:uid="{00000000-0005-0000-0000-000029550000}"/>
    <cellStyle name="Normal 2 10 2 5 2 4" xfId="22147" xr:uid="{00000000-0005-0000-0000-00002A550000}"/>
    <cellStyle name="Normal 2 10 2 5 2 5" xfId="22148" xr:uid="{00000000-0005-0000-0000-00002B550000}"/>
    <cellStyle name="Normal 2 10 2 5 3" xfId="22149" xr:uid="{00000000-0005-0000-0000-00002C550000}"/>
    <cellStyle name="Normal 2 10 2 5 4" xfId="22150" xr:uid="{00000000-0005-0000-0000-00002D550000}"/>
    <cellStyle name="Normal 2 10 2 5 5" xfId="22151" xr:uid="{00000000-0005-0000-0000-00002E550000}"/>
    <cellStyle name="Normal 2 10 2 5 6" xfId="22152" xr:uid="{00000000-0005-0000-0000-00002F550000}"/>
    <cellStyle name="Normal 2 10 2 5 7" xfId="22153" xr:uid="{00000000-0005-0000-0000-000030550000}"/>
    <cellStyle name="Normal 2 10 2 5 8" xfId="22154" xr:uid="{00000000-0005-0000-0000-000031550000}"/>
    <cellStyle name="Normal 2 10 2 6" xfId="22155" xr:uid="{00000000-0005-0000-0000-000032550000}"/>
    <cellStyle name="Normal 2 10 2 6 2" xfId="22156" xr:uid="{00000000-0005-0000-0000-000033550000}"/>
    <cellStyle name="Normal 2 10 2 6 2 2" xfId="22157" xr:uid="{00000000-0005-0000-0000-000034550000}"/>
    <cellStyle name="Normal 2 10 2 6 2 3" xfId="22158" xr:uid="{00000000-0005-0000-0000-000035550000}"/>
    <cellStyle name="Normal 2 10 2 6 2 4" xfId="22159" xr:uid="{00000000-0005-0000-0000-000036550000}"/>
    <cellStyle name="Normal 2 10 2 6 2 5" xfId="22160" xr:uid="{00000000-0005-0000-0000-000037550000}"/>
    <cellStyle name="Normal 2 10 2 6 3" xfId="22161" xr:uid="{00000000-0005-0000-0000-000038550000}"/>
    <cellStyle name="Normal 2 10 2 6 4" xfId="22162" xr:uid="{00000000-0005-0000-0000-000039550000}"/>
    <cellStyle name="Normal 2 10 2 6 5" xfId="22163" xr:uid="{00000000-0005-0000-0000-00003A550000}"/>
    <cellStyle name="Normal 2 10 2 6 6" xfId="22164" xr:uid="{00000000-0005-0000-0000-00003B550000}"/>
    <cellStyle name="Normal 2 10 2 6 7" xfId="22165" xr:uid="{00000000-0005-0000-0000-00003C550000}"/>
    <cellStyle name="Normal 2 10 2 6 8" xfId="22166" xr:uid="{00000000-0005-0000-0000-00003D550000}"/>
    <cellStyle name="Normal 2 10 2 7" xfId="22167" xr:uid="{00000000-0005-0000-0000-00003E550000}"/>
    <cellStyle name="Normal 2 10 2 7 2" xfId="22168" xr:uid="{00000000-0005-0000-0000-00003F550000}"/>
    <cellStyle name="Normal 2 10 2 7 3" xfId="22169" xr:uid="{00000000-0005-0000-0000-000040550000}"/>
    <cellStyle name="Normal 2 10 2 7 4" xfId="22170" xr:uid="{00000000-0005-0000-0000-000041550000}"/>
    <cellStyle name="Normal 2 10 2 7 5" xfId="22171" xr:uid="{00000000-0005-0000-0000-000042550000}"/>
    <cellStyle name="Normal 2 10 2 8" xfId="22172" xr:uid="{00000000-0005-0000-0000-000043550000}"/>
    <cellStyle name="Normal 2 10 2 9" xfId="22173" xr:uid="{00000000-0005-0000-0000-000044550000}"/>
    <cellStyle name="Normal 2 10 3" xfId="22174" xr:uid="{00000000-0005-0000-0000-000045550000}"/>
    <cellStyle name="Normal 2 10 3 10" xfId="22175" xr:uid="{00000000-0005-0000-0000-000046550000}"/>
    <cellStyle name="Normal 2 10 3 11" xfId="22176" xr:uid="{00000000-0005-0000-0000-000047550000}"/>
    <cellStyle name="Normal 2 10 3 12" xfId="22177" xr:uid="{00000000-0005-0000-0000-000048550000}"/>
    <cellStyle name="Normal 2 10 3 13" xfId="22178" xr:uid="{00000000-0005-0000-0000-000049550000}"/>
    <cellStyle name="Normal 2 10 3 2" xfId="22179" xr:uid="{00000000-0005-0000-0000-00004A550000}"/>
    <cellStyle name="Normal 2 10 3 2 10" xfId="22180" xr:uid="{00000000-0005-0000-0000-00004B550000}"/>
    <cellStyle name="Normal 2 10 3 2 11" xfId="22181" xr:uid="{00000000-0005-0000-0000-00004C550000}"/>
    <cellStyle name="Normal 2 10 3 2 2" xfId="22182" xr:uid="{00000000-0005-0000-0000-00004D550000}"/>
    <cellStyle name="Normal 2 10 3 2 2 10" xfId="22183" xr:uid="{00000000-0005-0000-0000-00004E550000}"/>
    <cellStyle name="Normal 2 10 3 2 2 2" xfId="22184" xr:uid="{00000000-0005-0000-0000-00004F550000}"/>
    <cellStyle name="Normal 2 10 3 2 2 2 2" xfId="22185" xr:uid="{00000000-0005-0000-0000-000050550000}"/>
    <cellStyle name="Normal 2 10 3 2 2 2 2 2" xfId="22186" xr:uid="{00000000-0005-0000-0000-000051550000}"/>
    <cellStyle name="Normal 2 10 3 2 2 2 2 3" xfId="22187" xr:uid="{00000000-0005-0000-0000-000052550000}"/>
    <cellStyle name="Normal 2 10 3 2 2 2 2 4" xfId="22188" xr:uid="{00000000-0005-0000-0000-000053550000}"/>
    <cellStyle name="Normal 2 10 3 2 2 2 2 5" xfId="22189" xr:uid="{00000000-0005-0000-0000-000054550000}"/>
    <cellStyle name="Normal 2 10 3 2 2 2 3" xfId="22190" xr:uid="{00000000-0005-0000-0000-000055550000}"/>
    <cellStyle name="Normal 2 10 3 2 2 2 4" xfId="22191" xr:uid="{00000000-0005-0000-0000-000056550000}"/>
    <cellStyle name="Normal 2 10 3 2 2 2 5" xfId="22192" xr:uid="{00000000-0005-0000-0000-000057550000}"/>
    <cellStyle name="Normal 2 10 3 2 2 2 6" xfId="22193" xr:uid="{00000000-0005-0000-0000-000058550000}"/>
    <cellStyle name="Normal 2 10 3 2 2 2 7" xfId="22194" xr:uid="{00000000-0005-0000-0000-000059550000}"/>
    <cellStyle name="Normal 2 10 3 2 2 2 8" xfId="22195" xr:uid="{00000000-0005-0000-0000-00005A550000}"/>
    <cellStyle name="Normal 2 10 3 2 2 3" xfId="22196" xr:uid="{00000000-0005-0000-0000-00005B550000}"/>
    <cellStyle name="Normal 2 10 3 2 2 3 2" xfId="22197" xr:uid="{00000000-0005-0000-0000-00005C550000}"/>
    <cellStyle name="Normal 2 10 3 2 2 3 2 2" xfId="22198" xr:uid="{00000000-0005-0000-0000-00005D550000}"/>
    <cellStyle name="Normal 2 10 3 2 2 3 2 3" xfId="22199" xr:uid="{00000000-0005-0000-0000-00005E550000}"/>
    <cellStyle name="Normal 2 10 3 2 2 3 2 4" xfId="22200" xr:uid="{00000000-0005-0000-0000-00005F550000}"/>
    <cellStyle name="Normal 2 10 3 2 2 3 2 5" xfId="22201" xr:uid="{00000000-0005-0000-0000-000060550000}"/>
    <cellStyle name="Normal 2 10 3 2 2 3 3" xfId="22202" xr:uid="{00000000-0005-0000-0000-000061550000}"/>
    <cellStyle name="Normal 2 10 3 2 2 3 4" xfId="22203" xr:uid="{00000000-0005-0000-0000-000062550000}"/>
    <cellStyle name="Normal 2 10 3 2 2 3 5" xfId="22204" xr:uid="{00000000-0005-0000-0000-000063550000}"/>
    <cellStyle name="Normal 2 10 3 2 2 3 6" xfId="22205" xr:uid="{00000000-0005-0000-0000-000064550000}"/>
    <cellStyle name="Normal 2 10 3 2 2 3 7" xfId="22206" xr:uid="{00000000-0005-0000-0000-000065550000}"/>
    <cellStyle name="Normal 2 10 3 2 2 3 8" xfId="22207" xr:uid="{00000000-0005-0000-0000-000066550000}"/>
    <cellStyle name="Normal 2 10 3 2 2 4" xfId="22208" xr:uid="{00000000-0005-0000-0000-000067550000}"/>
    <cellStyle name="Normal 2 10 3 2 2 4 2" xfId="22209" xr:uid="{00000000-0005-0000-0000-000068550000}"/>
    <cellStyle name="Normal 2 10 3 2 2 4 3" xfId="22210" xr:uid="{00000000-0005-0000-0000-000069550000}"/>
    <cellStyle name="Normal 2 10 3 2 2 4 4" xfId="22211" xr:uid="{00000000-0005-0000-0000-00006A550000}"/>
    <cellStyle name="Normal 2 10 3 2 2 4 5" xfId="22212" xr:uid="{00000000-0005-0000-0000-00006B550000}"/>
    <cellStyle name="Normal 2 10 3 2 2 5" xfId="22213" xr:uid="{00000000-0005-0000-0000-00006C550000}"/>
    <cellStyle name="Normal 2 10 3 2 2 6" xfId="22214" xr:uid="{00000000-0005-0000-0000-00006D550000}"/>
    <cellStyle name="Normal 2 10 3 2 2 7" xfId="22215" xr:uid="{00000000-0005-0000-0000-00006E550000}"/>
    <cellStyle name="Normal 2 10 3 2 2 8" xfId="22216" xr:uid="{00000000-0005-0000-0000-00006F550000}"/>
    <cellStyle name="Normal 2 10 3 2 2 9" xfId="22217" xr:uid="{00000000-0005-0000-0000-000070550000}"/>
    <cellStyle name="Normal 2 10 3 2 3" xfId="22218" xr:uid="{00000000-0005-0000-0000-000071550000}"/>
    <cellStyle name="Normal 2 10 3 2 3 2" xfId="22219" xr:uid="{00000000-0005-0000-0000-000072550000}"/>
    <cellStyle name="Normal 2 10 3 2 3 2 2" xfId="22220" xr:uid="{00000000-0005-0000-0000-000073550000}"/>
    <cellStyle name="Normal 2 10 3 2 3 2 3" xfId="22221" xr:uid="{00000000-0005-0000-0000-000074550000}"/>
    <cellStyle name="Normal 2 10 3 2 3 2 4" xfId="22222" xr:uid="{00000000-0005-0000-0000-000075550000}"/>
    <cellStyle name="Normal 2 10 3 2 3 2 5" xfId="22223" xr:uid="{00000000-0005-0000-0000-000076550000}"/>
    <cellStyle name="Normal 2 10 3 2 3 3" xfId="22224" xr:uid="{00000000-0005-0000-0000-000077550000}"/>
    <cellStyle name="Normal 2 10 3 2 3 4" xfId="22225" xr:uid="{00000000-0005-0000-0000-000078550000}"/>
    <cellStyle name="Normal 2 10 3 2 3 5" xfId="22226" xr:uid="{00000000-0005-0000-0000-000079550000}"/>
    <cellStyle name="Normal 2 10 3 2 3 6" xfId="22227" xr:uid="{00000000-0005-0000-0000-00007A550000}"/>
    <cellStyle name="Normal 2 10 3 2 3 7" xfId="22228" xr:uid="{00000000-0005-0000-0000-00007B550000}"/>
    <cellStyle name="Normal 2 10 3 2 3 8" xfId="22229" xr:uid="{00000000-0005-0000-0000-00007C550000}"/>
    <cellStyle name="Normal 2 10 3 2 4" xfId="22230" xr:uid="{00000000-0005-0000-0000-00007D550000}"/>
    <cellStyle name="Normal 2 10 3 2 4 2" xfId="22231" xr:uid="{00000000-0005-0000-0000-00007E550000}"/>
    <cellStyle name="Normal 2 10 3 2 4 2 2" xfId="22232" xr:uid="{00000000-0005-0000-0000-00007F550000}"/>
    <cellStyle name="Normal 2 10 3 2 4 2 3" xfId="22233" xr:uid="{00000000-0005-0000-0000-000080550000}"/>
    <cellStyle name="Normal 2 10 3 2 4 2 4" xfId="22234" xr:uid="{00000000-0005-0000-0000-000081550000}"/>
    <cellStyle name="Normal 2 10 3 2 4 2 5" xfId="22235" xr:uid="{00000000-0005-0000-0000-000082550000}"/>
    <cellStyle name="Normal 2 10 3 2 4 3" xfId="22236" xr:uid="{00000000-0005-0000-0000-000083550000}"/>
    <cellStyle name="Normal 2 10 3 2 4 4" xfId="22237" xr:uid="{00000000-0005-0000-0000-000084550000}"/>
    <cellStyle name="Normal 2 10 3 2 4 5" xfId="22238" xr:uid="{00000000-0005-0000-0000-000085550000}"/>
    <cellStyle name="Normal 2 10 3 2 4 6" xfId="22239" xr:uid="{00000000-0005-0000-0000-000086550000}"/>
    <cellStyle name="Normal 2 10 3 2 4 7" xfId="22240" xr:uid="{00000000-0005-0000-0000-000087550000}"/>
    <cellStyle name="Normal 2 10 3 2 4 8" xfId="22241" xr:uid="{00000000-0005-0000-0000-000088550000}"/>
    <cellStyle name="Normal 2 10 3 2 5" xfId="22242" xr:uid="{00000000-0005-0000-0000-000089550000}"/>
    <cellStyle name="Normal 2 10 3 2 5 2" xfId="22243" xr:uid="{00000000-0005-0000-0000-00008A550000}"/>
    <cellStyle name="Normal 2 10 3 2 5 3" xfId="22244" xr:uid="{00000000-0005-0000-0000-00008B550000}"/>
    <cellStyle name="Normal 2 10 3 2 5 4" xfId="22245" xr:uid="{00000000-0005-0000-0000-00008C550000}"/>
    <cellStyle name="Normal 2 10 3 2 5 5" xfId="22246" xr:uid="{00000000-0005-0000-0000-00008D550000}"/>
    <cellStyle name="Normal 2 10 3 2 6" xfId="22247" xr:uid="{00000000-0005-0000-0000-00008E550000}"/>
    <cellStyle name="Normal 2 10 3 2 7" xfId="22248" xr:uid="{00000000-0005-0000-0000-00008F550000}"/>
    <cellStyle name="Normal 2 10 3 2 8" xfId="22249" xr:uid="{00000000-0005-0000-0000-000090550000}"/>
    <cellStyle name="Normal 2 10 3 2 9" xfId="22250" xr:uid="{00000000-0005-0000-0000-000091550000}"/>
    <cellStyle name="Normal 2 10 3 3" xfId="22251" xr:uid="{00000000-0005-0000-0000-000092550000}"/>
    <cellStyle name="Normal 2 10 3 3 10" xfId="22252" xr:uid="{00000000-0005-0000-0000-000093550000}"/>
    <cellStyle name="Normal 2 10 3 3 11" xfId="22253" xr:uid="{00000000-0005-0000-0000-000094550000}"/>
    <cellStyle name="Normal 2 10 3 3 2" xfId="22254" xr:uid="{00000000-0005-0000-0000-000095550000}"/>
    <cellStyle name="Normal 2 10 3 3 2 10" xfId="22255" xr:uid="{00000000-0005-0000-0000-000096550000}"/>
    <cellStyle name="Normal 2 10 3 3 2 2" xfId="22256" xr:uid="{00000000-0005-0000-0000-000097550000}"/>
    <cellStyle name="Normal 2 10 3 3 2 2 2" xfId="22257" xr:uid="{00000000-0005-0000-0000-000098550000}"/>
    <cellStyle name="Normal 2 10 3 3 2 2 2 2" xfId="22258" xr:uid="{00000000-0005-0000-0000-000099550000}"/>
    <cellStyle name="Normal 2 10 3 3 2 2 2 3" xfId="22259" xr:uid="{00000000-0005-0000-0000-00009A550000}"/>
    <cellStyle name="Normal 2 10 3 3 2 2 2 4" xfId="22260" xr:uid="{00000000-0005-0000-0000-00009B550000}"/>
    <cellStyle name="Normal 2 10 3 3 2 2 2 5" xfId="22261" xr:uid="{00000000-0005-0000-0000-00009C550000}"/>
    <cellStyle name="Normal 2 10 3 3 2 2 3" xfId="22262" xr:uid="{00000000-0005-0000-0000-00009D550000}"/>
    <cellStyle name="Normal 2 10 3 3 2 2 4" xfId="22263" xr:uid="{00000000-0005-0000-0000-00009E550000}"/>
    <cellStyle name="Normal 2 10 3 3 2 2 5" xfId="22264" xr:uid="{00000000-0005-0000-0000-00009F550000}"/>
    <cellStyle name="Normal 2 10 3 3 2 2 6" xfId="22265" xr:uid="{00000000-0005-0000-0000-0000A0550000}"/>
    <cellStyle name="Normal 2 10 3 3 2 2 7" xfId="22266" xr:uid="{00000000-0005-0000-0000-0000A1550000}"/>
    <cellStyle name="Normal 2 10 3 3 2 2 8" xfId="22267" xr:uid="{00000000-0005-0000-0000-0000A2550000}"/>
    <cellStyle name="Normal 2 10 3 3 2 3" xfId="22268" xr:uid="{00000000-0005-0000-0000-0000A3550000}"/>
    <cellStyle name="Normal 2 10 3 3 2 3 2" xfId="22269" xr:uid="{00000000-0005-0000-0000-0000A4550000}"/>
    <cellStyle name="Normal 2 10 3 3 2 3 2 2" xfId="22270" xr:uid="{00000000-0005-0000-0000-0000A5550000}"/>
    <cellStyle name="Normal 2 10 3 3 2 3 2 3" xfId="22271" xr:uid="{00000000-0005-0000-0000-0000A6550000}"/>
    <cellStyle name="Normal 2 10 3 3 2 3 2 4" xfId="22272" xr:uid="{00000000-0005-0000-0000-0000A7550000}"/>
    <cellStyle name="Normal 2 10 3 3 2 3 2 5" xfId="22273" xr:uid="{00000000-0005-0000-0000-0000A8550000}"/>
    <cellStyle name="Normal 2 10 3 3 2 3 3" xfId="22274" xr:uid="{00000000-0005-0000-0000-0000A9550000}"/>
    <cellStyle name="Normal 2 10 3 3 2 3 4" xfId="22275" xr:uid="{00000000-0005-0000-0000-0000AA550000}"/>
    <cellStyle name="Normal 2 10 3 3 2 3 5" xfId="22276" xr:uid="{00000000-0005-0000-0000-0000AB550000}"/>
    <cellStyle name="Normal 2 10 3 3 2 3 6" xfId="22277" xr:uid="{00000000-0005-0000-0000-0000AC550000}"/>
    <cellStyle name="Normal 2 10 3 3 2 3 7" xfId="22278" xr:uid="{00000000-0005-0000-0000-0000AD550000}"/>
    <cellStyle name="Normal 2 10 3 3 2 3 8" xfId="22279" xr:uid="{00000000-0005-0000-0000-0000AE550000}"/>
    <cellStyle name="Normal 2 10 3 3 2 4" xfId="22280" xr:uid="{00000000-0005-0000-0000-0000AF550000}"/>
    <cellStyle name="Normal 2 10 3 3 2 4 2" xfId="22281" xr:uid="{00000000-0005-0000-0000-0000B0550000}"/>
    <cellStyle name="Normal 2 10 3 3 2 4 3" xfId="22282" xr:uid="{00000000-0005-0000-0000-0000B1550000}"/>
    <cellStyle name="Normal 2 10 3 3 2 4 4" xfId="22283" xr:uid="{00000000-0005-0000-0000-0000B2550000}"/>
    <cellStyle name="Normal 2 10 3 3 2 4 5" xfId="22284" xr:uid="{00000000-0005-0000-0000-0000B3550000}"/>
    <cellStyle name="Normal 2 10 3 3 2 5" xfId="22285" xr:uid="{00000000-0005-0000-0000-0000B4550000}"/>
    <cellStyle name="Normal 2 10 3 3 2 6" xfId="22286" xr:uid="{00000000-0005-0000-0000-0000B5550000}"/>
    <cellStyle name="Normal 2 10 3 3 2 7" xfId="22287" xr:uid="{00000000-0005-0000-0000-0000B6550000}"/>
    <cellStyle name="Normal 2 10 3 3 2 8" xfId="22288" xr:uid="{00000000-0005-0000-0000-0000B7550000}"/>
    <cellStyle name="Normal 2 10 3 3 2 9" xfId="22289" xr:uid="{00000000-0005-0000-0000-0000B8550000}"/>
    <cellStyle name="Normal 2 10 3 3 3" xfId="22290" xr:uid="{00000000-0005-0000-0000-0000B9550000}"/>
    <cellStyle name="Normal 2 10 3 3 3 2" xfId="22291" xr:uid="{00000000-0005-0000-0000-0000BA550000}"/>
    <cellStyle name="Normal 2 10 3 3 3 2 2" xfId="22292" xr:uid="{00000000-0005-0000-0000-0000BB550000}"/>
    <cellStyle name="Normal 2 10 3 3 3 2 3" xfId="22293" xr:uid="{00000000-0005-0000-0000-0000BC550000}"/>
    <cellStyle name="Normal 2 10 3 3 3 2 4" xfId="22294" xr:uid="{00000000-0005-0000-0000-0000BD550000}"/>
    <cellStyle name="Normal 2 10 3 3 3 2 5" xfId="22295" xr:uid="{00000000-0005-0000-0000-0000BE550000}"/>
    <cellStyle name="Normal 2 10 3 3 3 3" xfId="22296" xr:uid="{00000000-0005-0000-0000-0000BF550000}"/>
    <cellStyle name="Normal 2 10 3 3 3 4" xfId="22297" xr:uid="{00000000-0005-0000-0000-0000C0550000}"/>
    <cellStyle name="Normal 2 10 3 3 3 5" xfId="22298" xr:uid="{00000000-0005-0000-0000-0000C1550000}"/>
    <cellStyle name="Normal 2 10 3 3 3 6" xfId="22299" xr:uid="{00000000-0005-0000-0000-0000C2550000}"/>
    <cellStyle name="Normal 2 10 3 3 3 7" xfId="22300" xr:uid="{00000000-0005-0000-0000-0000C3550000}"/>
    <cellStyle name="Normal 2 10 3 3 3 8" xfId="22301" xr:uid="{00000000-0005-0000-0000-0000C4550000}"/>
    <cellStyle name="Normal 2 10 3 3 4" xfId="22302" xr:uid="{00000000-0005-0000-0000-0000C5550000}"/>
    <cellStyle name="Normal 2 10 3 3 4 2" xfId="22303" xr:uid="{00000000-0005-0000-0000-0000C6550000}"/>
    <cellStyle name="Normal 2 10 3 3 4 2 2" xfId="22304" xr:uid="{00000000-0005-0000-0000-0000C7550000}"/>
    <cellStyle name="Normal 2 10 3 3 4 2 3" xfId="22305" xr:uid="{00000000-0005-0000-0000-0000C8550000}"/>
    <cellStyle name="Normal 2 10 3 3 4 2 4" xfId="22306" xr:uid="{00000000-0005-0000-0000-0000C9550000}"/>
    <cellStyle name="Normal 2 10 3 3 4 2 5" xfId="22307" xr:uid="{00000000-0005-0000-0000-0000CA550000}"/>
    <cellStyle name="Normal 2 10 3 3 4 3" xfId="22308" xr:uid="{00000000-0005-0000-0000-0000CB550000}"/>
    <cellStyle name="Normal 2 10 3 3 4 4" xfId="22309" xr:uid="{00000000-0005-0000-0000-0000CC550000}"/>
    <cellStyle name="Normal 2 10 3 3 4 5" xfId="22310" xr:uid="{00000000-0005-0000-0000-0000CD550000}"/>
    <cellStyle name="Normal 2 10 3 3 4 6" xfId="22311" xr:uid="{00000000-0005-0000-0000-0000CE550000}"/>
    <cellStyle name="Normal 2 10 3 3 4 7" xfId="22312" xr:uid="{00000000-0005-0000-0000-0000CF550000}"/>
    <cellStyle name="Normal 2 10 3 3 4 8" xfId="22313" xr:uid="{00000000-0005-0000-0000-0000D0550000}"/>
    <cellStyle name="Normal 2 10 3 3 5" xfId="22314" xr:uid="{00000000-0005-0000-0000-0000D1550000}"/>
    <cellStyle name="Normal 2 10 3 3 5 2" xfId="22315" xr:uid="{00000000-0005-0000-0000-0000D2550000}"/>
    <cellStyle name="Normal 2 10 3 3 5 3" xfId="22316" xr:uid="{00000000-0005-0000-0000-0000D3550000}"/>
    <cellStyle name="Normal 2 10 3 3 5 4" xfId="22317" xr:uid="{00000000-0005-0000-0000-0000D4550000}"/>
    <cellStyle name="Normal 2 10 3 3 5 5" xfId="22318" xr:uid="{00000000-0005-0000-0000-0000D5550000}"/>
    <cellStyle name="Normal 2 10 3 3 6" xfId="22319" xr:uid="{00000000-0005-0000-0000-0000D6550000}"/>
    <cellStyle name="Normal 2 10 3 3 7" xfId="22320" xr:uid="{00000000-0005-0000-0000-0000D7550000}"/>
    <cellStyle name="Normal 2 10 3 3 8" xfId="22321" xr:uid="{00000000-0005-0000-0000-0000D8550000}"/>
    <cellStyle name="Normal 2 10 3 3 9" xfId="22322" xr:uid="{00000000-0005-0000-0000-0000D9550000}"/>
    <cellStyle name="Normal 2 10 3 4" xfId="22323" xr:uid="{00000000-0005-0000-0000-0000DA550000}"/>
    <cellStyle name="Normal 2 10 3 4 10" xfId="22324" xr:uid="{00000000-0005-0000-0000-0000DB550000}"/>
    <cellStyle name="Normal 2 10 3 4 2" xfId="22325" xr:uid="{00000000-0005-0000-0000-0000DC550000}"/>
    <cellStyle name="Normal 2 10 3 4 2 2" xfId="22326" xr:uid="{00000000-0005-0000-0000-0000DD550000}"/>
    <cellStyle name="Normal 2 10 3 4 2 2 2" xfId="22327" xr:uid="{00000000-0005-0000-0000-0000DE550000}"/>
    <cellStyle name="Normal 2 10 3 4 2 2 3" xfId="22328" xr:uid="{00000000-0005-0000-0000-0000DF550000}"/>
    <cellStyle name="Normal 2 10 3 4 2 2 4" xfId="22329" xr:uid="{00000000-0005-0000-0000-0000E0550000}"/>
    <cellStyle name="Normal 2 10 3 4 2 2 5" xfId="22330" xr:uid="{00000000-0005-0000-0000-0000E1550000}"/>
    <cellStyle name="Normal 2 10 3 4 2 3" xfId="22331" xr:uid="{00000000-0005-0000-0000-0000E2550000}"/>
    <cellStyle name="Normal 2 10 3 4 2 4" xfId="22332" xr:uid="{00000000-0005-0000-0000-0000E3550000}"/>
    <cellStyle name="Normal 2 10 3 4 2 5" xfId="22333" xr:uid="{00000000-0005-0000-0000-0000E4550000}"/>
    <cellStyle name="Normal 2 10 3 4 2 6" xfId="22334" xr:uid="{00000000-0005-0000-0000-0000E5550000}"/>
    <cellStyle name="Normal 2 10 3 4 2 7" xfId="22335" xr:uid="{00000000-0005-0000-0000-0000E6550000}"/>
    <cellStyle name="Normal 2 10 3 4 2 8" xfId="22336" xr:uid="{00000000-0005-0000-0000-0000E7550000}"/>
    <cellStyle name="Normal 2 10 3 4 3" xfId="22337" xr:uid="{00000000-0005-0000-0000-0000E8550000}"/>
    <cellStyle name="Normal 2 10 3 4 3 2" xfId="22338" xr:uid="{00000000-0005-0000-0000-0000E9550000}"/>
    <cellStyle name="Normal 2 10 3 4 3 2 2" xfId="22339" xr:uid="{00000000-0005-0000-0000-0000EA550000}"/>
    <cellStyle name="Normal 2 10 3 4 3 2 3" xfId="22340" xr:uid="{00000000-0005-0000-0000-0000EB550000}"/>
    <cellStyle name="Normal 2 10 3 4 3 2 4" xfId="22341" xr:uid="{00000000-0005-0000-0000-0000EC550000}"/>
    <cellStyle name="Normal 2 10 3 4 3 2 5" xfId="22342" xr:uid="{00000000-0005-0000-0000-0000ED550000}"/>
    <cellStyle name="Normal 2 10 3 4 3 3" xfId="22343" xr:uid="{00000000-0005-0000-0000-0000EE550000}"/>
    <cellStyle name="Normal 2 10 3 4 3 4" xfId="22344" xr:uid="{00000000-0005-0000-0000-0000EF550000}"/>
    <cellStyle name="Normal 2 10 3 4 3 5" xfId="22345" xr:uid="{00000000-0005-0000-0000-0000F0550000}"/>
    <cellStyle name="Normal 2 10 3 4 3 6" xfId="22346" xr:uid="{00000000-0005-0000-0000-0000F1550000}"/>
    <cellStyle name="Normal 2 10 3 4 3 7" xfId="22347" xr:uid="{00000000-0005-0000-0000-0000F2550000}"/>
    <cellStyle name="Normal 2 10 3 4 3 8" xfId="22348" xr:uid="{00000000-0005-0000-0000-0000F3550000}"/>
    <cellStyle name="Normal 2 10 3 4 4" xfId="22349" xr:uid="{00000000-0005-0000-0000-0000F4550000}"/>
    <cellStyle name="Normal 2 10 3 4 4 2" xfId="22350" xr:uid="{00000000-0005-0000-0000-0000F5550000}"/>
    <cellStyle name="Normal 2 10 3 4 4 3" xfId="22351" xr:uid="{00000000-0005-0000-0000-0000F6550000}"/>
    <cellStyle name="Normal 2 10 3 4 4 4" xfId="22352" xr:uid="{00000000-0005-0000-0000-0000F7550000}"/>
    <cellStyle name="Normal 2 10 3 4 4 5" xfId="22353" xr:uid="{00000000-0005-0000-0000-0000F8550000}"/>
    <cellStyle name="Normal 2 10 3 4 5" xfId="22354" xr:uid="{00000000-0005-0000-0000-0000F9550000}"/>
    <cellStyle name="Normal 2 10 3 4 6" xfId="22355" xr:uid="{00000000-0005-0000-0000-0000FA550000}"/>
    <cellStyle name="Normal 2 10 3 4 7" xfId="22356" xr:uid="{00000000-0005-0000-0000-0000FB550000}"/>
    <cellStyle name="Normal 2 10 3 4 8" xfId="22357" xr:uid="{00000000-0005-0000-0000-0000FC550000}"/>
    <cellStyle name="Normal 2 10 3 4 9" xfId="22358" xr:uid="{00000000-0005-0000-0000-0000FD550000}"/>
    <cellStyle name="Normal 2 10 3 5" xfId="22359" xr:uid="{00000000-0005-0000-0000-0000FE550000}"/>
    <cellStyle name="Normal 2 10 3 5 2" xfId="22360" xr:uid="{00000000-0005-0000-0000-0000FF550000}"/>
    <cellStyle name="Normal 2 10 3 5 2 2" xfId="22361" xr:uid="{00000000-0005-0000-0000-000000560000}"/>
    <cellStyle name="Normal 2 10 3 5 2 3" xfId="22362" xr:uid="{00000000-0005-0000-0000-000001560000}"/>
    <cellStyle name="Normal 2 10 3 5 2 4" xfId="22363" xr:uid="{00000000-0005-0000-0000-000002560000}"/>
    <cellStyle name="Normal 2 10 3 5 2 5" xfId="22364" xr:uid="{00000000-0005-0000-0000-000003560000}"/>
    <cellStyle name="Normal 2 10 3 5 3" xfId="22365" xr:uid="{00000000-0005-0000-0000-000004560000}"/>
    <cellStyle name="Normal 2 10 3 5 4" xfId="22366" xr:uid="{00000000-0005-0000-0000-000005560000}"/>
    <cellStyle name="Normal 2 10 3 5 5" xfId="22367" xr:uid="{00000000-0005-0000-0000-000006560000}"/>
    <cellStyle name="Normal 2 10 3 5 6" xfId="22368" xr:uid="{00000000-0005-0000-0000-000007560000}"/>
    <cellStyle name="Normal 2 10 3 5 7" xfId="22369" xr:uid="{00000000-0005-0000-0000-000008560000}"/>
    <cellStyle name="Normal 2 10 3 5 8" xfId="22370" xr:uid="{00000000-0005-0000-0000-000009560000}"/>
    <cellStyle name="Normal 2 10 3 6" xfId="22371" xr:uid="{00000000-0005-0000-0000-00000A560000}"/>
    <cellStyle name="Normal 2 10 3 6 2" xfId="22372" xr:uid="{00000000-0005-0000-0000-00000B560000}"/>
    <cellStyle name="Normal 2 10 3 6 2 2" xfId="22373" xr:uid="{00000000-0005-0000-0000-00000C560000}"/>
    <cellStyle name="Normal 2 10 3 6 2 3" xfId="22374" xr:uid="{00000000-0005-0000-0000-00000D560000}"/>
    <cellStyle name="Normal 2 10 3 6 2 4" xfId="22375" xr:uid="{00000000-0005-0000-0000-00000E560000}"/>
    <cellStyle name="Normal 2 10 3 6 2 5" xfId="22376" xr:uid="{00000000-0005-0000-0000-00000F560000}"/>
    <cellStyle name="Normal 2 10 3 6 3" xfId="22377" xr:uid="{00000000-0005-0000-0000-000010560000}"/>
    <cellStyle name="Normal 2 10 3 6 4" xfId="22378" xr:uid="{00000000-0005-0000-0000-000011560000}"/>
    <cellStyle name="Normal 2 10 3 6 5" xfId="22379" xr:uid="{00000000-0005-0000-0000-000012560000}"/>
    <cellStyle name="Normal 2 10 3 6 6" xfId="22380" xr:uid="{00000000-0005-0000-0000-000013560000}"/>
    <cellStyle name="Normal 2 10 3 6 7" xfId="22381" xr:uid="{00000000-0005-0000-0000-000014560000}"/>
    <cellStyle name="Normal 2 10 3 6 8" xfId="22382" xr:uid="{00000000-0005-0000-0000-000015560000}"/>
    <cellStyle name="Normal 2 10 3 7" xfId="22383" xr:uid="{00000000-0005-0000-0000-000016560000}"/>
    <cellStyle name="Normal 2 10 3 7 2" xfId="22384" xr:uid="{00000000-0005-0000-0000-000017560000}"/>
    <cellStyle name="Normal 2 10 3 7 3" xfId="22385" xr:uid="{00000000-0005-0000-0000-000018560000}"/>
    <cellStyle name="Normal 2 10 3 7 4" xfId="22386" xr:uid="{00000000-0005-0000-0000-000019560000}"/>
    <cellStyle name="Normal 2 10 3 7 5" xfId="22387" xr:uid="{00000000-0005-0000-0000-00001A560000}"/>
    <cellStyle name="Normal 2 10 3 8" xfId="22388" xr:uid="{00000000-0005-0000-0000-00001B560000}"/>
    <cellStyle name="Normal 2 10 3 9" xfId="22389" xr:uid="{00000000-0005-0000-0000-00001C560000}"/>
    <cellStyle name="Normal 2 10 4" xfId="22390" xr:uid="{00000000-0005-0000-0000-00001D560000}"/>
    <cellStyle name="Normal 2 10 4 10" xfId="22391" xr:uid="{00000000-0005-0000-0000-00001E560000}"/>
    <cellStyle name="Normal 2 10 4 11" xfId="22392" xr:uid="{00000000-0005-0000-0000-00001F560000}"/>
    <cellStyle name="Normal 2 10 4 2" xfId="22393" xr:uid="{00000000-0005-0000-0000-000020560000}"/>
    <cellStyle name="Normal 2 10 4 2 10" xfId="22394" xr:uid="{00000000-0005-0000-0000-000021560000}"/>
    <cellStyle name="Normal 2 10 4 2 2" xfId="22395" xr:uid="{00000000-0005-0000-0000-000022560000}"/>
    <cellStyle name="Normal 2 10 4 2 2 2" xfId="22396" xr:uid="{00000000-0005-0000-0000-000023560000}"/>
    <cellStyle name="Normal 2 10 4 2 2 2 2" xfId="22397" xr:uid="{00000000-0005-0000-0000-000024560000}"/>
    <cellStyle name="Normal 2 10 4 2 2 2 3" xfId="22398" xr:uid="{00000000-0005-0000-0000-000025560000}"/>
    <cellStyle name="Normal 2 10 4 2 2 2 4" xfId="22399" xr:uid="{00000000-0005-0000-0000-000026560000}"/>
    <cellStyle name="Normal 2 10 4 2 2 2 5" xfId="22400" xr:uid="{00000000-0005-0000-0000-000027560000}"/>
    <cellStyle name="Normal 2 10 4 2 2 3" xfId="22401" xr:uid="{00000000-0005-0000-0000-000028560000}"/>
    <cellStyle name="Normal 2 10 4 2 2 4" xfId="22402" xr:uid="{00000000-0005-0000-0000-000029560000}"/>
    <cellStyle name="Normal 2 10 4 2 2 5" xfId="22403" xr:uid="{00000000-0005-0000-0000-00002A560000}"/>
    <cellStyle name="Normal 2 10 4 2 2 6" xfId="22404" xr:uid="{00000000-0005-0000-0000-00002B560000}"/>
    <cellStyle name="Normal 2 10 4 2 2 7" xfId="22405" xr:uid="{00000000-0005-0000-0000-00002C560000}"/>
    <cellStyle name="Normal 2 10 4 2 2 8" xfId="22406" xr:uid="{00000000-0005-0000-0000-00002D560000}"/>
    <cellStyle name="Normal 2 10 4 2 3" xfId="22407" xr:uid="{00000000-0005-0000-0000-00002E560000}"/>
    <cellStyle name="Normal 2 10 4 2 3 2" xfId="22408" xr:uid="{00000000-0005-0000-0000-00002F560000}"/>
    <cellStyle name="Normal 2 10 4 2 3 2 2" xfId="22409" xr:uid="{00000000-0005-0000-0000-000030560000}"/>
    <cellStyle name="Normal 2 10 4 2 3 2 3" xfId="22410" xr:uid="{00000000-0005-0000-0000-000031560000}"/>
    <cellStyle name="Normal 2 10 4 2 3 2 4" xfId="22411" xr:uid="{00000000-0005-0000-0000-000032560000}"/>
    <cellStyle name="Normal 2 10 4 2 3 2 5" xfId="22412" xr:uid="{00000000-0005-0000-0000-000033560000}"/>
    <cellStyle name="Normal 2 10 4 2 3 3" xfId="22413" xr:uid="{00000000-0005-0000-0000-000034560000}"/>
    <cellStyle name="Normal 2 10 4 2 3 4" xfId="22414" xr:uid="{00000000-0005-0000-0000-000035560000}"/>
    <cellStyle name="Normal 2 10 4 2 3 5" xfId="22415" xr:uid="{00000000-0005-0000-0000-000036560000}"/>
    <cellStyle name="Normal 2 10 4 2 3 6" xfId="22416" xr:uid="{00000000-0005-0000-0000-000037560000}"/>
    <cellStyle name="Normal 2 10 4 2 3 7" xfId="22417" xr:uid="{00000000-0005-0000-0000-000038560000}"/>
    <cellStyle name="Normal 2 10 4 2 3 8" xfId="22418" xr:uid="{00000000-0005-0000-0000-000039560000}"/>
    <cellStyle name="Normal 2 10 4 2 4" xfId="22419" xr:uid="{00000000-0005-0000-0000-00003A560000}"/>
    <cellStyle name="Normal 2 10 4 2 4 2" xfId="22420" xr:uid="{00000000-0005-0000-0000-00003B560000}"/>
    <cellStyle name="Normal 2 10 4 2 4 3" xfId="22421" xr:uid="{00000000-0005-0000-0000-00003C560000}"/>
    <cellStyle name="Normal 2 10 4 2 4 4" xfId="22422" xr:uid="{00000000-0005-0000-0000-00003D560000}"/>
    <cellStyle name="Normal 2 10 4 2 4 5" xfId="22423" xr:uid="{00000000-0005-0000-0000-00003E560000}"/>
    <cellStyle name="Normal 2 10 4 2 5" xfId="22424" xr:uid="{00000000-0005-0000-0000-00003F560000}"/>
    <cellStyle name="Normal 2 10 4 2 6" xfId="22425" xr:uid="{00000000-0005-0000-0000-000040560000}"/>
    <cellStyle name="Normal 2 10 4 2 7" xfId="22426" xr:uid="{00000000-0005-0000-0000-000041560000}"/>
    <cellStyle name="Normal 2 10 4 2 8" xfId="22427" xr:uid="{00000000-0005-0000-0000-000042560000}"/>
    <cellStyle name="Normal 2 10 4 2 9" xfId="22428" xr:uid="{00000000-0005-0000-0000-000043560000}"/>
    <cellStyle name="Normal 2 10 4 3" xfId="22429" xr:uid="{00000000-0005-0000-0000-000044560000}"/>
    <cellStyle name="Normal 2 10 4 3 2" xfId="22430" xr:uid="{00000000-0005-0000-0000-000045560000}"/>
    <cellStyle name="Normal 2 10 4 3 2 2" xfId="22431" xr:uid="{00000000-0005-0000-0000-000046560000}"/>
    <cellStyle name="Normal 2 10 4 3 2 3" xfId="22432" xr:uid="{00000000-0005-0000-0000-000047560000}"/>
    <cellStyle name="Normal 2 10 4 3 2 4" xfId="22433" xr:uid="{00000000-0005-0000-0000-000048560000}"/>
    <cellStyle name="Normal 2 10 4 3 2 5" xfId="22434" xr:uid="{00000000-0005-0000-0000-000049560000}"/>
    <cellStyle name="Normal 2 10 4 3 3" xfId="22435" xr:uid="{00000000-0005-0000-0000-00004A560000}"/>
    <cellStyle name="Normal 2 10 4 3 4" xfId="22436" xr:uid="{00000000-0005-0000-0000-00004B560000}"/>
    <cellStyle name="Normal 2 10 4 3 5" xfId="22437" xr:uid="{00000000-0005-0000-0000-00004C560000}"/>
    <cellStyle name="Normal 2 10 4 3 6" xfId="22438" xr:uid="{00000000-0005-0000-0000-00004D560000}"/>
    <cellStyle name="Normal 2 10 4 3 7" xfId="22439" xr:uid="{00000000-0005-0000-0000-00004E560000}"/>
    <cellStyle name="Normal 2 10 4 3 8" xfId="22440" xr:uid="{00000000-0005-0000-0000-00004F560000}"/>
    <cellStyle name="Normal 2 10 4 4" xfId="22441" xr:uid="{00000000-0005-0000-0000-000050560000}"/>
    <cellStyle name="Normal 2 10 4 4 2" xfId="22442" xr:uid="{00000000-0005-0000-0000-000051560000}"/>
    <cellStyle name="Normal 2 10 4 4 2 2" xfId="22443" xr:uid="{00000000-0005-0000-0000-000052560000}"/>
    <cellStyle name="Normal 2 10 4 4 2 3" xfId="22444" xr:uid="{00000000-0005-0000-0000-000053560000}"/>
    <cellStyle name="Normal 2 10 4 4 2 4" xfId="22445" xr:uid="{00000000-0005-0000-0000-000054560000}"/>
    <cellStyle name="Normal 2 10 4 4 2 5" xfId="22446" xr:uid="{00000000-0005-0000-0000-000055560000}"/>
    <cellStyle name="Normal 2 10 4 4 3" xfId="22447" xr:uid="{00000000-0005-0000-0000-000056560000}"/>
    <cellStyle name="Normal 2 10 4 4 4" xfId="22448" xr:uid="{00000000-0005-0000-0000-000057560000}"/>
    <cellStyle name="Normal 2 10 4 4 5" xfId="22449" xr:uid="{00000000-0005-0000-0000-000058560000}"/>
    <cellStyle name="Normal 2 10 4 4 6" xfId="22450" xr:uid="{00000000-0005-0000-0000-000059560000}"/>
    <cellStyle name="Normal 2 10 4 4 7" xfId="22451" xr:uid="{00000000-0005-0000-0000-00005A560000}"/>
    <cellStyle name="Normal 2 10 4 4 8" xfId="22452" xr:uid="{00000000-0005-0000-0000-00005B560000}"/>
    <cellStyle name="Normal 2 10 4 5" xfId="22453" xr:uid="{00000000-0005-0000-0000-00005C560000}"/>
    <cellStyle name="Normal 2 10 4 5 2" xfId="22454" xr:uid="{00000000-0005-0000-0000-00005D560000}"/>
    <cellStyle name="Normal 2 10 4 5 3" xfId="22455" xr:uid="{00000000-0005-0000-0000-00005E560000}"/>
    <cellStyle name="Normal 2 10 4 5 4" xfId="22456" xr:uid="{00000000-0005-0000-0000-00005F560000}"/>
    <cellStyle name="Normal 2 10 4 5 5" xfId="22457" xr:uid="{00000000-0005-0000-0000-000060560000}"/>
    <cellStyle name="Normal 2 10 4 6" xfId="22458" xr:uid="{00000000-0005-0000-0000-000061560000}"/>
    <cellStyle name="Normal 2 10 4 7" xfId="22459" xr:uid="{00000000-0005-0000-0000-000062560000}"/>
    <cellStyle name="Normal 2 10 4 8" xfId="22460" xr:uid="{00000000-0005-0000-0000-000063560000}"/>
    <cellStyle name="Normal 2 10 4 9" xfId="22461" xr:uid="{00000000-0005-0000-0000-000064560000}"/>
    <cellStyle name="Normal 2 10 5" xfId="22462" xr:uid="{00000000-0005-0000-0000-000065560000}"/>
    <cellStyle name="Normal 2 10 5 10" xfId="22463" xr:uid="{00000000-0005-0000-0000-000066560000}"/>
    <cellStyle name="Normal 2 10 5 11" xfId="22464" xr:uid="{00000000-0005-0000-0000-000067560000}"/>
    <cellStyle name="Normal 2 10 5 2" xfId="22465" xr:uid="{00000000-0005-0000-0000-000068560000}"/>
    <cellStyle name="Normal 2 10 5 2 10" xfId="22466" xr:uid="{00000000-0005-0000-0000-000069560000}"/>
    <cellStyle name="Normal 2 10 5 2 2" xfId="22467" xr:uid="{00000000-0005-0000-0000-00006A560000}"/>
    <cellStyle name="Normal 2 10 5 2 2 2" xfId="22468" xr:uid="{00000000-0005-0000-0000-00006B560000}"/>
    <cellStyle name="Normal 2 10 5 2 2 2 2" xfId="22469" xr:uid="{00000000-0005-0000-0000-00006C560000}"/>
    <cellStyle name="Normal 2 10 5 2 2 2 3" xfId="22470" xr:uid="{00000000-0005-0000-0000-00006D560000}"/>
    <cellStyle name="Normal 2 10 5 2 2 2 4" xfId="22471" xr:uid="{00000000-0005-0000-0000-00006E560000}"/>
    <cellStyle name="Normal 2 10 5 2 2 2 5" xfId="22472" xr:uid="{00000000-0005-0000-0000-00006F560000}"/>
    <cellStyle name="Normal 2 10 5 2 2 3" xfId="22473" xr:uid="{00000000-0005-0000-0000-000070560000}"/>
    <cellStyle name="Normal 2 10 5 2 2 4" xfId="22474" xr:uid="{00000000-0005-0000-0000-000071560000}"/>
    <cellStyle name="Normal 2 10 5 2 2 5" xfId="22475" xr:uid="{00000000-0005-0000-0000-000072560000}"/>
    <cellStyle name="Normal 2 10 5 2 2 6" xfId="22476" xr:uid="{00000000-0005-0000-0000-000073560000}"/>
    <cellStyle name="Normal 2 10 5 2 2 7" xfId="22477" xr:uid="{00000000-0005-0000-0000-000074560000}"/>
    <cellStyle name="Normal 2 10 5 2 2 8" xfId="22478" xr:uid="{00000000-0005-0000-0000-000075560000}"/>
    <cellStyle name="Normal 2 10 5 2 3" xfId="22479" xr:uid="{00000000-0005-0000-0000-000076560000}"/>
    <cellStyle name="Normal 2 10 5 2 3 2" xfId="22480" xr:uid="{00000000-0005-0000-0000-000077560000}"/>
    <cellStyle name="Normal 2 10 5 2 3 2 2" xfId="22481" xr:uid="{00000000-0005-0000-0000-000078560000}"/>
    <cellStyle name="Normal 2 10 5 2 3 2 3" xfId="22482" xr:uid="{00000000-0005-0000-0000-000079560000}"/>
    <cellStyle name="Normal 2 10 5 2 3 2 4" xfId="22483" xr:uid="{00000000-0005-0000-0000-00007A560000}"/>
    <cellStyle name="Normal 2 10 5 2 3 2 5" xfId="22484" xr:uid="{00000000-0005-0000-0000-00007B560000}"/>
    <cellStyle name="Normal 2 10 5 2 3 3" xfId="22485" xr:uid="{00000000-0005-0000-0000-00007C560000}"/>
    <cellStyle name="Normal 2 10 5 2 3 4" xfId="22486" xr:uid="{00000000-0005-0000-0000-00007D560000}"/>
    <cellStyle name="Normal 2 10 5 2 3 5" xfId="22487" xr:uid="{00000000-0005-0000-0000-00007E560000}"/>
    <cellStyle name="Normal 2 10 5 2 3 6" xfId="22488" xr:uid="{00000000-0005-0000-0000-00007F560000}"/>
    <cellStyle name="Normal 2 10 5 2 3 7" xfId="22489" xr:uid="{00000000-0005-0000-0000-000080560000}"/>
    <cellStyle name="Normal 2 10 5 2 3 8" xfId="22490" xr:uid="{00000000-0005-0000-0000-000081560000}"/>
    <cellStyle name="Normal 2 10 5 2 4" xfId="22491" xr:uid="{00000000-0005-0000-0000-000082560000}"/>
    <cellStyle name="Normal 2 10 5 2 4 2" xfId="22492" xr:uid="{00000000-0005-0000-0000-000083560000}"/>
    <cellStyle name="Normal 2 10 5 2 4 3" xfId="22493" xr:uid="{00000000-0005-0000-0000-000084560000}"/>
    <cellStyle name="Normal 2 10 5 2 4 4" xfId="22494" xr:uid="{00000000-0005-0000-0000-000085560000}"/>
    <cellStyle name="Normal 2 10 5 2 4 5" xfId="22495" xr:uid="{00000000-0005-0000-0000-000086560000}"/>
    <cellStyle name="Normal 2 10 5 2 5" xfId="22496" xr:uid="{00000000-0005-0000-0000-000087560000}"/>
    <cellStyle name="Normal 2 10 5 2 6" xfId="22497" xr:uid="{00000000-0005-0000-0000-000088560000}"/>
    <cellStyle name="Normal 2 10 5 2 7" xfId="22498" xr:uid="{00000000-0005-0000-0000-000089560000}"/>
    <cellStyle name="Normal 2 10 5 2 8" xfId="22499" xr:uid="{00000000-0005-0000-0000-00008A560000}"/>
    <cellStyle name="Normal 2 10 5 2 9" xfId="22500" xr:uid="{00000000-0005-0000-0000-00008B560000}"/>
    <cellStyle name="Normal 2 10 5 3" xfId="22501" xr:uid="{00000000-0005-0000-0000-00008C560000}"/>
    <cellStyle name="Normal 2 10 5 3 2" xfId="22502" xr:uid="{00000000-0005-0000-0000-00008D560000}"/>
    <cellStyle name="Normal 2 10 5 3 2 2" xfId="22503" xr:uid="{00000000-0005-0000-0000-00008E560000}"/>
    <cellStyle name="Normal 2 10 5 3 2 3" xfId="22504" xr:uid="{00000000-0005-0000-0000-00008F560000}"/>
    <cellStyle name="Normal 2 10 5 3 2 4" xfId="22505" xr:uid="{00000000-0005-0000-0000-000090560000}"/>
    <cellStyle name="Normal 2 10 5 3 2 5" xfId="22506" xr:uid="{00000000-0005-0000-0000-000091560000}"/>
    <cellStyle name="Normal 2 10 5 3 3" xfId="22507" xr:uid="{00000000-0005-0000-0000-000092560000}"/>
    <cellStyle name="Normal 2 10 5 3 4" xfId="22508" xr:uid="{00000000-0005-0000-0000-000093560000}"/>
    <cellStyle name="Normal 2 10 5 3 5" xfId="22509" xr:uid="{00000000-0005-0000-0000-000094560000}"/>
    <cellStyle name="Normal 2 10 5 3 6" xfId="22510" xr:uid="{00000000-0005-0000-0000-000095560000}"/>
    <cellStyle name="Normal 2 10 5 3 7" xfId="22511" xr:uid="{00000000-0005-0000-0000-000096560000}"/>
    <cellStyle name="Normal 2 10 5 3 8" xfId="22512" xr:uid="{00000000-0005-0000-0000-000097560000}"/>
    <cellStyle name="Normal 2 10 5 4" xfId="22513" xr:uid="{00000000-0005-0000-0000-000098560000}"/>
    <cellStyle name="Normal 2 10 5 4 2" xfId="22514" xr:uid="{00000000-0005-0000-0000-000099560000}"/>
    <cellStyle name="Normal 2 10 5 4 2 2" xfId="22515" xr:uid="{00000000-0005-0000-0000-00009A560000}"/>
    <cellStyle name="Normal 2 10 5 4 2 3" xfId="22516" xr:uid="{00000000-0005-0000-0000-00009B560000}"/>
    <cellStyle name="Normal 2 10 5 4 2 4" xfId="22517" xr:uid="{00000000-0005-0000-0000-00009C560000}"/>
    <cellStyle name="Normal 2 10 5 4 2 5" xfId="22518" xr:uid="{00000000-0005-0000-0000-00009D560000}"/>
    <cellStyle name="Normal 2 10 5 4 3" xfId="22519" xr:uid="{00000000-0005-0000-0000-00009E560000}"/>
    <cellStyle name="Normal 2 10 5 4 4" xfId="22520" xr:uid="{00000000-0005-0000-0000-00009F560000}"/>
    <cellStyle name="Normal 2 10 5 4 5" xfId="22521" xr:uid="{00000000-0005-0000-0000-0000A0560000}"/>
    <cellStyle name="Normal 2 10 5 4 6" xfId="22522" xr:uid="{00000000-0005-0000-0000-0000A1560000}"/>
    <cellStyle name="Normal 2 10 5 4 7" xfId="22523" xr:uid="{00000000-0005-0000-0000-0000A2560000}"/>
    <cellStyle name="Normal 2 10 5 4 8" xfId="22524" xr:uid="{00000000-0005-0000-0000-0000A3560000}"/>
    <cellStyle name="Normal 2 10 5 5" xfId="22525" xr:uid="{00000000-0005-0000-0000-0000A4560000}"/>
    <cellStyle name="Normal 2 10 5 5 2" xfId="22526" xr:uid="{00000000-0005-0000-0000-0000A5560000}"/>
    <cellStyle name="Normal 2 10 5 5 3" xfId="22527" xr:uid="{00000000-0005-0000-0000-0000A6560000}"/>
    <cellStyle name="Normal 2 10 5 5 4" xfId="22528" xr:uid="{00000000-0005-0000-0000-0000A7560000}"/>
    <cellStyle name="Normal 2 10 5 5 5" xfId="22529" xr:uid="{00000000-0005-0000-0000-0000A8560000}"/>
    <cellStyle name="Normal 2 10 5 6" xfId="22530" xr:uid="{00000000-0005-0000-0000-0000A9560000}"/>
    <cellStyle name="Normal 2 10 5 7" xfId="22531" xr:uid="{00000000-0005-0000-0000-0000AA560000}"/>
    <cellStyle name="Normal 2 10 5 8" xfId="22532" xr:uid="{00000000-0005-0000-0000-0000AB560000}"/>
    <cellStyle name="Normal 2 10 5 9" xfId="22533" xr:uid="{00000000-0005-0000-0000-0000AC560000}"/>
    <cellStyle name="Normal 2 10 6" xfId="22534" xr:uid="{00000000-0005-0000-0000-0000AD560000}"/>
    <cellStyle name="Normal 2 10 6 10" xfId="22535" xr:uid="{00000000-0005-0000-0000-0000AE560000}"/>
    <cellStyle name="Normal 2 10 6 2" xfId="22536" xr:uid="{00000000-0005-0000-0000-0000AF560000}"/>
    <cellStyle name="Normal 2 10 6 2 2" xfId="22537" xr:uid="{00000000-0005-0000-0000-0000B0560000}"/>
    <cellStyle name="Normal 2 10 6 2 2 2" xfId="22538" xr:uid="{00000000-0005-0000-0000-0000B1560000}"/>
    <cellStyle name="Normal 2 10 6 2 2 3" xfId="22539" xr:uid="{00000000-0005-0000-0000-0000B2560000}"/>
    <cellStyle name="Normal 2 10 6 2 2 4" xfId="22540" xr:uid="{00000000-0005-0000-0000-0000B3560000}"/>
    <cellStyle name="Normal 2 10 6 2 2 5" xfId="22541" xr:uid="{00000000-0005-0000-0000-0000B4560000}"/>
    <cellStyle name="Normal 2 10 6 2 3" xfId="22542" xr:uid="{00000000-0005-0000-0000-0000B5560000}"/>
    <cellStyle name="Normal 2 10 6 2 4" xfId="22543" xr:uid="{00000000-0005-0000-0000-0000B6560000}"/>
    <cellStyle name="Normal 2 10 6 2 5" xfId="22544" xr:uid="{00000000-0005-0000-0000-0000B7560000}"/>
    <cellStyle name="Normal 2 10 6 2 6" xfId="22545" xr:uid="{00000000-0005-0000-0000-0000B8560000}"/>
    <cellStyle name="Normal 2 10 6 2 7" xfId="22546" xr:uid="{00000000-0005-0000-0000-0000B9560000}"/>
    <cellStyle name="Normal 2 10 6 2 8" xfId="22547" xr:uid="{00000000-0005-0000-0000-0000BA560000}"/>
    <cellStyle name="Normal 2 10 6 3" xfId="22548" xr:uid="{00000000-0005-0000-0000-0000BB560000}"/>
    <cellStyle name="Normal 2 10 6 3 2" xfId="22549" xr:uid="{00000000-0005-0000-0000-0000BC560000}"/>
    <cellStyle name="Normal 2 10 6 3 2 2" xfId="22550" xr:uid="{00000000-0005-0000-0000-0000BD560000}"/>
    <cellStyle name="Normal 2 10 6 3 2 3" xfId="22551" xr:uid="{00000000-0005-0000-0000-0000BE560000}"/>
    <cellStyle name="Normal 2 10 6 3 2 4" xfId="22552" xr:uid="{00000000-0005-0000-0000-0000BF560000}"/>
    <cellStyle name="Normal 2 10 6 3 2 5" xfId="22553" xr:uid="{00000000-0005-0000-0000-0000C0560000}"/>
    <cellStyle name="Normal 2 10 6 3 3" xfId="22554" xr:uid="{00000000-0005-0000-0000-0000C1560000}"/>
    <cellStyle name="Normal 2 10 6 3 4" xfId="22555" xr:uid="{00000000-0005-0000-0000-0000C2560000}"/>
    <cellStyle name="Normal 2 10 6 3 5" xfId="22556" xr:uid="{00000000-0005-0000-0000-0000C3560000}"/>
    <cellStyle name="Normal 2 10 6 3 6" xfId="22557" xr:uid="{00000000-0005-0000-0000-0000C4560000}"/>
    <cellStyle name="Normal 2 10 6 3 7" xfId="22558" xr:uid="{00000000-0005-0000-0000-0000C5560000}"/>
    <cellStyle name="Normal 2 10 6 3 8" xfId="22559" xr:uid="{00000000-0005-0000-0000-0000C6560000}"/>
    <cellStyle name="Normal 2 10 6 4" xfId="22560" xr:uid="{00000000-0005-0000-0000-0000C7560000}"/>
    <cellStyle name="Normal 2 10 6 4 2" xfId="22561" xr:uid="{00000000-0005-0000-0000-0000C8560000}"/>
    <cellStyle name="Normal 2 10 6 4 3" xfId="22562" xr:uid="{00000000-0005-0000-0000-0000C9560000}"/>
    <cellStyle name="Normal 2 10 6 4 4" xfId="22563" xr:uid="{00000000-0005-0000-0000-0000CA560000}"/>
    <cellStyle name="Normal 2 10 6 4 5" xfId="22564" xr:uid="{00000000-0005-0000-0000-0000CB560000}"/>
    <cellStyle name="Normal 2 10 6 5" xfId="22565" xr:uid="{00000000-0005-0000-0000-0000CC560000}"/>
    <cellStyle name="Normal 2 10 6 6" xfId="22566" xr:uid="{00000000-0005-0000-0000-0000CD560000}"/>
    <cellStyle name="Normal 2 10 6 7" xfId="22567" xr:uid="{00000000-0005-0000-0000-0000CE560000}"/>
    <cellStyle name="Normal 2 10 6 8" xfId="22568" xr:uid="{00000000-0005-0000-0000-0000CF560000}"/>
    <cellStyle name="Normal 2 10 6 9" xfId="22569" xr:uid="{00000000-0005-0000-0000-0000D0560000}"/>
    <cellStyle name="Normal 2 10 7" xfId="22570" xr:uid="{00000000-0005-0000-0000-0000D1560000}"/>
    <cellStyle name="Normal 2 10 7 2" xfId="22571" xr:uid="{00000000-0005-0000-0000-0000D2560000}"/>
    <cellStyle name="Normal 2 10 7 2 2" xfId="22572" xr:uid="{00000000-0005-0000-0000-0000D3560000}"/>
    <cellStyle name="Normal 2 10 7 2 3" xfId="22573" xr:uid="{00000000-0005-0000-0000-0000D4560000}"/>
    <cellStyle name="Normal 2 10 7 2 4" xfId="22574" xr:uid="{00000000-0005-0000-0000-0000D5560000}"/>
    <cellStyle name="Normal 2 10 7 2 5" xfId="22575" xr:uid="{00000000-0005-0000-0000-0000D6560000}"/>
    <cellStyle name="Normal 2 10 7 3" xfId="22576" xr:uid="{00000000-0005-0000-0000-0000D7560000}"/>
    <cellStyle name="Normal 2 10 7 4" xfId="22577" xr:uid="{00000000-0005-0000-0000-0000D8560000}"/>
    <cellStyle name="Normal 2 10 7 5" xfId="22578" xr:uid="{00000000-0005-0000-0000-0000D9560000}"/>
    <cellStyle name="Normal 2 10 7 6" xfId="22579" xr:uid="{00000000-0005-0000-0000-0000DA560000}"/>
    <cellStyle name="Normal 2 10 7 7" xfId="22580" xr:uid="{00000000-0005-0000-0000-0000DB560000}"/>
    <cellStyle name="Normal 2 10 7 8" xfId="22581" xr:uid="{00000000-0005-0000-0000-0000DC560000}"/>
    <cellStyle name="Normal 2 10 8" xfId="22582" xr:uid="{00000000-0005-0000-0000-0000DD560000}"/>
    <cellStyle name="Normal 2 10 8 2" xfId="22583" xr:uid="{00000000-0005-0000-0000-0000DE560000}"/>
    <cellStyle name="Normal 2 10 8 2 2" xfId="22584" xr:uid="{00000000-0005-0000-0000-0000DF560000}"/>
    <cellStyle name="Normal 2 10 8 2 3" xfId="22585" xr:uid="{00000000-0005-0000-0000-0000E0560000}"/>
    <cellStyle name="Normal 2 10 8 2 4" xfId="22586" xr:uid="{00000000-0005-0000-0000-0000E1560000}"/>
    <cellStyle name="Normal 2 10 8 2 5" xfId="22587" xr:uid="{00000000-0005-0000-0000-0000E2560000}"/>
    <cellStyle name="Normal 2 10 8 3" xfId="22588" xr:uid="{00000000-0005-0000-0000-0000E3560000}"/>
    <cellStyle name="Normal 2 10 8 4" xfId="22589" xr:uid="{00000000-0005-0000-0000-0000E4560000}"/>
    <cellStyle name="Normal 2 10 8 5" xfId="22590" xr:uid="{00000000-0005-0000-0000-0000E5560000}"/>
    <cellStyle name="Normal 2 10 8 6" xfId="22591" xr:uid="{00000000-0005-0000-0000-0000E6560000}"/>
    <cellStyle name="Normal 2 10 8 7" xfId="22592" xr:uid="{00000000-0005-0000-0000-0000E7560000}"/>
    <cellStyle name="Normal 2 10 8 8" xfId="22593" xr:uid="{00000000-0005-0000-0000-0000E8560000}"/>
    <cellStyle name="Normal 2 10 9" xfId="22594" xr:uid="{00000000-0005-0000-0000-0000E9560000}"/>
    <cellStyle name="Normal 2 10 9 2" xfId="22595" xr:uid="{00000000-0005-0000-0000-0000EA560000}"/>
    <cellStyle name="Normal 2 10 9 3" xfId="22596" xr:uid="{00000000-0005-0000-0000-0000EB560000}"/>
    <cellStyle name="Normal 2 10 9 4" xfId="22597" xr:uid="{00000000-0005-0000-0000-0000EC560000}"/>
    <cellStyle name="Normal 2 10 9 5" xfId="22598" xr:uid="{00000000-0005-0000-0000-0000ED560000}"/>
    <cellStyle name="Normal 2 11" xfId="840" xr:uid="{00000000-0005-0000-0000-0000EE560000}"/>
    <cellStyle name="Normal 2 11 10" xfId="22599" xr:uid="{00000000-0005-0000-0000-0000EF560000}"/>
    <cellStyle name="Normal 2 11 11" xfId="22600" xr:uid="{00000000-0005-0000-0000-0000F0560000}"/>
    <cellStyle name="Normal 2 11 12" xfId="22601" xr:uid="{00000000-0005-0000-0000-0000F1560000}"/>
    <cellStyle name="Normal 2 11 13" xfId="22602" xr:uid="{00000000-0005-0000-0000-0000F2560000}"/>
    <cellStyle name="Normal 2 11 14" xfId="22603" xr:uid="{00000000-0005-0000-0000-0000F3560000}"/>
    <cellStyle name="Normal 2 11 15" xfId="22604" xr:uid="{00000000-0005-0000-0000-0000F4560000}"/>
    <cellStyle name="Normal 2 11 2" xfId="22605" xr:uid="{00000000-0005-0000-0000-0000F5560000}"/>
    <cellStyle name="Normal 2 11 2 10" xfId="22606" xr:uid="{00000000-0005-0000-0000-0000F6560000}"/>
    <cellStyle name="Normal 2 11 2 11" xfId="22607" xr:uid="{00000000-0005-0000-0000-0000F7560000}"/>
    <cellStyle name="Normal 2 11 2 12" xfId="22608" xr:uid="{00000000-0005-0000-0000-0000F8560000}"/>
    <cellStyle name="Normal 2 11 2 13" xfId="22609" xr:uid="{00000000-0005-0000-0000-0000F9560000}"/>
    <cellStyle name="Normal 2 11 2 2" xfId="22610" xr:uid="{00000000-0005-0000-0000-0000FA560000}"/>
    <cellStyle name="Normal 2 11 2 2 10" xfId="22611" xr:uid="{00000000-0005-0000-0000-0000FB560000}"/>
    <cellStyle name="Normal 2 11 2 2 11" xfId="22612" xr:uid="{00000000-0005-0000-0000-0000FC560000}"/>
    <cellStyle name="Normal 2 11 2 2 2" xfId="22613" xr:uid="{00000000-0005-0000-0000-0000FD560000}"/>
    <cellStyle name="Normal 2 11 2 2 2 10" xfId="22614" xr:uid="{00000000-0005-0000-0000-0000FE560000}"/>
    <cellStyle name="Normal 2 11 2 2 2 2" xfId="22615" xr:uid="{00000000-0005-0000-0000-0000FF560000}"/>
    <cellStyle name="Normal 2 11 2 2 2 2 2" xfId="22616" xr:uid="{00000000-0005-0000-0000-000000570000}"/>
    <cellStyle name="Normal 2 11 2 2 2 2 2 2" xfId="22617" xr:uid="{00000000-0005-0000-0000-000001570000}"/>
    <cellStyle name="Normal 2 11 2 2 2 2 2 3" xfId="22618" xr:uid="{00000000-0005-0000-0000-000002570000}"/>
    <cellStyle name="Normal 2 11 2 2 2 2 2 4" xfId="22619" xr:uid="{00000000-0005-0000-0000-000003570000}"/>
    <cellStyle name="Normal 2 11 2 2 2 2 2 5" xfId="22620" xr:uid="{00000000-0005-0000-0000-000004570000}"/>
    <cellStyle name="Normal 2 11 2 2 2 2 3" xfId="22621" xr:uid="{00000000-0005-0000-0000-000005570000}"/>
    <cellStyle name="Normal 2 11 2 2 2 2 4" xfId="22622" xr:uid="{00000000-0005-0000-0000-000006570000}"/>
    <cellStyle name="Normal 2 11 2 2 2 2 5" xfId="22623" xr:uid="{00000000-0005-0000-0000-000007570000}"/>
    <cellStyle name="Normal 2 11 2 2 2 2 6" xfId="22624" xr:uid="{00000000-0005-0000-0000-000008570000}"/>
    <cellStyle name="Normal 2 11 2 2 2 2 7" xfId="22625" xr:uid="{00000000-0005-0000-0000-000009570000}"/>
    <cellStyle name="Normal 2 11 2 2 2 2 8" xfId="22626" xr:uid="{00000000-0005-0000-0000-00000A570000}"/>
    <cellStyle name="Normal 2 11 2 2 2 3" xfId="22627" xr:uid="{00000000-0005-0000-0000-00000B570000}"/>
    <cellStyle name="Normal 2 11 2 2 2 3 2" xfId="22628" xr:uid="{00000000-0005-0000-0000-00000C570000}"/>
    <cellStyle name="Normal 2 11 2 2 2 3 2 2" xfId="22629" xr:uid="{00000000-0005-0000-0000-00000D570000}"/>
    <cellStyle name="Normal 2 11 2 2 2 3 2 3" xfId="22630" xr:uid="{00000000-0005-0000-0000-00000E570000}"/>
    <cellStyle name="Normal 2 11 2 2 2 3 2 4" xfId="22631" xr:uid="{00000000-0005-0000-0000-00000F570000}"/>
    <cellStyle name="Normal 2 11 2 2 2 3 2 5" xfId="22632" xr:uid="{00000000-0005-0000-0000-000010570000}"/>
    <cellStyle name="Normal 2 11 2 2 2 3 3" xfId="22633" xr:uid="{00000000-0005-0000-0000-000011570000}"/>
    <cellStyle name="Normal 2 11 2 2 2 3 4" xfId="22634" xr:uid="{00000000-0005-0000-0000-000012570000}"/>
    <cellStyle name="Normal 2 11 2 2 2 3 5" xfId="22635" xr:uid="{00000000-0005-0000-0000-000013570000}"/>
    <cellStyle name="Normal 2 11 2 2 2 3 6" xfId="22636" xr:uid="{00000000-0005-0000-0000-000014570000}"/>
    <cellStyle name="Normal 2 11 2 2 2 3 7" xfId="22637" xr:uid="{00000000-0005-0000-0000-000015570000}"/>
    <cellStyle name="Normal 2 11 2 2 2 3 8" xfId="22638" xr:uid="{00000000-0005-0000-0000-000016570000}"/>
    <cellStyle name="Normal 2 11 2 2 2 4" xfId="22639" xr:uid="{00000000-0005-0000-0000-000017570000}"/>
    <cellStyle name="Normal 2 11 2 2 2 4 2" xfId="22640" xr:uid="{00000000-0005-0000-0000-000018570000}"/>
    <cellStyle name="Normal 2 11 2 2 2 4 3" xfId="22641" xr:uid="{00000000-0005-0000-0000-000019570000}"/>
    <cellStyle name="Normal 2 11 2 2 2 4 4" xfId="22642" xr:uid="{00000000-0005-0000-0000-00001A570000}"/>
    <cellStyle name="Normal 2 11 2 2 2 4 5" xfId="22643" xr:uid="{00000000-0005-0000-0000-00001B570000}"/>
    <cellStyle name="Normal 2 11 2 2 2 5" xfId="22644" xr:uid="{00000000-0005-0000-0000-00001C570000}"/>
    <cellStyle name="Normal 2 11 2 2 2 6" xfId="22645" xr:uid="{00000000-0005-0000-0000-00001D570000}"/>
    <cellStyle name="Normal 2 11 2 2 2 7" xfId="22646" xr:uid="{00000000-0005-0000-0000-00001E570000}"/>
    <cellStyle name="Normal 2 11 2 2 2 8" xfId="22647" xr:uid="{00000000-0005-0000-0000-00001F570000}"/>
    <cellStyle name="Normal 2 11 2 2 2 9" xfId="22648" xr:uid="{00000000-0005-0000-0000-000020570000}"/>
    <cellStyle name="Normal 2 11 2 2 3" xfId="22649" xr:uid="{00000000-0005-0000-0000-000021570000}"/>
    <cellStyle name="Normal 2 11 2 2 3 2" xfId="22650" xr:uid="{00000000-0005-0000-0000-000022570000}"/>
    <cellStyle name="Normal 2 11 2 2 3 2 2" xfId="22651" xr:uid="{00000000-0005-0000-0000-000023570000}"/>
    <cellStyle name="Normal 2 11 2 2 3 2 3" xfId="22652" xr:uid="{00000000-0005-0000-0000-000024570000}"/>
    <cellStyle name="Normal 2 11 2 2 3 2 4" xfId="22653" xr:uid="{00000000-0005-0000-0000-000025570000}"/>
    <cellStyle name="Normal 2 11 2 2 3 2 5" xfId="22654" xr:uid="{00000000-0005-0000-0000-000026570000}"/>
    <cellStyle name="Normal 2 11 2 2 3 3" xfId="22655" xr:uid="{00000000-0005-0000-0000-000027570000}"/>
    <cellStyle name="Normal 2 11 2 2 3 4" xfId="22656" xr:uid="{00000000-0005-0000-0000-000028570000}"/>
    <cellStyle name="Normal 2 11 2 2 3 5" xfId="22657" xr:uid="{00000000-0005-0000-0000-000029570000}"/>
    <cellStyle name="Normal 2 11 2 2 3 6" xfId="22658" xr:uid="{00000000-0005-0000-0000-00002A570000}"/>
    <cellStyle name="Normal 2 11 2 2 3 7" xfId="22659" xr:uid="{00000000-0005-0000-0000-00002B570000}"/>
    <cellStyle name="Normal 2 11 2 2 3 8" xfId="22660" xr:uid="{00000000-0005-0000-0000-00002C570000}"/>
    <cellStyle name="Normal 2 11 2 2 4" xfId="22661" xr:uid="{00000000-0005-0000-0000-00002D570000}"/>
    <cellStyle name="Normal 2 11 2 2 4 2" xfId="22662" xr:uid="{00000000-0005-0000-0000-00002E570000}"/>
    <cellStyle name="Normal 2 11 2 2 4 2 2" xfId="22663" xr:uid="{00000000-0005-0000-0000-00002F570000}"/>
    <cellStyle name="Normal 2 11 2 2 4 2 3" xfId="22664" xr:uid="{00000000-0005-0000-0000-000030570000}"/>
    <cellStyle name="Normal 2 11 2 2 4 2 4" xfId="22665" xr:uid="{00000000-0005-0000-0000-000031570000}"/>
    <cellStyle name="Normal 2 11 2 2 4 2 5" xfId="22666" xr:uid="{00000000-0005-0000-0000-000032570000}"/>
    <cellStyle name="Normal 2 11 2 2 4 3" xfId="22667" xr:uid="{00000000-0005-0000-0000-000033570000}"/>
    <cellStyle name="Normal 2 11 2 2 4 4" xfId="22668" xr:uid="{00000000-0005-0000-0000-000034570000}"/>
    <cellStyle name="Normal 2 11 2 2 4 5" xfId="22669" xr:uid="{00000000-0005-0000-0000-000035570000}"/>
    <cellStyle name="Normal 2 11 2 2 4 6" xfId="22670" xr:uid="{00000000-0005-0000-0000-000036570000}"/>
    <cellStyle name="Normal 2 11 2 2 4 7" xfId="22671" xr:uid="{00000000-0005-0000-0000-000037570000}"/>
    <cellStyle name="Normal 2 11 2 2 4 8" xfId="22672" xr:uid="{00000000-0005-0000-0000-000038570000}"/>
    <cellStyle name="Normal 2 11 2 2 5" xfId="22673" xr:uid="{00000000-0005-0000-0000-000039570000}"/>
    <cellStyle name="Normal 2 11 2 2 5 2" xfId="22674" xr:uid="{00000000-0005-0000-0000-00003A570000}"/>
    <cellStyle name="Normal 2 11 2 2 5 3" xfId="22675" xr:uid="{00000000-0005-0000-0000-00003B570000}"/>
    <cellStyle name="Normal 2 11 2 2 5 4" xfId="22676" xr:uid="{00000000-0005-0000-0000-00003C570000}"/>
    <cellStyle name="Normal 2 11 2 2 5 5" xfId="22677" xr:uid="{00000000-0005-0000-0000-00003D570000}"/>
    <cellStyle name="Normal 2 11 2 2 6" xfId="22678" xr:uid="{00000000-0005-0000-0000-00003E570000}"/>
    <cellStyle name="Normal 2 11 2 2 7" xfId="22679" xr:uid="{00000000-0005-0000-0000-00003F570000}"/>
    <cellStyle name="Normal 2 11 2 2 8" xfId="22680" xr:uid="{00000000-0005-0000-0000-000040570000}"/>
    <cellStyle name="Normal 2 11 2 2 9" xfId="22681" xr:uid="{00000000-0005-0000-0000-000041570000}"/>
    <cellStyle name="Normal 2 11 2 3" xfId="22682" xr:uid="{00000000-0005-0000-0000-000042570000}"/>
    <cellStyle name="Normal 2 11 2 3 10" xfId="22683" xr:uid="{00000000-0005-0000-0000-000043570000}"/>
    <cellStyle name="Normal 2 11 2 3 11" xfId="22684" xr:uid="{00000000-0005-0000-0000-000044570000}"/>
    <cellStyle name="Normal 2 11 2 3 2" xfId="22685" xr:uid="{00000000-0005-0000-0000-000045570000}"/>
    <cellStyle name="Normal 2 11 2 3 2 10" xfId="22686" xr:uid="{00000000-0005-0000-0000-000046570000}"/>
    <cellStyle name="Normal 2 11 2 3 2 2" xfId="22687" xr:uid="{00000000-0005-0000-0000-000047570000}"/>
    <cellStyle name="Normal 2 11 2 3 2 2 2" xfId="22688" xr:uid="{00000000-0005-0000-0000-000048570000}"/>
    <cellStyle name="Normal 2 11 2 3 2 2 2 2" xfId="22689" xr:uid="{00000000-0005-0000-0000-000049570000}"/>
    <cellStyle name="Normal 2 11 2 3 2 2 2 3" xfId="22690" xr:uid="{00000000-0005-0000-0000-00004A570000}"/>
    <cellStyle name="Normal 2 11 2 3 2 2 2 4" xfId="22691" xr:uid="{00000000-0005-0000-0000-00004B570000}"/>
    <cellStyle name="Normal 2 11 2 3 2 2 2 5" xfId="22692" xr:uid="{00000000-0005-0000-0000-00004C570000}"/>
    <cellStyle name="Normal 2 11 2 3 2 2 3" xfId="22693" xr:uid="{00000000-0005-0000-0000-00004D570000}"/>
    <cellStyle name="Normal 2 11 2 3 2 2 4" xfId="22694" xr:uid="{00000000-0005-0000-0000-00004E570000}"/>
    <cellStyle name="Normal 2 11 2 3 2 2 5" xfId="22695" xr:uid="{00000000-0005-0000-0000-00004F570000}"/>
    <cellStyle name="Normal 2 11 2 3 2 2 6" xfId="22696" xr:uid="{00000000-0005-0000-0000-000050570000}"/>
    <cellStyle name="Normal 2 11 2 3 2 2 7" xfId="22697" xr:uid="{00000000-0005-0000-0000-000051570000}"/>
    <cellStyle name="Normal 2 11 2 3 2 2 8" xfId="22698" xr:uid="{00000000-0005-0000-0000-000052570000}"/>
    <cellStyle name="Normal 2 11 2 3 2 3" xfId="22699" xr:uid="{00000000-0005-0000-0000-000053570000}"/>
    <cellStyle name="Normal 2 11 2 3 2 3 2" xfId="22700" xr:uid="{00000000-0005-0000-0000-000054570000}"/>
    <cellStyle name="Normal 2 11 2 3 2 3 2 2" xfId="22701" xr:uid="{00000000-0005-0000-0000-000055570000}"/>
    <cellStyle name="Normal 2 11 2 3 2 3 2 3" xfId="22702" xr:uid="{00000000-0005-0000-0000-000056570000}"/>
    <cellStyle name="Normal 2 11 2 3 2 3 2 4" xfId="22703" xr:uid="{00000000-0005-0000-0000-000057570000}"/>
    <cellStyle name="Normal 2 11 2 3 2 3 2 5" xfId="22704" xr:uid="{00000000-0005-0000-0000-000058570000}"/>
    <cellStyle name="Normal 2 11 2 3 2 3 3" xfId="22705" xr:uid="{00000000-0005-0000-0000-000059570000}"/>
    <cellStyle name="Normal 2 11 2 3 2 3 4" xfId="22706" xr:uid="{00000000-0005-0000-0000-00005A570000}"/>
    <cellStyle name="Normal 2 11 2 3 2 3 5" xfId="22707" xr:uid="{00000000-0005-0000-0000-00005B570000}"/>
    <cellStyle name="Normal 2 11 2 3 2 3 6" xfId="22708" xr:uid="{00000000-0005-0000-0000-00005C570000}"/>
    <cellStyle name="Normal 2 11 2 3 2 3 7" xfId="22709" xr:uid="{00000000-0005-0000-0000-00005D570000}"/>
    <cellStyle name="Normal 2 11 2 3 2 3 8" xfId="22710" xr:uid="{00000000-0005-0000-0000-00005E570000}"/>
    <cellStyle name="Normal 2 11 2 3 2 4" xfId="22711" xr:uid="{00000000-0005-0000-0000-00005F570000}"/>
    <cellStyle name="Normal 2 11 2 3 2 4 2" xfId="22712" xr:uid="{00000000-0005-0000-0000-000060570000}"/>
    <cellStyle name="Normal 2 11 2 3 2 4 3" xfId="22713" xr:uid="{00000000-0005-0000-0000-000061570000}"/>
    <cellStyle name="Normal 2 11 2 3 2 4 4" xfId="22714" xr:uid="{00000000-0005-0000-0000-000062570000}"/>
    <cellStyle name="Normal 2 11 2 3 2 4 5" xfId="22715" xr:uid="{00000000-0005-0000-0000-000063570000}"/>
    <cellStyle name="Normal 2 11 2 3 2 5" xfId="22716" xr:uid="{00000000-0005-0000-0000-000064570000}"/>
    <cellStyle name="Normal 2 11 2 3 2 6" xfId="22717" xr:uid="{00000000-0005-0000-0000-000065570000}"/>
    <cellStyle name="Normal 2 11 2 3 2 7" xfId="22718" xr:uid="{00000000-0005-0000-0000-000066570000}"/>
    <cellStyle name="Normal 2 11 2 3 2 8" xfId="22719" xr:uid="{00000000-0005-0000-0000-000067570000}"/>
    <cellStyle name="Normal 2 11 2 3 2 9" xfId="22720" xr:uid="{00000000-0005-0000-0000-000068570000}"/>
    <cellStyle name="Normal 2 11 2 3 3" xfId="22721" xr:uid="{00000000-0005-0000-0000-000069570000}"/>
    <cellStyle name="Normal 2 11 2 3 3 2" xfId="22722" xr:uid="{00000000-0005-0000-0000-00006A570000}"/>
    <cellStyle name="Normal 2 11 2 3 3 2 2" xfId="22723" xr:uid="{00000000-0005-0000-0000-00006B570000}"/>
    <cellStyle name="Normal 2 11 2 3 3 2 3" xfId="22724" xr:uid="{00000000-0005-0000-0000-00006C570000}"/>
    <cellStyle name="Normal 2 11 2 3 3 2 4" xfId="22725" xr:uid="{00000000-0005-0000-0000-00006D570000}"/>
    <cellStyle name="Normal 2 11 2 3 3 2 5" xfId="22726" xr:uid="{00000000-0005-0000-0000-00006E570000}"/>
    <cellStyle name="Normal 2 11 2 3 3 3" xfId="22727" xr:uid="{00000000-0005-0000-0000-00006F570000}"/>
    <cellStyle name="Normal 2 11 2 3 3 4" xfId="22728" xr:uid="{00000000-0005-0000-0000-000070570000}"/>
    <cellStyle name="Normal 2 11 2 3 3 5" xfId="22729" xr:uid="{00000000-0005-0000-0000-000071570000}"/>
    <cellStyle name="Normal 2 11 2 3 3 6" xfId="22730" xr:uid="{00000000-0005-0000-0000-000072570000}"/>
    <cellStyle name="Normal 2 11 2 3 3 7" xfId="22731" xr:uid="{00000000-0005-0000-0000-000073570000}"/>
    <cellStyle name="Normal 2 11 2 3 3 8" xfId="22732" xr:uid="{00000000-0005-0000-0000-000074570000}"/>
    <cellStyle name="Normal 2 11 2 3 4" xfId="22733" xr:uid="{00000000-0005-0000-0000-000075570000}"/>
    <cellStyle name="Normal 2 11 2 3 4 2" xfId="22734" xr:uid="{00000000-0005-0000-0000-000076570000}"/>
    <cellStyle name="Normal 2 11 2 3 4 2 2" xfId="22735" xr:uid="{00000000-0005-0000-0000-000077570000}"/>
    <cellStyle name="Normal 2 11 2 3 4 2 3" xfId="22736" xr:uid="{00000000-0005-0000-0000-000078570000}"/>
    <cellStyle name="Normal 2 11 2 3 4 2 4" xfId="22737" xr:uid="{00000000-0005-0000-0000-000079570000}"/>
    <cellStyle name="Normal 2 11 2 3 4 2 5" xfId="22738" xr:uid="{00000000-0005-0000-0000-00007A570000}"/>
    <cellStyle name="Normal 2 11 2 3 4 3" xfId="22739" xr:uid="{00000000-0005-0000-0000-00007B570000}"/>
    <cellStyle name="Normal 2 11 2 3 4 4" xfId="22740" xr:uid="{00000000-0005-0000-0000-00007C570000}"/>
    <cellStyle name="Normal 2 11 2 3 4 5" xfId="22741" xr:uid="{00000000-0005-0000-0000-00007D570000}"/>
    <cellStyle name="Normal 2 11 2 3 4 6" xfId="22742" xr:uid="{00000000-0005-0000-0000-00007E570000}"/>
    <cellStyle name="Normal 2 11 2 3 4 7" xfId="22743" xr:uid="{00000000-0005-0000-0000-00007F570000}"/>
    <cellStyle name="Normal 2 11 2 3 4 8" xfId="22744" xr:uid="{00000000-0005-0000-0000-000080570000}"/>
    <cellStyle name="Normal 2 11 2 3 5" xfId="22745" xr:uid="{00000000-0005-0000-0000-000081570000}"/>
    <cellStyle name="Normal 2 11 2 3 5 2" xfId="22746" xr:uid="{00000000-0005-0000-0000-000082570000}"/>
    <cellStyle name="Normal 2 11 2 3 5 3" xfId="22747" xr:uid="{00000000-0005-0000-0000-000083570000}"/>
    <cellStyle name="Normal 2 11 2 3 5 4" xfId="22748" xr:uid="{00000000-0005-0000-0000-000084570000}"/>
    <cellStyle name="Normal 2 11 2 3 5 5" xfId="22749" xr:uid="{00000000-0005-0000-0000-000085570000}"/>
    <cellStyle name="Normal 2 11 2 3 6" xfId="22750" xr:uid="{00000000-0005-0000-0000-000086570000}"/>
    <cellStyle name="Normal 2 11 2 3 7" xfId="22751" xr:uid="{00000000-0005-0000-0000-000087570000}"/>
    <cellStyle name="Normal 2 11 2 3 8" xfId="22752" xr:uid="{00000000-0005-0000-0000-000088570000}"/>
    <cellStyle name="Normal 2 11 2 3 9" xfId="22753" xr:uid="{00000000-0005-0000-0000-000089570000}"/>
    <cellStyle name="Normal 2 11 2 4" xfId="22754" xr:uid="{00000000-0005-0000-0000-00008A570000}"/>
    <cellStyle name="Normal 2 11 2 4 10" xfId="22755" xr:uid="{00000000-0005-0000-0000-00008B570000}"/>
    <cellStyle name="Normal 2 11 2 4 2" xfId="22756" xr:uid="{00000000-0005-0000-0000-00008C570000}"/>
    <cellStyle name="Normal 2 11 2 4 2 2" xfId="22757" xr:uid="{00000000-0005-0000-0000-00008D570000}"/>
    <cellStyle name="Normal 2 11 2 4 2 2 2" xfId="22758" xr:uid="{00000000-0005-0000-0000-00008E570000}"/>
    <cellStyle name="Normal 2 11 2 4 2 2 3" xfId="22759" xr:uid="{00000000-0005-0000-0000-00008F570000}"/>
    <cellStyle name="Normal 2 11 2 4 2 2 4" xfId="22760" xr:uid="{00000000-0005-0000-0000-000090570000}"/>
    <cellStyle name="Normal 2 11 2 4 2 2 5" xfId="22761" xr:uid="{00000000-0005-0000-0000-000091570000}"/>
    <cellStyle name="Normal 2 11 2 4 2 3" xfId="22762" xr:uid="{00000000-0005-0000-0000-000092570000}"/>
    <cellStyle name="Normal 2 11 2 4 2 4" xfId="22763" xr:uid="{00000000-0005-0000-0000-000093570000}"/>
    <cellStyle name="Normal 2 11 2 4 2 5" xfId="22764" xr:uid="{00000000-0005-0000-0000-000094570000}"/>
    <cellStyle name="Normal 2 11 2 4 2 6" xfId="22765" xr:uid="{00000000-0005-0000-0000-000095570000}"/>
    <cellStyle name="Normal 2 11 2 4 2 7" xfId="22766" xr:uid="{00000000-0005-0000-0000-000096570000}"/>
    <cellStyle name="Normal 2 11 2 4 2 8" xfId="22767" xr:uid="{00000000-0005-0000-0000-000097570000}"/>
    <cellStyle name="Normal 2 11 2 4 3" xfId="22768" xr:uid="{00000000-0005-0000-0000-000098570000}"/>
    <cellStyle name="Normal 2 11 2 4 3 2" xfId="22769" xr:uid="{00000000-0005-0000-0000-000099570000}"/>
    <cellStyle name="Normal 2 11 2 4 3 2 2" xfId="22770" xr:uid="{00000000-0005-0000-0000-00009A570000}"/>
    <cellStyle name="Normal 2 11 2 4 3 2 3" xfId="22771" xr:uid="{00000000-0005-0000-0000-00009B570000}"/>
    <cellStyle name="Normal 2 11 2 4 3 2 4" xfId="22772" xr:uid="{00000000-0005-0000-0000-00009C570000}"/>
    <cellStyle name="Normal 2 11 2 4 3 2 5" xfId="22773" xr:uid="{00000000-0005-0000-0000-00009D570000}"/>
    <cellStyle name="Normal 2 11 2 4 3 3" xfId="22774" xr:uid="{00000000-0005-0000-0000-00009E570000}"/>
    <cellStyle name="Normal 2 11 2 4 3 4" xfId="22775" xr:uid="{00000000-0005-0000-0000-00009F570000}"/>
    <cellStyle name="Normal 2 11 2 4 3 5" xfId="22776" xr:uid="{00000000-0005-0000-0000-0000A0570000}"/>
    <cellStyle name="Normal 2 11 2 4 3 6" xfId="22777" xr:uid="{00000000-0005-0000-0000-0000A1570000}"/>
    <cellStyle name="Normal 2 11 2 4 3 7" xfId="22778" xr:uid="{00000000-0005-0000-0000-0000A2570000}"/>
    <cellStyle name="Normal 2 11 2 4 3 8" xfId="22779" xr:uid="{00000000-0005-0000-0000-0000A3570000}"/>
    <cellStyle name="Normal 2 11 2 4 4" xfId="22780" xr:uid="{00000000-0005-0000-0000-0000A4570000}"/>
    <cellStyle name="Normal 2 11 2 4 4 2" xfId="22781" xr:uid="{00000000-0005-0000-0000-0000A5570000}"/>
    <cellStyle name="Normal 2 11 2 4 4 3" xfId="22782" xr:uid="{00000000-0005-0000-0000-0000A6570000}"/>
    <cellStyle name="Normal 2 11 2 4 4 4" xfId="22783" xr:uid="{00000000-0005-0000-0000-0000A7570000}"/>
    <cellStyle name="Normal 2 11 2 4 4 5" xfId="22784" xr:uid="{00000000-0005-0000-0000-0000A8570000}"/>
    <cellStyle name="Normal 2 11 2 4 5" xfId="22785" xr:uid="{00000000-0005-0000-0000-0000A9570000}"/>
    <cellStyle name="Normal 2 11 2 4 6" xfId="22786" xr:uid="{00000000-0005-0000-0000-0000AA570000}"/>
    <cellStyle name="Normal 2 11 2 4 7" xfId="22787" xr:uid="{00000000-0005-0000-0000-0000AB570000}"/>
    <cellStyle name="Normal 2 11 2 4 8" xfId="22788" xr:uid="{00000000-0005-0000-0000-0000AC570000}"/>
    <cellStyle name="Normal 2 11 2 4 9" xfId="22789" xr:uid="{00000000-0005-0000-0000-0000AD570000}"/>
    <cellStyle name="Normal 2 11 2 5" xfId="22790" xr:uid="{00000000-0005-0000-0000-0000AE570000}"/>
    <cellStyle name="Normal 2 11 2 5 2" xfId="22791" xr:uid="{00000000-0005-0000-0000-0000AF570000}"/>
    <cellStyle name="Normal 2 11 2 5 2 2" xfId="22792" xr:uid="{00000000-0005-0000-0000-0000B0570000}"/>
    <cellStyle name="Normal 2 11 2 5 2 3" xfId="22793" xr:uid="{00000000-0005-0000-0000-0000B1570000}"/>
    <cellStyle name="Normal 2 11 2 5 2 4" xfId="22794" xr:uid="{00000000-0005-0000-0000-0000B2570000}"/>
    <cellStyle name="Normal 2 11 2 5 2 5" xfId="22795" xr:uid="{00000000-0005-0000-0000-0000B3570000}"/>
    <cellStyle name="Normal 2 11 2 5 3" xfId="22796" xr:uid="{00000000-0005-0000-0000-0000B4570000}"/>
    <cellStyle name="Normal 2 11 2 5 4" xfId="22797" xr:uid="{00000000-0005-0000-0000-0000B5570000}"/>
    <cellStyle name="Normal 2 11 2 5 5" xfId="22798" xr:uid="{00000000-0005-0000-0000-0000B6570000}"/>
    <cellStyle name="Normal 2 11 2 5 6" xfId="22799" xr:uid="{00000000-0005-0000-0000-0000B7570000}"/>
    <cellStyle name="Normal 2 11 2 5 7" xfId="22800" xr:uid="{00000000-0005-0000-0000-0000B8570000}"/>
    <cellStyle name="Normal 2 11 2 5 8" xfId="22801" xr:uid="{00000000-0005-0000-0000-0000B9570000}"/>
    <cellStyle name="Normal 2 11 2 6" xfId="22802" xr:uid="{00000000-0005-0000-0000-0000BA570000}"/>
    <cellStyle name="Normal 2 11 2 6 2" xfId="22803" xr:uid="{00000000-0005-0000-0000-0000BB570000}"/>
    <cellStyle name="Normal 2 11 2 6 2 2" xfId="22804" xr:uid="{00000000-0005-0000-0000-0000BC570000}"/>
    <cellStyle name="Normal 2 11 2 6 2 3" xfId="22805" xr:uid="{00000000-0005-0000-0000-0000BD570000}"/>
    <cellStyle name="Normal 2 11 2 6 2 4" xfId="22806" xr:uid="{00000000-0005-0000-0000-0000BE570000}"/>
    <cellStyle name="Normal 2 11 2 6 2 5" xfId="22807" xr:uid="{00000000-0005-0000-0000-0000BF570000}"/>
    <cellStyle name="Normal 2 11 2 6 3" xfId="22808" xr:uid="{00000000-0005-0000-0000-0000C0570000}"/>
    <cellStyle name="Normal 2 11 2 6 4" xfId="22809" xr:uid="{00000000-0005-0000-0000-0000C1570000}"/>
    <cellStyle name="Normal 2 11 2 6 5" xfId="22810" xr:uid="{00000000-0005-0000-0000-0000C2570000}"/>
    <cellStyle name="Normal 2 11 2 6 6" xfId="22811" xr:uid="{00000000-0005-0000-0000-0000C3570000}"/>
    <cellStyle name="Normal 2 11 2 6 7" xfId="22812" xr:uid="{00000000-0005-0000-0000-0000C4570000}"/>
    <cellStyle name="Normal 2 11 2 6 8" xfId="22813" xr:uid="{00000000-0005-0000-0000-0000C5570000}"/>
    <cellStyle name="Normal 2 11 2 7" xfId="22814" xr:uid="{00000000-0005-0000-0000-0000C6570000}"/>
    <cellStyle name="Normal 2 11 2 7 2" xfId="22815" xr:uid="{00000000-0005-0000-0000-0000C7570000}"/>
    <cellStyle name="Normal 2 11 2 7 3" xfId="22816" xr:uid="{00000000-0005-0000-0000-0000C8570000}"/>
    <cellStyle name="Normal 2 11 2 7 4" xfId="22817" xr:uid="{00000000-0005-0000-0000-0000C9570000}"/>
    <cellStyle name="Normal 2 11 2 7 5" xfId="22818" xr:uid="{00000000-0005-0000-0000-0000CA570000}"/>
    <cellStyle name="Normal 2 11 2 8" xfId="22819" xr:uid="{00000000-0005-0000-0000-0000CB570000}"/>
    <cellStyle name="Normal 2 11 2 9" xfId="22820" xr:uid="{00000000-0005-0000-0000-0000CC570000}"/>
    <cellStyle name="Normal 2 11 3" xfId="22821" xr:uid="{00000000-0005-0000-0000-0000CD570000}"/>
    <cellStyle name="Normal 2 11 3 10" xfId="22822" xr:uid="{00000000-0005-0000-0000-0000CE570000}"/>
    <cellStyle name="Normal 2 11 3 11" xfId="22823" xr:uid="{00000000-0005-0000-0000-0000CF570000}"/>
    <cellStyle name="Normal 2 11 3 12" xfId="22824" xr:uid="{00000000-0005-0000-0000-0000D0570000}"/>
    <cellStyle name="Normal 2 11 3 13" xfId="22825" xr:uid="{00000000-0005-0000-0000-0000D1570000}"/>
    <cellStyle name="Normal 2 11 3 2" xfId="22826" xr:uid="{00000000-0005-0000-0000-0000D2570000}"/>
    <cellStyle name="Normal 2 11 3 2 10" xfId="22827" xr:uid="{00000000-0005-0000-0000-0000D3570000}"/>
    <cellStyle name="Normal 2 11 3 2 11" xfId="22828" xr:uid="{00000000-0005-0000-0000-0000D4570000}"/>
    <cellStyle name="Normal 2 11 3 2 2" xfId="22829" xr:uid="{00000000-0005-0000-0000-0000D5570000}"/>
    <cellStyle name="Normal 2 11 3 2 2 10" xfId="22830" xr:uid="{00000000-0005-0000-0000-0000D6570000}"/>
    <cellStyle name="Normal 2 11 3 2 2 2" xfId="22831" xr:uid="{00000000-0005-0000-0000-0000D7570000}"/>
    <cellStyle name="Normal 2 11 3 2 2 2 2" xfId="22832" xr:uid="{00000000-0005-0000-0000-0000D8570000}"/>
    <cellStyle name="Normal 2 11 3 2 2 2 2 2" xfId="22833" xr:uid="{00000000-0005-0000-0000-0000D9570000}"/>
    <cellStyle name="Normal 2 11 3 2 2 2 2 3" xfId="22834" xr:uid="{00000000-0005-0000-0000-0000DA570000}"/>
    <cellStyle name="Normal 2 11 3 2 2 2 2 4" xfId="22835" xr:uid="{00000000-0005-0000-0000-0000DB570000}"/>
    <cellStyle name="Normal 2 11 3 2 2 2 2 5" xfId="22836" xr:uid="{00000000-0005-0000-0000-0000DC570000}"/>
    <cellStyle name="Normal 2 11 3 2 2 2 3" xfId="22837" xr:uid="{00000000-0005-0000-0000-0000DD570000}"/>
    <cellStyle name="Normal 2 11 3 2 2 2 4" xfId="22838" xr:uid="{00000000-0005-0000-0000-0000DE570000}"/>
    <cellStyle name="Normal 2 11 3 2 2 2 5" xfId="22839" xr:uid="{00000000-0005-0000-0000-0000DF570000}"/>
    <cellStyle name="Normal 2 11 3 2 2 2 6" xfId="22840" xr:uid="{00000000-0005-0000-0000-0000E0570000}"/>
    <cellStyle name="Normal 2 11 3 2 2 2 7" xfId="22841" xr:uid="{00000000-0005-0000-0000-0000E1570000}"/>
    <cellStyle name="Normal 2 11 3 2 2 2 8" xfId="22842" xr:uid="{00000000-0005-0000-0000-0000E2570000}"/>
    <cellStyle name="Normal 2 11 3 2 2 3" xfId="22843" xr:uid="{00000000-0005-0000-0000-0000E3570000}"/>
    <cellStyle name="Normal 2 11 3 2 2 3 2" xfId="22844" xr:uid="{00000000-0005-0000-0000-0000E4570000}"/>
    <cellStyle name="Normal 2 11 3 2 2 3 2 2" xfId="22845" xr:uid="{00000000-0005-0000-0000-0000E5570000}"/>
    <cellStyle name="Normal 2 11 3 2 2 3 2 3" xfId="22846" xr:uid="{00000000-0005-0000-0000-0000E6570000}"/>
    <cellStyle name="Normal 2 11 3 2 2 3 2 4" xfId="22847" xr:uid="{00000000-0005-0000-0000-0000E7570000}"/>
    <cellStyle name="Normal 2 11 3 2 2 3 2 5" xfId="22848" xr:uid="{00000000-0005-0000-0000-0000E8570000}"/>
    <cellStyle name="Normal 2 11 3 2 2 3 3" xfId="22849" xr:uid="{00000000-0005-0000-0000-0000E9570000}"/>
    <cellStyle name="Normal 2 11 3 2 2 3 4" xfId="22850" xr:uid="{00000000-0005-0000-0000-0000EA570000}"/>
    <cellStyle name="Normal 2 11 3 2 2 3 5" xfId="22851" xr:uid="{00000000-0005-0000-0000-0000EB570000}"/>
    <cellStyle name="Normal 2 11 3 2 2 3 6" xfId="22852" xr:uid="{00000000-0005-0000-0000-0000EC570000}"/>
    <cellStyle name="Normal 2 11 3 2 2 3 7" xfId="22853" xr:uid="{00000000-0005-0000-0000-0000ED570000}"/>
    <cellStyle name="Normal 2 11 3 2 2 3 8" xfId="22854" xr:uid="{00000000-0005-0000-0000-0000EE570000}"/>
    <cellStyle name="Normal 2 11 3 2 2 4" xfId="22855" xr:uid="{00000000-0005-0000-0000-0000EF570000}"/>
    <cellStyle name="Normal 2 11 3 2 2 4 2" xfId="22856" xr:uid="{00000000-0005-0000-0000-0000F0570000}"/>
    <cellStyle name="Normal 2 11 3 2 2 4 3" xfId="22857" xr:uid="{00000000-0005-0000-0000-0000F1570000}"/>
    <cellStyle name="Normal 2 11 3 2 2 4 4" xfId="22858" xr:uid="{00000000-0005-0000-0000-0000F2570000}"/>
    <cellStyle name="Normal 2 11 3 2 2 4 5" xfId="22859" xr:uid="{00000000-0005-0000-0000-0000F3570000}"/>
    <cellStyle name="Normal 2 11 3 2 2 5" xfId="22860" xr:uid="{00000000-0005-0000-0000-0000F4570000}"/>
    <cellStyle name="Normal 2 11 3 2 2 6" xfId="22861" xr:uid="{00000000-0005-0000-0000-0000F5570000}"/>
    <cellStyle name="Normal 2 11 3 2 2 7" xfId="22862" xr:uid="{00000000-0005-0000-0000-0000F6570000}"/>
    <cellStyle name="Normal 2 11 3 2 2 8" xfId="22863" xr:uid="{00000000-0005-0000-0000-0000F7570000}"/>
    <cellStyle name="Normal 2 11 3 2 2 9" xfId="22864" xr:uid="{00000000-0005-0000-0000-0000F8570000}"/>
    <cellStyle name="Normal 2 11 3 2 3" xfId="22865" xr:uid="{00000000-0005-0000-0000-0000F9570000}"/>
    <cellStyle name="Normal 2 11 3 2 3 2" xfId="22866" xr:uid="{00000000-0005-0000-0000-0000FA570000}"/>
    <cellStyle name="Normal 2 11 3 2 3 2 2" xfId="22867" xr:uid="{00000000-0005-0000-0000-0000FB570000}"/>
    <cellStyle name="Normal 2 11 3 2 3 2 3" xfId="22868" xr:uid="{00000000-0005-0000-0000-0000FC570000}"/>
    <cellStyle name="Normal 2 11 3 2 3 2 4" xfId="22869" xr:uid="{00000000-0005-0000-0000-0000FD570000}"/>
    <cellStyle name="Normal 2 11 3 2 3 2 5" xfId="22870" xr:uid="{00000000-0005-0000-0000-0000FE570000}"/>
    <cellStyle name="Normal 2 11 3 2 3 3" xfId="22871" xr:uid="{00000000-0005-0000-0000-0000FF570000}"/>
    <cellStyle name="Normal 2 11 3 2 3 4" xfId="22872" xr:uid="{00000000-0005-0000-0000-000000580000}"/>
    <cellStyle name="Normal 2 11 3 2 3 5" xfId="22873" xr:uid="{00000000-0005-0000-0000-000001580000}"/>
    <cellStyle name="Normal 2 11 3 2 3 6" xfId="22874" xr:uid="{00000000-0005-0000-0000-000002580000}"/>
    <cellStyle name="Normal 2 11 3 2 3 7" xfId="22875" xr:uid="{00000000-0005-0000-0000-000003580000}"/>
    <cellStyle name="Normal 2 11 3 2 3 8" xfId="22876" xr:uid="{00000000-0005-0000-0000-000004580000}"/>
    <cellStyle name="Normal 2 11 3 2 4" xfId="22877" xr:uid="{00000000-0005-0000-0000-000005580000}"/>
    <cellStyle name="Normal 2 11 3 2 4 2" xfId="22878" xr:uid="{00000000-0005-0000-0000-000006580000}"/>
    <cellStyle name="Normal 2 11 3 2 4 2 2" xfId="22879" xr:uid="{00000000-0005-0000-0000-000007580000}"/>
    <cellStyle name="Normal 2 11 3 2 4 2 3" xfId="22880" xr:uid="{00000000-0005-0000-0000-000008580000}"/>
    <cellStyle name="Normal 2 11 3 2 4 2 4" xfId="22881" xr:uid="{00000000-0005-0000-0000-000009580000}"/>
    <cellStyle name="Normal 2 11 3 2 4 2 5" xfId="22882" xr:uid="{00000000-0005-0000-0000-00000A580000}"/>
    <cellStyle name="Normal 2 11 3 2 4 3" xfId="22883" xr:uid="{00000000-0005-0000-0000-00000B580000}"/>
    <cellStyle name="Normal 2 11 3 2 4 4" xfId="22884" xr:uid="{00000000-0005-0000-0000-00000C580000}"/>
    <cellStyle name="Normal 2 11 3 2 4 5" xfId="22885" xr:uid="{00000000-0005-0000-0000-00000D580000}"/>
    <cellStyle name="Normal 2 11 3 2 4 6" xfId="22886" xr:uid="{00000000-0005-0000-0000-00000E580000}"/>
    <cellStyle name="Normal 2 11 3 2 4 7" xfId="22887" xr:uid="{00000000-0005-0000-0000-00000F580000}"/>
    <cellStyle name="Normal 2 11 3 2 4 8" xfId="22888" xr:uid="{00000000-0005-0000-0000-000010580000}"/>
    <cellStyle name="Normal 2 11 3 2 5" xfId="22889" xr:uid="{00000000-0005-0000-0000-000011580000}"/>
    <cellStyle name="Normal 2 11 3 2 5 2" xfId="22890" xr:uid="{00000000-0005-0000-0000-000012580000}"/>
    <cellStyle name="Normal 2 11 3 2 5 3" xfId="22891" xr:uid="{00000000-0005-0000-0000-000013580000}"/>
    <cellStyle name="Normal 2 11 3 2 5 4" xfId="22892" xr:uid="{00000000-0005-0000-0000-000014580000}"/>
    <cellStyle name="Normal 2 11 3 2 5 5" xfId="22893" xr:uid="{00000000-0005-0000-0000-000015580000}"/>
    <cellStyle name="Normal 2 11 3 2 6" xfId="22894" xr:uid="{00000000-0005-0000-0000-000016580000}"/>
    <cellStyle name="Normal 2 11 3 2 7" xfId="22895" xr:uid="{00000000-0005-0000-0000-000017580000}"/>
    <cellStyle name="Normal 2 11 3 2 8" xfId="22896" xr:uid="{00000000-0005-0000-0000-000018580000}"/>
    <cellStyle name="Normal 2 11 3 2 9" xfId="22897" xr:uid="{00000000-0005-0000-0000-000019580000}"/>
    <cellStyle name="Normal 2 11 3 3" xfId="22898" xr:uid="{00000000-0005-0000-0000-00001A580000}"/>
    <cellStyle name="Normal 2 11 3 3 10" xfId="22899" xr:uid="{00000000-0005-0000-0000-00001B580000}"/>
    <cellStyle name="Normal 2 11 3 3 11" xfId="22900" xr:uid="{00000000-0005-0000-0000-00001C580000}"/>
    <cellStyle name="Normal 2 11 3 3 2" xfId="22901" xr:uid="{00000000-0005-0000-0000-00001D580000}"/>
    <cellStyle name="Normal 2 11 3 3 2 10" xfId="22902" xr:uid="{00000000-0005-0000-0000-00001E580000}"/>
    <cellStyle name="Normal 2 11 3 3 2 2" xfId="22903" xr:uid="{00000000-0005-0000-0000-00001F580000}"/>
    <cellStyle name="Normal 2 11 3 3 2 2 2" xfId="22904" xr:uid="{00000000-0005-0000-0000-000020580000}"/>
    <cellStyle name="Normal 2 11 3 3 2 2 2 2" xfId="22905" xr:uid="{00000000-0005-0000-0000-000021580000}"/>
    <cellStyle name="Normal 2 11 3 3 2 2 2 3" xfId="22906" xr:uid="{00000000-0005-0000-0000-000022580000}"/>
    <cellStyle name="Normal 2 11 3 3 2 2 2 4" xfId="22907" xr:uid="{00000000-0005-0000-0000-000023580000}"/>
    <cellStyle name="Normal 2 11 3 3 2 2 2 5" xfId="22908" xr:uid="{00000000-0005-0000-0000-000024580000}"/>
    <cellStyle name="Normal 2 11 3 3 2 2 3" xfId="22909" xr:uid="{00000000-0005-0000-0000-000025580000}"/>
    <cellStyle name="Normal 2 11 3 3 2 2 4" xfId="22910" xr:uid="{00000000-0005-0000-0000-000026580000}"/>
    <cellStyle name="Normal 2 11 3 3 2 2 5" xfId="22911" xr:uid="{00000000-0005-0000-0000-000027580000}"/>
    <cellStyle name="Normal 2 11 3 3 2 2 6" xfId="22912" xr:uid="{00000000-0005-0000-0000-000028580000}"/>
    <cellStyle name="Normal 2 11 3 3 2 2 7" xfId="22913" xr:uid="{00000000-0005-0000-0000-000029580000}"/>
    <cellStyle name="Normal 2 11 3 3 2 2 8" xfId="22914" xr:uid="{00000000-0005-0000-0000-00002A580000}"/>
    <cellStyle name="Normal 2 11 3 3 2 3" xfId="22915" xr:uid="{00000000-0005-0000-0000-00002B580000}"/>
    <cellStyle name="Normal 2 11 3 3 2 3 2" xfId="22916" xr:uid="{00000000-0005-0000-0000-00002C580000}"/>
    <cellStyle name="Normal 2 11 3 3 2 3 2 2" xfId="22917" xr:uid="{00000000-0005-0000-0000-00002D580000}"/>
    <cellStyle name="Normal 2 11 3 3 2 3 2 3" xfId="22918" xr:uid="{00000000-0005-0000-0000-00002E580000}"/>
    <cellStyle name="Normal 2 11 3 3 2 3 2 4" xfId="22919" xr:uid="{00000000-0005-0000-0000-00002F580000}"/>
    <cellStyle name="Normal 2 11 3 3 2 3 2 5" xfId="22920" xr:uid="{00000000-0005-0000-0000-000030580000}"/>
    <cellStyle name="Normal 2 11 3 3 2 3 3" xfId="22921" xr:uid="{00000000-0005-0000-0000-000031580000}"/>
    <cellStyle name="Normal 2 11 3 3 2 3 4" xfId="22922" xr:uid="{00000000-0005-0000-0000-000032580000}"/>
    <cellStyle name="Normal 2 11 3 3 2 3 5" xfId="22923" xr:uid="{00000000-0005-0000-0000-000033580000}"/>
    <cellStyle name="Normal 2 11 3 3 2 3 6" xfId="22924" xr:uid="{00000000-0005-0000-0000-000034580000}"/>
    <cellStyle name="Normal 2 11 3 3 2 3 7" xfId="22925" xr:uid="{00000000-0005-0000-0000-000035580000}"/>
    <cellStyle name="Normal 2 11 3 3 2 3 8" xfId="22926" xr:uid="{00000000-0005-0000-0000-000036580000}"/>
    <cellStyle name="Normal 2 11 3 3 2 4" xfId="22927" xr:uid="{00000000-0005-0000-0000-000037580000}"/>
    <cellStyle name="Normal 2 11 3 3 2 4 2" xfId="22928" xr:uid="{00000000-0005-0000-0000-000038580000}"/>
    <cellStyle name="Normal 2 11 3 3 2 4 3" xfId="22929" xr:uid="{00000000-0005-0000-0000-000039580000}"/>
    <cellStyle name="Normal 2 11 3 3 2 4 4" xfId="22930" xr:uid="{00000000-0005-0000-0000-00003A580000}"/>
    <cellStyle name="Normal 2 11 3 3 2 4 5" xfId="22931" xr:uid="{00000000-0005-0000-0000-00003B580000}"/>
    <cellStyle name="Normal 2 11 3 3 2 5" xfId="22932" xr:uid="{00000000-0005-0000-0000-00003C580000}"/>
    <cellStyle name="Normal 2 11 3 3 2 6" xfId="22933" xr:uid="{00000000-0005-0000-0000-00003D580000}"/>
    <cellStyle name="Normal 2 11 3 3 2 7" xfId="22934" xr:uid="{00000000-0005-0000-0000-00003E580000}"/>
    <cellStyle name="Normal 2 11 3 3 2 8" xfId="22935" xr:uid="{00000000-0005-0000-0000-00003F580000}"/>
    <cellStyle name="Normal 2 11 3 3 2 9" xfId="22936" xr:uid="{00000000-0005-0000-0000-000040580000}"/>
    <cellStyle name="Normal 2 11 3 3 3" xfId="22937" xr:uid="{00000000-0005-0000-0000-000041580000}"/>
    <cellStyle name="Normal 2 11 3 3 3 2" xfId="22938" xr:uid="{00000000-0005-0000-0000-000042580000}"/>
    <cellStyle name="Normal 2 11 3 3 3 2 2" xfId="22939" xr:uid="{00000000-0005-0000-0000-000043580000}"/>
    <cellStyle name="Normal 2 11 3 3 3 2 3" xfId="22940" xr:uid="{00000000-0005-0000-0000-000044580000}"/>
    <cellStyle name="Normal 2 11 3 3 3 2 4" xfId="22941" xr:uid="{00000000-0005-0000-0000-000045580000}"/>
    <cellStyle name="Normal 2 11 3 3 3 2 5" xfId="22942" xr:uid="{00000000-0005-0000-0000-000046580000}"/>
    <cellStyle name="Normal 2 11 3 3 3 3" xfId="22943" xr:uid="{00000000-0005-0000-0000-000047580000}"/>
    <cellStyle name="Normal 2 11 3 3 3 4" xfId="22944" xr:uid="{00000000-0005-0000-0000-000048580000}"/>
    <cellStyle name="Normal 2 11 3 3 3 5" xfId="22945" xr:uid="{00000000-0005-0000-0000-000049580000}"/>
    <cellStyle name="Normal 2 11 3 3 3 6" xfId="22946" xr:uid="{00000000-0005-0000-0000-00004A580000}"/>
    <cellStyle name="Normal 2 11 3 3 3 7" xfId="22947" xr:uid="{00000000-0005-0000-0000-00004B580000}"/>
    <cellStyle name="Normal 2 11 3 3 3 8" xfId="22948" xr:uid="{00000000-0005-0000-0000-00004C580000}"/>
    <cellStyle name="Normal 2 11 3 3 4" xfId="22949" xr:uid="{00000000-0005-0000-0000-00004D580000}"/>
    <cellStyle name="Normal 2 11 3 3 4 2" xfId="22950" xr:uid="{00000000-0005-0000-0000-00004E580000}"/>
    <cellStyle name="Normal 2 11 3 3 4 2 2" xfId="22951" xr:uid="{00000000-0005-0000-0000-00004F580000}"/>
    <cellStyle name="Normal 2 11 3 3 4 2 3" xfId="22952" xr:uid="{00000000-0005-0000-0000-000050580000}"/>
    <cellStyle name="Normal 2 11 3 3 4 2 4" xfId="22953" xr:uid="{00000000-0005-0000-0000-000051580000}"/>
    <cellStyle name="Normal 2 11 3 3 4 2 5" xfId="22954" xr:uid="{00000000-0005-0000-0000-000052580000}"/>
    <cellStyle name="Normal 2 11 3 3 4 3" xfId="22955" xr:uid="{00000000-0005-0000-0000-000053580000}"/>
    <cellStyle name="Normal 2 11 3 3 4 4" xfId="22956" xr:uid="{00000000-0005-0000-0000-000054580000}"/>
    <cellStyle name="Normal 2 11 3 3 4 5" xfId="22957" xr:uid="{00000000-0005-0000-0000-000055580000}"/>
    <cellStyle name="Normal 2 11 3 3 4 6" xfId="22958" xr:uid="{00000000-0005-0000-0000-000056580000}"/>
    <cellStyle name="Normal 2 11 3 3 4 7" xfId="22959" xr:uid="{00000000-0005-0000-0000-000057580000}"/>
    <cellStyle name="Normal 2 11 3 3 4 8" xfId="22960" xr:uid="{00000000-0005-0000-0000-000058580000}"/>
    <cellStyle name="Normal 2 11 3 3 5" xfId="22961" xr:uid="{00000000-0005-0000-0000-000059580000}"/>
    <cellStyle name="Normal 2 11 3 3 5 2" xfId="22962" xr:uid="{00000000-0005-0000-0000-00005A580000}"/>
    <cellStyle name="Normal 2 11 3 3 5 3" xfId="22963" xr:uid="{00000000-0005-0000-0000-00005B580000}"/>
    <cellStyle name="Normal 2 11 3 3 5 4" xfId="22964" xr:uid="{00000000-0005-0000-0000-00005C580000}"/>
    <cellStyle name="Normal 2 11 3 3 5 5" xfId="22965" xr:uid="{00000000-0005-0000-0000-00005D580000}"/>
    <cellStyle name="Normal 2 11 3 3 6" xfId="22966" xr:uid="{00000000-0005-0000-0000-00005E580000}"/>
    <cellStyle name="Normal 2 11 3 3 7" xfId="22967" xr:uid="{00000000-0005-0000-0000-00005F580000}"/>
    <cellStyle name="Normal 2 11 3 3 8" xfId="22968" xr:uid="{00000000-0005-0000-0000-000060580000}"/>
    <cellStyle name="Normal 2 11 3 3 9" xfId="22969" xr:uid="{00000000-0005-0000-0000-000061580000}"/>
    <cellStyle name="Normal 2 11 3 4" xfId="22970" xr:uid="{00000000-0005-0000-0000-000062580000}"/>
    <cellStyle name="Normal 2 11 3 4 10" xfId="22971" xr:uid="{00000000-0005-0000-0000-000063580000}"/>
    <cellStyle name="Normal 2 11 3 4 2" xfId="22972" xr:uid="{00000000-0005-0000-0000-000064580000}"/>
    <cellStyle name="Normal 2 11 3 4 2 2" xfId="22973" xr:uid="{00000000-0005-0000-0000-000065580000}"/>
    <cellStyle name="Normal 2 11 3 4 2 2 2" xfId="22974" xr:uid="{00000000-0005-0000-0000-000066580000}"/>
    <cellStyle name="Normal 2 11 3 4 2 2 3" xfId="22975" xr:uid="{00000000-0005-0000-0000-000067580000}"/>
    <cellStyle name="Normal 2 11 3 4 2 2 4" xfId="22976" xr:uid="{00000000-0005-0000-0000-000068580000}"/>
    <cellStyle name="Normal 2 11 3 4 2 2 5" xfId="22977" xr:uid="{00000000-0005-0000-0000-000069580000}"/>
    <cellStyle name="Normal 2 11 3 4 2 3" xfId="22978" xr:uid="{00000000-0005-0000-0000-00006A580000}"/>
    <cellStyle name="Normal 2 11 3 4 2 4" xfId="22979" xr:uid="{00000000-0005-0000-0000-00006B580000}"/>
    <cellStyle name="Normal 2 11 3 4 2 5" xfId="22980" xr:uid="{00000000-0005-0000-0000-00006C580000}"/>
    <cellStyle name="Normal 2 11 3 4 2 6" xfId="22981" xr:uid="{00000000-0005-0000-0000-00006D580000}"/>
    <cellStyle name="Normal 2 11 3 4 2 7" xfId="22982" xr:uid="{00000000-0005-0000-0000-00006E580000}"/>
    <cellStyle name="Normal 2 11 3 4 2 8" xfId="22983" xr:uid="{00000000-0005-0000-0000-00006F580000}"/>
    <cellStyle name="Normal 2 11 3 4 3" xfId="22984" xr:uid="{00000000-0005-0000-0000-000070580000}"/>
    <cellStyle name="Normal 2 11 3 4 3 2" xfId="22985" xr:uid="{00000000-0005-0000-0000-000071580000}"/>
    <cellStyle name="Normal 2 11 3 4 3 2 2" xfId="22986" xr:uid="{00000000-0005-0000-0000-000072580000}"/>
    <cellStyle name="Normal 2 11 3 4 3 2 3" xfId="22987" xr:uid="{00000000-0005-0000-0000-000073580000}"/>
    <cellStyle name="Normal 2 11 3 4 3 2 4" xfId="22988" xr:uid="{00000000-0005-0000-0000-000074580000}"/>
    <cellStyle name="Normal 2 11 3 4 3 2 5" xfId="22989" xr:uid="{00000000-0005-0000-0000-000075580000}"/>
    <cellStyle name="Normal 2 11 3 4 3 3" xfId="22990" xr:uid="{00000000-0005-0000-0000-000076580000}"/>
    <cellStyle name="Normal 2 11 3 4 3 4" xfId="22991" xr:uid="{00000000-0005-0000-0000-000077580000}"/>
    <cellStyle name="Normal 2 11 3 4 3 5" xfId="22992" xr:uid="{00000000-0005-0000-0000-000078580000}"/>
    <cellStyle name="Normal 2 11 3 4 3 6" xfId="22993" xr:uid="{00000000-0005-0000-0000-000079580000}"/>
    <cellStyle name="Normal 2 11 3 4 3 7" xfId="22994" xr:uid="{00000000-0005-0000-0000-00007A580000}"/>
    <cellStyle name="Normal 2 11 3 4 3 8" xfId="22995" xr:uid="{00000000-0005-0000-0000-00007B580000}"/>
    <cellStyle name="Normal 2 11 3 4 4" xfId="22996" xr:uid="{00000000-0005-0000-0000-00007C580000}"/>
    <cellStyle name="Normal 2 11 3 4 4 2" xfId="22997" xr:uid="{00000000-0005-0000-0000-00007D580000}"/>
    <cellStyle name="Normal 2 11 3 4 4 3" xfId="22998" xr:uid="{00000000-0005-0000-0000-00007E580000}"/>
    <cellStyle name="Normal 2 11 3 4 4 4" xfId="22999" xr:uid="{00000000-0005-0000-0000-00007F580000}"/>
    <cellStyle name="Normal 2 11 3 4 4 5" xfId="23000" xr:uid="{00000000-0005-0000-0000-000080580000}"/>
    <cellStyle name="Normal 2 11 3 4 5" xfId="23001" xr:uid="{00000000-0005-0000-0000-000081580000}"/>
    <cellStyle name="Normal 2 11 3 4 6" xfId="23002" xr:uid="{00000000-0005-0000-0000-000082580000}"/>
    <cellStyle name="Normal 2 11 3 4 7" xfId="23003" xr:uid="{00000000-0005-0000-0000-000083580000}"/>
    <cellStyle name="Normal 2 11 3 4 8" xfId="23004" xr:uid="{00000000-0005-0000-0000-000084580000}"/>
    <cellStyle name="Normal 2 11 3 4 9" xfId="23005" xr:uid="{00000000-0005-0000-0000-000085580000}"/>
    <cellStyle name="Normal 2 11 3 5" xfId="23006" xr:uid="{00000000-0005-0000-0000-000086580000}"/>
    <cellStyle name="Normal 2 11 3 5 2" xfId="23007" xr:uid="{00000000-0005-0000-0000-000087580000}"/>
    <cellStyle name="Normal 2 11 3 5 2 2" xfId="23008" xr:uid="{00000000-0005-0000-0000-000088580000}"/>
    <cellStyle name="Normal 2 11 3 5 2 3" xfId="23009" xr:uid="{00000000-0005-0000-0000-000089580000}"/>
    <cellStyle name="Normal 2 11 3 5 2 4" xfId="23010" xr:uid="{00000000-0005-0000-0000-00008A580000}"/>
    <cellStyle name="Normal 2 11 3 5 2 5" xfId="23011" xr:uid="{00000000-0005-0000-0000-00008B580000}"/>
    <cellStyle name="Normal 2 11 3 5 3" xfId="23012" xr:uid="{00000000-0005-0000-0000-00008C580000}"/>
    <cellStyle name="Normal 2 11 3 5 4" xfId="23013" xr:uid="{00000000-0005-0000-0000-00008D580000}"/>
    <cellStyle name="Normal 2 11 3 5 5" xfId="23014" xr:uid="{00000000-0005-0000-0000-00008E580000}"/>
    <cellStyle name="Normal 2 11 3 5 6" xfId="23015" xr:uid="{00000000-0005-0000-0000-00008F580000}"/>
    <cellStyle name="Normal 2 11 3 5 7" xfId="23016" xr:uid="{00000000-0005-0000-0000-000090580000}"/>
    <cellStyle name="Normal 2 11 3 5 8" xfId="23017" xr:uid="{00000000-0005-0000-0000-000091580000}"/>
    <cellStyle name="Normal 2 11 3 6" xfId="23018" xr:uid="{00000000-0005-0000-0000-000092580000}"/>
    <cellStyle name="Normal 2 11 3 6 2" xfId="23019" xr:uid="{00000000-0005-0000-0000-000093580000}"/>
    <cellStyle name="Normal 2 11 3 6 2 2" xfId="23020" xr:uid="{00000000-0005-0000-0000-000094580000}"/>
    <cellStyle name="Normal 2 11 3 6 2 3" xfId="23021" xr:uid="{00000000-0005-0000-0000-000095580000}"/>
    <cellStyle name="Normal 2 11 3 6 2 4" xfId="23022" xr:uid="{00000000-0005-0000-0000-000096580000}"/>
    <cellStyle name="Normal 2 11 3 6 2 5" xfId="23023" xr:uid="{00000000-0005-0000-0000-000097580000}"/>
    <cellStyle name="Normal 2 11 3 6 3" xfId="23024" xr:uid="{00000000-0005-0000-0000-000098580000}"/>
    <cellStyle name="Normal 2 11 3 6 4" xfId="23025" xr:uid="{00000000-0005-0000-0000-000099580000}"/>
    <cellStyle name="Normal 2 11 3 6 5" xfId="23026" xr:uid="{00000000-0005-0000-0000-00009A580000}"/>
    <cellStyle name="Normal 2 11 3 6 6" xfId="23027" xr:uid="{00000000-0005-0000-0000-00009B580000}"/>
    <cellStyle name="Normal 2 11 3 6 7" xfId="23028" xr:uid="{00000000-0005-0000-0000-00009C580000}"/>
    <cellStyle name="Normal 2 11 3 6 8" xfId="23029" xr:uid="{00000000-0005-0000-0000-00009D580000}"/>
    <cellStyle name="Normal 2 11 3 7" xfId="23030" xr:uid="{00000000-0005-0000-0000-00009E580000}"/>
    <cellStyle name="Normal 2 11 3 7 2" xfId="23031" xr:uid="{00000000-0005-0000-0000-00009F580000}"/>
    <cellStyle name="Normal 2 11 3 7 3" xfId="23032" xr:uid="{00000000-0005-0000-0000-0000A0580000}"/>
    <cellStyle name="Normal 2 11 3 7 4" xfId="23033" xr:uid="{00000000-0005-0000-0000-0000A1580000}"/>
    <cellStyle name="Normal 2 11 3 7 5" xfId="23034" xr:uid="{00000000-0005-0000-0000-0000A2580000}"/>
    <cellStyle name="Normal 2 11 3 8" xfId="23035" xr:uid="{00000000-0005-0000-0000-0000A3580000}"/>
    <cellStyle name="Normal 2 11 3 9" xfId="23036" xr:uid="{00000000-0005-0000-0000-0000A4580000}"/>
    <cellStyle name="Normal 2 11 4" xfId="23037" xr:uid="{00000000-0005-0000-0000-0000A5580000}"/>
    <cellStyle name="Normal 2 11 4 10" xfId="23038" xr:uid="{00000000-0005-0000-0000-0000A6580000}"/>
    <cellStyle name="Normal 2 11 4 11" xfId="23039" xr:uid="{00000000-0005-0000-0000-0000A7580000}"/>
    <cellStyle name="Normal 2 11 4 2" xfId="23040" xr:uid="{00000000-0005-0000-0000-0000A8580000}"/>
    <cellStyle name="Normal 2 11 4 2 10" xfId="23041" xr:uid="{00000000-0005-0000-0000-0000A9580000}"/>
    <cellStyle name="Normal 2 11 4 2 2" xfId="23042" xr:uid="{00000000-0005-0000-0000-0000AA580000}"/>
    <cellStyle name="Normal 2 11 4 2 2 2" xfId="23043" xr:uid="{00000000-0005-0000-0000-0000AB580000}"/>
    <cellStyle name="Normal 2 11 4 2 2 2 2" xfId="23044" xr:uid="{00000000-0005-0000-0000-0000AC580000}"/>
    <cellStyle name="Normal 2 11 4 2 2 2 3" xfId="23045" xr:uid="{00000000-0005-0000-0000-0000AD580000}"/>
    <cellStyle name="Normal 2 11 4 2 2 2 4" xfId="23046" xr:uid="{00000000-0005-0000-0000-0000AE580000}"/>
    <cellStyle name="Normal 2 11 4 2 2 2 5" xfId="23047" xr:uid="{00000000-0005-0000-0000-0000AF580000}"/>
    <cellStyle name="Normal 2 11 4 2 2 3" xfId="23048" xr:uid="{00000000-0005-0000-0000-0000B0580000}"/>
    <cellStyle name="Normal 2 11 4 2 2 4" xfId="23049" xr:uid="{00000000-0005-0000-0000-0000B1580000}"/>
    <cellStyle name="Normal 2 11 4 2 2 5" xfId="23050" xr:uid="{00000000-0005-0000-0000-0000B2580000}"/>
    <cellStyle name="Normal 2 11 4 2 2 6" xfId="23051" xr:uid="{00000000-0005-0000-0000-0000B3580000}"/>
    <cellStyle name="Normal 2 11 4 2 2 7" xfId="23052" xr:uid="{00000000-0005-0000-0000-0000B4580000}"/>
    <cellStyle name="Normal 2 11 4 2 2 8" xfId="23053" xr:uid="{00000000-0005-0000-0000-0000B5580000}"/>
    <cellStyle name="Normal 2 11 4 2 3" xfId="23054" xr:uid="{00000000-0005-0000-0000-0000B6580000}"/>
    <cellStyle name="Normal 2 11 4 2 3 2" xfId="23055" xr:uid="{00000000-0005-0000-0000-0000B7580000}"/>
    <cellStyle name="Normal 2 11 4 2 3 2 2" xfId="23056" xr:uid="{00000000-0005-0000-0000-0000B8580000}"/>
    <cellStyle name="Normal 2 11 4 2 3 2 3" xfId="23057" xr:uid="{00000000-0005-0000-0000-0000B9580000}"/>
    <cellStyle name="Normal 2 11 4 2 3 2 4" xfId="23058" xr:uid="{00000000-0005-0000-0000-0000BA580000}"/>
    <cellStyle name="Normal 2 11 4 2 3 2 5" xfId="23059" xr:uid="{00000000-0005-0000-0000-0000BB580000}"/>
    <cellStyle name="Normal 2 11 4 2 3 3" xfId="23060" xr:uid="{00000000-0005-0000-0000-0000BC580000}"/>
    <cellStyle name="Normal 2 11 4 2 3 4" xfId="23061" xr:uid="{00000000-0005-0000-0000-0000BD580000}"/>
    <cellStyle name="Normal 2 11 4 2 3 5" xfId="23062" xr:uid="{00000000-0005-0000-0000-0000BE580000}"/>
    <cellStyle name="Normal 2 11 4 2 3 6" xfId="23063" xr:uid="{00000000-0005-0000-0000-0000BF580000}"/>
    <cellStyle name="Normal 2 11 4 2 3 7" xfId="23064" xr:uid="{00000000-0005-0000-0000-0000C0580000}"/>
    <cellStyle name="Normal 2 11 4 2 3 8" xfId="23065" xr:uid="{00000000-0005-0000-0000-0000C1580000}"/>
    <cellStyle name="Normal 2 11 4 2 4" xfId="23066" xr:uid="{00000000-0005-0000-0000-0000C2580000}"/>
    <cellStyle name="Normal 2 11 4 2 4 2" xfId="23067" xr:uid="{00000000-0005-0000-0000-0000C3580000}"/>
    <cellStyle name="Normal 2 11 4 2 4 3" xfId="23068" xr:uid="{00000000-0005-0000-0000-0000C4580000}"/>
    <cellStyle name="Normal 2 11 4 2 4 4" xfId="23069" xr:uid="{00000000-0005-0000-0000-0000C5580000}"/>
    <cellStyle name="Normal 2 11 4 2 4 5" xfId="23070" xr:uid="{00000000-0005-0000-0000-0000C6580000}"/>
    <cellStyle name="Normal 2 11 4 2 5" xfId="23071" xr:uid="{00000000-0005-0000-0000-0000C7580000}"/>
    <cellStyle name="Normal 2 11 4 2 6" xfId="23072" xr:uid="{00000000-0005-0000-0000-0000C8580000}"/>
    <cellStyle name="Normal 2 11 4 2 7" xfId="23073" xr:uid="{00000000-0005-0000-0000-0000C9580000}"/>
    <cellStyle name="Normal 2 11 4 2 8" xfId="23074" xr:uid="{00000000-0005-0000-0000-0000CA580000}"/>
    <cellStyle name="Normal 2 11 4 2 9" xfId="23075" xr:uid="{00000000-0005-0000-0000-0000CB580000}"/>
    <cellStyle name="Normal 2 11 4 3" xfId="23076" xr:uid="{00000000-0005-0000-0000-0000CC580000}"/>
    <cellStyle name="Normal 2 11 4 3 2" xfId="23077" xr:uid="{00000000-0005-0000-0000-0000CD580000}"/>
    <cellStyle name="Normal 2 11 4 3 2 2" xfId="23078" xr:uid="{00000000-0005-0000-0000-0000CE580000}"/>
    <cellStyle name="Normal 2 11 4 3 2 3" xfId="23079" xr:uid="{00000000-0005-0000-0000-0000CF580000}"/>
    <cellStyle name="Normal 2 11 4 3 2 4" xfId="23080" xr:uid="{00000000-0005-0000-0000-0000D0580000}"/>
    <cellStyle name="Normal 2 11 4 3 2 5" xfId="23081" xr:uid="{00000000-0005-0000-0000-0000D1580000}"/>
    <cellStyle name="Normal 2 11 4 3 3" xfId="23082" xr:uid="{00000000-0005-0000-0000-0000D2580000}"/>
    <cellStyle name="Normal 2 11 4 3 4" xfId="23083" xr:uid="{00000000-0005-0000-0000-0000D3580000}"/>
    <cellStyle name="Normal 2 11 4 3 5" xfId="23084" xr:uid="{00000000-0005-0000-0000-0000D4580000}"/>
    <cellStyle name="Normal 2 11 4 3 6" xfId="23085" xr:uid="{00000000-0005-0000-0000-0000D5580000}"/>
    <cellStyle name="Normal 2 11 4 3 7" xfId="23086" xr:uid="{00000000-0005-0000-0000-0000D6580000}"/>
    <cellStyle name="Normal 2 11 4 3 8" xfId="23087" xr:uid="{00000000-0005-0000-0000-0000D7580000}"/>
    <cellStyle name="Normal 2 11 4 4" xfId="23088" xr:uid="{00000000-0005-0000-0000-0000D8580000}"/>
    <cellStyle name="Normal 2 11 4 4 2" xfId="23089" xr:uid="{00000000-0005-0000-0000-0000D9580000}"/>
    <cellStyle name="Normal 2 11 4 4 2 2" xfId="23090" xr:uid="{00000000-0005-0000-0000-0000DA580000}"/>
    <cellStyle name="Normal 2 11 4 4 2 3" xfId="23091" xr:uid="{00000000-0005-0000-0000-0000DB580000}"/>
    <cellStyle name="Normal 2 11 4 4 2 4" xfId="23092" xr:uid="{00000000-0005-0000-0000-0000DC580000}"/>
    <cellStyle name="Normal 2 11 4 4 2 5" xfId="23093" xr:uid="{00000000-0005-0000-0000-0000DD580000}"/>
    <cellStyle name="Normal 2 11 4 4 3" xfId="23094" xr:uid="{00000000-0005-0000-0000-0000DE580000}"/>
    <cellStyle name="Normal 2 11 4 4 4" xfId="23095" xr:uid="{00000000-0005-0000-0000-0000DF580000}"/>
    <cellStyle name="Normal 2 11 4 4 5" xfId="23096" xr:uid="{00000000-0005-0000-0000-0000E0580000}"/>
    <cellStyle name="Normal 2 11 4 4 6" xfId="23097" xr:uid="{00000000-0005-0000-0000-0000E1580000}"/>
    <cellStyle name="Normal 2 11 4 4 7" xfId="23098" xr:uid="{00000000-0005-0000-0000-0000E2580000}"/>
    <cellStyle name="Normal 2 11 4 4 8" xfId="23099" xr:uid="{00000000-0005-0000-0000-0000E3580000}"/>
    <cellStyle name="Normal 2 11 4 5" xfId="23100" xr:uid="{00000000-0005-0000-0000-0000E4580000}"/>
    <cellStyle name="Normal 2 11 4 5 2" xfId="23101" xr:uid="{00000000-0005-0000-0000-0000E5580000}"/>
    <cellStyle name="Normal 2 11 4 5 3" xfId="23102" xr:uid="{00000000-0005-0000-0000-0000E6580000}"/>
    <cellStyle name="Normal 2 11 4 5 4" xfId="23103" xr:uid="{00000000-0005-0000-0000-0000E7580000}"/>
    <cellStyle name="Normal 2 11 4 5 5" xfId="23104" xr:uid="{00000000-0005-0000-0000-0000E8580000}"/>
    <cellStyle name="Normal 2 11 4 6" xfId="23105" xr:uid="{00000000-0005-0000-0000-0000E9580000}"/>
    <cellStyle name="Normal 2 11 4 7" xfId="23106" xr:uid="{00000000-0005-0000-0000-0000EA580000}"/>
    <cellStyle name="Normal 2 11 4 8" xfId="23107" xr:uid="{00000000-0005-0000-0000-0000EB580000}"/>
    <cellStyle name="Normal 2 11 4 9" xfId="23108" xr:uid="{00000000-0005-0000-0000-0000EC580000}"/>
    <cellStyle name="Normal 2 11 5" xfId="23109" xr:uid="{00000000-0005-0000-0000-0000ED580000}"/>
    <cellStyle name="Normal 2 11 5 10" xfId="23110" xr:uid="{00000000-0005-0000-0000-0000EE580000}"/>
    <cellStyle name="Normal 2 11 5 11" xfId="23111" xr:uid="{00000000-0005-0000-0000-0000EF580000}"/>
    <cellStyle name="Normal 2 11 5 2" xfId="23112" xr:uid="{00000000-0005-0000-0000-0000F0580000}"/>
    <cellStyle name="Normal 2 11 5 2 10" xfId="23113" xr:uid="{00000000-0005-0000-0000-0000F1580000}"/>
    <cellStyle name="Normal 2 11 5 2 2" xfId="23114" xr:uid="{00000000-0005-0000-0000-0000F2580000}"/>
    <cellStyle name="Normal 2 11 5 2 2 2" xfId="23115" xr:uid="{00000000-0005-0000-0000-0000F3580000}"/>
    <cellStyle name="Normal 2 11 5 2 2 2 2" xfId="23116" xr:uid="{00000000-0005-0000-0000-0000F4580000}"/>
    <cellStyle name="Normal 2 11 5 2 2 2 3" xfId="23117" xr:uid="{00000000-0005-0000-0000-0000F5580000}"/>
    <cellStyle name="Normal 2 11 5 2 2 2 4" xfId="23118" xr:uid="{00000000-0005-0000-0000-0000F6580000}"/>
    <cellStyle name="Normal 2 11 5 2 2 2 5" xfId="23119" xr:uid="{00000000-0005-0000-0000-0000F7580000}"/>
    <cellStyle name="Normal 2 11 5 2 2 3" xfId="23120" xr:uid="{00000000-0005-0000-0000-0000F8580000}"/>
    <cellStyle name="Normal 2 11 5 2 2 4" xfId="23121" xr:uid="{00000000-0005-0000-0000-0000F9580000}"/>
    <cellStyle name="Normal 2 11 5 2 2 5" xfId="23122" xr:uid="{00000000-0005-0000-0000-0000FA580000}"/>
    <cellStyle name="Normal 2 11 5 2 2 6" xfId="23123" xr:uid="{00000000-0005-0000-0000-0000FB580000}"/>
    <cellStyle name="Normal 2 11 5 2 2 7" xfId="23124" xr:uid="{00000000-0005-0000-0000-0000FC580000}"/>
    <cellStyle name="Normal 2 11 5 2 2 8" xfId="23125" xr:uid="{00000000-0005-0000-0000-0000FD580000}"/>
    <cellStyle name="Normal 2 11 5 2 3" xfId="23126" xr:uid="{00000000-0005-0000-0000-0000FE580000}"/>
    <cellStyle name="Normal 2 11 5 2 3 2" xfId="23127" xr:uid="{00000000-0005-0000-0000-0000FF580000}"/>
    <cellStyle name="Normal 2 11 5 2 3 2 2" xfId="23128" xr:uid="{00000000-0005-0000-0000-000000590000}"/>
    <cellStyle name="Normal 2 11 5 2 3 2 3" xfId="23129" xr:uid="{00000000-0005-0000-0000-000001590000}"/>
    <cellStyle name="Normal 2 11 5 2 3 2 4" xfId="23130" xr:uid="{00000000-0005-0000-0000-000002590000}"/>
    <cellStyle name="Normal 2 11 5 2 3 2 5" xfId="23131" xr:uid="{00000000-0005-0000-0000-000003590000}"/>
    <cellStyle name="Normal 2 11 5 2 3 3" xfId="23132" xr:uid="{00000000-0005-0000-0000-000004590000}"/>
    <cellStyle name="Normal 2 11 5 2 3 4" xfId="23133" xr:uid="{00000000-0005-0000-0000-000005590000}"/>
    <cellStyle name="Normal 2 11 5 2 3 5" xfId="23134" xr:uid="{00000000-0005-0000-0000-000006590000}"/>
    <cellStyle name="Normal 2 11 5 2 3 6" xfId="23135" xr:uid="{00000000-0005-0000-0000-000007590000}"/>
    <cellStyle name="Normal 2 11 5 2 3 7" xfId="23136" xr:uid="{00000000-0005-0000-0000-000008590000}"/>
    <cellStyle name="Normal 2 11 5 2 3 8" xfId="23137" xr:uid="{00000000-0005-0000-0000-000009590000}"/>
    <cellStyle name="Normal 2 11 5 2 4" xfId="23138" xr:uid="{00000000-0005-0000-0000-00000A590000}"/>
    <cellStyle name="Normal 2 11 5 2 4 2" xfId="23139" xr:uid="{00000000-0005-0000-0000-00000B590000}"/>
    <cellStyle name="Normal 2 11 5 2 4 3" xfId="23140" xr:uid="{00000000-0005-0000-0000-00000C590000}"/>
    <cellStyle name="Normal 2 11 5 2 4 4" xfId="23141" xr:uid="{00000000-0005-0000-0000-00000D590000}"/>
    <cellStyle name="Normal 2 11 5 2 4 5" xfId="23142" xr:uid="{00000000-0005-0000-0000-00000E590000}"/>
    <cellStyle name="Normal 2 11 5 2 5" xfId="23143" xr:uid="{00000000-0005-0000-0000-00000F590000}"/>
    <cellStyle name="Normal 2 11 5 2 6" xfId="23144" xr:uid="{00000000-0005-0000-0000-000010590000}"/>
    <cellStyle name="Normal 2 11 5 2 7" xfId="23145" xr:uid="{00000000-0005-0000-0000-000011590000}"/>
    <cellStyle name="Normal 2 11 5 2 8" xfId="23146" xr:uid="{00000000-0005-0000-0000-000012590000}"/>
    <cellStyle name="Normal 2 11 5 2 9" xfId="23147" xr:uid="{00000000-0005-0000-0000-000013590000}"/>
    <cellStyle name="Normal 2 11 5 3" xfId="23148" xr:uid="{00000000-0005-0000-0000-000014590000}"/>
    <cellStyle name="Normal 2 11 5 3 2" xfId="23149" xr:uid="{00000000-0005-0000-0000-000015590000}"/>
    <cellStyle name="Normal 2 11 5 3 2 2" xfId="23150" xr:uid="{00000000-0005-0000-0000-000016590000}"/>
    <cellStyle name="Normal 2 11 5 3 2 3" xfId="23151" xr:uid="{00000000-0005-0000-0000-000017590000}"/>
    <cellStyle name="Normal 2 11 5 3 2 4" xfId="23152" xr:uid="{00000000-0005-0000-0000-000018590000}"/>
    <cellStyle name="Normal 2 11 5 3 2 5" xfId="23153" xr:uid="{00000000-0005-0000-0000-000019590000}"/>
    <cellStyle name="Normal 2 11 5 3 3" xfId="23154" xr:uid="{00000000-0005-0000-0000-00001A590000}"/>
    <cellStyle name="Normal 2 11 5 3 4" xfId="23155" xr:uid="{00000000-0005-0000-0000-00001B590000}"/>
    <cellStyle name="Normal 2 11 5 3 5" xfId="23156" xr:uid="{00000000-0005-0000-0000-00001C590000}"/>
    <cellStyle name="Normal 2 11 5 3 6" xfId="23157" xr:uid="{00000000-0005-0000-0000-00001D590000}"/>
    <cellStyle name="Normal 2 11 5 3 7" xfId="23158" xr:uid="{00000000-0005-0000-0000-00001E590000}"/>
    <cellStyle name="Normal 2 11 5 3 8" xfId="23159" xr:uid="{00000000-0005-0000-0000-00001F590000}"/>
    <cellStyle name="Normal 2 11 5 4" xfId="23160" xr:uid="{00000000-0005-0000-0000-000020590000}"/>
    <cellStyle name="Normal 2 11 5 4 2" xfId="23161" xr:uid="{00000000-0005-0000-0000-000021590000}"/>
    <cellStyle name="Normal 2 11 5 4 2 2" xfId="23162" xr:uid="{00000000-0005-0000-0000-000022590000}"/>
    <cellStyle name="Normal 2 11 5 4 2 3" xfId="23163" xr:uid="{00000000-0005-0000-0000-000023590000}"/>
    <cellStyle name="Normal 2 11 5 4 2 4" xfId="23164" xr:uid="{00000000-0005-0000-0000-000024590000}"/>
    <cellStyle name="Normal 2 11 5 4 2 5" xfId="23165" xr:uid="{00000000-0005-0000-0000-000025590000}"/>
    <cellStyle name="Normal 2 11 5 4 3" xfId="23166" xr:uid="{00000000-0005-0000-0000-000026590000}"/>
    <cellStyle name="Normal 2 11 5 4 4" xfId="23167" xr:uid="{00000000-0005-0000-0000-000027590000}"/>
    <cellStyle name="Normal 2 11 5 4 5" xfId="23168" xr:uid="{00000000-0005-0000-0000-000028590000}"/>
    <cellStyle name="Normal 2 11 5 4 6" xfId="23169" xr:uid="{00000000-0005-0000-0000-000029590000}"/>
    <cellStyle name="Normal 2 11 5 4 7" xfId="23170" xr:uid="{00000000-0005-0000-0000-00002A590000}"/>
    <cellStyle name="Normal 2 11 5 4 8" xfId="23171" xr:uid="{00000000-0005-0000-0000-00002B590000}"/>
    <cellStyle name="Normal 2 11 5 5" xfId="23172" xr:uid="{00000000-0005-0000-0000-00002C590000}"/>
    <cellStyle name="Normal 2 11 5 5 2" xfId="23173" xr:uid="{00000000-0005-0000-0000-00002D590000}"/>
    <cellStyle name="Normal 2 11 5 5 3" xfId="23174" xr:uid="{00000000-0005-0000-0000-00002E590000}"/>
    <cellStyle name="Normal 2 11 5 5 4" xfId="23175" xr:uid="{00000000-0005-0000-0000-00002F590000}"/>
    <cellStyle name="Normal 2 11 5 5 5" xfId="23176" xr:uid="{00000000-0005-0000-0000-000030590000}"/>
    <cellStyle name="Normal 2 11 5 6" xfId="23177" xr:uid="{00000000-0005-0000-0000-000031590000}"/>
    <cellStyle name="Normal 2 11 5 7" xfId="23178" xr:uid="{00000000-0005-0000-0000-000032590000}"/>
    <cellStyle name="Normal 2 11 5 8" xfId="23179" xr:uid="{00000000-0005-0000-0000-000033590000}"/>
    <cellStyle name="Normal 2 11 5 9" xfId="23180" xr:uid="{00000000-0005-0000-0000-000034590000}"/>
    <cellStyle name="Normal 2 11 6" xfId="23181" xr:uid="{00000000-0005-0000-0000-000035590000}"/>
    <cellStyle name="Normal 2 11 6 10" xfId="23182" xr:uid="{00000000-0005-0000-0000-000036590000}"/>
    <cellStyle name="Normal 2 11 6 2" xfId="23183" xr:uid="{00000000-0005-0000-0000-000037590000}"/>
    <cellStyle name="Normal 2 11 6 2 2" xfId="23184" xr:uid="{00000000-0005-0000-0000-000038590000}"/>
    <cellStyle name="Normal 2 11 6 2 2 2" xfId="23185" xr:uid="{00000000-0005-0000-0000-000039590000}"/>
    <cellStyle name="Normal 2 11 6 2 2 3" xfId="23186" xr:uid="{00000000-0005-0000-0000-00003A590000}"/>
    <cellStyle name="Normal 2 11 6 2 2 4" xfId="23187" xr:uid="{00000000-0005-0000-0000-00003B590000}"/>
    <cellStyle name="Normal 2 11 6 2 2 5" xfId="23188" xr:uid="{00000000-0005-0000-0000-00003C590000}"/>
    <cellStyle name="Normal 2 11 6 2 3" xfId="23189" xr:uid="{00000000-0005-0000-0000-00003D590000}"/>
    <cellStyle name="Normal 2 11 6 2 4" xfId="23190" xr:uid="{00000000-0005-0000-0000-00003E590000}"/>
    <cellStyle name="Normal 2 11 6 2 5" xfId="23191" xr:uid="{00000000-0005-0000-0000-00003F590000}"/>
    <cellStyle name="Normal 2 11 6 2 6" xfId="23192" xr:uid="{00000000-0005-0000-0000-000040590000}"/>
    <cellStyle name="Normal 2 11 6 2 7" xfId="23193" xr:uid="{00000000-0005-0000-0000-000041590000}"/>
    <cellStyle name="Normal 2 11 6 2 8" xfId="23194" xr:uid="{00000000-0005-0000-0000-000042590000}"/>
    <cellStyle name="Normal 2 11 6 3" xfId="23195" xr:uid="{00000000-0005-0000-0000-000043590000}"/>
    <cellStyle name="Normal 2 11 6 3 2" xfId="23196" xr:uid="{00000000-0005-0000-0000-000044590000}"/>
    <cellStyle name="Normal 2 11 6 3 2 2" xfId="23197" xr:uid="{00000000-0005-0000-0000-000045590000}"/>
    <cellStyle name="Normal 2 11 6 3 2 3" xfId="23198" xr:uid="{00000000-0005-0000-0000-000046590000}"/>
    <cellStyle name="Normal 2 11 6 3 2 4" xfId="23199" xr:uid="{00000000-0005-0000-0000-000047590000}"/>
    <cellStyle name="Normal 2 11 6 3 2 5" xfId="23200" xr:uid="{00000000-0005-0000-0000-000048590000}"/>
    <cellStyle name="Normal 2 11 6 3 3" xfId="23201" xr:uid="{00000000-0005-0000-0000-000049590000}"/>
    <cellStyle name="Normal 2 11 6 3 4" xfId="23202" xr:uid="{00000000-0005-0000-0000-00004A590000}"/>
    <cellStyle name="Normal 2 11 6 3 5" xfId="23203" xr:uid="{00000000-0005-0000-0000-00004B590000}"/>
    <cellStyle name="Normal 2 11 6 3 6" xfId="23204" xr:uid="{00000000-0005-0000-0000-00004C590000}"/>
    <cellStyle name="Normal 2 11 6 3 7" xfId="23205" xr:uid="{00000000-0005-0000-0000-00004D590000}"/>
    <cellStyle name="Normal 2 11 6 3 8" xfId="23206" xr:uid="{00000000-0005-0000-0000-00004E590000}"/>
    <cellStyle name="Normal 2 11 6 4" xfId="23207" xr:uid="{00000000-0005-0000-0000-00004F590000}"/>
    <cellStyle name="Normal 2 11 6 4 2" xfId="23208" xr:uid="{00000000-0005-0000-0000-000050590000}"/>
    <cellStyle name="Normal 2 11 6 4 3" xfId="23209" xr:uid="{00000000-0005-0000-0000-000051590000}"/>
    <cellStyle name="Normal 2 11 6 4 4" xfId="23210" xr:uid="{00000000-0005-0000-0000-000052590000}"/>
    <cellStyle name="Normal 2 11 6 4 5" xfId="23211" xr:uid="{00000000-0005-0000-0000-000053590000}"/>
    <cellStyle name="Normal 2 11 6 5" xfId="23212" xr:uid="{00000000-0005-0000-0000-000054590000}"/>
    <cellStyle name="Normal 2 11 6 6" xfId="23213" xr:uid="{00000000-0005-0000-0000-000055590000}"/>
    <cellStyle name="Normal 2 11 6 7" xfId="23214" xr:uid="{00000000-0005-0000-0000-000056590000}"/>
    <cellStyle name="Normal 2 11 6 8" xfId="23215" xr:uid="{00000000-0005-0000-0000-000057590000}"/>
    <cellStyle name="Normal 2 11 6 9" xfId="23216" xr:uid="{00000000-0005-0000-0000-000058590000}"/>
    <cellStyle name="Normal 2 11 7" xfId="23217" xr:uid="{00000000-0005-0000-0000-000059590000}"/>
    <cellStyle name="Normal 2 11 7 2" xfId="23218" xr:uid="{00000000-0005-0000-0000-00005A590000}"/>
    <cellStyle name="Normal 2 11 7 2 2" xfId="23219" xr:uid="{00000000-0005-0000-0000-00005B590000}"/>
    <cellStyle name="Normal 2 11 7 2 3" xfId="23220" xr:uid="{00000000-0005-0000-0000-00005C590000}"/>
    <cellStyle name="Normal 2 11 7 2 4" xfId="23221" xr:uid="{00000000-0005-0000-0000-00005D590000}"/>
    <cellStyle name="Normal 2 11 7 2 5" xfId="23222" xr:uid="{00000000-0005-0000-0000-00005E590000}"/>
    <cellStyle name="Normal 2 11 7 3" xfId="23223" xr:uid="{00000000-0005-0000-0000-00005F590000}"/>
    <cellStyle name="Normal 2 11 7 4" xfId="23224" xr:uid="{00000000-0005-0000-0000-000060590000}"/>
    <cellStyle name="Normal 2 11 7 5" xfId="23225" xr:uid="{00000000-0005-0000-0000-000061590000}"/>
    <cellStyle name="Normal 2 11 7 6" xfId="23226" xr:uid="{00000000-0005-0000-0000-000062590000}"/>
    <cellStyle name="Normal 2 11 7 7" xfId="23227" xr:uid="{00000000-0005-0000-0000-000063590000}"/>
    <cellStyle name="Normal 2 11 7 8" xfId="23228" xr:uid="{00000000-0005-0000-0000-000064590000}"/>
    <cellStyle name="Normal 2 11 8" xfId="23229" xr:uid="{00000000-0005-0000-0000-000065590000}"/>
    <cellStyle name="Normal 2 11 8 2" xfId="23230" xr:uid="{00000000-0005-0000-0000-000066590000}"/>
    <cellStyle name="Normal 2 11 8 2 2" xfId="23231" xr:uid="{00000000-0005-0000-0000-000067590000}"/>
    <cellStyle name="Normal 2 11 8 2 3" xfId="23232" xr:uid="{00000000-0005-0000-0000-000068590000}"/>
    <cellStyle name="Normal 2 11 8 2 4" xfId="23233" xr:uid="{00000000-0005-0000-0000-000069590000}"/>
    <cellStyle name="Normal 2 11 8 2 5" xfId="23234" xr:uid="{00000000-0005-0000-0000-00006A590000}"/>
    <cellStyle name="Normal 2 11 8 3" xfId="23235" xr:uid="{00000000-0005-0000-0000-00006B590000}"/>
    <cellStyle name="Normal 2 11 8 4" xfId="23236" xr:uid="{00000000-0005-0000-0000-00006C590000}"/>
    <cellStyle name="Normal 2 11 8 5" xfId="23237" xr:uid="{00000000-0005-0000-0000-00006D590000}"/>
    <cellStyle name="Normal 2 11 8 6" xfId="23238" xr:uid="{00000000-0005-0000-0000-00006E590000}"/>
    <cellStyle name="Normal 2 11 8 7" xfId="23239" xr:uid="{00000000-0005-0000-0000-00006F590000}"/>
    <cellStyle name="Normal 2 11 8 8" xfId="23240" xr:uid="{00000000-0005-0000-0000-000070590000}"/>
    <cellStyle name="Normal 2 11 9" xfId="23241" xr:uid="{00000000-0005-0000-0000-000071590000}"/>
    <cellStyle name="Normal 2 11 9 2" xfId="23242" xr:uid="{00000000-0005-0000-0000-000072590000}"/>
    <cellStyle name="Normal 2 11 9 3" xfId="23243" xr:uid="{00000000-0005-0000-0000-000073590000}"/>
    <cellStyle name="Normal 2 11 9 4" xfId="23244" xr:uid="{00000000-0005-0000-0000-000074590000}"/>
    <cellStyle name="Normal 2 11 9 5" xfId="23245" xr:uid="{00000000-0005-0000-0000-000075590000}"/>
    <cellStyle name="Normal 2 12" xfId="841" xr:uid="{00000000-0005-0000-0000-000076590000}"/>
    <cellStyle name="Normal 2 12 10" xfId="23246" xr:uid="{00000000-0005-0000-0000-000077590000}"/>
    <cellStyle name="Normal 2 12 11" xfId="23247" xr:uid="{00000000-0005-0000-0000-000078590000}"/>
    <cellStyle name="Normal 2 12 12" xfId="23248" xr:uid="{00000000-0005-0000-0000-000079590000}"/>
    <cellStyle name="Normal 2 12 13" xfId="23249" xr:uid="{00000000-0005-0000-0000-00007A590000}"/>
    <cellStyle name="Normal 2 12 14" xfId="23250" xr:uid="{00000000-0005-0000-0000-00007B590000}"/>
    <cellStyle name="Normal 2 12 15" xfId="23251" xr:uid="{00000000-0005-0000-0000-00007C590000}"/>
    <cellStyle name="Normal 2 12 16" xfId="42634" xr:uid="{00000000-0005-0000-0000-00007D590000}"/>
    <cellStyle name="Normal 2 12 2" xfId="842" xr:uid="{00000000-0005-0000-0000-00007E590000}"/>
    <cellStyle name="Normal 2 12 2 10" xfId="23252" xr:uid="{00000000-0005-0000-0000-00007F590000}"/>
    <cellStyle name="Normal 2 12 2 11" xfId="23253" xr:uid="{00000000-0005-0000-0000-000080590000}"/>
    <cellStyle name="Normal 2 12 2 12" xfId="23254" xr:uid="{00000000-0005-0000-0000-000081590000}"/>
    <cellStyle name="Normal 2 12 2 13" xfId="23255" xr:uid="{00000000-0005-0000-0000-000082590000}"/>
    <cellStyle name="Normal 2 12 2 2" xfId="23256" xr:uid="{00000000-0005-0000-0000-000083590000}"/>
    <cellStyle name="Normal 2 12 2 2 10" xfId="23257" xr:uid="{00000000-0005-0000-0000-000084590000}"/>
    <cellStyle name="Normal 2 12 2 2 11" xfId="23258" xr:uid="{00000000-0005-0000-0000-000085590000}"/>
    <cellStyle name="Normal 2 12 2 2 2" xfId="23259" xr:uid="{00000000-0005-0000-0000-000086590000}"/>
    <cellStyle name="Normal 2 12 2 2 2 10" xfId="23260" xr:uid="{00000000-0005-0000-0000-000087590000}"/>
    <cellStyle name="Normal 2 12 2 2 2 2" xfId="23261" xr:uid="{00000000-0005-0000-0000-000088590000}"/>
    <cellStyle name="Normal 2 12 2 2 2 2 2" xfId="23262" xr:uid="{00000000-0005-0000-0000-000089590000}"/>
    <cellStyle name="Normal 2 12 2 2 2 2 2 2" xfId="23263" xr:uid="{00000000-0005-0000-0000-00008A590000}"/>
    <cellStyle name="Normal 2 12 2 2 2 2 2 3" xfId="23264" xr:uid="{00000000-0005-0000-0000-00008B590000}"/>
    <cellStyle name="Normal 2 12 2 2 2 2 2 4" xfId="23265" xr:uid="{00000000-0005-0000-0000-00008C590000}"/>
    <cellStyle name="Normal 2 12 2 2 2 2 2 5" xfId="23266" xr:uid="{00000000-0005-0000-0000-00008D590000}"/>
    <cellStyle name="Normal 2 12 2 2 2 2 3" xfId="23267" xr:uid="{00000000-0005-0000-0000-00008E590000}"/>
    <cellStyle name="Normal 2 12 2 2 2 2 4" xfId="23268" xr:uid="{00000000-0005-0000-0000-00008F590000}"/>
    <cellStyle name="Normal 2 12 2 2 2 2 5" xfId="23269" xr:uid="{00000000-0005-0000-0000-000090590000}"/>
    <cellStyle name="Normal 2 12 2 2 2 2 6" xfId="23270" xr:uid="{00000000-0005-0000-0000-000091590000}"/>
    <cellStyle name="Normal 2 12 2 2 2 2 7" xfId="23271" xr:uid="{00000000-0005-0000-0000-000092590000}"/>
    <cellStyle name="Normal 2 12 2 2 2 2 8" xfId="23272" xr:uid="{00000000-0005-0000-0000-000093590000}"/>
    <cellStyle name="Normal 2 12 2 2 2 3" xfId="23273" xr:uid="{00000000-0005-0000-0000-000094590000}"/>
    <cellStyle name="Normal 2 12 2 2 2 3 2" xfId="23274" xr:uid="{00000000-0005-0000-0000-000095590000}"/>
    <cellStyle name="Normal 2 12 2 2 2 3 2 2" xfId="23275" xr:uid="{00000000-0005-0000-0000-000096590000}"/>
    <cellStyle name="Normal 2 12 2 2 2 3 2 3" xfId="23276" xr:uid="{00000000-0005-0000-0000-000097590000}"/>
    <cellStyle name="Normal 2 12 2 2 2 3 2 4" xfId="23277" xr:uid="{00000000-0005-0000-0000-000098590000}"/>
    <cellStyle name="Normal 2 12 2 2 2 3 2 5" xfId="23278" xr:uid="{00000000-0005-0000-0000-000099590000}"/>
    <cellStyle name="Normal 2 12 2 2 2 3 3" xfId="23279" xr:uid="{00000000-0005-0000-0000-00009A590000}"/>
    <cellStyle name="Normal 2 12 2 2 2 3 4" xfId="23280" xr:uid="{00000000-0005-0000-0000-00009B590000}"/>
    <cellStyle name="Normal 2 12 2 2 2 3 5" xfId="23281" xr:uid="{00000000-0005-0000-0000-00009C590000}"/>
    <cellStyle name="Normal 2 12 2 2 2 3 6" xfId="23282" xr:uid="{00000000-0005-0000-0000-00009D590000}"/>
    <cellStyle name="Normal 2 12 2 2 2 3 7" xfId="23283" xr:uid="{00000000-0005-0000-0000-00009E590000}"/>
    <cellStyle name="Normal 2 12 2 2 2 3 8" xfId="23284" xr:uid="{00000000-0005-0000-0000-00009F590000}"/>
    <cellStyle name="Normal 2 12 2 2 2 4" xfId="23285" xr:uid="{00000000-0005-0000-0000-0000A0590000}"/>
    <cellStyle name="Normal 2 12 2 2 2 4 2" xfId="23286" xr:uid="{00000000-0005-0000-0000-0000A1590000}"/>
    <cellStyle name="Normal 2 12 2 2 2 4 3" xfId="23287" xr:uid="{00000000-0005-0000-0000-0000A2590000}"/>
    <cellStyle name="Normal 2 12 2 2 2 4 4" xfId="23288" xr:uid="{00000000-0005-0000-0000-0000A3590000}"/>
    <cellStyle name="Normal 2 12 2 2 2 4 5" xfId="23289" xr:uid="{00000000-0005-0000-0000-0000A4590000}"/>
    <cellStyle name="Normal 2 12 2 2 2 5" xfId="23290" xr:uid="{00000000-0005-0000-0000-0000A5590000}"/>
    <cellStyle name="Normal 2 12 2 2 2 6" xfId="23291" xr:uid="{00000000-0005-0000-0000-0000A6590000}"/>
    <cellStyle name="Normal 2 12 2 2 2 7" xfId="23292" xr:uid="{00000000-0005-0000-0000-0000A7590000}"/>
    <cellStyle name="Normal 2 12 2 2 2 8" xfId="23293" xr:uid="{00000000-0005-0000-0000-0000A8590000}"/>
    <cellStyle name="Normal 2 12 2 2 2 9" xfId="23294" xr:uid="{00000000-0005-0000-0000-0000A9590000}"/>
    <cellStyle name="Normal 2 12 2 2 3" xfId="23295" xr:uid="{00000000-0005-0000-0000-0000AA590000}"/>
    <cellStyle name="Normal 2 12 2 2 3 2" xfId="23296" xr:uid="{00000000-0005-0000-0000-0000AB590000}"/>
    <cellStyle name="Normal 2 12 2 2 3 2 2" xfId="23297" xr:uid="{00000000-0005-0000-0000-0000AC590000}"/>
    <cellStyle name="Normal 2 12 2 2 3 2 3" xfId="23298" xr:uid="{00000000-0005-0000-0000-0000AD590000}"/>
    <cellStyle name="Normal 2 12 2 2 3 2 4" xfId="23299" xr:uid="{00000000-0005-0000-0000-0000AE590000}"/>
    <cellStyle name="Normal 2 12 2 2 3 2 5" xfId="23300" xr:uid="{00000000-0005-0000-0000-0000AF590000}"/>
    <cellStyle name="Normal 2 12 2 2 3 3" xfId="23301" xr:uid="{00000000-0005-0000-0000-0000B0590000}"/>
    <cellStyle name="Normal 2 12 2 2 3 4" xfId="23302" xr:uid="{00000000-0005-0000-0000-0000B1590000}"/>
    <cellStyle name="Normal 2 12 2 2 3 5" xfId="23303" xr:uid="{00000000-0005-0000-0000-0000B2590000}"/>
    <cellStyle name="Normal 2 12 2 2 3 6" xfId="23304" xr:uid="{00000000-0005-0000-0000-0000B3590000}"/>
    <cellStyle name="Normal 2 12 2 2 3 7" xfId="23305" xr:uid="{00000000-0005-0000-0000-0000B4590000}"/>
    <cellStyle name="Normal 2 12 2 2 3 8" xfId="23306" xr:uid="{00000000-0005-0000-0000-0000B5590000}"/>
    <cellStyle name="Normal 2 12 2 2 4" xfId="23307" xr:uid="{00000000-0005-0000-0000-0000B6590000}"/>
    <cellStyle name="Normal 2 12 2 2 4 2" xfId="23308" xr:uid="{00000000-0005-0000-0000-0000B7590000}"/>
    <cellStyle name="Normal 2 12 2 2 4 2 2" xfId="23309" xr:uid="{00000000-0005-0000-0000-0000B8590000}"/>
    <cellStyle name="Normal 2 12 2 2 4 2 3" xfId="23310" xr:uid="{00000000-0005-0000-0000-0000B9590000}"/>
    <cellStyle name="Normal 2 12 2 2 4 2 4" xfId="23311" xr:uid="{00000000-0005-0000-0000-0000BA590000}"/>
    <cellStyle name="Normal 2 12 2 2 4 2 5" xfId="23312" xr:uid="{00000000-0005-0000-0000-0000BB590000}"/>
    <cellStyle name="Normal 2 12 2 2 4 3" xfId="23313" xr:uid="{00000000-0005-0000-0000-0000BC590000}"/>
    <cellStyle name="Normal 2 12 2 2 4 4" xfId="23314" xr:uid="{00000000-0005-0000-0000-0000BD590000}"/>
    <cellStyle name="Normal 2 12 2 2 4 5" xfId="23315" xr:uid="{00000000-0005-0000-0000-0000BE590000}"/>
    <cellStyle name="Normal 2 12 2 2 4 6" xfId="23316" xr:uid="{00000000-0005-0000-0000-0000BF590000}"/>
    <cellStyle name="Normal 2 12 2 2 4 7" xfId="23317" xr:uid="{00000000-0005-0000-0000-0000C0590000}"/>
    <cellStyle name="Normal 2 12 2 2 4 8" xfId="23318" xr:uid="{00000000-0005-0000-0000-0000C1590000}"/>
    <cellStyle name="Normal 2 12 2 2 5" xfId="23319" xr:uid="{00000000-0005-0000-0000-0000C2590000}"/>
    <cellStyle name="Normal 2 12 2 2 5 2" xfId="23320" xr:uid="{00000000-0005-0000-0000-0000C3590000}"/>
    <cellStyle name="Normal 2 12 2 2 5 3" xfId="23321" xr:uid="{00000000-0005-0000-0000-0000C4590000}"/>
    <cellStyle name="Normal 2 12 2 2 5 4" xfId="23322" xr:uid="{00000000-0005-0000-0000-0000C5590000}"/>
    <cellStyle name="Normal 2 12 2 2 5 5" xfId="23323" xr:uid="{00000000-0005-0000-0000-0000C6590000}"/>
    <cellStyle name="Normal 2 12 2 2 6" xfId="23324" xr:uid="{00000000-0005-0000-0000-0000C7590000}"/>
    <cellStyle name="Normal 2 12 2 2 7" xfId="23325" xr:uid="{00000000-0005-0000-0000-0000C8590000}"/>
    <cellStyle name="Normal 2 12 2 2 8" xfId="23326" xr:uid="{00000000-0005-0000-0000-0000C9590000}"/>
    <cellStyle name="Normal 2 12 2 2 9" xfId="23327" xr:uid="{00000000-0005-0000-0000-0000CA590000}"/>
    <cellStyle name="Normal 2 12 2 3" xfId="23328" xr:uid="{00000000-0005-0000-0000-0000CB590000}"/>
    <cellStyle name="Normal 2 12 2 3 10" xfId="23329" xr:uid="{00000000-0005-0000-0000-0000CC590000}"/>
    <cellStyle name="Normal 2 12 2 3 11" xfId="23330" xr:uid="{00000000-0005-0000-0000-0000CD590000}"/>
    <cellStyle name="Normal 2 12 2 3 2" xfId="23331" xr:uid="{00000000-0005-0000-0000-0000CE590000}"/>
    <cellStyle name="Normal 2 12 2 3 2 10" xfId="23332" xr:uid="{00000000-0005-0000-0000-0000CF590000}"/>
    <cellStyle name="Normal 2 12 2 3 2 2" xfId="23333" xr:uid="{00000000-0005-0000-0000-0000D0590000}"/>
    <cellStyle name="Normal 2 12 2 3 2 2 2" xfId="23334" xr:uid="{00000000-0005-0000-0000-0000D1590000}"/>
    <cellStyle name="Normal 2 12 2 3 2 2 2 2" xfId="23335" xr:uid="{00000000-0005-0000-0000-0000D2590000}"/>
    <cellStyle name="Normal 2 12 2 3 2 2 2 3" xfId="23336" xr:uid="{00000000-0005-0000-0000-0000D3590000}"/>
    <cellStyle name="Normal 2 12 2 3 2 2 2 4" xfId="23337" xr:uid="{00000000-0005-0000-0000-0000D4590000}"/>
    <cellStyle name="Normal 2 12 2 3 2 2 2 5" xfId="23338" xr:uid="{00000000-0005-0000-0000-0000D5590000}"/>
    <cellStyle name="Normal 2 12 2 3 2 2 3" xfId="23339" xr:uid="{00000000-0005-0000-0000-0000D6590000}"/>
    <cellStyle name="Normal 2 12 2 3 2 2 4" xfId="23340" xr:uid="{00000000-0005-0000-0000-0000D7590000}"/>
    <cellStyle name="Normal 2 12 2 3 2 2 5" xfId="23341" xr:uid="{00000000-0005-0000-0000-0000D8590000}"/>
    <cellStyle name="Normal 2 12 2 3 2 2 6" xfId="23342" xr:uid="{00000000-0005-0000-0000-0000D9590000}"/>
    <cellStyle name="Normal 2 12 2 3 2 2 7" xfId="23343" xr:uid="{00000000-0005-0000-0000-0000DA590000}"/>
    <cellStyle name="Normal 2 12 2 3 2 2 8" xfId="23344" xr:uid="{00000000-0005-0000-0000-0000DB590000}"/>
    <cellStyle name="Normal 2 12 2 3 2 3" xfId="23345" xr:uid="{00000000-0005-0000-0000-0000DC590000}"/>
    <cellStyle name="Normal 2 12 2 3 2 3 2" xfId="23346" xr:uid="{00000000-0005-0000-0000-0000DD590000}"/>
    <cellStyle name="Normal 2 12 2 3 2 3 2 2" xfId="23347" xr:uid="{00000000-0005-0000-0000-0000DE590000}"/>
    <cellStyle name="Normal 2 12 2 3 2 3 2 3" xfId="23348" xr:uid="{00000000-0005-0000-0000-0000DF590000}"/>
    <cellStyle name="Normal 2 12 2 3 2 3 2 4" xfId="23349" xr:uid="{00000000-0005-0000-0000-0000E0590000}"/>
    <cellStyle name="Normal 2 12 2 3 2 3 2 5" xfId="23350" xr:uid="{00000000-0005-0000-0000-0000E1590000}"/>
    <cellStyle name="Normal 2 12 2 3 2 3 3" xfId="23351" xr:uid="{00000000-0005-0000-0000-0000E2590000}"/>
    <cellStyle name="Normal 2 12 2 3 2 3 4" xfId="23352" xr:uid="{00000000-0005-0000-0000-0000E3590000}"/>
    <cellStyle name="Normal 2 12 2 3 2 3 5" xfId="23353" xr:uid="{00000000-0005-0000-0000-0000E4590000}"/>
    <cellStyle name="Normal 2 12 2 3 2 3 6" xfId="23354" xr:uid="{00000000-0005-0000-0000-0000E5590000}"/>
    <cellStyle name="Normal 2 12 2 3 2 3 7" xfId="23355" xr:uid="{00000000-0005-0000-0000-0000E6590000}"/>
    <cellStyle name="Normal 2 12 2 3 2 3 8" xfId="23356" xr:uid="{00000000-0005-0000-0000-0000E7590000}"/>
    <cellStyle name="Normal 2 12 2 3 2 4" xfId="23357" xr:uid="{00000000-0005-0000-0000-0000E8590000}"/>
    <cellStyle name="Normal 2 12 2 3 2 4 2" xfId="23358" xr:uid="{00000000-0005-0000-0000-0000E9590000}"/>
    <cellStyle name="Normal 2 12 2 3 2 4 3" xfId="23359" xr:uid="{00000000-0005-0000-0000-0000EA590000}"/>
    <cellStyle name="Normal 2 12 2 3 2 4 4" xfId="23360" xr:uid="{00000000-0005-0000-0000-0000EB590000}"/>
    <cellStyle name="Normal 2 12 2 3 2 4 5" xfId="23361" xr:uid="{00000000-0005-0000-0000-0000EC590000}"/>
    <cellStyle name="Normal 2 12 2 3 2 5" xfId="23362" xr:uid="{00000000-0005-0000-0000-0000ED590000}"/>
    <cellStyle name="Normal 2 12 2 3 2 6" xfId="23363" xr:uid="{00000000-0005-0000-0000-0000EE590000}"/>
    <cellStyle name="Normal 2 12 2 3 2 7" xfId="23364" xr:uid="{00000000-0005-0000-0000-0000EF590000}"/>
    <cellStyle name="Normal 2 12 2 3 2 8" xfId="23365" xr:uid="{00000000-0005-0000-0000-0000F0590000}"/>
    <cellStyle name="Normal 2 12 2 3 2 9" xfId="23366" xr:uid="{00000000-0005-0000-0000-0000F1590000}"/>
    <cellStyle name="Normal 2 12 2 3 3" xfId="23367" xr:uid="{00000000-0005-0000-0000-0000F2590000}"/>
    <cellStyle name="Normal 2 12 2 3 3 2" xfId="23368" xr:uid="{00000000-0005-0000-0000-0000F3590000}"/>
    <cellStyle name="Normal 2 12 2 3 3 2 2" xfId="23369" xr:uid="{00000000-0005-0000-0000-0000F4590000}"/>
    <cellStyle name="Normal 2 12 2 3 3 2 3" xfId="23370" xr:uid="{00000000-0005-0000-0000-0000F5590000}"/>
    <cellStyle name="Normal 2 12 2 3 3 2 4" xfId="23371" xr:uid="{00000000-0005-0000-0000-0000F6590000}"/>
    <cellStyle name="Normal 2 12 2 3 3 2 5" xfId="23372" xr:uid="{00000000-0005-0000-0000-0000F7590000}"/>
    <cellStyle name="Normal 2 12 2 3 3 3" xfId="23373" xr:uid="{00000000-0005-0000-0000-0000F8590000}"/>
    <cellStyle name="Normal 2 12 2 3 3 4" xfId="23374" xr:uid="{00000000-0005-0000-0000-0000F9590000}"/>
    <cellStyle name="Normal 2 12 2 3 3 5" xfId="23375" xr:uid="{00000000-0005-0000-0000-0000FA590000}"/>
    <cellStyle name="Normal 2 12 2 3 3 6" xfId="23376" xr:uid="{00000000-0005-0000-0000-0000FB590000}"/>
    <cellStyle name="Normal 2 12 2 3 3 7" xfId="23377" xr:uid="{00000000-0005-0000-0000-0000FC590000}"/>
    <cellStyle name="Normal 2 12 2 3 3 8" xfId="23378" xr:uid="{00000000-0005-0000-0000-0000FD590000}"/>
    <cellStyle name="Normal 2 12 2 3 4" xfId="23379" xr:uid="{00000000-0005-0000-0000-0000FE590000}"/>
    <cellStyle name="Normal 2 12 2 3 4 2" xfId="23380" xr:uid="{00000000-0005-0000-0000-0000FF590000}"/>
    <cellStyle name="Normal 2 12 2 3 4 2 2" xfId="23381" xr:uid="{00000000-0005-0000-0000-0000005A0000}"/>
    <cellStyle name="Normal 2 12 2 3 4 2 3" xfId="23382" xr:uid="{00000000-0005-0000-0000-0000015A0000}"/>
    <cellStyle name="Normal 2 12 2 3 4 2 4" xfId="23383" xr:uid="{00000000-0005-0000-0000-0000025A0000}"/>
    <cellStyle name="Normal 2 12 2 3 4 2 5" xfId="23384" xr:uid="{00000000-0005-0000-0000-0000035A0000}"/>
    <cellStyle name="Normal 2 12 2 3 4 3" xfId="23385" xr:uid="{00000000-0005-0000-0000-0000045A0000}"/>
    <cellStyle name="Normal 2 12 2 3 4 4" xfId="23386" xr:uid="{00000000-0005-0000-0000-0000055A0000}"/>
    <cellStyle name="Normal 2 12 2 3 4 5" xfId="23387" xr:uid="{00000000-0005-0000-0000-0000065A0000}"/>
    <cellStyle name="Normal 2 12 2 3 4 6" xfId="23388" xr:uid="{00000000-0005-0000-0000-0000075A0000}"/>
    <cellStyle name="Normal 2 12 2 3 4 7" xfId="23389" xr:uid="{00000000-0005-0000-0000-0000085A0000}"/>
    <cellStyle name="Normal 2 12 2 3 4 8" xfId="23390" xr:uid="{00000000-0005-0000-0000-0000095A0000}"/>
    <cellStyle name="Normal 2 12 2 3 5" xfId="23391" xr:uid="{00000000-0005-0000-0000-00000A5A0000}"/>
    <cellStyle name="Normal 2 12 2 3 5 2" xfId="23392" xr:uid="{00000000-0005-0000-0000-00000B5A0000}"/>
    <cellStyle name="Normal 2 12 2 3 5 3" xfId="23393" xr:uid="{00000000-0005-0000-0000-00000C5A0000}"/>
    <cellStyle name="Normal 2 12 2 3 5 4" xfId="23394" xr:uid="{00000000-0005-0000-0000-00000D5A0000}"/>
    <cellStyle name="Normal 2 12 2 3 5 5" xfId="23395" xr:uid="{00000000-0005-0000-0000-00000E5A0000}"/>
    <cellStyle name="Normal 2 12 2 3 6" xfId="23396" xr:uid="{00000000-0005-0000-0000-00000F5A0000}"/>
    <cellStyle name="Normal 2 12 2 3 7" xfId="23397" xr:uid="{00000000-0005-0000-0000-0000105A0000}"/>
    <cellStyle name="Normal 2 12 2 3 8" xfId="23398" xr:uid="{00000000-0005-0000-0000-0000115A0000}"/>
    <cellStyle name="Normal 2 12 2 3 9" xfId="23399" xr:uid="{00000000-0005-0000-0000-0000125A0000}"/>
    <cellStyle name="Normal 2 12 2 4" xfId="23400" xr:uid="{00000000-0005-0000-0000-0000135A0000}"/>
    <cellStyle name="Normal 2 12 2 4 10" xfId="23401" xr:uid="{00000000-0005-0000-0000-0000145A0000}"/>
    <cellStyle name="Normal 2 12 2 4 2" xfId="23402" xr:uid="{00000000-0005-0000-0000-0000155A0000}"/>
    <cellStyle name="Normal 2 12 2 4 2 2" xfId="23403" xr:uid="{00000000-0005-0000-0000-0000165A0000}"/>
    <cellStyle name="Normal 2 12 2 4 2 2 2" xfId="23404" xr:uid="{00000000-0005-0000-0000-0000175A0000}"/>
    <cellStyle name="Normal 2 12 2 4 2 2 3" xfId="23405" xr:uid="{00000000-0005-0000-0000-0000185A0000}"/>
    <cellStyle name="Normal 2 12 2 4 2 2 4" xfId="23406" xr:uid="{00000000-0005-0000-0000-0000195A0000}"/>
    <cellStyle name="Normal 2 12 2 4 2 2 5" xfId="23407" xr:uid="{00000000-0005-0000-0000-00001A5A0000}"/>
    <cellStyle name="Normal 2 12 2 4 2 3" xfId="23408" xr:uid="{00000000-0005-0000-0000-00001B5A0000}"/>
    <cellStyle name="Normal 2 12 2 4 2 4" xfId="23409" xr:uid="{00000000-0005-0000-0000-00001C5A0000}"/>
    <cellStyle name="Normal 2 12 2 4 2 5" xfId="23410" xr:uid="{00000000-0005-0000-0000-00001D5A0000}"/>
    <cellStyle name="Normal 2 12 2 4 2 6" xfId="23411" xr:uid="{00000000-0005-0000-0000-00001E5A0000}"/>
    <cellStyle name="Normal 2 12 2 4 2 7" xfId="23412" xr:uid="{00000000-0005-0000-0000-00001F5A0000}"/>
    <cellStyle name="Normal 2 12 2 4 2 8" xfId="23413" xr:uid="{00000000-0005-0000-0000-0000205A0000}"/>
    <cellStyle name="Normal 2 12 2 4 3" xfId="23414" xr:uid="{00000000-0005-0000-0000-0000215A0000}"/>
    <cellStyle name="Normal 2 12 2 4 3 2" xfId="23415" xr:uid="{00000000-0005-0000-0000-0000225A0000}"/>
    <cellStyle name="Normal 2 12 2 4 3 2 2" xfId="23416" xr:uid="{00000000-0005-0000-0000-0000235A0000}"/>
    <cellStyle name="Normal 2 12 2 4 3 2 3" xfId="23417" xr:uid="{00000000-0005-0000-0000-0000245A0000}"/>
    <cellStyle name="Normal 2 12 2 4 3 2 4" xfId="23418" xr:uid="{00000000-0005-0000-0000-0000255A0000}"/>
    <cellStyle name="Normal 2 12 2 4 3 2 5" xfId="23419" xr:uid="{00000000-0005-0000-0000-0000265A0000}"/>
    <cellStyle name="Normal 2 12 2 4 3 3" xfId="23420" xr:uid="{00000000-0005-0000-0000-0000275A0000}"/>
    <cellStyle name="Normal 2 12 2 4 3 4" xfId="23421" xr:uid="{00000000-0005-0000-0000-0000285A0000}"/>
    <cellStyle name="Normal 2 12 2 4 3 5" xfId="23422" xr:uid="{00000000-0005-0000-0000-0000295A0000}"/>
    <cellStyle name="Normal 2 12 2 4 3 6" xfId="23423" xr:uid="{00000000-0005-0000-0000-00002A5A0000}"/>
    <cellStyle name="Normal 2 12 2 4 3 7" xfId="23424" xr:uid="{00000000-0005-0000-0000-00002B5A0000}"/>
    <cellStyle name="Normal 2 12 2 4 3 8" xfId="23425" xr:uid="{00000000-0005-0000-0000-00002C5A0000}"/>
    <cellStyle name="Normal 2 12 2 4 4" xfId="23426" xr:uid="{00000000-0005-0000-0000-00002D5A0000}"/>
    <cellStyle name="Normal 2 12 2 4 4 2" xfId="23427" xr:uid="{00000000-0005-0000-0000-00002E5A0000}"/>
    <cellStyle name="Normal 2 12 2 4 4 3" xfId="23428" xr:uid="{00000000-0005-0000-0000-00002F5A0000}"/>
    <cellStyle name="Normal 2 12 2 4 4 4" xfId="23429" xr:uid="{00000000-0005-0000-0000-0000305A0000}"/>
    <cellStyle name="Normal 2 12 2 4 4 5" xfId="23430" xr:uid="{00000000-0005-0000-0000-0000315A0000}"/>
    <cellStyle name="Normal 2 12 2 4 5" xfId="23431" xr:uid="{00000000-0005-0000-0000-0000325A0000}"/>
    <cellStyle name="Normal 2 12 2 4 6" xfId="23432" xr:uid="{00000000-0005-0000-0000-0000335A0000}"/>
    <cellStyle name="Normal 2 12 2 4 7" xfId="23433" xr:uid="{00000000-0005-0000-0000-0000345A0000}"/>
    <cellStyle name="Normal 2 12 2 4 8" xfId="23434" xr:uid="{00000000-0005-0000-0000-0000355A0000}"/>
    <cellStyle name="Normal 2 12 2 4 9" xfId="23435" xr:uid="{00000000-0005-0000-0000-0000365A0000}"/>
    <cellStyle name="Normal 2 12 2 5" xfId="23436" xr:uid="{00000000-0005-0000-0000-0000375A0000}"/>
    <cellStyle name="Normal 2 12 2 5 2" xfId="23437" xr:uid="{00000000-0005-0000-0000-0000385A0000}"/>
    <cellStyle name="Normal 2 12 2 5 2 2" xfId="23438" xr:uid="{00000000-0005-0000-0000-0000395A0000}"/>
    <cellStyle name="Normal 2 12 2 5 2 3" xfId="23439" xr:uid="{00000000-0005-0000-0000-00003A5A0000}"/>
    <cellStyle name="Normal 2 12 2 5 2 4" xfId="23440" xr:uid="{00000000-0005-0000-0000-00003B5A0000}"/>
    <cellStyle name="Normal 2 12 2 5 2 5" xfId="23441" xr:uid="{00000000-0005-0000-0000-00003C5A0000}"/>
    <cellStyle name="Normal 2 12 2 5 3" xfId="23442" xr:uid="{00000000-0005-0000-0000-00003D5A0000}"/>
    <cellStyle name="Normal 2 12 2 5 4" xfId="23443" xr:uid="{00000000-0005-0000-0000-00003E5A0000}"/>
    <cellStyle name="Normal 2 12 2 5 5" xfId="23444" xr:uid="{00000000-0005-0000-0000-00003F5A0000}"/>
    <cellStyle name="Normal 2 12 2 5 6" xfId="23445" xr:uid="{00000000-0005-0000-0000-0000405A0000}"/>
    <cellStyle name="Normal 2 12 2 5 7" xfId="23446" xr:uid="{00000000-0005-0000-0000-0000415A0000}"/>
    <cellStyle name="Normal 2 12 2 5 8" xfId="23447" xr:uid="{00000000-0005-0000-0000-0000425A0000}"/>
    <cellStyle name="Normal 2 12 2 6" xfId="23448" xr:uid="{00000000-0005-0000-0000-0000435A0000}"/>
    <cellStyle name="Normal 2 12 2 6 2" xfId="23449" xr:uid="{00000000-0005-0000-0000-0000445A0000}"/>
    <cellStyle name="Normal 2 12 2 6 2 2" xfId="23450" xr:uid="{00000000-0005-0000-0000-0000455A0000}"/>
    <cellStyle name="Normal 2 12 2 6 2 3" xfId="23451" xr:uid="{00000000-0005-0000-0000-0000465A0000}"/>
    <cellStyle name="Normal 2 12 2 6 2 4" xfId="23452" xr:uid="{00000000-0005-0000-0000-0000475A0000}"/>
    <cellStyle name="Normal 2 12 2 6 2 5" xfId="23453" xr:uid="{00000000-0005-0000-0000-0000485A0000}"/>
    <cellStyle name="Normal 2 12 2 6 3" xfId="23454" xr:uid="{00000000-0005-0000-0000-0000495A0000}"/>
    <cellStyle name="Normal 2 12 2 6 4" xfId="23455" xr:uid="{00000000-0005-0000-0000-00004A5A0000}"/>
    <cellStyle name="Normal 2 12 2 6 5" xfId="23456" xr:uid="{00000000-0005-0000-0000-00004B5A0000}"/>
    <cellStyle name="Normal 2 12 2 6 6" xfId="23457" xr:uid="{00000000-0005-0000-0000-00004C5A0000}"/>
    <cellStyle name="Normal 2 12 2 6 7" xfId="23458" xr:uid="{00000000-0005-0000-0000-00004D5A0000}"/>
    <cellStyle name="Normal 2 12 2 6 8" xfId="23459" xr:uid="{00000000-0005-0000-0000-00004E5A0000}"/>
    <cellStyle name="Normal 2 12 2 7" xfId="23460" xr:uid="{00000000-0005-0000-0000-00004F5A0000}"/>
    <cellStyle name="Normal 2 12 2 7 2" xfId="23461" xr:uid="{00000000-0005-0000-0000-0000505A0000}"/>
    <cellStyle name="Normal 2 12 2 7 3" xfId="23462" xr:uid="{00000000-0005-0000-0000-0000515A0000}"/>
    <cellStyle name="Normal 2 12 2 7 4" xfId="23463" xr:uid="{00000000-0005-0000-0000-0000525A0000}"/>
    <cellStyle name="Normal 2 12 2 7 5" xfId="23464" xr:uid="{00000000-0005-0000-0000-0000535A0000}"/>
    <cellStyle name="Normal 2 12 2 8" xfId="23465" xr:uid="{00000000-0005-0000-0000-0000545A0000}"/>
    <cellStyle name="Normal 2 12 2 9" xfId="23466" xr:uid="{00000000-0005-0000-0000-0000555A0000}"/>
    <cellStyle name="Normal 2 12 3" xfId="23467" xr:uid="{00000000-0005-0000-0000-0000565A0000}"/>
    <cellStyle name="Normal 2 12 3 10" xfId="23468" xr:uid="{00000000-0005-0000-0000-0000575A0000}"/>
    <cellStyle name="Normal 2 12 3 11" xfId="23469" xr:uid="{00000000-0005-0000-0000-0000585A0000}"/>
    <cellStyle name="Normal 2 12 3 12" xfId="23470" xr:uid="{00000000-0005-0000-0000-0000595A0000}"/>
    <cellStyle name="Normal 2 12 3 13" xfId="23471" xr:uid="{00000000-0005-0000-0000-00005A5A0000}"/>
    <cellStyle name="Normal 2 12 3 2" xfId="23472" xr:uid="{00000000-0005-0000-0000-00005B5A0000}"/>
    <cellStyle name="Normal 2 12 3 2 10" xfId="23473" xr:uid="{00000000-0005-0000-0000-00005C5A0000}"/>
    <cellStyle name="Normal 2 12 3 2 11" xfId="23474" xr:uid="{00000000-0005-0000-0000-00005D5A0000}"/>
    <cellStyle name="Normal 2 12 3 2 2" xfId="23475" xr:uid="{00000000-0005-0000-0000-00005E5A0000}"/>
    <cellStyle name="Normal 2 12 3 2 2 10" xfId="23476" xr:uid="{00000000-0005-0000-0000-00005F5A0000}"/>
    <cellStyle name="Normal 2 12 3 2 2 2" xfId="23477" xr:uid="{00000000-0005-0000-0000-0000605A0000}"/>
    <cellStyle name="Normal 2 12 3 2 2 2 2" xfId="23478" xr:uid="{00000000-0005-0000-0000-0000615A0000}"/>
    <cellStyle name="Normal 2 12 3 2 2 2 2 2" xfId="23479" xr:uid="{00000000-0005-0000-0000-0000625A0000}"/>
    <cellStyle name="Normal 2 12 3 2 2 2 2 3" xfId="23480" xr:uid="{00000000-0005-0000-0000-0000635A0000}"/>
    <cellStyle name="Normal 2 12 3 2 2 2 2 4" xfId="23481" xr:uid="{00000000-0005-0000-0000-0000645A0000}"/>
    <cellStyle name="Normal 2 12 3 2 2 2 2 5" xfId="23482" xr:uid="{00000000-0005-0000-0000-0000655A0000}"/>
    <cellStyle name="Normal 2 12 3 2 2 2 3" xfId="23483" xr:uid="{00000000-0005-0000-0000-0000665A0000}"/>
    <cellStyle name="Normal 2 12 3 2 2 2 4" xfId="23484" xr:uid="{00000000-0005-0000-0000-0000675A0000}"/>
    <cellStyle name="Normal 2 12 3 2 2 2 5" xfId="23485" xr:uid="{00000000-0005-0000-0000-0000685A0000}"/>
    <cellStyle name="Normal 2 12 3 2 2 2 6" xfId="23486" xr:uid="{00000000-0005-0000-0000-0000695A0000}"/>
    <cellStyle name="Normal 2 12 3 2 2 2 7" xfId="23487" xr:uid="{00000000-0005-0000-0000-00006A5A0000}"/>
    <cellStyle name="Normal 2 12 3 2 2 2 8" xfId="23488" xr:uid="{00000000-0005-0000-0000-00006B5A0000}"/>
    <cellStyle name="Normal 2 12 3 2 2 3" xfId="23489" xr:uid="{00000000-0005-0000-0000-00006C5A0000}"/>
    <cellStyle name="Normal 2 12 3 2 2 3 2" xfId="23490" xr:uid="{00000000-0005-0000-0000-00006D5A0000}"/>
    <cellStyle name="Normal 2 12 3 2 2 3 2 2" xfId="23491" xr:uid="{00000000-0005-0000-0000-00006E5A0000}"/>
    <cellStyle name="Normal 2 12 3 2 2 3 2 3" xfId="23492" xr:uid="{00000000-0005-0000-0000-00006F5A0000}"/>
    <cellStyle name="Normal 2 12 3 2 2 3 2 4" xfId="23493" xr:uid="{00000000-0005-0000-0000-0000705A0000}"/>
    <cellStyle name="Normal 2 12 3 2 2 3 2 5" xfId="23494" xr:uid="{00000000-0005-0000-0000-0000715A0000}"/>
    <cellStyle name="Normal 2 12 3 2 2 3 3" xfId="23495" xr:uid="{00000000-0005-0000-0000-0000725A0000}"/>
    <cellStyle name="Normal 2 12 3 2 2 3 4" xfId="23496" xr:uid="{00000000-0005-0000-0000-0000735A0000}"/>
    <cellStyle name="Normal 2 12 3 2 2 3 5" xfId="23497" xr:uid="{00000000-0005-0000-0000-0000745A0000}"/>
    <cellStyle name="Normal 2 12 3 2 2 3 6" xfId="23498" xr:uid="{00000000-0005-0000-0000-0000755A0000}"/>
    <cellStyle name="Normal 2 12 3 2 2 3 7" xfId="23499" xr:uid="{00000000-0005-0000-0000-0000765A0000}"/>
    <cellStyle name="Normal 2 12 3 2 2 3 8" xfId="23500" xr:uid="{00000000-0005-0000-0000-0000775A0000}"/>
    <cellStyle name="Normal 2 12 3 2 2 4" xfId="23501" xr:uid="{00000000-0005-0000-0000-0000785A0000}"/>
    <cellStyle name="Normal 2 12 3 2 2 4 2" xfId="23502" xr:uid="{00000000-0005-0000-0000-0000795A0000}"/>
    <cellStyle name="Normal 2 12 3 2 2 4 3" xfId="23503" xr:uid="{00000000-0005-0000-0000-00007A5A0000}"/>
    <cellStyle name="Normal 2 12 3 2 2 4 4" xfId="23504" xr:uid="{00000000-0005-0000-0000-00007B5A0000}"/>
    <cellStyle name="Normal 2 12 3 2 2 4 5" xfId="23505" xr:uid="{00000000-0005-0000-0000-00007C5A0000}"/>
    <cellStyle name="Normal 2 12 3 2 2 5" xfId="23506" xr:uid="{00000000-0005-0000-0000-00007D5A0000}"/>
    <cellStyle name="Normal 2 12 3 2 2 6" xfId="23507" xr:uid="{00000000-0005-0000-0000-00007E5A0000}"/>
    <cellStyle name="Normal 2 12 3 2 2 7" xfId="23508" xr:uid="{00000000-0005-0000-0000-00007F5A0000}"/>
    <cellStyle name="Normal 2 12 3 2 2 8" xfId="23509" xr:uid="{00000000-0005-0000-0000-0000805A0000}"/>
    <cellStyle name="Normal 2 12 3 2 2 9" xfId="23510" xr:uid="{00000000-0005-0000-0000-0000815A0000}"/>
    <cellStyle name="Normal 2 12 3 2 3" xfId="23511" xr:uid="{00000000-0005-0000-0000-0000825A0000}"/>
    <cellStyle name="Normal 2 12 3 2 3 2" xfId="23512" xr:uid="{00000000-0005-0000-0000-0000835A0000}"/>
    <cellStyle name="Normal 2 12 3 2 3 2 2" xfId="23513" xr:uid="{00000000-0005-0000-0000-0000845A0000}"/>
    <cellStyle name="Normal 2 12 3 2 3 2 3" xfId="23514" xr:uid="{00000000-0005-0000-0000-0000855A0000}"/>
    <cellStyle name="Normal 2 12 3 2 3 2 4" xfId="23515" xr:uid="{00000000-0005-0000-0000-0000865A0000}"/>
    <cellStyle name="Normal 2 12 3 2 3 2 5" xfId="23516" xr:uid="{00000000-0005-0000-0000-0000875A0000}"/>
    <cellStyle name="Normal 2 12 3 2 3 3" xfId="23517" xr:uid="{00000000-0005-0000-0000-0000885A0000}"/>
    <cellStyle name="Normal 2 12 3 2 3 4" xfId="23518" xr:uid="{00000000-0005-0000-0000-0000895A0000}"/>
    <cellStyle name="Normal 2 12 3 2 3 5" xfId="23519" xr:uid="{00000000-0005-0000-0000-00008A5A0000}"/>
    <cellStyle name="Normal 2 12 3 2 3 6" xfId="23520" xr:uid="{00000000-0005-0000-0000-00008B5A0000}"/>
    <cellStyle name="Normal 2 12 3 2 3 7" xfId="23521" xr:uid="{00000000-0005-0000-0000-00008C5A0000}"/>
    <cellStyle name="Normal 2 12 3 2 3 8" xfId="23522" xr:uid="{00000000-0005-0000-0000-00008D5A0000}"/>
    <cellStyle name="Normal 2 12 3 2 4" xfId="23523" xr:uid="{00000000-0005-0000-0000-00008E5A0000}"/>
    <cellStyle name="Normal 2 12 3 2 4 2" xfId="23524" xr:uid="{00000000-0005-0000-0000-00008F5A0000}"/>
    <cellStyle name="Normal 2 12 3 2 4 2 2" xfId="23525" xr:uid="{00000000-0005-0000-0000-0000905A0000}"/>
    <cellStyle name="Normal 2 12 3 2 4 2 3" xfId="23526" xr:uid="{00000000-0005-0000-0000-0000915A0000}"/>
    <cellStyle name="Normal 2 12 3 2 4 2 4" xfId="23527" xr:uid="{00000000-0005-0000-0000-0000925A0000}"/>
    <cellStyle name="Normal 2 12 3 2 4 2 5" xfId="23528" xr:uid="{00000000-0005-0000-0000-0000935A0000}"/>
    <cellStyle name="Normal 2 12 3 2 4 3" xfId="23529" xr:uid="{00000000-0005-0000-0000-0000945A0000}"/>
    <cellStyle name="Normal 2 12 3 2 4 4" xfId="23530" xr:uid="{00000000-0005-0000-0000-0000955A0000}"/>
    <cellStyle name="Normal 2 12 3 2 4 5" xfId="23531" xr:uid="{00000000-0005-0000-0000-0000965A0000}"/>
    <cellStyle name="Normal 2 12 3 2 4 6" xfId="23532" xr:uid="{00000000-0005-0000-0000-0000975A0000}"/>
    <cellStyle name="Normal 2 12 3 2 4 7" xfId="23533" xr:uid="{00000000-0005-0000-0000-0000985A0000}"/>
    <cellStyle name="Normal 2 12 3 2 4 8" xfId="23534" xr:uid="{00000000-0005-0000-0000-0000995A0000}"/>
    <cellStyle name="Normal 2 12 3 2 5" xfId="23535" xr:uid="{00000000-0005-0000-0000-00009A5A0000}"/>
    <cellStyle name="Normal 2 12 3 2 5 2" xfId="23536" xr:uid="{00000000-0005-0000-0000-00009B5A0000}"/>
    <cellStyle name="Normal 2 12 3 2 5 3" xfId="23537" xr:uid="{00000000-0005-0000-0000-00009C5A0000}"/>
    <cellStyle name="Normal 2 12 3 2 5 4" xfId="23538" xr:uid="{00000000-0005-0000-0000-00009D5A0000}"/>
    <cellStyle name="Normal 2 12 3 2 5 5" xfId="23539" xr:uid="{00000000-0005-0000-0000-00009E5A0000}"/>
    <cellStyle name="Normal 2 12 3 2 6" xfId="23540" xr:uid="{00000000-0005-0000-0000-00009F5A0000}"/>
    <cellStyle name="Normal 2 12 3 2 7" xfId="23541" xr:uid="{00000000-0005-0000-0000-0000A05A0000}"/>
    <cellStyle name="Normal 2 12 3 2 8" xfId="23542" xr:uid="{00000000-0005-0000-0000-0000A15A0000}"/>
    <cellStyle name="Normal 2 12 3 2 9" xfId="23543" xr:uid="{00000000-0005-0000-0000-0000A25A0000}"/>
    <cellStyle name="Normal 2 12 3 3" xfId="23544" xr:uid="{00000000-0005-0000-0000-0000A35A0000}"/>
    <cellStyle name="Normal 2 12 3 3 10" xfId="23545" xr:uid="{00000000-0005-0000-0000-0000A45A0000}"/>
    <cellStyle name="Normal 2 12 3 3 11" xfId="23546" xr:uid="{00000000-0005-0000-0000-0000A55A0000}"/>
    <cellStyle name="Normal 2 12 3 3 2" xfId="23547" xr:uid="{00000000-0005-0000-0000-0000A65A0000}"/>
    <cellStyle name="Normal 2 12 3 3 2 10" xfId="23548" xr:uid="{00000000-0005-0000-0000-0000A75A0000}"/>
    <cellStyle name="Normal 2 12 3 3 2 2" xfId="23549" xr:uid="{00000000-0005-0000-0000-0000A85A0000}"/>
    <cellStyle name="Normal 2 12 3 3 2 2 2" xfId="23550" xr:uid="{00000000-0005-0000-0000-0000A95A0000}"/>
    <cellStyle name="Normal 2 12 3 3 2 2 2 2" xfId="23551" xr:uid="{00000000-0005-0000-0000-0000AA5A0000}"/>
    <cellStyle name="Normal 2 12 3 3 2 2 2 3" xfId="23552" xr:uid="{00000000-0005-0000-0000-0000AB5A0000}"/>
    <cellStyle name="Normal 2 12 3 3 2 2 2 4" xfId="23553" xr:uid="{00000000-0005-0000-0000-0000AC5A0000}"/>
    <cellStyle name="Normal 2 12 3 3 2 2 2 5" xfId="23554" xr:uid="{00000000-0005-0000-0000-0000AD5A0000}"/>
    <cellStyle name="Normal 2 12 3 3 2 2 3" xfId="23555" xr:uid="{00000000-0005-0000-0000-0000AE5A0000}"/>
    <cellStyle name="Normal 2 12 3 3 2 2 4" xfId="23556" xr:uid="{00000000-0005-0000-0000-0000AF5A0000}"/>
    <cellStyle name="Normal 2 12 3 3 2 2 5" xfId="23557" xr:uid="{00000000-0005-0000-0000-0000B05A0000}"/>
    <cellStyle name="Normal 2 12 3 3 2 2 6" xfId="23558" xr:uid="{00000000-0005-0000-0000-0000B15A0000}"/>
    <cellStyle name="Normal 2 12 3 3 2 2 7" xfId="23559" xr:uid="{00000000-0005-0000-0000-0000B25A0000}"/>
    <cellStyle name="Normal 2 12 3 3 2 2 8" xfId="23560" xr:uid="{00000000-0005-0000-0000-0000B35A0000}"/>
    <cellStyle name="Normal 2 12 3 3 2 3" xfId="23561" xr:uid="{00000000-0005-0000-0000-0000B45A0000}"/>
    <cellStyle name="Normal 2 12 3 3 2 3 2" xfId="23562" xr:uid="{00000000-0005-0000-0000-0000B55A0000}"/>
    <cellStyle name="Normal 2 12 3 3 2 3 2 2" xfId="23563" xr:uid="{00000000-0005-0000-0000-0000B65A0000}"/>
    <cellStyle name="Normal 2 12 3 3 2 3 2 3" xfId="23564" xr:uid="{00000000-0005-0000-0000-0000B75A0000}"/>
    <cellStyle name="Normal 2 12 3 3 2 3 2 4" xfId="23565" xr:uid="{00000000-0005-0000-0000-0000B85A0000}"/>
    <cellStyle name="Normal 2 12 3 3 2 3 2 5" xfId="23566" xr:uid="{00000000-0005-0000-0000-0000B95A0000}"/>
    <cellStyle name="Normal 2 12 3 3 2 3 3" xfId="23567" xr:uid="{00000000-0005-0000-0000-0000BA5A0000}"/>
    <cellStyle name="Normal 2 12 3 3 2 3 4" xfId="23568" xr:uid="{00000000-0005-0000-0000-0000BB5A0000}"/>
    <cellStyle name="Normal 2 12 3 3 2 3 5" xfId="23569" xr:uid="{00000000-0005-0000-0000-0000BC5A0000}"/>
    <cellStyle name="Normal 2 12 3 3 2 3 6" xfId="23570" xr:uid="{00000000-0005-0000-0000-0000BD5A0000}"/>
    <cellStyle name="Normal 2 12 3 3 2 3 7" xfId="23571" xr:uid="{00000000-0005-0000-0000-0000BE5A0000}"/>
    <cellStyle name="Normal 2 12 3 3 2 3 8" xfId="23572" xr:uid="{00000000-0005-0000-0000-0000BF5A0000}"/>
    <cellStyle name="Normal 2 12 3 3 2 4" xfId="23573" xr:uid="{00000000-0005-0000-0000-0000C05A0000}"/>
    <cellStyle name="Normal 2 12 3 3 2 4 2" xfId="23574" xr:uid="{00000000-0005-0000-0000-0000C15A0000}"/>
    <cellStyle name="Normal 2 12 3 3 2 4 3" xfId="23575" xr:uid="{00000000-0005-0000-0000-0000C25A0000}"/>
    <cellStyle name="Normal 2 12 3 3 2 4 4" xfId="23576" xr:uid="{00000000-0005-0000-0000-0000C35A0000}"/>
    <cellStyle name="Normal 2 12 3 3 2 4 5" xfId="23577" xr:uid="{00000000-0005-0000-0000-0000C45A0000}"/>
    <cellStyle name="Normal 2 12 3 3 2 5" xfId="23578" xr:uid="{00000000-0005-0000-0000-0000C55A0000}"/>
    <cellStyle name="Normal 2 12 3 3 2 6" xfId="23579" xr:uid="{00000000-0005-0000-0000-0000C65A0000}"/>
    <cellStyle name="Normal 2 12 3 3 2 7" xfId="23580" xr:uid="{00000000-0005-0000-0000-0000C75A0000}"/>
    <cellStyle name="Normal 2 12 3 3 2 8" xfId="23581" xr:uid="{00000000-0005-0000-0000-0000C85A0000}"/>
    <cellStyle name="Normal 2 12 3 3 2 9" xfId="23582" xr:uid="{00000000-0005-0000-0000-0000C95A0000}"/>
    <cellStyle name="Normal 2 12 3 3 3" xfId="23583" xr:uid="{00000000-0005-0000-0000-0000CA5A0000}"/>
    <cellStyle name="Normal 2 12 3 3 3 2" xfId="23584" xr:uid="{00000000-0005-0000-0000-0000CB5A0000}"/>
    <cellStyle name="Normal 2 12 3 3 3 2 2" xfId="23585" xr:uid="{00000000-0005-0000-0000-0000CC5A0000}"/>
    <cellStyle name="Normal 2 12 3 3 3 2 3" xfId="23586" xr:uid="{00000000-0005-0000-0000-0000CD5A0000}"/>
    <cellStyle name="Normal 2 12 3 3 3 2 4" xfId="23587" xr:uid="{00000000-0005-0000-0000-0000CE5A0000}"/>
    <cellStyle name="Normal 2 12 3 3 3 2 5" xfId="23588" xr:uid="{00000000-0005-0000-0000-0000CF5A0000}"/>
    <cellStyle name="Normal 2 12 3 3 3 3" xfId="23589" xr:uid="{00000000-0005-0000-0000-0000D05A0000}"/>
    <cellStyle name="Normal 2 12 3 3 3 4" xfId="23590" xr:uid="{00000000-0005-0000-0000-0000D15A0000}"/>
    <cellStyle name="Normal 2 12 3 3 3 5" xfId="23591" xr:uid="{00000000-0005-0000-0000-0000D25A0000}"/>
    <cellStyle name="Normal 2 12 3 3 3 6" xfId="23592" xr:uid="{00000000-0005-0000-0000-0000D35A0000}"/>
    <cellStyle name="Normal 2 12 3 3 3 7" xfId="23593" xr:uid="{00000000-0005-0000-0000-0000D45A0000}"/>
    <cellStyle name="Normal 2 12 3 3 3 8" xfId="23594" xr:uid="{00000000-0005-0000-0000-0000D55A0000}"/>
    <cellStyle name="Normal 2 12 3 3 4" xfId="23595" xr:uid="{00000000-0005-0000-0000-0000D65A0000}"/>
    <cellStyle name="Normal 2 12 3 3 4 2" xfId="23596" xr:uid="{00000000-0005-0000-0000-0000D75A0000}"/>
    <cellStyle name="Normal 2 12 3 3 4 2 2" xfId="23597" xr:uid="{00000000-0005-0000-0000-0000D85A0000}"/>
    <cellStyle name="Normal 2 12 3 3 4 2 3" xfId="23598" xr:uid="{00000000-0005-0000-0000-0000D95A0000}"/>
    <cellStyle name="Normal 2 12 3 3 4 2 4" xfId="23599" xr:uid="{00000000-0005-0000-0000-0000DA5A0000}"/>
    <cellStyle name="Normal 2 12 3 3 4 2 5" xfId="23600" xr:uid="{00000000-0005-0000-0000-0000DB5A0000}"/>
    <cellStyle name="Normal 2 12 3 3 4 3" xfId="23601" xr:uid="{00000000-0005-0000-0000-0000DC5A0000}"/>
    <cellStyle name="Normal 2 12 3 3 4 4" xfId="23602" xr:uid="{00000000-0005-0000-0000-0000DD5A0000}"/>
    <cellStyle name="Normal 2 12 3 3 4 5" xfId="23603" xr:uid="{00000000-0005-0000-0000-0000DE5A0000}"/>
    <cellStyle name="Normal 2 12 3 3 4 6" xfId="23604" xr:uid="{00000000-0005-0000-0000-0000DF5A0000}"/>
    <cellStyle name="Normal 2 12 3 3 4 7" xfId="23605" xr:uid="{00000000-0005-0000-0000-0000E05A0000}"/>
    <cellStyle name="Normal 2 12 3 3 4 8" xfId="23606" xr:uid="{00000000-0005-0000-0000-0000E15A0000}"/>
    <cellStyle name="Normal 2 12 3 3 5" xfId="23607" xr:uid="{00000000-0005-0000-0000-0000E25A0000}"/>
    <cellStyle name="Normal 2 12 3 3 5 2" xfId="23608" xr:uid="{00000000-0005-0000-0000-0000E35A0000}"/>
    <cellStyle name="Normal 2 12 3 3 5 3" xfId="23609" xr:uid="{00000000-0005-0000-0000-0000E45A0000}"/>
    <cellStyle name="Normal 2 12 3 3 5 4" xfId="23610" xr:uid="{00000000-0005-0000-0000-0000E55A0000}"/>
    <cellStyle name="Normal 2 12 3 3 5 5" xfId="23611" xr:uid="{00000000-0005-0000-0000-0000E65A0000}"/>
    <cellStyle name="Normal 2 12 3 3 6" xfId="23612" xr:uid="{00000000-0005-0000-0000-0000E75A0000}"/>
    <cellStyle name="Normal 2 12 3 3 7" xfId="23613" xr:uid="{00000000-0005-0000-0000-0000E85A0000}"/>
    <cellStyle name="Normal 2 12 3 3 8" xfId="23614" xr:uid="{00000000-0005-0000-0000-0000E95A0000}"/>
    <cellStyle name="Normal 2 12 3 3 9" xfId="23615" xr:uid="{00000000-0005-0000-0000-0000EA5A0000}"/>
    <cellStyle name="Normal 2 12 3 4" xfId="23616" xr:uid="{00000000-0005-0000-0000-0000EB5A0000}"/>
    <cellStyle name="Normal 2 12 3 4 10" xfId="23617" xr:uid="{00000000-0005-0000-0000-0000EC5A0000}"/>
    <cellStyle name="Normal 2 12 3 4 2" xfId="23618" xr:uid="{00000000-0005-0000-0000-0000ED5A0000}"/>
    <cellStyle name="Normal 2 12 3 4 2 2" xfId="23619" xr:uid="{00000000-0005-0000-0000-0000EE5A0000}"/>
    <cellStyle name="Normal 2 12 3 4 2 2 2" xfId="23620" xr:uid="{00000000-0005-0000-0000-0000EF5A0000}"/>
    <cellStyle name="Normal 2 12 3 4 2 2 3" xfId="23621" xr:uid="{00000000-0005-0000-0000-0000F05A0000}"/>
    <cellStyle name="Normal 2 12 3 4 2 2 4" xfId="23622" xr:uid="{00000000-0005-0000-0000-0000F15A0000}"/>
    <cellStyle name="Normal 2 12 3 4 2 2 5" xfId="23623" xr:uid="{00000000-0005-0000-0000-0000F25A0000}"/>
    <cellStyle name="Normal 2 12 3 4 2 3" xfId="23624" xr:uid="{00000000-0005-0000-0000-0000F35A0000}"/>
    <cellStyle name="Normal 2 12 3 4 2 4" xfId="23625" xr:uid="{00000000-0005-0000-0000-0000F45A0000}"/>
    <cellStyle name="Normal 2 12 3 4 2 5" xfId="23626" xr:uid="{00000000-0005-0000-0000-0000F55A0000}"/>
    <cellStyle name="Normal 2 12 3 4 2 6" xfId="23627" xr:uid="{00000000-0005-0000-0000-0000F65A0000}"/>
    <cellStyle name="Normal 2 12 3 4 2 7" xfId="23628" xr:uid="{00000000-0005-0000-0000-0000F75A0000}"/>
    <cellStyle name="Normal 2 12 3 4 2 8" xfId="23629" xr:uid="{00000000-0005-0000-0000-0000F85A0000}"/>
    <cellStyle name="Normal 2 12 3 4 3" xfId="23630" xr:uid="{00000000-0005-0000-0000-0000F95A0000}"/>
    <cellStyle name="Normal 2 12 3 4 3 2" xfId="23631" xr:uid="{00000000-0005-0000-0000-0000FA5A0000}"/>
    <cellStyle name="Normal 2 12 3 4 3 2 2" xfId="23632" xr:uid="{00000000-0005-0000-0000-0000FB5A0000}"/>
    <cellStyle name="Normal 2 12 3 4 3 2 3" xfId="23633" xr:uid="{00000000-0005-0000-0000-0000FC5A0000}"/>
    <cellStyle name="Normal 2 12 3 4 3 2 4" xfId="23634" xr:uid="{00000000-0005-0000-0000-0000FD5A0000}"/>
    <cellStyle name="Normal 2 12 3 4 3 2 5" xfId="23635" xr:uid="{00000000-0005-0000-0000-0000FE5A0000}"/>
    <cellStyle name="Normal 2 12 3 4 3 3" xfId="23636" xr:uid="{00000000-0005-0000-0000-0000FF5A0000}"/>
    <cellStyle name="Normal 2 12 3 4 3 4" xfId="23637" xr:uid="{00000000-0005-0000-0000-0000005B0000}"/>
    <cellStyle name="Normal 2 12 3 4 3 5" xfId="23638" xr:uid="{00000000-0005-0000-0000-0000015B0000}"/>
    <cellStyle name="Normal 2 12 3 4 3 6" xfId="23639" xr:uid="{00000000-0005-0000-0000-0000025B0000}"/>
    <cellStyle name="Normal 2 12 3 4 3 7" xfId="23640" xr:uid="{00000000-0005-0000-0000-0000035B0000}"/>
    <cellStyle name="Normal 2 12 3 4 3 8" xfId="23641" xr:uid="{00000000-0005-0000-0000-0000045B0000}"/>
    <cellStyle name="Normal 2 12 3 4 4" xfId="23642" xr:uid="{00000000-0005-0000-0000-0000055B0000}"/>
    <cellStyle name="Normal 2 12 3 4 4 2" xfId="23643" xr:uid="{00000000-0005-0000-0000-0000065B0000}"/>
    <cellStyle name="Normal 2 12 3 4 4 3" xfId="23644" xr:uid="{00000000-0005-0000-0000-0000075B0000}"/>
    <cellStyle name="Normal 2 12 3 4 4 4" xfId="23645" xr:uid="{00000000-0005-0000-0000-0000085B0000}"/>
    <cellStyle name="Normal 2 12 3 4 4 5" xfId="23646" xr:uid="{00000000-0005-0000-0000-0000095B0000}"/>
    <cellStyle name="Normal 2 12 3 4 5" xfId="23647" xr:uid="{00000000-0005-0000-0000-00000A5B0000}"/>
    <cellStyle name="Normal 2 12 3 4 6" xfId="23648" xr:uid="{00000000-0005-0000-0000-00000B5B0000}"/>
    <cellStyle name="Normal 2 12 3 4 7" xfId="23649" xr:uid="{00000000-0005-0000-0000-00000C5B0000}"/>
    <cellStyle name="Normal 2 12 3 4 8" xfId="23650" xr:uid="{00000000-0005-0000-0000-00000D5B0000}"/>
    <cellStyle name="Normal 2 12 3 4 9" xfId="23651" xr:uid="{00000000-0005-0000-0000-00000E5B0000}"/>
    <cellStyle name="Normal 2 12 3 5" xfId="23652" xr:uid="{00000000-0005-0000-0000-00000F5B0000}"/>
    <cellStyle name="Normal 2 12 3 5 2" xfId="23653" xr:uid="{00000000-0005-0000-0000-0000105B0000}"/>
    <cellStyle name="Normal 2 12 3 5 2 2" xfId="23654" xr:uid="{00000000-0005-0000-0000-0000115B0000}"/>
    <cellStyle name="Normal 2 12 3 5 2 3" xfId="23655" xr:uid="{00000000-0005-0000-0000-0000125B0000}"/>
    <cellStyle name="Normal 2 12 3 5 2 4" xfId="23656" xr:uid="{00000000-0005-0000-0000-0000135B0000}"/>
    <cellStyle name="Normal 2 12 3 5 2 5" xfId="23657" xr:uid="{00000000-0005-0000-0000-0000145B0000}"/>
    <cellStyle name="Normal 2 12 3 5 3" xfId="23658" xr:uid="{00000000-0005-0000-0000-0000155B0000}"/>
    <cellStyle name="Normal 2 12 3 5 4" xfId="23659" xr:uid="{00000000-0005-0000-0000-0000165B0000}"/>
    <cellStyle name="Normal 2 12 3 5 5" xfId="23660" xr:uid="{00000000-0005-0000-0000-0000175B0000}"/>
    <cellStyle name="Normal 2 12 3 5 6" xfId="23661" xr:uid="{00000000-0005-0000-0000-0000185B0000}"/>
    <cellStyle name="Normal 2 12 3 5 7" xfId="23662" xr:uid="{00000000-0005-0000-0000-0000195B0000}"/>
    <cellStyle name="Normal 2 12 3 5 8" xfId="23663" xr:uid="{00000000-0005-0000-0000-00001A5B0000}"/>
    <cellStyle name="Normal 2 12 3 6" xfId="23664" xr:uid="{00000000-0005-0000-0000-00001B5B0000}"/>
    <cellStyle name="Normal 2 12 3 6 2" xfId="23665" xr:uid="{00000000-0005-0000-0000-00001C5B0000}"/>
    <cellStyle name="Normal 2 12 3 6 2 2" xfId="23666" xr:uid="{00000000-0005-0000-0000-00001D5B0000}"/>
    <cellStyle name="Normal 2 12 3 6 2 3" xfId="23667" xr:uid="{00000000-0005-0000-0000-00001E5B0000}"/>
    <cellStyle name="Normal 2 12 3 6 2 4" xfId="23668" xr:uid="{00000000-0005-0000-0000-00001F5B0000}"/>
    <cellStyle name="Normal 2 12 3 6 2 5" xfId="23669" xr:uid="{00000000-0005-0000-0000-0000205B0000}"/>
    <cellStyle name="Normal 2 12 3 6 3" xfId="23670" xr:uid="{00000000-0005-0000-0000-0000215B0000}"/>
    <cellStyle name="Normal 2 12 3 6 4" xfId="23671" xr:uid="{00000000-0005-0000-0000-0000225B0000}"/>
    <cellStyle name="Normal 2 12 3 6 5" xfId="23672" xr:uid="{00000000-0005-0000-0000-0000235B0000}"/>
    <cellStyle name="Normal 2 12 3 6 6" xfId="23673" xr:uid="{00000000-0005-0000-0000-0000245B0000}"/>
    <cellStyle name="Normal 2 12 3 6 7" xfId="23674" xr:uid="{00000000-0005-0000-0000-0000255B0000}"/>
    <cellStyle name="Normal 2 12 3 6 8" xfId="23675" xr:uid="{00000000-0005-0000-0000-0000265B0000}"/>
    <cellStyle name="Normal 2 12 3 7" xfId="23676" xr:uid="{00000000-0005-0000-0000-0000275B0000}"/>
    <cellStyle name="Normal 2 12 3 7 2" xfId="23677" xr:uid="{00000000-0005-0000-0000-0000285B0000}"/>
    <cellStyle name="Normal 2 12 3 7 3" xfId="23678" xr:uid="{00000000-0005-0000-0000-0000295B0000}"/>
    <cellStyle name="Normal 2 12 3 7 4" xfId="23679" xr:uid="{00000000-0005-0000-0000-00002A5B0000}"/>
    <cellStyle name="Normal 2 12 3 7 5" xfId="23680" xr:uid="{00000000-0005-0000-0000-00002B5B0000}"/>
    <cellStyle name="Normal 2 12 3 8" xfId="23681" xr:uid="{00000000-0005-0000-0000-00002C5B0000}"/>
    <cellStyle name="Normal 2 12 3 9" xfId="23682" xr:uid="{00000000-0005-0000-0000-00002D5B0000}"/>
    <cellStyle name="Normal 2 12 4" xfId="23683" xr:uid="{00000000-0005-0000-0000-00002E5B0000}"/>
    <cellStyle name="Normal 2 12 4 10" xfId="23684" xr:uid="{00000000-0005-0000-0000-00002F5B0000}"/>
    <cellStyle name="Normal 2 12 4 11" xfId="23685" xr:uid="{00000000-0005-0000-0000-0000305B0000}"/>
    <cellStyle name="Normal 2 12 4 2" xfId="23686" xr:uid="{00000000-0005-0000-0000-0000315B0000}"/>
    <cellStyle name="Normal 2 12 4 2 10" xfId="23687" xr:uid="{00000000-0005-0000-0000-0000325B0000}"/>
    <cellStyle name="Normal 2 12 4 2 2" xfId="23688" xr:uid="{00000000-0005-0000-0000-0000335B0000}"/>
    <cellStyle name="Normal 2 12 4 2 2 2" xfId="23689" xr:uid="{00000000-0005-0000-0000-0000345B0000}"/>
    <cellStyle name="Normal 2 12 4 2 2 2 2" xfId="23690" xr:uid="{00000000-0005-0000-0000-0000355B0000}"/>
    <cellStyle name="Normal 2 12 4 2 2 2 3" xfId="23691" xr:uid="{00000000-0005-0000-0000-0000365B0000}"/>
    <cellStyle name="Normal 2 12 4 2 2 2 4" xfId="23692" xr:uid="{00000000-0005-0000-0000-0000375B0000}"/>
    <cellStyle name="Normal 2 12 4 2 2 2 5" xfId="23693" xr:uid="{00000000-0005-0000-0000-0000385B0000}"/>
    <cellStyle name="Normal 2 12 4 2 2 3" xfId="23694" xr:uid="{00000000-0005-0000-0000-0000395B0000}"/>
    <cellStyle name="Normal 2 12 4 2 2 4" xfId="23695" xr:uid="{00000000-0005-0000-0000-00003A5B0000}"/>
    <cellStyle name="Normal 2 12 4 2 2 5" xfId="23696" xr:uid="{00000000-0005-0000-0000-00003B5B0000}"/>
    <cellStyle name="Normal 2 12 4 2 2 6" xfId="23697" xr:uid="{00000000-0005-0000-0000-00003C5B0000}"/>
    <cellStyle name="Normal 2 12 4 2 2 7" xfId="23698" xr:uid="{00000000-0005-0000-0000-00003D5B0000}"/>
    <cellStyle name="Normal 2 12 4 2 2 8" xfId="23699" xr:uid="{00000000-0005-0000-0000-00003E5B0000}"/>
    <cellStyle name="Normal 2 12 4 2 3" xfId="23700" xr:uid="{00000000-0005-0000-0000-00003F5B0000}"/>
    <cellStyle name="Normal 2 12 4 2 3 2" xfId="23701" xr:uid="{00000000-0005-0000-0000-0000405B0000}"/>
    <cellStyle name="Normal 2 12 4 2 3 2 2" xfId="23702" xr:uid="{00000000-0005-0000-0000-0000415B0000}"/>
    <cellStyle name="Normal 2 12 4 2 3 2 3" xfId="23703" xr:uid="{00000000-0005-0000-0000-0000425B0000}"/>
    <cellStyle name="Normal 2 12 4 2 3 2 4" xfId="23704" xr:uid="{00000000-0005-0000-0000-0000435B0000}"/>
    <cellStyle name="Normal 2 12 4 2 3 2 5" xfId="23705" xr:uid="{00000000-0005-0000-0000-0000445B0000}"/>
    <cellStyle name="Normal 2 12 4 2 3 3" xfId="23706" xr:uid="{00000000-0005-0000-0000-0000455B0000}"/>
    <cellStyle name="Normal 2 12 4 2 3 4" xfId="23707" xr:uid="{00000000-0005-0000-0000-0000465B0000}"/>
    <cellStyle name="Normal 2 12 4 2 3 5" xfId="23708" xr:uid="{00000000-0005-0000-0000-0000475B0000}"/>
    <cellStyle name="Normal 2 12 4 2 3 6" xfId="23709" xr:uid="{00000000-0005-0000-0000-0000485B0000}"/>
    <cellStyle name="Normal 2 12 4 2 3 7" xfId="23710" xr:uid="{00000000-0005-0000-0000-0000495B0000}"/>
    <cellStyle name="Normal 2 12 4 2 3 8" xfId="23711" xr:uid="{00000000-0005-0000-0000-00004A5B0000}"/>
    <cellStyle name="Normal 2 12 4 2 4" xfId="23712" xr:uid="{00000000-0005-0000-0000-00004B5B0000}"/>
    <cellStyle name="Normal 2 12 4 2 4 2" xfId="23713" xr:uid="{00000000-0005-0000-0000-00004C5B0000}"/>
    <cellStyle name="Normal 2 12 4 2 4 3" xfId="23714" xr:uid="{00000000-0005-0000-0000-00004D5B0000}"/>
    <cellStyle name="Normal 2 12 4 2 4 4" xfId="23715" xr:uid="{00000000-0005-0000-0000-00004E5B0000}"/>
    <cellStyle name="Normal 2 12 4 2 4 5" xfId="23716" xr:uid="{00000000-0005-0000-0000-00004F5B0000}"/>
    <cellStyle name="Normal 2 12 4 2 5" xfId="23717" xr:uid="{00000000-0005-0000-0000-0000505B0000}"/>
    <cellStyle name="Normal 2 12 4 2 6" xfId="23718" xr:uid="{00000000-0005-0000-0000-0000515B0000}"/>
    <cellStyle name="Normal 2 12 4 2 7" xfId="23719" xr:uid="{00000000-0005-0000-0000-0000525B0000}"/>
    <cellStyle name="Normal 2 12 4 2 8" xfId="23720" xr:uid="{00000000-0005-0000-0000-0000535B0000}"/>
    <cellStyle name="Normal 2 12 4 2 9" xfId="23721" xr:uid="{00000000-0005-0000-0000-0000545B0000}"/>
    <cellStyle name="Normal 2 12 4 3" xfId="23722" xr:uid="{00000000-0005-0000-0000-0000555B0000}"/>
    <cellStyle name="Normal 2 12 4 3 2" xfId="23723" xr:uid="{00000000-0005-0000-0000-0000565B0000}"/>
    <cellStyle name="Normal 2 12 4 3 2 2" xfId="23724" xr:uid="{00000000-0005-0000-0000-0000575B0000}"/>
    <cellStyle name="Normal 2 12 4 3 2 3" xfId="23725" xr:uid="{00000000-0005-0000-0000-0000585B0000}"/>
    <cellStyle name="Normal 2 12 4 3 2 4" xfId="23726" xr:uid="{00000000-0005-0000-0000-0000595B0000}"/>
    <cellStyle name="Normal 2 12 4 3 2 5" xfId="23727" xr:uid="{00000000-0005-0000-0000-00005A5B0000}"/>
    <cellStyle name="Normal 2 12 4 3 3" xfId="23728" xr:uid="{00000000-0005-0000-0000-00005B5B0000}"/>
    <cellStyle name="Normal 2 12 4 3 4" xfId="23729" xr:uid="{00000000-0005-0000-0000-00005C5B0000}"/>
    <cellStyle name="Normal 2 12 4 3 5" xfId="23730" xr:uid="{00000000-0005-0000-0000-00005D5B0000}"/>
    <cellStyle name="Normal 2 12 4 3 6" xfId="23731" xr:uid="{00000000-0005-0000-0000-00005E5B0000}"/>
    <cellStyle name="Normal 2 12 4 3 7" xfId="23732" xr:uid="{00000000-0005-0000-0000-00005F5B0000}"/>
    <cellStyle name="Normal 2 12 4 3 8" xfId="23733" xr:uid="{00000000-0005-0000-0000-0000605B0000}"/>
    <cellStyle name="Normal 2 12 4 4" xfId="23734" xr:uid="{00000000-0005-0000-0000-0000615B0000}"/>
    <cellStyle name="Normal 2 12 4 4 2" xfId="23735" xr:uid="{00000000-0005-0000-0000-0000625B0000}"/>
    <cellStyle name="Normal 2 12 4 4 2 2" xfId="23736" xr:uid="{00000000-0005-0000-0000-0000635B0000}"/>
    <cellStyle name="Normal 2 12 4 4 2 3" xfId="23737" xr:uid="{00000000-0005-0000-0000-0000645B0000}"/>
    <cellStyle name="Normal 2 12 4 4 2 4" xfId="23738" xr:uid="{00000000-0005-0000-0000-0000655B0000}"/>
    <cellStyle name="Normal 2 12 4 4 2 5" xfId="23739" xr:uid="{00000000-0005-0000-0000-0000665B0000}"/>
    <cellStyle name="Normal 2 12 4 4 3" xfId="23740" xr:uid="{00000000-0005-0000-0000-0000675B0000}"/>
    <cellStyle name="Normal 2 12 4 4 4" xfId="23741" xr:uid="{00000000-0005-0000-0000-0000685B0000}"/>
    <cellStyle name="Normal 2 12 4 4 5" xfId="23742" xr:uid="{00000000-0005-0000-0000-0000695B0000}"/>
    <cellStyle name="Normal 2 12 4 4 6" xfId="23743" xr:uid="{00000000-0005-0000-0000-00006A5B0000}"/>
    <cellStyle name="Normal 2 12 4 4 7" xfId="23744" xr:uid="{00000000-0005-0000-0000-00006B5B0000}"/>
    <cellStyle name="Normal 2 12 4 4 8" xfId="23745" xr:uid="{00000000-0005-0000-0000-00006C5B0000}"/>
    <cellStyle name="Normal 2 12 4 5" xfId="23746" xr:uid="{00000000-0005-0000-0000-00006D5B0000}"/>
    <cellStyle name="Normal 2 12 4 5 2" xfId="23747" xr:uid="{00000000-0005-0000-0000-00006E5B0000}"/>
    <cellStyle name="Normal 2 12 4 5 3" xfId="23748" xr:uid="{00000000-0005-0000-0000-00006F5B0000}"/>
    <cellStyle name="Normal 2 12 4 5 4" xfId="23749" xr:uid="{00000000-0005-0000-0000-0000705B0000}"/>
    <cellStyle name="Normal 2 12 4 5 5" xfId="23750" xr:uid="{00000000-0005-0000-0000-0000715B0000}"/>
    <cellStyle name="Normal 2 12 4 6" xfId="23751" xr:uid="{00000000-0005-0000-0000-0000725B0000}"/>
    <cellStyle name="Normal 2 12 4 7" xfId="23752" xr:uid="{00000000-0005-0000-0000-0000735B0000}"/>
    <cellStyle name="Normal 2 12 4 8" xfId="23753" xr:uid="{00000000-0005-0000-0000-0000745B0000}"/>
    <cellStyle name="Normal 2 12 4 9" xfId="23754" xr:uid="{00000000-0005-0000-0000-0000755B0000}"/>
    <cellStyle name="Normal 2 12 5" xfId="23755" xr:uid="{00000000-0005-0000-0000-0000765B0000}"/>
    <cellStyle name="Normal 2 12 5 10" xfId="23756" xr:uid="{00000000-0005-0000-0000-0000775B0000}"/>
    <cellStyle name="Normal 2 12 5 11" xfId="23757" xr:uid="{00000000-0005-0000-0000-0000785B0000}"/>
    <cellStyle name="Normal 2 12 5 2" xfId="23758" xr:uid="{00000000-0005-0000-0000-0000795B0000}"/>
    <cellStyle name="Normal 2 12 5 2 10" xfId="23759" xr:uid="{00000000-0005-0000-0000-00007A5B0000}"/>
    <cellStyle name="Normal 2 12 5 2 2" xfId="23760" xr:uid="{00000000-0005-0000-0000-00007B5B0000}"/>
    <cellStyle name="Normal 2 12 5 2 2 2" xfId="23761" xr:uid="{00000000-0005-0000-0000-00007C5B0000}"/>
    <cellStyle name="Normal 2 12 5 2 2 2 2" xfId="23762" xr:uid="{00000000-0005-0000-0000-00007D5B0000}"/>
    <cellStyle name="Normal 2 12 5 2 2 2 3" xfId="23763" xr:uid="{00000000-0005-0000-0000-00007E5B0000}"/>
    <cellStyle name="Normal 2 12 5 2 2 2 4" xfId="23764" xr:uid="{00000000-0005-0000-0000-00007F5B0000}"/>
    <cellStyle name="Normal 2 12 5 2 2 2 5" xfId="23765" xr:uid="{00000000-0005-0000-0000-0000805B0000}"/>
    <cellStyle name="Normal 2 12 5 2 2 3" xfId="23766" xr:uid="{00000000-0005-0000-0000-0000815B0000}"/>
    <cellStyle name="Normal 2 12 5 2 2 4" xfId="23767" xr:uid="{00000000-0005-0000-0000-0000825B0000}"/>
    <cellStyle name="Normal 2 12 5 2 2 5" xfId="23768" xr:uid="{00000000-0005-0000-0000-0000835B0000}"/>
    <cellStyle name="Normal 2 12 5 2 2 6" xfId="23769" xr:uid="{00000000-0005-0000-0000-0000845B0000}"/>
    <cellStyle name="Normal 2 12 5 2 2 7" xfId="23770" xr:uid="{00000000-0005-0000-0000-0000855B0000}"/>
    <cellStyle name="Normal 2 12 5 2 2 8" xfId="23771" xr:uid="{00000000-0005-0000-0000-0000865B0000}"/>
    <cellStyle name="Normal 2 12 5 2 3" xfId="23772" xr:uid="{00000000-0005-0000-0000-0000875B0000}"/>
    <cellStyle name="Normal 2 12 5 2 3 2" xfId="23773" xr:uid="{00000000-0005-0000-0000-0000885B0000}"/>
    <cellStyle name="Normal 2 12 5 2 3 2 2" xfId="23774" xr:uid="{00000000-0005-0000-0000-0000895B0000}"/>
    <cellStyle name="Normal 2 12 5 2 3 2 3" xfId="23775" xr:uid="{00000000-0005-0000-0000-00008A5B0000}"/>
    <cellStyle name="Normal 2 12 5 2 3 2 4" xfId="23776" xr:uid="{00000000-0005-0000-0000-00008B5B0000}"/>
    <cellStyle name="Normal 2 12 5 2 3 2 5" xfId="23777" xr:uid="{00000000-0005-0000-0000-00008C5B0000}"/>
    <cellStyle name="Normal 2 12 5 2 3 3" xfId="23778" xr:uid="{00000000-0005-0000-0000-00008D5B0000}"/>
    <cellStyle name="Normal 2 12 5 2 3 4" xfId="23779" xr:uid="{00000000-0005-0000-0000-00008E5B0000}"/>
    <cellStyle name="Normal 2 12 5 2 3 5" xfId="23780" xr:uid="{00000000-0005-0000-0000-00008F5B0000}"/>
    <cellStyle name="Normal 2 12 5 2 3 6" xfId="23781" xr:uid="{00000000-0005-0000-0000-0000905B0000}"/>
    <cellStyle name="Normal 2 12 5 2 3 7" xfId="23782" xr:uid="{00000000-0005-0000-0000-0000915B0000}"/>
    <cellStyle name="Normal 2 12 5 2 3 8" xfId="23783" xr:uid="{00000000-0005-0000-0000-0000925B0000}"/>
    <cellStyle name="Normal 2 12 5 2 4" xfId="23784" xr:uid="{00000000-0005-0000-0000-0000935B0000}"/>
    <cellStyle name="Normal 2 12 5 2 4 2" xfId="23785" xr:uid="{00000000-0005-0000-0000-0000945B0000}"/>
    <cellStyle name="Normal 2 12 5 2 4 3" xfId="23786" xr:uid="{00000000-0005-0000-0000-0000955B0000}"/>
    <cellStyle name="Normal 2 12 5 2 4 4" xfId="23787" xr:uid="{00000000-0005-0000-0000-0000965B0000}"/>
    <cellStyle name="Normal 2 12 5 2 4 5" xfId="23788" xr:uid="{00000000-0005-0000-0000-0000975B0000}"/>
    <cellStyle name="Normal 2 12 5 2 5" xfId="23789" xr:uid="{00000000-0005-0000-0000-0000985B0000}"/>
    <cellStyle name="Normal 2 12 5 2 6" xfId="23790" xr:uid="{00000000-0005-0000-0000-0000995B0000}"/>
    <cellStyle name="Normal 2 12 5 2 7" xfId="23791" xr:uid="{00000000-0005-0000-0000-00009A5B0000}"/>
    <cellStyle name="Normal 2 12 5 2 8" xfId="23792" xr:uid="{00000000-0005-0000-0000-00009B5B0000}"/>
    <cellStyle name="Normal 2 12 5 2 9" xfId="23793" xr:uid="{00000000-0005-0000-0000-00009C5B0000}"/>
    <cellStyle name="Normal 2 12 5 3" xfId="23794" xr:uid="{00000000-0005-0000-0000-00009D5B0000}"/>
    <cellStyle name="Normal 2 12 5 3 2" xfId="23795" xr:uid="{00000000-0005-0000-0000-00009E5B0000}"/>
    <cellStyle name="Normal 2 12 5 3 2 2" xfId="23796" xr:uid="{00000000-0005-0000-0000-00009F5B0000}"/>
    <cellStyle name="Normal 2 12 5 3 2 3" xfId="23797" xr:uid="{00000000-0005-0000-0000-0000A05B0000}"/>
    <cellStyle name="Normal 2 12 5 3 2 4" xfId="23798" xr:uid="{00000000-0005-0000-0000-0000A15B0000}"/>
    <cellStyle name="Normal 2 12 5 3 2 5" xfId="23799" xr:uid="{00000000-0005-0000-0000-0000A25B0000}"/>
    <cellStyle name="Normal 2 12 5 3 3" xfId="23800" xr:uid="{00000000-0005-0000-0000-0000A35B0000}"/>
    <cellStyle name="Normal 2 12 5 3 4" xfId="23801" xr:uid="{00000000-0005-0000-0000-0000A45B0000}"/>
    <cellStyle name="Normal 2 12 5 3 5" xfId="23802" xr:uid="{00000000-0005-0000-0000-0000A55B0000}"/>
    <cellStyle name="Normal 2 12 5 3 6" xfId="23803" xr:uid="{00000000-0005-0000-0000-0000A65B0000}"/>
    <cellStyle name="Normal 2 12 5 3 7" xfId="23804" xr:uid="{00000000-0005-0000-0000-0000A75B0000}"/>
    <cellStyle name="Normal 2 12 5 3 8" xfId="23805" xr:uid="{00000000-0005-0000-0000-0000A85B0000}"/>
    <cellStyle name="Normal 2 12 5 4" xfId="23806" xr:uid="{00000000-0005-0000-0000-0000A95B0000}"/>
    <cellStyle name="Normal 2 12 5 4 2" xfId="23807" xr:uid="{00000000-0005-0000-0000-0000AA5B0000}"/>
    <cellStyle name="Normal 2 12 5 4 2 2" xfId="23808" xr:uid="{00000000-0005-0000-0000-0000AB5B0000}"/>
    <cellStyle name="Normal 2 12 5 4 2 3" xfId="23809" xr:uid="{00000000-0005-0000-0000-0000AC5B0000}"/>
    <cellStyle name="Normal 2 12 5 4 2 4" xfId="23810" xr:uid="{00000000-0005-0000-0000-0000AD5B0000}"/>
    <cellStyle name="Normal 2 12 5 4 2 5" xfId="23811" xr:uid="{00000000-0005-0000-0000-0000AE5B0000}"/>
    <cellStyle name="Normal 2 12 5 4 3" xfId="23812" xr:uid="{00000000-0005-0000-0000-0000AF5B0000}"/>
    <cellStyle name="Normal 2 12 5 4 4" xfId="23813" xr:uid="{00000000-0005-0000-0000-0000B05B0000}"/>
    <cellStyle name="Normal 2 12 5 4 5" xfId="23814" xr:uid="{00000000-0005-0000-0000-0000B15B0000}"/>
    <cellStyle name="Normal 2 12 5 4 6" xfId="23815" xr:uid="{00000000-0005-0000-0000-0000B25B0000}"/>
    <cellStyle name="Normal 2 12 5 4 7" xfId="23816" xr:uid="{00000000-0005-0000-0000-0000B35B0000}"/>
    <cellStyle name="Normal 2 12 5 4 8" xfId="23817" xr:uid="{00000000-0005-0000-0000-0000B45B0000}"/>
    <cellStyle name="Normal 2 12 5 5" xfId="23818" xr:uid="{00000000-0005-0000-0000-0000B55B0000}"/>
    <cellStyle name="Normal 2 12 5 5 2" xfId="23819" xr:uid="{00000000-0005-0000-0000-0000B65B0000}"/>
    <cellStyle name="Normal 2 12 5 5 3" xfId="23820" xr:uid="{00000000-0005-0000-0000-0000B75B0000}"/>
    <cellStyle name="Normal 2 12 5 5 4" xfId="23821" xr:uid="{00000000-0005-0000-0000-0000B85B0000}"/>
    <cellStyle name="Normal 2 12 5 5 5" xfId="23822" xr:uid="{00000000-0005-0000-0000-0000B95B0000}"/>
    <cellStyle name="Normal 2 12 5 6" xfId="23823" xr:uid="{00000000-0005-0000-0000-0000BA5B0000}"/>
    <cellStyle name="Normal 2 12 5 7" xfId="23824" xr:uid="{00000000-0005-0000-0000-0000BB5B0000}"/>
    <cellStyle name="Normal 2 12 5 8" xfId="23825" xr:uid="{00000000-0005-0000-0000-0000BC5B0000}"/>
    <cellStyle name="Normal 2 12 5 9" xfId="23826" xr:uid="{00000000-0005-0000-0000-0000BD5B0000}"/>
    <cellStyle name="Normal 2 12 6" xfId="23827" xr:uid="{00000000-0005-0000-0000-0000BE5B0000}"/>
    <cellStyle name="Normal 2 12 6 10" xfId="23828" xr:uid="{00000000-0005-0000-0000-0000BF5B0000}"/>
    <cellStyle name="Normal 2 12 6 2" xfId="23829" xr:uid="{00000000-0005-0000-0000-0000C05B0000}"/>
    <cellStyle name="Normal 2 12 6 2 2" xfId="23830" xr:uid="{00000000-0005-0000-0000-0000C15B0000}"/>
    <cellStyle name="Normal 2 12 6 2 2 2" xfId="23831" xr:uid="{00000000-0005-0000-0000-0000C25B0000}"/>
    <cellStyle name="Normal 2 12 6 2 2 3" xfId="23832" xr:uid="{00000000-0005-0000-0000-0000C35B0000}"/>
    <cellStyle name="Normal 2 12 6 2 2 4" xfId="23833" xr:uid="{00000000-0005-0000-0000-0000C45B0000}"/>
    <cellStyle name="Normal 2 12 6 2 2 5" xfId="23834" xr:uid="{00000000-0005-0000-0000-0000C55B0000}"/>
    <cellStyle name="Normal 2 12 6 2 3" xfId="23835" xr:uid="{00000000-0005-0000-0000-0000C65B0000}"/>
    <cellStyle name="Normal 2 12 6 2 4" xfId="23836" xr:uid="{00000000-0005-0000-0000-0000C75B0000}"/>
    <cellStyle name="Normal 2 12 6 2 5" xfId="23837" xr:uid="{00000000-0005-0000-0000-0000C85B0000}"/>
    <cellStyle name="Normal 2 12 6 2 6" xfId="23838" xr:uid="{00000000-0005-0000-0000-0000C95B0000}"/>
    <cellStyle name="Normal 2 12 6 2 7" xfId="23839" xr:uid="{00000000-0005-0000-0000-0000CA5B0000}"/>
    <cellStyle name="Normal 2 12 6 2 8" xfId="23840" xr:uid="{00000000-0005-0000-0000-0000CB5B0000}"/>
    <cellStyle name="Normal 2 12 6 3" xfId="23841" xr:uid="{00000000-0005-0000-0000-0000CC5B0000}"/>
    <cellStyle name="Normal 2 12 6 3 2" xfId="23842" xr:uid="{00000000-0005-0000-0000-0000CD5B0000}"/>
    <cellStyle name="Normal 2 12 6 3 2 2" xfId="23843" xr:uid="{00000000-0005-0000-0000-0000CE5B0000}"/>
    <cellStyle name="Normal 2 12 6 3 2 3" xfId="23844" xr:uid="{00000000-0005-0000-0000-0000CF5B0000}"/>
    <cellStyle name="Normal 2 12 6 3 2 4" xfId="23845" xr:uid="{00000000-0005-0000-0000-0000D05B0000}"/>
    <cellStyle name="Normal 2 12 6 3 2 5" xfId="23846" xr:uid="{00000000-0005-0000-0000-0000D15B0000}"/>
    <cellStyle name="Normal 2 12 6 3 3" xfId="23847" xr:uid="{00000000-0005-0000-0000-0000D25B0000}"/>
    <cellStyle name="Normal 2 12 6 3 4" xfId="23848" xr:uid="{00000000-0005-0000-0000-0000D35B0000}"/>
    <cellStyle name="Normal 2 12 6 3 5" xfId="23849" xr:uid="{00000000-0005-0000-0000-0000D45B0000}"/>
    <cellStyle name="Normal 2 12 6 3 6" xfId="23850" xr:uid="{00000000-0005-0000-0000-0000D55B0000}"/>
    <cellStyle name="Normal 2 12 6 3 7" xfId="23851" xr:uid="{00000000-0005-0000-0000-0000D65B0000}"/>
    <cellStyle name="Normal 2 12 6 3 8" xfId="23852" xr:uid="{00000000-0005-0000-0000-0000D75B0000}"/>
    <cellStyle name="Normal 2 12 6 4" xfId="23853" xr:uid="{00000000-0005-0000-0000-0000D85B0000}"/>
    <cellStyle name="Normal 2 12 6 4 2" xfId="23854" xr:uid="{00000000-0005-0000-0000-0000D95B0000}"/>
    <cellStyle name="Normal 2 12 6 4 3" xfId="23855" xr:uid="{00000000-0005-0000-0000-0000DA5B0000}"/>
    <cellStyle name="Normal 2 12 6 4 4" xfId="23856" xr:uid="{00000000-0005-0000-0000-0000DB5B0000}"/>
    <cellStyle name="Normal 2 12 6 4 5" xfId="23857" xr:uid="{00000000-0005-0000-0000-0000DC5B0000}"/>
    <cellStyle name="Normal 2 12 6 5" xfId="23858" xr:uid="{00000000-0005-0000-0000-0000DD5B0000}"/>
    <cellStyle name="Normal 2 12 6 6" xfId="23859" xr:uid="{00000000-0005-0000-0000-0000DE5B0000}"/>
    <cellStyle name="Normal 2 12 6 7" xfId="23860" xr:uid="{00000000-0005-0000-0000-0000DF5B0000}"/>
    <cellStyle name="Normal 2 12 6 8" xfId="23861" xr:uid="{00000000-0005-0000-0000-0000E05B0000}"/>
    <cellStyle name="Normal 2 12 6 9" xfId="23862" xr:uid="{00000000-0005-0000-0000-0000E15B0000}"/>
    <cellStyle name="Normal 2 12 7" xfId="23863" xr:uid="{00000000-0005-0000-0000-0000E25B0000}"/>
    <cellStyle name="Normal 2 12 7 2" xfId="23864" xr:uid="{00000000-0005-0000-0000-0000E35B0000}"/>
    <cellStyle name="Normal 2 12 7 2 2" xfId="23865" xr:uid="{00000000-0005-0000-0000-0000E45B0000}"/>
    <cellStyle name="Normal 2 12 7 2 3" xfId="23866" xr:uid="{00000000-0005-0000-0000-0000E55B0000}"/>
    <cellStyle name="Normal 2 12 7 2 4" xfId="23867" xr:uid="{00000000-0005-0000-0000-0000E65B0000}"/>
    <cellStyle name="Normal 2 12 7 2 5" xfId="23868" xr:uid="{00000000-0005-0000-0000-0000E75B0000}"/>
    <cellStyle name="Normal 2 12 7 3" xfId="23869" xr:uid="{00000000-0005-0000-0000-0000E85B0000}"/>
    <cellStyle name="Normal 2 12 7 4" xfId="23870" xr:uid="{00000000-0005-0000-0000-0000E95B0000}"/>
    <cellStyle name="Normal 2 12 7 5" xfId="23871" xr:uid="{00000000-0005-0000-0000-0000EA5B0000}"/>
    <cellStyle name="Normal 2 12 7 6" xfId="23872" xr:uid="{00000000-0005-0000-0000-0000EB5B0000}"/>
    <cellStyle name="Normal 2 12 7 7" xfId="23873" xr:uid="{00000000-0005-0000-0000-0000EC5B0000}"/>
    <cellStyle name="Normal 2 12 7 8" xfId="23874" xr:uid="{00000000-0005-0000-0000-0000ED5B0000}"/>
    <cellStyle name="Normal 2 12 8" xfId="23875" xr:uid="{00000000-0005-0000-0000-0000EE5B0000}"/>
    <cellStyle name="Normal 2 12 8 2" xfId="23876" xr:uid="{00000000-0005-0000-0000-0000EF5B0000}"/>
    <cellStyle name="Normal 2 12 8 2 2" xfId="23877" xr:uid="{00000000-0005-0000-0000-0000F05B0000}"/>
    <cellStyle name="Normal 2 12 8 2 3" xfId="23878" xr:uid="{00000000-0005-0000-0000-0000F15B0000}"/>
    <cellStyle name="Normal 2 12 8 2 4" xfId="23879" xr:uid="{00000000-0005-0000-0000-0000F25B0000}"/>
    <cellStyle name="Normal 2 12 8 2 5" xfId="23880" xr:uid="{00000000-0005-0000-0000-0000F35B0000}"/>
    <cellStyle name="Normal 2 12 8 3" xfId="23881" xr:uid="{00000000-0005-0000-0000-0000F45B0000}"/>
    <cellStyle name="Normal 2 12 8 4" xfId="23882" xr:uid="{00000000-0005-0000-0000-0000F55B0000}"/>
    <cellStyle name="Normal 2 12 8 5" xfId="23883" xr:uid="{00000000-0005-0000-0000-0000F65B0000}"/>
    <cellStyle name="Normal 2 12 8 6" xfId="23884" xr:uid="{00000000-0005-0000-0000-0000F75B0000}"/>
    <cellStyle name="Normal 2 12 8 7" xfId="23885" xr:uid="{00000000-0005-0000-0000-0000F85B0000}"/>
    <cellStyle name="Normal 2 12 8 8" xfId="23886" xr:uid="{00000000-0005-0000-0000-0000F95B0000}"/>
    <cellStyle name="Normal 2 12 9" xfId="23887" xr:uid="{00000000-0005-0000-0000-0000FA5B0000}"/>
    <cellStyle name="Normal 2 12 9 2" xfId="23888" xr:uid="{00000000-0005-0000-0000-0000FB5B0000}"/>
    <cellStyle name="Normal 2 12 9 3" xfId="23889" xr:uid="{00000000-0005-0000-0000-0000FC5B0000}"/>
    <cellStyle name="Normal 2 12 9 4" xfId="23890" xr:uid="{00000000-0005-0000-0000-0000FD5B0000}"/>
    <cellStyle name="Normal 2 12 9 5" xfId="23891" xr:uid="{00000000-0005-0000-0000-0000FE5B0000}"/>
    <cellStyle name="Normal 2 13" xfId="843" xr:uid="{00000000-0005-0000-0000-0000FF5B0000}"/>
    <cellStyle name="Normal 2 13 10" xfId="23892" xr:uid="{00000000-0005-0000-0000-0000005C0000}"/>
    <cellStyle name="Normal 2 13 11" xfId="23893" xr:uid="{00000000-0005-0000-0000-0000015C0000}"/>
    <cellStyle name="Normal 2 13 12" xfId="23894" xr:uid="{00000000-0005-0000-0000-0000025C0000}"/>
    <cellStyle name="Normal 2 13 13" xfId="23895" xr:uid="{00000000-0005-0000-0000-0000035C0000}"/>
    <cellStyle name="Normal 2 13 2" xfId="23896" xr:uid="{00000000-0005-0000-0000-0000045C0000}"/>
    <cellStyle name="Normal 2 13 2 10" xfId="23897" xr:uid="{00000000-0005-0000-0000-0000055C0000}"/>
    <cellStyle name="Normal 2 13 2 11" xfId="23898" xr:uid="{00000000-0005-0000-0000-0000065C0000}"/>
    <cellStyle name="Normal 2 13 2 2" xfId="23899" xr:uid="{00000000-0005-0000-0000-0000075C0000}"/>
    <cellStyle name="Normal 2 13 2 2 10" xfId="23900" xr:uid="{00000000-0005-0000-0000-0000085C0000}"/>
    <cellStyle name="Normal 2 13 2 2 2" xfId="23901" xr:uid="{00000000-0005-0000-0000-0000095C0000}"/>
    <cellStyle name="Normal 2 13 2 2 2 2" xfId="23902" xr:uid="{00000000-0005-0000-0000-00000A5C0000}"/>
    <cellStyle name="Normal 2 13 2 2 2 2 2" xfId="23903" xr:uid="{00000000-0005-0000-0000-00000B5C0000}"/>
    <cellStyle name="Normal 2 13 2 2 2 2 3" xfId="23904" xr:uid="{00000000-0005-0000-0000-00000C5C0000}"/>
    <cellStyle name="Normal 2 13 2 2 2 2 4" xfId="23905" xr:uid="{00000000-0005-0000-0000-00000D5C0000}"/>
    <cellStyle name="Normal 2 13 2 2 2 2 5" xfId="23906" xr:uid="{00000000-0005-0000-0000-00000E5C0000}"/>
    <cellStyle name="Normal 2 13 2 2 2 3" xfId="23907" xr:uid="{00000000-0005-0000-0000-00000F5C0000}"/>
    <cellStyle name="Normal 2 13 2 2 2 4" xfId="23908" xr:uid="{00000000-0005-0000-0000-0000105C0000}"/>
    <cellStyle name="Normal 2 13 2 2 2 5" xfId="23909" xr:uid="{00000000-0005-0000-0000-0000115C0000}"/>
    <cellStyle name="Normal 2 13 2 2 2 6" xfId="23910" xr:uid="{00000000-0005-0000-0000-0000125C0000}"/>
    <cellStyle name="Normal 2 13 2 2 2 7" xfId="23911" xr:uid="{00000000-0005-0000-0000-0000135C0000}"/>
    <cellStyle name="Normal 2 13 2 2 2 8" xfId="23912" xr:uid="{00000000-0005-0000-0000-0000145C0000}"/>
    <cellStyle name="Normal 2 13 2 2 3" xfId="23913" xr:uid="{00000000-0005-0000-0000-0000155C0000}"/>
    <cellStyle name="Normal 2 13 2 2 3 2" xfId="23914" xr:uid="{00000000-0005-0000-0000-0000165C0000}"/>
    <cellStyle name="Normal 2 13 2 2 3 2 2" xfId="23915" xr:uid="{00000000-0005-0000-0000-0000175C0000}"/>
    <cellStyle name="Normal 2 13 2 2 3 2 3" xfId="23916" xr:uid="{00000000-0005-0000-0000-0000185C0000}"/>
    <cellStyle name="Normal 2 13 2 2 3 2 4" xfId="23917" xr:uid="{00000000-0005-0000-0000-0000195C0000}"/>
    <cellStyle name="Normal 2 13 2 2 3 2 5" xfId="23918" xr:uid="{00000000-0005-0000-0000-00001A5C0000}"/>
    <cellStyle name="Normal 2 13 2 2 3 3" xfId="23919" xr:uid="{00000000-0005-0000-0000-00001B5C0000}"/>
    <cellStyle name="Normal 2 13 2 2 3 4" xfId="23920" xr:uid="{00000000-0005-0000-0000-00001C5C0000}"/>
    <cellStyle name="Normal 2 13 2 2 3 5" xfId="23921" xr:uid="{00000000-0005-0000-0000-00001D5C0000}"/>
    <cellStyle name="Normal 2 13 2 2 3 6" xfId="23922" xr:uid="{00000000-0005-0000-0000-00001E5C0000}"/>
    <cellStyle name="Normal 2 13 2 2 3 7" xfId="23923" xr:uid="{00000000-0005-0000-0000-00001F5C0000}"/>
    <cellStyle name="Normal 2 13 2 2 3 8" xfId="23924" xr:uid="{00000000-0005-0000-0000-0000205C0000}"/>
    <cellStyle name="Normal 2 13 2 2 4" xfId="23925" xr:uid="{00000000-0005-0000-0000-0000215C0000}"/>
    <cellStyle name="Normal 2 13 2 2 4 2" xfId="23926" xr:uid="{00000000-0005-0000-0000-0000225C0000}"/>
    <cellStyle name="Normal 2 13 2 2 4 3" xfId="23927" xr:uid="{00000000-0005-0000-0000-0000235C0000}"/>
    <cellStyle name="Normal 2 13 2 2 4 4" xfId="23928" xr:uid="{00000000-0005-0000-0000-0000245C0000}"/>
    <cellStyle name="Normal 2 13 2 2 4 5" xfId="23929" xr:uid="{00000000-0005-0000-0000-0000255C0000}"/>
    <cellStyle name="Normal 2 13 2 2 5" xfId="23930" xr:uid="{00000000-0005-0000-0000-0000265C0000}"/>
    <cellStyle name="Normal 2 13 2 2 6" xfId="23931" xr:uid="{00000000-0005-0000-0000-0000275C0000}"/>
    <cellStyle name="Normal 2 13 2 2 7" xfId="23932" xr:uid="{00000000-0005-0000-0000-0000285C0000}"/>
    <cellStyle name="Normal 2 13 2 2 8" xfId="23933" xr:uid="{00000000-0005-0000-0000-0000295C0000}"/>
    <cellStyle name="Normal 2 13 2 2 9" xfId="23934" xr:uid="{00000000-0005-0000-0000-00002A5C0000}"/>
    <cellStyle name="Normal 2 13 2 3" xfId="23935" xr:uid="{00000000-0005-0000-0000-00002B5C0000}"/>
    <cellStyle name="Normal 2 13 2 3 2" xfId="23936" xr:uid="{00000000-0005-0000-0000-00002C5C0000}"/>
    <cellStyle name="Normal 2 13 2 3 2 2" xfId="23937" xr:uid="{00000000-0005-0000-0000-00002D5C0000}"/>
    <cellStyle name="Normal 2 13 2 3 2 3" xfId="23938" xr:uid="{00000000-0005-0000-0000-00002E5C0000}"/>
    <cellStyle name="Normal 2 13 2 3 2 4" xfId="23939" xr:uid="{00000000-0005-0000-0000-00002F5C0000}"/>
    <cellStyle name="Normal 2 13 2 3 2 5" xfId="23940" xr:uid="{00000000-0005-0000-0000-0000305C0000}"/>
    <cellStyle name="Normal 2 13 2 3 3" xfId="23941" xr:uid="{00000000-0005-0000-0000-0000315C0000}"/>
    <cellStyle name="Normal 2 13 2 3 4" xfId="23942" xr:uid="{00000000-0005-0000-0000-0000325C0000}"/>
    <cellStyle name="Normal 2 13 2 3 5" xfId="23943" xr:uid="{00000000-0005-0000-0000-0000335C0000}"/>
    <cellStyle name="Normal 2 13 2 3 6" xfId="23944" xr:uid="{00000000-0005-0000-0000-0000345C0000}"/>
    <cellStyle name="Normal 2 13 2 3 7" xfId="23945" xr:uid="{00000000-0005-0000-0000-0000355C0000}"/>
    <cellStyle name="Normal 2 13 2 3 8" xfId="23946" xr:uid="{00000000-0005-0000-0000-0000365C0000}"/>
    <cellStyle name="Normal 2 13 2 4" xfId="23947" xr:uid="{00000000-0005-0000-0000-0000375C0000}"/>
    <cellStyle name="Normal 2 13 2 4 2" xfId="23948" xr:uid="{00000000-0005-0000-0000-0000385C0000}"/>
    <cellStyle name="Normal 2 13 2 4 2 2" xfId="23949" xr:uid="{00000000-0005-0000-0000-0000395C0000}"/>
    <cellStyle name="Normal 2 13 2 4 2 3" xfId="23950" xr:uid="{00000000-0005-0000-0000-00003A5C0000}"/>
    <cellStyle name="Normal 2 13 2 4 2 4" xfId="23951" xr:uid="{00000000-0005-0000-0000-00003B5C0000}"/>
    <cellStyle name="Normal 2 13 2 4 2 5" xfId="23952" xr:uid="{00000000-0005-0000-0000-00003C5C0000}"/>
    <cellStyle name="Normal 2 13 2 4 3" xfId="23953" xr:uid="{00000000-0005-0000-0000-00003D5C0000}"/>
    <cellStyle name="Normal 2 13 2 4 4" xfId="23954" xr:uid="{00000000-0005-0000-0000-00003E5C0000}"/>
    <cellStyle name="Normal 2 13 2 4 5" xfId="23955" xr:uid="{00000000-0005-0000-0000-00003F5C0000}"/>
    <cellStyle name="Normal 2 13 2 4 6" xfId="23956" xr:uid="{00000000-0005-0000-0000-0000405C0000}"/>
    <cellStyle name="Normal 2 13 2 4 7" xfId="23957" xr:uid="{00000000-0005-0000-0000-0000415C0000}"/>
    <cellStyle name="Normal 2 13 2 4 8" xfId="23958" xr:uid="{00000000-0005-0000-0000-0000425C0000}"/>
    <cellStyle name="Normal 2 13 2 5" xfId="23959" xr:uid="{00000000-0005-0000-0000-0000435C0000}"/>
    <cellStyle name="Normal 2 13 2 5 2" xfId="23960" xr:uid="{00000000-0005-0000-0000-0000445C0000}"/>
    <cellStyle name="Normal 2 13 2 5 3" xfId="23961" xr:uid="{00000000-0005-0000-0000-0000455C0000}"/>
    <cellStyle name="Normal 2 13 2 5 4" xfId="23962" xr:uid="{00000000-0005-0000-0000-0000465C0000}"/>
    <cellStyle name="Normal 2 13 2 5 5" xfId="23963" xr:uid="{00000000-0005-0000-0000-0000475C0000}"/>
    <cellStyle name="Normal 2 13 2 6" xfId="23964" xr:uid="{00000000-0005-0000-0000-0000485C0000}"/>
    <cellStyle name="Normal 2 13 2 7" xfId="23965" xr:uid="{00000000-0005-0000-0000-0000495C0000}"/>
    <cellStyle name="Normal 2 13 2 8" xfId="23966" xr:uid="{00000000-0005-0000-0000-00004A5C0000}"/>
    <cellStyle name="Normal 2 13 2 9" xfId="23967" xr:uid="{00000000-0005-0000-0000-00004B5C0000}"/>
    <cellStyle name="Normal 2 13 3" xfId="23968" xr:uid="{00000000-0005-0000-0000-00004C5C0000}"/>
    <cellStyle name="Normal 2 13 3 10" xfId="23969" xr:uid="{00000000-0005-0000-0000-00004D5C0000}"/>
    <cellStyle name="Normal 2 13 3 11" xfId="23970" xr:uid="{00000000-0005-0000-0000-00004E5C0000}"/>
    <cellStyle name="Normal 2 13 3 2" xfId="23971" xr:uid="{00000000-0005-0000-0000-00004F5C0000}"/>
    <cellStyle name="Normal 2 13 3 2 10" xfId="23972" xr:uid="{00000000-0005-0000-0000-0000505C0000}"/>
    <cellStyle name="Normal 2 13 3 2 2" xfId="23973" xr:uid="{00000000-0005-0000-0000-0000515C0000}"/>
    <cellStyle name="Normal 2 13 3 2 2 2" xfId="23974" xr:uid="{00000000-0005-0000-0000-0000525C0000}"/>
    <cellStyle name="Normal 2 13 3 2 2 2 2" xfId="23975" xr:uid="{00000000-0005-0000-0000-0000535C0000}"/>
    <cellStyle name="Normal 2 13 3 2 2 2 3" xfId="23976" xr:uid="{00000000-0005-0000-0000-0000545C0000}"/>
    <cellStyle name="Normal 2 13 3 2 2 2 4" xfId="23977" xr:uid="{00000000-0005-0000-0000-0000555C0000}"/>
    <cellStyle name="Normal 2 13 3 2 2 2 5" xfId="23978" xr:uid="{00000000-0005-0000-0000-0000565C0000}"/>
    <cellStyle name="Normal 2 13 3 2 2 3" xfId="23979" xr:uid="{00000000-0005-0000-0000-0000575C0000}"/>
    <cellStyle name="Normal 2 13 3 2 2 4" xfId="23980" xr:uid="{00000000-0005-0000-0000-0000585C0000}"/>
    <cellStyle name="Normal 2 13 3 2 2 5" xfId="23981" xr:uid="{00000000-0005-0000-0000-0000595C0000}"/>
    <cellStyle name="Normal 2 13 3 2 2 6" xfId="23982" xr:uid="{00000000-0005-0000-0000-00005A5C0000}"/>
    <cellStyle name="Normal 2 13 3 2 2 7" xfId="23983" xr:uid="{00000000-0005-0000-0000-00005B5C0000}"/>
    <cellStyle name="Normal 2 13 3 2 2 8" xfId="23984" xr:uid="{00000000-0005-0000-0000-00005C5C0000}"/>
    <cellStyle name="Normal 2 13 3 2 3" xfId="23985" xr:uid="{00000000-0005-0000-0000-00005D5C0000}"/>
    <cellStyle name="Normal 2 13 3 2 3 2" xfId="23986" xr:uid="{00000000-0005-0000-0000-00005E5C0000}"/>
    <cellStyle name="Normal 2 13 3 2 3 2 2" xfId="23987" xr:uid="{00000000-0005-0000-0000-00005F5C0000}"/>
    <cellStyle name="Normal 2 13 3 2 3 2 3" xfId="23988" xr:uid="{00000000-0005-0000-0000-0000605C0000}"/>
    <cellStyle name="Normal 2 13 3 2 3 2 4" xfId="23989" xr:uid="{00000000-0005-0000-0000-0000615C0000}"/>
    <cellStyle name="Normal 2 13 3 2 3 2 5" xfId="23990" xr:uid="{00000000-0005-0000-0000-0000625C0000}"/>
    <cellStyle name="Normal 2 13 3 2 3 3" xfId="23991" xr:uid="{00000000-0005-0000-0000-0000635C0000}"/>
    <cellStyle name="Normal 2 13 3 2 3 4" xfId="23992" xr:uid="{00000000-0005-0000-0000-0000645C0000}"/>
    <cellStyle name="Normal 2 13 3 2 3 5" xfId="23993" xr:uid="{00000000-0005-0000-0000-0000655C0000}"/>
    <cellStyle name="Normal 2 13 3 2 3 6" xfId="23994" xr:uid="{00000000-0005-0000-0000-0000665C0000}"/>
    <cellStyle name="Normal 2 13 3 2 3 7" xfId="23995" xr:uid="{00000000-0005-0000-0000-0000675C0000}"/>
    <cellStyle name="Normal 2 13 3 2 3 8" xfId="23996" xr:uid="{00000000-0005-0000-0000-0000685C0000}"/>
    <cellStyle name="Normal 2 13 3 2 4" xfId="23997" xr:uid="{00000000-0005-0000-0000-0000695C0000}"/>
    <cellStyle name="Normal 2 13 3 2 4 2" xfId="23998" xr:uid="{00000000-0005-0000-0000-00006A5C0000}"/>
    <cellStyle name="Normal 2 13 3 2 4 3" xfId="23999" xr:uid="{00000000-0005-0000-0000-00006B5C0000}"/>
    <cellStyle name="Normal 2 13 3 2 4 4" xfId="24000" xr:uid="{00000000-0005-0000-0000-00006C5C0000}"/>
    <cellStyle name="Normal 2 13 3 2 4 5" xfId="24001" xr:uid="{00000000-0005-0000-0000-00006D5C0000}"/>
    <cellStyle name="Normal 2 13 3 2 5" xfId="24002" xr:uid="{00000000-0005-0000-0000-00006E5C0000}"/>
    <cellStyle name="Normal 2 13 3 2 6" xfId="24003" xr:uid="{00000000-0005-0000-0000-00006F5C0000}"/>
    <cellStyle name="Normal 2 13 3 2 7" xfId="24004" xr:uid="{00000000-0005-0000-0000-0000705C0000}"/>
    <cellStyle name="Normal 2 13 3 2 8" xfId="24005" xr:uid="{00000000-0005-0000-0000-0000715C0000}"/>
    <cellStyle name="Normal 2 13 3 2 9" xfId="24006" xr:uid="{00000000-0005-0000-0000-0000725C0000}"/>
    <cellStyle name="Normal 2 13 3 3" xfId="24007" xr:uid="{00000000-0005-0000-0000-0000735C0000}"/>
    <cellStyle name="Normal 2 13 3 3 2" xfId="24008" xr:uid="{00000000-0005-0000-0000-0000745C0000}"/>
    <cellStyle name="Normal 2 13 3 3 2 2" xfId="24009" xr:uid="{00000000-0005-0000-0000-0000755C0000}"/>
    <cellStyle name="Normal 2 13 3 3 2 3" xfId="24010" xr:uid="{00000000-0005-0000-0000-0000765C0000}"/>
    <cellStyle name="Normal 2 13 3 3 2 4" xfId="24011" xr:uid="{00000000-0005-0000-0000-0000775C0000}"/>
    <cellStyle name="Normal 2 13 3 3 2 5" xfId="24012" xr:uid="{00000000-0005-0000-0000-0000785C0000}"/>
    <cellStyle name="Normal 2 13 3 3 3" xfId="24013" xr:uid="{00000000-0005-0000-0000-0000795C0000}"/>
    <cellStyle name="Normal 2 13 3 3 4" xfId="24014" xr:uid="{00000000-0005-0000-0000-00007A5C0000}"/>
    <cellStyle name="Normal 2 13 3 3 5" xfId="24015" xr:uid="{00000000-0005-0000-0000-00007B5C0000}"/>
    <cellStyle name="Normal 2 13 3 3 6" xfId="24016" xr:uid="{00000000-0005-0000-0000-00007C5C0000}"/>
    <cellStyle name="Normal 2 13 3 3 7" xfId="24017" xr:uid="{00000000-0005-0000-0000-00007D5C0000}"/>
    <cellStyle name="Normal 2 13 3 3 8" xfId="24018" xr:uid="{00000000-0005-0000-0000-00007E5C0000}"/>
    <cellStyle name="Normal 2 13 3 4" xfId="24019" xr:uid="{00000000-0005-0000-0000-00007F5C0000}"/>
    <cellStyle name="Normal 2 13 3 4 2" xfId="24020" xr:uid="{00000000-0005-0000-0000-0000805C0000}"/>
    <cellStyle name="Normal 2 13 3 4 2 2" xfId="24021" xr:uid="{00000000-0005-0000-0000-0000815C0000}"/>
    <cellStyle name="Normal 2 13 3 4 2 3" xfId="24022" xr:uid="{00000000-0005-0000-0000-0000825C0000}"/>
    <cellStyle name="Normal 2 13 3 4 2 4" xfId="24023" xr:uid="{00000000-0005-0000-0000-0000835C0000}"/>
    <cellStyle name="Normal 2 13 3 4 2 5" xfId="24024" xr:uid="{00000000-0005-0000-0000-0000845C0000}"/>
    <cellStyle name="Normal 2 13 3 4 3" xfId="24025" xr:uid="{00000000-0005-0000-0000-0000855C0000}"/>
    <cellStyle name="Normal 2 13 3 4 4" xfId="24026" xr:uid="{00000000-0005-0000-0000-0000865C0000}"/>
    <cellStyle name="Normal 2 13 3 4 5" xfId="24027" xr:uid="{00000000-0005-0000-0000-0000875C0000}"/>
    <cellStyle name="Normal 2 13 3 4 6" xfId="24028" xr:uid="{00000000-0005-0000-0000-0000885C0000}"/>
    <cellStyle name="Normal 2 13 3 4 7" xfId="24029" xr:uid="{00000000-0005-0000-0000-0000895C0000}"/>
    <cellStyle name="Normal 2 13 3 4 8" xfId="24030" xr:uid="{00000000-0005-0000-0000-00008A5C0000}"/>
    <cellStyle name="Normal 2 13 3 5" xfId="24031" xr:uid="{00000000-0005-0000-0000-00008B5C0000}"/>
    <cellStyle name="Normal 2 13 3 5 2" xfId="24032" xr:uid="{00000000-0005-0000-0000-00008C5C0000}"/>
    <cellStyle name="Normal 2 13 3 5 3" xfId="24033" xr:uid="{00000000-0005-0000-0000-00008D5C0000}"/>
    <cellStyle name="Normal 2 13 3 5 4" xfId="24034" xr:uid="{00000000-0005-0000-0000-00008E5C0000}"/>
    <cellStyle name="Normal 2 13 3 5 5" xfId="24035" xr:uid="{00000000-0005-0000-0000-00008F5C0000}"/>
    <cellStyle name="Normal 2 13 3 6" xfId="24036" xr:uid="{00000000-0005-0000-0000-0000905C0000}"/>
    <cellStyle name="Normal 2 13 3 7" xfId="24037" xr:uid="{00000000-0005-0000-0000-0000915C0000}"/>
    <cellStyle name="Normal 2 13 3 8" xfId="24038" xr:uid="{00000000-0005-0000-0000-0000925C0000}"/>
    <cellStyle name="Normal 2 13 3 9" xfId="24039" xr:uid="{00000000-0005-0000-0000-0000935C0000}"/>
    <cellStyle name="Normal 2 13 4" xfId="24040" xr:uid="{00000000-0005-0000-0000-0000945C0000}"/>
    <cellStyle name="Normal 2 13 4 10" xfId="24041" xr:uid="{00000000-0005-0000-0000-0000955C0000}"/>
    <cellStyle name="Normal 2 13 4 2" xfId="24042" xr:uid="{00000000-0005-0000-0000-0000965C0000}"/>
    <cellStyle name="Normal 2 13 4 2 2" xfId="24043" xr:uid="{00000000-0005-0000-0000-0000975C0000}"/>
    <cellStyle name="Normal 2 13 4 2 2 2" xfId="24044" xr:uid="{00000000-0005-0000-0000-0000985C0000}"/>
    <cellStyle name="Normal 2 13 4 2 2 3" xfId="24045" xr:uid="{00000000-0005-0000-0000-0000995C0000}"/>
    <cellStyle name="Normal 2 13 4 2 2 4" xfId="24046" xr:uid="{00000000-0005-0000-0000-00009A5C0000}"/>
    <cellStyle name="Normal 2 13 4 2 2 5" xfId="24047" xr:uid="{00000000-0005-0000-0000-00009B5C0000}"/>
    <cellStyle name="Normal 2 13 4 2 3" xfId="24048" xr:uid="{00000000-0005-0000-0000-00009C5C0000}"/>
    <cellStyle name="Normal 2 13 4 2 4" xfId="24049" xr:uid="{00000000-0005-0000-0000-00009D5C0000}"/>
    <cellStyle name="Normal 2 13 4 2 5" xfId="24050" xr:uid="{00000000-0005-0000-0000-00009E5C0000}"/>
    <cellStyle name="Normal 2 13 4 2 6" xfId="24051" xr:uid="{00000000-0005-0000-0000-00009F5C0000}"/>
    <cellStyle name="Normal 2 13 4 2 7" xfId="24052" xr:uid="{00000000-0005-0000-0000-0000A05C0000}"/>
    <cellStyle name="Normal 2 13 4 2 8" xfId="24053" xr:uid="{00000000-0005-0000-0000-0000A15C0000}"/>
    <cellStyle name="Normal 2 13 4 3" xfId="24054" xr:uid="{00000000-0005-0000-0000-0000A25C0000}"/>
    <cellStyle name="Normal 2 13 4 3 2" xfId="24055" xr:uid="{00000000-0005-0000-0000-0000A35C0000}"/>
    <cellStyle name="Normal 2 13 4 3 2 2" xfId="24056" xr:uid="{00000000-0005-0000-0000-0000A45C0000}"/>
    <cellStyle name="Normal 2 13 4 3 2 3" xfId="24057" xr:uid="{00000000-0005-0000-0000-0000A55C0000}"/>
    <cellStyle name="Normal 2 13 4 3 2 4" xfId="24058" xr:uid="{00000000-0005-0000-0000-0000A65C0000}"/>
    <cellStyle name="Normal 2 13 4 3 2 5" xfId="24059" xr:uid="{00000000-0005-0000-0000-0000A75C0000}"/>
    <cellStyle name="Normal 2 13 4 3 3" xfId="24060" xr:uid="{00000000-0005-0000-0000-0000A85C0000}"/>
    <cellStyle name="Normal 2 13 4 3 4" xfId="24061" xr:uid="{00000000-0005-0000-0000-0000A95C0000}"/>
    <cellStyle name="Normal 2 13 4 3 5" xfId="24062" xr:uid="{00000000-0005-0000-0000-0000AA5C0000}"/>
    <cellStyle name="Normal 2 13 4 3 6" xfId="24063" xr:uid="{00000000-0005-0000-0000-0000AB5C0000}"/>
    <cellStyle name="Normal 2 13 4 3 7" xfId="24064" xr:uid="{00000000-0005-0000-0000-0000AC5C0000}"/>
    <cellStyle name="Normal 2 13 4 3 8" xfId="24065" xr:uid="{00000000-0005-0000-0000-0000AD5C0000}"/>
    <cellStyle name="Normal 2 13 4 4" xfId="24066" xr:uid="{00000000-0005-0000-0000-0000AE5C0000}"/>
    <cellStyle name="Normal 2 13 4 4 2" xfId="24067" xr:uid="{00000000-0005-0000-0000-0000AF5C0000}"/>
    <cellStyle name="Normal 2 13 4 4 3" xfId="24068" xr:uid="{00000000-0005-0000-0000-0000B05C0000}"/>
    <cellStyle name="Normal 2 13 4 4 4" xfId="24069" xr:uid="{00000000-0005-0000-0000-0000B15C0000}"/>
    <cellStyle name="Normal 2 13 4 4 5" xfId="24070" xr:uid="{00000000-0005-0000-0000-0000B25C0000}"/>
    <cellStyle name="Normal 2 13 4 5" xfId="24071" xr:uid="{00000000-0005-0000-0000-0000B35C0000}"/>
    <cellStyle name="Normal 2 13 4 6" xfId="24072" xr:uid="{00000000-0005-0000-0000-0000B45C0000}"/>
    <cellStyle name="Normal 2 13 4 7" xfId="24073" xr:uid="{00000000-0005-0000-0000-0000B55C0000}"/>
    <cellStyle name="Normal 2 13 4 8" xfId="24074" xr:uid="{00000000-0005-0000-0000-0000B65C0000}"/>
    <cellStyle name="Normal 2 13 4 9" xfId="24075" xr:uid="{00000000-0005-0000-0000-0000B75C0000}"/>
    <cellStyle name="Normal 2 13 5" xfId="24076" xr:uid="{00000000-0005-0000-0000-0000B85C0000}"/>
    <cellStyle name="Normal 2 13 5 2" xfId="24077" xr:uid="{00000000-0005-0000-0000-0000B95C0000}"/>
    <cellStyle name="Normal 2 13 5 2 2" xfId="24078" xr:uid="{00000000-0005-0000-0000-0000BA5C0000}"/>
    <cellStyle name="Normal 2 13 5 2 3" xfId="24079" xr:uid="{00000000-0005-0000-0000-0000BB5C0000}"/>
    <cellStyle name="Normal 2 13 5 2 4" xfId="24080" xr:uid="{00000000-0005-0000-0000-0000BC5C0000}"/>
    <cellStyle name="Normal 2 13 5 2 5" xfId="24081" xr:uid="{00000000-0005-0000-0000-0000BD5C0000}"/>
    <cellStyle name="Normal 2 13 5 3" xfId="24082" xr:uid="{00000000-0005-0000-0000-0000BE5C0000}"/>
    <cellStyle name="Normal 2 13 5 4" xfId="24083" xr:uid="{00000000-0005-0000-0000-0000BF5C0000}"/>
    <cellStyle name="Normal 2 13 5 5" xfId="24084" xr:uid="{00000000-0005-0000-0000-0000C05C0000}"/>
    <cellStyle name="Normal 2 13 5 6" xfId="24085" xr:uid="{00000000-0005-0000-0000-0000C15C0000}"/>
    <cellStyle name="Normal 2 13 5 7" xfId="24086" xr:uid="{00000000-0005-0000-0000-0000C25C0000}"/>
    <cellStyle name="Normal 2 13 5 8" xfId="24087" xr:uid="{00000000-0005-0000-0000-0000C35C0000}"/>
    <cellStyle name="Normal 2 13 6" xfId="24088" xr:uid="{00000000-0005-0000-0000-0000C45C0000}"/>
    <cellStyle name="Normal 2 13 6 2" xfId="24089" xr:uid="{00000000-0005-0000-0000-0000C55C0000}"/>
    <cellStyle name="Normal 2 13 6 2 2" xfId="24090" xr:uid="{00000000-0005-0000-0000-0000C65C0000}"/>
    <cellStyle name="Normal 2 13 6 2 3" xfId="24091" xr:uid="{00000000-0005-0000-0000-0000C75C0000}"/>
    <cellStyle name="Normal 2 13 6 2 4" xfId="24092" xr:uid="{00000000-0005-0000-0000-0000C85C0000}"/>
    <cellStyle name="Normal 2 13 6 2 5" xfId="24093" xr:uid="{00000000-0005-0000-0000-0000C95C0000}"/>
    <cellStyle name="Normal 2 13 6 3" xfId="24094" xr:uid="{00000000-0005-0000-0000-0000CA5C0000}"/>
    <cellStyle name="Normal 2 13 6 4" xfId="24095" xr:uid="{00000000-0005-0000-0000-0000CB5C0000}"/>
    <cellStyle name="Normal 2 13 6 5" xfId="24096" xr:uid="{00000000-0005-0000-0000-0000CC5C0000}"/>
    <cellStyle name="Normal 2 13 6 6" xfId="24097" xr:uid="{00000000-0005-0000-0000-0000CD5C0000}"/>
    <cellStyle name="Normal 2 13 6 7" xfId="24098" xr:uid="{00000000-0005-0000-0000-0000CE5C0000}"/>
    <cellStyle name="Normal 2 13 6 8" xfId="24099" xr:uid="{00000000-0005-0000-0000-0000CF5C0000}"/>
    <cellStyle name="Normal 2 13 7" xfId="24100" xr:uid="{00000000-0005-0000-0000-0000D05C0000}"/>
    <cellStyle name="Normal 2 13 7 2" xfId="24101" xr:uid="{00000000-0005-0000-0000-0000D15C0000}"/>
    <cellStyle name="Normal 2 13 7 3" xfId="24102" xr:uid="{00000000-0005-0000-0000-0000D25C0000}"/>
    <cellStyle name="Normal 2 13 7 4" xfId="24103" xr:uid="{00000000-0005-0000-0000-0000D35C0000}"/>
    <cellStyle name="Normal 2 13 7 5" xfId="24104" xr:uid="{00000000-0005-0000-0000-0000D45C0000}"/>
    <cellStyle name="Normal 2 13 8" xfId="24105" xr:uid="{00000000-0005-0000-0000-0000D55C0000}"/>
    <cellStyle name="Normal 2 13 9" xfId="24106" xr:uid="{00000000-0005-0000-0000-0000D65C0000}"/>
    <cellStyle name="Normal 2 14" xfId="844" xr:uid="{00000000-0005-0000-0000-0000D75C0000}"/>
    <cellStyle name="Normal 2 14 10" xfId="24107" xr:uid="{00000000-0005-0000-0000-0000D85C0000}"/>
    <cellStyle name="Normal 2 14 11" xfId="24108" xr:uid="{00000000-0005-0000-0000-0000D95C0000}"/>
    <cellStyle name="Normal 2 14 12" xfId="24109" xr:uid="{00000000-0005-0000-0000-0000DA5C0000}"/>
    <cellStyle name="Normal 2 14 13" xfId="24110" xr:uid="{00000000-0005-0000-0000-0000DB5C0000}"/>
    <cellStyle name="Normal 2 14 2" xfId="24111" xr:uid="{00000000-0005-0000-0000-0000DC5C0000}"/>
    <cellStyle name="Normal 2 14 2 10" xfId="24112" xr:uid="{00000000-0005-0000-0000-0000DD5C0000}"/>
    <cellStyle name="Normal 2 14 2 11" xfId="24113" xr:uid="{00000000-0005-0000-0000-0000DE5C0000}"/>
    <cellStyle name="Normal 2 14 2 2" xfId="24114" xr:uid="{00000000-0005-0000-0000-0000DF5C0000}"/>
    <cellStyle name="Normal 2 14 2 2 10" xfId="24115" xr:uid="{00000000-0005-0000-0000-0000E05C0000}"/>
    <cellStyle name="Normal 2 14 2 2 2" xfId="24116" xr:uid="{00000000-0005-0000-0000-0000E15C0000}"/>
    <cellStyle name="Normal 2 14 2 2 2 2" xfId="24117" xr:uid="{00000000-0005-0000-0000-0000E25C0000}"/>
    <cellStyle name="Normal 2 14 2 2 2 2 2" xfId="24118" xr:uid="{00000000-0005-0000-0000-0000E35C0000}"/>
    <cellStyle name="Normal 2 14 2 2 2 2 3" xfId="24119" xr:uid="{00000000-0005-0000-0000-0000E45C0000}"/>
    <cellStyle name="Normal 2 14 2 2 2 2 4" xfId="24120" xr:uid="{00000000-0005-0000-0000-0000E55C0000}"/>
    <cellStyle name="Normal 2 14 2 2 2 2 5" xfId="24121" xr:uid="{00000000-0005-0000-0000-0000E65C0000}"/>
    <cellStyle name="Normal 2 14 2 2 2 3" xfId="24122" xr:uid="{00000000-0005-0000-0000-0000E75C0000}"/>
    <cellStyle name="Normal 2 14 2 2 2 4" xfId="24123" xr:uid="{00000000-0005-0000-0000-0000E85C0000}"/>
    <cellStyle name="Normal 2 14 2 2 2 5" xfId="24124" xr:uid="{00000000-0005-0000-0000-0000E95C0000}"/>
    <cellStyle name="Normal 2 14 2 2 2 6" xfId="24125" xr:uid="{00000000-0005-0000-0000-0000EA5C0000}"/>
    <cellStyle name="Normal 2 14 2 2 2 7" xfId="24126" xr:uid="{00000000-0005-0000-0000-0000EB5C0000}"/>
    <cellStyle name="Normal 2 14 2 2 2 8" xfId="24127" xr:uid="{00000000-0005-0000-0000-0000EC5C0000}"/>
    <cellStyle name="Normal 2 14 2 2 3" xfId="24128" xr:uid="{00000000-0005-0000-0000-0000ED5C0000}"/>
    <cellStyle name="Normal 2 14 2 2 3 2" xfId="24129" xr:uid="{00000000-0005-0000-0000-0000EE5C0000}"/>
    <cellStyle name="Normal 2 14 2 2 3 2 2" xfId="24130" xr:uid="{00000000-0005-0000-0000-0000EF5C0000}"/>
    <cellStyle name="Normal 2 14 2 2 3 2 3" xfId="24131" xr:uid="{00000000-0005-0000-0000-0000F05C0000}"/>
    <cellStyle name="Normal 2 14 2 2 3 2 4" xfId="24132" xr:uid="{00000000-0005-0000-0000-0000F15C0000}"/>
    <cellStyle name="Normal 2 14 2 2 3 2 5" xfId="24133" xr:uid="{00000000-0005-0000-0000-0000F25C0000}"/>
    <cellStyle name="Normal 2 14 2 2 3 3" xfId="24134" xr:uid="{00000000-0005-0000-0000-0000F35C0000}"/>
    <cellStyle name="Normal 2 14 2 2 3 4" xfId="24135" xr:uid="{00000000-0005-0000-0000-0000F45C0000}"/>
    <cellStyle name="Normal 2 14 2 2 3 5" xfId="24136" xr:uid="{00000000-0005-0000-0000-0000F55C0000}"/>
    <cellStyle name="Normal 2 14 2 2 3 6" xfId="24137" xr:uid="{00000000-0005-0000-0000-0000F65C0000}"/>
    <cellStyle name="Normal 2 14 2 2 3 7" xfId="24138" xr:uid="{00000000-0005-0000-0000-0000F75C0000}"/>
    <cellStyle name="Normal 2 14 2 2 3 8" xfId="24139" xr:uid="{00000000-0005-0000-0000-0000F85C0000}"/>
    <cellStyle name="Normal 2 14 2 2 4" xfId="24140" xr:uid="{00000000-0005-0000-0000-0000F95C0000}"/>
    <cellStyle name="Normal 2 14 2 2 4 2" xfId="24141" xr:uid="{00000000-0005-0000-0000-0000FA5C0000}"/>
    <cellStyle name="Normal 2 14 2 2 4 3" xfId="24142" xr:uid="{00000000-0005-0000-0000-0000FB5C0000}"/>
    <cellStyle name="Normal 2 14 2 2 4 4" xfId="24143" xr:uid="{00000000-0005-0000-0000-0000FC5C0000}"/>
    <cellStyle name="Normal 2 14 2 2 4 5" xfId="24144" xr:uid="{00000000-0005-0000-0000-0000FD5C0000}"/>
    <cellStyle name="Normal 2 14 2 2 5" xfId="24145" xr:uid="{00000000-0005-0000-0000-0000FE5C0000}"/>
    <cellStyle name="Normal 2 14 2 2 6" xfId="24146" xr:uid="{00000000-0005-0000-0000-0000FF5C0000}"/>
    <cellStyle name="Normal 2 14 2 2 7" xfId="24147" xr:uid="{00000000-0005-0000-0000-0000005D0000}"/>
    <cellStyle name="Normal 2 14 2 2 8" xfId="24148" xr:uid="{00000000-0005-0000-0000-0000015D0000}"/>
    <cellStyle name="Normal 2 14 2 2 9" xfId="24149" xr:uid="{00000000-0005-0000-0000-0000025D0000}"/>
    <cellStyle name="Normal 2 14 2 3" xfId="24150" xr:uid="{00000000-0005-0000-0000-0000035D0000}"/>
    <cellStyle name="Normal 2 14 2 3 2" xfId="24151" xr:uid="{00000000-0005-0000-0000-0000045D0000}"/>
    <cellStyle name="Normal 2 14 2 3 2 2" xfId="24152" xr:uid="{00000000-0005-0000-0000-0000055D0000}"/>
    <cellStyle name="Normal 2 14 2 3 2 3" xfId="24153" xr:uid="{00000000-0005-0000-0000-0000065D0000}"/>
    <cellStyle name="Normal 2 14 2 3 2 4" xfId="24154" xr:uid="{00000000-0005-0000-0000-0000075D0000}"/>
    <cellStyle name="Normal 2 14 2 3 2 5" xfId="24155" xr:uid="{00000000-0005-0000-0000-0000085D0000}"/>
    <cellStyle name="Normal 2 14 2 3 3" xfId="24156" xr:uid="{00000000-0005-0000-0000-0000095D0000}"/>
    <cellStyle name="Normal 2 14 2 3 4" xfId="24157" xr:uid="{00000000-0005-0000-0000-00000A5D0000}"/>
    <cellStyle name="Normal 2 14 2 3 5" xfId="24158" xr:uid="{00000000-0005-0000-0000-00000B5D0000}"/>
    <cellStyle name="Normal 2 14 2 3 6" xfId="24159" xr:uid="{00000000-0005-0000-0000-00000C5D0000}"/>
    <cellStyle name="Normal 2 14 2 3 7" xfId="24160" xr:uid="{00000000-0005-0000-0000-00000D5D0000}"/>
    <cellStyle name="Normal 2 14 2 3 8" xfId="24161" xr:uid="{00000000-0005-0000-0000-00000E5D0000}"/>
    <cellStyle name="Normal 2 14 2 4" xfId="24162" xr:uid="{00000000-0005-0000-0000-00000F5D0000}"/>
    <cellStyle name="Normal 2 14 2 4 2" xfId="24163" xr:uid="{00000000-0005-0000-0000-0000105D0000}"/>
    <cellStyle name="Normal 2 14 2 4 2 2" xfId="24164" xr:uid="{00000000-0005-0000-0000-0000115D0000}"/>
    <cellStyle name="Normal 2 14 2 4 2 3" xfId="24165" xr:uid="{00000000-0005-0000-0000-0000125D0000}"/>
    <cellStyle name="Normal 2 14 2 4 2 4" xfId="24166" xr:uid="{00000000-0005-0000-0000-0000135D0000}"/>
    <cellStyle name="Normal 2 14 2 4 2 5" xfId="24167" xr:uid="{00000000-0005-0000-0000-0000145D0000}"/>
    <cellStyle name="Normal 2 14 2 4 3" xfId="24168" xr:uid="{00000000-0005-0000-0000-0000155D0000}"/>
    <cellStyle name="Normal 2 14 2 4 4" xfId="24169" xr:uid="{00000000-0005-0000-0000-0000165D0000}"/>
    <cellStyle name="Normal 2 14 2 4 5" xfId="24170" xr:uid="{00000000-0005-0000-0000-0000175D0000}"/>
    <cellStyle name="Normal 2 14 2 4 6" xfId="24171" xr:uid="{00000000-0005-0000-0000-0000185D0000}"/>
    <cellStyle name="Normal 2 14 2 4 7" xfId="24172" xr:uid="{00000000-0005-0000-0000-0000195D0000}"/>
    <cellStyle name="Normal 2 14 2 4 8" xfId="24173" xr:uid="{00000000-0005-0000-0000-00001A5D0000}"/>
    <cellStyle name="Normal 2 14 2 5" xfId="24174" xr:uid="{00000000-0005-0000-0000-00001B5D0000}"/>
    <cellStyle name="Normal 2 14 2 5 2" xfId="24175" xr:uid="{00000000-0005-0000-0000-00001C5D0000}"/>
    <cellStyle name="Normal 2 14 2 5 3" xfId="24176" xr:uid="{00000000-0005-0000-0000-00001D5D0000}"/>
    <cellStyle name="Normal 2 14 2 5 4" xfId="24177" xr:uid="{00000000-0005-0000-0000-00001E5D0000}"/>
    <cellStyle name="Normal 2 14 2 5 5" xfId="24178" xr:uid="{00000000-0005-0000-0000-00001F5D0000}"/>
    <cellStyle name="Normal 2 14 2 6" xfId="24179" xr:uid="{00000000-0005-0000-0000-0000205D0000}"/>
    <cellStyle name="Normal 2 14 2 7" xfId="24180" xr:uid="{00000000-0005-0000-0000-0000215D0000}"/>
    <cellStyle name="Normal 2 14 2 8" xfId="24181" xr:uid="{00000000-0005-0000-0000-0000225D0000}"/>
    <cellStyle name="Normal 2 14 2 9" xfId="24182" xr:uid="{00000000-0005-0000-0000-0000235D0000}"/>
    <cellStyle name="Normal 2 14 3" xfId="24183" xr:uid="{00000000-0005-0000-0000-0000245D0000}"/>
    <cellStyle name="Normal 2 14 3 10" xfId="24184" xr:uid="{00000000-0005-0000-0000-0000255D0000}"/>
    <cellStyle name="Normal 2 14 3 11" xfId="24185" xr:uid="{00000000-0005-0000-0000-0000265D0000}"/>
    <cellStyle name="Normal 2 14 3 2" xfId="24186" xr:uid="{00000000-0005-0000-0000-0000275D0000}"/>
    <cellStyle name="Normal 2 14 3 2 10" xfId="24187" xr:uid="{00000000-0005-0000-0000-0000285D0000}"/>
    <cellStyle name="Normal 2 14 3 2 2" xfId="24188" xr:uid="{00000000-0005-0000-0000-0000295D0000}"/>
    <cellStyle name="Normal 2 14 3 2 2 2" xfId="24189" xr:uid="{00000000-0005-0000-0000-00002A5D0000}"/>
    <cellStyle name="Normal 2 14 3 2 2 2 2" xfId="24190" xr:uid="{00000000-0005-0000-0000-00002B5D0000}"/>
    <cellStyle name="Normal 2 14 3 2 2 2 3" xfId="24191" xr:uid="{00000000-0005-0000-0000-00002C5D0000}"/>
    <cellStyle name="Normal 2 14 3 2 2 2 4" xfId="24192" xr:uid="{00000000-0005-0000-0000-00002D5D0000}"/>
    <cellStyle name="Normal 2 14 3 2 2 2 5" xfId="24193" xr:uid="{00000000-0005-0000-0000-00002E5D0000}"/>
    <cellStyle name="Normal 2 14 3 2 2 3" xfId="24194" xr:uid="{00000000-0005-0000-0000-00002F5D0000}"/>
    <cellStyle name="Normal 2 14 3 2 2 4" xfId="24195" xr:uid="{00000000-0005-0000-0000-0000305D0000}"/>
    <cellStyle name="Normal 2 14 3 2 2 5" xfId="24196" xr:uid="{00000000-0005-0000-0000-0000315D0000}"/>
    <cellStyle name="Normal 2 14 3 2 2 6" xfId="24197" xr:uid="{00000000-0005-0000-0000-0000325D0000}"/>
    <cellStyle name="Normal 2 14 3 2 2 7" xfId="24198" xr:uid="{00000000-0005-0000-0000-0000335D0000}"/>
    <cellStyle name="Normal 2 14 3 2 2 8" xfId="24199" xr:uid="{00000000-0005-0000-0000-0000345D0000}"/>
    <cellStyle name="Normal 2 14 3 2 3" xfId="24200" xr:uid="{00000000-0005-0000-0000-0000355D0000}"/>
    <cellStyle name="Normal 2 14 3 2 3 2" xfId="24201" xr:uid="{00000000-0005-0000-0000-0000365D0000}"/>
    <cellStyle name="Normal 2 14 3 2 3 2 2" xfId="24202" xr:uid="{00000000-0005-0000-0000-0000375D0000}"/>
    <cellStyle name="Normal 2 14 3 2 3 2 3" xfId="24203" xr:uid="{00000000-0005-0000-0000-0000385D0000}"/>
    <cellStyle name="Normal 2 14 3 2 3 2 4" xfId="24204" xr:uid="{00000000-0005-0000-0000-0000395D0000}"/>
    <cellStyle name="Normal 2 14 3 2 3 2 5" xfId="24205" xr:uid="{00000000-0005-0000-0000-00003A5D0000}"/>
    <cellStyle name="Normal 2 14 3 2 3 3" xfId="24206" xr:uid="{00000000-0005-0000-0000-00003B5D0000}"/>
    <cellStyle name="Normal 2 14 3 2 3 4" xfId="24207" xr:uid="{00000000-0005-0000-0000-00003C5D0000}"/>
    <cellStyle name="Normal 2 14 3 2 3 5" xfId="24208" xr:uid="{00000000-0005-0000-0000-00003D5D0000}"/>
    <cellStyle name="Normal 2 14 3 2 3 6" xfId="24209" xr:uid="{00000000-0005-0000-0000-00003E5D0000}"/>
    <cellStyle name="Normal 2 14 3 2 3 7" xfId="24210" xr:uid="{00000000-0005-0000-0000-00003F5D0000}"/>
    <cellStyle name="Normal 2 14 3 2 3 8" xfId="24211" xr:uid="{00000000-0005-0000-0000-0000405D0000}"/>
    <cellStyle name="Normal 2 14 3 2 4" xfId="24212" xr:uid="{00000000-0005-0000-0000-0000415D0000}"/>
    <cellStyle name="Normal 2 14 3 2 4 2" xfId="24213" xr:uid="{00000000-0005-0000-0000-0000425D0000}"/>
    <cellStyle name="Normal 2 14 3 2 4 3" xfId="24214" xr:uid="{00000000-0005-0000-0000-0000435D0000}"/>
    <cellStyle name="Normal 2 14 3 2 4 4" xfId="24215" xr:uid="{00000000-0005-0000-0000-0000445D0000}"/>
    <cellStyle name="Normal 2 14 3 2 4 5" xfId="24216" xr:uid="{00000000-0005-0000-0000-0000455D0000}"/>
    <cellStyle name="Normal 2 14 3 2 5" xfId="24217" xr:uid="{00000000-0005-0000-0000-0000465D0000}"/>
    <cellStyle name="Normal 2 14 3 2 6" xfId="24218" xr:uid="{00000000-0005-0000-0000-0000475D0000}"/>
    <cellStyle name="Normal 2 14 3 2 7" xfId="24219" xr:uid="{00000000-0005-0000-0000-0000485D0000}"/>
    <cellStyle name="Normal 2 14 3 2 8" xfId="24220" xr:uid="{00000000-0005-0000-0000-0000495D0000}"/>
    <cellStyle name="Normal 2 14 3 2 9" xfId="24221" xr:uid="{00000000-0005-0000-0000-00004A5D0000}"/>
    <cellStyle name="Normal 2 14 3 3" xfId="24222" xr:uid="{00000000-0005-0000-0000-00004B5D0000}"/>
    <cellStyle name="Normal 2 14 3 3 2" xfId="24223" xr:uid="{00000000-0005-0000-0000-00004C5D0000}"/>
    <cellStyle name="Normal 2 14 3 3 2 2" xfId="24224" xr:uid="{00000000-0005-0000-0000-00004D5D0000}"/>
    <cellStyle name="Normal 2 14 3 3 2 3" xfId="24225" xr:uid="{00000000-0005-0000-0000-00004E5D0000}"/>
    <cellStyle name="Normal 2 14 3 3 2 4" xfId="24226" xr:uid="{00000000-0005-0000-0000-00004F5D0000}"/>
    <cellStyle name="Normal 2 14 3 3 2 5" xfId="24227" xr:uid="{00000000-0005-0000-0000-0000505D0000}"/>
    <cellStyle name="Normal 2 14 3 3 3" xfId="24228" xr:uid="{00000000-0005-0000-0000-0000515D0000}"/>
    <cellStyle name="Normal 2 14 3 3 4" xfId="24229" xr:uid="{00000000-0005-0000-0000-0000525D0000}"/>
    <cellStyle name="Normal 2 14 3 3 5" xfId="24230" xr:uid="{00000000-0005-0000-0000-0000535D0000}"/>
    <cellStyle name="Normal 2 14 3 3 6" xfId="24231" xr:uid="{00000000-0005-0000-0000-0000545D0000}"/>
    <cellStyle name="Normal 2 14 3 3 7" xfId="24232" xr:uid="{00000000-0005-0000-0000-0000555D0000}"/>
    <cellStyle name="Normal 2 14 3 3 8" xfId="24233" xr:uid="{00000000-0005-0000-0000-0000565D0000}"/>
    <cellStyle name="Normal 2 14 3 4" xfId="24234" xr:uid="{00000000-0005-0000-0000-0000575D0000}"/>
    <cellStyle name="Normal 2 14 3 4 2" xfId="24235" xr:uid="{00000000-0005-0000-0000-0000585D0000}"/>
    <cellStyle name="Normal 2 14 3 4 2 2" xfId="24236" xr:uid="{00000000-0005-0000-0000-0000595D0000}"/>
    <cellStyle name="Normal 2 14 3 4 2 3" xfId="24237" xr:uid="{00000000-0005-0000-0000-00005A5D0000}"/>
    <cellStyle name="Normal 2 14 3 4 2 4" xfId="24238" xr:uid="{00000000-0005-0000-0000-00005B5D0000}"/>
    <cellStyle name="Normal 2 14 3 4 2 5" xfId="24239" xr:uid="{00000000-0005-0000-0000-00005C5D0000}"/>
    <cellStyle name="Normal 2 14 3 4 3" xfId="24240" xr:uid="{00000000-0005-0000-0000-00005D5D0000}"/>
    <cellStyle name="Normal 2 14 3 4 4" xfId="24241" xr:uid="{00000000-0005-0000-0000-00005E5D0000}"/>
    <cellStyle name="Normal 2 14 3 4 5" xfId="24242" xr:uid="{00000000-0005-0000-0000-00005F5D0000}"/>
    <cellStyle name="Normal 2 14 3 4 6" xfId="24243" xr:uid="{00000000-0005-0000-0000-0000605D0000}"/>
    <cellStyle name="Normal 2 14 3 4 7" xfId="24244" xr:uid="{00000000-0005-0000-0000-0000615D0000}"/>
    <cellStyle name="Normal 2 14 3 4 8" xfId="24245" xr:uid="{00000000-0005-0000-0000-0000625D0000}"/>
    <cellStyle name="Normal 2 14 3 5" xfId="24246" xr:uid="{00000000-0005-0000-0000-0000635D0000}"/>
    <cellStyle name="Normal 2 14 3 5 2" xfId="24247" xr:uid="{00000000-0005-0000-0000-0000645D0000}"/>
    <cellStyle name="Normal 2 14 3 5 3" xfId="24248" xr:uid="{00000000-0005-0000-0000-0000655D0000}"/>
    <cellStyle name="Normal 2 14 3 5 4" xfId="24249" xr:uid="{00000000-0005-0000-0000-0000665D0000}"/>
    <cellStyle name="Normal 2 14 3 5 5" xfId="24250" xr:uid="{00000000-0005-0000-0000-0000675D0000}"/>
    <cellStyle name="Normal 2 14 3 6" xfId="24251" xr:uid="{00000000-0005-0000-0000-0000685D0000}"/>
    <cellStyle name="Normal 2 14 3 7" xfId="24252" xr:uid="{00000000-0005-0000-0000-0000695D0000}"/>
    <cellStyle name="Normal 2 14 3 8" xfId="24253" xr:uid="{00000000-0005-0000-0000-00006A5D0000}"/>
    <cellStyle name="Normal 2 14 3 9" xfId="24254" xr:uid="{00000000-0005-0000-0000-00006B5D0000}"/>
    <cellStyle name="Normal 2 14 4" xfId="24255" xr:uid="{00000000-0005-0000-0000-00006C5D0000}"/>
    <cellStyle name="Normal 2 14 4 10" xfId="24256" xr:uid="{00000000-0005-0000-0000-00006D5D0000}"/>
    <cellStyle name="Normal 2 14 4 2" xfId="24257" xr:uid="{00000000-0005-0000-0000-00006E5D0000}"/>
    <cellStyle name="Normal 2 14 4 2 2" xfId="24258" xr:uid="{00000000-0005-0000-0000-00006F5D0000}"/>
    <cellStyle name="Normal 2 14 4 2 2 2" xfId="24259" xr:uid="{00000000-0005-0000-0000-0000705D0000}"/>
    <cellStyle name="Normal 2 14 4 2 2 3" xfId="24260" xr:uid="{00000000-0005-0000-0000-0000715D0000}"/>
    <cellStyle name="Normal 2 14 4 2 2 4" xfId="24261" xr:uid="{00000000-0005-0000-0000-0000725D0000}"/>
    <cellStyle name="Normal 2 14 4 2 2 5" xfId="24262" xr:uid="{00000000-0005-0000-0000-0000735D0000}"/>
    <cellStyle name="Normal 2 14 4 2 3" xfId="24263" xr:uid="{00000000-0005-0000-0000-0000745D0000}"/>
    <cellStyle name="Normal 2 14 4 2 4" xfId="24264" xr:uid="{00000000-0005-0000-0000-0000755D0000}"/>
    <cellStyle name="Normal 2 14 4 2 5" xfId="24265" xr:uid="{00000000-0005-0000-0000-0000765D0000}"/>
    <cellStyle name="Normal 2 14 4 2 6" xfId="24266" xr:uid="{00000000-0005-0000-0000-0000775D0000}"/>
    <cellStyle name="Normal 2 14 4 2 7" xfId="24267" xr:uid="{00000000-0005-0000-0000-0000785D0000}"/>
    <cellStyle name="Normal 2 14 4 2 8" xfId="24268" xr:uid="{00000000-0005-0000-0000-0000795D0000}"/>
    <cellStyle name="Normal 2 14 4 3" xfId="24269" xr:uid="{00000000-0005-0000-0000-00007A5D0000}"/>
    <cellStyle name="Normal 2 14 4 3 2" xfId="24270" xr:uid="{00000000-0005-0000-0000-00007B5D0000}"/>
    <cellStyle name="Normal 2 14 4 3 2 2" xfId="24271" xr:uid="{00000000-0005-0000-0000-00007C5D0000}"/>
    <cellStyle name="Normal 2 14 4 3 2 3" xfId="24272" xr:uid="{00000000-0005-0000-0000-00007D5D0000}"/>
    <cellStyle name="Normal 2 14 4 3 2 4" xfId="24273" xr:uid="{00000000-0005-0000-0000-00007E5D0000}"/>
    <cellStyle name="Normal 2 14 4 3 2 5" xfId="24274" xr:uid="{00000000-0005-0000-0000-00007F5D0000}"/>
    <cellStyle name="Normal 2 14 4 3 3" xfId="24275" xr:uid="{00000000-0005-0000-0000-0000805D0000}"/>
    <cellStyle name="Normal 2 14 4 3 4" xfId="24276" xr:uid="{00000000-0005-0000-0000-0000815D0000}"/>
    <cellStyle name="Normal 2 14 4 3 5" xfId="24277" xr:uid="{00000000-0005-0000-0000-0000825D0000}"/>
    <cellStyle name="Normal 2 14 4 3 6" xfId="24278" xr:uid="{00000000-0005-0000-0000-0000835D0000}"/>
    <cellStyle name="Normal 2 14 4 3 7" xfId="24279" xr:uid="{00000000-0005-0000-0000-0000845D0000}"/>
    <cellStyle name="Normal 2 14 4 3 8" xfId="24280" xr:uid="{00000000-0005-0000-0000-0000855D0000}"/>
    <cellStyle name="Normal 2 14 4 4" xfId="24281" xr:uid="{00000000-0005-0000-0000-0000865D0000}"/>
    <cellStyle name="Normal 2 14 4 4 2" xfId="24282" xr:uid="{00000000-0005-0000-0000-0000875D0000}"/>
    <cellStyle name="Normal 2 14 4 4 3" xfId="24283" xr:uid="{00000000-0005-0000-0000-0000885D0000}"/>
    <cellStyle name="Normal 2 14 4 4 4" xfId="24284" xr:uid="{00000000-0005-0000-0000-0000895D0000}"/>
    <cellStyle name="Normal 2 14 4 4 5" xfId="24285" xr:uid="{00000000-0005-0000-0000-00008A5D0000}"/>
    <cellStyle name="Normal 2 14 4 5" xfId="24286" xr:uid="{00000000-0005-0000-0000-00008B5D0000}"/>
    <cellStyle name="Normal 2 14 4 6" xfId="24287" xr:uid="{00000000-0005-0000-0000-00008C5D0000}"/>
    <cellStyle name="Normal 2 14 4 7" xfId="24288" xr:uid="{00000000-0005-0000-0000-00008D5D0000}"/>
    <cellStyle name="Normal 2 14 4 8" xfId="24289" xr:uid="{00000000-0005-0000-0000-00008E5D0000}"/>
    <cellStyle name="Normal 2 14 4 9" xfId="24290" xr:uid="{00000000-0005-0000-0000-00008F5D0000}"/>
    <cellStyle name="Normal 2 14 5" xfId="24291" xr:uid="{00000000-0005-0000-0000-0000905D0000}"/>
    <cellStyle name="Normal 2 14 5 2" xfId="24292" xr:uid="{00000000-0005-0000-0000-0000915D0000}"/>
    <cellStyle name="Normal 2 14 5 2 2" xfId="24293" xr:uid="{00000000-0005-0000-0000-0000925D0000}"/>
    <cellStyle name="Normal 2 14 5 2 3" xfId="24294" xr:uid="{00000000-0005-0000-0000-0000935D0000}"/>
    <cellStyle name="Normal 2 14 5 2 4" xfId="24295" xr:uid="{00000000-0005-0000-0000-0000945D0000}"/>
    <cellStyle name="Normal 2 14 5 2 5" xfId="24296" xr:uid="{00000000-0005-0000-0000-0000955D0000}"/>
    <cellStyle name="Normal 2 14 5 3" xfId="24297" xr:uid="{00000000-0005-0000-0000-0000965D0000}"/>
    <cellStyle name="Normal 2 14 5 4" xfId="24298" xr:uid="{00000000-0005-0000-0000-0000975D0000}"/>
    <cellStyle name="Normal 2 14 5 5" xfId="24299" xr:uid="{00000000-0005-0000-0000-0000985D0000}"/>
    <cellStyle name="Normal 2 14 5 6" xfId="24300" xr:uid="{00000000-0005-0000-0000-0000995D0000}"/>
    <cellStyle name="Normal 2 14 5 7" xfId="24301" xr:uid="{00000000-0005-0000-0000-00009A5D0000}"/>
    <cellStyle name="Normal 2 14 5 8" xfId="24302" xr:uid="{00000000-0005-0000-0000-00009B5D0000}"/>
    <cellStyle name="Normal 2 14 6" xfId="24303" xr:uid="{00000000-0005-0000-0000-00009C5D0000}"/>
    <cellStyle name="Normal 2 14 6 2" xfId="24304" xr:uid="{00000000-0005-0000-0000-00009D5D0000}"/>
    <cellStyle name="Normal 2 14 6 2 2" xfId="24305" xr:uid="{00000000-0005-0000-0000-00009E5D0000}"/>
    <cellStyle name="Normal 2 14 6 2 3" xfId="24306" xr:uid="{00000000-0005-0000-0000-00009F5D0000}"/>
    <cellStyle name="Normal 2 14 6 2 4" xfId="24307" xr:uid="{00000000-0005-0000-0000-0000A05D0000}"/>
    <cellStyle name="Normal 2 14 6 2 5" xfId="24308" xr:uid="{00000000-0005-0000-0000-0000A15D0000}"/>
    <cellStyle name="Normal 2 14 6 3" xfId="24309" xr:uid="{00000000-0005-0000-0000-0000A25D0000}"/>
    <cellStyle name="Normal 2 14 6 4" xfId="24310" xr:uid="{00000000-0005-0000-0000-0000A35D0000}"/>
    <cellStyle name="Normal 2 14 6 5" xfId="24311" xr:uid="{00000000-0005-0000-0000-0000A45D0000}"/>
    <cellStyle name="Normal 2 14 6 6" xfId="24312" xr:uid="{00000000-0005-0000-0000-0000A55D0000}"/>
    <cellStyle name="Normal 2 14 6 7" xfId="24313" xr:uid="{00000000-0005-0000-0000-0000A65D0000}"/>
    <cellStyle name="Normal 2 14 6 8" xfId="24314" xr:uid="{00000000-0005-0000-0000-0000A75D0000}"/>
    <cellStyle name="Normal 2 14 7" xfId="24315" xr:uid="{00000000-0005-0000-0000-0000A85D0000}"/>
    <cellStyle name="Normal 2 14 7 2" xfId="24316" xr:uid="{00000000-0005-0000-0000-0000A95D0000}"/>
    <cellStyle name="Normal 2 14 7 3" xfId="24317" xr:uid="{00000000-0005-0000-0000-0000AA5D0000}"/>
    <cellStyle name="Normal 2 14 7 4" xfId="24318" xr:uid="{00000000-0005-0000-0000-0000AB5D0000}"/>
    <cellStyle name="Normal 2 14 7 5" xfId="24319" xr:uid="{00000000-0005-0000-0000-0000AC5D0000}"/>
    <cellStyle name="Normal 2 14 8" xfId="24320" xr:uid="{00000000-0005-0000-0000-0000AD5D0000}"/>
    <cellStyle name="Normal 2 14 9" xfId="24321" xr:uid="{00000000-0005-0000-0000-0000AE5D0000}"/>
    <cellStyle name="Normal 2 15" xfId="845" xr:uid="{00000000-0005-0000-0000-0000AF5D0000}"/>
    <cellStyle name="Normal 2 15 10" xfId="24322" xr:uid="{00000000-0005-0000-0000-0000B05D0000}"/>
    <cellStyle name="Normal 2 15 11" xfId="24323" xr:uid="{00000000-0005-0000-0000-0000B15D0000}"/>
    <cellStyle name="Normal 2 15 12" xfId="24324" xr:uid="{00000000-0005-0000-0000-0000B25D0000}"/>
    <cellStyle name="Normal 2 15 13" xfId="24325" xr:uid="{00000000-0005-0000-0000-0000B35D0000}"/>
    <cellStyle name="Normal 2 15 2" xfId="24326" xr:uid="{00000000-0005-0000-0000-0000B45D0000}"/>
    <cellStyle name="Normal 2 15 2 10" xfId="24327" xr:uid="{00000000-0005-0000-0000-0000B55D0000}"/>
    <cellStyle name="Normal 2 15 2 11" xfId="24328" xr:uid="{00000000-0005-0000-0000-0000B65D0000}"/>
    <cellStyle name="Normal 2 15 2 2" xfId="24329" xr:uid="{00000000-0005-0000-0000-0000B75D0000}"/>
    <cellStyle name="Normal 2 15 2 2 10" xfId="24330" xr:uid="{00000000-0005-0000-0000-0000B85D0000}"/>
    <cellStyle name="Normal 2 15 2 2 2" xfId="24331" xr:uid="{00000000-0005-0000-0000-0000B95D0000}"/>
    <cellStyle name="Normal 2 15 2 2 2 2" xfId="24332" xr:uid="{00000000-0005-0000-0000-0000BA5D0000}"/>
    <cellStyle name="Normal 2 15 2 2 2 2 2" xfId="24333" xr:uid="{00000000-0005-0000-0000-0000BB5D0000}"/>
    <cellStyle name="Normal 2 15 2 2 2 2 3" xfId="24334" xr:uid="{00000000-0005-0000-0000-0000BC5D0000}"/>
    <cellStyle name="Normal 2 15 2 2 2 2 4" xfId="24335" xr:uid="{00000000-0005-0000-0000-0000BD5D0000}"/>
    <cellStyle name="Normal 2 15 2 2 2 2 5" xfId="24336" xr:uid="{00000000-0005-0000-0000-0000BE5D0000}"/>
    <cellStyle name="Normal 2 15 2 2 2 3" xfId="24337" xr:uid="{00000000-0005-0000-0000-0000BF5D0000}"/>
    <cellStyle name="Normal 2 15 2 2 2 4" xfId="24338" xr:uid="{00000000-0005-0000-0000-0000C05D0000}"/>
    <cellStyle name="Normal 2 15 2 2 2 5" xfId="24339" xr:uid="{00000000-0005-0000-0000-0000C15D0000}"/>
    <cellStyle name="Normal 2 15 2 2 2 6" xfId="24340" xr:uid="{00000000-0005-0000-0000-0000C25D0000}"/>
    <cellStyle name="Normal 2 15 2 2 2 7" xfId="24341" xr:uid="{00000000-0005-0000-0000-0000C35D0000}"/>
    <cellStyle name="Normal 2 15 2 2 2 8" xfId="24342" xr:uid="{00000000-0005-0000-0000-0000C45D0000}"/>
    <cellStyle name="Normal 2 15 2 2 3" xfId="24343" xr:uid="{00000000-0005-0000-0000-0000C55D0000}"/>
    <cellStyle name="Normal 2 15 2 2 3 2" xfId="24344" xr:uid="{00000000-0005-0000-0000-0000C65D0000}"/>
    <cellStyle name="Normal 2 15 2 2 3 2 2" xfId="24345" xr:uid="{00000000-0005-0000-0000-0000C75D0000}"/>
    <cellStyle name="Normal 2 15 2 2 3 2 3" xfId="24346" xr:uid="{00000000-0005-0000-0000-0000C85D0000}"/>
    <cellStyle name="Normal 2 15 2 2 3 2 4" xfId="24347" xr:uid="{00000000-0005-0000-0000-0000C95D0000}"/>
    <cellStyle name="Normal 2 15 2 2 3 2 5" xfId="24348" xr:uid="{00000000-0005-0000-0000-0000CA5D0000}"/>
    <cellStyle name="Normal 2 15 2 2 3 3" xfId="24349" xr:uid="{00000000-0005-0000-0000-0000CB5D0000}"/>
    <cellStyle name="Normal 2 15 2 2 3 4" xfId="24350" xr:uid="{00000000-0005-0000-0000-0000CC5D0000}"/>
    <cellStyle name="Normal 2 15 2 2 3 5" xfId="24351" xr:uid="{00000000-0005-0000-0000-0000CD5D0000}"/>
    <cellStyle name="Normal 2 15 2 2 3 6" xfId="24352" xr:uid="{00000000-0005-0000-0000-0000CE5D0000}"/>
    <cellStyle name="Normal 2 15 2 2 3 7" xfId="24353" xr:uid="{00000000-0005-0000-0000-0000CF5D0000}"/>
    <cellStyle name="Normal 2 15 2 2 3 8" xfId="24354" xr:uid="{00000000-0005-0000-0000-0000D05D0000}"/>
    <cellStyle name="Normal 2 15 2 2 4" xfId="24355" xr:uid="{00000000-0005-0000-0000-0000D15D0000}"/>
    <cellStyle name="Normal 2 15 2 2 4 2" xfId="24356" xr:uid="{00000000-0005-0000-0000-0000D25D0000}"/>
    <cellStyle name="Normal 2 15 2 2 4 3" xfId="24357" xr:uid="{00000000-0005-0000-0000-0000D35D0000}"/>
    <cellStyle name="Normal 2 15 2 2 4 4" xfId="24358" xr:uid="{00000000-0005-0000-0000-0000D45D0000}"/>
    <cellStyle name="Normal 2 15 2 2 4 5" xfId="24359" xr:uid="{00000000-0005-0000-0000-0000D55D0000}"/>
    <cellStyle name="Normal 2 15 2 2 5" xfId="24360" xr:uid="{00000000-0005-0000-0000-0000D65D0000}"/>
    <cellStyle name="Normal 2 15 2 2 6" xfId="24361" xr:uid="{00000000-0005-0000-0000-0000D75D0000}"/>
    <cellStyle name="Normal 2 15 2 2 7" xfId="24362" xr:uid="{00000000-0005-0000-0000-0000D85D0000}"/>
    <cellStyle name="Normal 2 15 2 2 8" xfId="24363" xr:uid="{00000000-0005-0000-0000-0000D95D0000}"/>
    <cellStyle name="Normal 2 15 2 2 9" xfId="24364" xr:uid="{00000000-0005-0000-0000-0000DA5D0000}"/>
    <cellStyle name="Normal 2 15 2 3" xfId="24365" xr:uid="{00000000-0005-0000-0000-0000DB5D0000}"/>
    <cellStyle name="Normal 2 15 2 3 2" xfId="24366" xr:uid="{00000000-0005-0000-0000-0000DC5D0000}"/>
    <cellStyle name="Normal 2 15 2 3 2 2" xfId="24367" xr:uid="{00000000-0005-0000-0000-0000DD5D0000}"/>
    <cellStyle name="Normal 2 15 2 3 2 3" xfId="24368" xr:uid="{00000000-0005-0000-0000-0000DE5D0000}"/>
    <cellStyle name="Normal 2 15 2 3 2 4" xfId="24369" xr:uid="{00000000-0005-0000-0000-0000DF5D0000}"/>
    <cellStyle name="Normal 2 15 2 3 2 5" xfId="24370" xr:uid="{00000000-0005-0000-0000-0000E05D0000}"/>
    <cellStyle name="Normal 2 15 2 3 3" xfId="24371" xr:uid="{00000000-0005-0000-0000-0000E15D0000}"/>
    <cellStyle name="Normal 2 15 2 3 4" xfId="24372" xr:uid="{00000000-0005-0000-0000-0000E25D0000}"/>
    <cellStyle name="Normal 2 15 2 3 5" xfId="24373" xr:uid="{00000000-0005-0000-0000-0000E35D0000}"/>
    <cellStyle name="Normal 2 15 2 3 6" xfId="24374" xr:uid="{00000000-0005-0000-0000-0000E45D0000}"/>
    <cellStyle name="Normal 2 15 2 3 7" xfId="24375" xr:uid="{00000000-0005-0000-0000-0000E55D0000}"/>
    <cellStyle name="Normal 2 15 2 3 8" xfId="24376" xr:uid="{00000000-0005-0000-0000-0000E65D0000}"/>
    <cellStyle name="Normal 2 15 2 4" xfId="24377" xr:uid="{00000000-0005-0000-0000-0000E75D0000}"/>
    <cellStyle name="Normal 2 15 2 4 2" xfId="24378" xr:uid="{00000000-0005-0000-0000-0000E85D0000}"/>
    <cellStyle name="Normal 2 15 2 4 2 2" xfId="24379" xr:uid="{00000000-0005-0000-0000-0000E95D0000}"/>
    <cellStyle name="Normal 2 15 2 4 2 3" xfId="24380" xr:uid="{00000000-0005-0000-0000-0000EA5D0000}"/>
    <cellStyle name="Normal 2 15 2 4 2 4" xfId="24381" xr:uid="{00000000-0005-0000-0000-0000EB5D0000}"/>
    <cellStyle name="Normal 2 15 2 4 2 5" xfId="24382" xr:uid="{00000000-0005-0000-0000-0000EC5D0000}"/>
    <cellStyle name="Normal 2 15 2 4 3" xfId="24383" xr:uid="{00000000-0005-0000-0000-0000ED5D0000}"/>
    <cellStyle name="Normal 2 15 2 4 4" xfId="24384" xr:uid="{00000000-0005-0000-0000-0000EE5D0000}"/>
    <cellStyle name="Normal 2 15 2 4 5" xfId="24385" xr:uid="{00000000-0005-0000-0000-0000EF5D0000}"/>
    <cellStyle name="Normal 2 15 2 4 6" xfId="24386" xr:uid="{00000000-0005-0000-0000-0000F05D0000}"/>
    <cellStyle name="Normal 2 15 2 4 7" xfId="24387" xr:uid="{00000000-0005-0000-0000-0000F15D0000}"/>
    <cellStyle name="Normal 2 15 2 4 8" xfId="24388" xr:uid="{00000000-0005-0000-0000-0000F25D0000}"/>
    <cellStyle name="Normal 2 15 2 5" xfId="24389" xr:uid="{00000000-0005-0000-0000-0000F35D0000}"/>
    <cellStyle name="Normal 2 15 2 5 2" xfId="24390" xr:uid="{00000000-0005-0000-0000-0000F45D0000}"/>
    <cellStyle name="Normal 2 15 2 5 3" xfId="24391" xr:uid="{00000000-0005-0000-0000-0000F55D0000}"/>
    <cellStyle name="Normal 2 15 2 5 4" xfId="24392" xr:uid="{00000000-0005-0000-0000-0000F65D0000}"/>
    <cellStyle name="Normal 2 15 2 5 5" xfId="24393" xr:uid="{00000000-0005-0000-0000-0000F75D0000}"/>
    <cellStyle name="Normal 2 15 2 6" xfId="24394" xr:uid="{00000000-0005-0000-0000-0000F85D0000}"/>
    <cellStyle name="Normal 2 15 2 7" xfId="24395" xr:uid="{00000000-0005-0000-0000-0000F95D0000}"/>
    <cellStyle name="Normal 2 15 2 8" xfId="24396" xr:uid="{00000000-0005-0000-0000-0000FA5D0000}"/>
    <cellStyle name="Normal 2 15 2 9" xfId="24397" xr:uid="{00000000-0005-0000-0000-0000FB5D0000}"/>
    <cellStyle name="Normal 2 15 3" xfId="24398" xr:uid="{00000000-0005-0000-0000-0000FC5D0000}"/>
    <cellStyle name="Normal 2 15 3 10" xfId="24399" xr:uid="{00000000-0005-0000-0000-0000FD5D0000}"/>
    <cellStyle name="Normal 2 15 3 11" xfId="24400" xr:uid="{00000000-0005-0000-0000-0000FE5D0000}"/>
    <cellStyle name="Normal 2 15 3 2" xfId="24401" xr:uid="{00000000-0005-0000-0000-0000FF5D0000}"/>
    <cellStyle name="Normal 2 15 3 2 10" xfId="24402" xr:uid="{00000000-0005-0000-0000-0000005E0000}"/>
    <cellStyle name="Normal 2 15 3 2 2" xfId="24403" xr:uid="{00000000-0005-0000-0000-0000015E0000}"/>
    <cellStyle name="Normal 2 15 3 2 2 2" xfId="24404" xr:uid="{00000000-0005-0000-0000-0000025E0000}"/>
    <cellStyle name="Normal 2 15 3 2 2 2 2" xfId="24405" xr:uid="{00000000-0005-0000-0000-0000035E0000}"/>
    <cellStyle name="Normal 2 15 3 2 2 2 3" xfId="24406" xr:uid="{00000000-0005-0000-0000-0000045E0000}"/>
    <cellStyle name="Normal 2 15 3 2 2 2 4" xfId="24407" xr:uid="{00000000-0005-0000-0000-0000055E0000}"/>
    <cellStyle name="Normal 2 15 3 2 2 2 5" xfId="24408" xr:uid="{00000000-0005-0000-0000-0000065E0000}"/>
    <cellStyle name="Normal 2 15 3 2 2 3" xfId="24409" xr:uid="{00000000-0005-0000-0000-0000075E0000}"/>
    <cellStyle name="Normal 2 15 3 2 2 4" xfId="24410" xr:uid="{00000000-0005-0000-0000-0000085E0000}"/>
    <cellStyle name="Normal 2 15 3 2 2 5" xfId="24411" xr:uid="{00000000-0005-0000-0000-0000095E0000}"/>
    <cellStyle name="Normal 2 15 3 2 2 6" xfId="24412" xr:uid="{00000000-0005-0000-0000-00000A5E0000}"/>
    <cellStyle name="Normal 2 15 3 2 2 7" xfId="24413" xr:uid="{00000000-0005-0000-0000-00000B5E0000}"/>
    <cellStyle name="Normal 2 15 3 2 2 8" xfId="24414" xr:uid="{00000000-0005-0000-0000-00000C5E0000}"/>
    <cellStyle name="Normal 2 15 3 2 3" xfId="24415" xr:uid="{00000000-0005-0000-0000-00000D5E0000}"/>
    <cellStyle name="Normal 2 15 3 2 3 2" xfId="24416" xr:uid="{00000000-0005-0000-0000-00000E5E0000}"/>
    <cellStyle name="Normal 2 15 3 2 3 2 2" xfId="24417" xr:uid="{00000000-0005-0000-0000-00000F5E0000}"/>
    <cellStyle name="Normal 2 15 3 2 3 2 3" xfId="24418" xr:uid="{00000000-0005-0000-0000-0000105E0000}"/>
    <cellStyle name="Normal 2 15 3 2 3 2 4" xfId="24419" xr:uid="{00000000-0005-0000-0000-0000115E0000}"/>
    <cellStyle name="Normal 2 15 3 2 3 2 5" xfId="24420" xr:uid="{00000000-0005-0000-0000-0000125E0000}"/>
    <cellStyle name="Normal 2 15 3 2 3 3" xfId="24421" xr:uid="{00000000-0005-0000-0000-0000135E0000}"/>
    <cellStyle name="Normal 2 15 3 2 3 4" xfId="24422" xr:uid="{00000000-0005-0000-0000-0000145E0000}"/>
    <cellStyle name="Normal 2 15 3 2 3 5" xfId="24423" xr:uid="{00000000-0005-0000-0000-0000155E0000}"/>
    <cellStyle name="Normal 2 15 3 2 3 6" xfId="24424" xr:uid="{00000000-0005-0000-0000-0000165E0000}"/>
    <cellStyle name="Normal 2 15 3 2 3 7" xfId="24425" xr:uid="{00000000-0005-0000-0000-0000175E0000}"/>
    <cellStyle name="Normal 2 15 3 2 3 8" xfId="24426" xr:uid="{00000000-0005-0000-0000-0000185E0000}"/>
    <cellStyle name="Normal 2 15 3 2 4" xfId="24427" xr:uid="{00000000-0005-0000-0000-0000195E0000}"/>
    <cellStyle name="Normal 2 15 3 2 4 2" xfId="24428" xr:uid="{00000000-0005-0000-0000-00001A5E0000}"/>
    <cellStyle name="Normal 2 15 3 2 4 3" xfId="24429" xr:uid="{00000000-0005-0000-0000-00001B5E0000}"/>
    <cellStyle name="Normal 2 15 3 2 4 4" xfId="24430" xr:uid="{00000000-0005-0000-0000-00001C5E0000}"/>
    <cellStyle name="Normal 2 15 3 2 4 5" xfId="24431" xr:uid="{00000000-0005-0000-0000-00001D5E0000}"/>
    <cellStyle name="Normal 2 15 3 2 5" xfId="24432" xr:uid="{00000000-0005-0000-0000-00001E5E0000}"/>
    <cellStyle name="Normal 2 15 3 2 6" xfId="24433" xr:uid="{00000000-0005-0000-0000-00001F5E0000}"/>
    <cellStyle name="Normal 2 15 3 2 7" xfId="24434" xr:uid="{00000000-0005-0000-0000-0000205E0000}"/>
    <cellStyle name="Normal 2 15 3 2 8" xfId="24435" xr:uid="{00000000-0005-0000-0000-0000215E0000}"/>
    <cellStyle name="Normal 2 15 3 2 9" xfId="24436" xr:uid="{00000000-0005-0000-0000-0000225E0000}"/>
    <cellStyle name="Normal 2 15 3 3" xfId="24437" xr:uid="{00000000-0005-0000-0000-0000235E0000}"/>
    <cellStyle name="Normal 2 15 3 3 2" xfId="24438" xr:uid="{00000000-0005-0000-0000-0000245E0000}"/>
    <cellStyle name="Normal 2 15 3 3 2 2" xfId="24439" xr:uid="{00000000-0005-0000-0000-0000255E0000}"/>
    <cellStyle name="Normal 2 15 3 3 2 3" xfId="24440" xr:uid="{00000000-0005-0000-0000-0000265E0000}"/>
    <cellStyle name="Normal 2 15 3 3 2 4" xfId="24441" xr:uid="{00000000-0005-0000-0000-0000275E0000}"/>
    <cellStyle name="Normal 2 15 3 3 2 5" xfId="24442" xr:uid="{00000000-0005-0000-0000-0000285E0000}"/>
    <cellStyle name="Normal 2 15 3 3 3" xfId="24443" xr:uid="{00000000-0005-0000-0000-0000295E0000}"/>
    <cellStyle name="Normal 2 15 3 3 4" xfId="24444" xr:uid="{00000000-0005-0000-0000-00002A5E0000}"/>
    <cellStyle name="Normal 2 15 3 3 5" xfId="24445" xr:uid="{00000000-0005-0000-0000-00002B5E0000}"/>
    <cellStyle name="Normal 2 15 3 3 6" xfId="24446" xr:uid="{00000000-0005-0000-0000-00002C5E0000}"/>
    <cellStyle name="Normal 2 15 3 3 7" xfId="24447" xr:uid="{00000000-0005-0000-0000-00002D5E0000}"/>
    <cellStyle name="Normal 2 15 3 3 8" xfId="24448" xr:uid="{00000000-0005-0000-0000-00002E5E0000}"/>
    <cellStyle name="Normal 2 15 3 4" xfId="24449" xr:uid="{00000000-0005-0000-0000-00002F5E0000}"/>
    <cellStyle name="Normal 2 15 3 4 2" xfId="24450" xr:uid="{00000000-0005-0000-0000-0000305E0000}"/>
    <cellStyle name="Normal 2 15 3 4 2 2" xfId="24451" xr:uid="{00000000-0005-0000-0000-0000315E0000}"/>
    <cellStyle name="Normal 2 15 3 4 2 3" xfId="24452" xr:uid="{00000000-0005-0000-0000-0000325E0000}"/>
    <cellStyle name="Normal 2 15 3 4 2 4" xfId="24453" xr:uid="{00000000-0005-0000-0000-0000335E0000}"/>
    <cellStyle name="Normal 2 15 3 4 2 5" xfId="24454" xr:uid="{00000000-0005-0000-0000-0000345E0000}"/>
    <cellStyle name="Normal 2 15 3 4 3" xfId="24455" xr:uid="{00000000-0005-0000-0000-0000355E0000}"/>
    <cellStyle name="Normal 2 15 3 4 4" xfId="24456" xr:uid="{00000000-0005-0000-0000-0000365E0000}"/>
    <cellStyle name="Normal 2 15 3 4 5" xfId="24457" xr:uid="{00000000-0005-0000-0000-0000375E0000}"/>
    <cellStyle name="Normal 2 15 3 4 6" xfId="24458" xr:uid="{00000000-0005-0000-0000-0000385E0000}"/>
    <cellStyle name="Normal 2 15 3 4 7" xfId="24459" xr:uid="{00000000-0005-0000-0000-0000395E0000}"/>
    <cellStyle name="Normal 2 15 3 4 8" xfId="24460" xr:uid="{00000000-0005-0000-0000-00003A5E0000}"/>
    <cellStyle name="Normal 2 15 3 5" xfId="24461" xr:uid="{00000000-0005-0000-0000-00003B5E0000}"/>
    <cellStyle name="Normal 2 15 3 5 2" xfId="24462" xr:uid="{00000000-0005-0000-0000-00003C5E0000}"/>
    <cellStyle name="Normal 2 15 3 5 3" xfId="24463" xr:uid="{00000000-0005-0000-0000-00003D5E0000}"/>
    <cellStyle name="Normal 2 15 3 5 4" xfId="24464" xr:uid="{00000000-0005-0000-0000-00003E5E0000}"/>
    <cellStyle name="Normal 2 15 3 5 5" xfId="24465" xr:uid="{00000000-0005-0000-0000-00003F5E0000}"/>
    <cellStyle name="Normal 2 15 3 6" xfId="24466" xr:uid="{00000000-0005-0000-0000-0000405E0000}"/>
    <cellStyle name="Normal 2 15 3 7" xfId="24467" xr:uid="{00000000-0005-0000-0000-0000415E0000}"/>
    <cellStyle name="Normal 2 15 3 8" xfId="24468" xr:uid="{00000000-0005-0000-0000-0000425E0000}"/>
    <cellStyle name="Normal 2 15 3 9" xfId="24469" xr:uid="{00000000-0005-0000-0000-0000435E0000}"/>
    <cellStyle name="Normal 2 15 4" xfId="24470" xr:uid="{00000000-0005-0000-0000-0000445E0000}"/>
    <cellStyle name="Normal 2 15 4 10" xfId="24471" xr:uid="{00000000-0005-0000-0000-0000455E0000}"/>
    <cellStyle name="Normal 2 15 4 2" xfId="24472" xr:uid="{00000000-0005-0000-0000-0000465E0000}"/>
    <cellStyle name="Normal 2 15 4 2 2" xfId="24473" xr:uid="{00000000-0005-0000-0000-0000475E0000}"/>
    <cellStyle name="Normal 2 15 4 2 2 2" xfId="24474" xr:uid="{00000000-0005-0000-0000-0000485E0000}"/>
    <cellStyle name="Normal 2 15 4 2 2 3" xfId="24475" xr:uid="{00000000-0005-0000-0000-0000495E0000}"/>
    <cellStyle name="Normal 2 15 4 2 2 4" xfId="24476" xr:uid="{00000000-0005-0000-0000-00004A5E0000}"/>
    <cellStyle name="Normal 2 15 4 2 2 5" xfId="24477" xr:uid="{00000000-0005-0000-0000-00004B5E0000}"/>
    <cellStyle name="Normal 2 15 4 2 3" xfId="24478" xr:uid="{00000000-0005-0000-0000-00004C5E0000}"/>
    <cellStyle name="Normal 2 15 4 2 4" xfId="24479" xr:uid="{00000000-0005-0000-0000-00004D5E0000}"/>
    <cellStyle name="Normal 2 15 4 2 5" xfId="24480" xr:uid="{00000000-0005-0000-0000-00004E5E0000}"/>
    <cellStyle name="Normal 2 15 4 2 6" xfId="24481" xr:uid="{00000000-0005-0000-0000-00004F5E0000}"/>
    <cellStyle name="Normal 2 15 4 2 7" xfId="24482" xr:uid="{00000000-0005-0000-0000-0000505E0000}"/>
    <cellStyle name="Normal 2 15 4 2 8" xfId="24483" xr:uid="{00000000-0005-0000-0000-0000515E0000}"/>
    <cellStyle name="Normal 2 15 4 3" xfId="24484" xr:uid="{00000000-0005-0000-0000-0000525E0000}"/>
    <cellStyle name="Normal 2 15 4 3 2" xfId="24485" xr:uid="{00000000-0005-0000-0000-0000535E0000}"/>
    <cellStyle name="Normal 2 15 4 3 2 2" xfId="24486" xr:uid="{00000000-0005-0000-0000-0000545E0000}"/>
    <cellStyle name="Normal 2 15 4 3 2 3" xfId="24487" xr:uid="{00000000-0005-0000-0000-0000555E0000}"/>
    <cellStyle name="Normal 2 15 4 3 2 4" xfId="24488" xr:uid="{00000000-0005-0000-0000-0000565E0000}"/>
    <cellStyle name="Normal 2 15 4 3 2 5" xfId="24489" xr:uid="{00000000-0005-0000-0000-0000575E0000}"/>
    <cellStyle name="Normal 2 15 4 3 3" xfId="24490" xr:uid="{00000000-0005-0000-0000-0000585E0000}"/>
    <cellStyle name="Normal 2 15 4 3 4" xfId="24491" xr:uid="{00000000-0005-0000-0000-0000595E0000}"/>
    <cellStyle name="Normal 2 15 4 3 5" xfId="24492" xr:uid="{00000000-0005-0000-0000-00005A5E0000}"/>
    <cellStyle name="Normal 2 15 4 3 6" xfId="24493" xr:uid="{00000000-0005-0000-0000-00005B5E0000}"/>
    <cellStyle name="Normal 2 15 4 3 7" xfId="24494" xr:uid="{00000000-0005-0000-0000-00005C5E0000}"/>
    <cellStyle name="Normal 2 15 4 3 8" xfId="24495" xr:uid="{00000000-0005-0000-0000-00005D5E0000}"/>
    <cellStyle name="Normal 2 15 4 4" xfId="24496" xr:uid="{00000000-0005-0000-0000-00005E5E0000}"/>
    <cellStyle name="Normal 2 15 4 4 2" xfId="24497" xr:uid="{00000000-0005-0000-0000-00005F5E0000}"/>
    <cellStyle name="Normal 2 15 4 4 3" xfId="24498" xr:uid="{00000000-0005-0000-0000-0000605E0000}"/>
    <cellStyle name="Normal 2 15 4 4 4" xfId="24499" xr:uid="{00000000-0005-0000-0000-0000615E0000}"/>
    <cellStyle name="Normal 2 15 4 4 5" xfId="24500" xr:uid="{00000000-0005-0000-0000-0000625E0000}"/>
    <cellStyle name="Normal 2 15 4 5" xfId="24501" xr:uid="{00000000-0005-0000-0000-0000635E0000}"/>
    <cellStyle name="Normal 2 15 4 6" xfId="24502" xr:uid="{00000000-0005-0000-0000-0000645E0000}"/>
    <cellStyle name="Normal 2 15 4 7" xfId="24503" xr:uid="{00000000-0005-0000-0000-0000655E0000}"/>
    <cellStyle name="Normal 2 15 4 8" xfId="24504" xr:uid="{00000000-0005-0000-0000-0000665E0000}"/>
    <cellStyle name="Normal 2 15 4 9" xfId="24505" xr:uid="{00000000-0005-0000-0000-0000675E0000}"/>
    <cellStyle name="Normal 2 15 5" xfId="24506" xr:uid="{00000000-0005-0000-0000-0000685E0000}"/>
    <cellStyle name="Normal 2 15 5 2" xfId="24507" xr:uid="{00000000-0005-0000-0000-0000695E0000}"/>
    <cellStyle name="Normal 2 15 5 2 2" xfId="24508" xr:uid="{00000000-0005-0000-0000-00006A5E0000}"/>
    <cellStyle name="Normal 2 15 5 2 3" xfId="24509" xr:uid="{00000000-0005-0000-0000-00006B5E0000}"/>
    <cellStyle name="Normal 2 15 5 2 4" xfId="24510" xr:uid="{00000000-0005-0000-0000-00006C5E0000}"/>
    <cellStyle name="Normal 2 15 5 2 5" xfId="24511" xr:uid="{00000000-0005-0000-0000-00006D5E0000}"/>
    <cellStyle name="Normal 2 15 5 3" xfId="24512" xr:uid="{00000000-0005-0000-0000-00006E5E0000}"/>
    <cellStyle name="Normal 2 15 5 4" xfId="24513" xr:uid="{00000000-0005-0000-0000-00006F5E0000}"/>
    <cellStyle name="Normal 2 15 5 5" xfId="24514" xr:uid="{00000000-0005-0000-0000-0000705E0000}"/>
    <cellStyle name="Normal 2 15 5 6" xfId="24515" xr:uid="{00000000-0005-0000-0000-0000715E0000}"/>
    <cellStyle name="Normal 2 15 5 7" xfId="24516" xr:uid="{00000000-0005-0000-0000-0000725E0000}"/>
    <cellStyle name="Normal 2 15 5 8" xfId="24517" xr:uid="{00000000-0005-0000-0000-0000735E0000}"/>
    <cellStyle name="Normal 2 15 6" xfId="24518" xr:uid="{00000000-0005-0000-0000-0000745E0000}"/>
    <cellStyle name="Normal 2 15 6 2" xfId="24519" xr:uid="{00000000-0005-0000-0000-0000755E0000}"/>
    <cellStyle name="Normal 2 15 6 2 2" xfId="24520" xr:uid="{00000000-0005-0000-0000-0000765E0000}"/>
    <cellStyle name="Normal 2 15 6 2 3" xfId="24521" xr:uid="{00000000-0005-0000-0000-0000775E0000}"/>
    <cellStyle name="Normal 2 15 6 2 4" xfId="24522" xr:uid="{00000000-0005-0000-0000-0000785E0000}"/>
    <cellStyle name="Normal 2 15 6 2 5" xfId="24523" xr:uid="{00000000-0005-0000-0000-0000795E0000}"/>
    <cellStyle name="Normal 2 15 6 3" xfId="24524" xr:uid="{00000000-0005-0000-0000-00007A5E0000}"/>
    <cellStyle name="Normal 2 15 6 4" xfId="24525" xr:uid="{00000000-0005-0000-0000-00007B5E0000}"/>
    <cellStyle name="Normal 2 15 6 5" xfId="24526" xr:uid="{00000000-0005-0000-0000-00007C5E0000}"/>
    <cellStyle name="Normal 2 15 6 6" xfId="24527" xr:uid="{00000000-0005-0000-0000-00007D5E0000}"/>
    <cellStyle name="Normal 2 15 6 7" xfId="24528" xr:uid="{00000000-0005-0000-0000-00007E5E0000}"/>
    <cellStyle name="Normal 2 15 6 8" xfId="24529" xr:uid="{00000000-0005-0000-0000-00007F5E0000}"/>
    <cellStyle name="Normal 2 15 7" xfId="24530" xr:uid="{00000000-0005-0000-0000-0000805E0000}"/>
    <cellStyle name="Normal 2 15 7 2" xfId="24531" xr:uid="{00000000-0005-0000-0000-0000815E0000}"/>
    <cellStyle name="Normal 2 15 7 3" xfId="24532" xr:uid="{00000000-0005-0000-0000-0000825E0000}"/>
    <cellStyle name="Normal 2 15 7 4" xfId="24533" xr:uid="{00000000-0005-0000-0000-0000835E0000}"/>
    <cellStyle name="Normal 2 15 7 5" xfId="24534" xr:uid="{00000000-0005-0000-0000-0000845E0000}"/>
    <cellStyle name="Normal 2 15 8" xfId="24535" xr:uid="{00000000-0005-0000-0000-0000855E0000}"/>
    <cellStyle name="Normal 2 15 9" xfId="24536" xr:uid="{00000000-0005-0000-0000-0000865E0000}"/>
    <cellStyle name="Normal 2 16" xfId="846" xr:uid="{00000000-0005-0000-0000-0000875E0000}"/>
    <cellStyle name="Normal 2 16 10" xfId="24537" xr:uid="{00000000-0005-0000-0000-0000885E0000}"/>
    <cellStyle name="Normal 2 16 11" xfId="24538" xr:uid="{00000000-0005-0000-0000-0000895E0000}"/>
    <cellStyle name="Normal 2 16 12" xfId="24539" xr:uid="{00000000-0005-0000-0000-00008A5E0000}"/>
    <cellStyle name="Normal 2 16 13" xfId="24540" xr:uid="{00000000-0005-0000-0000-00008B5E0000}"/>
    <cellStyle name="Normal 2 16 2" xfId="24541" xr:uid="{00000000-0005-0000-0000-00008C5E0000}"/>
    <cellStyle name="Normal 2 16 2 10" xfId="24542" xr:uid="{00000000-0005-0000-0000-00008D5E0000}"/>
    <cellStyle name="Normal 2 16 2 11" xfId="24543" xr:uid="{00000000-0005-0000-0000-00008E5E0000}"/>
    <cellStyle name="Normal 2 16 2 2" xfId="24544" xr:uid="{00000000-0005-0000-0000-00008F5E0000}"/>
    <cellStyle name="Normal 2 16 2 2 10" xfId="24545" xr:uid="{00000000-0005-0000-0000-0000905E0000}"/>
    <cellStyle name="Normal 2 16 2 2 2" xfId="24546" xr:uid="{00000000-0005-0000-0000-0000915E0000}"/>
    <cellStyle name="Normal 2 16 2 2 2 2" xfId="24547" xr:uid="{00000000-0005-0000-0000-0000925E0000}"/>
    <cellStyle name="Normal 2 16 2 2 2 2 2" xfId="24548" xr:uid="{00000000-0005-0000-0000-0000935E0000}"/>
    <cellStyle name="Normal 2 16 2 2 2 2 3" xfId="24549" xr:uid="{00000000-0005-0000-0000-0000945E0000}"/>
    <cellStyle name="Normal 2 16 2 2 2 2 4" xfId="24550" xr:uid="{00000000-0005-0000-0000-0000955E0000}"/>
    <cellStyle name="Normal 2 16 2 2 2 2 5" xfId="24551" xr:uid="{00000000-0005-0000-0000-0000965E0000}"/>
    <cellStyle name="Normal 2 16 2 2 2 3" xfId="24552" xr:uid="{00000000-0005-0000-0000-0000975E0000}"/>
    <cellStyle name="Normal 2 16 2 2 2 4" xfId="24553" xr:uid="{00000000-0005-0000-0000-0000985E0000}"/>
    <cellStyle name="Normal 2 16 2 2 2 5" xfId="24554" xr:uid="{00000000-0005-0000-0000-0000995E0000}"/>
    <cellStyle name="Normal 2 16 2 2 2 6" xfId="24555" xr:uid="{00000000-0005-0000-0000-00009A5E0000}"/>
    <cellStyle name="Normal 2 16 2 2 2 7" xfId="24556" xr:uid="{00000000-0005-0000-0000-00009B5E0000}"/>
    <cellStyle name="Normal 2 16 2 2 2 8" xfId="24557" xr:uid="{00000000-0005-0000-0000-00009C5E0000}"/>
    <cellStyle name="Normal 2 16 2 2 3" xfId="24558" xr:uid="{00000000-0005-0000-0000-00009D5E0000}"/>
    <cellStyle name="Normal 2 16 2 2 3 2" xfId="24559" xr:uid="{00000000-0005-0000-0000-00009E5E0000}"/>
    <cellStyle name="Normal 2 16 2 2 3 2 2" xfId="24560" xr:uid="{00000000-0005-0000-0000-00009F5E0000}"/>
    <cellStyle name="Normal 2 16 2 2 3 2 3" xfId="24561" xr:uid="{00000000-0005-0000-0000-0000A05E0000}"/>
    <cellStyle name="Normal 2 16 2 2 3 2 4" xfId="24562" xr:uid="{00000000-0005-0000-0000-0000A15E0000}"/>
    <cellStyle name="Normal 2 16 2 2 3 2 5" xfId="24563" xr:uid="{00000000-0005-0000-0000-0000A25E0000}"/>
    <cellStyle name="Normal 2 16 2 2 3 3" xfId="24564" xr:uid="{00000000-0005-0000-0000-0000A35E0000}"/>
    <cellStyle name="Normal 2 16 2 2 3 4" xfId="24565" xr:uid="{00000000-0005-0000-0000-0000A45E0000}"/>
    <cellStyle name="Normal 2 16 2 2 3 5" xfId="24566" xr:uid="{00000000-0005-0000-0000-0000A55E0000}"/>
    <cellStyle name="Normal 2 16 2 2 3 6" xfId="24567" xr:uid="{00000000-0005-0000-0000-0000A65E0000}"/>
    <cellStyle name="Normal 2 16 2 2 3 7" xfId="24568" xr:uid="{00000000-0005-0000-0000-0000A75E0000}"/>
    <cellStyle name="Normal 2 16 2 2 3 8" xfId="24569" xr:uid="{00000000-0005-0000-0000-0000A85E0000}"/>
    <cellStyle name="Normal 2 16 2 2 4" xfId="24570" xr:uid="{00000000-0005-0000-0000-0000A95E0000}"/>
    <cellStyle name="Normal 2 16 2 2 4 2" xfId="24571" xr:uid="{00000000-0005-0000-0000-0000AA5E0000}"/>
    <cellStyle name="Normal 2 16 2 2 4 3" xfId="24572" xr:uid="{00000000-0005-0000-0000-0000AB5E0000}"/>
    <cellStyle name="Normal 2 16 2 2 4 4" xfId="24573" xr:uid="{00000000-0005-0000-0000-0000AC5E0000}"/>
    <cellStyle name="Normal 2 16 2 2 4 5" xfId="24574" xr:uid="{00000000-0005-0000-0000-0000AD5E0000}"/>
    <cellStyle name="Normal 2 16 2 2 5" xfId="24575" xr:uid="{00000000-0005-0000-0000-0000AE5E0000}"/>
    <cellStyle name="Normal 2 16 2 2 6" xfId="24576" xr:uid="{00000000-0005-0000-0000-0000AF5E0000}"/>
    <cellStyle name="Normal 2 16 2 2 7" xfId="24577" xr:uid="{00000000-0005-0000-0000-0000B05E0000}"/>
    <cellStyle name="Normal 2 16 2 2 8" xfId="24578" xr:uid="{00000000-0005-0000-0000-0000B15E0000}"/>
    <cellStyle name="Normal 2 16 2 2 9" xfId="24579" xr:uid="{00000000-0005-0000-0000-0000B25E0000}"/>
    <cellStyle name="Normal 2 16 2 3" xfId="24580" xr:uid="{00000000-0005-0000-0000-0000B35E0000}"/>
    <cellStyle name="Normal 2 16 2 3 2" xfId="24581" xr:uid="{00000000-0005-0000-0000-0000B45E0000}"/>
    <cellStyle name="Normal 2 16 2 3 2 2" xfId="24582" xr:uid="{00000000-0005-0000-0000-0000B55E0000}"/>
    <cellStyle name="Normal 2 16 2 3 2 3" xfId="24583" xr:uid="{00000000-0005-0000-0000-0000B65E0000}"/>
    <cellStyle name="Normal 2 16 2 3 2 4" xfId="24584" xr:uid="{00000000-0005-0000-0000-0000B75E0000}"/>
    <cellStyle name="Normal 2 16 2 3 2 5" xfId="24585" xr:uid="{00000000-0005-0000-0000-0000B85E0000}"/>
    <cellStyle name="Normal 2 16 2 3 3" xfId="24586" xr:uid="{00000000-0005-0000-0000-0000B95E0000}"/>
    <cellStyle name="Normal 2 16 2 3 4" xfId="24587" xr:uid="{00000000-0005-0000-0000-0000BA5E0000}"/>
    <cellStyle name="Normal 2 16 2 3 5" xfId="24588" xr:uid="{00000000-0005-0000-0000-0000BB5E0000}"/>
    <cellStyle name="Normal 2 16 2 3 6" xfId="24589" xr:uid="{00000000-0005-0000-0000-0000BC5E0000}"/>
    <cellStyle name="Normal 2 16 2 3 7" xfId="24590" xr:uid="{00000000-0005-0000-0000-0000BD5E0000}"/>
    <cellStyle name="Normal 2 16 2 3 8" xfId="24591" xr:uid="{00000000-0005-0000-0000-0000BE5E0000}"/>
    <cellStyle name="Normal 2 16 2 4" xfId="24592" xr:uid="{00000000-0005-0000-0000-0000BF5E0000}"/>
    <cellStyle name="Normal 2 16 2 4 2" xfId="24593" xr:uid="{00000000-0005-0000-0000-0000C05E0000}"/>
    <cellStyle name="Normal 2 16 2 4 2 2" xfId="24594" xr:uid="{00000000-0005-0000-0000-0000C15E0000}"/>
    <cellStyle name="Normal 2 16 2 4 2 3" xfId="24595" xr:uid="{00000000-0005-0000-0000-0000C25E0000}"/>
    <cellStyle name="Normal 2 16 2 4 2 4" xfId="24596" xr:uid="{00000000-0005-0000-0000-0000C35E0000}"/>
    <cellStyle name="Normal 2 16 2 4 2 5" xfId="24597" xr:uid="{00000000-0005-0000-0000-0000C45E0000}"/>
    <cellStyle name="Normal 2 16 2 4 3" xfId="24598" xr:uid="{00000000-0005-0000-0000-0000C55E0000}"/>
    <cellStyle name="Normal 2 16 2 4 4" xfId="24599" xr:uid="{00000000-0005-0000-0000-0000C65E0000}"/>
    <cellStyle name="Normal 2 16 2 4 5" xfId="24600" xr:uid="{00000000-0005-0000-0000-0000C75E0000}"/>
    <cellStyle name="Normal 2 16 2 4 6" xfId="24601" xr:uid="{00000000-0005-0000-0000-0000C85E0000}"/>
    <cellStyle name="Normal 2 16 2 4 7" xfId="24602" xr:uid="{00000000-0005-0000-0000-0000C95E0000}"/>
    <cellStyle name="Normal 2 16 2 4 8" xfId="24603" xr:uid="{00000000-0005-0000-0000-0000CA5E0000}"/>
    <cellStyle name="Normal 2 16 2 5" xfId="24604" xr:uid="{00000000-0005-0000-0000-0000CB5E0000}"/>
    <cellStyle name="Normal 2 16 2 5 2" xfId="24605" xr:uid="{00000000-0005-0000-0000-0000CC5E0000}"/>
    <cellStyle name="Normal 2 16 2 5 3" xfId="24606" xr:uid="{00000000-0005-0000-0000-0000CD5E0000}"/>
    <cellStyle name="Normal 2 16 2 5 4" xfId="24607" xr:uid="{00000000-0005-0000-0000-0000CE5E0000}"/>
    <cellStyle name="Normal 2 16 2 5 5" xfId="24608" xr:uid="{00000000-0005-0000-0000-0000CF5E0000}"/>
    <cellStyle name="Normal 2 16 2 6" xfId="24609" xr:uid="{00000000-0005-0000-0000-0000D05E0000}"/>
    <cellStyle name="Normal 2 16 2 7" xfId="24610" xr:uid="{00000000-0005-0000-0000-0000D15E0000}"/>
    <cellStyle name="Normal 2 16 2 8" xfId="24611" xr:uid="{00000000-0005-0000-0000-0000D25E0000}"/>
    <cellStyle name="Normal 2 16 2 9" xfId="24612" xr:uid="{00000000-0005-0000-0000-0000D35E0000}"/>
    <cellStyle name="Normal 2 16 3" xfId="24613" xr:uid="{00000000-0005-0000-0000-0000D45E0000}"/>
    <cellStyle name="Normal 2 16 3 10" xfId="24614" xr:uid="{00000000-0005-0000-0000-0000D55E0000}"/>
    <cellStyle name="Normal 2 16 3 11" xfId="24615" xr:uid="{00000000-0005-0000-0000-0000D65E0000}"/>
    <cellStyle name="Normal 2 16 3 2" xfId="24616" xr:uid="{00000000-0005-0000-0000-0000D75E0000}"/>
    <cellStyle name="Normal 2 16 3 2 10" xfId="24617" xr:uid="{00000000-0005-0000-0000-0000D85E0000}"/>
    <cellStyle name="Normal 2 16 3 2 2" xfId="24618" xr:uid="{00000000-0005-0000-0000-0000D95E0000}"/>
    <cellStyle name="Normal 2 16 3 2 2 2" xfId="24619" xr:uid="{00000000-0005-0000-0000-0000DA5E0000}"/>
    <cellStyle name="Normal 2 16 3 2 2 2 2" xfId="24620" xr:uid="{00000000-0005-0000-0000-0000DB5E0000}"/>
    <cellStyle name="Normal 2 16 3 2 2 2 3" xfId="24621" xr:uid="{00000000-0005-0000-0000-0000DC5E0000}"/>
    <cellStyle name="Normal 2 16 3 2 2 2 4" xfId="24622" xr:uid="{00000000-0005-0000-0000-0000DD5E0000}"/>
    <cellStyle name="Normal 2 16 3 2 2 2 5" xfId="24623" xr:uid="{00000000-0005-0000-0000-0000DE5E0000}"/>
    <cellStyle name="Normal 2 16 3 2 2 3" xfId="24624" xr:uid="{00000000-0005-0000-0000-0000DF5E0000}"/>
    <cellStyle name="Normal 2 16 3 2 2 4" xfId="24625" xr:uid="{00000000-0005-0000-0000-0000E05E0000}"/>
    <cellStyle name="Normal 2 16 3 2 2 5" xfId="24626" xr:uid="{00000000-0005-0000-0000-0000E15E0000}"/>
    <cellStyle name="Normal 2 16 3 2 2 6" xfId="24627" xr:uid="{00000000-0005-0000-0000-0000E25E0000}"/>
    <cellStyle name="Normal 2 16 3 2 2 7" xfId="24628" xr:uid="{00000000-0005-0000-0000-0000E35E0000}"/>
    <cellStyle name="Normal 2 16 3 2 2 8" xfId="24629" xr:uid="{00000000-0005-0000-0000-0000E45E0000}"/>
    <cellStyle name="Normal 2 16 3 2 3" xfId="24630" xr:uid="{00000000-0005-0000-0000-0000E55E0000}"/>
    <cellStyle name="Normal 2 16 3 2 3 2" xfId="24631" xr:uid="{00000000-0005-0000-0000-0000E65E0000}"/>
    <cellStyle name="Normal 2 16 3 2 3 2 2" xfId="24632" xr:uid="{00000000-0005-0000-0000-0000E75E0000}"/>
    <cellStyle name="Normal 2 16 3 2 3 2 3" xfId="24633" xr:uid="{00000000-0005-0000-0000-0000E85E0000}"/>
    <cellStyle name="Normal 2 16 3 2 3 2 4" xfId="24634" xr:uid="{00000000-0005-0000-0000-0000E95E0000}"/>
    <cellStyle name="Normal 2 16 3 2 3 2 5" xfId="24635" xr:uid="{00000000-0005-0000-0000-0000EA5E0000}"/>
    <cellStyle name="Normal 2 16 3 2 3 3" xfId="24636" xr:uid="{00000000-0005-0000-0000-0000EB5E0000}"/>
    <cellStyle name="Normal 2 16 3 2 3 4" xfId="24637" xr:uid="{00000000-0005-0000-0000-0000EC5E0000}"/>
    <cellStyle name="Normal 2 16 3 2 3 5" xfId="24638" xr:uid="{00000000-0005-0000-0000-0000ED5E0000}"/>
    <cellStyle name="Normal 2 16 3 2 3 6" xfId="24639" xr:uid="{00000000-0005-0000-0000-0000EE5E0000}"/>
    <cellStyle name="Normal 2 16 3 2 3 7" xfId="24640" xr:uid="{00000000-0005-0000-0000-0000EF5E0000}"/>
    <cellStyle name="Normal 2 16 3 2 3 8" xfId="24641" xr:uid="{00000000-0005-0000-0000-0000F05E0000}"/>
    <cellStyle name="Normal 2 16 3 2 4" xfId="24642" xr:uid="{00000000-0005-0000-0000-0000F15E0000}"/>
    <cellStyle name="Normal 2 16 3 2 4 2" xfId="24643" xr:uid="{00000000-0005-0000-0000-0000F25E0000}"/>
    <cellStyle name="Normal 2 16 3 2 4 3" xfId="24644" xr:uid="{00000000-0005-0000-0000-0000F35E0000}"/>
    <cellStyle name="Normal 2 16 3 2 4 4" xfId="24645" xr:uid="{00000000-0005-0000-0000-0000F45E0000}"/>
    <cellStyle name="Normal 2 16 3 2 4 5" xfId="24646" xr:uid="{00000000-0005-0000-0000-0000F55E0000}"/>
    <cellStyle name="Normal 2 16 3 2 5" xfId="24647" xr:uid="{00000000-0005-0000-0000-0000F65E0000}"/>
    <cellStyle name="Normal 2 16 3 2 6" xfId="24648" xr:uid="{00000000-0005-0000-0000-0000F75E0000}"/>
    <cellStyle name="Normal 2 16 3 2 7" xfId="24649" xr:uid="{00000000-0005-0000-0000-0000F85E0000}"/>
    <cellStyle name="Normal 2 16 3 2 8" xfId="24650" xr:uid="{00000000-0005-0000-0000-0000F95E0000}"/>
    <cellStyle name="Normal 2 16 3 2 9" xfId="24651" xr:uid="{00000000-0005-0000-0000-0000FA5E0000}"/>
    <cellStyle name="Normal 2 16 3 3" xfId="24652" xr:uid="{00000000-0005-0000-0000-0000FB5E0000}"/>
    <cellStyle name="Normal 2 16 3 3 2" xfId="24653" xr:uid="{00000000-0005-0000-0000-0000FC5E0000}"/>
    <cellStyle name="Normal 2 16 3 3 2 2" xfId="24654" xr:uid="{00000000-0005-0000-0000-0000FD5E0000}"/>
    <cellStyle name="Normal 2 16 3 3 2 3" xfId="24655" xr:uid="{00000000-0005-0000-0000-0000FE5E0000}"/>
    <cellStyle name="Normal 2 16 3 3 2 4" xfId="24656" xr:uid="{00000000-0005-0000-0000-0000FF5E0000}"/>
    <cellStyle name="Normal 2 16 3 3 2 5" xfId="24657" xr:uid="{00000000-0005-0000-0000-0000005F0000}"/>
    <cellStyle name="Normal 2 16 3 3 3" xfId="24658" xr:uid="{00000000-0005-0000-0000-0000015F0000}"/>
    <cellStyle name="Normal 2 16 3 3 4" xfId="24659" xr:uid="{00000000-0005-0000-0000-0000025F0000}"/>
    <cellStyle name="Normal 2 16 3 3 5" xfId="24660" xr:uid="{00000000-0005-0000-0000-0000035F0000}"/>
    <cellStyle name="Normal 2 16 3 3 6" xfId="24661" xr:uid="{00000000-0005-0000-0000-0000045F0000}"/>
    <cellStyle name="Normal 2 16 3 3 7" xfId="24662" xr:uid="{00000000-0005-0000-0000-0000055F0000}"/>
    <cellStyle name="Normal 2 16 3 3 8" xfId="24663" xr:uid="{00000000-0005-0000-0000-0000065F0000}"/>
    <cellStyle name="Normal 2 16 3 4" xfId="24664" xr:uid="{00000000-0005-0000-0000-0000075F0000}"/>
    <cellStyle name="Normal 2 16 3 4 2" xfId="24665" xr:uid="{00000000-0005-0000-0000-0000085F0000}"/>
    <cellStyle name="Normal 2 16 3 4 2 2" xfId="24666" xr:uid="{00000000-0005-0000-0000-0000095F0000}"/>
    <cellStyle name="Normal 2 16 3 4 2 3" xfId="24667" xr:uid="{00000000-0005-0000-0000-00000A5F0000}"/>
    <cellStyle name="Normal 2 16 3 4 2 4" xfId="24668" xr:uid="{00000000-0005-0000-0000-00000B5F0000}"/>
    <cellStyle name="Normal 2 16 3 4 2 5" xfId="24669" xr:uid="{00000000-0005-0000-0000-00000C5F0000}"/>
    <cellStyle name="Normal 2 16 3 4 3" xfId="24670" xr:uid="{00000000-0005-0000-0000-00000D5F0000}"/>
    <cellStyle name="Normal 2 16 3 4 4" xfId="24671" xr:uid="{00000000-0005-0000-0000-00000E5F0000}"/>
    <cellStyle name="Normal 2 16 3 4 5" xfId="24672" xr:uid="{00000000-0005-0000-0000-00000F5F0000}"/>
    <cellStyle name="Normal 2 16 3 4 6" xfId="24673" xr:uid="{00000000-0005-0000-0000-0000105F0000}"/>
    <cellStyle name="Normal 2 16 3 4 7" xfId="24674" xr:uid="{00000000-0005-0000-0000-0000115F0000}"/>
    <cellStyle name="Normal 2 16 3 4 8" xfId="24675" xr:uid="{00000000-0005-0000-0000-0000125F0000}"/>
    <cellStyle name="Normal 2 16 3 5" xfId="24676" xr:uid="{00000000-0005-0000-0000-0000135F0000}"/>
    <cellStyle name="Normal 2 16 3 5 2" xfId="24677" xr:uid="{00000000-0005-0000-0000-0000145F0000}"/>
    <cellStyle name="Normal 2 16 3 5 3" xfId="24678" xr:uid="{00000000-0005-0000-0000-0000155F0000}"/>
    <cellStyle name="Normal 2 16 3 5 4" xfId="24679" xr:uid="{00000000-0005-0000-0000-0000165F0000}"/>
    <cellStyle name="Normal 2 16 3 5 5" xfId="24680" xr:uid="{00000000-0005-0000-0000-0000175F0000}"/>
    <cellStyle name="Normal 2 16 3 6" xfId="24681" xr:uid="{00000000-0005-0000-0000-0000185F0000}"/>
    <cellStyle name="Normal 2 16 3 7" xfId="24682" xr:uid="{00000000-0005-0000-0000-0000195F0000}"/>
    <cellStyle name="Normal 2 16 3 8" xfId="24683" xr:uid="{00000000-0005-0000-0000-00001A5F0000}"/>
    <cellStyle name="Normal 2 16 3 9" xfId="24684" xr:uid="{00000000-0005-0000-0000-00001B5F0000}"/>
    <cellStyle name="Normal 2 16 4" xfId="24685" xr:uid="{00000000-0005-0000-0000-00001C5F0000}"/>
    <cellStyle name="Normal 2 16 4 10" xfId="24686" xr:uid="{00000000-0005-0000-0000-00001D5F0000}"/>
    <cellStyle name="Normal 2 16 4 2" xfId="24687" xr:uid="{00000000-0005-0000-0000-00001E5F0000}"/>
    <cellStyle name="Normal 2 16 4 2 2" xfId="24688" xr:uid="{00000000-0005-0000-0000-00001F5F0000}"/>
    <cellStyle name="Normal 2 16 4 2 2 2" xfId="24689" xr:uid="{00000000-0005-0000-0000-0000205F0000}"/>
    <cellStyle name="Normal 2 16 4 2 2 3" xfId="24690" xr:uid="{00000000-0005-0000-0000-0000215F0000}"/>
    <cellStyle name="Normal 2 16 4 2 2 4" xfId="24691" xr:uid="{00000000-0005-0000-0000-0000225F0000}"/>
    <cellStyle name="Normal 2 16 4 2 2 5" xfId="24692" xr:uid="{00000000-0005-0000-0000-0000235F0000}"/>
    <cellStyle name="Normal 2 16 4 2 3" xfId="24693" xr:uid="{00000000-0005-0000-0000-0000245F0000}"/>
    <cellStyle name="Normal 2 16 4 2 4" xfId="24694" xr:uid="{00000000-0005-0000-0000-0000255F0000}"/>
    <cellStyle name="Normal 2 16 4 2 5" xfId="24695" xr:uid="{00000000-0005-0000-0000-0000265F0000}"/>
    <cellStyle name="Normal 2 16 4 2 6" xfId="24696" xr:uid="{00000000-0005-0000-0000-0000275F0000}"/>
    <cellStyle name="Normal 2 16 4 2 7" xfId="24697" xr:uid="{00000000-0005-0000-0000-0000285F0000}"/>
    <cellStyle name="Normal 2 16 4 2 8" xfId="24698" xr:uid="{00000000-0005-0000-0000-0000295F0000}"/>
    <cellStyle name="Normal 2 16 4 3" xfId="24699" xr:uid="{00000000-0005-0000-0000-00002A5F0000}"/>
    <cellStyle name="Normal 2 16 4 3 2" xfId="24700" xr:uid="{00000000-0005-0000-0000-00002B5F0000}"/>
    <cellStyle name="Normal 2 16 4 3 2 2" xfId="24701" xr:uid="{00000000-0005-0000-0000-00002C5F0000}"/>
    <cellStyle name="Normal 2 16 4 3 2 3" xfId="24702" xr:uid="{00000000-0005-0000-0000-00002D5F0000}"/>
    <cellStyle name="Normal 2 16 4 3 2 4" xfId="24703" xr:uid="{00000000-0005-0000-0000-00002E5F0000}"/>
    <cellStyle name="Normal 2 16 4 3 2 5" xfId="24704" xr:uid="{00000000-0005-0000-0000-00002F5F0000}"/>
    <cellStyle name="Normal 2 16 4 3 3" xfId="24705" xr:uid="{00000000-0005-0000-0000-0000305F0000}"/>
    <cellStyle name="Normal 2 16 4 3 4" xfId="24706" xr:uid="{00000000-0005-0000-0000-0000315F0000}"/>
    <cellStyle name="Normal 2 16 4 3 5" xfId="24707" xr:uid="{00000000-0005-0000-0000-0000325F0000}"/>
    <cellStyle name="Normal 2 16 4 3 6" xfId="24708" xr:uid="{00000000-0005-0000-0000-0000335F0000}"/>
    <cellStyle name="Normal 2 16 4 3 7" xfId="24709" xr:uid="{00000000-0005-0000-0000-0000345F0000}"/>
    <cellStyle name="Normal 2 16 4 3 8" xfId="24710" xr:uid="{00000000-0005-0000-0000-0000355F0000}"/>
    <cellStyle name="Normal 2 16 4 4" xfId="24711" xr:uid="{00000000-0005-0000-0000-0000365F0000}"/>
    <cellStyle name="Normal 2 16 4 4 2" xfId="24712" xr:uid="{00000000-0005-0000-0000-0000375F0000}"/>
    <cellStyle name="Normal 2 16 4 4 3" xfId="24713" xr:uid="{00000000-0005-0000-0000-0000385F0000}"/>
    <cellStyle name="Normal 2 16 4 4 4" xfId="24714" xr:uid="{00000000-0005-0000-0000-0000395F0000}"/>
    <cellStyle name="Normal 2 16 4 4 5" xfId="24715" xr:uid="{00000000-0005-0000-0000-00003A5F0000}"/>
    <cellStyle name="Normal 2 16 4 5" xfId="24716" xr:uid="{00000000-0005-0000-0000-00003B5F0000}"/>
    <cellStyle name="Normal 2 16 4 6" xfId="24717" xr:uid="{00000000-0005-0000-0000-00003C5F0000}"/>
    <cellStyle name="Normal 2 16 4 7" xfId="24718" xr:uid="{00000000-0005-0000-0000-00003D5F0000}"/>
    <cellStyle name="Normal 2 16 4 8" xfId="24719" xr:uid="{00000000-0005-0000-0000-00003E5F0000}"/>
    <cellStyle name="Normal 2 16 4 9" xfId="24720" xr:uid="{00000000-0005-0000-0000-00003F5F0000}"/>
    <cellStyle name="Normal 2 16 5" xfId="24721" xr:uid="{00000000-0005-0000-0000-0000405F0000}"/>
    <cellStyle name="Normal 2 16 5 2" xfId="24722" xr:uid="{00000000-0005-0000-0000-0000415F0000}"/>
    <cellStyle name="Normal 2 16 5 2 2" xfId="24723" xr:uid="{00000000-0005-0000-0000-0000425F0000}"/>
    <cellStyle name="Normal 2 16 5 2 3" xfId="24724" xr:uid="{00000000-0005-0000-0000-0000435F0000}"/>
    <cellStyle name="Normal 2 16 5 2 4" xfId="24725" xr:uid="{00000000-0005-0000-0000-0000445F0000}"/>
    <cellStyle name="Normal 2 16 5 2 5" xfId="24726" xr:uid="{00000000-0005-0000-0000-0000455F0000}"/>
    <cellStyle name="Normal 2 16 5 3" xfId="24727" xr:uid="{00000000-0005-0000-0000-0000465F0000}"/>
    <cellStyle name="Normal 2 16 5 4" xfId="24728" xr:uid="{00000000-0005-0000-0000-0000475F0000}"/>
    <cellStyle name="Normal 2 16 5 5" xfId="24729" xr:uid="{00000000-0005-0000-0000-0000485F0000}"/>
    <cellStyle name="Normal 2 16 5 6" xfId="24730" xr:uid="{00000000-0005-0000-0000-0000495F0000}"/>
    <cellStyle name="Normal 2 16 5 7" xfId="24731" xr:uid="{00000000-0005-0000-0000-00004A5F0000}"/>
    <cellStyle name="Normal 2 16 5 8" xfId="24732" xr:uid="{00000000-0005-0000-0000-00004B5F0000}"/>
    <cellStyle name="Normal 2 16 6" xfId="24733" xr:uid="{00000000-0005-0000-0000-00004C5F0000}"/>
    <cellStyle name="Normal 2 16 6 2" xfId="24734" xr:uid="{00000000-0005-0000-0000-00004D5F0000}"/>
    <cellStyle name="Normal 2 16 6 2 2" xfId="24735" xr:uid="{00000000-0005-0000-0000-00004E5F0000}"/>
    <cellStyle name="Normal 2 16 6 2 3" xfId="24736" xr:uid="{00000000-0005-0000-0000-00004F5F0000}"/>
    <cellStyle name="Normal 2 16 6 2 4" xfId="24737" xr:uid="{00000000-0005-0000-0000-0000505F0000}"/>
    <cellStyle name="Normal 2 16 6 2 5" xfId="24738" xr:uid="{00000000-0005-0000-0000-0000515F0000}"/>
    <cellStyle name="Normal 2 16 6 3" xfId="24739" xr:uid="{00000000-0005-0000-0000-0000525F0000}"/>
    <cellStyle name="Normal 2 16 6 4" xfId="24740" xr:uid="{00000000-0005-0000-0000-0000535F0000}"/>
    <cellStyle name="Normal 2 16 6 5" xfId="24741" xr:uid="{00000000-0005-0000-0000-0000545F0000}"/>
    <cellStyle name="Normal 2 16 6 6" xfId="24742" xr:uid="{00000000-0005-0000-0000-0000555F0000}"/>
    <cellStyle name="Normal 2 16 6 7" xfId="24743" xr:uid="{00000000-0005-0000-0000-0000565F0000}"/>
    <cellStyle name="Normal 2 16 6 8" xfId="24744" xr:uid="{00000000-0005-0000-0000-0000575F0000}"/>
    <cellStyle name="Normal 2 16 7" xfId="24745" xr:uid="{00000000-0005-0000-0000-0000585F0000}"/>
    <cellStyle name="Normal 2 16 7 2" xfId="24746" xr:uid="{00000000-0005-0000-0000-0000595F0000}"/>
    <cellStyle name="Normal 2 16 7 3" xfId="24747" xr:uid="{00000000-0005-0000-0000-00005A5F0000}"/>
    <cellStyle name="Normal 2 16 7 4" xfId="24748" xr:uid="{00000000-0005-0000-0000-00005B5F0000}"/>
    <cellStyle name="Normal 2 16 7 5" xfId="24749" xr:uid="{00000000-0005-0000-0000-00005C5F0000}"/>
    <cellStyle name="Normal 2 16 8" xfId="24750" xr:uid="{00000000-0005-0000-0000-00005D5F0000}"/>
    <cellStyle name="Normal 2 16 9" xfId="24751" xr:uid="{00000000-0005-0000-0000-00005E5F0000}"/>
    <cellStyle name="Normal 2 17" xfId="24752" xr:uid="{00000000-0005-0000-0000-00005F5F0000}"/>
    <cellStyle name="Normal 2 17 10" xfId="24753" xr:uid="{00000000-0005-0000-0000-0000605F0000}"/>
    <cellStyle name="Normal 2 17 11" xfId="24754" xr:uid="{00000000-0005-0000-0000-0000615F0000}"/>
    <cellStyle name="Normal 2 17 12" xfId="24755" xr:uid="{00000000-0005-0000-0000-0000625F0000}"/>
    <cellStyle name="Normal 2 17 13" xfId="24756" xr:uid="{00000000-0005-0000-0000-0000635F0000}"/>
    <cellStyle name="Normal 2 17 2" xfId="24757" xr:uid="{00000000-0005-0000-0000-0000645F0000}"/>
    <cellStyle name="Normal 2 17 2 10" xfId="24758" xr:uid="{00000000-0005-0000-0000-0000655F0000}"/>
    <cellStyle name="Normal 2 17 2 11" xfId="24759" xr:uid="{00000000-0005-0000-0000-0000665F0000}"/>
    <cellStyle name="Normal 2 17 2 2" xfId="24760" xr:uid="{00000000-0005-0000-0000-0000675F0000}"/>
    <cellStyle name="Normal 2 17 2 2 10" xfId="24761" xr:uid="{00000000-0005-0000-0000-0000685F0000}"/>
    <cellStyle name="Normal 2 17 2 2 2" xfId="24762" xr:uid="{00000000-0005-0000-0000-0000695F0000}"/>
    <cellStyle name="Normal 2 17 2 2 2 2" xfId="24763" xr:uid="{00000000-0005-0000-0000-00006A5F0000}"/>
    <cellStyle name="Normal 2 17 2 2 2 2 2" xfId="24764" xr:uid="{00000000-0005-0000-0000-00006B5F0000}"/>
    <cellStyle name="Normal 2 17 2 2 2 2 3" xfId="24765" xr:uid="{00000000-0005-0000-0000-00006C5F0000}"/>
    <cellStyle name="Normal 2 17 2 2 2 2 4" xfId="24766" xr:uid="{00000000-0005-0000-0000-00006D5F0000}"/>
    <cellStyle name="Normal 2 17 2 2 2 2 5" xfId="24767" xr:uid="{00000000-0005-0000-0000-00006E5F0000}"/>
    <cellStyle name="Normal 2 17 2 2 2 3" xfId="24768" xr:uid="{00000000-0005-0000-0000-00006F5F0000}"/>
    <cellStyle name="Normal 2 17 2 2 2 4" xfId="24769" xr:uid="{00000000-0005-0000-0000-0000705F0000}"/>
    <cellStyle name="Normal 2 17 2 2 2 5" xfId="24770" xr:uid="{00000000-0005-0000-0000-0000715F0000}"/>
    <cellStyle name="Normal 2 17 2 2 2 6" xfId="24771" xr:uid="{00000000-0005-0000-0000-0000725F0000}"/>
    <cellStyle name="Normal 2 17 2 2 2 7" xfId="24772" xr:uid="{00000000-0005-0000-0000-0000735F0000}"/>
    <cellStyle name="Normal 2 17 2 2 2 8" xfId="24773" xr:uid="{00000000-0005-0000-0000-0000745F0000}"/>
    <cellStyle name="Normal 2 17 2 2 3" xfId="24774" xr:uid="{00000000-0005-0000-0000-0000755F0000}"/>
    <cellStyle name="Normal 2 17 2 2 3 2" xfId="24775" xr:uid="{00000000-0005-0000-0000-0000765F0000}"/>
    <cellStyle name="Normal 2 17 2 2 3 2 2" xfId="24776" xr:uid="{00000000-0005-0000-0000-0000775F0000}"/>
    <cellStyle name="Normal 2 17 2 2 3 2 3" xfId="24777" xr:uid="{00000000-0005-0000-0000-0000785F0000}"/>
    <cellStyle name="Normal 2 17 2 2 3 2 4" xfId="24778" xr:uid="{00000000-0005-0000-0000-0000795F0000}"/>
    <cellStyle name="Normal 2 17 2 2 3 2 5" xfId="24779" xr:uid="{00000000-0005-0000-0000-00007A5F0000}"/>
    <cellStyle name="Normal 2 17 2 2 3 3" xfId="24780" xr:uid="{00000000-0005-0000-0000-00007B5F0000}"/>
    <cellStyle name="Normal 2 17 2 2 3 4" xfId="24781" xr:uid="{00000000-0005-0000-0000-00007C5F0000}"/>
    <cellStyle name="Normal 2 17 2 2 3 5" xfId="24782" xr:uid="{00000000-0005-0000-0000-00007D5F0000}"/>
    <cellStyle name="Normal 2 17 2 2 3 6" xfId="24783" xr:uid="{00000000-0005-0000-0000-00007E5F0000}"/>
    <cellStyle name="Normal 2 17 2 2 3 7" xfId="24784" xr:uid="{00000000-0005-0000-0000-00007F5F0000}"/>
    <cellStyle name="Normal 2 17 2 2 3 8" xfId="24785" xr:uid="{00000000-0005-0000-0000-0000805F0000}"/>
    <cellStyle name="Normal 2 17 2 2 4" xfId="24786" xr:uid="{00000000-0005-0000-0000-0000815F0000}"/>
    <cellStyle name="Normal 2 17 2 2 4 2" xfId="24787" xr:uid="{00000000-0005-0000-0000-0000825F0000}"/>
    <cellStyle name="Normal 2 17 2 2 4 3" xfId="24788" xr:uid="{00000000-0005-0000-0000-0000835F0000}"/>
    <cellStyle name="Normal 2 17 2 2 4 4" xfId="24789" xr:uid="{00000000-0005-0000-0000-0000845F0000}"/>
    <cellStyle name="Normal 2 17 2 2 4 5" xfId="24790" xr:uid="{00000000-0005-0000-0000-0000855F0000}"/>
    <cellStyle name="Normal 2 17 2 2 5" xfId="24791" xr:uid="{00000000-0005-0000-0000-0000865F0000}"/>
    <cellStyle name="Normal 2 17 2 2 6" xfId="24792" xr:uid="{00000000-0005-0000-0000-0000875F0000}"/>
    <cellStyle name="Normal 2 17 2 2 7" xfId="24793" xr:uid="{00000000-0005-0000-0000-0000885F0000}"/>
    <cellStyle name="Normal 2 17 2 2 8" xfId="24794" xr:uid="{00000000-0005-0000-0000-0000895F0000}"/>
    <cellStyle name="Normal 2 17 2 2 9" xfId="24795" xr:uid="{00000000-0005-0000-0000-00008A5F0000}"/>
    <cellStyle name="Normal 2 17 2 3" xfId="24796" xr:uid="{00000000-0005-0000-0000-00008B5F0000}"/>
    <cellStyle name="Normal 2 17 2 3 2" xfId="24797" xr:uid="{00000000-0005-0000-0000-00008C5F0000}"/>
    <cellStyle name="Normal 2 17 2 3 2 2" xfId="24798" xr:uid="{00000000-0005-0000-0000-00008D5F0000}"/>
    <cellStyle name="Normal 2 17 2 3 2 3" xfId="24799" xr:uid="{00000000-0005-0000-0000-00008E5F0000}"/>
    <cellStyle name="Normal 2 17 2 3 2 4" xfId="24800" xr:uid="{00000000-0005-0000-0000-00008F5F0000}"/>
    <cellStyle name="Normal 2 17 2 3 2 5" xfId="24801" xr:uid="{00000000-0005-0000-0000-0000905F0000}"/>
    <cellStyle name="Normal 2 17 2 3 3" xfId="24802" xr:uid="{00000000-0005-0000-0000-0000915F0000}"/>
    <cellStyle name="Normal 2 17 2 3 4" xfId="24803" xr:uid="{00000000-0005-0000-0000-0000925F0000}"/>
    <cellStyle name="Normal 2 17 2 3 5" xfId="24804" xr:uid="{00000000-0005-0000-0000-0000935F0000}"/>
    <cellStyle name="Normal 2 17 2 3 6" xfId="24805" xr:uid="{00000000-0005-0000-0000-0000945F0000}"/>
    <cellStyle name="Normal 2 17 2 3 7" xfId="24806" xr:uid="{00000000-0005-0000-0000-0000955F0000}"/>
    <cellStyle name="Normal 2 17 2 3 8" xfId="24807" xr:uid="{00000000-0005-0000-0000-0000965F0000}"/>
    <cellStyle name="Normal 2 17 2 4" xfId="24808" xr:uid="{00000000-0005-0000-0000-0000975F0000}"/>
    <cellStyle name="Normal 2 17 2 4 2" xfId="24809" xr:uid="{00000000-0005-0000-0000-0000985F0000}"/>
    <cellStyle name="Normal 2 17 2 4 2 2" xfId="24810" xr:uid="{00000000-0005-0000-0000-0000995F0000}"/>
    <cellStyle name="Normal 2 17 2 4 2 3" xfId="24811" xr:uid="{00000000-0005-0000-0000-00009A5F0000}"/>
    <cellStyle name="Normal 2 17 2 4 2 4" xfId="24812" xr:uid="{00000000-0005-0000-0000-00009B5F0000}"/>
    <cellStyle name="Normal 2 17 2 4 2 5" xfId="24813" xr:uid="{00000000-0005-0000-0000-00009C5F0000}"/>
    <cellStyle name="Normal 2 17 2 4 3" xfId="24814" xr:uid="{00000000-0005-0000-0000-00009D5F0000}"/>
    <cellStyle name="Normal 2 17 2 4 4" xfId="24815" xr:uid="{00000000-0005-0000-0000-00009E5F0000}"/>
    <cellStyle name="Normal 2 17 2 4 5" xfId="24816" xr:uid="{00000000-0005-0000-0000-00009F5F0000}"/>
    <cellStyle name="Normal 2 17 2 4 6" xfId="24817" xr:uid="{00000000-0005-0000-0000-0000A05F0000}"/>
    <cellStyle name="Normal 2 17 2 4 7" xfId="24818" xr:uid="{00000000-0005-0000-0000-0000A15F0000}"/>
    <cellStyle name="Normal 2 17 2 4 8" xfId="24819" xr:uid="{00000000-0005-0000-0000-0000A25F0000}"/>
    <cellStyle name="Normal 2 17 2 5" xfId="24820" xr:uid="{00000000-0005-0000-0000-0000A35F0000}"/>
    <cellStyle name="Normal 2 17 2 5 2" xfId="24821" xr:uid="{00000000-0005-0000-0000-0000A45F0000}"/>
    <cellStyle name="Normal 2 17 2 5 3" xfId="24822" xr:uid="{00000000-0005-0000-0000-0000A55F0000}"/>
    <cellStyle name="Normal 2 17 2 5 4" xfId="24823" xr:uid="{00000000-0005-0000-0000-0000A65F0000}"/>
    <cellStyle name="Normal 2 17 2 5 5" xfId="24824" xr:uid="{00000000-0005-0000-0000-0000A75F0000}"/>
    <cellStyle name="Normal 2 17 2 6" xfId="24825" xr:uid="{00000000-0005-0000-0000-0000A85F0000}"/>
    <cellStyle name="Normal 2 17 2 7" xfId="24826" xr:uid="{00000000-0005-0000-0000-0000A95F0000}"/>
    <cellStyle name="Normal 2 17 2 8" xfId="24827" xr:uid="{00000000-0005-0000-0000-0000AA5F0000}"/>
    <cellStyle name="Normal 2 17 2 9" xfId="24828" xr:uid="{00000000-0005-0000-0000-0000AB5F0000}"/>
    <cellStyle name="Normal 2 17 3" xfId="24829" xr:uid="{00000000-0005-0000-0000-0000AC5F0000}"/>
    <cellStyle name="Normal 2 17 3 10" xfId="24830" xr:uid="{00000000-0005-0000-0000-0000AD5F0000}"/>
    <cellStyle name="Normal 2 17 3 11" xfId="24831" xr:uid="{00000000-0005-0000-0000-0000AE5F0000}"/>
    <cellStyle name="Normal 2 17 3 2" xfId="24832" xr:uid="{00000000-0005-0000-0000-0000AF5F0000}"/>
    <cellStyle name="Normal 2 17 3 2 10" xfId="24833" xr:uid="{00000000-0005-0000-0000-0000B05F0000}"/>
    <cellStyle name="Normal 2 17 3 2 2" xfId="24834" xr:uid="{00000000-0005-0000-0000-0000B15F0000}"/>
    <cellStyle name="Normal 2 17 3 2 2 2" xfId="24835" xr:uid="{00000000-0005-0000-0000-0000B25F0000}"/>
    <cellStyle name="Normal 2 17 3 2 2 2 2" xfId="24836" xr:uid="{00000000-0005-0000-0000-0000B35F0000}"/>
    <cellStyle name="Normal 2 17 3 2 2 2 3" xfId="24837" xr:uid="{00000000-0005-0000-0000-0000B45F0000}"/>
    <cellStyle name="Normal 2 17 3 2 2 2 4" xfId="24838" xr:uid="{00000000-0005-0000-0000-0000B55F0000}"/>
    <cellStyle name="Normal 2 17 3 2 2 2 5" xfId="24839" xr:uid="{00000000-0005-0000-0000-0000B65F0000}"/>
    <cellStyle name="Normal 2 17 3 2 2 3" xfId="24840" xr:uid="{00000000-0005-0000-0000-0000B75F0000}"/>
    <cellStyle name="Normal 2 17 3 2 2 4" xfId="24841" xr:uid="{00000000-0005-0000-0000-0000B85F0000}"/>
    <cellStyle name="Normal 2 17 3 2 2 5" xfId="24842" xr:uid="{00000000-0005-0000-0000-0000B95F0000}"/>
    <cellStyle name="Normal 2 17 3 2 2 6" xfId="24843" xr:uid="{00000000-0005-0000-0000-0000BA5F0000}"/>
    <cellStyle name="Normal 2 17 3 2 2 7" xfId="24844" xr:uid="{00000000-0005-0000-0000-0000BB5F0000}"/>
    <cellStyle name="Normal 2 17 3 2 2 8" xfId="24845" xr:uid="{00000000-0005-0000-0000-0000BC5F0000}"/>
    <cellStyle name="Normal 2 17 3 2 3" xfId="24846" xr:uid="{00000000-0005-0000-0000-0000BD5F0000}"/>
    <cellStyle name="Normal 2 17 3 2 3 2" xfId="24847" xr:uid="{00000000-0005-0000-0000-0000BE5F0000}"/>
    <cellStyle name="Normal 2 17 3 2 3 2 2" xfId="24848" xr:uid="{00000000-0005-0000-0000-0000BF5F0000}"/>
    <cellStyle name="Normal 2 17 3 2 3 2 3" xfId="24849" xr:uid="{00000000-0005-0000-0000-0000C05F0000}"/>
    <cellStyle name="Normal 2 17 3 2 3 2 4" xfId="24850" xr:uid="{00000000-0005-0000-0000-0000C15F0000}"/>
    <cellStyle name="Normal 2 17 3 2 3 2 5" xfId="24851" xr:uid="{00000000-0005-0000-0000-0000C25F0000}"/>
    <cellStyle name="Normal 2 17 3 2 3 3" xfId="24852" xr:uid="{00000000-0005-0000-0000-0000C35F0000}"/>
    <cellStyle name="Normal 2 17 3 2 3 4" xfId="24853" xr:uid="{00000000-0005-0000-0000-0000C45F0000}"/>
    <cellStyle name="Normal 2 17 3 2 3 5" xfId="24854" xr:uid="{00000000-0005-0000-0000-0000C55F0000}"/>
    <cellStyle name="Normal 2 17 3 2 3 6" xfId="24855" xr:uid="{00000000-0005-0000-0000-0000C65F0000}"/>
    <cellStyle name="Normal 2 17 3 2 3 7" xfId="24856" xr:uid="{00000000-0005-0000-0000-0000C75F0000}"/>
    <cellStyle name="Normal 2 17 3 2 3 8" xfId="24857" xr:uid="{00000000-0005-0000-0000-0000C85F0000}"/>
    <cellStyle name="Normal 2 17 3 2 4" xfId="24858" xr:uid="{00000000-0005-0000-0000-0000C95F0000}"/>
    <cellStyle name="Normal 2 17 3 2 4 2" xfId="24859" xr:uid="{00000000-0005-0000-0000-0000CA5F0000}"/>
    <cellStyle name="Normal 2 17 3 2 4 3" xfId="24860" xr:uid="{00000000-0005-0000-0000-0000CB5F0000}"/>
    <cellStyle name="Normal 2 17 3 2 4 4" xfId="24861" xr:uid="{00000000-0005-0000-0000-0000CC5F0000}"/>
    <cellStyle name="Normal 2 17 3 2 4 5" xfId="24862" xr:uid="{00000000-0005-0000-0000-0000CD5F0000}"/>
    <cellStyle name="Normal 2 17 3 2 5" xfId="24863" xr:uid="{00000000-0005-0000-0000-0000CE5F0000}"/>
    <cellStyle name="Normal 2 17 3 2 6" xfId="24864" xr:uid="{00000000-0005-0000-0000-0000CF5F0000}"/>
    <cellStyle name="Normal 2 17 3 2 7" xfId="24865" xr:uid="{00000000-0005-0000-0000-0000D05F0000}"/>
    <cellStyle name="Normal 2 17 3 2 8" xfId="24866" xr:uid="{00000000-0005-0000-0000-0000D15F0000}"/>
    <cellStyle name="Normal 2 17 3 2 9" xfId="24867" xr:uid="{00000000-0005-0000-0000-0000D25F0000}"/>
    <cellStyle name="Normal 2 17 3 3" xfId="24868" xr:uid="{00000000-0005-0000-0000-0000D35F0000}"/>
    <cellStyle name="Normal 2 17 3 3 2" xfId="24869" xr:uid="{00000000-0005-0000-0000-0000D45F0000}"/>
    <cellStyle name="Normal 2 17 3 3 2 2" xfId="24870" xr:uid="{00000000-0005-0000-0000-0000D55F0000}"/>
    <cellStyle name="Normal 2 17 3 3 2 3" xfId="24871" xr:uid="{00000000-0005-0000-0000-0000D65F0000}"/>
    <cellStyle name="Normal 2 17 3 3 2 4" xfId="24872" xr:uid="{00000000-0005-0000-0000-0000D75F0000}"/>
    <cellStyle name="Normal 2 17 3 3 2 5" xfId="24873" xr:uid="{00000000-0005-0000-0000-0000D85F0000}"/>
    <cellStyle name="Normal 2 17 3 3 3" xfId="24874" xr:uid="{00000000-0005-0000-0000-0000D95F0000}"/>
    <cellStyle name="Normal 2 17 3 3 4" xfId="24875" xr:uid="{00000000-0005-0000-0000-0000DA5F0000}"/>
    <cellStyle name="Normal 2 17 3 3 5" xfId="24876" xr:uid="{00000000-0005-0000-0000-0000DB5F0000}"/>
    <cellStyle name="Normal 2 17 3 3 6" xfId="24877" xr:uid="{00000000-0005-0000-0000-0000DC5F0000}"/>
    <cellStyle name="Normal 2 17 3 3 7" xfId="24878" xr:uid="{00000000-0005-0000-0000-0000DD5F0000}"/>
    <cellStyle name="Normal 2 17 3 3 8" xfId="24879" xr:uid="{00000000-0005-0000-0000-0000DE5F0000}"/>
    <cellStyle name="Normal 2 17 3 4" xfId="24880" xr:uid="{00000000-0005-0000-0000-0000DF5F0000}"/>
    <cellStyle name="Normal 2 17 3 4 2" xfId="24881" xr:uid="{00000000-0005-0000-0000-0000E05F0000}"/>
    <cellStyle name="Normal 2 17 3 4 2 2" xfId="24882" xr:uid="{00000000-0005-0000-0000-0000E15F0000}"/>
    <cellStyle name="Normal 2 17 3 4 2 3" xfId="24883" xr:uid="{00000000-0005-0000-0000-0000E25F0000}"/>
    <cellStyle name="Normal 2 17 3 4 2 4" xfId="24884" xr:uid="{00000000-0005-0000-0000-0000E35F0000}"/>
    <cellStyle name="Normal 2 17 3 4 2 5" xfId="24885" xr:uid="{00000000-0005-0000-0000-0000E45F0000}"/>
    <cellStyle name="Normal 2 17 3 4 3" xfId="24886" xr:uid="{00000000-0005-0000-0000-0000E55F0000}"/>
    <cellStyle name="Normal 2 17 3 4 4" xfId="24887" xr:uid="{00000000-0005-0000-0000-0000E65F0000}"/>
    <cellStyle name="Normal 2 17 3 4 5" xfId="24888" xr:uid="{00000000-0005-0000-0000-0000E75F0000}"/>
    <cellStyle name="Normal 2 17 3 4 6" xfId="24889" xr:uid="{00000000-0005-0000-0000-0000E85F0000}"/>
    <cellStyle name="Normal 2 17 3 4 7" xfId="24890" xr:uid="{00000000-0005-0000-0000-0000E95F0000}"/>
    <cellStyle name="Normal 2 17 3 4 8" xfId="24891" xr:uid="{00000000-0005-0000-0000-0000EA5F0000}"/>
    <cellStyle name="Normal 2 17 3 5" xfId="24892" xr:uid="{00000000-0005-0000-0000-0000EB5F0000}"/>
    <cellStyle name="Normal 2 17 3 5 2" xfId="24893" xr:uid="{00000000-0005-0000-0000-0000EC5F0000}"/>
    <cellStyle name="Normal 2 17 3 5 3" xfId="24894" xr:uid="{00000000-0005-0000-0000-0000ED5F0000}"/>
    <cellStyle name="Normal 2 17 3 5 4" xfId="24895" xr:uid="{00000000-0005-0000-0000-0000EE5F0000}"/>
    <cellStyle name="Normal 2 17 3 5 5" xfId="24896" xr:uid="{00000000-0005-0000-0000-0000EF5F0000}"/>
    <cellStyle name="Normal 2 17 3 6" xfId="24897" xr:uid="{00000000-0005-0000-0000-0000F05F0000}"/>
    <cellStyle name="Normal 2 17 3 7" xfId="24898" xr:uid="{00000000-0005-0000-0000-0000F15F0000}"/>
    <cellStyle name="Normal 2 17 3 8" xfId="24899" xr:uid="{00000000-0005-0000-0000-0000F25F0000}"/>
    <cellStyle name="Normal 2 17 3 9" xfId="24900" xr:uid="{00000000-0005-0000-0000-0000F35F0000}"/>
    <cellStyle name="Normal 2 17 4" xfId="24901" xr:uid="{00000000-0005-0000-0000-0000F45F0000}"/>
    <cellStyle name="Normal 2 17 4 10" xfId="24902" xr:uid="{00000000-0005-0000-0000-0000F55F0000}"/>
    <cellStyle name="Normal 2 17 4 2" xfId="24903" xr:uid="{00000000-0005-0000-0000-0000F65F0000}"/>
    <cellStyle name="Normal 2 17 4 2 2" xfId="24904" xr:uid="{00000000-0005-0000-0000-0000F75F0000}"/>
    <cellStyle name="Normal 2 17 4 2 2 2" xfId="24905" xr:uid="{00000000-0005-0000-0000-0000F85F0000}"/>
    <cellStyle name="Normal 2 17 4 2 2 3" xfId="24906" xr:uid="{00000000-0005-0000-0000-0000F95F0000}"/>
    <cellStyle name="Normal 2 17 4 2 2 4" xfId="24907" xr:uid="{00000000-0005-0000-0000-0000FA5F0000}"/>
    <cellStyle name="Normal 2 17 4 2 2 5" xfId="24908" xr:uid="{00000000-0005-0000-0000-0000FB5F0000}"/>
    <cellStyle name="Normal 2 17 4 2 3" xfId="24909" xr:uid="{00000000-0005-0000-0000-0000FC5F0000}"/>
    <cellStyle name="Normal 2 17 4 2 4" xfId="24910" xr:uid="{00000000-0005-0000-0000-0000FD5F0000}"/>
    <cellStyle name="Normal 2 17 4 2 5" xfId="24911" xr:uid="{00000000-0005-0000-0000-0000FE5F0000}"/>
    <cellStyle name="Normal 2 17 4 2 6" xfId="24912" xr:uid="{00000000-0005-0000-0000-0000FF5F0000}"/>
    <cellStyle name="Normal 2 17 4 2 7" xfId="24913" xr:uid="{00000000-0005-0000-0000-000000600000}"/>
    <cellStyle name="Normal 2 17 4 2 8" xfId="24914" xr:uid="{00000000-0005-0000-0000-000001600000}"/>
    <cellStyle name="Normal 2 17 4 3" xfId="24915" xr:uid="{00000000-0005-0000-0000-000002600000}"/>
    <cellStyle name="Normal 2 17 4 3 2" xfId="24916" xr:uid="{00000000-0005-0000-0000-000003600000}"/>
    <cellStyle name="Normal 2 17 4 3 2 2" xfId="24917" xr:uid="{00000000-0005-0000-0000-000004600000}"/>
    <cellStyle name="Normal 2 17 4 3 2 3" xfId="24918" xr:uid="{00000000-0005-0000-0000-000005600000}"/>
    <cellStyle name="Normal 2 17 4 3 2 4" xfId="24919" xr:uid="{00000000-0005-0000-0000-000006600000}"/>
    <cellStyle name="Normal 2 17 4 3 2 5" xfId="24920" xr:uid="{00000000-0005-0000-0000-000007600000}"/>
    <cellStyle name="Normal 2 17 4 3 3" xfId="24921" xr:uid="{00000000-0005-0000-0000-000008600000}"/>
    <cellStyle name="Normal 2 17 4 3 4" xfId="24922" xr:uid="{00000000-0005-0000-0000-000009600000}"/>
    <cellStyle name="Normal 2 17 4 3 5" xfId="24923" xr:uid="{00000000-0005-0000-0000-00000A600000}"/>
    <cellStyle name="Normal 2 17 4 3 6" xfId="24924" xr:uid="{00000000-0005-0000-0000-00000B600000}"/>
    <cellStyle name="Normal 2 17 4 3 7" xfId="24925" xr:uid="{00000000-0005-0000-0000-00000C600000}"/>
    <cellStyle name="Normal 2 17 4 3 8" xfId="24926" xr:uid="{00000000-0005-0000-0000-00000D600000}"/>
    <cellStyle name="Normal 2 17 4 4" xfId="24927" xr:uid="{00000000-0005-0000-0000-00000E600000}"/>
    <cellStyle name="Normal 2 17 4 4 2" xfId="24928" xr:uid="{00000000-0005-0000-0000-00000F600000}"/>
    <cellStyle name="Normal 2 17 4 4 3" xfId="24929" xr:uid="{00000000-0005-0000-0000-000010600000}"/>
    <cellStyle name="Normal 2 17 4 4 4" xfId="24930" xr:uid="{00000000-0005-0000-0000-000011600000}"/>
    <cellStyle name="Normal 2 17 4 4 5" xfId="24931" xr:uid="{00000000-0005-0000-0000-000012600000}"/>
    <cellStyle name="Normal 2 17 4 5" xfId="24932" xr:uid="{00000000-0005-0000-0000-000013600000}"/>
    <cellStyle name="Normal 2 17 4 6" xfId="24933" xr:uid="{00000000-0005-0000-0000-000014600000}"/>
    <cellStyle name="Normal 2 17 4 7" xfId="24934" xr:uid="{00000000-0005-0000-0000-000015600000}"/>
    <cellStyle name="Normal 2 17 4 8" xfId="24935" xr:uid="{00000000-0005-0000-0000-000016600000}"/>
    <cellStyle name="Normal 2 17 4 9" xfId="24936" xr:uid="{00000000-0005-0000-0000-000017600000}"/>
    <cellStyle name="Normal 2 17 5" xfId="24937" xr:uid="{00000000-0005-0000-0000-000018600000}"/>
    <cellStyle name="Normal 2 17 5 2" xfId="24938" xr:uid="{00000000-0005-0000-0000-000019600000}"/>
    <cellStyle name="Normal 2 17 5 2 2" xfId="24939" xr:uid="{00000000-0005-0000-0000-00001A600000}"/>
    <cellStyle name="Normal 2 17 5 2 3" xfId="24940" xr:uid="{00000000-0005-0000-0000-00001B600000}"/>
    <cellStyle name="Normal 2 17 5 2 4" xfId="24941" xr:uid="{00000000-0005-0000-0000-00001C600000}"/>
    <cellStyle name="Normal 2 17 5 2 5" xfId="24942" xr:uid="{00000000-0005-0000-0000-00001D600000}"/>
    <cellStyle name="Normal 2 17 5 3" xfId="24943" xr:uid="{00000000-0005-0000-0000-00001E600000}"/>
    <cellStyle name="Normal 2 17 5 4" xfId="24944" xr:uid="{00000000-0005-0000-0000-00001F600000}"/>
    <cellStyle name="Normal 2 17 5 5" xfId="24945" xr:uid="{00000000-0005-0000-0000-000020600000}"/>
    <cellStyle name="Normal 2 17 5 6" xfId="24946" xr:uid="{00000000-0005-0000-0000-000021600000}"/>
    <cellStyle name="Normal 2 17 5 7" xfId="24947" xr:uid="{00000000-0005-0000-0000-000022600000}"/>
    <cellStyle name="Normal 2 17 5 8" xfId="24948" xr:uid="{00000000-0005-0000-0000-000023600000}"/>
    <cellStyle name="Normal 2 17 6" xfId="24949" xr:uid="{00000000-0005-0000-0000-000024600000}"/>
    <cellStyle name="Normal 2 17 6 2" xfId="24950" xr:uid="{00000000-0005-0000-0000-000025600000}"/>
    <cellStyle name="Normal 2 17 6 2 2" xfId="24951" xr:uid="{00000000-0005-0000-0000-000026600000}"/>
    <cellStyle name="Normal 2 17 6 2 3" xfId="24952" xr:uid="{00000000-0005-0000-0000-000027600000}"/>
    <cellStyle name="Normal 2 17 6 2 4" xfId="24953" xr:uid="{00000000-0005-0000-0000-000028600000}"/>
    <cellStyle name="Normal 2 17 6 2 5" xfId="24954" xr:uid="{00000000-0005-0000-0000-000029600000}"/>
    <cellStyle name="Normal 2 17 6 3" xfId="24955" xr:uid="{00000000-0005-0000-0000-00002A600000}"/>
    <cellStyle name="Normal 2 17 6 4" xfId="24956" xr:uid="{00000000-0005-0000-0000-00002B600000}"/>
    <cellStyle name="Normal 2 17 6 5" xfId="24957" xr:uid="{00000000-0005-0000-0000-00002C600000}"/>
    <cellStyle name="Normal 2 17 6 6" xfId="24958" xr:uid="{00000000-0005-0000-0000-00002D600000}"/>
    <cellStyle name="Normal 2 17 6 7" xfId="24959" xr:uid="{00000000-0005-0000-0000-00002E600000}"/>
    <cellStyle name="Normal 2 17 6 8" xfId="24960" xr:uid="{00000000-0005-0000-0000-00002F600000}"/>
    <cellStyle name="Normal 2 17 7" xfId="24961" xr:uid="{00000000-0005-0000-0000-000030600000}"/>
    <cellStyle name="Normal 2 17 7 2" xfId="24962" xr:uid="{00000000-0005-0000-0000-000031600000}"/>
    <cellStyle name="Normal 2 17 7 3" xfId="24963" xr:uid="{00000000-0005-0000-0000-000032600000}"/>
    <cellStyle name="Normal 2 17 7 4" xfId="24964" xr:uid="{00000000-0005-0000-0000-000033600000}"/>
    <cellStyle name="Normal 2 17 7 5" xfId="24965" xr:uid="{00000000-0005-0000-0000-000034600000}"/>
    <cellStyle name="Normal 2 17 8" xfId="24966" xr:uid="{00000000-0005-0000-0000-000035600000}"/>
    <cellStyle name="Normal 2 17 9" xfId="24967" xr:uid="{00000000-0005-0000-0000-000036600000}"/>
    <cellStyle name="Normal 2 18" xfId="24968" xr:uid="{00000000-0005-0000-0000-000037600000}"/>
    <cellStyle name="Normal 2 18 10" xfId="24969" xr:uid="{00000000-0005-0000-0000-000038600000}"/>
    <cellStyle name="Normal 2 18 11" xfId="24970" xr:uid="{00000000-0005-0000-0000-000039600000}"/>
    <cellStyle name="Normal 2 18 12" xfId="24971" xr:uid="{00000000-0005-0000-0000-00003A600000}"/>
    <cellStyle name="Normal 2 18 13" xfId="24972" xr:uid="{00000000-0005-0000-0000-00003B600000}"/>
    <cellStyle name="Normal 2 18 2" xfId="24973" xr:uid="{00000000-0005-0000-0000-00003C600000}"/>
    <cellStyle name="Normal 2 18 2 10" xfId="24974" xr:uid="{00000000-0005-0000-0000-00003D600000}"/>
    <cellStyle name="Normal 2 18 2 11" xfId="24975" xr:uid="{00000000-0005-0000-0000-00003E600000}"/>
    <cellStyle name="Normal 2 18 2 2" xfId="24976" xr:uid="{00000000-0005-0000-0000-00003F600000}"/>
    <cellStyle name="Normal 2 18 2 2 10" xfId="24977" xr:uid="{00000000-0005-0000-0000-000040600000}"/>
    <cellStyle name="Normal 2 18 2 2 2" xfId="24978" xr:uid="{00000000-0005-0000-0000-000041600000}"/>
    <cellStyle name="Normal 2 18 2 2 2 2" xfId="24979" xr:uid="{00000000-0005-0000-0000-000042600000}"/>
    <cellStyle name="Normal 2 18 2 2 2 2 2" xfId="24980" xr:uid="{00000000-0005-0000-0000-000043600000}"/>
    <cellStyle name="Normal 2 18 2 2 2 2 3" xfId="24981" xr:uid="{00000000-0005-0000-0000-000044600000}"/>
    <cellStyle name="Normal 2 18 2 2 2 2 4" xfId="24982" xr:uid="{00000000-0005-0000-0000-000045600000}"/>
    <cellStyle name="Normal 2 18 2 2 2 2 5" xfId="24983" xr:uid="{00000000-0005-0000-0000-000046600000}"/>
    <cellStyle name="Normal 2 18 2 2 2 3" xfId="24984" xr:uid="{00000000-0005-0000-0000-000047600000}"/>
    <cellStyle name="Normal 2 18 2 2 2 4" xfId="24985" xr:uid="{00000000-0005-0000-0000-000048600000}"/>
    <cellStyle name="Normal 2 18 2 2 2 5" xfId="24986" xr:uid="{00000000-0005-0000-0000-000049600000}"/>
    <cellStyle name="Normal 2 18 2 2 2 6" xfId="24987" xr:uid="{00000000-0005-0000-0000-00004A600000}"/>
    <cellStyle name="Normal 2 18 2 2 2 7" xfId="24988" xr:uid="{00000000-0005-0000-0000-00004B600000}"/>
    <cellStyle name="Normal 2 18 2 2 2 8" xfId="24989" xr:uid="{00000000-0005-0000-0000-00004C600000}"/>
    <cellStyle name="Normal 2 18 2 2 3" xfId="24990" xr:uid="{00000000-0005-0000-0000-00004D600000}"/>
    <cellStyle name="Normal 2 18 2 2 3 2" xfId="24991" xr:uid="{00000000-0005-0000-0000-00004E600000}"/>
    <cellStyle name="Normal 2 18 2 2 3 2 2" xfId="24992" xr:uid="{00000000-0005-0000-0000-00004F600000}"/>
    <cellStyle name="Normal 2 18 2 2 3 2 3" xfId="24993" xr:uid="{00000000-0005-0000-0000-000050600000}"/>
    <cellStyle name="Normal 2 18 2 2 3 2 4" xfId="24994" xr:uid="{00000000-0005-0000-0000-000051600000}"/>
    <cellStyle name="Normal 2 18 2 2 3 2 5" xfId="24995" xr:uid="{00000000-0005-0000-0000-000052600000}"/>
    <cellStyle name="Normal 2 18 2 2 3 3" xfId="24996" xr:uid="{00000000-0005-0000-0000-000053600000}"/>
    <cellStyle name="Normal 2 18 2 2 3 4" xfId="24997" xr:uid="{00000000-0005-0000-0000-000054600000}"/>
    <cellStyle name="Normal 2 18 2 2 3 5" xfId="24998" xr:uid="{00000000-0005-0000-0000-000055600000}"/>
    <cellStyle name="Normal 2 18 2 2 3 6" xfId="24999" xr:uid="{00000000-0005-0000-0000-000056600000}"/>
    <cellStyle name="Normal 2 18 2 2 3 7" xfId="25000" xr:uid="{00000000-0005-0000-0000-000057600000}"/>
    <cellStyle name="Normal 2 18 2 2 3 8" xfId="25001" xr:uid="{00000000-0005-0000-0000-000058600000}"/>
    <cellStyle name="Normal 2 18 2 2 4" xfId="25002" xr:uid="{00000000-0005-0000-0000-000059600000}"/>
    <cellStyle name="Normal 2 18 2 2 4 2" xfId="25003" xr:uid="{00000000-0005-0000-0000-00005A600000}"/>
    <cellStyle name="Normal 2 18 2 2 4 3" xfId="25004" xr:uid="{00000000-0005-0000-0000-00005B600000}"/>
    <cellStyle name="Normal 2 18 2 2 4 4" xfId="25005" xr:uid="{00000000-0005-0000-0000-00005C600000}"/>
    <cellStyle name="Normal 2 18 2 2 4 5" xfId="25006" xr:uid="{00000000-0005-0000-0000-00005D600000}"/>
    <cellStyle name="Normal 2 18 2 2 5" xfId="25007" xr:uid="{00000000-0005-0000-0000-00005E600000}"/>
    <cellStyle name="Normal 2 18 2 2 6" xfId="25008" xr:uid="{00000000-0005-0000-0000-00005F600000}"/>
    <cellStyle name="Normal 2 18 2 2 7" xfId="25009" xr:uid="{00000000-0005-0000-0000-000060600000}"/>
    <cellStyle name="Normal 2 18 2 2 8" xfId="25010" xr:uid="{00000000-0005-0000-0000-000061600000}"/>
    <cellStyle name="Normal 2 18 2 2 9" xfId="25011" xr:uid="{00000000-0005-0000-0000-000062600000}"/>
    <cellStyle name="Normal 2 18 2 3" xfId="25012" xr:uid="{00000000-0005-0000-0000-000063600000}"/>
    <cellStyle name="Normal 2 18 2 3 2" xfId="25013" xr:uid="{00000000-0005-0000-0000-000064600000}"/>
    <cellStyle name="Normal 2 18 2 3 2 2" xfId="25014" xr:uid="{00000000-0005-0000-0000-000065600000}"/>
    <cellStyle name="Normal 2 18 2 3 2 3" xfId="25015" xr:uid="{00000000-0005-0000-0000-000066600000}"/>
    <cellStyle name="Normal 2 18 2 3 2 4" xfId="25016" xr:uid="{00000000-0005-0000-0000-000067600000}"/>
    <cellStyle name="Normal 2 18 2 3 2 5" xfId="25017" xr:uid="{00000000-0005-0000-0000-000068600000}"/>
    <cellStyle name="Normal 2 18 2 3 3" xfId="25018" xr:uid="{00000000-0005-0000-0000-000069600000}"/>
    <cellStyle name="Normal 2 18 2 3 4" xfId="25019" xr:uid="{00000000-0005-0000-0000-00006A600000}"/>
    <cellStyle name="Normal 2 18 2 3 5" xfId="25020" xr:uid="{00000000-0005-0000-0000-00006B600000}"/>
    <cellStyle name="Normal 2 18 2 3 6" xfId="25021" xr:uid="{00000000-0005-0000-0000-00006C600000}"/>
    <cellStyle name="Normal 2 18 2 3 7" xfId="25022" xr:uid="{00000000-0005-0000-0000-00006D600000}"/>
    <cellStyle name="Normal 2 18 2 3 8" xfId="25023" xr:uid="{00000000-0005-0000-0000-00006E600000}"/>
    <cellStyle name="Normal 2 18 2 4" xfId="25024" xr:uid="{00000000-0005-0000-0000-00006F600000}"/>
    <cellStyle name="Normal 2 18 2 4 2" xfId="25025" xr:uid="{00000000-0005-0000-0000-000070600000}"/>
    <cellStyle name="Normal 2 18 2 4 2 2" xfId="25026" xr:uid="{00000000-0005-0000-0000-000071600000}"/>
    <cellStyle name="Normal 2 18 2 4 2 3" xfId="25027" xr:uid="{00000000-0005-0000-0000-000072600000}"/>
    <cellStyle name="Normal 2 18 2 4 2 4" xfId="25028" xr:uid="{00000000-0005-0000-0000-000073600000}"/>
    <cellStyle name="Normal 2 18 2 4 2 5" xfId="25029" xr:uid="{00000000-0005-0000-0000-000074600000}"/>
    <cellStyle name="Normal 2 18 2 4 3" xfId="25030" xr:uid="{00000000-0005-0000-0000-000075600000}"/>
    <cellStyle name="Normal 2 18 2 4 4" xfId="25031" xr:uid="{00000000-0005-0000-0000-000076600000}"/>
    <cellStyle name="Normal 2 18 2 4 5" xfId="25032" xr:uid="{00000000-0005-0000-0000-000077600000}"/>
    <cellStyle name="Normal 2 18 2 4 6" xfId="25033" xr:uid="{00000000-0005-0000-0000-000078600000}"/>
    <cellStyle name="Normal 2 18 2 4 7" xfId="25034" xr:uid="{00000000-0005-0000-0000-000079600000}"/>
    <cellStyle name="Normal 2 18 2 4 8" xfId="25035" xr:uid="{00000000-0005-0000-0000-00007A600000}"/>
    <cellStyle name="Normal 2 18 2 5" xfId="25036" xr:uid="{00000000-0005-0000-0000-00007B600000}"/>
    <cellStyle name="Normal 2 18 2 5 2" xfId="25037" xr:uid="{00000000-0005-0000-0000-00007C600000}"/>
    <cellStyle name="Normal 2 18 2 5 3" xfId="25038" xr:uid="{00000000-0005-0000-0000-00007D600000}"/>
    <cellStyle name="Normal 2 18 2 5 4" xfId="25039" xr:uid="{00000000-0005-0000-0000-00007E600000}"/>
    <cellStyle name="Normal 2 18 2 5 5" xfId="25040" xr:uid="{00000000-0005-0000-0000-00007F600000}"/>
    <cellStyle name="Normal 2 18 2 6" xfId="25041" xr:uid="{00000000-0005-0000-0000-000080600000}"/>
    <cellStyle name="Normal 2 18 2 7" xfId="25042" xr:uid="{00000000-0005-0000-0000-000081600000}"/>
    <cellStyle name="Normal 2 18 2 8" xfId="25043" xr:uid="{00000000-0005-0000-0000-000082600000}"/>
    <cellStyle name="Normal 2 18 2 9" xfId="25044" xr:uid="{00000000-0005-0000-0000-000083600000}"/>
    <cellStyle name="Normal 2 18 3" xfId="25045" xr:uid="{00000000-0005-0000-0000-000084600000}"/>
    <cellStyle name="Normal 2 18 3 10" xfId="25046" xr:uid="{00000000-0005-0000-0000-000085600000}"/>
    <cellStyle name="Normal 2 18 3 11" xfId="25047" xr:uid="{00000000-0005-0000-0000-000086600000}"/>
    <cellStyle name="Normal 2 18 3 2" xfId="25048" xr:uid="{00000000-0005-0000-0000-000087600000}"/>
    <cellStyle name="Normal 2 18 3 2 10" xfId="25049" xr:uid="{00000000-0005-0000-0000-000088600000}"/>
    <cellStyle name="Normal 2 18 3 2 2" xfId="25050" xr:uid="{00000000-0005-0000-0000-000089600000}"/>
    <cellStyle name="Normal 2 18 3 2 2 2" xfId="25051" xr:uid="{00000000-0005-0000-0000-00008A600000}"/>
    <cellStyle name="Normal 2 18 3 2 2 2 2" xfId="25052" xr:uid="{00000000-0005-0000-0000-00008B600000}"/>
    <cellStyle name="Normal 2 18 3 2 2 2 3" xfId="25053" xr:uid="{00000000-0005-0000-0000-00008C600000}"/>
    <cellStyle name="Normal 2 18 3 2 2 2 4" xfId="25054" xr:uid="{00000000-0005-0000-0000-00008D600000}"/>
    <cellStyle name="Normal 2 18 3 2 2 2 5" xfId="25055" xr:uid="{00000000-0005-0000-0000-00008E600000}"/>
    <cellStyle name="Normal 2 18 3 2 2 3" xfId="25056" xr:uid="{00000000-0005-0000-0000-00008F600000}"/>
    <cellStyle name="Normal 2 18 3 2 2 4" xfId="25057" xr:uid="{00000000-0005-0000-0000-000090600000}"/>
    <cellStyle name="Normal 2 18 3 2 2 5" xfId="25058" xr:uid="{00000000-0005-0000-0000-000091600000}"/>
    <cellStyle name="Normal 2 18 3 2 2 6" xfId="25059" xr:uid="{00000000-0005-0000-0000-000092600000}"/>
    <cellStyle name="Normal 2 18 3 2 2 7" xfId="25060" xr:uid="{00000000-0005-0000-0000-000093600000}"/>
    <cellStyle name="Normal 2 18 3 2 2 8" xfId="25061" xr:uid="{00000000-0005-0000-0000-000094600000}"/>
    <cellStyle name="Normal 2 18 3 2 3" xfId="25062" xr:uid="{00000000-0005-0000-0000-000095600000}"/>
    <cellStyle name="Normal 2 18 3 2 3 2" xfId="25063" xr:uid="{00000000-0005-0000-0000-000096600000}"/>
    <cellStyle name="Normal 2 18 3 2 3 2 2" xfId="25064" xr:uid="{00000000-0005-0000-0000-000097600000}"/>
    <cellStyle name="Normal 2 18 3 2 3 2 3" xfId="25065" xr:uid="{00000000-0005-0000-0000-000098600000}"/>
    <cellStyle name="Normal 2 18 3 2 3 2 4" xfId="25066" xr:uid="{00000000-0005-0000-0000-000099600000}"/>
    <cellStyle name="Normal 2 18 3 2 3 2 5" xfId="25067" xr:uid="{00000000-0005-0000-0000-00009A600000}"/>
    <cellStyle name="Normal 2 18 3 2 3 3" xfId="25068" xr:uid="{00000000-0005-0000-0000-00009B600000}"/>
    <cellStyle name="Normal 2 18 3 2 3 4" xfId="25069" xr:uid="{00000000-0005-0000-0000-00009C600000}"/>
    <cellStyle name="Normal 2 18 3 2 3 5" xfId="25070" xr:uid="{00000000-0005-0000-0000-00009D600000}"/>
    <cellStyle name="Normal 2 18 3 2 3 6" xfId="25071" xr:uid="{00000000-0005-0000-0000-00009E600000}"/>
    <cellStyle name="Normal 2 18 3 2 3 7" xfId="25072" xr:uid="{00000000-0005-0000-0000-00009F600000}"/>
    <cellStyle name="Normal 2 18 3 2 3 8" xfId="25073" xr:uid="{00000000-0005-0000-0000-0000A0600000}"/>
    <cellStyle name="Normal 2 18 3 2 4" xfId="25074" xr:uid="{00000000-0005-0000-0000-0000A1600000}"/>
    <cellStyle name="Normal 2 18 3 2 4 2" xfId="25075" xr:uid="{00000000-0005-0000-0000-0000A2600000}"/>
    <cellStyle name="Normal 2 18 3 2 4 3" xfId="25076" xr:uid="{00000000-0005-0000-0000-0000A3600000}"/>
    <cellStyle name="Normal 2 18 3 2 4 4" xfId="25077" xr:uid="{00000000-0005-0000-0000-0000A4600000}"/>
    <cellStyle name="Normal 2 18 3 2 4 5" xfId="25078" xr:uid="{00000000-0005-0000-0000-0000A5600000}"/>
    <cellStyle name="Normal 2 18 3 2 5" xfId="25079" xr:uid="{00000000-0005-0000-0000-0000A6600000}"/>
    <cellStyle name="Normal 2 18 3 2 6" xfId="25080" xr:uid="{00000000-0005-0000-0000-0000A7600000}"/>
    <cellStyle name="Normal 2 18 3 2 7" xfId="25081" xr:uid="{00000000-0005-0000-0000-0000A8600000}"/>
    <cellStyle name="Normal 2 18 3 2 8" xfId="25082" xr:uid="{00000000-0005-0000-0000-0000A9600000}"/>
    <cellStyle name="Normal 2 18 3 2 9" xfId="25083" xr:uid="{00000000-0005-0000-0000-0000AA600000}"/>
    <cellStyle name="Normal 2 18 3 3" xfId="25084" xr:uid="{00000000-0005-0000-0000-0000AB600000}"/>
    <cellStyle name="Normal 2 18 3 3 2" xfId="25085" xr:uid="{00000000-0005-0000-0000-0000AC600000}"/>
    <cellStyle name="Normal 2 18 3 3 2 2" xfId="25086" xr:uid="{00000000-0005-0000-0000-0000AD600000}"/>
    <cellStyle name="Normal 2 18 3 3 2 3" xfId="25087" xr:uid="{00000000-0005-0000-0000-0000AE600000}"/>
    <cellStyle name="Normal 2 18 3 3 2 4" xfId="25088" xr:uid="{00000000-0005-0000-0000-0000AF600000}"/>
    <cellStyle name="Normal 2 18 3 3 2 5" xfId="25089" xr:uid="{00000000-0005-0000-0000-0000B0600000}"/>
    <cellStyle name="Normal 2 18 3 3 3" xfId="25090" xr:uid="{00000000-0005-0000-0000-0000B1600000}"/>
    <cellStyle name="Normal 2 18 3 3 4" xfId="25091" xr:uid="{00000000-0005-0000-0000-0000B2600000}"/>
    <cellStyle name="Normal 2 18 3 3 5" xfId="25092" xr:uid="{00000000-0005-0000-0000-0000B3600000}"/>
    <cellStyle name="Normal 2 18 3 3 6" xfId="25093" xr:uid="{00000000-0005-0000-0000-0000B4600000}"/>
    <cellStyle name="Normal 2 18 3 3 7" xfId="25094" xr:uid="{00000000-0005-0000-0000-0000B5600000}"/>
    <cellStyle name="Normal 2 18 3 3 8" xfId="25095" xr:uid="{00000000-0005-0000-0000-0000B6600000}"/>
    <cellStyle name="Normal 2 18 3 4" xfId="25096" xr:uid="{00000000-0005-0000-0000-0000B7600000}"/>
    <cellStyle name="Normal 2 18 3 4 2" xfId="25097" xr:uid="{00000000-0005-0000-0000-0000B8600000}"/>
    <cellStyle name="Normal 2 18 3 4 2 2" xfId="25098" xr:uid="{00000000-0005-0000-0000-0000B9600000}"/>
    <cellStyle name="Normal 2 18 3 4 2 3" xfId="25099" xr:uid="{00000000-0005-0000-0000-0000BA600000}"/>
    <cellStyle name="Normal 2 18 3 4 2 4" xfId="25100" xr:uid="{00000000-0005-0000-0000-0000BB600000}"/>
    <cellStyle name="Normal 2 18 3 4 2 5" xfId="25101" xr:uid="{00000000-0005-0000-0000-0000BC600000}"/>
    <cellStyle name="Normal 2 18 3 4 3" xfId="25102" xr:uid="{00000000-0005-0000-0000-0000BD600000}"/>
    <cellStyle name="Normal 2 18 3 4 4" xfId="25103" xr:uid="{00000000-0005-0000-0000-0000BE600000}"/>
    <cellStyle name="Normal 2 18 3 4 5" xfId="25104" xr:uid="{00000000-0005-0000-0000-0000BF600000}"/>
    <cellStyle name="Normal 2 18 3 4 6" xfId="25105" xr:uid="{00000000-0005-0000-0000-0000C0600000}"/>
    <cellStyle name="Normal 2 18 3 4 7" xfId="25106" xr:uid="{00000000-0005-0000-0000-0000C1600000}"/>
    <cellStyle name="Normal 2 18 3 4 8" xfId="25107" xr:uid="{00000000-0005-0000-0000-0000C2600000}"/>
    <cellStyle name="Normal 2 18 3 5" xfId="25108" xr:uid="{00000000-0005-0000-0000-0000C3600000}"/>
    <cellStyle name="Normal 2 18 3 5 2" xfId="25109" xr:uid="{00000000-0005-0000-0000-0000C4600000}"/>
    <cellStyle name="Normal 2 18 3 5 3" xfId="25110" xr:uid="{00000000-0005-0000-0000-0000C5600000}"/>
    <cellStyle name="Normal 2 18 3 5 4" xfId="25111" xr:uid="{00000000-0005-0000-0000-0000C6600000}"/>
    <cellStyle name="Normal 2 18 3 5 5" xfId="25112" xr:uid="{00000000-0005-0000-0000-0000C7600000}"/>
    <cellStyle name="Normal 2 18 3 6" xfId="25113" xr:uid="{00000000-0005-0000-0000-0000C8600000}"/>
    <cellStyle name="Normal 2 18 3 7" xfId="25114" xr:uid="{00000000-0005-0000-0000-0000C9600000}"/>
    <cellStyle name="Normal 2 18 3 8" xfId="25115" xr:uid="{00000000-0005-0000-0000-0000CA600000}"/>
    <cellStyle name="Normal 2 18 3 9" xfId="25116" xr:uid="{00000000-0005-0000-0000-0000CB600000}"/>
    <cellStyle name="Normal 2 18 4" xfId="25117" xr:uid="{00000000-0005-0000-0000-0000CC600000}"/>
    <cellStyle name="Normal 2 18 4 10" xfId="25118" xr:uid="{00000000-0005-0000-0000-0000CD600000}"/>
    <cellStyle name="Normal 2 18 4 2" xfId="25119" xr:uid="{00000000-0005-0000-0000-0000CE600000}"/>
    <cellStyle name="Normal 2 18 4 2 2" xfId="25120" xr:uid="{00000000-0005-0000-0000-0000CF600000}"/>
    <cellStyle name="Normal 2 18 4 2 2 2" xfId="25121" xr:uid="{00000000-0005-0000-0000-0000D0600000}"/>
    <cellStyle name="Normal 2 18 4 2 2 3" xfId="25122" xr:uid="{00000000-0005-0000-0000-0000D1600000}"/>
    <cellStyle name="Normal 2 18 4 2 2 4" xfId="25123" xr:uid="{00000000-0005-0000-0000-0000D2600000}"/>
    <cellStyle name="Normal 2 18 4 2 2 5" xfId="25124" xr:uid="{00000000-0005-0000-0000-0000D3600000}"/>
    <cellStyle name="Normal 2 18 4 2 3" xfId="25125" xr:uid="{00000000-0005-0000-0000-0000D4600000}"/>
    <cellStyle name="Normal 2 18 4 2 4" xfId="25126" xr:uid="{00000000-0005-0000-0000-0000D5600000}"/>
    <cellStyle name="Normal 2 18 4 2 5" xfId="25127" xr:uid="{00000000-0005-0000-0000-0000D6600000}"/>
    <cellStyle name="Normal 2 18 4 2 6" xfId="25128" xr:uid="{00000000-0005-0000-0000-0000D7600000}"/>
    <cellStyle name="Normal 2 18 4 2 7" xfId="25129" xr:uid="{00000000-0005-0000-0000-0000D8600000}"/>
    <cellStyle name="Normal 2 18 4 2 8" xfId="25130" xr:uid="{00000000-0005-0000-0000-0000D9600000}"/>
    <cellStyle name="Normal 2 18 4 3" xfId="25131" xr:uid="{00000000-0005-0000-0000-0000DA600000}"/>
    <cellStyle name="Normal 2 18 4 3 2" xfId="25132" xr:uid="{00000000-0005-0000-0000-0000DB600000}"/>
    <cellStyle name="Normal 2 18 4 3 2 2" xfId="25133" xr:uid="{00000000-0005-0000-0000-0000DC600000}"/>
    <cellStyle name="Normal 2 18 4 3 2 3" xfId="25134" xr:uid="{00000000-0005-0000-0000-0000DD600000}"/>
    <cellStyle name="Normal 2 18 4 3 2 4" xfId="25135" xr:uid="{00000000-0005-0000-0000-0000DE600000}"/>
    <cellStyle name="Normal 2 18 4 3 2 5" xfId="25136" xr:uid="{00000000-0005-0000-0000-0000DF600000}"/>
    <cellStyle name="Normal 2 18 4 3 3" xfId="25137" xr:uid="{00000000-0005-0000-0000-0000E0600000}"/>
    <cellStyle name="Normal 2 18 4 3 4" xfId="25138" xr:uid="{00000000-0005-0000-0000-0000E1600000}"/>
    <cellStyle name="Normal 2 18 4 3 5" xfId="25139" xr:uid="{00000000-0005-0000-0000-0000E2600000}"/>
    <cellStyle name="Normal 2 18 4 3 6" xfId="25140" xr:uid="{00000000-0005-0000-0000-0000E3600000}"/>
    <cellStyle name="Normal 2 18 4 3 7" xfId="25141" xr:uid="{00000000-0005-0000-0000-0000E4600000}"/>
    <cellStyle name="Normal 2 18 4 3 8" xfId="25142" xr:uid="{00000000-0005-0000-0000-0000E5600000}"/>
    <cellStyle name="Normal 2 18 4 4" xfId="25143" xr:uid="{00000000-0005-0000-0000-0000E6600000}"/>
    <cellStyle name="Normal 2 18 4 4 2" xfId="25144" xr:uid="{00000000-0005-0000-0000-0000E7600000}"/>
    <cellStyle name="Normal 2 18 4 4 3" xfId="25145" xr:uid="{00000000-0005-0000-0000-0000E8600000}"/>
    <cellStyle name="Normal 2 18 4 4 4" xfId="25146" xr:uid="{00000000-0005-0000-0000-0000E9600000}"/>
    <cellStyle name="Normal 2 18 4 4 5" xfId="25147" xr:uid="{00000000-0005-0000-0000-0000EA600000}"/>
    <cellStyle name="Normal 2 18 4 5" xfId="25148" xr:uid="{00000000-0005-0000-0000-0000EB600000}"/>
    <cellStyle name="Normal 2 18 4 6" xfId="25149" xr:uid="{00000000-0005-0000-0000-0000EC600000}"/>
    <cellStyle name="Normal 2 18 4 7" xfId="25150" xr:uid="{00000000-0005-0000-0000-0000ED600000}"/>
    <cellStyle name="Normal 2 18 4 8" xfId="25151" xr:uid="{00000000-0005-0000-0000-0000EE600000}"/>
    <cellStyle name="Normal 2 18 4 9" xfId="25152" xr:uid="{00000000-0005-0000-0000-0000EF600000}"/>
    <cellStyle name="Normal 2 18 5" xfId="25153" xr:uid="{00000000-0005-0000-0000-0000F0600000}"/>
    <cellStyle name="Normal 2 18 5 2" xfId="25154" xr:uid="{00000000-0005-0000-0000-0000F1600000}"/>
    <cellStyle name="Normal 2 18 5 2 2" xfId="25155" xr:uid="{00000000-0005-0000-0000-0000F2600000}"/>
    <cellStyle name="Normal 2 18 5 2 3" xfId="25156" xr:uid="{00000000-0005-0000-0000-0000F3600000}"/>
    <cellStyle name="Normal 2 18 5 2 4" xfId="25157" xr:uid="{00000000-0005-0000-0000-0000F4600000}"/>
    <cellStyle name="Normal 2 18 5 2 5" xfId="25158" xr:uid="{00000000-0005-0000-0000-0000F5600000}"/>
    <cellStyle name="Normal 2 18 5 3" xfId="25159" xr:uid="{00000000-0005-0000-0000-0000F6600000}"/>
    <cellStyle name="Normal 2 18 5 4" xfId="25160" xr:uid="{00000000-0005-0000-0000-0000F7600000}"/>
    <cellStyle name="Normal 2 18 5 5" xfId="25161" xr:uid="{00000000-0005-0000-0000-0000F8600000}"/>
    <cellStyle name="Normal 2 18 5 6" xfId="25162" xr:uid="{00000000-0005-0000-0000-0000F9600000}"/>
    <cellStyle name="Normal 2 18 5 7" xfId="25163" xr:uid="{00000000-0005-0000-0000-0000FA600000}"/>
    <cellStyle name="Normal 2 18 5 8" xfId="25164" xr:uid="{00000000-0005-0000-0000-0000FB600000}"/>
    <cellStyle name="Normal 2 18 6" xfId="25165" xr:uid="{00000000-0005-0000-0000-0000FC600000}"/>
    <cellStyle name="Normal 2 18 6 2" xfId="25166" xr:uid="{00000000-0005-0000-0000-0000FD600000}"/>
    <cellStyle name="Normal 2 18 6 2 2" xfId="25167" xr:uid="{00000000-0005-0000-0000-0000FE600000}"/>
    <cellStyle name="Normal 2 18 6 2 3" xfId="25168" xr:uid="{00000000-0005-0000-0000-0000FF600000}"/>
    <cellStyle name="Normal 2 18 6 2 4" xfId="25169" xr:uid="{00000000-0005-0000-0000-000000610000}"/>
    <cellStyle name="Normal 2 18 6 2 5" xfId="25170" xr:uid="{00000000-0005-0000-0000-000001610000}"/>
    <cellStyle name="Normal 2 18 6 3" xfId="25171" xr:uid="{00000000-0005-0000-0000-000002610000}"/>
    <cellStyle name="Normal 2 18 6 4" xfId="25172" xr:uid="{00000000-0005-0000-0000-000003610000}"/>
    <cellStyle name="Normal 2 18 6 5" xfId="25173" xr:uid="{00000000-0005-0000-0000-000004610000}"/>
    <cellStyle name="Normal 2 18 6 6" xfId="25174" xr:uid="{00000000-0005-0000-0000-000005610000}"/>
    <cellStyle name="Normal 2 18 6 7" xfId="25175" xr:uid="{00000000-0005-0000-0000-000006610000}"/>
    <cellStyle name="Normal 2 18 6 8" xfId="25176" xr:uid="{00000000-0005-0000-0000-000007610000}"/>
    <cellStyle name="Normal 2 18 7" xfId="25177" xr:uid="{00000000-0005-0000-0000-000008610000}"/>
    <cellStyle name="Normal 2 18 7 2" xfId="25178" xr:uid="{00000000-0005-0000-0000-000009610000}"/>
    <cellStyle name="Normal 2 18 7 3" xfId="25179" xr:uid="{00000000-0005-0000-0000-00000A610000}"/>
    <cellStyle name="Normal 2 18 7 4" xfId="25180" xr:uid="{00000000-0005-0000-0000-00000B610000}"/>
    <cellStyle name="Normal 2 18 7 5" xfId="25181" xr:uid="{00000000-0005-0000-0000-00000C610000}"/>
    <cellStyle name="Normal 2 18 8" xfId="25182" xr:uid="{00000000-0005-0000-0000-00000D610000}"/>
    <cellStyle name="Normal 2 18 9" xfId="25183" xr:uid="{00000000-0005-0000-0000-00000E610000}"/>
    <cellStyle name="Normal 2 19" xfId="25184" xr:uid="{00000000-0005-0000-0000-00000F610000}"/>
    <cellStyle name="Normal 2 19 10" xfId="25185" xr:uid="{00000000-0005-0000-0000-000010610000}"/>
    <cellStyle name="Normal 2 19 11" xfId="25186" xr:uid="{00000000-0005-0000-0000-000011610000}"/>
    <cellStyle name="Normal 2 19 12" xfId="25187" xr:uid="{00000000-0005-0000-0000-000012610000}"/>
    <cellStyle name="Normal 2 19 13" xfId="25188" xr:uid="{00000000-0005-0000-0000-000013610000}"/>
    <cellStyle name="Normal 2 19 2" xfId="25189" xr:uid="{00000000-0005-0000-0000-000014610000}"/>
    <cellStyle name="Normal 2 19 2 10" xfId="25190" xr:uid="{00000000-0005-0000-0000-000015610000}"/>
    <cellStyle name="Normal 2 19 2 11" xfId="25191" xr:uid="{00000000-0005-0000-0000-000016610000}"/>
    <cellStyle name="Normal 2 19 2 2" xfId="25192" xr:uid="{00000000-0005-0000-0000-000017610000}"/>
    <cellStyle name="Normal 2 19 2 2 10" xfId="25193" xr:uid="{00000000-0005-0000-0000-000018610000}"/>
    <cellStyle name="Normal 2 19 2 2 2" xfId="25194" xr:uid="{00000000-0005-0000-0000-000019610000}"/>
    <cellStyle name="Normal 2 19 2 2 2 2" xfId="25195" xr:uid="{00000000-0005-0000-0000-00001A610000}"/>
    <cellStyle name="Normal 2 19 2 2 2 2 2" xfId="25196" xr:uid="{00000000-0005-0000-0000-00001B610000}"/>
    <cellStyle name="Normal 2 19 2 2 2 2 3" xfId="25197" xr:uid="{00000000-0005-0000-0000-00001C610000}"/>
    <cellStyle name="Normal 2 19 2 2 2 2 4" xfId="25198" xr:uid="{00000000-0005-0000-0000-00001D610000}"/>
    <cellStyle name="Normal 2 19 2 2 2 2 5" xfId="25199" xr:uid="{00000000-0005-0000-0000-00001E610000}"/>
    <cellStyle name="Normal 2 19 2 2 2 3" xfId="25200" xr:uid="{00000000-0005-0000-0000-00001F610000}"/>
    <cellStyle name="Normal 2 19 2 2 2 4" xfId="25201" xr:uid="{00000000-0005-0000-0000-000020610000}"/>
    <cellStyle name="Normal 2 19 2 2 2 5" xfId="25202" xr:uid="{00000000-0005-0000-0000-000021610000}"/>
    <cellStyle name="Normal 2 19 2 2 2 6" xfId="25203" xr:uid="{00000000-0005-0000-0000-000022610000}"/>
    <cellStyle name="Normal 2 19 2 2 2 7" xfId="25204" xr:uid="{00000000-0005-0000-0000-000023610000}"/>
    <cellStyle name="Normal 2 19 2 2 2 8" xfId="25205" xr:uid="{00000000-0005-0000-0000-000024610000}"/>
    <cellStyle name="Normal 2 19 2 2 3" xfId="25206" xr:uid="{00000000-0005-0000-0000-000025610000}"/>
    <cellStyle name="Normal 2 19 2 2 3 2" xfId="25207" xr:uid="{00000000-0005-0000-0000-000026610000}"/>
    <cellStyle name="Normal 2 19 2 2 3 2 2" xfId="25208" xr:uid="{00000000-0005-0000-0000-000027610000}"/>
    <cellStyle name="Normal 2 19 2 2 3 2 3" xfId="25209" xr:uid="{00000000-0005-0000-0000-000028610000}"/>
    <cellStyle name="Normal 2 19 2 2 3 2 4" xfId="25210" xr:uid="{00000000-0005-0000-0000-000029610000}"/>
    <cellStyle name="Normal 2 19 2 2 3 2 5" xfId="25211" xr:uid="{00000000-0005-0000-0000-00002A610000}"/>
    <cellStyle name="Normal 2 19 2 2 3 3" xfId="25212" xr:uid="{00000000-0005-0000-0000-00002B610000}"/>
    <cellStyle name="Normal 2 19 2 2 3 4" xfId="25213" xr:uid="{00000000-0005-0000-0000-00002C610000}"/>
    <cellStyle name="Normal 2 19 2 2 3 5" xfId="25214" xr:uid="{00000000-0005-0000-0000-00002D610000}"/>
    <cellStyle name="Normal 2 19 2 2 3 6" xfId="25215" xr:uid="{00000000-0005-0000-0000-00002E610000}"/>
    <cellStyle name="Normal 2 19 2 2 3 7" xfId="25216" xr:uid="{00000000-0005-0000-0000-00002F610000}"/>
    <cellStyle name="Normal 2 19 2 2 3 8" xfId="25217" xr:uid="{00000000-0005-0000-0000-000030610000}"/>
    <cellStyle name="Normal 2 19 2 2 4" xfId="25218" xr:uid="{00000000-0005-0000-0000-000031610000}"/>
    <cellStyle name="Normal 2 19 2 2 4 2" xfId="25219" xr:uid="{00000000-0005-0000-0000-000032610000}"/>
    <cellStyle name="Normal 2 19 2 2 4 3" xfId="25220" xr:uid="{00000000-0005-0000-0000-000033610000}"/>
    <cellStyle name="Normal 2 19 2 2 4 4" xfId="25221" xr:uid="{00000000-0005-0000-0000-000034610000}"/>
    <cellStyle name="Normal 2 19 2 2 4 5" xfId="25222" xr:uid="{00000000-0005-0000-0000-000035610000}"/>
    <cellStyle name="Normal 2 19 2 2 5" xfId="25223" xr:uid="{00000000-0005-0000-0000-000036610000}"/>
    <cellStyle name="Normal 2 19 2 2 6" xfId="25224" xr:uid="{00000000-0005-0000-0000-000037610000}"/>
    <cellStyle name="Normal 2 19 2 2 7" xfId="25225" xr:uid="{00000000-0005-0000-0000-000038610000}"/>
    <cellStyle name="Normal 2 19 2 2 8" xfId="25226" xr:uid="{00000000-0005-0000-0000-000039610000}"/>
    <cellStyle name="Normal 2 19 2 2 9" xfId="25227" xr:uid="{00000000-0005-0000-0000-00003A610000}"/>
    <cellStyle name="Normal 2 19 2 3" xfId="25228" xr:uid="{00000000-0005-0000-0000-00003B610000}"/>
    <cellStyle name="Normal 2 19 2 3 2" xfId="25229" xr:uid="{00000000-0005-0000-0000-00003C610000}"/>
    <cellStyle name="Normal 2 19 2 3 2 2" xfId="25230" xr:uid="{00000000-0005-0000-0000-00003D610000}"/>
    <cellStyle name="Normal 2 19 2 3 2 3" xfId="25231" xr:uid="{00000000-0005-0000-0000-00003E610000}"/>
    <cellStyle name="Normal 2 19 2 3 2 4" xfId="25232" xr:uid="{00000000-0005-0000-0000-00003F610000}"/>
    <cellStyle name="Normal 2 19 2 3 2 5" xfId="25233" xr:uid="{00000000-0005-0000-0000-000040610000}"/>
    <cellStyle name="Normal 2 19 2 3 3" xfId="25234" xr:uid="{00000000-0005-0000-0000-000041610000}"/>
    <cellStyle name="Normal 2 19 2 3 4" xfId="25235" xr:uid="{00000000-0005-0000-0000-000042610000}"/>
    <cellStyle name="Normal 2 19 2 3 5" xfId="25236" xr:uid="{00000000-0005-0000-0000-000043610000}"/>
    <cellStyle name="Normal 2 19 2 3 6" xfId="25237" xr:uid="{00000000-0005-0000-0000-000044610000}"/>
    <cellStyle name="Normal 2 19 2 3 7" xfId="25238" xr:uid="{00000000-0005-0000-0000-000045610000}"/>
    <cellStyle name="Normal 2 19 2 3 8" xfId="25239" xr:uid="{00000000-0005-0000-0000-000046610000}"/>
    <cellStyle name="Normal 2 19 2 4" xfId="25240" xr:uid="{00000000-0005-0000-0000-000047610000}"/>
    <cellStyle name="Normal 2 19 2 4 2" xfId="25241" xr:uid="{00000000-0005-0000-0000-000048610000}"/>
    <cellStyle name="Normal 2 19 2 4 2 2" xfId="25242" xr:uid="{00000000-0005-0000-0000-000049610000}"/>
    <cellStyle name="Normal 2 19 2 4 2 3" xfId="25243" xr:uid="{00000000-0005-0000-0000-00004A610000}"/>
    <cellStyle name="Normal 2 19 2 4 2 4" xfId="25244" xr:uid="{00000000-0005-0000-0000-00004B610000}"/>
    <cellStyle name="Normal 2 19 2 4 2 5" xfId="25245" xr:uid="{00000000-0005-0000-0000-00004C610000}"/>
    <cellStyle name="Normal 2 19 2 4 3" xfId="25246" xr:uid="{00000000-0005-0000-0000-00004D610000}"/>
    <cellStyle name="Normal 2 19 2 4 4" xfId="25247" xr:uid="{00000000-0005-0000-0000-00004E610000}"/>
    <cellStyle name="Normal 2 19 2 4 5" xfId="25248" xr:uid="{00000000-0005-0000-0000-00004F610000}"/>
    <cellStyle name="Normal 2 19 2 4 6" xfId="25249" xr:uid="{00000000-0005-0000-0000-000050610000}"/>
    <cellStyle name="Normal 2 19 2 4 7" xfId="25250" xr:uid="{00000000-0005-0000-0000-000051610000}"/>
    <cellStyle name="Normal 2 19 2 4 8" xfId="25251" xr:uid="{00000000-0005-0000-0000-000052610000}"/>
    <cellStyle name="Normal 2 19 2 5" xfId="25252" xr:uid="{00000000-0005-0000-0000-000053610000}"/>
    <cellStyle name="Normal 2 19 2 5 2" xfId="25253" xr:uid="{00000000-0005-0000-0000-000054610000}"/>
    <cellStyle name="Normal 2 19 2 5 3" xfId="25254" xr:uid="{00000000-0005-0000-0000-000055610000}"/>
    <cellStyle name="Normal 2 19 2 5 4" xfId="25255" xr:uid="{00000000-0005-0000-0000-000056610000}"/>
    <cellStyle name="Normal 2 19 2 5 5" xfId="25256" xr:uid="{00000000-0005-0000-0000-000057610000}"/>
    <cellStyle name="Normal 2 19 2 6" xfId="25257" xr:uid="{00000000-0005-0000-0000-000058610000}"/>
    <cellStyle name="Normal 2 19 2 7" xfId="25258" xr:uid="{00000000-0005-0000-0000-000059610000}"/>
    <cellStyle name="Normal 2 19 2 8" xfId="25259" xr:uid="{00000000-0005-0000-0000-00005A610000}"/>
    <cellStyle name="Normal 2 19 2 9" xfId="25260" xr:uid="{00000000-0005-0000-0000-00005B610000}"/>
    <cellStyle name="Normal 2 19 3" xfId="25261" xr:uid="{00000000-0005-0000-0000-00005C610000}"/>
    <cellStyle name="Normal 2 19 3 10" xfId="25262" xr:uid="{00000000-0005-0000-0000-00005D610000}"/>
    <cellStyle name="Normal 2 19 3 11" xfId="25263" xr:uid="{00000000-0005-0000-0000-00005E610000}"/>
    <cellStyle name="Normal 2 19 3 2" xfId="25264" xr:uid="{00000000-0005-0000-0000-00005F610000}"/>
    <cellStyle name="Normal 2 19 3 2 10" xfId="25265" xr:uid="{00000000-0005-0000-0000-000060610000}"/>
    <cellStyle name="Normal 2 19 3 2 2" xfId="25266" xr:uid="{00000000-0005-0000-0000-000061610000}"/>
    <cellStyle name="Normal 2 19 3 2 2 2" xfId="25267" xr:uid="{00000000-0005-0000-0000-000062610000}"/>
    <cellStyle name="Normal 2 19 3 2 2 2 2" xfId="25268" xr:uid="{00000000-0005-0000-0000-000063610000}"/>
    <cellStyle name="Normal 2 19 3 2 2 2 3" xfId="25269" xr:uid="{00000000-0005-0000-0000-000064610000}"/>
    <cellStyle name="Normal 2 19 3 2 2 2 4" xfId="25270" xr:uid="{00000000-0005-0000-0000-000065610000}"/>
    <cellStyle name="Normal 2 19 3 2 2 2 5" xfId="25271" xr:uid="{00000000-0005-0000-0000-000066610000}"/>
    <cellStyle name="Normal 2 19 3 2 2 3" xfId="25272" xr:uid="{00000000-0005-0000-0000-000067610000}"/>
    <cellStyle name="Normal 2 19 3 2 2 4" xfId="25273" xr:uid="{00000000-0005-0000-0000-000068610000}"/>
    <cellStyle name="Normal 2 19 3 2 2 5" xfId="25274" xr:uid="{00000000-0005-0000-0000-000069610000}"/>
    <cellStyle name="Normal 2 19 3 2 2 6" xfId="25275" xr:uid="{00000000-0005-0000-0000-00006A610000}"/>
    <cellStyle name="Normal 2 19 3 2 2 7" xfId="25276" xr:uid="{00000000-0005-0000-0000-00006B610000}"/>
    <cellStyle name="Normal 2 19 3 2 2 8" xfId="25277" xr:uid="{00000000-0005-0000-0000-00006C610000}"/>
    <cellStyle name="Normal 2 19 3 2 3" xfId="25278" xr:uid="{00000000-0005-0000-0000-00006D610000}"/>
    <cellStyle name="Normal 2 19 3 2 3 2" xfId="25279" xr:uid="{00000000-0005-0000-0000-00006E610000}"/>
    <cellStyle name="Normal 2 19 3 2 3 2 2" xfId="25280" xr:uid="{00000000-0005-0000-0000-00006F610000}"/>
    <cellStyle name="Normal 2 19 3 2 3 2 3" xfId="25281" xr:uid="{00000000-0005-0000-0000-000070610000}"/>
    <cellStyle name="Normal 2 19 3 2 3 2 4" xfId="25282" xr:uid="{00000000-0005-0000-0000-000071610000}"/>
    <cellStyle name="Normal 2 19 3 2 3 2 5" xfId="25283" xr:uid="{00000000-0005-0000-0000-000072610000}"/>
    <cellStyle name="Normal 2 19 3 2 3 3" xfId="25284" xr:uid="{00000000-0005-0000-0000-000073610000}"/>
    <cellStyle name="Normal 2 19 3 2 3 4" xfId="25285" xr:uid="{00000000-0005-0000-0000-000074610000}"/>
    <cellStyle name="Normal 2 19 3 2 3 5" xfId="25286" xr:uid="{00000000-0005-0000-0000-000075610000}"/>
    <cellStyle name="Normal 2 19 3 2 3 6" xfId="25287" xr:uid="{00000000-0005-0000-0000-000076610000}"/>
    <cellStyle name="Normal 2 19 3 2 3 7" xfId="25288" xr:uid="{00000000-0005-0000-0000-000077610000}"/>
    <cellStyle name="Normal 2 19 3 2 3 8" xfId="25289" xr:uid="{00000000-0005-0000-0000-000078610000}"/>
    <cellStyle name="Normal 2 19 3 2 4" xfId="25290" xr:uid="{00000000-0005-0000-0000-000079610000}"/>
    <cellStyle name="Normal 2 19 3 2 4 2" xfId="25291" xr:uid="{00000000-0005-0000-0000-00007A610000}"/>
    <cellStyle name="Normal 2 19 3 2 4 3" xfId="25292" xr:uid="{00000000-0005-0000-0000-00007B610000}"/>
    <cellStyle name="Normal 2 19 3 2 4 4" xfId="25293" xr:uid="{00000000-0005-0000-0000-00007C610000}"/>
    <cellStyle name="Normal 2 19 3 2 4 5" xfId="25294" xr:uid="{00000000-0005-0000-0000-00007D610000}"/>
    <cellStyle name="Normal 2 19 3 2 5" xfId="25295" xr:uid="{00000000-0005-0000-0000-00007E610000}"/>
    <cellStyle name="Normal 2 19 3 2 6" xfId="25296" xr:uid="{00000000-0005-0000-0000-00007F610000}"/>
    <cellStyle name="Normal 2 19 3 2 7" xfId="25297" xr:uid="{00000000-0005-0000-0000-000080610000}"/>
    <cellStyle name="Normal 2 19 3 2 8" xfId="25298" xr:uid="{00000000-0005-0000-0000-000081610000}"/>
    <cellStyle name="Normal 2 19 3 2 9" xfId="25299" xr:uid="{00000000-0005-0000-0000-000082610000}"/>
    <cellStyle name="Normal 2 19 3 3" xfId="25300" xr:uid="{00000000-0005-0000-0000-000083610000}"/>
    <cellStyle name="Normal 2 19 3 3 2" xfId="25301" xr:uid="{00000000-0005-0000-0000-000084610000}"/>
    <cellStyle name="Normal 2 19 3 3 2 2" xfId="25302" xr:uid="{00000000-0005-0000-0000-000085610000}"/>
    <cellStyle name="Normal 2 19 3 3 2 3" xfId="25303" xr:uid="{00000000-0005-0000-0000-000086610000}"/>
    <cellStyle name="Normal 2 19 3 3 2 4" xfId="25304" xr:uid="{00000000-0005-0000-0000-000087610000}"/>
    <cellStyle name="Normal 2 19 3 3 2 5" xfId="25305" xr:uid="{00000000-0005-0000-0000-000088610000}"/>
    <cellStyle name="Normal 2 19 3 3 3" xfId="25306" xr:uid="{00000000-0005-0000-0000-000089610000}"/>
    <cellStyle name="Normal 2 19 3 3 4" xfId="25307" xr:uid="{00000000-0005-0000-0000-00008A610000}"/>
    <cellStyle name="Normal 2 19 3 3 5" xfId="25308" xr:uid="{00000000-0005-0000-0000-00008B610000}"/>
    <cellStyle name="Normal 2 19 3 3 6" xfId="25309" xr:uid="{00000000-0005-0000-0000-00008C610000}"/>
    <cellStyle name="Normal 2 19 3 3 7" xfId="25310" xr:uid="{00000000-0005-0000-0000-00008D610000}"/>
    <cellStyle name="Normal 2 19 3 3 8" xfId="25311" xr:uid="{00000000-0005-0000-0000-00008E610000}"/>
    <cellStyle name="Normal 2 19 3 4" xfId="25312" xr:uid="{00000000-0005-0000-0000-00008F610000}"/>
    <cellStyle name="Normal 2 19 3 4 2" xfId="25313" xr:uid="{00000000-0005-0000-0000-000090610000}"/>
    <cellStyle name="Normal 2 19 3 4 2 2" xfId="25314" xr:uid="{00000000-0005-0000-0000-000091610000}"/>
    <cellStyle name="Normal 2 19 3 4 2 3" xfId="25315" xr:uid="{00000000-0005-0000-0000-000092610000}"/>
    <cellStyle name="Normal 2 19 3 4 2 4" xfId="25316" xr:uid="{00000000-0005-0000-0000-000093610000}"/>
    <cellStyle name="Normal 2 19 3 4 2 5" xfId="25317" xr:uid="{00000000-0005-0000-0000-000094610000}"/>
    <cellStyle name="Normal 2 19 3 4 3" xfId="25318" xr:uid="{00000000-0005-0000-0000-000095610000}"/>
    <cellStyle name="Normal 2 19 3 4 4" xfId="25319" xr:uid="{00000000-0005-0000-0000-000096610000}"/>
    <cellStyle name="Normal 2 19 3 4 5" xfId="25320" xr:uid="{00000000-0005-0000-0000-000097610000}"/>
    <cellStyle name="Normal 2 19 3 4 6" xfId="25321" xr:uid="{00000000-0005-0000-0000-000098610000}"/>
    <cellStyle name="Normal 2 19 3 4 7" xfId="25322" xr:uid="{00000000-0005-0000-0000-000099610000}"/>
    <cellStyle name="Normal 2 19 3 4 8" xfId="25323" xr:uid="{00000000-0005-0000-0000-00009A610000}"/>
    <cellStyle name="Normal 2 19 3 5" xfId="25324" xr:uid="{00000000-0005-0000-0000-00009B610000}"/>
    <cellStyle name="Normal 2 19 3 5 2" xfId="25325" xr:uid="{00000000-0005-0000-0000-00009C610000}"/>
    <cellStyle name="Normal 2 19 3 5 3" xfId="25326" xr:uid="{00000000-0005-0000-0000-00009D610000}"/>
    <cellStyle name="Normal 2 19 3 5 4" xfId="25327" xr:uid="{00000000-0005-0000-0000-00009E610000}"/>
    <cellStyle name="Normal 2 19 3 5 5" xfId="25328" xr:uid="{00000000-0005-0000-0000-00009F610000}"/>
    <cellStyle name="Normal 2 19 3 6" xfId="25329" xr:uid="{00000000-0005-0000-0000-0000A0610000}"/>
    <cellStyle name="Normal 2 19 3 7" xfId="25330" xr:uid="{00000000-0005-0000-0000-0000A1610000}"/>
    <cellStyle name="Normal 2 19 3 8" xfId="25331" xr:uid="{00000000-0005-0000-0000-0000A2610000}"/>
    <cellStyle name="Normal 2 19 3 9" xfId="25332" xr:uid="{00000000-0005-0000-0000-0000A3610000}"/>
    <cellStyle name="Normal 2 19 4" xfId="25333" xr:uid="{00000000-0005-0000-0000-0000A4610000}"/>
    <cellStyle name="Normal 2 19 4 10" xfId="25334" xr:uid="{00000000-0005-0000-0000-0000A5610000}"/>
    <cellStyle name="Normal 2 19 4 2" xfId="25335" xr:uid="{00000000-0005-0000-0000-0000A6610000}"/>
    <cellStyle name="Normal 2 19 4 2 2" xfId="25336" xr:uid="{00000000-0005-0000-0000-0000A7610000}"/>
    <cellStyle name="Normal 2 19 4 2 2 2" xfId="25337" xr:uid="{00000000-0005-0000-0000-0000A8610000}"/>
    <cellStyle name="Normal 2 19 4 2 2 3" xfId="25338" xr:uid="{00000000-0005-0000-0000-0000A9610000}"/>
    <cellStyle name="Normal 2 19 4 2 2 4" xfId="25339" xr:uid="{00000000-0005-0000-0000-0000AA610000}"/>
    <cellStyle name="Normal 2 19 4 2 2 5" xfId="25340" xr:uid="{00000000-0005-0000-0000-0000AB610000}"/>
    <cellStyle name="Normal 2 19 4 2 3" xfId="25341" xr:uid="{00000000-0005-0000-0000-0000AC610000}"/>
    <cellStyle name="Normal 2 19 4 2 4" xfId="25342" xr:uid="{00000000-0005-0000-0000-0000AD610000}"/>
    <cellStyle name="Normal 2 19 4 2 5" xfId="25343" xr:uid="{00000000-0005-0000-0000-0000AE610000}"/>
    <cellStyle name="Normal 2 19 4 2 6" xfId="25344" xr:uid="{00000000-0005-0000-0000-0000AF610000}"/>
    <cellStyle name="Normal 2 19 4 2 7" xfId="25345" xr:uid="{00000000-0005-0000-0000-0000B0610000}"/>
    <cellStyle name="Normal 2 19 4 2 8" xfId="25346" xr:uid="{00000000-0005-0000-0000-0000B1610000}"/>
    <cellStyle name="Normal 2 19 4 3" xfId="25347" xr:uid="{00000000-0005-0000-0000-0000B2610000}"/>
    <cellStyle name="Normal 2 19 4 3 2" xfId="25348" xr:uid="{00000000-0005-0000-0000-0000B3610000}"/>
    <cellStyle name="Normal 2 19 4 3 2 2" xfId="25349" xr:uid="{00000000-0005-0000-0000-0000B4610000}"/>
    <cellStyle name="Normal 2 19 4 3 2 3" xfId="25350" xr:uid="{00000000-0005-0000-0000-0000B5610000}"/>
    <cellStyle name="Normal 2 19 4 3 2 4" xfId="25351" xr:uid="{00000000-0005-0000-0000-0000B6610000}"/>
    <cellStyle name="Normal 2 19 4 3 2 5" xfId="25352" xr:uid="{00000000-0005-0000-0000-0000B7610000}"/>
    <cellStyle name="Normal 2 19 4 3 3" xfId="25353" xr:uid="{00000000-0005-0000-0000-0000B8610000}"/>
    <cellStyle name="Normal 2 19 4 3 4" xfId="25354" xr:uid="{00000000-0005-0000-0000-0000B9610000}"/>
    <cellStyle name="Normal 2 19 4 3 5" xfId="25355" xr:uid="{00000000-0005-0000-0000-0000BA610000}"/>
    <cellStyle name="Normal 2 19 4 3 6" xfId="25356" xr:uid="{00000000-0005-0000-0000-0000BB610000}"/>
    <cellStyle name="Normal 2 19 4 3 7" xfId="25357" xr:uid="{00000000-0005-0000-0000-0000BC610000}"/>
    <cellStyle name="Normal 2 19 4 3 8" xfId="25358" xr:uid="{00000000-0005-0000-0000-0000BD610000}"/>
    <cellStyle name="Normal 2 19 4 4" xfId="25359" xr:uid="{00000000-0005-0000-0000-0000BE610000}"/>
    <cellStyle name="Normal 2 19 4 4 2" xfId="25360" xr:uid="{00000000-0005-0000-0000-0000BF610000}"/>
    <cellStyle name="Normal 2 19 4 4 3" xfId="25361" xr:uid="{00000000-0005-0000-0000-0000C0610000}"/>
    <cellStyle name="Normal 2 19 4 4 4" xfId="25362" xr:uid="{00000000-0005-0000-0000-0000C1610000}"/>
    <cellStyle name="Normal 2 19 4 4 5" xfId="25363" xr:uid="{00000000-0005-0000-0000-0000C2610000}"/>
    <cellStyle name="Normal 2 19 4 5" xfId="25364" xr:uid="{00000000-0005-0000-0000-0000C3610000}"/>
    <cellStyle name="Normal 2 19 4 6" xfId="25365" xr:uid="{00000000-0005-0000-0000-0000C4610000}"/>
    <cellStyle name="Normal 2 19 4 7" xfId="25366" xr:uid="{00000000-0005-0000-0000-0000C5610000}"/>
    <cellStyle name="Normal 2 19 4 8" xfId="25367" xr:uid="{00000000-0005-0000-0000-0000C6610000}"/>
    <cellStyle name="Normal 2 19 4 9" xfId="25368" xr:uid="{00000000-0005-0000-0000-0000C7610000}"/>
    <cellStyle name="Normal 2 19 5" xfId="25369" xr:uid="{00000000-0005-0000-0000-0000C8610000}"/>
    <cellStyle name="Normal 2 19 5 2" xfId="25370" xr:uid="{00000000-0005-0000-0000-0000C9610000}"/>
    <cellStyle name="Normal 2 19 5 2 2" xfId="25371" xr:uid="{00000000-0005-0000-0000-0000CA610000}"/>
    <cellStyle name="Normal 2 19 5 2 3" xfId="25372" xr:uid="{00000000-0005-0000-0000-0000CB610000}"/>
    <cellStyle name="Normal 2 19 5 2 4" xfId="25373" xr:uid="{00000000-0005-0000-0000-0000CC610000}"/>
    <cellStyle name="Normal 2 19 5 2 5" xfId="25374" xr:uid="{00000000-0005-0000-0000-0000CD610000}"/>
    <cellStyle name="Normal 2 19 5 3" xfId="25375" xr:uid="{00000000-0005-0000-0000-0000CE610000}"/>
    <cellStyle name="Normal 2 19 5 4" xfId="25376" xr:uid="{00000000-0005-0000-0000-0000CF610000}"/>
    <cellStyle name="Normal 2 19 5 5" xfId="25377" xr:uid="{00000000-0005-0000-0000-0000D0610000}"/>
    <cellStyle name="Normal 2 19 5 6" xfId="25378" xr:uid="{00000000-0005-0000-0000-0000D1610000}"/>
    <cellStyle name="Normal 2 19 5 7" xfId="25379" xr:uid="{00000000-0005-0000-0000-0000D2610000}"/>
    <cellStyle name="Normal 2 19 5 8" xfId="25380" xr:uid="{00000000-0005-0000-0000-0000D3610000}"/>
    <cellStyle name="Normal 2 19 6" xfId="25381" xr:uid="{00000000-0005-0000-0000-0000D4610000}"/>
    <cellStyle name="Normal 2 19 6 2" xfId="25382" xr:uid="{00000000-0005-0000-0000-0000D5610000}"/>
    <cellStyle name="Normal 2 19 6 2 2" xfId="25383" xr:uid="{00000000-0005-0000-0000-0000D6610000}"/>
    <cellStyle name="Normal 2 19 6 2 3" xfId="25384" xr:uid="{00000000-0005-0000-0000-0000D7610000}"/>
    <cellStyle name="Normal 2 19 6 2 4" xfId="25385" xr:uid="{00000000-0005-0000-0000-0000D8610000}"/>
    <cellStyle name="Normal 2 19 6 2 5" xfId="25386" xr:uid="{00000000-0005-0000-0000-0000D9610000}"/>
    <cellStyle name="Normal 2 19 6 3" xfId="25387" xr:uid="{00000000-0005-0000-0000-0000DA610000}"/>
    <cellStyle name="Normal 2 19 6 4" xfId="25388" xr:uid="{00000000-0005-0000-0000-0000DB610000}"/>
    <cellStyle name="Normal 2 19 6 5" xfId="25389" xr:uid="{00000000-0005-0000-0000-0000DC610000}"/>
    <cellStyle name="Normal 2 19 6 6" xfId="25390" xr:uid="{00000000-0005-0000-0000-0000DD610000}"/>
    <cellStyle name="Normal 2 19 6 7" xfId="25391" xr:uid="{00000000-0005-0000-0000-0000DE610000}"/>
    <cellStyle name="Normal 2 19 6 8" xfId="25392" xr:uid="{00000000-0005-0000-0000-0000DF610000}"/>
    <cellStyle name="Normal 2 19 7" xfId="25393" xr:uid="{00000000-0005-0000-0000-0000E0610000}"/>
    <cellStyle name="Normal 2 19 7 2" xfId="25394" xr:uid="{00000000-0005-0000-0000-0000E1610000}"/>
    <cellStyle name="Normal 2 19 7 3" xfId="25395" xr:uid="{00000000-0005-0000-0000-0000E2610000}"/>
    <cellStyle name="Normal 2 19 7 4" xfId="25396" xr:uid="{00000000-0005-0000-0000-0000E3610000}"/>
    <cellStyle name="Normal 2 19 7 5" xfId="25397" xr:uid="{00000000-0005-0000-0000-0000E4610000}"/>
    <cellStyle name="Normal 2 19 8" xfId="25398" xr:uid="{00000000-0005-0000-0000-0000E5610000}"/>
    <cellStyle name="Normal 2 19 9" xfId="25399" xr:uid="{00000000-0005-0000-0000-0000E6610000}"/>
    <cellStyle name="Normal 2 2" xfId="847" xr:uid="{00000000-0005-0000-0000-0000E7610000}"/>
    <cellStyle name="Normal 2 2 10" xfId="848" xr:uid="{00000000-0005-0000-0000-0000E8610000}"/>
    <cellStyle name="Normal 2 2 10 10" xfId="25400" xr:uid="{00000000-0005-0000-0000-0000E9610000}"/>
    <cellStyle name="Normal 2 2 10 11" xfId="25401" xr:uid="{00000000-0005-0000-0000-0000EA610000}"/>
    <cellStyle name="Normal 2 2 10 12" xfId="25402" xr:uid="{00000000-0005-0000-0000-0000EB610000}"/>
    <cellStyle name="Normal 2 2 10 13" xfId="25403" xr:uid="{00000000-0005-0000-0000-0000EC610000}"/>
    <cellStyle name="Normal 2 2 10 14" xfId="25404" xr:uid="{00000000-0005-0000-0000-0000ED610000}"/>
    <cellStyle name="Normal 2 2 10 15" xfId="25405" xr:uid="{00000000-0005-0000-0000-0000EE610000}"/>
    <cellStyle name="Normal 2 2 10 2" xfId="25406" xr:uid="{00000000-0005-0000-0000-0000EF610000}"/>
    <cellStyle name="Normal 2 2 10 3" xfId="25407" xr:uid="{00000000-0005-0000-0000-0000F0610000}"/>
    <cellStyle name="Normal 2 2 10 4" xfId="25408" xr:uid="{00000000-0005-0000-0000-0000F1610000}"/>
    <cellStyle name="Normal 2 2 10 4 10" xfId="25409" xr:uid="{00000000-0005-0000-0000-0000F2610000}"/>
    <cellStyle name="Normal 2 2 10 4 11" xfId="25410" xr:uid="{00000000-0005-0000-0000-0000F3610000}"/>
    <cellStyle name="Normal 2 2 10 4 2" xfId="25411" xr:uid="{00000000-0005-0000-0000-0000F4610000}"/>
    <cellStyle name="Normal 2 2 10 4 2 10" xfId="25412" xr:uid="{00000000-0005-0000-0000-0000F5610000}"/>
    <cellStyle name="Normal 2 2 10 4 2 2" xfId="25413" xr:uid="{00000000-0005-0000-0000-0000F6610000}"/>
    <cellStyle name="Normal 2 2 10 4 2 2 2" xfId="25414" xr:uid="{00000000-0005-0000-0000-0000F7610000}"/>
    <cellStyle name="Normal 2 2 10 4 2 2 2 2" xfId="25415" xr:uid="{00000000-0005-0000-0000-0000F8610000}"/>
    <cellStyle name="Normal 2 2 10 4 2 2 2 3" xfId="25416" xr:uid="{00000000-0005-0000-0000-0000F9610000}"/>
    <cellStyle name="Normal 2 2 10 4 2 2 2 4" xfId="25417" xr:uid="{00000000-0005-0000-0000-0000FA610000}"/>
    <cellStyle name="Normal 2 2 10 4 2 2 2 5" xfId="25418" xr:uid="{00000000-0005-0000-0000-0000FB610000}"/>
    <cellStyle name="Normal 2 2 10 4 2 2 3" xfId="25419" xr:uid="{00000000-0005-0000-0000-0000FC610000}"/>
    <cellStyle name="Normal 2 2 10 4 2 2 4" xfId="25420" xr:uid="{00000000-0005-0000-0000-0000FD610000}"/>
    <cellStyle name="Normal 2 2 10 4 2 2 5" xfId="25421" xr:uid="{00000000-0005-0000-0000-0000FE610000}"/>
    <cellStyle name="Normal 2 2 10 4 2 2 6" xfId="25422" xr:uid="{00000000-0005-0000-0000-0000FF610000}"/>
    <cellStyle name="Normal 2 2 10 4 2 2 7" xfId="25423" xr:uid="{00000000-0005-0000-0000-000000620000}"/>
    <cellStyle name="Normal 2 2 10 4 2 2 8" xfId="25424" xr:uid="{00000000-0005-0000-0000-000001620000}"/>
    <cellStyle name="Normal 2 2 10 4 2 3" xfId="25425" xr:uid="{00000000-0005-0000-0000-000002620000}"/>
    <cellStyle name="Normal 2 2 10 4 2 3 2" xfId="25426" xr:uid="{00000000-0005-0000-0000-000003620000}"/>
    <cellStyle name="Normal 2 2 10 4 2 3 2 2" xfId="25427" xr:uid="{00000000-0005-0000-0000-000004620000}"/>
    <cellStyle name="Normal 2 2 10 4 2 3 2 3" xfId="25428" xr:uid="{00000000-0005-0000-0000-000005620000}"/>
    <cellStyle name="Normal 2 2 10 4 2 3 2 4" xfId="25429" xr:uid="{00000000-0005-0000-0000-000006620000}"/>
    <cellStyle name="Normal 2 2 10 4 2 3 2 5" xfId="25430" xr:uid="{00000000-0005-0000-0000-000007620000}"/>
    <cellStyle name="Normal 2 2 10 4 2 3 3" xfId="25431" xr:uid="{00000000-0005-0000-0000-000008620000}"/>
    <cellStyle name="Normal 2 2 10 4 2 3 4" xfId="25432" xr:uid="{00000000-0005-0000-0000-000009620000}"/>
    <cellStyle name="Normal 2 2 10 4 2 3 5" xfId="25433" xr:uid="{00000000-0005-0000-0000-00000A620000}"/>
    <cellStyle name="Normal 2 2 10 4 2 3 6" xfId="25434" xr:uid="{00000000-0005-0000-0000-00000B620000}"/>
    <cellStyle name="Normal 2 2 10 4 2 3 7" xfId="25435" xr:uid="{00000000-0005-0000-0000-00000C620000}"/>
    <cellStyle name="Normal 2 2 10 4 2 3 8" xfId="25436" xr:uid="{00000000-0005-0000-0000-00000D620000}"/>
    <cellStyle name="Normal 2 2 10 4 2 4" xfId="25437" xr:uid="{00000000-0005-0000-0000-00000E620000}"/>
    <cellStyle name="Normal 2 2 10 4 2 4 2" xfId="25438" xr:uid="{00000000-0005-0000-0000-00000F620000}"/>
    <cellStyle name="Normal 2 2 10 4 2 4 3" xfId="25439" xr:uid="{00000000-0005-0000-0000-000010620000}"/>
    <cellStyle name="Normal 2 2 10 4 2 4 4" xfId="25440" xr:uid="{00000000-0005-0000-0000-000011620000}"/>
    <cellStyle name="Normal 2 2 10 4 2 4 5" xfId="25441" xr:uid="{00000000-0005-0000-0000-000012620000}"/>
    <cellStyle name="Normal 2 2 10 4 2 5" xfId="25442" xr:uid="{00000000-0005-0000-0000-000013620000}"/>
    <cellStyle name="Normal 2 2 10 4 2 6" xfId="25443" xr:uid="{00000000-0005-0000-0000-000014620000}"/>
    <cellStyle name="Normal 2 2 10 4 2 7" xfId="25444" xr:uid="{00000000-0005-0000-0000-000015620000}"/>
    <cellStyle name="Normal 2 2 10 4 2 8" xfId="25445" xr:uid="{00000000-0005-0000-0000-000016620000}"/>
    <cellStyle name="Normal 2 2 10 4 2 9" xfId="25446" xr:uid="{00000000-0005-0000-0000-000017620000}"/>
    <cellStyle name="Normal 2 2 10 4 3" xfId="25447" xr:uid="{00000000-0005-0000-0000-000018620000}"/>
    <cellStyle name="Normal 2 2 10 4 3 2" xfId="25448" xr:uid="{00000000-0005-0000-0000-000019620000}"/>
    <cellStyle name="Normal 2 2 10 4 3 2 2" xfId="25449" xr:uid="{00000000-0005-0000-0000-00001A620000}"/>
    <cellStyle name="Normal 2 2 10 4 3 2 3" xfId="25450" xr:uid="{00000000-0005-0000-0000-00001B620000}"/>
    <cellStyle name="Normal 2 2 10 4 3 2 4" xfId="25451" xr:uid="{00000000-0005-0000-0000-00001C620000}"/>
    <cellStyle name="Normal 2 2 10 4 3 2 5" xfId="25452" xr:uid="{00000000-0005-0000-0000-00001D620000}"/>
    <cellStyle name="Normal 2 2 10 4 3 3" xfId="25453" xr:uid="{00000000-0005-0000-0000-00001E620000}"/>
    <cellStyle name="Normal 2 2 10 4 3 4" xfId="25454" xr:uid="{00000000-0005-0000-0000-00001F620000}"/>
    <cellStyle name="Normal 2 2 10 4 3 5" xfId="25455" xr:uid="{00000000-0005-0000-0000-000020620000}"/>
    <cellStyle name="Normal 2 2 10 4 3 6" xfId="25456" xr:uid="{00000000-0005-0000-0000-000021620000}"/>
    <cellStyle name="Normal 2 2 10 4 3 7" xfId="25457" xr:uid="{00000000-0005-0000-0000-000022620000}"/>
    <cellStyle name="Normal 2 2 10 4 3 8" xfId="25458" xr:uid="{00000000-0005-0000-0000-000023620000}"/>
    <cellStyle name="Normal 2 2 10 4 4" xfId="25459" xr:uid="{00000000-0005-0000-0000-000024620000}"/>
    <cellStyle name="Normal 2 2 10 4 4 2" xfId="25460" xr:uid="{00000000-0005-0000-0000-000025620000}"/>
    <cellStyle name="Normal 2 2 10 4 4 2 2" xfId="25461" xr:uid="{00000000-0005-0000-0000-000026620000}"/>
    <cellStyle name="Normal 2 2 10 4 4 2 3" xfId="25462" xr:uid="{00000000-0005-0000-0000-000027620000}"/>
    <cellStyle name="Normal 2 2 10 4 4 2 4" xfId="25463" xr:uid="{00000000-0005-0000-0000-000028620000}"/>
    <cellStyle name="Normal 2 2 10 4 4 2 5" xfId="25464" xr:uid="{00000000-0005-0000-0000-000029620000}"/>
    <cellStyle name="Normal 2 2 10 4 4 3" xfId="25465" xr:uid="{00000000-0005-0000-0000-00002A620000}"/>
    <cellStyle name="Normal 2 2 10 4 4 4" xfId="25466" xr:uid="{00000000-0005-0000-0000-00002B620000}"/>
    <cellStyle name="Normal 2 2 10 4 4 5" xfId="25467" xr:uid="{00000000-0005-0000-0000-00002C620000}"/>
    <cellStyle name="Normal 2 2 10 4 4 6" xfId="25468" xr:uid="{00000000-0005-0000-0000-00002D620000}"/>
    <cellStyle name="Normal 2 2 10 4 4 7" xfId="25469" xr:uid="{00000000-0005-0000-0000-00002E620000}"/>
    <cellStyle name="Normal 2 2 10 4 4 8" xfId="25470" xr:uid="{00000000-0005-0000-0000-00002F620000}"/>
    <cellStyle name="Normal 2 2 10 4 5" xfId="25471" xr:uid="{00000000-0005-0000-0000-000030620000}"/>
    <cellStyle name="Normal 2 2 10 4 5 2" xfId="25472" xr:uid="{00000000-0005-0000-0000-000031620000}"/>
    <cellStyle name="Normal 2 2 10 4 5 3" xfId="25473" xr:uid="{00000000-0005-0000-0000-000032620000}"/>
    <cellStyle name="Normal 2 2 10 4 5 4" xfId="25474" xr:uid="{00000000-0005-0000-0000-000033620000}"/>
    <cellStyle name="Normal 2 2 10 4 5 5" xfId="25475" xr:uid="{00000000-0005-0000-0000-000034620000}"/>
    <cellStyle name="Normal 2 2 10 4 6" xfId="25476" xr:uid="{00000000-0005-0000-0000-000035620000}"/>
    <cellStyle name="Normal 2 2 10 4 7" xfId="25477" xr:uid="{00000000-0005-0000-0000-000036620000}"/>
    <cellStyle name="Normal 2 2 10 4 8" xfId="25478" xr:uid="{00000000-0005-0000-0000-000037620000}"/>
    <cellStyle name="Normal 2 2 10 4 9" xfId="25479" xr:uid="{00000000-0005-0000-0000-000038620000}"/>
    <cellStyle name="Normal 2 2 10 5" xfId="25480" xr:uid="{00000000-0005-0000-0000-000039620000}"/>
    <cellStyle name="Normal 2 2 10 5 10" xfId="25481" xr:uid="{00000000-0005-0000-0000-00003A620000}"/>
    <cellStyle name="Normal 2 2 10 5 11" xfId="25482" xr:uid="{00000000-0005-0000-0000-00003B620000}"/>
    <cellStyle name="Normal 2 2 10 5 2" xfId="25483" xr:uid="{00000000-0005-0000-0000-00003C620000}"/>
    <cellStyle name="Normal 2 2 10 5 2 10" xfId="25484" xr:uid="{00000000-0005-0000-0000-00003D620000}"/>
    <cellStyle name="Normal 2 2 10 5 2 2" xfId="25485" xr:uid="{00000000-0005-0000-0000-00003E620000}"/>
    <cellStyle name="Normal 2 2 10 5 2 2 2" xfId="25486" xr:uid="{00000000-0005-0000-0000-00003F620000}"/>
    <cellStyle name="Normal 2 2 10 5 2 2 2 2" xfId="25487" xr:uid="{00000000-0005-0000-0000-000040620000}"/>
    <cellStyle name="Normal 2 2 10 5 2 2 2 3" xfId="25488" xr:uid="{00000000-0005-0000-0000-000041620000}"/>
    <cellStyle name="Normal 2 2 10 5 2 2 2 4" xfId="25489" xr:uid="{00000000-0005-0000-0000-000042620000}"/>
    <cellStyle name="Normal 2 2 10 5 2 2 2 5" xfId="25490" xr:uid="{00000000-0005-0000-0000-000043620000}"/>
    <cellStyle name="Normal 2 2 10 5 2 2 3" xfId="25491" xr:uid="{00000000-0005-0000-0000-000044620000}"/>
    <cellStyle name="Normal 2 2 10 5 2 2 4" xfId="25492" xr:uid="{00000000-0005-0000-0000-000045620000}"/>
    <cellStyle name="Normal 2 2 10 5 2 2 5" xfId="25493" xr:uid="{00000000-0005-0000-0000-000046620000}"/>
    <cellStyle name="Normal 2 2 10 5 2 2 6" xfId="25494" xr:uid="{00000000-0005-0000-0000-000047620000}"/>
    <cellStyle name="Normal 2 2 10 5 2 2 7" xfId="25495" xr:uid="{00000000-0005-0000-0000-000048620000}"/>
    <cellStyle name="Normal 2 2 10 5 2 2 8" xfId="25496" xr:uid="{00000000-0005-0000-0000-000049620000}"/>
    <cellStyle name="Normal 2 2 10 5 2 3" xfId="25497" xr:uid="{00000000-0005-0000-0000-00004A620000}"/>
    <cellStyle name="Normal 2 2 10 5 2 3 2" xfId="25498" xr:uid="{00000000-0005-0000-0000-00004B620000}"/>
    <cellStyle name="Normal 2 2 10 5 2 3 2 2" xfId="25499" xr:uid="{00000000-0005-0000-0000-00004C620000}"/>
    <cellStyle name="Normal 2 2 10 5 2 3 2 3" xfId="25500" xr:uid="{00000000-0005-0000-0000-00004D620000}"/>
    <cellStyle name="Normal 2 2 10 5 2 3 2 4" xfId="25501" xr:uid="{00000000-0005-0000-0000-00004E620000}"/>
    <cellStyle name="Normal 2 2 10 5 2 3 2 5" xfId="25502" xr:uid="{00000000-0005-0000-0000-00004F620000}"/>
    <cellStyle name="Normal 2 2 10 5 2 3 3" xfId="25503" xr:uid="{00000000-0005-0000-0000-000050620000}"/>
    <cellStyle name="Normal 2 2 10 5 2 3 4" xfId="25504" xr:uid="{00000000-0005-0000-0000-000051620000}"/>
    <cellStyle name="Normal 2 2 10 5 2 3 5" xfId="25505" xr:uid="{00000000-0005-0000-0000-000052620000}"/>
    <cellStyle name="Normal 2 2 10 5 2 3 6" xfId="25506" xr:uid="{00000000-0005-0000-0000-000053620000}"/>
    <cellStyle name="Normal 2 2 10 5 2 3 7" xfId="25507" xr:uid="{00000000-0005-0000-0000-000054620000}"/>
    <cellStyle name="Normal 2 2 10 5 2 3 8" xfId="25508" xr:uid="{00000000-0005-0000-0000-000055620000}"/>
    <cellStyle name="Normal 2 2 10 5 2 4" xfId="25509" xr:uid="{00000000-0005-0000-0000-000056620000}"/>
    <cellStyle name="Normal 2 2 10 5 2 4 2" xfId="25510" xr:uid="{00000000-0005-0000-0000-000057620000}"/>
    <cellStyle name="Normal 2 2 10 5 2 4 3" xfId="25511" xr:uid="{00000000-0005-0000-0000-000058620000}"/>
    <cellStyle name="Normal 2 2 10 5 2 4 4" xfId="25512" xr:uid="{00000000-0005-0000-0000-000059620000}"/>
    <cellStyle name="Normal 2 2 10 5 2 4 5" xfId="25513" xr:uid="{00000000-0005-0000-0000-00005A620000}"/>
    <cellStyle name="Normal 2 2 10 5 2 5" xfId="25514" xr:uid="{00000000-0005-0000-0000-00005B620000}"/>
    <cellStyle name="Normal 2 2 10 5 2 6" xfId="25515" xr:uid="{00000000-0005-0000-0000-00005C620000}"/>
    <cellStyle name="Normal 2 2 10 5 2 7" xfId="25516" xr:uid="{00000000-0005-0000-0000-00005D620000}"/>
    <cellStyle name="Normal 2 2 10 5 2 8" xfId="25517" xr:uid="{00000000-0005-0000-0000-00005E620000}"/>
    <cellStyle name="Normal 2 2 10 5 2 9" xfId="25518" xr:uid="{00000000-0005-0000-0000-00005F620000}"/>
    <cellStyle name="Normal 2 2 10 5 3" xfId="25519" xr:uid="{00000000-0005-0000-0000-000060620000}"/>
    <cellStyle name="Normal 2 2 10 5 3 2" xfId="25520" xr:uid="{00000000-0005-0000-0000-000061620000}"/>
    <cellStyle name="Normal 2 2 10 5 3 2 2" xfId="25521" xr:uid="{00000000-0005-0000-0000-000062620000}"/>
    <cellStyle name="Normal 2 2 10 5 3 2 3" xfId="25522" xr:uid="{00000000-0005-0000-0000-000063620000}"/>
    <cellStyle name="Normal 2 2 10 5 3 2 4" xfId="25523" xr:uid="{00000000-0005-0000-0000-000064620000}"/>
    <cellStyle name="Normal 2 2 10 5 3 2 5" xfId="25524" xr:uid="{00000000-0005-0000-0000-000065620000}"/>
    <cellStyle name="Normal 2 2 10 5 3 3" xfId="25525" xr:uid="{00000000-0005-0000-0000-000066620000}"/>
    <cellStyle name="Normal 2 2 10 5 3 4" xfId="25526" xr:uid="{00000000-0005-0000-0000-000067620000}"/>
    <cellStyle name="Normal 2 2 10 5 3 5" xfId="25527" xr:uid="{00000000-0005-0000-0000-000068620000}"/>
    <cellStyle name="Normal 2 2 10 5 3 6" xfId="25528" xr:uid="{00000000-0005-0000-0000-000069620000}"/>
    <cellStyle name="Normal 2 2 10 5 3 7" xfId="25529" xr:uid="{00000000-0005-0000-0000-00006A620000}"/>
    <cellStyle name="Normal 2 2 10 5 3 8" xfId="25530" xr:uid="{00000000-0005-0000-0000-00006B620000}"/>
    <cellStyle name="Normal 2 2 10 5 4" xfId="25531" xr:uid="{00000000-0005-0000-0000-00006C620000}"/>
    <cellStyle name="Normal 2 2 10 5 4 2" xfId="25532" xr:uid="{00000000-0005-0000-0000-00006D620000}"/>
    <cellStyle name="Normal 2 2 10 5 4 2 2" xfId="25533" xr:uid="{00000000-0005-0000-0000-00006E620000}"/>
    <cellStyle name="Normal 2 2 10 5 4 2 3" xfId="25534" xr:uid="{00000000-0005-0000-0000-00006F620000}"/>
    <cellStyle name="Normal 2 2 10 5 4 2 4" xfId="25535" xr:uid="{00000000-0005-0000-0000-000070620000}"/>
    <cellStyle name="Normal 2 2 10 5 4 2 5" xfId="25536" xr:uid="{00000000-0005-0000-0000-000071620000}"/>
    <cellStyle name="Normal 2 2 10 5 4 3" xfId="25537" xr:uid="{00000000-0005-0000-0000-000072620000}"/>
    <cellStyle name="Normal 2 2 10 5 4 4" xfId="25538" xr:uid="{00000000-0005-0000-0000-000073620000}"/>
    <cellStyle name="Normal 2 2 10 5 4 5" xfId="25539" xr:uid="{00000000-0005-0000-0000-000074620000}"/>
    <cellStyle name="Normal 2 2 10 5 4 6" xfId="25540" xr:uid="{00000000-0005-0000-0000-000075620000}"/>
    <cellStyle name="Normal 2 2 10 5 4 7" xfId="25541" xr:uid="{00000000-0005-0000-0000-000076620000}"/>
    <cellStyle name="Normal 2 2 10 5 4 8" xfId="25542" xr:uid="{00000000-0005-0000-0000-000077620000}"/>
    <cellStyle name="Normal 2 2 10 5 5" xfId="25543" xr:uid="{00000000-0005-0000-0000-000078620000}"/>
    <cellStyle name="Normal 2 2 10 5 5 2" xfId="25544" xr:uid="{00000000-0005-0000-0000-000079620000}"/>
    <cellStyle name="Normal 2 2 10 5 5 3" xfId="25545" xr:uid="{00000000-0005-0000-0000-00007A620000}"/>
    <cellStyle name="Normal 2 2 10 5 5 4" xfId="25546" xr:uid="{00000000-0005-0000-0000-00007B620000}"/>
    <cellStyle name="Normal 2 2 10 5 5 5" xfId="25547" xr:uid="{00000000-0005-0000-0000-00007C620000}"/>
    <cellStyle name="Normal 2 2 10 5 6" xfId="25548" xr:uid="{00000000-0005-0000-0000-00007D620000}"/>
    <cellStyle name="Normal 2 2 10 5 7" xfId="25549" xr:uid="{00000000-0005-0000-0000-00007E620000}"/>
    <cellStyle name="Normal 2 2 10 5 8" xfId="25550" xr:uid="{00000000-0005-0000-0000-00007F620000}"/>
    <cellStyle name="Normal 2 2 10 5 9" xfId="25551" xr:uid="{00000000-0005-0000-0000-000080620000}"/>
    <cellStyle name="Normal 2 2 10 6" xfId="25552" xr:uid="{00000000-0005-0000-0000-000081620000}"/>
    <cellStyle name="Normal 2 2 10 6 10" xfId="25553" xr:uid="{00000000-0005-0000-0000-000082620000}"/>
    <cellStyle name="Normal 2 2 10 6 2" xfId="25554" xr:uid="{00000000-0005-0000-0000-000083620000}"/>
    <cellStyle name="Normal 2 2 10 6 2 2" xfId="25555" xr:uid="{00000000-0005-0000-0000-000084620000}"/>
    <cellStyle name="Normal 2 2 10 6 2 2 2" xfId="25556" xr:uid="{00000000-0005-0000-0000-000085620000}"/>
    <cellStyle name="Normal 2 2 10 6 2 2 3" xfId="25557" xr:uid="{00000000-0005-0000-0000-000086620000}"/>
    <cellStyle name="Normal 2 2 10 6 2 2 4" xfId="25558" xr:uid="{00000000-0005-0000-0000-000087620000}"/>
    <cellStyle name="Normal 2 2 10 6 2 2 5" xfId="25559" xr:uid="{00000000-0005-0000-0000-000088620000}"/>
    <cellStyle name="Normal 2 2 10 6 2 3" xfId="25560" xr:uid="{00000000-0005-0000-0000-000089620000}"/>
    <cellStyle name="Normal 2 2 10 6 2 4" xfId="25561" xr:uid="{00000000-0005-0000-0000-00008A620000}"/>
    <cellStyle name="Normal 2 2 10 6 2 5" xfId="25562" xr:uid="{00000000-0005-0000-0000-00008B620000}"/>
    <cellStyle name="Normal 2 2 10 6 2 6" xfId="25563" xr:uid="{00000000-0005-0000-0000-00008C620000}"/>
    <cellStyle name="Normal 2 2 10 6 2 7" xfId="25564" xr:uid="{00000000-0005-0000-0000-00008D620000}"/>
    <cellStyle name="Normal 2 2 10 6 2 8" xfId="25565" xr:uid="{00000000-0005-0000-0000-00008E620000}"/>
    <cellStyle name="Normal 2 2 10 6 3" xfId="25566" xr:uid="{00000000-0005-0000-0000-00008F620000}"/>
    <cellStyle name="Normal 2 2 10 6 3 2" xfId="25567" xr:uid="{00000000-0005-0000-0000-000090620000}"/>
    <cellStyle name="Normal 2 2 10 6 3 2 2" xfId="25568" xr:uid="{00000000-0005-0000-0000-000091620000}"/>
    <cellStyle name="Normal 2 2 10 6 3 2 3" xfId="25569" xr:uid="{00000000-0005-0000-0000-000092620000}"/>
    <cellStyle name="Normal 2 2 10 6 3 2 4" xfId="25570" xr:uid="{00000000-0005-0000-0000-000093620000}"/>
    <cellStyle name="Normal 2 2 10 6 3 2 5" xfId="25571" xr:uid="{00000000-0005-0000-0000-000094620000}"/>
    <cellStyle name="Normal 2 2 10 6 3 3" xfId="25572" xr:uid="{00000000-0005-0000-0000-000095620000}"/>
    <cellStyle name="Normal 2 2 10 6 3 4" xfId="25573" xr:uid="{00000000-0005-0000-0000-000096620000}"/>
    <cellStyle name="Normal 2 2 10 6 3 5" xfId="25574" xr:uid="{00000000-0005-0000-0000-000097620000}"/>
    <cellStyle name="Normal 2 2 10 6 3 6" xfId="25575" xr:uid="{00000000-0005-0000-0000-000098620000}"/>
    <cellStyle name="Normal 2 2 10 6 3 7" xfId="25576" xr:uid="{00000000-0005-0000-0000-000099620000}"/>
    <cellStyle name="Normal 2 2 10 6 3 8" xfId="25577" xr:uid="{00000000-0005-0000-0000-00009A620000}"/>
    <cellStyle name="Normal 2 2 10 6 4" xfId="25578" xr:uid="{00000000-0005-0000-0000-00009B620000}"/>
    <cellStyle name="Normal 2 2 10 6 4 2" xfId="25579" xr:uid="{00000000-0005-0000-0000-00009C620000}"/>
    <cellStyle name="Normal 2 2 10 6 4 3" xfId="25580" xr:uid="{00000000-0005-0000-0000-00009D620000}"/>
    <cellStyle name="Normal 2 2 10 6 4 4" xfId="25581" xr:uid="{00000000-0005-0000-0000-00009E620000}"/>
    <cellStyle name="Normal 2 2 10 6 4 5" xfId="25582" xr:uid="{00000000-0005-0000-0000-00009F620000}"/>
    <cellStyle name="Normal 2 2 10 6 5" xfId="25583" xr:uid="{00000000-0005-0000-0000-0000A0620000}"/>
    <cellStyle name="Normal 2 2 10 6 6" xfId="25584" xr:uid="{00000000-0005-0000-0000-0000A1620000}"/>
    <cellStyle name="Normal 2 2 10 6 7" xfId="25585" xr:uid="{00000000-0005-0000-0000-0000A2620000}"/>
    <cellStyle name="Normal 2 2 10 6 8" xfId="25586" xr:uid="{00000000-0005-0000-0000-0000A3620000}"/>
    <cellStyle name="Normal 2 2 10 6 9" xfId="25587" xr:uid="{00000000-0005-0000-0000-0000A4620000}"/>
    <cellStyle name="Normal 2 2 10 7" xfId="25588" xr:uid="{00000000-0005-0000-0000-0000A5620000}"/>
    <cellStyle name="Normal 2 2 10 7 2" xfId="25589" xr:uid="{00000000-0005-0000-0000-0000A6620000}"/>
    <cellStyle name="Normal 2 2 10 7 2 2" xfId="25590" xr:uid="{00000000-0005-0000-0000-0000A7620000}"/>
    <cellStyle name="Normal 2 2 10 7 2 3" xfId="25591" xr:uid="{00000000-0005-0000-0000-0000A8620000}"/>
    <cellStyle name="Normal 2 2 10 7 2 4" xfId="25592" xr:uid="{00000000-0005-0000-0000-0000A9620000}"/>
    <cellStyle name="Normal 2 2 10 7 2 5" xfId="25593" xr:uid="{00000000-0005-0000-0000-0000AA620000}"/>
    <cellStyle name="Normal 2 2 10 7 3" xfId="25594" xr:uid="{00000000-0005-0000-0000-0000AB620000}"/>
    <cellStyle name="Normal 2 2 10 7 4" xfId="25595" xr:uid="{00000000-0005-0000-0000-0000AC620000}"/>
    <cellStyle name="Normal 2 2 10 7 5" xfId="25596" xr:uid="{00000000-0005-0000-0000-0000AD620000}"/>
    <cellStyle name="Normal 2 2 10 7 6" xfId="25597" xr:uid="{00000000-0005-0000-0000-0000AE620000}"/>
    <cellStyle name="Normal 2 2 10 7 7" xfId="25598" xr:uid="{00000000-0005-0000-0000-0000AF620000}"/>
    <cellStyle name="Normal 2 2 10 7 8" xfId="25599" xr:uid="{00000000-0005-0000-0000-0000B0620000}"/>
    <cellStyle name="Normal 2 2 10 8" xfId="25600" xr:uid="{00000000-0005-0000-0000-0000B1620000}"/>
    <cellStyle name="Normal 2 2 10 8 2" xfId="25601" xr:uid="{00000000-0005-0000-0000-0000B2620000}"/>
    <cellStyle name="Normal 2 2 10 8 2 2" xfId="25602" xr:uid="{00000000-0005-0000-0000-0000B3620000}"/>
    <cellStyle name="Normal 2 2 10 8 2 3" xfId="25603" xr:uid="{00000000-0005-0000-0000-0000B4620000}"/>
    <cellStyle name="Normal 2 2 10 8 2 4" xfId="25604" xr:uid="{00000000-0005-0000-0000-0000B5620000}"/>
    <cellStyle name="Normal 2 2 10 8 2 5" xfId="25605" xr:uid="{00000000-0005-0000-0000-0000B6620000}"/>
    <cellStyle name="Normal 2 2 10 8 3" xfId="25606" xr:uid="{00000000-0005-0000-0000-0000B7620000}"/>
    <cellStyle name="Normal 2 2 10 8 4" xfId="25607" xr:uid="{00000000-0005-0000-0000-0000B8620000}"/>
    <cellStyle name="Normal 2 2 10 8 5" xfId="25608" xr:uid="{00000000-0005-0000-0000-0000B9620000}"/>
    <cellStyle name="Normal 2 2 10 8 6" xfId="25609" xr:uid="{00000000-0005-0000-0000-0000BA620000}"/>
    <cellStyle name="Normal 2 2 10 8 7" xfId="25610" xr:uid="{00000000-0005-0000-0000-0000BB620000}"/>
    <cellStyle name="Normal 2 2 10 8 8" xfId="25611" xr:uid="{00000000-0005-0000-0000-0000BC620000}"/>
    <cellStyle name="Normal 2 2 10 9" xfId="25612" xr:uid="{00000000-0005-0000-0000-0000BD620000}"/>
    <cellStyle name="Normal 2 2 10 9 2" xfId="25613" xr:uid="{00000000-0005-0000-0000-0000BE620000}"/>
    <cellStyle name="Normal 2 2 10 9 3" xfId="25614" xr:uid="{00000000-0005-0000-0000-0000BF620000}"/>
    <cellStyle name="Normal 2 2 10 9 4" xfId="25615" xr:uid="{00000000-0005-0000-0000-0000C0620000}"/>
    <cellStyle name="Normal 2 2 10 9 5" xfId="25616" xr:uid="{00000000-0005-0000-0000-0000C1620000}"/>
    <cellStyle name="Normal 2 2 11" xfId="849" xr:uid="{00000000-0005-0000-0000-0000C2620000}"/>
    <cellStyle name="Normal 2 2 11 2" xfId="25617" xr:uid="{00000000-0005-0000-0000-0000C3620000}"/>
    <cellStyle name="Normal 2 2 11 2 2" xfId="42635" xr:uid="{00000000-0005-0000-0000-0000C4620000}"/>
    <cellStyle name="Normal 2 2 11 3" xfId="25618" xr:uid="{00000000-0005-0000-0000-0000C5620000}"/>
    <cellStyle name="Normal 2 2 12" xfId="850" xr:uid="{00000000-0005-0000-0000-0000C6620000}"/>
    <cellStyle name="Normal 2 2 13" xfId="851" xr:uid="{00000000-0005-0000-0000-0000C7620000}"/>
    <cellStyle name="Normal 2 2 14" xfId="852" xr:uid="{00000000-0005-0000-0000-0000C8620000}"/>
    <cellStyle name="Normal 2 2 15" xfId="853" xr:uid="{00000000-0005-0000-0000-0000C9620000}"/>
    <cellStyle name="Normal 2 2 16" xfId="854" xr:uid="{00000000-0005-0000-0000-0000CA620000}"/>
    <cellStyle name="Normal 2 2 17" xfId="855" xr:uid="{00000000-0005-0000-0000-0000CB620000}"/>
    <cellStyle name="Normal 2 2 18" xfId="856" xr:uid="{00000000-0005-0000-0000-0000CC620000}"/>
    <cellStyle name="Normal 2 2 19" xfId="857" xr:uid="{00000000-0005-0000-0000-0000CD620000}"/>
    <cellStyle name="Normal 2 2 19 10" xfId="25619" xr:uid="{00000000-0005-0000-0000-0000CE620000}"/>
    <cellStyle name="Normal 2 2 19 11" xfId="25620" xr:uid="{00000000-0005-0000-0000-0000CF620000}"/>
    <cellStyle name="Normal 2 2 19 12" xfId="25621" xr:uid="{00000000-0005-0000-0000-0000D0620000}"/>
    <cellStyle name="Normal 2 2 19 13" xfId="25622" xr:uid="{00000000-0005-0000-0000-0000D1620000}"/>
    <cellStyle name="Normal 2 2 19 2" xfId="25623" xr:uid="{00000000-0005-0000-0000-0000D2620000}"/>
    <cellStyle name="Normal 2 2 19 2 10" xfId="25624" xr:uid="{00000000-0005-0000-0000-0000D3620000}"/>
    <cellStyle name="Normal 2 2 19 2 11" xfId="25625" xr:uid="{00000000-0005-0000-0000-0000D4620000}"/>
    <cellStyle name="Normal 2 2 19 2 2" xfId="25626" xr:uid="{00000000-0005-0000-0000-0000D5620000}"/>
    <cellStyle name="Normal 2 2 19 2 2 10" xfId="25627" xr:uid="{00000000-0005-0000-0000-0000D6620000}"/>
    <cellStyle name="Normal 2 2 19 2 2 2" xfId="25628" xr:uid="{00000000-0005-0000-0000-0000D7620000}"/>
    <cellStyle name="Normal 2 2 19 2 2 2 2" xfId="25629" xr:uid="{00000000-0005-0000-0000-0000D8620000}"/>
    <cellStyle name="Normal 2 2 19 2 2 2 2 2" xfId="25630" xr:uid="{00000000-0005-0000-0000-0000D9620000}"/>
    <cellStyle name="Normal 2 2 19 2 2 2 2 3" xfId="25631" xr:uid="{00000000-0005-0000-0000-0000DA620000}"/>
    <cellStyle name="Normal 2 2 19 2 2 2 2 4" xfId="25632" xr:uid="{00000000-0005-0000-0000-0000DB620000}"/>
    <cellStyle name="Normal 2 2 19 2 2 2 2 5" xfId="25633" xr:uid="{00000000-0005-0000-0000-0000DC620000}"/>
    <cellStyle name="Normal 2 2 19 2 2 2 3" xfId="25634" xr:uid="{00000000-0005-0000-0000-0000DD620000}"/>
    <cellStyle name="Normal 2 2 19 2 2 2 4" xfId="25635" xr:uid="{00000000-0005-0000-0000-0000DE620000}"/>
    <cellStyle name="Normal 2 2 19 2 2 2 5" xfId="25636" xr:uid="{00000000-0005-0000-0000-0000DF620000}"/>
    <cellStyle name="Normal 2 2 19 2 2 2 6" xfId="25637" xr:uid="{00000000-0005-0000-0000-0000E0620000}"/>
    <cellStyle name="Normal 2 2 19 2 2 2 7" xfId="25638" xr:uid="{00000000-0005-0000-0000-0000E1620000}"/>
    <cellStyle name="Normal 2 2 19 2 2 2 8" xfId="25639" xr:uid="{00000000-0005-0000-0000-0000E2620000}"/>
    <cellStyle name="Normal 2 2 19 2 2 3" xfId="25640" xr:uid="{00000000-0005-0000-0000-0000E3620000}"/>
    <cellStyle name="Normal 2 2 19 2 2 3 2" xfId="25641" xr:uid="{00000000-0005-0000-0000-0000E4620000}"/>
    <cellStyle name="Normal 2 2 19 2 2 3 2 2" xfId="25642" xr:uid="{00000000-0005-0000-0000-0000E5620000}"/>
    <cellStyle name="Normal 2 2 19 2 2 3 2 3" xfId="25643" xr:uid="{00000000-0005-0000-0000-0000E6620000}"/>
    <cellStyle name="Normal 2 2 19 2 2 3 2 4" xfId="25644" xr:uid="{00000000-0005-0000-0000-0000E7620000}"/>
    <cellStyle name="Normal 2 2 19 2 2 3 2 5" xfId="25645" xr:uid="{00000000-0005-0000-0000-0000E8620000}"/>
    <cellStyle name="Normal 2 2 19 2 2 3 3" xfId="25646" xr:uid="{00000000-0005-0000-0000-0000E9620000}"/>
    <cellStyle name="Normal 2 2 19 2 2 3 4" xfId="25647" xr:uid="{00000000-0005-0000-0000-0000EA620000}"/>
    <cellStyle name="Normal 2 2 19 2 2 3 5" xfId="25648" xr:uid="{00000000-0005-0000-0000-0000EB620000}"/>
    <cellStyle name="Normal 2 2 19 2 2 3 6" xfId="25649" xr:uid="{00000000-0005-0000-0000-0000EC620000}"/>
    <cellStyle name="Normal 2 2 19 2 2 3 7" xfId="25650" xr:uid="{00000000-0005-0000-0000-0000ED620000}"/>
    <cellStyle name="Normal 2 2 19 2 2 3 8" xfId="25651" xr:uid="{00000000-0005-0000-0000-0000EE620000}"/>
    <cellStyle name="Normal 2 2 19 2 2 4" xfId="25652" xr:uid="{00000000-0005-0000-0000-0000EF620000}"/>
    <cellStyle name="Normal 2 2 19 2 2 4 2" xfId="25653" xr:uid="{00000000-0005-0000-0000-0000F0620000}"/>
    <cellStyle name="Normal 2 2 19 2 2 4 3" xfId="25654" xr:uid="{00000000-0005-0000-0000-0000F1620000}"/>
    <cellStyle name="Normal 2 2 19 2 2 4 4" xfId="25655" xr:uid="{00000000-0005-0000-0000-0000F2620000}"/>
    <cellStyle name="Normal 2 2 19 2 2 4 5" xfId="25656" xr:uid="{00000000-0005-0000-0000-0000F3620000}"/>
    <cellStyle name="Normal 2 2 19 2 2 5" xfId="25657" xr:uid="{00000000-0005-0000-0000-0000F4620000}"/>
    <cellStyle name="Normal 2 2 19 2 2 6" xfId="25658" xr:uid="{00000000-0005-0000-0000-0000F5620000}"/>
    <cellStyle name="Normal 2 2 19 2 2 7" xfId="25659" xr:uid="{00000000-0005-0000-0000-0000F6620000}"/>
    <cellStyle name="Normal 2 2 19 2 2 8" xfId="25660" xr:uid="{00000000-0005-0000-0000-0000F7620000}"/>
    <cellStyle name="Normal 2 2 19 2 2 9" xfId="25661" xr:uid="{00000000-0005-0000-0000-0000F8620000}"/>
    <cellStyle name="Normal 2 2 19 2 3" xfId="25662" xr:uid="{00000000-0005-0000-0000-0000F9620000}"/>
    <cellStyle name="Normal 2 2 19 2 3 2" xfId="25663" xr:uid="{00000000-0005-0000-0000-0000FA620000}"/>
    <cellStyle name="Normal 2 2 19 2 3 2 2" xfId="25664" xr:uid="{00000000-0005-0000-0000-0000FB620000}"/>
    <cellStyle name="Normal 2 2 19 2 3 2 3" xfId="25665" xr:uid="{00000000-0005-0000-0000-0000FC620000}"/>
    <cellStyle name="Normal 2 2 19 2 3 2 4" xfId="25666" xr:uid="{00000000-0005-0000-0000-0000FD620000}"/>
    <cellStyle name="Normal 2 2 19 2 3 2 5" xfId="25667" xr:uid="{00000000-0005-0000-0000-0000FE620000}"/>
    <cellStyle name="Normal 2 2 19 2 3 3" xfId="25668" xr:uid="{00000000-0005-0000-0000-0000FF620000}"/>
    <cellStyle name="Normal 2 2 19 2 3 4" xfId="25669" xr:uid="{00000000-0005-0000-0000-000000630000}"/>
    <cellStyle name="Normal 2 2 19 2 3 5" xfId="25670" xr:uid="{00000000-0005-0000-0000-000001630000}"/>
    <cellStyle name="Normal 2 2 19 2 3 6" xfId="25671" xr:uid="{00000000-0005-0000-0000-000002630000}"/>
    <cellStyle name="Normal 2 2 19 2 3 7" xfId="25672" xr:uid="{00000000-0005-0000-0000-000003630000}"/>
    <cellStyle name="Normal 2 2 19 2 3 8" xfId="25673" xr:uid="{00000000-0005-0000-0000-000004630000}"/>
    <cellStyle name="Normal 2 2 19 2 4" xfId="25674" xr:uid="{00000000-0005-0000-0000-000005630000}"/>
    <cellStyle name="Normal 2 2 19 2 4 2" xfId="25675" xr:uid="{00000000-0005-0000-0000-000006630000}"/>
    <cellStyle name="Normal 2 2 19 2 4 2 2" xfId="25676" xr:uid="{00000000-0005-0000-0000-000007630000}"/>
    <cellStyle name="Normal 2 2 19 2 4 2 3" xfId="25677" xr:uid="{00000000-0005-0000-0000-000008630000}"/>
    <cellStyle name="Normal 2 2 19 2 4 2 4" xfId="25678" xr:uid="{00000000-0005-0000-0000-000009630000}"/>
    <cellStyle name="Normal 2 2 19 2 4 2 5" xfId="25679" xr:uid="{00000000-0005-0000-0000-00000A630000}"/>
    <cellStyle name="Normal 2 2 19 2 4 3" xfId="25680" xr:uid="{00000000-0005-0000-0000-00000B630000}"/>
    <cellStyle name="Normal 2 2 19 2 4 4" xfId="25681" xr:uid="{00000000-0005-0000-0000-00000C630000}"/>
    <cellStyle name="Normal 2 2 19 2 4 5" xfId="25682" xr:uid="{00000000-0005-0000-0000-00000D630000}"/>
    <cellStyle name="Normal 2 2 19 2 4 6" xfId="25683" xr:uid="{00000000-0005-0000-0000-00000E630000}"/>
    <cellStyle name="Normal 2 2 19 2 4 7" xfId="25684" xr:uid="{00000000-0005-0000-0000-00000F630000}"/>
    <cellStyle name="Normal 2 2 19 2 4 8" xfId="25685" xr:uid="{00000000-0005-0000-0000-000010630000}"/>
    <cellStyle name="Normal 2 2 19 2 5" xfId="25686" xr:uid="{00000000-0005-0000-0000-000011630000}"/>
    <cellStyle name="Normal 2 2 19 2 5 2" xfId="25687" xr:uid="{00000000-0005-0000-0000-000012630000}"/>
    <cellStyle name="Normal 2 2 19 2 5 3" xfId="25688" xr:uid="{00000000-0005-0000-0000-000013630000}"/>
    <cellStyle name="Normal 2 2 19 2 5 4" xfId="25689" xr:uid="{00000000-0005-0000-0000-000014630000}"/>
    <cellStyle name="Normal 2 2 19 2 5 5" xfId="25690" xr:uid="{00000000-0005-0000-0000-000015630000}"/>
    <cellStyle name="Normal 2 2 19 2 6" xfId="25691" xr:uid="{00000000-0005-0000-0000-000016630000}"/>
    <cellStyle name="Normal 2 2 19 2 7" xfId="25692" xr:uid="{00000000-0005-0000-0000-000017630000}"/>
    <cellStyle name="Normal 2 2 19 2 8" xfId="25693" xr:uid="{00000000-0005-0000-0000-000018630000}"/>
    <cellStyle name="Normal 2 2 19 2 9" xfId="25694" xr:uid="{00000000-0005-0000-0000-000019630000}"/>
    <cellStyle name="Normal 2 2 19 3" xfId="25695" xr:uid="{00000000-0005-0000-0000-00001A630000}"/>
    <cellStyle name="Normal 2 2 19 3 10" xfId="25696" xr:uid="{00000000-0005-0000-0000-00001B630000}"/>
    <cellStyle name="Normal 2 2 19 3 11" xfId="25697" xr:uid="{00000000-0005-0000-0000-00001C630000}"/>
    <cellStyle name="Normal 2 2 19 3 2" xfId="25698" xr:uid="{00000000-0005-0000-0000-00001D630000}"/>
    <cellStyle name="Normal 2 2 19 3 2 10" xfId="25699" xr:uid="{00000000-0005-0000-0000-00001E630000}"/>
    <cellStyle name="Normal 2 2 19 3 2 2" xfId="25700" xr:uid="{00000000-0005-0000-0000-00001F630000}"/>
    <cellStyle name="Normal 2 2 19 3 2 2 2" xfId="25701" xr:uid="{00000000-0005-0000-0000-000020630000}"/>
    <cellStyle name="Normal 2 2 19 3 2 2 2 2" xfId="25702" xr:uid="{00000000-0005-0000-0000-000021630000}"/>
    <cellStyle name="Normal 2 2 19 3 2 2 2 3" xfId="25703" xr:uid="{00000000-0005-0000-0000-000022630000}"/>
    <cellStyle name="Normal 2 2 19 3 2 2 2 4" xfId="25704" xr:uid="{00000000-0005-0000-0000-000023630000}"/>
    <cellStyle name="Normal 2 2 19 3 2 2 2 5" xfId="25705" xr:uid="{00000000-0005-0000-0000-000024630000}"/>
    <cellStyle name="Normal 2 2 19 3 2 2 3" xfId="25706" xr:uid="{00000000-0005-0000-0000-000025630000}"/>
    <cellStyle name="Normal 2 2 19 3 2 2 4" xfId="25707" xr:uid="{00000000-0005-0000-0000-000026630000}"/>
    <cellStyle name="Normal 2 2 19 3 2 2 5" xfId="25708" xr:uid="{00000000-0005-0000-0000-000027630000}"/>
    <cellStyle name="Normal 2 2 19 3 2 2 6" xfId="25709" xr:uid="{00000000-0005-0000-0000-000028630000}"/>
    <cellStyle name="Normal 2 2 19 3 2 2 7" xfId="25710" xr:uid="{00000000-0005-0000-0000-000029630000}"/>
    <cellStyle name="Normal 2 2 19 3 2 2 8" xfId="25711" xr:uid="{00000000-0005-0000-0000-00002A630000}"/>
    <cellStyle name="Normal 2 2 19 3 2 3" xfId="25712" xr:uid="{00000000-0005-0000-0000-00002B630000}"/>
    <cellStyle name="Normal 2 2 19 3 2 3 2" xfId="25713" xr:uid="{00000000-0005-0000-0000-00002C630000}"/>
    <cellStyle name="Normal 2 2 19 3 2 3 2 2" xfId="25714" xr:uid="{00000000-0005-0000-0000-00002D630000}"/>
    <cellStyle name="Normal 2 2 19 3 2 3 2 3" xfId="25715" xr:uid="{00000000-0005-0000-0000-00002E630000}"/>
    <cellStyle name="Normal 2 2 19 3 2 3 2 4" xfId="25716" xr:uid="{00000000-0005-0000-0000-00002F630000}"/>
    <cellStyle name="Normal 2 2 19 3 2 3 2 5" xfId="25717" xr:uid="{00000000-0005-0000-0000-000030630000}"/>
    <cellStyle name="Normal 2 2 19 3 2 3 3" xfId="25718" xr:uid="{00000000-0005-0000-0000-000031630000}"/>
    <cellStyle name="Normal 2 2 19 3 2 3 4" xfId="25719" xr:uid="{00000000-0005-0000-0000-000032630000}"/>
    <cellStyle name="Normal 2 2 19 3 2 3 5" xfId="25720" xr:uid="{00000000-0005-0000-0000-000033630000}"/>
    <cellStyle name="Normal 2 2 19 3 2 3 6" xfId="25721" xr:uid="{00000000-0005-0000-0000-000034630000}"/>
    <cellStyle name="Normal 2 2 19 3 2 3 7" xfId="25722" xr:uid="{00000000-0005-0000-0000-000035630000}"/>
    <cellStyle name="Normal 2 2 19 3 2 3 8" xfId="25723" xr:uid="{00000000-0005-0000-0000-000036630000}"/>
    <cellStyle name="Normal 2 2 19 3 2 4" xfId="25724" xr:uid="{00000000-0005-0000-0000-000037630000}"/>
    <cellStyle name="Normal 2 2 19 3 2 4 2" xfId="25725" xr:uid="{00000000-0005-0000-0000-000038630000}"/>
    <cellStyle name="Normal 2 2 19 3 2 4 3" xfId="25726" xr:uid="{00000000-0005-0000-0000-000039630000}"/>
    <cellStyle name="Normal 2 2 19 3 2 4 4" xfId="25727" xr:uid="{00000000-0005-0000-0000-00003A630000}"/>
    <cellStyle name="Normal 2 2 19 3 2 4 5" xfId="25728" xr:uid="{00000000-0005-0000-0000-00003B630000}"/>
    <cellStyle name="Normal 2 2 19 3 2 5" xfId="25729" xr:uid="{00000000-0005-0000-0000-00003C630000}"/>
    <cellStyle name="Normal 2 2 19 3 2 6" xfId="25730" xr:uid="{00000000-0005-0000-0000-00003D630000}"/>
    <cellStyle name="Normal 2 2 19 3 2 7" xfId="25731" xr:uid="{00000000-0005-0000-0000-00003E630000}"/>
    <cellStyle name="Normal 2 2 19 3 2 8" xfId="25732" xr:uid="{00000000-0005-0000-0000-00003F630000}"/>
    <cellStyle name="Normal 2 2 19 3 2 9" xfId="25733" xr:uid="{00000000-0005-0000-0000-000040630000}"/>
    <cellStyle name="Normal 2 2 19 3 3" xfId="25734" xr:uid="{00000000-0005-0000-0000-000041630000}"/>
    <cellStyle name="Normal 2 2 19 3 3 2" xfId="25735" xr:uid="{00000000-0005-0000-0000-000042630000}"/>
    <cellStyle name="Normal 2 2 19 3 3 2 2" xfId="25736" xr:uid="{00000000-0005-0000-0000-000043630000}"/>
    <cellStyle name="Normal 2 2 19 3 3 2 3" xfId="25737" xr:uid="{00000000-0005-0000-0000-000044630000}"/>
    <cellStyle name="Normal 2 2 19 3 3 2 4" xfId="25738" xr:uid="{00000000-0005-0000-0000-000045630000}"/>
    <cellStyle name="Normal 2 2 19 3 3 2 5" xfId="25739" xr:uid="{00000000-0005-0000-0000-000046630000}"/>
    <cellStyle name="Normal 2 2 19 3 3 3" xfId="25740" xr:uid="{00000000-0005-0000-0000-000047630000}"/>
    <cellStyle name="Normal 2 2 19 3 3 4" xfId="25741" xr:uid="{00000000-0005-0000-0000-000048630000}"/>
    <cellStyle name="Normal 2 2 19 3 3 5" xfId="25742" xr:uid="{00000000-0005-0000-0000-000049630000}"/>
    <cellStyle name="Normal 2 2 19 3 3 6" xfId="25743" xr:uid="{00000000-0005-0000-0000-00004A630000}"/>
    <cellStyle name="Normal 2 2 19 3 3 7" xfId="25744" xr:uid="{00000000-0005-0000-0000-00004B630000}"/>
    <cellStyle name="Normal 2 2 19 3 3 8" xfId="25745" xr:uid="{00000000-0005-0000-0000-00004C630000}"/>
    <cellStyle name="Normal 2 2 19 3 4" xfId="25746" xr:uid="{00000000-0005-0000-0000-00004D630000}"/>
    <cellStyle name="Normal 2 2 19 3 4 2" xfId="25747" xr:uid="{00000000-0005-0000-0000-00004E630000}"/>
    <cellStyle name="Normal 2 2 19 3 4 2 2" xfId="25748" xr:uid="{00000000-0005-0000-0000-00004F630000}"/>
    <cellStyle name="Normal 2 2 19 3 4 2 3" xfId="25749" xr:uid="{00000000-0005-0000-0000-000050630000}"/>
    <cellStyle name="Normal 2 2 19 3 4 2 4" xfId="25750" xr:uid="{00000000-0005-0000-0000-000051630000}"/>
    <cellStyle name="Normal 2 2 19 3 4 2 5" xfId="25751" xr:uid="{00000000-0005-0000-0000-000052630000}"/>
    <cellStyle name="Normal 2 2 19 3 4 3" xfId="25752" xr:uid="{00000000-0005-0000-0000-000053630000}"/>
    <cellStyle name="Normal 2 2 19 3 4 4" xfId="25753" xr:uid="{00000000-0005-0000-0000-000054630000}"/>
    <cellStyle name="Normal 2 2 19 3 4 5" xfId="25754" xr:uid="{00000000-0005-0000-0000-000055630000}"/>
    <cellStyle name="Normal 2 2 19 3 4 6" xfId="25755" xr:uid="{00000000-0005-0000-0000-000056630000}"/>
    <cellStyle name="Normal 2 2 19 3 4 7" xfId="25756" xr:uid="{00000000-0005-0000-0000-000057630000}"/>
    <cellStyle name="Normal 2 2 19 3 4 8" xfId="25757" xr:uid="{00000000-0005-0000-0000-000058630000}"/>
    <cellStyle name="Normal 2 2 19 3 5" xfId="25758" xr:uid="{00000000-0005-0000-0000-000059630000}"/>
    <cellStyle name="Normal 2 2 19 3 5 2" xfId="25759" xr:uid="{00000000-0005-0000-0000-00005A630000}"/>
    <cellStyle name="Normal 2 2 19 3 5 3" xfId="25760" xr:uid="{00000000-0005-0000-0000-00005B630000}"/>
    <cellStyle name="Normal 2 2 19 3 5 4" xfId="25761" xr:uid="{00000000-0005-0000-0000-00005C630000}"/>
    <cellStyle name="Normal 2 2 19 3 5 5" xfId="25762" xr:uid="{00000000-0005-0000-0000-00005D630000}"/>
    <cellStyle name="Normal 2 2 19 3 6" xfId="25763" xr:uid="{00000000-0005-0000-0000-00005E630000}"/>
    <cellStyle name="Normal 2 2 19 3 7" xfId="25764" xr:uid="{00000000-0005-0000-0000-00005F630000}"/>
    <cellStyle name="Normal 2 2 19 3 8" xfId="25765" xr:uid="{00000000-0005-0000-0000-000060630000}"/>
    <cellStyle name="Normal 2 2 19 3 9" xfId="25766" xr:uid="{00000000-0005-0000-0000-000061630000}"/>
    <cellStyle name="Normal 2 2 19 4" xfId="25767" xr:uid="{00000000-0005-0000-0000-000062630000}"/>
    <cellStyle name="Normal 2 2 19 4 10" xfId="25768" xr:uid="{00000000-0005-0000-0000-000063630000}"/>
    <cellStyle name="Normal 2 2 19 4 2" xfId="25769" xr:uid="{00000000-0005-0000-0000-000064630000}"/>
    <cellStyle name="Normal 2 2 19 4 2 2" xfId="25770" xr:uid="{00000000-0005-0000-0000-000065630000}"/>
    <cellStyle name="Normal 2 2 19 4 2 2 2" xfId="25771" xr:uid="{00000000-0005-0000-0000-000066630000}"/>
    <cellStyle name="Normal 2 2 19 4 2 2 3" xfId="25772" xr:uid="{00000000-0005-0000-0000-000067630000}"/>
    <cellStyle name="Normal 2 2 19 4 2 2 4" xfId="25773" xr:uid="{00000000-0005-0000-0000-000068630000}"/>
    <cellStyle name="Normal 2 2 19 4 2 2 5" xfId="25774" xr:uid="{00000000-0005-0000-0000-000069630000}"/>
    <cellStyle name="Normal 2 2 19 4 2 3" xfId="25775" xr:uid="{00000000-0005-0000-0000-00006A630000}"/>
    <cellStyle name="Normal 2 2 19 4 2 4" xfId="25776" xr:uid="{00000000-0005-0000-0000-00006B630000}"/>
    <cellStyle name="Normal 2 2 19 4 2 5" xfId="25777" xr:uid="{00000000-0005-0000-0000-00006C630000}"/>
    <cellStyle name="Normal 2 2 19 4 2 6" xfId="25778" xr:uid="{00000000-0005-0000-0000-00006D630000}"/>
    <cellStyle name="Normal 2 2 19 4 2 7" xfId="25779" xr:uid="{00000000-0005-0000-0000-00006E630000}"/>
    <cellStyle name="Normal 2 2 19 4 2 8" xfId="25780" xr:uid="{00000000-0005-0000-0000-00006F630000}"/>
    <cellStyle name="Normal 2 2 19 4 3" xfId="25781" xr:uid="{00000000-0005-0000-0000-000070630000}"/>
    <cellStyle name="Normal 2 2 19 4 3 2" xfId="25782" xr:uid="{00000000-0005-0000-0000-000071630000}"/>
    <cellStyle name="Normal 2 2 19 4 3 2 2" xfId="25783" xr:uid="{00000000-0005-0000-0000-000072630000}"/>
    <cellStyle name="Normal 2 2 19 4 3 2 3" xfId="25784" xr:uid="{00000000-0005-0000-0000-000073630000}"/>
    <cellStyle name="Normal 2 2 19 4 3 2 4" xfId="25785" xr:uid="{00000000-0005-0000-0000-000074630000}"/>
    <cellStyle name="Normal 2 2 19 4 3 2 5" xfId="25786" xr:uid="{00000000-0005-0000-0000-000075630000}"/>
    <cellStyle name="Normal 2 2 19 4 3 3" xfId="25787" xr:uid="{00000000-0005-0000-0000-000076630000}"/>
    <cellStyle name="Normal 2 2 19 4 3 4" xfId="25788" xr:uid="{00000000-0005-0000-0000-000077630000}"/>
    <cellStyle name="Normal 2 2 19 4 3 5" xfId="25789" xr:uid="{00000000-0005-0000-0000-000078630000}"/>
    <cellStyle name="Normal 2 2 19 4 3 6" xfId="25790" xr:uid="{00000000-0005-0000-0000-000079630000}"/>
    <cellStyle name="Normal 2 2 19 4 3 7" xfId="25791" xr:uid="{00000000-0005-0000-0000-00007A630000}"/>
    <cellStyle name="Normal 2 2 19 4 3 8" xfId="25792" xr:uid="{00000000-0005-0000-0000-00007B630000}"/>
    <cellStyle name="Normal 2 2 19 4 4" xfId="25793" xr:uid="{00000000-0005-0000-0000-00007C630000}"/>
    <cellStyle name="Normal 2 2 19 4 4 2" xfId="25794" xr:uid="{00000000-0005-0000-0000-00007D630000}"/>
    <cellStyle name="Normal 2 2 19 4 4 3" xfId="25795" xr:uid="{00000000-0005-0000-0000-00007E630000}"/>
    <cellStyle name="Normal 2 2 19 4 4 4" xfId="25796" xr:uid="{00000000-0005-0000-0000-00007F630000}"/>
    <cellStyle name="Normal 2 2 19 4 4 5" xfId="25797" xr:uid="{00000000-0005-0000-0000-000080630000}"/>
    <cellStyle name="Normal 2 2 19 4 5" xfId="25798" xr:uid="{00000000-0005-0000-0000-000081630000}"/>
    <cellStyle name="Normal 2 2 19 4 6" xfId="25799" xr:uid="{00000000-0005-0000-0000-000082630000}"/>
    <cellStyle name="Normal 2 2 19 4 7" xfId="25800" xr:uid="{00000000-0005-0000-0000-000083630000}"/>
    <cellStyle name="Normal 2 2 19 4 8" xfId="25801" xr:uid="{00000000-0005-0000-0000-000084630000}"/>
    <cellStyle name="Normal 2 2 19 4 9" xfId="25802" xr:uid="{00000000-0005-0000-0000-000085630000}"/>
    <cellStyle name="Normal 2 2 19 5" xfId="25803" xr:uid="{00000000-0005-0000-0000-000086630000}"/>
    <cellStyle name="Normal 2 2 19 5 2" xfId="25804" xr:uid="{00000000-0005-0000-0000-000087630000}"/>
    <cellStyle name="Normal 2 2 19 5 2 2" xfId="25805" xr:uid="{00000000-0005-0000-0000-000088630000}"/>
    <cellStyle name="Normal 2 2 19 5 2 3" xfId="25806" xr:uid="{00000000-0005-0000-0000-000089630000}"/>
    <cellStyle name="Normal 2 2 19 5 2 4" xfId="25807" xr:uid="{00000000-0005-0000-0000-00008A630000}"/>
    <cellStyle name="Normal 2 2 19 5 2 5" xfId="25808" xr:uid="{00000000-0005-0000-0000-00008B630000}"/>
    <cellStyle name="Normal 2 2 19 5 3" xfId="25809" xr:uid="{00000000-0005-0000-0000-00008C630000}"/>
    <cellStyle name="Normal 2 2 19 5 4" xfId="25810" xr:uid="{00000000-0005-0000-0000-00008D630000}"/>
    <cellStyle name="Normal 2 2 19 5 5" xfId="25811" xr:uid="{00000000-0005-0000-0000-00008E630000}"/>
    <cellStyle name="Normal 2 2 19 5 6" xfId="25812" xr:uid="{00000000-0005-0000-0000-00008F630000}"/>
    <cellStyle name="Normal 2 2 19 5 7" xfId="25813" xr:uid="{00000000-0005-0000-0000-000090630000}"/>
    <cellStyle name="Normal 2 2 19 5 8" xfId="25814" xr:uid="{00000000-0005-0000-0000-000091630000}"/>
    <cellStyle name="Normal 2 2 19 6" xfId="25815" xr:uid="{00000000-0005-0000-0000-000092630000}"/>
    <cellStyle name="Normal 2 2 19 6 2" xfId="25816" xr:uid="{00000000-0005-0000-0000-000093630000}"/>
    <cellStyle name="Normal 2 2 19 6 2 2" xfId="25817" xr:uid="{00000000-0005-0000-0000-000094630000}"/>
    <cellStyle name="Normal 2 2 19 6 2 3" xfId="25818" xr:uid="{00000000-0005-0000-0000-000095630000}"/>
    <cellStyle name="Normal 2 2 19 6 2 4" xfId="25819" xr:uid="{00000000-0005-0000-0000-000096630000}"/>
    <cellStyle name="Normal 2 2 19 6 2 5" xfId="25820" xr:uid="{00000000-0005-0000-0000-000097630000}"/>
    <cellStyle name="Normal 2 2 19 6 3" xfId="25821" xr:uid="{00000000-0005-0000-0000-000098630000}"/>
    <cellStyle name="Normal 2 2 19 6 4" xfId="25822" xr:uid="{00000000-0005-0000-0000-000099630000}"/>
    <cellStyle name="Normal 2 2 19 6 5" xfId="25823" xr:uid="{00000000-0005-0000-0000-00009A630000}"/>
    <cellStyle name="Normal 2 2 19 6 6" xfId="25824" xr:uid="{00000000-0005-0000-0000-00009B630000}"/>
    <cellStyle name="Normal 2 2 19 6 7" xfId="25825" xr:uid="{00000000-0005-0000-0000-00009C630000}"/>
    <cellStyle name="Normal 2 2 19 6 8" xfId="25826" xr:uid="{00000000-0005-0000-0000-00009D630000}"/>
    <cellStyle name="Normal 2 2 19 7" xfId="25827" xr:uid="{00000000-0005-0000-0000-00009E630000}"/>
    <cellStyle name="Normal 2 2 19 7 2" xfId="25828" xr:uid="{00000000-0005-0000-0000-00009F630000}"/>
    <cellStyle name="Normal 2 2 19 7 3" xfId="25829" xr:uid="{00000000-0005-0000-0000-0000A0630000}"/>
    <cellStyle name="Normal 2 2 19 7 4" xfId="25830" xr:uid="{00000000-0005-0000-0000-0000A1630000}"/>
    <cellStyle name="Normal 2 2 19 7 5" xfId="25831" xr:uid="{00000000-0005-0000-0000-0000A2630000}"/>
    <cellStyle name="Normal 2 2 19 8" xfId="25832" xr:uid="{00000000-0005-0000-0000-0000A3630000}"/>
    <cellStyle name="Normal 2 2 19 9" xfId="25833" xr:uid="{00000000-0005-0000-0000-0000A4630000}"/>
    <cellStyle name="Normal 2 2 2" xfId="858" xr:uid="{00000000-0005-0000-0000-0000A5630000}"/>
    <cellStyle name="Normal 2 2 2 10" xfId="25834" xr:uid="{00000000-0005-0000-0000-0000A6630000}"/>
    <cellStyle name="Normal 2 2 2 11" xfId="25835" xr:uid="{00000000-0005-0000-0000-0000A7630000}"/>
    <cellStyle name="Normal 2 2 2 12" xfId="25836" xr:uid="{00000000-0005-0000-0000-0000A8630000}"/>
    <cellStyle name="Normal 2 2 2 13" xfId="25837" xr:uid="{00000000-0005-0000-0000-0000A9630000}"/>
    <cellStyle name="Normal 2 2 2 14" xfId="25838" xr:uid="{00000000-0005-0000-0000-0000AA630000}"/>
    <cellStyle name="Normal 2 2 2 2" xfId="25839" xr:uid="{00000000-0005-0000-0000-0000AB630000}"/>
    <cellStyle name="Normal 2 2 2 2 2" xfId="25840" xr:uid="{00000000-0005-0000-0000-0000AC630000}"/>
    <cellStyle name="Normal 2 2 2 2 2 10" xfId="25841" xr:uid="{00000000-0005-0000-0000-0000AD630000}"/>
    <cellStyle name="Normal 2 2 2 2 2 11" xfId="25842" xr:uid="{00000000-0005-0000-0000-0000AE630000}"/>
    <cellStyle name="Normal 2 2 2 2 2 12" xfId="25843" xr:uid="{00000000-0005-0000-0000-0000AF630000}"/>
    <cellStyle name="Normal 2 2 2 2 2 13" xfId="25844" xr:uid="{00000000-0005-0000-0000-0000B0630000}"/>
    <cellStyle name="Normal 2 2 2 2 2 2" xfId="25845" xr:uid="{00000000-0005-0000-0000-0000B1630000}"/>
    <cellStyle name="Normal 2 2 2 2 2 2 2" xfId="25846" xr:uid="{00000000-0005-0000-0000-0000B2630000}"/>
    <cellStyle name="Normal 2 2 2 2 2 3" xfId="25847" xr:uid="{00000000-0005-0000-0000-0000B3630000}"/>
    <cellStyle name="Normal 2 2 2 2 2 4" xfId="25848" xr:uid="{00000000-0005-0000-0000-0000B4630000}"/>
    <cellStyle name="Normal 2 2 2 2 2 4 10" xfId="25849" xr:uid="{00000000-0005-0000-0000-0000B5630000}"/>
    <cellStyle name="Normal 2 2 2 2 2 4 2" xfId="25850" xr:uid="{00000000-0005-0000-0000-0000B6630000}"/>
    <cellStyle name="Normal 2 2 2 2 2 4 2 2" xfId="25851" xr:uid="{00000000-0005-0000-0000-0000B7630000}"/>
    <cellStyle name="Normal 2 2 2 2 2 4 2 2 2" xfId="25852" xr:uid="{00000000-0005-0000-0000-0000B8630000}"/>
    <cellStyle name="Normal 2 2 2 2 2 4 2 2 3" xfId="25853" xr:uid="{00000000-0005-0000-0000-0000B9630000}"/>
    <cellStyle name="Normal 2 2 2 2 2 4 2 2 4" xfId="25854" xr:uid="{00000000-0005-0000-0000-0000BA630000}"/>
    <cellStyle name="Normal 2 2 2 2 2 4 2 2 5" xfId="25855" xr:uid="{00000000-0005-0000-0000-0000BB630000}"/>
    <cellStyle name="Normal 2 2 2 2 2 4 2 3" xfId="25856" xr:uid="{00000000-0005-0000-0000-0000BC630000}"/>
    <cellStyle name="Normal 2 2 2 2 2 4 2 4" xfId="25857" xr:uid="{00000000-0005-0000-0000-0000BD630000}"/>
    <cellStyle name="Normal 2 2 2 2 2 4 2 5" xfId="25858" xr:uid="{00000000-0005-0000-0000-0000BE630000}"/>
    <cellStyle name="Normal 2 2 2 2 2 4 2 6" xfId="25859" xr:uid="{00000000-0005-0000-0000-0000BF630000}"/>
    <cellStyle name="Normal 2 2 2 2 2 4 2 7" xfId="25860" xr:uid="{00000000-0005-0000-0000-0000C0630000}"/>
    <cellStyle name="Normal 2 2 2 2 2 4 2 8" xfId="25861" xr:uid="{00000000-0005-0000-0000-0000C1630000}"/>
    <cellStyle name="Normal 2 2 2 2 2 4 3" xfId="25862" xr:uid="{00000000-0005-0000-0000-0000C2630000}"/>
    <cellStyle name="Normal 2 2 2 2 2 4 3 2" xfId="25863" xr:uid="{00000000-0005-0000-0000-0000C3630000}"/>
    <cellStyle name="Normal 2 2 2 2 2 4 3 2 2" xfId="25864" xr:uid="{00000000-0005-0000-0000-0000C4630000}"/>
    <cellStyle name="Normal 2 2 2 2 2 4 3 2 3" xfId="25865" xr:uid="{00000000-0005-0000-0000-0000C5630000}"/>
    <cellStyle name="Normal 2 2 2 2 2 4 3 2 4" xfId="25866" xr:uid="{00000000-0005-0000-0000-0000C6630000}"/>
    <cellStyle name="Normal 2 2 2 2 2 4 3 2 5" xfId="25867" xr:uid="{00000000-0005-0000-0000-0000C7630000}"/>
    <cellStyle name="Normal 2 2 2 2 2 4 3 3" xfId="25868" xr:uid="{00000000-0005-0000-0000-0000C8630000}"/>
    <cellStyle name="Normal 2 2 2 2 2 4 3 4" xfId="25869" xr:uid="{00000000-0005-0000-0000-0000C9630000}"/>
    <cellStyle name="Normal 2 2 2 2 2 4 3 5" xfId="25870" xr:uid="{00000000-0005-0000-0000-0000CA630000}"/>
    <cellStyle name="Normal 2 2 2 2 2 4 3 6" xfId="25871" xr:uid="{00000000-0005-0000-0000-0000CB630000}"/>
    <cellStyle name="Normal 2 2 2 2 2 4 3 7" xfId="25872" xr:uid="{00000000-0005-0000-0000-0000CC630000}"/>
    <cellStyle name="Normal 2 2 2 2 2 4 3 8" xfId="25873" xr:uid="{00000000-0005-0000-0000-0000CD630000}"/>
    <cellStyle name="Normal 2 2 2 2 2 4 4" xfId="25874" xr:uid="{00000000-0005-0000-0000-0000CE630000}"/>
    <cellStyle name="Normal 2 2 2 2 2 4 4 2" xfId="25875" xr:uid="{00000000-0005-0000-0000-0000CF630000}"/>
    <cellStyle name="Normal 2 2 2 2 2 4 4 3" xfId="25876" xr:uid="{00000000-0005-0000-0000-0000D0630000}"/>
    <cellStyle name="Normal 2 2 2 2 2 4 4 4" xfId="25877" xr:uid="{00000000-0005-0000-0000-0000D1630000}"/>
    <cellStyle name="Normal 2 2 2 2 2 4 4 5" xfId="25878" xr:uid="{00000000-0005-0000-0000-0000D2630000}"/>
    <cellStyle name="Normal 2 2 2 2 2 4 5" xfId="25879" xr:uid="{00000000-0005-0000-0000-0000D3630000}"/>
    <cellStyle name="Normal 2 2 2 2 2 4 6" xfId="25880" xr:uid="{00000000-0005-0000-0000-0000D4630000}"/>
    <cellStyle name="Normal 2 2 2 2 2 4 7" xfId="25881" xr:uid="{00000000-0005-0000-0000-0000D5630000}"/>
    <cellStyle name="Normal 2 2 2 2 2 4 8" xfId="25882" xr:uid="{00000000-0005-0000-0000-0000D6630000}"/>
    <cellStyle name="Normal 2 2 2 2 2 4 9" xfId="25883" xr:uid="{00000000-0005-0000-0000-0000D7630000}"/>
    <cellStyle name="Normal 2 2 2 2 2 5" xfId="25884" xr:uid="{00000000-0005-0000-0000-0000D8630000}"/>
    <cellStyle name="Normal 2 2 2 2 2 5 2" xfId="25885" xr:uid="{00000000-0005-0000-0000-0000D9630000}"/>
    <cellStyle name="Normal 2 2 2 2 2 5 2 2" xfId="25886" xr:uid="{00000000-0005-0000-0000-0000DA630000}"/>
    <cellStyle name="Normal 2 2 2 2 2 5 2 3" xfId="25887" xr:uid="{00000000-0005-0000-0000-0000DB630000}"/>
    <cellStyle name="Normal 2 2 2 2 2 5 2 4" xfId="25888" xr:uid="{00000000-0005-0000-0000-0000DC630000}"/>
    <cellStyle name="Normal 2 2 2 2 2 5 2 5" xfId="25889" xr:uid="{00000000-0005-0000-0000-0000DD630000}"/>
    <cellStyle name="Normal 2 2 2 2 2 5 3" xfId="25890" xr:uid="{00000000-0005-0000-0000-0000DE630000}"/>
    <cellStyle name="Normal 2 2 2 2 2 5 4" xfId="25891" xr:uid="{00000000-0005-0000-0000-0000DF630000}"/>
    <cellStyle name="Normal 2 2 2 2 2 5 5" xfId="25892" xr:uid="{00000000-0005-0000-0000-0000E0630000}"/>
    <cellStyle name="Normal 2 2 2 2 2 5 6" xfId="25893" xr:uid="{00000000-0005-0000-0000-0000E1630000}"/>
    <cellStyle name="Normal 2 2 2 2 2 5 7" xfId="25894" xr:uid="{00000000-0005-0000-0000-0000E2630000}"/>
    <cellStyle name="Normal 2 2 2 2 2 5 8" xfId="25895" xr:uid="{00000000-0005-0000-0000-0000E3630000}"/>
    <cellStyle name="Normal 2 2 2 2 2 6" xfId="25896" xr:uid="{00000000-0005-0000-0000-0000E4630000}"/>
    <cellStyle name="Normal 2 2 2 2 2 6 2" xfId="25897" xr:uid="{00000000-0005-0000-0000-0000E5630000}"/>
    <cellStyle name="Normal 2 2 2 2 2 6 2 2" xfId="25898" xr:uid="{00000000-0005-0000-0000-0000E6630000}"/>
    <cellStyle name="Normal 2 2 2 2 2 6 2 3" xfId="25899" xr:uid="{00000000-0005-0000-0000-0000E7630000}"/>
    <cellStyle name="Normal 2 2 2 2 2 6 2 4" xfId="25900" xr:uid="{00000000-0005-0000-0000-0000E8630000}"/>
    <cellStyle name="Normal 2 2 2 2 2 6 2 5" xfId="25901" xr:uid="{00000000-0005-0000-0000-0000E9630000}"/>
    <cellStyle name="Normal 2 2 2 2 2 6 3" xfId="25902" xr:uid="{00000000-0005-0000-0000-0000EA630000}"/>
    <cellStyle name="Normal 2 2 2 2 2 6 4" xfId="25903" xr:uid="{00000000-0005-0000-0000-0000EB630000}"/>
    <cellStyle name="Normal 2 2 2 2 2 6 5" xfId="25904" xr:uid="{00000000-0005-0000-0000-0000EC630000}"/>
    <cellStyle name="Normal 2 2 2 2 2 6 6" xfId="25905" xr:uid="{00000000-0005-0000-0000-0000ED630000}"/>
    <cellStyle name="Normal 2 2 2 2 2 6 7" xfId="25906" xr:uid="{00000000-0005-0000-0000-0000EE630000}"/>
    <cellStyle name="Normal 2 2 2 2 2 6 8" xfId="25907" xr:uid="{00000000-0005-0000-0000-0000EF630000}"/>
    <cellStyle name="Normal 2 2 2 2 2 7" xfId="25908" xr:uid="{00000000-0005-0000-0000-0000F0630000}"/>
    <cellStyle name="Normal 2 2 2 2 2 7 2" xfId="25909" xr:uid="{00000000-0005-0000-0000-0000F1630000}"/>
    <cellStyle name="Normal 2 2 2 2 2 7 3" xfId="25910" xr:uid="{00000000-0005-0000-0000-0000F2630000}"/>
    <cellStyle name="Normal 2 2 2 2 2 7 4" xfId="25911" xr:uid="{00000000-0005-0000-0000-0000F3630000}"/>
    <cellStyle name="Normal 2 2 2 2 2 7 5" xfId="25912" xr:uid="{00000000-0005-0000-0000-0000F4630000}"/>
    <cellStyle name="Normal 2 2 2 2 2 8" xfId="25913" xr:uid="{00000000-0005-0000-0000-0000F5630000}"/>
    <cellStyle name="Normal 2 2 2 2 2 9" xfId="25914" xr:uid="{00000000-0005-0000-0000-0000F6630000}"/>
    <cellStyle name="Normal 2 2 2 2 3" xfId="25915" xr:uid="{00000000-0005-0000-0000-0000F7630000}"/>
    <cellStyle name="Normal 2 2 2 2 3 10" xfId="25916" xr:uid="{00000000-0005-0000-0000-0000F8630000}"/>
    <cellStyle name="Normal 2 2 2 2 3 11" xfId="25917" xr:uid="{00000000-0005-0000-0000-0000F9630000}"/>
    <cellStyle name="Normal 2 2 2 2 3 2" xfId="25918" xr:uid="{00000000-0005-0000-0000-0000FA630000}"/>
    <cellStyle name="Normal 2 2 2 2 3 2 10" xfId="25919" xr:uid="{00000000-0005-0000-0000-0000FB630000}"/>
    <cellStyle name="Normal 2 2 2 2 3 2 2" xfId="25920" xr:uid="{00000000-0005-0000-0000-0000FC630000}"/>
    <cellStyle name="Normal 2 2 2 2 3 2 2 2" xfId="25921" xr:uid="{00000000-0005-0000-0000-0000FD630000}"/>
    <cellStyle name="Normal 2 2 2 2 3 2 2 2 2" xfId="25922" xr:uid="{00000000-0005-0000-0000-0000FE630000}"/>
    <cellStyle name="Normal 2 2 2 2 3 2 2 2 3" xfId="25923" xr:uid="{00000000-0005-0000-0000-0000FF630000}"/>
    <cellStyle name="Normal 2 2 2 2 3 2 2 2 4" xfId="25924" xr:uid="{00000000-0005-0000-0000-000000640000}"/>
    <cellStyle name="Normal 2 2 2 2 3 2 2 2 5" xfId="25925" xr:uid="{00000000-0005-0000-0000-000001640000}"/>
    <cellStyle name="Normal 2 2 2 2 3 2 2 3" xfId="25926" xr:uid="{00000000-0005-0000-0000-000002640000}"/>
    <cellStyle name="Normal 2 2 2 2 3 2 2 4" xfId="25927" xr:uid="{00000000-0005-0000-0000-000003640000}"/>
    <cellStyle name="Normal 2 2 2 2 3 2 2 5" xfId="25928" xr:uid="{00000000-0005-0000-0000-000004640000}"/>
    <cellStyle name="Normal 2 2 2 2 3 2 2 6" xfId="25929" xr:uid="{00000000-0005-0000-0000-000005640000}"/>
    <cellStyle name="Normal 2 2 2 2 3 2 2 7" xfId="25930" xr:uid="{00000000-0005-0000-0000-000006640000}"/>
    <cellStyle name="Normal 2 2 2 2 3 2 2 8" xfId="25931" xr:uid="{00000000-0005-0000-0000-000007640000}"/>
    <cellStyle name="Normal 2 2 2 2 3 2 3" xfId="25932" xr:uid="{00000000-0005-0000-0000-000008640000}"/>
    <cellStyle name="Normal 2 2 2 2 3 2 3 2" xfId="25933" xr:uid="{00000000-0005-0000-0000-000009640000}"/>
    <cellStyle name="Normal 2 2 2 2 3 2 3 2 2" xfId="25934" xr:uid="{00000000-0005-0000-0000-00000A640000}"/>
    <cellStyle name="Normal 2 2 2 2 3 2 3 2 3" xfId="25935" xr:uid="{00000000-0005-0000-0000-00000B640000}"/>
    <cellStyle name="Normal 2 2 2 2 3 2 3 2 4" xfId="25936" xr:uid="{00000000-0005-0000-0000-00000C640000}"/>
    <cellStyle name="Normal 2 2 2 2 3 2 3 2 5" xfId="25937" xr:uid="{00000000-0005-0000-0000-00000D640000}"/>
    <cellStyle name="Normal 2 2 2 2 3 2 3 3" xfId="25938" xr:uid="{00000000-0005-0000-0000-00000E640000}"/>
    <cellStyle name="Normal 2 2 2 2 3 2 3 4" xfId="25939" xr:uid="{00000000-0005-0000-0000-00000F640000}"/>
    <cellStyle name="Normal 2 2 2 2 3 2 3 5" xfId="25940" xr:uid="{00000000-0005-0000-0000-000010640000}"/>
    <cellStyle name="Normal 2 2 2 2 3 2 3 6" xfId="25941" xr:uid="{00000000-0005-0000-0000-000011640000}"/>
    <cellStyle name="Normal 2 2 2 2 3 2 3 7" xfId="25942" xr:uid="{00000000-0005-0000-0000-000012640000}"/>
    <cellStyle name="Normal 2 2 2 2 3 2 3 8" xfId="25943" xr:uid="{00000000-0005-0000-0000-000013640000}"/>
    <cellStyle name="Normal 2 2 2 2 3 2 4" xfId="25944" xr:uid="{00000000-0005-0000-0000-000014640000}"/>
    <cellStyle name="Normal 2 2 2 2 3 2 4 2" xfId="25945" xr:uid="{00000000-0005-0000-0000-000015640000}"/>
    <cellStyle name="Normal 2 2 2 2 3 2 4 3" xfId="25946" xr:uid="{00000000-0005-0000-0000-000016640000}"/>
    <cellStyle name="Normal 2 2 2 2 3 2 4 4" xfId="25947" xr:uid="{00000000-0005-0000-0000-000017640000}"/>
    <cellStyle name="Normal 2 2 2 2 3 2 4 5" xfId="25948" xr:uid="{00000000-0005-0000-0000-000018640000}"/>
    <cellStyle name="Normal 2 2 2 2 3 2 5" xfId="25949" xr:uid="{00000000-0005-0000-0000-000019640000}"/>
    <cellStyle name="Normal 2 2 2 2 3 2 6" xfId="25950" xr:uid="{00000000-0005-0000-0000-00001A640000}"/>
    <cellStyle name="Normal 2 2 2 2 3 2 7" xfId="25951" xr:uid="{00000000-0005-0000-0000-00001B640000}"/>
    <cellStyle name="Normal 2 2 2 2 3 2 8" xfId="25952" xr:uid="{00000000-0005-0000-0000-00001C640000}"/>
    <cellStyle name="Normal 2 2 2 2 3 2 9" xfId="25953" xr:uid="{00000000-0005-0000-0000-00001D640000}"/>
    <cellStyle name="Normal 2 2 2 2 3 3" xfId="25954" xr:uid="{00000000-0005-0000-0000-00001E640000}"/>
    <cellStyle name="Normal 2 2 2 2 3 3 2" xfId="25955" xr:uid="{00000000-0005-0000-0000-00001F640000}"/>
    <cellStyle name="Normal 2 2 2 2 3 3 2 2" xfId="25956" xr:uid="{00000000-0005-0000-0000-000020640000}"/>
    <cellStyle name="Normal 2 2 2 2 3 3 2 3" xfId="25957" xr:uid="{00000000-0005-0000-0000-000021640000}"/>
    <cellStyle name="Normal 2 2 2 2 3 3 2 4" xfId="25958" xr:uid="{00000000-0005-0000-0000-000022640000}"/>
    <cellStyle name="Normal 2 2 2 2 3 3 2 5" xfId="25959" xr:uid="{00000000-0005-0000-0000-000023640000}"/>
    <cellStyle name="Normal 2 2 2 2 3 3 3" xfId="25960" xr:uid="{00000000-0005-0000-0000-000024640000}"/>
    <cellStyle name="Normal 2 2 2 2 3 3 4" xfId="25961" xr:uid="{00000000-0005-0000-0000-000025640000}"/>
    <cellStyle name="Normal 2 2 2 2 3 3 5" xfId="25962" xr:uid="{00000000-0005-0000-0000-000026640000}"/>
    <cellStyle name="Normal 2 2 2 2 3 3 6" xfId="25963" xr:uid="{00000000-0005-0000-0000-000027640000}"/>
    <cellStyle name="Normal 2 2 2 2 3 3 7" xfId="25964" xr:uid="{00000000-0005-0000-0000-000028640000}"/>
    <cellStyle name="Normal 2 2 2 2 3 3 8" xfId="25965" xr:uid="{00000000-0005-0000-0000-000029640000}"/>
    <cellStyle name="Normal 2 2 2 2 3 4" xfId="25966" xr:uid="{00000000-0005-0000-0000-00002A640000}"/>
    <cellStyle name="Normal 2 2 2 2 3 4 2" xfId="25967" xr:uid="{00000000-0005-0000-0000-00002B640000}"/>
    <cellStyle name="Normal 2 2 2 2 3 4 2 2" xfId="25968" xr:uid="{00000000-0005-0000-0000-00002C640000}"/>
    <cellStyle name="Normal 2 2 2 2 3 4 2 3" xfId="25969" xr:uid="{00000000-0005-0000-0000-00002D640000}"/>
    <cellStyle name="Normal 2 2 2 2 3 4 2 4" xfId="25970" xr:uid="{00000000-0005-0000-0000-00002E640000}"/>
    <cellStyle name="Normal 2 2 2 2 3 4 2 5" xfId="25971" xr:uid="{00000000-0005-0000-0000-00002F640000}"/>
    <cellStyle name="Normal 2 2 2 2 3 4 3" xfId="25972" xr:uid="{00000000-0005-0000-0000-000030640000}"/>
    <cellStyle name="Normal 2 2 2 2 3 4 4" xfId="25973" xr:uid="{00000000-0005-0000-0000-000031640000}"/>
    <cellStyle name="Normal 2 2 2 2 3 4 5" xfId="25974" xr:uid="{00000000-0005-0000-0000-000032640000}"/>
    <cellStyle name="Normal 2 2 2 2 3 4 6" xfId="25975" xr:uid="{00000000-0005-0000-0000-000033640000}"/>
    <cellStyle name="Normal 2 2 2 2 3 4 7" xfId="25976" xr:uid="{00000000-0005-0000-0000-000034640000}"/>
    <cellStyle name="Normal 2 2 2 2 3 4 8" xfId="25977" xr:uid="{00000000-0005-0000-0000-000035640000}"/>
    <cellStyle name="Normal 2 2 2 2 3 5" xfId="25978" xr:uid="{00000000-0005-0000-0000-000036640000}"/>
    <cellStyle name="Normal 2 2 2 2 3 5 2" xfId="25979" xr:uid="{00000000-0005-0000-0000-000037640000}"/>
    <cellStyle name="Normal 2 2 2 2 3 5 3" xfId="25980" xr:uid="{00000000-0005-0000-0000-000038640000}"/>
    <cellStyle name="Normal 2 2 2 2 3 5 4" xfId="25981" xr:uid="{00000000-0005-0000-0000-000039640000}"/>
    <cellStyle name="Normal 2 2 2 2 3 5 5" xfId="25982" xr:uid="{00000000-0005-0000-0000-00003A640000}"/>
    <cellStyle name="Normal 2 2 2 2 3 6" xfId="25983" xr:uid="{00000000-0005-0000-0000-00003B640000}"/>
    <cellStyle name="Normal 2 2 2 2 3 7" xfId="25984" xr:uid="{00000000-0005-0000-0000-00003C640000}"/>
    <cellStyle name="Normal 2 2 2 2 3 8" xfId="25985" xr:uid="{00000000-0005-0000-0000-00003D640000}"/>
    <cellStyle name="Normal 2 2 2 2 3 9" xfId="25986" xr:uid="{00000000-0005-0000-0000-00003E640000}"/>
    <cellStyle name="Normal 2 2 2 2 4" xfId="42636" xr:uid="{00000000-0005-0000-0000-00003F640000}"/>
    <cellStyle name="Normal 2 2 2 23" xfId="25987" xr:uid="{00000000-0005-0000-0000-000040640000}"/>
    <cellStyle name="Normal 2 2 2 3" xfId="25988" xr:uid="{00000000-0005-0000-0000-000041640000}"/>
    <cellStyle name="Normal 2 2 2 3 2" xfId="42637" xr:uid="{00000000-0005-0000-0000-000042640000}"/>
    <cellStyle name="Normal 2 2 2 4" xfId="25989" xr:uid="{00000000-0005-0000-0000-000043640000}"/>
    <cellStyle name="Normal 2 2 2 5" xfId="25990" xr:uid="{00000000-0005-0000-0000-000044640000}"/>
    <cellStyle name="Normal 2 2 2 5 10" xfId="25991" xr:uid="{00000000-0005-0000-0000-000045640000}"/>
    <cellStyle name="Normal 2 2 2 5 2" xfId="25992" xr:uid="{00000000-0005-0000-0000-000046640000}"/>
    <cellStyle name="Normal 2 2 2 5 2 2" xfId="25993" xr:uid="{00000000-0005-0000-0000-000047640000}"/>
    <cellStyle name="Normal 2 2 2 5 2 2 2" xfId="25994" xr:uid="{00000000-0005-0000-0000-000048640000}"/>
    <cellStyle name="Normal 2 2 2 5 2 2 3" xfId="25995" xr:uid="{00000000-0005-0000-0000-000049640000}"/>
    <cellStyle name="Normal 2 2 2 5 2 2 4" xfId="25996" xr:uid="{00000000-0005-0000-0000-00004A640000}"/>
    <cellStyle name="Normal 2 2 2 5 2 2 5" xfId="25997" xr:uid="{00000000-0005-0000-0000-00004B640000}"/>
    <cellStyle name="Normal 2 2 2 5 2 3" xfId="25998" xr:uid="{00000000-0005-0000-0000-00004C640000}"/>
    <cellStyle name="Normal 2 2 2 5 2 4" xfId="25999" xr:uid="{00000000-0005-0000-0000-00004D640000}"/>
    <cellStyle name="Normal 2 2 2 5 2 5" xfId="26000" xr:uid="{00000000-0005-0000-0000-00004E640000}"/>
    <cellStyle name="Normal 2 2 2 5 2 6" xfId="26001" xr:uid="{00000000-0005-0000-0000-00004F640000}"/>
    <cellStyle name="Normal 2 2 2 5 2 7" xfId="26002" xr:uid="{00000000-0005-0000-0000-000050640000}"/>
    <cellStyle name="Normal 2 2 2 5 2 8" xfId="26003" xr:uid="{00000000-0005-0000-0000-000051640000}"/>
    <cellStyle name="Normal 2 2 2 5 3" xfId="26004" xr:uid="{00000000-0005-0000-0000-000052640000}"/>
    <cellStyle name="Normal 2 2 2 5 3 2" xfId="26005" xr:uid="{00000000-0005-0000-0000-000053640000}"/>
    <cellStyle name="Normal 2 2 2 5 3 2 2" xfId="26006" xr:uid="{00000000-0005-0000-0000-000054640000}"/>
    <cellStyle name="Normal 2 2 2 5 3 2 3" xfId="26007" xr:uid="{00000000-0005-0000-0000-000055640000}"/>
    <cellStyle name="Normal 2 2 2 5 3 2 4" xfId="26008" xr:uid="{00000000-0005-0000-0000-000056640000}"/>
    <cellStyle name="Normal 2 2 2 5 3 2 5" xfId="26009" xr:uid="{00000000-0005-0000-0000-000057640000}"/>
    <cellStyle name="Normal 2 2 2 5 3 3" xfId="26010" xr:uid="{00000000-0005-0000-0000-000058640000}"/>
    <cellStyle name="Normal 2 2 2 5 3 4" xfId="26011" xr:uid="{00000000-0005-0000-0000-000059640000}"/>
    <cellStyle name="Normal 2 2 2 5 3 5" xfId="26012" xr:uid="{00000000-0005-0000-0000-00005A640000}"/>
    <cellStyle name="Normal 2 2 2 5 3 6" xfId="26013" xr:uid="{00000000-0005-0000-0000-00005B640000}"/>
    <cellStyle name="Normal 2 2 2 5 3 7" xfId="26014" xr:uid="{00000000-0005-0000-0000-00005C640000}"/>
    <cellStyle name="Normal 2 2 2 5 3 8" xfId="26015" xr:uid="{00000000-0005-0000-0000-00005D640000}"/>
    <cellStyle name="Normal 2 2 2 5 4" xfId="26016" xr:uid="{00000000-0005-0000-0000-00005E640000}"/>
    <cellStyle name="Normal 2 2 2 5 4 2" xfId="26017" xr:uid="{00000000-0005-0000-0000-00005F640000}"/>
    <cellStyle name="Normal 2 2 2 5 4 3" xfId="26018" xr:uid="{00000000-0005-0000-0000-000060640000}"/>
    <cellStyle name="Normal 2 2 2 5 4 4" xfId="26019" xr:uid="{00000000-0005-0000-0000-000061640000}"/>
    <cellStyle name="Normal 2 2 2 5 4 5" xfId="26020" xr:uid="{00000000-0005-0000-0000-000062640000}"/>
    <cellStyle name="Normal 2 2 2 5 5" xfId="26021" xr:uid="{00000000-0005-0000-0000-000063640000}"/>
    <cellStyle name="Normal 2 2 2 5 6" xfId="26022" xr:uid="{00000000-0005-0000-0000-000064640000}"/>
    <cellStyle name="Normal 2 2 2 5 7" xfId="26023" xr:uid="{00000000-0005-0000-0000-000065640000}"/>
    <cellStyle name="Normal 2 2 2 5 8" xfId="26024" xr:uid="{00000000-0005-0000-0000-000066640000}"/>
    <cellStyle name="Normal 2 2 2 5 9" xfId="26025" xr:uid="{00000000-0005-0000-0000-000067640000}"/>
    <cellStyle name="Normal 2 2 2 6" xfId="26026" xr:uid="{00000000-0005-0000-0000-000068640000}"/>
    <cellStyle name="Normal 2 2 2 6 2" xfId="26027" xr:uid="{00000000-0005-0000-0000-000069640000}"/>
    <cellStyle name="Normal 2 2 2 6 2 2" xfId="26028" xr:uid="{00000000-0005-0000-0000-00006A640000}"/>
    <cellStyle name="Normal 2 2 2 6 2 3" xfId="26029" xr:uid="{00000000-0005-0000-0000-00006B640000}"/>
    <cellStyle name="Normal 2 2 2 6 2 4" xfId="26030" xr:uid="{00000000-0005-0000-0000-00006C640000}"/>
    <cellStyle name="Normal 2 2 2 6 2 5" xfId="26031" xr:uid="{00000000-0005-0000-0000-00006D640000}"/>
    <cellStyle name="Normal 2 2 2 6 3" xfId="26032" xr:uid="{00000000-0005-0000-0000-00006E640000}"/>
    <cellStyle name="Normal 2 2 2 6 4" xfId="26033" xr:uid="{00000000-0005-0000-0000-00006F640000}"/>
    <cellStyle name="Normal 2 2 2 6 5" xfId="26034" xr:uid="{00000000-0005-0000-0000-000070640000}"/>
    <cellStyle name="Normal 2 2 2 6 6" xfId="26035" xr:uid="{00000000-0005-0000-0000-000071640000}"/>
    <cellStyle name="Normal 2 2 2 6 7" xfId="26036" xr:uid="{00000000-0005-0000-0000-000072640000}"/>
    <cellStyle name="Normal 2 2 2 6 8" xfId="26037" xr:uid="{00000000-0005-0000-0000-000073640000}"/>
    <cellStyle name="Normal 2 2 2 7" xfId="26038" xr:uid="{00000000-0005-0000-0000-000074640000}"/>
    <cellStyle name="Normal 2 2 2 7 2" xfId="26039" xr:uid="{00000000-0005-0000-0000-000075640000}"/>
    <cellStyle name="Normal 2 2 2 7 2 2" xfId="26040" xr:uid="{00000000-0005-0000-0000-000076640000}"/>
    <cellStyle name="Normal 2 2 2 7 2 3" xfId="26041" xr:uid="{00000000-0005-0000-0000-000077640000}"/>
    <cellStyle name="Normal 2 2 2 7 2 4" xfId="26042" xr:uid="{00000000-0005-0000-0000-000078640000}"/>
    <cellStyle name="Normal 2 2 2 7 2 5" xfId="26043" xr:uid="{00000000-0005-0000-0000-000079640000}"/>
    <cellStyle name="Normal 2 2 2 7 3" xfId="26044" xr:uid="{00000000-0005-0000-0000-00007A640000}"/>
    <cellStyle name="Normal 2 2 2 7 4" xfId="26045" xr:uid="{00000000-0005-0000-0000-00007B640000}"/>
    <cellStyle name="Normal 2 2 2 7 5" xfId="26046" xr:uid="{00000000-0005-0000-0000-00007C640000}"/>
    <cellStyle name="Normal 2 2 2 7 6" xfId="26047" xr:uid="{00000000-0005-0000-0000-00007D640000}"/>
    <cellStyle name="Normal 2 2 2 7 7" xfId="26048" xr:uid="{00000000-0005-0000-0000-00007E640000}"/>
    <cellStyle name="Normal 2 2 2 7 8" xfId="26049" xr:uid="{00000000-0005-0000-0000-00007F640000}"/>
    <cellStyle name="Normal 2 2 2 8" xfId="26050" xr:uid="{00000000-0005-0000-0000-000080640000}"/>
    <cellStyle name="Normal 2 2 2 8 2" xfId="26051" xr:uid="{00000000-0005-0000-0000-000081640000}"/>
    <cellStyle name="Normal 2 2 2 8 3" xfId="26052" xr:uid="{00000000-0005-0000-0000-000082640000}"/>
    <cellStyle name="Normal 2 2 2 8 4" xfId="26053" xr:uid="{00000000-0005-0000-0000-000083640000}"/>
    <cellStyle name="Normal 2 2 2 8 5" xfId="26054" xr:uid="{00000000-0005-0000-0000-000084640000}"/>
    <cellStyle name="Normal 2 2 2 9" xfId="26055" xr:uid="{00000000-0005-0000-0000-000085640000}"/>
    <cellStyle name="Normal 2 2 20" xfId="26056" xr:uid="{00000000-0005-0000-0000-000086640000}"/>
    <cellStyle name="Normal 2 2 21" xfId="26057" xr:uid="{00000000-0005-0000-0000-000087640000}"/>
    <cellStyle name="Normal 2 2 22" xfId="26058" xr:uid="{00000000-0005-0000-0000-000088640000}"/>
    <cellStyle name="Normal 2 2 23" xfId="26059" xr:uid="{00000000-0005-0000-0000-000089640000}"/>
    <cellStyle name="Normal 2 2 24" xfId="26060" xr:uid="{00000000-0005-0000-0000-00008A640000}"/>
    <cellStyle name="Normal 2 2 24 10" xfId="26061" xr:uid="{00000000-0005-0000-0000-00008B640000}"/>
    <cellStyle name="Normal 2 2 24 11" xfId="26062" xr:uid="{00000000-0005-0000-0000-00008C640000}"/>
    <cellStyle name="Normal 2 2 24 2" xfId="26063" xr:uid="{00000000-0005-0000-0000-00008D640000}"/>
    <cellStyle name="Normal 2 2 24 2 10" xfId="26064" xr:uid="{00000000-0005-0000-0000-00008E640000}"/>
    <cellStyle name="Normal 2 2 24 2 2" xfId="26065" xr:uid="{00000000-0005-0000-0000-00008F640000}"/>
    <cellStyle name="Normal 2 2 24 2 2 2" xfId="26066" xr:uid="{00000000-0005-0000-0000-000090640000}"/>
    <cellStyle name="Normal 2 2 24 2 2 2 2" xfId="26067" xr:uid="{00000000-0005-0000-0000-000091640000}"/>
    <cellStyle name="Normal 2 2 24 2 2 2 3" xfId="26068" xr:uid="{00000000-0005-0000-0000-000092640000}"/>
    <cellStyle name="Normal 2 2 24 2 2 2 4" xfId="26069" xr:uid="{00000000-0005-0000-0000-000093640000}"/>
    <cellStyle name="Normal 2 2 24 2 2 2 5" xfId="26070" xr:uid="{00000000-0005-0000-0000-000094640000}"/>
    <cellStyle name="Normal 2 2 24 2 2 3" xfId="26071" xr:uid="{00000000-0005-0000-0000-000095640000}"/>
    <cellStyle name="Normal 2 2 24 2 2 4" xfId="26072" xr:uid="{00000000-0005-0000-0000-000096640000}"/>
    <cellStyle name="Normal 2 2 24 2 2 5" xfId="26073" xr:uid="{00000000-0005-0000-0000-000097640000}"/>
    <cellStyle name="Normal 2 2 24 2 2 6" xfId="26074" xr:uid="{00000000-0005-0000-0000-000098640000}"/>
    <cellStyle name="Normal 2 2 24 2 2 7" xfId="26075" xr:uid="{00000000-0005-0000-0000-000099640000}"/>
    <cellStyle name="Normal 2 2 24 2 2 8" xfId="26076" xr:uid="{00000000-0005-0000-0000-00009A640000}"/>
    <cellStyle name="Normal 2 2 24 2 3" xfId="26077" xr:uid="{00000000-0005-0000-0000-00009B640000}"/>
    <cellStyle name="Normal 2 2 24 2 3 2" xfId="26078" xr:uid="{00000000-0005-0000-0000-00009C640000}"/>
    <cellStyle name="Normal 2 2 24 2 3 2 2" xfId="26079" xr:uid="{00000000-0005-0000-0000-00009D640000}"/>
    <cellStyle name="Normal 2 2 24 2 3 2 3" xfId="26080" xr:uid="{00000000-0005-0000-0000-00009E640000}"/>
    <cellStyle name="Normal 2 2 24 2 3 2 4" xfId="26081" xr:uid="{00000000-0005-0000-0000-00009F640000}"/>
    <cellStyle name="Normal 2 2 24 2 3 2 5" xfId="26082" xr:uid="{00000000-0005-0000-0000-0000A0640000}"/>
    <cellStyle name="Normal 2 2 24 2 3 3" xfId="26083" xr:uid="{00000000-0005-0000-0000-0000A1640000}"/>
    <cellStyle name="Normal 2 2 24 2 3 4" xfId="26084" xr:uid="{00000000-0005-0000-0000-0000A2640000}"/>
    <cellStyle name="Normal 2 2 24 2 3 5" xfId="26085" xr:uid="{00000000-0005-0000-0000-0000A3640000}"/>
    <cellStyle name="Normal 2 2 24 2 3 6" xfId="26086" xr:uid="{00000000-0005-0000-0000-0000A4640000}"/>
    <cellStyle name="Normal 2 2 24 2 3 7" xfId="26087" xr:uid="{00000000-0005-0000-0000-0000A5640000}"/>
    <cellStyle name="Normal 2 2 24 2 3 8" xfId="26088" xr:uid="{00000000-0005-0000-0000-0000A6640000}"/>
    <cellStyle name="Normal 2 2 24 2 4" xfId="26089" xr:uid="{00000000-0005-0000-0000-0000A7640000}"/>
    <cellStyle name="Normal 2 2 24 2 4 2" xfId="26090" xr:uid="{00000000-0005-0000-0000-0000A8640000}"/>
    <cellStyle name="Normal 2 2 24 2 4 3" xfId="26091" xr:uid="{00000000-0005-0000-0000-0000A9640000}"/>
    <cellStyle name="Normal 2 2 24 2 4 4" xfId="26092" xr:uid="{00000000-0005-0000-0000-0000AA640000}"/>
    <cellStyle name="Normal 2 2 24 2 4 5" xfId="26093" xr:uid="{00000000-0005-0000-0000-0000AB640000}"/>
    <cellStyle name="Normal 2 2 24 2 5" xfId="26094" xr:uid="{00000000-0005-0000-0000-0000AC640000}"/>
    <cellStyle name="Normal 2 2 24 2 6" xfId="26095" xr:uid="{00000000-0005-0000-0000-0000AD640000}"/>
    <cellStyle name="Normal 2 2 24 2 7" xfId="26096" xr:uid="{00000000-0005-0000-0000-0000AE640000}"/>
    <cellStyle name="Normal 2 2 24 2 8" xfId="26097" xr:uid="{00000000-0005-0000-0000-0000AF640000}"/>
    <cellStyle name="Normal 2 2 24 2 9" xfId="26098" xr:uid="{00000000-0005-0000-0000-0000B0640000}"/>
    <cellStyle name="Normal 2 2 24 3" xfId="26099" xr:uid="{00000000-0005-0000-0000-0000B1640000}"/>
    <cellStyle name="Normal 2 2 24 3 2" xfId="26100" xr:uid="{00000000-0005-0000-0000-0000B2640000}"/>
    <cellStyle name="Normal 2 2 24 3 2 2" xfId="26101" xr:uid="{00000000-0005-0000-0000-0000B3640000}"/>
    <cellStyle name="Normal 2 2 24 3 2 3" xfId="26102" xr:uid="{00000000-0005-0000-0000-0000B4640000}"/>
    <cellStyle name="Normal 2 2 24 3 2 4" xfId="26103" xr:uid="{00000000-0005-0000-0000-0000B5640000}"/>
    <cellStyle name="Normal 2 2 24 3 2 5" xfId="26104" xr:uid="{00000000-0005-0000-0000-0000B6640000}"/>
    <cellStyle name="Normal 2 2 24 3 3" xfId="26105" xr:uid="{00000000-0005-0000-0000-0000B7640000}"/>
    <cellStyle name="Normal 2 2 24 3 4" xfId="26106" xr:uid="{00000000-0005-0000-0000-0000B8640000}"/>
    <cellStyle name="Normal 2 2 24 3 5" xfId="26107" xr:uid="{00000000-0005-0000-0000-0000B9640000}"/>
    <cellStyle name="Normal 2 2 24 3 6" xfId="26108" xr:uid="{00000000-0005-0000-0000-0000BA640000}"/>
    <cellStyle name="Normal 2 2 24 3 7" xfId="26109" xr:uid="{00000000-0005-0000-0000-0000BB640000}"/>
    <cellStyle name="Normal 2 2 24 3 8" xfId="26110" xr:uid="{00000000-0005-0000-0000-0000BC640000}"/>
    <cellStyle name="Normal 2 2 24 4" xfId="26111" xr:uid="{00000000-0005-0000-0000-0000BD640000}"/>
    <cellStyle name="Normal 2 2 24 4 2" xfId="26112" xr:uid="{00000000-0005-0000-0000-0000BE640000}"/>
    <cellStyle name="Normal 2 2 24 4 2 2" xfId="26113" xr:uid="{00000000-0005-0000-0000-0000BF640000}"/>
    <cellStyle name="Normal 2 2 24 4 2 3" xfId="26114" xr:uid="{00000000-0005-0000-0000-0000C0640000}"/>
    <cellStyle name="Normal 2 2 24 4 2 4" xfId="26115" xr:uid="{00000000-0005-0000-0000-0000C1640000}"/>
    <cellStyle name="Normal 2 2 24 4 2 5" xfId="26116" xr:uid="{00000000-0005-0000-0000-0000C2640000}"/>
    <cellStyle name="Normal 2 2 24 4 3" xfId="26117" xr:uid="{00000000-0005-0000-0000-0000C3640000}"/>
    <cellStyle name="Normal 2 2 24 4 4" xfId="26118" xr:uid="{00000000-0005-0000-0000-0000C4640000}"/>
    <cellStyle name="Normal 2 2 24 4 5" xfId="26119" xr:uid="{00000000-0005-0000-0000-0000C5640000}"/>
    <cellStyle name="Normal 2 2 24 4 6" xfId="26120" xr:uid="{00000000-0005-0000-0000-0000C6640000}"/>
    <cellStyle name="Normal 2 2 24 4 7" xfId="26121" xr:uid="{00000000-0005-0000-0000-0000C7640000}"/>
    <cellStyle name="Normal 2 2 24 4 8" xfId="26122" xr:uid="{00000000-0005-0000-0000-0000C8640000}"/>
    <cellStyle name="Normal 2 2 24 5" xfId="26123" xr:uid="{00000000-0005-0000-0000-0000C9640000}"/>
    <cellStyle name="Normal 2 2 24 5 2" xfId="26124" xr:uid="{00000000-0005-0000-0000-0000CA640000}"/>
    <cellStyle name="Normal 2 2 24 5 3" xfId="26125" xr:uid="{00000000-0005-0000-0000-0000CB640000}"/>
    <cellStyle name="Normal 2 2 24 5 4" xfId="26126" xr:uid="{00000000-0005-0000-0000-0000CC640000}"/>
    <cellStyle name="Normal 2 2 24 5 5" xfId="26127" xr:uid="{00000000-0005-0000-0000-0000CD640000}"/>
    <cellStyle name="Normal 2 2 24 6" xfId="26128" xr:uid="{00000000-0005-0000-0000-0000CE640000}"/>
    <cellStyle name="Normal 2 2 24 7" xfId="26129" xr:uid="{00000000-0005-0000-0000-0000CF640000}"/>
    <cellStyle name="Normal 2 2 24 8" xfId="26130" xr:uid="{00000000-0005-0000-0000-0000D0640000}"/>
    <cellStyle name="Normal 2 2 24 9" xfId="26131" xr:uid="{00000000-0005-0000-0000-0000D1640000}"/>
    <cellStyle name="Normal 2 2 25" xfId="26132" xr:uid="{00000000-0005-0000-0000-0000D2640000}"/>
    <cellStyle name="Normal 2 2 25 10" xfId="26133" xr:uid="{00000000-0005-0000-0000-0000D3640000}"/>
    <cellStyle name="Normal 2 2 25 11" xfId="26134" xr:uid="{00000000-0005-0000-0000-0000D4640000}"/>
    <cellStyle name="Normal 2 2 25 2" xfId="26135" xr:uid="{00000000-0005-0000-0000-0000D5640000}"/>
    <cellStyle name="Normal 2 2 25 2 10" xfId="26136" xr:uid="{00000000-0005-0000-0000-0000D6640000}"/>
    <cellStyle name="Normal 2 2 25 2 2" xfId="26137" xr:uid="{00000000-0005-0000-0000-0000D7640000}"/>
    <cellStyle name="Normal 2 2 25 2 2 2" xfId="26138" xr:uid="{00000000-0005-0000-0000-0000D8640000}"/>
    <cellStyle name="Normal 2 2 25 2 2 2 2" xfId="26139" xr:uid="{00000000-0005-0000-0000-0000D9640000}"/>
    <cellStyle name="Normal 2 2 25 2 2 2 3" xfId="26140" xr:uid="{00000000-0005-0000-0000-0000DA640000}"/>
    <cellStyle name="Normal 2 2 25 2 2 2 4" xfId="26141" xr:uid="{00000000-0005-0000-0000-0000DB640000}"/>
    <cellStyle name="Normal 2 2 25 2 2 2 5" xfId="26142" xr:uid="{00000000-0005-0000-0000-0000DC640000}"/>
    <cellStyle name="Normal 2 2 25 2 2 3" xfId="26143" xr:uid="{00000000-0005-0000-0000-0000DD640000}"/>
    <cellStyle name="Normal 2 2 25 2 2 4" xfId="26144" xr:uid="{00000000-0005-0000-0000-0000DE640000}"/>
    <cellStyle name="Normal 2 2 25 2 2 5" xfId="26145" xr:uid="{00000000-0005-0000-0000-0000DF640000}"/>
    <cellStyle name="Normal 2 2 25 2 2 6" xfId="26146" xr:uid="{00000000-0005-0000-0000-0000E0640000}"/>
    <cellStyle name="Normal 2 2 25 2 2 7" xfId="26147" xr:uid="{00000000-0005-0000-0000-0000E1640000}"/>
    <cellStyle name="Normal 2 2 25 2 2 8" xfId="26148" xr:uid="{00000000-0005-0000-0000-0000E2640000}"/>
    <cellStyle name="Normal 2 2 25 2 3" xfId="26149" xr:uid="{00000000-0005-0000-0000-0000E3640000}"/>
    <cellStyle name="Normal 2 2 25 2 3 2" xfId="26150" xr:uid="{00000000-0005-0000-0000-0000E4640000}"/>
    <cellStyle name="Normal 2 2 25 2 3 2 2" xfId="26151" xr:uid="{00000000-0005-0000-0000-0000E5640000}"/>
    <cellStyle name="Normal 2 2 25 2 3 2 3" xfId="26152" xr:uid="{00000000-0005-0000-0000-0000E6640000}"/>
    <cellStyle name="Normal 2 2 25 2 3 2 4" xfId="26153" xr:uid="{00000000-0005-0000-0000-0000E7640000}"/>
    <cellStyle name="Normal 2 2 25 2 3 2 5" xfId="26154" xr:uid="{00000000-0005-0000-0000-0000E8640000}"/>
    <cellStyle name="Normal 2 2 25 2 3 3" xfId="26155" xr:uid="{00000000-0005-0000-0000-0000E9640000}"/>
    <cellStyle name="Normal 2 2 25 2 3 4" xfId="26156" xr:uid="{00000000-0005-0000-0000-0000EA640000}"/>
    <cellStyle name="Normal 2 2 25 2 3 5" xfId="26157" xr:uid="{00000000-0005-0000-0000-0000EB640000}"/>
    <cellStyle name="Normal 2 2 25 2 3 6" xfId="26158" xr:uid="{00000000-0005-0000-0000-0000EC640000}"/>
    <cellStyle name="Normal 2 2 25 2 3 7" xfId="26159" xr:uid="{00000000-0005-0000-0000-0000ED640000}"/>
    <cellStyle name="Normal 2 2 25 2 3 8" xfId="26160" xr:uid="{00000000-0005-0000-0000-0000EE640000}"/>
    <cellStyle name="Normal 2 2 25 2 4" xfId="26161" xr:uid="{00000000-0005-0000-0000-0000EF640000}"/>
    <cellStyle name="Normal 2 2 25 2 4 2" xfId="26162" xr:uid="{00000000-0005-0000-0000-0000F0640000}"/>
    <cellStyle name="Normal 2 2 25 2 4 3" xfId="26163" xr:uid="{00000000-0005-0000-0000-0000F1640000}"/>
    <cellStyle name="Normal 2 2 25 2 4 4" xfId="26164" xr:uid="{00000000-0005-0000-0000-0000F2640000}"/>
    <cellStyle name="Normal 2 2 25 2 4 5" xfId="26165" xr:uid="{00000000-0005-0000-0000-0000F3640000}"/>
    <cellStyle name="Normal 2 2 25 2 5" xfId="26166" xr:uid="{00000000-0005-0000-0000-0000F4640000}"/>
    <cellStyle name="Normal 2 2 25 2 6" xfId="26167" xr:uid="{00000000-0005-0000-0000-0000F5640000}"/>
    <cellStyle name="Normal 2 2 25 2 7" xfId="26168" xr:uid="{00000000-0005-0000-0000-0000F6640000}"/>
    <cellStyle name="Normal 2 2 25 2 8" xfId="26169" xr:uid="{00000000-0005-0000-0000-0000F7640000}"/>
    <cellStyle name="Normal 2 2 25 2 9" xfId="26170" xr:uid="{00000000-0005-0000-0000-0000F8640000}"/>
    <cellStyle name="Normal 2 2 25 3" xfId="26171" xr:uid="{00000000-0005-0000-0000-0000F9640000}"/>
    <cellStyle name="Normal 2 2 25 3 2" xfId="26172" xr:uid="{00000000-0005-0000-0000-0000FA640000}"/>
    <cellStyle name="Normal 2 2 25 3 2 2" xfId="26173" xr:uid="{00000000-0005-0000-0000-0000FB640000}"/>
    <cellStyle name="Normal 2 2 25 3 2 3" xfId="26174" xr:uid="{00000000-0005-0000-0000-0000FC640000}"/>
    <cellStyle name="Normal 2 2 25 3 2 4" xfId="26175" xr:uid="{00000000-0005-0000-0000-0000FD640000}"/>
    <cellStyle name="Normal 2 2 25 3 2 5" xfId="26176" xr:uid="{00000000-0005-0000-0000-0000FE640000}"/>
    <cellStyle name="Normal 2 2 25 3 3" xfId="26177" xr:uid="{00000000-0005-0000-0000-0000FF640000}"/>
    <cellStyle name="Normal 2 2 25 3 4" xfId="26178" xr:uid="{00000000-0005-0000-0000-000000650000}"/>
    <cellStyle name="Normal 2 2 25 3 5" xfId="26179" xr:uid="{00000000-0005-0000-0000-000001650000}"/>
    <cellStyle name="Normal 2 2 25 3 6" xfId="26180" xr:uid="{00000000-0005-0000-0000-000002650000}"/>
    <cellStyle name="Normal 2 2 25 3 7" xfId="26181" xr:uid="{00000000-0005-0000-0000-000003650000}"/>
    <cellStyle name="Normal 2 2 25 3 8" xfId="26182" xr:uid="{00000000-0005-0000-0000-000004650000}"/>
    <cellStyle name="Normal 2 2 25 4" xfId="26183" xr:uid="{00000000-0005-0000-0000-000005650000}"/>
    <cellStyle name="Normal 2 2 25 4 2" xfId="26184" xr:uid="{00000000-0005-0000-0000-000006650000}"/>
    <cellStyle name="Normal 2 2 25 4 2 2" xfId="26185" xr:uid="{00000000-0005-0000-0000-000007650000}"/>
    <cellStyle name="Normal 2 2 25 4 2 3" xfId="26186" xr:uid="{00000000-0005-0000-0000-000008650000}"/>
    <cellStyle name="Normal 2 2 25 4 2 4" xfId="26187" xr:uid="{00000000-0005-0000-0000-000009650000}"/>
    <cellStyle name="Normal 2 2 25 4 2 5" xfId="26188" xr:uid="{00000000-0005-0000-0000-00000A650000}"/>
    <cellStyle name="Normal 2 2 25 4 3" xfId="26189" xr:uid="{00000000-0005-0000-0000-00000B650000}"/>
    <cellStyle name="Normal 2 2 25 4 4" xfId="26190" xr:uid="{00000000-0005-0000-0000-00000C650000}"/>
    <cellStyle name="Normal 2 2 25 4 5" xfId="26191" xr:uid="{00000000-0005-0000-0000-00000D650000}"/>
    <cellStyle name="Normal 2 2 25 4 6" xfId="26192" xr:uid="{00000000-0005-0000-0000-00000E650000}"/>
    <cellStyle name="Normal 2 2 25 4 7" xfId="26193" xr:uid="{00000000-0005-0000-0000-00000F650000}"/>
    <cellStyle name="Normal 2 2 25 4 8" xfId="26194" xr:uid="{00000000-0005-0000-0000-000010650000}"/>
    <cellStyle name="Normal 2 2 25 5" xfId="26195" xr:uid="{00000000-0005-0000-0000-000011650000}"/>
    <cellStyle name="Normal 2 2 25 5 2" xfId="26196" xr:uid="{00000000-0005-0000-0000-000012650000}"/>
    <cellStyle name="Normal 2 2 25 5 3" xfId="26197" xr:uid="{00000000-0005-0000-0000-000013650000}"/>
    <cellStyle name="Normal 2 2 25 5 4" xfId="26198" xr:uid="{00000000-0005-0000-0000-000014650000}"/>
    <cellStyle name="Normal 2 2 25 5 5" xfId="26199" xr:uid="{00000000-0005-0000-0000-000015650000}"/>
    <cellStyle name="Normal 2 2 25 6" xfId="26200" xr:uid="{00000000-0005-0000-0000-000016650000}"/>
    <cellStyle name="Normal 2 2 25 7" xfId="26201" xr:uid="{00000000-0005-0000-0000-000017650000}"/>
    <cellStyle name="Normal 2 2 25 8" xfId="26202" xr:uid="{00000000-0005-0000-0000-000018650000}"/>
    <cellStyle name="Normal 2 2 25 9" xfId="26203" xr:uid="{00000000-0005-0000-0000-000019650000}"/>
    <cellStyle name="Normal 2 2 26" xfId="26204" xr:uid="{00000000-0005-0000-0000-00001A650000}"/>
    <cellStyle name="Normal 2 2 3" xfId="859" xr:uid="{00000000-0005-0000-0000-00001B650000}"/>
    <cellStyle name="Normal 2 2 3 2" xfId="42638" xr:uid="{00000000-0005-0000-0000-00001C650000}"/>
    <cellStyle name="Normal 2 2 4" xfId="860" xr:uid="{00000000-0005-0000-0000-00001D650000}"/>
    <cellStyle name="Normal 2 2 5" xfId="861" xr:uid="{00000000-0005-0000-0000-00001E650000}"/>
    <cellStyle name="Normal 2 2 6" xfId="862" xr:uid="{00000000-0005-0000-0000-00001F650000}"/>
    <cellStyle name="Normal 2 2 7" xfId="863" xr:uid="{00000000-0005-0000-0000-000020650000}"/>
    <cellStyle name="Normal 2 2 8" xfId="864" xr:uid="{00000000-0005-0000-0000-000021650000}"/>
    <cellStyle name="Normal 2 2 9" xfId="865" xr:uid="{00000000-0005-0000-0000-000022650000}"/>
    <cellStyle name="Normal 2 2_ANALISA 2008" xfId="26205" xr:uid="{00000000-0005-0000-0000-000023650000}"/>
    <cellStyle name="Normal 2 20" xfId="26206" xr:uid="{00000000-0005-0000-0000-000024650000}"/>
    <cellStyle name="Normal 2 20 10" xfId="26207" xr:uid="{00000000-0005-0000-0000-000025650000}"/>
    <cellStyle name="Normal 2 20 11" xfId="26208" xr:uid="{00000000-0005-0000-0000-000026650000}"/>
    <cellStyle name="Normal 2 20 12" xfId="26209" xr:uid="{00000000-0005-0000-0000-000027650000}"/>
    <cellStyle name="Normal 2 20 13" xfId="26210" xr:uid="{00000000-0005-0000-0000-000028650000}"/>
    <cellStyle name="Normal 2 20 2" xfId="26211" xr:uid="{00000000-0005-0000-0000-000029650000}"/>
    <cellStyle name="Normal 2 20 2 10" xfId="26212" xr:uid="{00000000-0005-0000-0000-00002A650000}"/>
    <cellStyle name="Normal 2 20 2 11" xfId="26213" xr:uid="{00000000-0005-0000-0000-00002B650000}"/>
    <cellStyle name="Normal 2 20 2 2" xfId="26214" xr:uid="{00000000-0005-0000-0000-00002C650000}"/>
    <cellStyle name="Normal 2 20 2 2 10" xfId="26215" xr:uid="{00000000-0005-0000-0000-00002D650000}"/>
    <cellStyle name="Normal 2 20 2 2 2" xfId="26216" xr:uid="{00000000-0005-0000-0000-00002E650000}"/>
    <cellStyle name="Normal 2 20 2 2 2 2" xfId="26217" xr:uid="{00000000-0005-0000-0000-00002F650000}"/>
    <cellStyle name="Normal 2 20 2 2 2 2 2" xfId="26218" xr:uid="{00000000-0005-0000-0000-000030650000}"/>
    <cellStyle name="Normal 2 20 2 2 2 2 3" xfId="26219" xr:uid="{00000000-0005-0000-0000-000031650000}"/>
    <cellStyle name="Normal 2 20 2 2 2 2 4" xfId="26220" xr:uid="{00000000-0005-0000-0000-000032650000}"/>
    <cellStyle name="Normal 2 20 2 2 2 2 5" xfId="26221" xr:uid="{00000000-0005-0000-0000-000033650000}"/>
    <cellStyle name="Normal 2 20 2 2 2 3" xfId="26222" xr:uid="{00000000-0005-0000-0000-000034650000}"/>
    <cellStyle name="Normal 2 20 2 2 2 4" xfId="26223" xr:uid="{00000000-0005-0000-0000-000035650000}"/>
    <cellStyle name="Normal 2 20 2 2 2 5" xfId="26224" xr:uid="{00000000-0005-0000-0000-000036650000}"/>
    <cellStyle name="Normal 2 20 2 2 2 6" xfId="26225" xr:uid="{00000000-0005-0000-0000-000037650000}"/>
    <cellStyle name="Normal 2 20 2 2 2 7" xfId="26226" xr:uid="{00000000-0005-0000-0000-000038650000}"/>
    <cellStyle name="Normal 2 20 2 2 2 8" xfId="26227" xr:uid="{00000000-0005-0000-0000-000039650000}"/>
    <cellStyle name="Normal 2 20 2 2 3" xfId="26228" xr:uid="{00000000-0005-0000-0000-00003A650000}"/>
    <cellStyle name="Normal 2 20 2 2 3 2" xfId="26229" xr:uid="{00000000-0005-0000-0000-00003B650000}"/>
    <cellStyle name="Normal 2 20 2 2 3 2 2" xfId="26230" xr:uid="{00000000-0005-0000-0000-00003C650000}"/>
    <cellStyle name="Normal 2 20 2 2 3 2 3" xfId="26231" xr:uid="{00000000-0005-0000-0000-00003D650000}"/>
    <cellStyle name="Normal 2 20 2 2 3 2 4" xfId="26232" xr:uid="{00000000-0005-0000-0000-00003E650000}"/>
    <cellStyle name="Normal 2 20 2 2 3 2 5" xfId="26233" xr:uid="{00000000-0005-0000-0000-00003F650000}"/>
    <cellStyle name="Normal 2 20 2 2 3 3" xfId="26234" xr:uid="{00000000-0005-0000-0000-000040650000}"/>
    <cellStyle name="Normal 2 20 2 2 3 4" xfId="26235" xr:uid="{00000000-0005-0000-0000-000041650000}"/>
    <cellStyle name="Normal 2 20 2 2 3 5" xfId="26236" xr:uid="{00000000-0005-0000-0000-000042650000}"/>
    <cellStyle name="Normal 2 20 2 2 3 6" xfId="26237" xr:uid="{00000000-0005-0000-0000-000043650000}"/>
    <cellStyle name="Normal 2 20 2 2 3 7" xfId="26238" xr:uid="{00000000-0005-0000-0000-000044650000}"/>
    <cellStyle name="Normal 2 20 2 2 3 8" xfId="26239" xr:uid="{00000000-0005-0000-0000-000045650000}"/>
    <cellStyle name="Normal 2 20 2 2 4" xfId="26240" xr:uid="{00000000-0005-0000-0000-000046650000}"/>
    <cellStyle name="Normal 2 20 2 2 4 2" xfId="26241" xr:uid="{00000000-0005-0000-0000-000047650000}"/>
    <cellStyle name="Normal 2 20 2 2 4 3" xfId="26242" xr:uid="{00000000-0005-0000-0000-000048650000}"/>
    <cellStyle name="Normal 2 20 2 2 4 4" xfId="26243" xr:uid="{00000000-0005-0000-0000-000049650000}"/>
    <cellStyle name="Normal 2 20 2 2 4 5" xfId="26244" xr:uid="{00000000-0005-0000-0000-00004A650000}"/>
    <cellStyle name="Normal 2 20 2 2 5" xfId="26245" xr:uid="{00000000-0005-0000-0000-00004B650000}"/>
    <cellStyle name="Normal 2 20 2 2 6" xfId="26246" xr:uid="{00000000-0005-0000-0000-00004C650000}"/>
    <cellStyle name="Normal 2 20 2 2 7" xfId="26247" xr:uid="{00000000-0005-0000-0000-00004D650000}"/>
    <cellStyle name="Normal 2 20 2 2 8" xfId="26248" xr:uid="{00000000-0005-0000-0000-00004E650000}"/>
    <cellStyle name="Normal 2 20 2 2 9" xfId="26249" xr:uid="{00000000-0005-0000-0000-00004F650000}"/>
    <cellStyle name="Normal 2 20 2 3" xfId="26250" xr:uid="{00000000-0005-0000-0000-000050650000}"/>
    <cellStyle name="Normal 2 20 2 3 2" xfId="26251" xr:uid="{00000000-0005-0000-0000-000051650000}"/>
    <cellStyle name="Normal 2 20 2 3 2 2" xfId="26252" xr:uid="{00000000-0005-0000-0000-000052650000}"/>
    <cellStyle name="Normal 2 20 2 3 2 3" xfId="26253" xr:uid="{00000000-0005-0000-0000-000053650000}"/>
    <cellStyle name="Normal 2 20 2 3 2 4" xfId="26254" xr:uid="{00000000-0005-0000-0000-000054650000}"/>
    <cellStyle name="Normal 2 20 2 3 2 5" xfId="26255" xr:uid="{00000000-0005-0000-0000-000055650000}"/>
    <cellStyle name="Normal 2 20 2 3 3" xfId="26256" xr:uid="{00000000-0005-0000-0000-000056650000}"/>
    <cellStyle name="Normal 2 20 2 3 4" xfId="26257" xr:uid="{00000000-0005-0000-0000-000057650000}"/>
    <cellStyle name="Normal 2 20 2 3 5" xfId="26258" xr:uid="{00000000-0005-0000-0000-000058650000}"/>
    <cellStyle name="Normal 2 20 2 3 6" xfId="26259" xr:uid="{00000000-0005-0000-0000-000059650000}"/>
    <cellStyle name="Normal 2 20 2 3 7" xfId="26260" xr:uid="{00000000-0005-0000-0000-00005A650000}"/>
    <cellStyle name="Normal 2 20 2 3 8" xfId="26261" xr:uid="{00000000-0005-0000-0000-00005B650000}"/>
    <cellStyle name="Normal 2 20 2 4" xfId="26262" xr:uid="{00000000-0005-0000-0000-00005C650000}"/>
    <cellStyle name="Normal 2 20 2 4 2" xfId="26263" xr:uid="{00000000-0005-0000-0000-00005D650000}"/>
    <cellStyle name="Normal 2 20 2 4 2 2" xfId="26264" xr:uid="{00000000-0005-0000-0000-00005E650000}"/>
    <cellStyle name="Normal 2 20 2 4 2 3" xfId="26265" xr:uid="{00000000-0005-0000-0000-00005F650000}"/>
    <cellStyle name="Normal 2 20 2 4 2 4" xfId="26266" xr:uid="{00000000-0005-0000-0000-000060650000}"/>
    <cellStyle name="Normal 2 20 2 4 2 5" xfId="26267" xr:uid="{00000000-0005-0000-0000-000061650000}"/>
    <cellStyle name="Normal 2 20 2 4 3" xfId="26268" xr:uid="{00000000-0005-0000-0000-000062650000}"/>
    <cellStyle name="Normal 2 20 2 4 4" xfId="26269" xr:uid="{00000000-0005-0000-0000-000063650000}"/>
    <cellStyle name="Normal 2 20 2 4 5" xfId="26270" xr:uid="{00000000-0005-0000-0000-000064650000}"/>
    <cellStyle name="Normal 2 20 2 4 6" xfId="26271" xr:uid="{00000000-0005-0000-0000-000065650000}"/>
    <cellStyle name="Normal 2 20 2 4 7" xfId="26272" xr:uid="{00000000-0005-0000-0000-000066650000}"/>
    <cellStyle name="Normal 2 20 2 4 8" xfId="26273" xr:uid="{00000000-0005-0000-0000-000067650000}"/>
    <cellStyle name="Normal 2 20 2 5" xfId="26274" xr:uid="{00000000-0005-0000-0000-000068650000}"/>
    <cellStyle name="Normal 2 20 2 5 2" xfId="26275" xr:uid="{00000000-0005-0000-0000-000069650000}"/>
    <cellStyle name="Normal 2 20 2 5 3" xfId="26276" xr:uid="{00000000-0005-0000-0000-00006A650000}"/>
    <cellStyle name="Normal 2 20 2 5 4" xfId="26277" xr:uid="{00000000-0005-0000-0000-00006B650000}"/>
    <cellStyle name="Normal 2 20 2 5 5" xfId="26278" xr:uid="{00000000-0005-0000-0000-00006C650000}"/>
    <cellStyle name="Normal 2 20 2 6" xfId="26279" xr:uid="{00000000-0005-0000-0000-00006D650000}"/>
    <cellStyle name="Normal 2 20 2 7" xfId="26280" xr:uid="{00000000-0005-0000-0000-00006E650000}"/>
    <cellStyle name="Normal 2 20 2 8" xfId="26281" xr:uid="{00000000-0005-0000-0000-00006F650000}"/>
    <cellStyle name="Normal 2 20 2 9" xfId="26282" xr:uid="{00000000-0005-0000-0000-000070650000}"/>
    <cellStyle name="Normal 2 20 3" xfId="26283" xr:uid="{00000000-0005-0000-0000-000071650000}"/>
    <cellStyle name="Normal 2 20 3 10" xfId="26284" xr:uid="{00000000-0005-0000-0000-000072650000}"/>
    <cellStyle name="Normal 2 20 3 11" xfId="26285" xr:uid="{00000000-0005-0000-0000-000073650000}"/>
    <cellStyle name="Normal 2 20 3 2" xfId="26286" xr:uid="{00000000-0005-0000-0000-000074650000}"/>
    <cellStyle name="Normal 2 20 3 2 10" xfId="26287" xr:uid="{00000000-0005-0000-0000-000075650000}"/>
    <cellStyle name="Normal 2 20 3 2 2" xfId="26288" xr:uid="{00000000-0005-0000-0000-000076650000}"/>
    <cellStyle name="Normal 2 20 3 2 2 2" xfId="26289" xr:uid="{00000000-0005-0000-0000-000077650000}"/>
    <cellStyle name="Normal 2 20 3 2 2 2 2" xfId="26290" xr:uid="{00000000-0005-0000-0000-000078650000}"/>
    <cellStyle name="Normal 2 20 3 2 2 2 3" xfId="26291" xr:uid="{00000000-0005-0000-0000-000079650000}"/>
    <cellStyle name="Normal 2 20 3 2 2 2 4" xfId="26292" xr:uid="{00000000-0005-0000-0000-00007A650000}"/>
    <cellStyle name="Normal 2 20 3 2 2 2 5" xfId="26293" xr:uid="{00000000-0005-0000-0000-00007B650000}"/>
    <cellStyle name="Normal 2 20 3 2 2 3" xfId="26294" xr:uid="{00000000-0005-0000-0000-00007C650000}"/>
    <cellStyle name="Normal 2 20 3 2 2 4" xfId="26295" xr:uid="{00000000-0005-0000-0000-00007D650000}"/>
    <cellStyle name="Normal 2 20 3 2 2 5" xfId="26296" xr:uid="{00000000-0005-0000-0000-00007E650000}"/>
    <cellStyle name="Normal 2 20 3 2 2 6" xfId="26297" xr:uid="{00000000-0005-0000-0000-00007F650000}"/>
    <cellStyle name="Normal 2 20 3 2 2 7" xfId="26298" xr:uid="{00000000-0005-0000-0000-000080650000}"/>
    <cellStyle name="Normal 2 20 3 2 2 8" xfId="26299" xr:uid="{00000000-0005-0000-0000-000081650000}"/>
    <cellStyle name="Normal 2 20 3 2 3" xfId="26300" xr:uid="{00000000-0005-0000-0000-000082650000}"/>
    <cellStyle name="Normal 2 20 3 2 3 2" xfId="26301" xr:uid="{00000000-0005-0000-0000-000083650000}"/>
    <cellStyle name="Normal 2 20 3 2 3 2 2" xfId="26302" xr:uid="{00000000-0005-0000-0000-000084650000}"/>
    <cellStyle name="Normal 2 20 3 2 3 2 3" xfId="26303" xr:uid="{00000000-0005-0000-0000-000085650000}"/>
    <cellStyle name="Normal 2 20 3 2 3 2 4" xfId="26304" xr:uid="{00000000-0005-0000-0000-000086650000}"/>
    <cellStyle name="Normal 2 20 3 2 3 2 5" xfId="26305" xr:uid="{00000000-0005-0000-0000-000087650000}"/>
    <cellStyle name="Normal 2 20 3 2 3 3" xfId="26306" xr:uid="{00000000-0005-0000-0000-000088650000}"/>
    <cellStyle name="Normal 2 20 3 2 3 4" xfId="26307" xr:uid="{00000000-0005-0000-0000-000089650000}"/>
    <cellStyle name="Normal 2 20 3 2 3 5" xfId="26308" xr:uid="{00000000-0005-0000-0000-00008A650000}"/>
    <cellStyle name="Normal 2 20 3 2 3 6" xfId="26309" xr:uid="{00000000-0005-0000-0000-00008B650000}"/>
    <cellStyle name="Normal 2 20 3 2 3 7" xfId="26310" xr:uid="{00000000-0005-0000-0000-00008C650000}"/>
    <cellStyle name="Normal 2 20 3 2 3 8" xfId="26311" xr:uid="{00000000-0005-0000-0000-00008D650000}"/>
    <cellStyle name="Normal 2 20 3 2 4" xfId="26312" xr:uid="{00000000-0005-0000-0000-00008E650000}"/>
    <cellStyle name="Normal 2 20 3 2 4 2" xfId="26313" xr:uid="{00000000-0005-0000-0000-00008F650000}"/>
    <cellStyle name="Normal 2 20 3 2 4 3" xfId="26314" xr:uid="{00000000-0005-0000-0000-000090650000}"/>
    <cellStyle name="Normal 2 20 3 2 4 4" xfId="26315" xr:uid="{00000000-0005-0000-0000-000091650000}"/>
    <cellStyle name="Normal 2 20 3 2 4 5" xfId="26316" xr:uid="{00000000-0005-0000-0000-000092650000}"/>
    <cellStyle name="Normal 2 20 3 2 5" xfId="26317" xr:uid="{00000000-0005-0000-0000-000093650000}"/>
    <cellStyle name="Normal 2 20 3 2 6" xfId="26318" xr:uid="{00000000-0005-0000-0000-000094650000}"/>
    <cellStyle name="Normal 2 20 3 2 7" xfId="26319" xr:uid="{00000000-0005-0000-0000-000095650000}"/>
    <cellStyle name="Normal 2 20 3 2 8" xfId="26320" xr:uid="{00000000-0005-0000-0000-000096650000}"/>
    <cellStyle name="Normal 2 20 3 2 9" xfId="26321" xr:uid="{00000000-0005-0000-0000-000097650000}"/>
    <cellStyle name="Normal 2 20 3 3" xfId="26322" xr:uid="{00000000-0005-0000-0000-000098650000}"/>
    <cellStyle name="Normal 2 20 3 3 2" xfId="26323" xr:uid="{00000000-0005-0000-0000-000099650000}"/>
    <cellStyle name="Normal 2 20 3 3 2 2" xfId="26324" xr:uid="{00000000-0005-0000-0000-00009A650000}"/>
    <cellStyle name="Normal 2 20 3 3 2 3" xfId="26325" xr:uid="{00000000-0005-0000-0000-00009B650000}"/>
    <cellStyle name="Normal 2 20 3 3 2 4" xfId="26326" xr:uid="{00000000-0005-0000-0000-00009C650000}"/>
    <cellStyle name="Normal 2 20 3 3 2 5" xfId="26327" xr:uid="{00000000-0005-0000-0000-00009D650000}"/>
    <cellStyle name="Normal 2 20 3 3 3" xfId="26328" xr:uid="{00000000-0005-0000-0000-00009E650000}"/>
    <cellStyle name="Normal 2 20 3 3 4" xfId="26329" xr:uid="{00000000-0005-0000-0000-00009F650000}"/>
    <cellStyle name="Normal 2 20 3 3 5" xfId="26330" xr:uid="{00000000-0005-0000-0000-0000A0650000}"/>
    <cellStyle name="Normal 2 20 3 3 6" xfId="26331" xr:uid="{00000000-0005-0000-0000-0000A1650000}"/>
    <cellStyle name="Normal 2 20 3 3 7" xfId="26332" xr:uid="{00000000-0005-0000-0000-0000A2650000}"/>
    <cellStyle name="Normal 2 20 3 3 8" xfId="26333" xr:uid="{00000000-0005-0000-0000-0000A3650000}"/>
    <cellStyle name="Normal 2 20 3 4" xfId="26334" xr:uid="{00000000-0005-0000-0000-0000A4650000}"/>
    <cellStyle name="Normal 2 20 3 4 2" xfId="26335" xr:uid="{00000000-0005-0000-0000-0000A5650000}"/>
    <cellStyle name="Normal 2 20 3 4 2 2" xfId="26336" xr:uid="{00000000-0005-0000-0000-0000A6650000}"/>
    <cellStyle name="Normal 2 20 3 4 2 3" xfId="26337" xr:uid="{00000000-0005-0000-0000-0000A7650000}"/>
    <cellStyle name="Normal 2 20 3 4 2 4" xfId="26338" xr:uid="{00000000-0005-0000-0000-0000A8650000}"/>
    <cellStyle name="Normal 2 20 3 4 2 5" xfId="26339" xr:uid="{00000000-0005-0000-0000-0000A9650000}"/>
    <cellStyle name="Normal 2 20 3 4 3" xfId="26340" xr:uid="{00000000-0005-0000-0000-0000AA650000}"/>
    <cellStyle name="Normal 2 20 3 4 4" xfId="26341" xr:uid="{00000000-0005-0000-0000-0000AB650000}"/>
    <cellStyle name="Normal 2 20 3 4 5" xfId="26342" xr:uid="{00000000-0005-0000-0000-0000AC650000}"/>
    <cellStyle name="Normal 2 20 3 4 6" xfId="26343" xr:uid="{00000000-0005-0000-0000-0000AD650000}"/>
    <cellStyle name="Normal 2 20 3 4 7" xfId="26344" xr:uid="{00000000-0005-0000-0000-0000AE650000}"/>
    <cellStyle name="Normal 2 20 3 4 8" xfId="26345" xr:uid="{00000000-0005-0000-0000-0000AF650000}"/>
    <cellStyle name="Normal 2 20 3 5" xfId="26346" xr:uid="{00000000-0005-0000-0000-0000B0650000}"/>
    <cellStyle name="Normal 2 20 3 5 2" xfId="26347" xr:uid="{00000000-0005-0000-0000-0000B1650000}"/>
    <cellStyle name="Normal 2 20 3 5 3" xfId="26348" xr:uid="{00000000-0005-0000-0000-0000B2650000}"/>
    <cellStyle name="Normal 2 20 3 5 4" xfId="26349" xr:uid="{00000000-0005-0000-0000-0000B3650000}"/>
    <cellStyle name="Normal 2 20 3 5 5" xfId="26350" xr:uid="{00000000-0005-0000-0000-0000B4650000}"/>
    <cellStyle name="Normal 2 20 3 6" xfId="26351" xr:uid="{00000000-0005-0000-0000-0000B5650000}"/>
    <cellStyle name="Normal 2 20 3 7" xfId="26352" xr:uid="{00000000-0005-0000-0000-0000B6650000}"/>
    <cellStyle name="Normal 2 20 3 8" xfId="26353" xr:uid="{00000000-0005-0000-0000-0000B7650000}"/>
    <cellStyle name="Normal 2 20 3 9" xfId="26354" xr:uid="{00000000-0005-0000-0000-0000B8650000}"/>
    <cellStyle name="Normal 2 20 4" xfId="26355" xr:uid="{00000000-0005-0000-0000-0000B9650000}"/>
    <cellStyle name="Normal 2 20 4 10" xfId="26356" xr:uid="{00000000-0005-0000-0000-0000BA650000}"/>
    <cellStyle name="Normal 2 20 4 2" xfId="26357" xr:uid="{00000000-0005-0000-0000-0000BB650000}"/>
    <cellStyle name="Normal 2 20 4 2 2" xfId="26358" xr:uid="{00000000-0005-0000-0000-0000BC650000}"/>
    <cellStyle name="Normal 2 20 4 2 2 2" xfId="26359" xr:uid="{00000000-0005-0000-0000-0000BD650000}"/>
    <cellStyle name="Normal 2 20 4 2 2 3" xfId="26360" xr:uid="{00000000-0005-0000-0000-0000BE650000}"/>
    <cellStyle name="Normal 2 20 4 2 2 4" xfId="26361" xr:uid="{00000000-0005-0000-0000-0000BF650000}"/>
    <cellStyle name="Normal 2 20 4 2 2 5" xfId="26362" xr:uid="{00000000-0005-0000-0000-0000C0650000}"/>
    <cellStyle name="Normal 2 20 4 2 3" xfId="26363" xr:uid="{00000000-0005-0000-0000-0000C1650000}"/>
    <cellStyle name="Normal 2 20 4 2 4" xfId="26364" xr:uid="{00000000-0005-0000-0000-0000C2650000}"/>
    <cellStyle name="Normal 2 20 4 2 5" xfId="26365" xr:uid="{00000000-0005-0000-0000-0000C3650000}"/>
    <cellStyle name="Normal 2 20 4 2 6" xfId="26366" xr:uid="{00000000-0005-0000-0000-0000C4650000}"/>
    <cellStyle name="Normal 2 20 4 2 7" xfId="26367" xr:uid="{00000000-0005-0000-0000-0000C5650000}"/>
    <cellStyle name="Normal 2 20 4 2 8" xfId="26368" xr:uid="{00000000-0005-0000-0000-0000C6650000}"/>
    <cellStyle name="Normal 2 20 4 3" xfId="26369" xr:uid="{00000000-0005-0000-0000-0000C7650000}"/>
    <cellStyle name="Normal 2 20 4 3 2" xfId="26370" xr:uid="{00000000-0005-0000-0000-0000C8650000}"/>
    <cellStyle name="Normal 2 20 4 3 2 2" xfId="26371" xr:uid="{00000000-0005-0000-0000-0000C9650000}"/>
    <cellStyle name="Normal 2 20 4 3 2 3" xfId="26372" xr:uid="{00000000-0005-0000-0000-0000CA650000}"/>
    <cellStyle name="Normal 2 20 4 3 2 4" xfId="26373" xr:uid="{00000000-0005-0000-0000-0000CB650000}"/>
    <cellStyle name="Normal 2 20 4 3 2 5" xfId="26374" xr:uid="{00000000-0005-0000-0000-0000CC650000}"/>
    <cellStyle name="Normal 2 20 4 3 3" xfId="26375" xr:uid="{00000000-0005-0000-0000-0000CD650000}"/>
    <cellStyle name="Normal 2 20 4 3 4" xfId="26376" xr:uid="{00000000-0005-0000-0000-0000CE650000}"/>
    <cellStyle name="Normal 2 20 4 3 5" xfId="26377" xr:uid="{00000000-0005-0000-0000-0000CF650000}"/>
    <cellStyle name="Normal 2 20 4 3 6" xfId="26378" xr:uid="{00000000-0005-0000-0000-0000D0650000}"/>
    <cellStyle name="Normal 2 20 4 3 7" xfId="26379" xr:uid="{00000000-0005-0000-0000-0000D1650000}"/>
    <cellStyle name="Normal 2 20 4 3 8" xfId="26380" xr:uid="{00000000-0005-0000-0000-0000D2650000}"/>
    <cellStyle name="Normal 2 20 4 4" xfId="26381" xr:uid="{00000000-0005-0000-0000-0000D3650000}"/>
    <cellStyle name="Normal 2 20 4 4 2" xfId="26382" xr:uid="{00000000-0005-0000-0000-0000D4650000}"/>
    <cellStyle name="Normal 2 20 4 4 3" xfId="26383" xr:uid="{00000000-0005-0000-0000-0000D5650000}"/>
    <cellStyle name="Normal 2 20 4 4 4" xfId="26384" xr:uid="{00000000-0005-0000-0000-0000D6650000}"/>
    <cellStyle name="Normal 2 20 4 4 5" xfId="26385" xr:uid="{00000000-0005-0000-0000-0000D7650000}"/>
    <cellStyle name="Normal 2 20 4 5" xfId="26386" xr:uid="{00000000-0005-0000-0000-0000D8650000}"/>
    <cellStyle name="Normal 2 20 4 6" xfId="26387" xr:uid="{00000000-0005-0000-0000-0000D9650000}"/>
    <cellStyle name="Normal 2 20 4 7" xfId="26388" xr:uid="{00000000-0005-0000-0000-0000DA650000}"/>
    <cellStyle name="Normal 2 20 4 8" xfId="26389" xr:uid="{00000000-0005-0000-0000-0000DB650000}"/>
    <cellStyle name="Normal 2 20 4 9" xfId="26390" xr:uid="{00000000-0005-0000-0000-0000DC650000}"/>
    <cellStyle name="Normal 2 20 5" xfId="26391" xr:uid="{00000000-0005-0000-0000-0000DD650000}"/>
    <cellStyle name="Normal 2 20 5 2" xfId="26392" xr:uid="{00000000-0005-0000-0000-0000DE650000}"/>
    <cellStyle name="Normal 2 20 5 2 2" xfId="26393" xr:uid="{00000000-0005-0000-0000-0000DF650000}"/>
    <cellStyle name="Normal 2 20 5 2 3" xfId="26394" xr:uid="{00000000-0005-0000-0000-0000E0650000}"/>
    <cellStyle name="Normal 2 20 5 2 4" xfId="26395" xr:uid="{00000000-0005-0000-0000-0000E1650000}"/>
    <cellStyle name="Normal 2 20 5 2 5" xfId="26396" xr:uid="{00000000-0005-0000-0000-0000E2650000}"/>
    <cellStyle name="Normal 2 20 5 3" xfId="26397" xr:uid="{00000000-0005-0000-0000-0000E3650000}"/>
    <cellStyle name="Normal 2 20 5 4" xfId="26398" xr:uid="{00000000-0005-0000-0000-0000E4650000}"/>
    <cellStyle name="Normal 2 20 5 5" xfId="26399" xr:uid="{00000000-0005-0000-0000-0000E5650000}"/>
    <cellStyle name="Normal 2 20 5 6" xfId="26400" xr:uid="{00000000-0005-0000-0000-0000E6650000}"/>
    <cellStyle name="Normal 2 20 5 7" xfId="26401" xr:uid="{00000000-0005-0000-0000-0000E7650000}"/>
    <cellStyle name="Normal 2 20 5 8" xfId="26402" xr:uid="{00000000-0005-0000-0000-0000E8650000}"/>
    <cellStyle name="Normal 2 20 6" xfId="26403" xr:uid="{00000000-0005-0000-0000-0000E9650000}"/>
    <cellStyle name="Normal 2 20 6 2" xfId="26404" xr:uid="{00000000-0005-0000-0000-0000EA650000}"/>
    <cellStyle name="Normal 2 20 6 2 2" xfId="26405" xr:uid="{00000000-0005-0000-0000-0000EB650000}"/>
    <cellStyle name="Normal 2 20 6 2 3" xfId="26406" xr:uid="{00000000-0005-0000-0000-0000EC650000}"/>
    <cellStyle name="Normal 2 20 6 2 4" xfId="26407" xr:uid="{00000000-0005-0000-0000-0000ED650000}"/>
    <cellStyle name="Normal 2 20 6 2 5" xfId="26408" xr:uid="{00000000-0005-0000-0000-0000EE650000}"/>
    <cellStyle name="Normal 2 20 6 3" xfId="26409" xr:uid="{00000000-0005-0000-0000-0000EF650000}"/>
    <cellStyle name="Normal 2 20 6 4" xfId="26410" xr:uid="{00000000-0005-0000-0000-0000F0650000}"/>
    <cellStyle name="Normal 2 20 6 5" xfId="26411" xr:uid="{00000000-0005-0000-0000-0000F1650000}"/>
    <cellStyle name="Normal 2 20 6 6" xfId="26412" xr:uid="{00000000-0005-0000-0000-0000F2650000}"/>
    <cellStyle name="Normal 2 20 6 7" xfId="26413" xr:uid="{00000000-0005-0000-0000-0000F3650000}"/>
    <cellStyle name="Normal 2 20 6 8" xfId="26414" xr:uid="{00000000-0005-0000-0000-0000F4650000}"/>
    <cellStyle name="Normal 2 20 7" xfId="26415" xr:uid="{00000000-0005-0000-0000-0000F5650000}"/>
    <cellStyle name="Normal 2 20 7 2" xfId="26416" xr:uid="{00000000-0005-0000-0000-0000F6650000}"/>
    <cellStyle name="Normal 2 20 7 3" xfId="26417" xr:uid="{00000000-0005-0000-0000-0000F7650000}"/>
    <cellStyle name="Normal 2 20 7 4" xfId="26418" xr:uid="{00000000-0005-0000-0000-0000F8650000}"/>
    <cellStyle name="Normal 2 20 7 5" xfId="26419" xr:uid="{00000000-0005-0000-0000-0000F9650000}"/>
    <cellStyle name="Normal 2 20 8" xfId="26420" xr:uid="{00000000-0005-0000-0000-0000FA650000}"/>
    <cellStyle name="Normal 2 20 9" xfId="26421" xr:uid="{00000000-0005-0000-0000-0000FB650000}"/>
    <cellStyle name="Normal 2 21" xfId="26422" xr:uid="{00000000-0005-0000-0000-0000FC650000}"/>
    <cellStyle name="Normal 2 21 10" xfId="26423" xr:uid="{00000000-0005-0000-0000-0000FD650000}"/>
    <cellStyle name="Normal 2 21 11" xfId="26424" xr:uid="{00000000-0005-0000-0000-0000FE650000}"/>
    <cellStyle name="Normal 2 21 12" xfId="26425" xr:uid="{00000000-0005-0000-0000-0000FF650000}"/>
    <cellStyle name="Normal 2 21 13" xfId="26426" xr:uid="{00000000-0005-0000-0000-000000660000}"/>
    <cellStyle name="Normal 2 21 2" xfId="26427" xr:uid="{00000000-0005-0000-0000-000001660000}"/>
    <cellStyle name="Normal 2 21 2 10" xfId="26428" xr:uid="{00000000-0005-0000-0000-000002660000}"/>
    <cellStyle name="Normal 2 21 2 11" xfId="26429" xr:uid="{00000000-0005-0000-0000-000003660000}"/>
    <cellStyle name="Normal 2 21 2 2" xfId="26430" xr:uid="{00000000-0005-0000-0000-000004660000}"/>
    <cellStyle name="Normal 2 21 2 2 10" xfId="26431" xr:uid="{00000000-0005-0000-0000-000005660000}"/>
    <cellStyle name="Normal 2 21 2 2 2" xfId="26432" xr:uid="{00000000-0005-0000-0000-000006660000}"/>
    <cellStyle name="Normal 2 21 2 2 2 2" xfId="26433" xr:uid="{00000000-0005-0000-0000-000007660000}"/>
    <cellStyle name="Normal 2 21 2 2 2 2 2" xfId="26434" xr:uid="{00000000-0005-0000-0000-000008660000}"/>
    <cellStyle name="Normal 2 21 2 2 2 2 3" xfId="26435" xr:uid="{00000000-0005-0000-0000-000009660000}"/>
    <cellStyle name="Normal 2 21 2 2 2 2 4" xfId="26436" xr:uid="{00000000-0005-0000-0000-00000A660000}"/>
    <cellStyle name="Normal 2 21 2 2 2 2 5" xfId="26437" xr:uid="{00000000-0005-0000-0000-00000B660000}"/>
    <cellStyle name="Normal 2 21 2 2 2 3" xfId="26438" xr:uid="{00000000-0005-0000-0000-00000C660000}"/>
    <cellStyle name="Normal 2 21 2 2 2 4" xfId="26439" xr:uid="{00000000-0005-0000-0000-00000D660000}"/>
    <cellStyle name="Normal 2 21 2 2 2 5" xfId="26440" xr:uid="{00000000-0005-0000-0000-00000E660000}"/>
    <cellStyle name="Normal 2 21 2 2 2 6" xfId="26441" xr:uid="{00000000-0005-0000-0000-00000F660000}"/>
    <cellStyle name="Normal 2 21 2 2 2 7" xfId="26442" xr:uid="{00000000-0005-0000-0000-000010660000}"/>
    <cellStyle name="Normal 2 21 2 2 2 8" xfId="26443" xr:uid="{00000000-0005-0000-0000-000011660000}"/>
    <cellStyle name="Normal 2 21 2 2 3" xfId="26444" xr:uid="{00000000-0005-0000-0000-000012660000}"/>
    <cellStyle name="Normal 2 21 2 2 3 2" xfId="26445" xr:uid="{00000000-0005-0000-0000-000013660000}"/>
    <cellStyle name="Normal 2 21 2 2 3 2 2" xfId="26446" xr:uid="{00000000-0005-0000-0000-000014660000}"/>
    <cellStyle name="Normal 2 21 2 2 3 2 3" xfId="26447" xr:uid="{00000000-0005-0000-0000-000015660000}"/>
    <cellStyle name="Normal 2 21 2 2 3 2 4" xfId="26448" xr:uid="{00000000-0005-0000-0000-000016660000}"/>
    <cellStyle name="Normal 2 21 2 2 3 2 5" xfId="26449" xr:uid="{00000000-0005-0000-0000-000017660000}"/>
    <cellStyle name="Normal 2 21 2 2 3 3" xfId="26450" xr:uid="{00000000-0005-0000-0000-000018660000}"/>
    <cellStyle name="Normal 2 21 2 2 3 4" xfId="26451" xr:uid="{00000000-0005-0000-0000-000019660000}"/>
    <cellStyle name="Normal 2 21 2 2 3 5" xfId="26452" xr:uid="{00000000-0005-0000-0000-00001A660000}"/>
    <cellStyle name="Normal 2 21 2 2 3 6" xfId="26453" xr:uid="{00000000-0005-0000-0000-00001B660000}"/>
    <cellStyle name="Normal 2 21 2 2 3 7" xfId="26454" xr:uid="{00000000-0005-0000-0000-00001C660000}"/>
    <cellStyle name="Normal 2 21 2 2 3 8" xfId="26455" xr:uid="{00000000-0005-0000-0000-00001D660000}"/>
    <cellStyle name="Normal 2 21 2 2 4" xfId="26456" xr:uid="{00000000-0005-0000-0000-00001E660000}"/>
    <cellStyle name="Normal 2 21 2 2 4 2" xfId="26457" xr:uid="{00000000-0005-0000-0000-00001F660000}"/>
    <cellStyle name="Normal 2 21 2 2 4 3" xfId="26458" xr:uid="{00000000-0005-0000-0000-000020660000}"/>
    <cellStyle name="Normal 2 21 2 2 4 4" xfId="26459" xr:uid="{00000000-0005-0000-0000-000021660000}"/>
    <cellStyle name="Normal 2 21 2 2 4 5" xfId="26460" xr:uid="{00000000-0005-0000-0000-000022660000}"/>
    <cellStyle name="Normal 2 21 2 2 5" xfId="26461" xr:uid="{00000000-0005-0000-0000-000023660000}"/>
    <cellStyle name="Normal 2 21 2 2 6" xfId="26462" xr:uid="{00000000-0005-0000-0000-000024660000}"/>
    <cellStyle name="Normal 2 21 2 2 7" xfId="26463" xr:uid="{00000000-0005-0000-0000-000025660000}"/>
    <cellStyle name="Normal 2 21 2 2 8" xfId="26464" xr:uid="{00000000-0005-0000-0000-000026660000}"/>
    <cellStyle name="Normal 2 21 2 2 9" xfId="26465" xr:uid="{00000000-0005-0000-0000-000027660000}"/>
    <cellStyle name="Normal 2 21 2 3" xfId="26466" xr:uid="{00000000-0005-0000-0000-000028660000}"/>
    <cellStyle name="Normal 2 21 2 3 2" xfId="26467" xr:uid="{00000000-0005-0000-0000-000029660000}"/>
    <cellStyle name="Normal 2 21 2 3 2 2" xfId="26468" xr:uid="{00000000-0005-0000-0000-00002A660000}"/>
    <cellStyle name="Normal 2 21 2 3 2 3" xfId="26469" xr:uid="{00000000-0005-0000-0000-00002B660000}"/>
    <cellStyle name="Normal 2 21 2 3 2 4" xfId="26470" xr:uid="{00000000-0005-0000-0000-00002C660000}"/>
    <cellStyle name="Normal 2 21 2 3 2 5" xfId="26471" xr:uid="{00000000-0005-0000-0000-00002D660000}"/>
    <cellStyle name="Normal 2 21 2 3 3" xfId="26472" xr:uid="{00000000-0005-0000-0000-00002E660000}"/>
    <cellStyle name="Normal 2 21 2 3 4" xfId="26473" xr:uid="{00000000-0005-0000-0000-00002F660000}"/>
    <cellStyle name="Normal 2 21 2 3 5" xfId="26474" xr:uid="{00000000-0005-0000-0000-000030660000}"/>
    <cellStyle name="Normal 2 21 2 3 6" xfId="26475" xr:uid="{00000000-0005-0000-0000-000031660000}"/>
    <cellStyle name="Normal 2 21 2 3 7" xfId="26476" xr:uid="{00000000-0005-0000-0000-000032660000}"/>
    <cellStyle name="Normal 2 21 2 3 8" xfId="26477" xr:uid="{00000000-0005-0000-0000-000033660000}"/>
    <cellStyle name="Normal 2 21 2 4" xfId="26478" xr:uid="{00000000-0005-0000-0000-000034660000}"/>
    <cellStyle name="Normal 2 21 2 4 2" xfId="26479" xr:uid="{00000000-0005-0000-0000-000035660000}"/>
    <cellStyle name="Normal 2 21 2 4 2 2" xfId="26480" xr:uid="{00000000-0005-0000-0000-000036660000}"/>
    <cellStyle name="Normal 2 21 2 4 2 3" xfId="26481" xr:uid="{00000000-0005-0000-0000-000037660000}"/>
    <cellStyle name="Normal 2 21 2 4 2 4" xfId="26482" xr:uid="{00000000-0005-0000-0000-000038660000}"/>
    <cellStyle name="Normal 2 21 2 4 2 5" xfId="26483" xr:uid="{00000000-0005-0000-0000-000039660000}"/>
    <cellStyle name="Normal 2 21 2 4 3" xfId="26484" xr:uid="{00000000-0005-0000-0000-00003A660000}"/>
    <cellStyle name="Normal 2 21 2 4 4" xfId="26485" xr:uid="{00000000-0005-0000-0000-00003B660000}"/>
    <cellStyle name="Normal 2 21 2 4 5" xfId="26486" xr:uid="{00000000-0005-0000-0000-00003C660000}"/>
    <cellStyle name="Normal 2 21 2 4 6" xfId="26487" xr:uid="{00000000-0005-0000-0000-00003D660000}"/>
    <cellStyle name="Normal 2 21 2 4 7" xfId="26488" xr:uid="{00000000-0005-0000-0000-00003E660000}"/>
    <cellStyle name="Normal 2 21 2 4 8" xfId="26489" xr:uid="{00000000-0005-0000-0000-00003F660000}"/>
    <cellStyle name="Normal 2 21 2 5" xfId="26490" xr:uid="{00000000-0005-0000-0000-000040660000}"/>
    <cellStyle name="Normal 2 21 2 5 2" xfId="26491" xr:uid="{00000000-0005-0000-0000-000041660000}"/>
    <cellStyle name="Normal 2 21 2 5 3" xfId="26492" xr:uid="{00000000-0005-0000-0000-000042660000}"/>
    <cellStyle name="Normal 2 21 2 5 4" xfId="26493" xr:uid="{00000000-0005-0000-0000-000043660000}"/>
    <cellStyle name="Normal 2 21 2 5 5" xfId="26494" xr:uid="{00000000-0005-0000-0000-000044660000}"/>
    <cellStyle name="Normal 2 21 2 6" xfId="26495" xr:uid="{00000000-0005-0000-0000-000045660000}"/>
    <cellStyle name="Normal 2 21 2 7" xfId="26496" xr:uid="{00000000-0005-0000-0000-000046660000}"/>
    <cellStyle name="Normal 2 21 2 8" xfId="26497" xr:uid="{00000000-0005-0000-0000-000047660000}"/>
    <cellStyle name="Normal 2 21 2 9" xfId="26498" xr:uid="{00000000-0005-0000-0000-000048660000}"/>
    <cellStyle name="Normal 2 21 3" xfId="26499" xr:uid="{00000000-0005-0000-0000-000049660000}"/>
    <cellStyle name="Normal 2 21 3 10" xfId="26500" xr:uid="{00000000-0005-0000-0000-00004A660000}"/>
    <cellStyle name="Normal 2 21 3 11" xfId="26501" xr:uid="{00000000-0005-0000-0000-00004B660000}"/>
    <cellStyle name="Normal 2 21 3 2" xfId="26502" xr:uid="{00000000-0005-0000-0000-00004C660000}"/>
    <cellStyle name="Normal 2 21 3 2 10" xfId="26503" xr:uid="{00000000-0005-0000-0000-00004D660000}"/>
    <cellStyle name="Normal 2 21 3 2 2" xfId="26504" xr:uid="{00000000-0005-0000-0000-00004E660000}"/>
    <cellStyle name="Normal 2 21 3 2 2 2" xfId="26505" xr:uid="{00000000-0005-0000-0000-00004F660000}"/>
    <cellStyle name="Normal 2 21 3 2 2 2 2" xfId="26506" xr:uid="{00000000-0005-0000-0000-000050660000}"/>
    <cellStyle name="Normal 2 21 3 2 2 2 3" xfId="26507" xr:uid="{00000000-0005-0000-0000-000051660000}"/>
    <cellStyle name="Normal 2 21 3 2 2 2 4" xfId="26508" xr:uid="{00000000-0005-0000-0000-000052660000}"/>
    <cellStyle name="Normal 2 21 3 2 2 2 5" xfId="26509" xr:uid="{00000000-0005-0000-0000-000053660000}"/>
    <cellStyle name="Normal 2 21 3 2 2 3" xfId="26510" xr:uid="{00000000-0005-0000-0000-000054660000}"/>
    <cellStyle name="Normal 2 21 3 2 2 4" xfId="26511" xr:uid="{00000000-0005-0000-0000-000055660000}"/>
    <cellStyle name="Normal 2 21 3 2 2 5" xfId="26512" xr:uid="{00000000-0005-0000-0000-000056660000}"/>
    <cellStyle name="Normal 2 21 3 2 2 6" xfId="26513" xr:uid="{00000000-0005-0000-0000-000057660000}"/>
    <cellStyle name="Normal 2 21 3 2 2 7" xfId="26514" xr:uid="{00000000-0005-0000-0000-000058660000}"/>
    <cellStyle name="Normal 2 21 3 2 2 8" xfId="26515" xr:uid="{00000000-0005-0000-0000-000059660000}"/>
    <cellStyle name="Normal 2 21 3 2 3" xfId="26516" xr:uid="{00000000-0005-0000-0000-00005A660000}"/>
    <cellStyle name="Normal 2 21 3 2 3 2" xfId="26517" xr:uid="{00000000-0005-0000-0000-00005B660000}"/>
    <cellStyle name="Normal 2 21 3 2 3 2 2" xfId="26518" xr:uid="{00000000-0005-0000-0000-00005C660000}"/>
    <cellStyle name="Normal 2 21 3 2 3 2 3" xfId="26519" xr:uid="{00000000-0005-0000-0000-00005D660000}"/>
    <cellStyle name="Normal 2 21 3 2 3 2 4" xfId="26520" xr:uid="{00000000-0005-0000-0000-00005E660000}"/>
    <cellStyle name="Normal 2 21 3 2 3 2 5" xfId="26521" xr:uid="{00000000-0005-0000-0000-00005F660000}"/>
    <cellStyle name="Normal 2 21 3 2 3 3" xfId="26522" xr:uid="{00000000-0005-0000-0000-000060660000}"/>
    <cellStyle name="Normal 2 21 3 2 3 4" xfId="26523" xr:uid="{00000000-0005-0000-0000-000061660000}"/>
    <cellStyle name="Normal 2 21 3 2 3 5" xfId="26524" xr:uid="{00000000-0005-0000-0000-000062660000}"/>
    <cellStyle name="Normal 2 21 3 2 3 6" xfId="26525" xr:uid="{00000000-0005-0000-0000-000063660000}"/>
    <cellStyle name="Normal 2 21 3 2 3 7" xfId="26526" xr:uid="{00000000-0005-0000-0000-000064660000}"/>
    <cellStyle name="Normal 2 21 3 2 3 8" xfId="26527" xr:uid="{00000000-0005-0000-0000-000065660000}"/>
    <cellStyle name="Normal 2 21 3 2 4" xfId="26528" xr:uid="{00000000-0005-0000-0000-000066660000}"/>
    <cellStyle name="Normal 2 21 3 2 4 2" xfId="26529" xr:uid="{00000000-0005-0000-0000-000067660000}"/>
    <cellStyle name="Normal 2 21 3 2 4 3" xfId="26530" xr:uid="{00000000-0005-0000-0000-000068660000}"/>
    <cellStyle name="Normal 2 21 3 2 4 4" xfId="26531" xr:uid="{00000000-0005-0000-0000-000069660000}"/>
    <cellStyle name="Normal 2 21 3 2 4 5" xfId="26532" xr:uid="{00000000-0005-0000-0000-00006A660000}"/>
    <cellStyle name="Normal 2 21 3 2 5" xfId="26533" xr:uid="{00000000-0005-0000-0000-00006B660000}"/>
    <cellStyle name="Normal 2 21 3 2 6" xfId="26534" xr:uid="{00000000-0005-0000-0000-00006C660000}"/>
    <cellStyle name="Normal 2 21 3 2 7" xfId="26535" xr:uid="{00000000-0005-0000-0000-00006D660000}"/>
    <cellStyle name="Normal 2 21 3 2 8" xfId="26536" xr:uid="{00000000-0005-0000-0000-00006E660000}"/>
    <cellStyle name="Normal 2 21 3 2 9" xfId="26537" xr:uid="{00000000-0005-0000-0000-00006F660000}"/>
    <cellStyle name="Normal 2 21 3 3" xfId="26538" xr:uid="{00000000-0005-0000-0000-000070660000}"/>
    <cellStyle name="Normal 2 21 3 3 2" xfId="26539" xr:uid="{00000000-0005-0000-0000-000071660000}"/>
    <cellStyle name="Normal 2 21 3 3 2 2" xfId="26540" xr:uid="{00000000-0005-0000-0000-000072660000}"/>
    <cellStyle name="Normal 2 21 3 3 2 3" xfId="26541" xr:uid="{00000000-0005-0000-0000-000073660000}"/>
    <cellStyle name="Normal 2 21 3 3 2 4" xfId="26542" xr:uid="{00000000-0005-0000-0000-000074660000}"/>
    <cellStyle name="Normal 2 21 3 3 2 5" xfId="26543" xr:uid="{00000000-0005-0000-0000-000075660000}"/>
    <cellStyle name="Normal 2 21 3 3 3" xfId="26544" xr:uid="{00000000-0005-0000-0000-000076660000}"/>
    <cellStyle name="Normal 2 21 3 3 4" xfId="26545" xr:uid="{00000000-0005-0000-0000-000077660000}"/>
    <cellStyle name="Normal 2 21 3 3 5" xfId="26546" xr:uid="{00000000-0005-0000-0000-000078660000}"/>
    <cellStyle name="Normal 2 21 3 3 6" xfId="26547" xr:uid="{00000000-0005-0000-0000-000079660000}"/>
    <cellStyle name="Normal 2 21 3 3 7" xfId="26548" xr:uid="{00000000-0005-0000-0000-00007A660000}"/>
    <cellStyle name="Normal 2 21 3 3 8" xfId="26549" xr:uid="{00000000-0005-0000-0000-00007B660000}"/>
    <cellStyle name="Normal 2 21 3 4" xfId="26550" xr:uid="{00000000-0005-0000-0000-00007C660000}"/>
    <cellStyle name="Normal 2 21 3 4 2" xfId="26551" xr:uid="{00000000-0005-0000-0000-00007D660000}"/>
    <cellStyle name="Normal 2 21 3 4 2 2" xfId="26552" xr:uid="{00000000-0005-0000-0000-00007E660000}"/>
    <cellStyle name="Normal 2 21 3 4 2 3" xfId="26553" xr:uid="{00000000-0005-0000-0000-00007F660000}"/>
    <cellStyle name="Normal 2 21 3 4 2 4" xfId="26554" xr:uid="{00000000-0005-0000-0000-000080660000}"/>
    <cellStyle name="Normal 2 21 3 4 2 5" xfId="26555" xr:uid="{00000000-0005-0000-0000-000081660000}"/>
    <cellStyle name="Normal 2 21 3 4 3" xfId="26556" xr:uid="{00000000-0005-0000-0000-000082660000}"/>
    <cellStyle name="Normal 2 21 3 4 4" xfId="26557" xr:uid="{00000000-0005-0000-0000-000083660000}"/>
    <cellStyle name="Normal 2 21 3 4 5" xfId="26558" xr:uid="{00000000-0005-0000-0000-000084660000}"/>
    <cellStyle name="Normal 2 21 3 4 6" xfId="26559" xr:uid="{00000000-0005-0000-0000-000085660000}"/>
    <cellStyle name="Normal 2 21 3 4 7" xfId="26560" xr:uid="{00000000-0005-0000-0000-000086660000}"/>
    <cellStyle name="Normal 2 21 3 4 8" xfId="26561" xr:uid="{00000000-0005-0000-0000-000087660000}"/>
    <cellStyle name="Normal 2 21 3 5" xfId="26562" xr:uid="{00000000-0005-0000-0000-000088660000}"/>
    <cellStyle name="Normal 2 21 3 5 2" xfId="26563" xr:uid="{00000000-0005-0000-0000-000089660000}"/>
    <cellStyle name="Normal 2 21 3 5 3" xfId="26564" xr:uid="{00000000-0005-0000-0000-00008A660000}"/>
    <cellStyle name="Normal 2 21 3 5 4" xfId="26565" xr:uid="{00000000-0005-0000-0000-00008B660000}"/>
    <cellStyle name="Normal 2 21 3 5 5" xfId="26566" xr:uid="{00000000-0005-0000-0000-00008C660000}"/>
    <cellStyle name="Normal 2 21 3 6" xfId="26567" xr:uid="{00000000-0005-0000-0000-00008D660000}"/>
    <cellStyle name="Normal 2 21 3 7" xfId="26568" xr:uid="{00000000-0005-0000-0000-00008E660000}"/>
    <cellStyle name="Normal 2 21 3 8" xfId="26569" xr:uid="{00000000-0005-0000-0000-00008F660000}"/>
    <cellStyle name="Normal 2 21 3 9" xfId="26570" xr:uid="{00000000-0005-0000-0000-000090660000}"/>
    <cellStyle name="Normal 2 21 4" xfId="26571" xr:uid="{00000000-0005-0000-0000-000091660000}"/>
    <cellStyle name="Normal 2 21 4 10" xfId="26572" xr:uid="{00000000-0005-0000-0000-000092660000}"/>
    <cellStyle name="Normal 2 21 4 2" xfId="26573" xr:uid="{00000000-0005-0000-0000-000093660000}"/>
    <cellStyle name="Normal 2 21 4 2 2" xfId="26574" xr:uid="{00000000-0005-0000-0000-000094660000}"/>
    <cellStyle name="Normal 2 21 4 2 2 2" xfId="26575" xr:uid="{00000000-0005-0000-0000-000095660000}"/>
    <cellStyle name="Normal 2 21 4 2 2 3" xfId="26576" xr:uid="{00000000-0005-0000-0000-000096660000}"/>
    <cellStyle name="Normal 2 21 4 2 2 4" xfId="26577" xr:uid="{00000000-0005-0000-0000-000097660000}"/>
    <cellStyle name="Normal 2 21 4 2 2 5" xfId="26578" xr:uid="{00000000-0005-0000-0000-000098660000}"/>
    <cellStyle name="Normal 2 21 4 2 3" xfId="26579" xr:uid="{00000000-0005-0000-0000-000099660000}"/>
    <cellStyle name="Normal 2 21 4 2 4" xfId="26580" xr:uid="{00000000-0005-0000-0000-00009A660000}"/>
    <cellStyle name="Normal 2 21 4 2 5" xfId="26581" xr:uid="{00000000-0005-0000-0000-00009B660000}"/>
    <cellStyle name="Normal 2 21 4 2 6" xfId="26582" xr:uid="{00000000-0005-0000-0000-00009C660000}"/>
    <cellStyle name="Normal 2 21 4 2 7" xfId="26583" xr:uid="{00000000-0005-0000-0000-00009D660000}"/>
    <cellStyle name="Normal 2 21 4 2 8" xfId="26584" xr:uid="{00000000-0005-0000-0000-00009E660000}"/>
    <cellStyle name="Normal 2 21 4 3" xfId="26585" xr:uid="{00000000-0005-0000-0000-00009F660000}"/>
    <cellStyle name="Normal 2 21 4 3 2" xfId="26586" xr:uid="{00000000-0005-0000-0000-0000A0660000}"/>
    <cellStyle name="Normal 2 21 4 3 2 2" xfId="26587" xr:uid="{00000000-0005-0000-0000-0000A1660000}"/>
    <cellStyle name="Normal 2 21 4 3 2 3" xfId="26588" xr:uid="{00000000-0005-0000-0000-0000A2660000}"/>
    <cellStyle name="Normal 2 21 4 3 2 4" xfId="26589" xr:uid="{00000000-0005-0000-0000-0000A3660000}"/>
    <cellStyle name="Normal 2 21 4 3 2 5" xfId="26590" xr:uid="{00000000-0005-0000-0000-0000A4660000}"/>
    <cellStyle name="Normal 2 21 4 3 3" xfId="26591" xr:uid="{00000000-0005-0000-0000-0000A5660000}"/>
    <cellStyle name="Normal 2 21 4 3 4" xfId="26592" xr:uid="{00000000-0005-0000-0000-0000A6660000}"/>
    <cellStyle name="Normal 2 21 4 3 5" xfId="26593" xr:uid="{00000000-0005-0000-0000-0000A7660000}"/>
    <cellStyle name="Normal 2 21 4 3 6" xfId="26594" xr:uid="{00000000-0005-0000-0000-0000A8660000}"/>
    <cellStyle name="Normal 2 21 4 3 7" xfId="26595" xr:uid="{00000000-0005-0000-0000-0000A9660000}"/>
    <cellStyle name="Normal 2 21 4 3 8" xfId="26596" xr:uid="{00000000-0005-0000-0000-0000AA660000}"/>
    <cellStyle name="Normal 2 21 4 4" xfId="26597" xr:uid="{00000000-0005-0000-0000-0000AB660000}"/>
    <cellStyle name="Normal 2 21 4 4 2" xfId="26598" xr:uid="{00000000-0005-0000-0000-0000AC660000}"/>
    <cellStyle name="Normal 2 21 4 4 3" xfId="26599" xr:uid="{00000000-0005-0000-0000-0000AD660000}"/>
    <cellStyle name="Normal 2 21 4 4 4" xfId="26600" xr:uid="{00000000-0005-0000-0000-0000AE660000}"/>
    <cellStyle name="Normal 2 21 4 4 5" xfId="26601" xr:uid="{00000000-0005-0000-0000-0000AF660000}"/>
    <cellStyle name="Normal 2 21 4 5" xfId="26602" xr:uid="{00000000-0005-0000-0000-0000B0660000}"/>
    <cellStyle name="Normal 2 21 4 6" xfId="26603" xr:uid="{00000000-0005-0000-0000-0000B1660000}"/>
    <cellStyle name="Normal 2 21 4 7" xfId="26604" xr:uid="{00000000-0005-0000-0000-0000B2660000}"/>
    <cellStyle name="Normal 2 21 4 8" xfId="26605" xr:uid="{00000000-0005-0000-0000-0000B3660000}"/>
    <cellStyle name="Normal 2 21 4 9" xfId="26606" xr:uid="{00000000-0005-0000-0000-0000B4660000}"/>
    <cellStyle name="Normal 2 21 5" xfId="26607" xr:uid="{00000000-0005-0000-0000-0000B5660000}"/>
    <cellStyle name="Normal 2 21 5 2" xfId="26608" xr:uid="{00000000-0005-0000-0000-0000B6660000}"/>
    <cellStyle name="Normal 2 21 5 2 2" xfId="26609" xr:uid="{00000000-0005-0000-0000-0000B7660000}"/>
    <cellStyle name="Normal 2 21 5 2 3" xfId="26610" xr:uid="{00000000-0005-0000-0000-0000B8660000}"/>
    <cellStyle name="Normal 2 21 5 2 4" xfId="26611" xr:uid="{00000000-0005-0000-0000-0000B9660000}"/>
    <cellStyle name="Normal 2 21 5 2 5" xfId="26612" xr:uid="{00000000-0005-0000-0000-0000BA660000}"/>
    <cellStyle name="Normal 2 21 5 3" xfId="26613" xr:uid="{00000000-0005-0000-0000-0000BB660000}"/>
    <cellStyle name="Normal 2 21 5 4" xfId="26614" xr:uid="{00000000-0005-0000-0000-0000BC660000}"/>
    <cellStyle name="Normal 2 21 5 5" xfId="26615" xr:uid="{00000000-0005-0000-0000-0000BD660000}"/>
    <cellStyle name="Normal 2 21 5 6" xfId="26616" xr:uid="{00000000-0005-0000-0000-0000BE660000}"/>
    <cellStyle name="Normal 2 21 5 7" xfId="26617" xr:uid="{00000000-0005-0000-0000-0000BF660000}"/>
    <cellStyle name="Normal 2 21 5 8" xfId="26618" xr:uid="{00000000-0005-0000-0000-0000C0660000}"/>
    <cellStyle name="Normal 2 21 6" xfId="26619" xr:uid="{00000000-0005-0000-0000-0000C1660000}"/>
    <cellStyle name="Normal 2 21 6 2" xfId="26620" xr:uid="{00000000-0005-0000-0000-0000C2660000}"/>
    <cellStyle name="Normal 2 21 6 2 2" xfId="26621" xr:uid="{00000000-0005-0000-0000-0000C3660000}"/>
    <cellStyle name="Normal 2 21 6 2 3" xfId="26622" xr:uid="{00000000-0005-0000-0000-0000C4660000}"/>
    <cellStyle name="Normal 2 21 6 2 4" xfId="26623" xr:uid="{00000000-0005-0000-0000-0000C5660000}"/>
    <cellStyle name="Normal 2 21 6 2 5" xfId="26624" xr:uid="{00000000-0005-0000-0000-0000C6660000}"/>
    <cellStyle name="Normal 2 21 6 3" xfId="26625" xr:uid="{00000000-0005-0000-0000-0000C7660000}"/>
    <cellStyle name="Normal 2 21 6 4" xfId="26626" xr:uid="{00000000-0005-0000-0000-0000C8660000}"/>
    <cellStyle name="Normal 2 21 6 5" xfId="26627" xr:uid="{00000000-0005-0000-0000-0000C9660000}"/>
    <cellStyle name="Normal 2 21 6 6" xfId="26628" xr:uid="{00000000-0005-0000-0000-0000CA660000}"/>
    <cellStyle name="Normal 2 21 6 7" xfId="26629" xr:uid="{00000000-0005-0000-0000-0000CB660000}"/>
    <cellStyle name="Normal 2 21 6 8" xfId="26630" xr:uid="{00000000-0005-0000-0000-0000CC660000}"/>
    <cellStyle name="Normal 2 21 7" xfId="26631" xr:uid="{00000000-0005-0000-0000-0000CD660000}"/>
    <cellStyle name="Normal 2 21 7 2" xfId="26632" xr:uid="{00000000-0005-0000-0000-0000CE660000}"/>
    <cellStyle name="Normal 2 21 7 3" xfId="26633" xr:uid="{00000000-0005-0000-0000-0000CF660000}"/>
    <cellStyle name="Normal 2 21 7 4" xfId="26634" xr:uid="{00000000-0005-0000-0000-0000D0660000}"/>
    <cellStyle name="Normal 2 21 7 5" xfId="26635" xr:uid="{00000000-0005-0000-0000-0000D1660000}"/>
    <cellStyle name="Normal 2 21 8" xfId="26636" xr:uid="{00000000-0005-0000-0000-0000D2660000}"/>
    <cellStyle name="Normal 2 21 9" xfId="26637" xr:uid="{00000000-0005-0000-0000-0000D3660000}"/>
    <cellStyle name="Normal 2 22" xfId="26638" xr:uid="{00000000-0005-0000-0000-0000D4660000}"/>
    <cellStyle name="Normal 2 22 2" xfId="26639" xr:uid="{00000000-0005-0000-0000-0000D5660000}"/>
    <cellStyle name="Normal 2 22 3" xfId="26640" xr:uid="{00000000-0005-0000-0000-0000D6660000}"/>
    <cellStyle name="Normal 2 22 4" xfId="26641" xr:uid="{00000000-0005-0000-0000-0000D7660000}"/>
    <cellStyle name="Normal 2 22 5" xfId="26642" xr:uid="{00000000-0005-0000-0000-0000D8660000}"/>
    <cellStyle name="Normal 2 22 6" xfId="26643" xr:uid="{00000000-0005-0000-0000-0000D9660000}"/>
    <cellStyle name="Normal 2 22 7" xfId="26644" xr:uid="{00000000-0005-0000-0000-0000DA660000}"/>
    <cellStyle name="Normal 2 23" xfId="26645" xr:uid="{00000000-0005-0000-0000-0000DB660000}"/>
    <cellStyle name="Normal 2 23 2" xfId="26646" xr:uid="{00000000-0005-0000-0000-0000DC660000}"/>
    <cellStyle name="Normal 2 23 3" xfId="26647" xr:uid="{00000000-0005-0000-0000-0000DD660000}"/>
    <cellStyle name="Normal 2 23 4" xfId="26648" xr:uid="{00000000-0005-0000-0000-0000DE660000}"/>
    <cellStyle name="Normal 2 23 5" xfId="26649" xr:uid="{00000000-0005-0000-0000-0000DF660000}"/>
    <cellStyle name="Normal 2 23 6" xfId="26650" xr:uid="{00000000-0005-0000-0000-0000E0660000}"/>
    <cellStyle name="Normal 2 23 7" xfId="26651" xr:uid="{00000000-0005-0000-0000-0000E1660000}"/>
    <cellStyle name="Normal 2 24" xfId="26652" xr:uid="{00000000-0005-0000-0000-0000E2660000}"/>
    <cellStyle name="Normal 2 24 10" xfId="26653" xr:uid="{00000000-0005-0000-0000-0000E3660000}"/>
    <cellStyle name="Normal 2 24 2" xfId="26654" xr:uid="{00000000-0005-0000-0000-0000E4660000}"/>
    <cellStyle name="Normal 2 24 2 2" xfId="26655" xr:uid="{00000000-0005-0000-0000-0000E5660000}"/>
    <cellStyle name="Normal 2 24 2 2 2" xfId="26656" xr:uid="{00000000-0005-0000-0000-0000E6660000}"/>
    <cellStyle name="Normal 2 24 2 2 3" xfId="26657" xr:uid="{00000000-0005-0000-0000-0000E7660000}"/>
    <cellStyle name="Normal 2 24 2 2 4" xfId="26658" xr:uid="{00000000-0005-0000-0000-0000E8660000}"/>
    <cellStyle name="Normal 2 24 2 2 5" xfId="26659" xr:uid="{00000000-0005-0000-0000-0000E9660000}"/>
    <cellStyle name="Normal 2 24 2 3" xfId="26660" xr:uid="{00000000-0005-0000-0000-0000EA660000}"/>
    <cellStyle name="Normal 2 24 2 4" xfId="26661" xr:uid="{00000000-0005-0000-0000-0000EB660000}"/>
    <cellStyle name="Normal 2 24 2 5" xfId="26662" xr:uid="{00000000-0005-0000-0000-0000EC660000}"/>
    <cellStyle name="Normal 2 24 2 6" xfId="26663" xr:uid="{00000000-0005-0000-0000-0000ED660000}"/>
    <cellStyle name="Normal 2 24 2 7" xfId="26664" xr:uid="{00000000-0005-0000-0000-0000EE660000}"/>
    <cellStyle name="Normal 2 24 2 8" xfId="26665" xr:uid="{00000000-0005-0000-0000-0000EF660000}"/>
    <cellStyle name="Normal 2 24 3" xfId="26666" xr:uid="{00000000-0005-0000-0000-0000F0660000}"/>
    <cellStyle name="Normal 2 24 3 2" xfId="26667" xr:uid="{00000000-0005-0000-0000-0000F1660000}"/>
    <cellStyle name="Normal 2 24 3 2 2" xfId="26668" xr:uid="{00000000-0005-0000-0000-0000F2660000}"/>
    <cellStyle name="Normal 2 24 3 2 3" xfId="26669" xr:uid="{00000000-0005-0000-0000-0000F3660000}"/>
    <cellStyle name="Normal 2 24 3 2 4" xfId="26670" xr:uid="{00000000-0005-0000-0000-0000F4660000}"/>
    <cellStyle name="Normal 2 24 3 2 5" xfId="26671" xr:uid="{00000000-0005-0000-0000-0000F5660000}"/>
    <cellStyle name="Normal 2 24 3 3" xfId="26672" xr:uid="{00000000-0005-0000-0000-0000F6660000}"/>
    <cellStyle name="Normal 2 24 3 4" xfId="26673" xr:uid="{00000000-0005-0000-0000-0000F7660000}"/>
    <cellStyle name="Normal 2 24 3 5" xfId="26674" xr:uid="{00000000-0005-0000-0000-0000F8660000}"/>
    <cellStyle name="Normal 2 24 3 6" xfId="26675" xr:uid="{00000000-0005-0000-0000-0000F9660000}"/>
    <cellStyle name="Normal 2 24 3 7" xfId="26676" xr:uid="{00000000-0005-0000-0000-0000FA660000}"/>
    <cellStyle name="Normal 2 24 3 8" xfId="26677" xr:uid="{00000000-0005-0000-0000-0000FB660000}"/>
    <cellStyle name="Normal 2 24 4" xfId="26678" xr:uid="{00000000-0005-0000-0000-0000FC660000}"/>
    <cellStyle name="Normal 2 24 4 2" xfId="26679" xr:uid="{00000000-0005-0000-0000-0000FD660000}"/>
    <cellStyle name="Normal 2 24 4 3" xfId="26680" xr:uid="{00000000-0005-0000-0000-0000FE660000}"/>
    <cellStyle name="Normal 2 24 4 4" xfId="26681" xr:uid="{00000000-0005-0000-0000-0000FF660000}"/>
    <cellStyle name="Normal 2 24 4 5" xfId="26682" xr:uid="{00000000-0005-0000-0000-000000670000}"/>
    <cellStyle name="Normal 2 24 5" xfId="26683" xr:uid="{00000000-0005-0000-0000-000001670000}"/>
    <cellStyle name="Normal 2 24 6" xfId="26684" xr:uid="{00000000-0005-0000-0000-000002670000}"/>
    <cellStyle name="Normal 2 24 7" xfId="26685" xr:uid="{00000000-0005-0000-0000-000003670000}"/>
    <cellStyle name="Normal 2 24 8" xfId="26686" xr:uid="{00000000-0005-0000-0000-000004670000}"/>
    <cellStyle name="Normal 2 24 9" xfId="26687" xr:uid="{00000000-0005-0000-0000-000005670000}"/>
    <cellStyle name="Normal 2 25" xfId="26688" xr:uid="{00000000-0005-0000-0000-000006670000}"/>
    <cellStyle name="Normal 2 25 2" xfId="26689" xr:uid="{00000000-0005-0000-0000-000007670000}"/>
    <cellStyle name="Normal 2 25 2 2" xfId="26690" xr:uid="{00000000-0005-0000-0000-000008670000}"/>
    <cellStyle name="Normal 2 25 2 3" xfId="26691" xr:uid="{00000000-0005-0000-0000-000009670000}"/>
    <cellStyle name="Normal 2 25 2 4" xfId="26692" xr:uid="{00000000-0005-0000-0000-00000A670000}"/>
    <cellStyle name="Normal 2 25 2 5" xfId="26693" xr:uid="{00000000-0005-0000-0000-00000B670000}"/>
    <cellStyle name="Normal 2 25 3" xfId="26694" xr:uid="{00000000-0005-0000-0000-00000C670000}"/>
    <cellStyle name="Normal 2 25 4" xfId="26695" xr:uid="{00000000-0005-0000-0000-00000D670000}"/>
    <cellStyle name="Normal 2 25 5" xfId="26696" xr:uid="{00000000-0005-0000-0000-00000E670000}"/>
    <cellStyle name="Normal 2 25 6" xfId="26697" xr:uid="{00000000-0005-0000-0000-00000F670000}"/>
    <cellStyle name="Normal 2 25 7" xfId="26698" xr:uid="{00000000-0005-0000-0000-000010670000}"/>
    <cellStyle name="Normal 2 25 8" xfId="26699" xr:uid="{00000000-0005-0000-0000-000011670000}"/>
    <cellStyle name="Normal 2 26" xfId="26700" xr:uid="{00000000-0005-0000-0000-000012670000}"/>
    <cellStyle name="Normal 2 26 2" xfId="26701" xr:uid="{00000000-0005-0000-0000-000013670000}"/>
    <cellStyle name="Normal 2 26 2 2" xfId="26702" xr:uid="{00000000-0005-0000-0000-000014670000}"/>
    <cellStyle name="Normal 2 26 2 3" xfId="26703" xr:uid="{00000000-0005-0000-0000-000015670000}"/>
    <cellStyle name="Normal 2 26 2 4" xfId="26704" xr:uid="{00000000-0005-0000-0000-000016670000}"/>
    <cellStyle name="Normal 2 26 2 5" xfId="26705" xr:uid="{00000000-0005-0000-0000-000017670000}"/>
    <cellStyle name="Normal 2 26 3" xfId="26706" xr:uid="{00000000-0005-0000-0000-000018670000}"/>
    <cellStyle name="Normal 2 26 4" xfId="26707" xr:uid="{00000000-0005-0000-0000-000019670000}"/>
    <cellStyle name="Normal 2 26 5" xfId="26708" xr:uid="{00000000-0005-0000-0000-00001A670000}"/>
    <cellStyle name="Normal 2 26 6" xfId="26709" xr:uid="{00000000-0005-0000-0000-00001B670000}"/>
    <cellStyle name="Normal 2 26 7" xfId="26710" xr:uid="{00000000-0005-0000-0000-00001C670000}"/>
    <cellStyle name="Normal 2 26 8" xfId="26711" xr:uid="{00000000-0005-0000-0000-00001D670000}"/>
    <cellStyle name="Normal 2 27" xfId="26712" xr:uid="{00000000-0005-0000-0000-00001E670000}"/>
    <cellStyle name="Normal 2 27 2" xfId="26713" xr:uid="{00000000-0005-0000-0000-00001F670000}"/>
    <cellStyle name="Normal 2 27 3" xfId="26714" xr:uid="{00000000-0005-0000-0000-000020670000}"/>
    <cellStyle name="Normal 2 27 4" xfId="26715" xr:uid="{00000000-0005-0000-0000-000021670000}"/>
    <cellStyle name="Normal 2 27 5" xfId="26716" xr:uid="{00000000-0005-0000-0000-000022670000}"/>
    <cellStyle name="Normal 2 28" xfId="26717" xr:uid="{00000000-0005-0000-0000-000023670000}"/>
    <cellStyle name="Normal 2 29" xfId="26718" xr:uid="{00000000-0005-0000-0000-000024670000}"/>
    <cellStyle name="Normal 2 3" xfId="866" xr:uid="{00000000-0005-0000-0000-000025670000}"/>
    <cellStyle name="Normal 2 3 10" xfId="26719" xr:uid="{00000000-0005-0000-0000-000026670000}"/>
    <cellStyle name="Normal 2 3 10 10" xfId="26720" xr:uid="{00000000-0005-0000-0000-000027670000}"/>
    <cellStyle name="Normal 2 3 10 11" xfId="26721" xr:uid="{00000000-0005-0000-0000-000028670000}"/>
    <cellStyle name="Normal 2 3 10 12" xfId="26722" xr:uid="{00000000-0005-0000-0000-000029670000}"/>
    <cellStyle name="Normal 2 3 10 13" xfId="26723" xr:uid="{00000000-0005-0000-0000-00002A670000}"/>
    <cellStyle name="Normal 2 3 10 2" xfId="26724" xr:uid="{00000000-0005-0000-0000-00002B670000}"/>
    <cellStyle name="Normal 2 3 10 2 10" xfId="26725" xr:uid="{00000000-0005-0000-0000-00002C670000}"/>
    <cellStyle name="Normal 2 3 10 2 11" xfId="26726" xr:uid="{00000000-0005-0000-0000-00002D670000}"/>
    <cellStyle name="Normal 2 3 10 2 2" xfId="26727" xr:uid="{00000000-0005-0000-0000-00002E670000}"/>
    <cellStyle name="Normal 2 3 10 2 2 10" xfId="26728" xr:uid="{00000000-0005-0000-0000-00002F670000}"/>
    <cellStyle name="Normal 2 3 10 2 2 2" xfId="26729" xr:uid="{00000000-0005-0000-0000-000030670000}"/>
    <cellStyle name="Normal 2 3 10 2 2 2 2" xfId="26730" xr:uid="{00000000-0005-0000-0000-000031670000}"/>
    <cellStyle name="Normal 2 3 10 2 2 2 2 2" xfId="26731" xr:uid="{00000000-0005-0000-0000-000032670000}"/>
    <cellStyle name="Normal 2 3 10 2 2 2 2 3" xfId="26732" xr:uid="{00000000-0005-0000-0000-000033670000}"/>
    <cellStyle name="Normal 2 3 10 2 2 2 2 4" xfId="26733" xr:uid="{00000000-0005-0000-0000-000034670000}"/>
    <cellStyle name="Normal 2 3 10 2 2 2 2 5" xfId="26734" xr:uid="{00000000-0005-0000-0000-000035670000}"/>
    <cellStyle name="Normal 2 3 10 2 2 2 3" xfId="26735" xr:uid="{00000000-0005-0000-0000-000036670000}"/>
    <cellStyle name="Normal 2 3 10 2 2 2 4" xfId="26736" xr:uid="{00000000-0005-0000-0000-000037670000}"/>
    <cellStyle name="Normal 2 3 10 2 2 2 5" xfId="26737" xr:uid="{00000000-0005-0000-0000-000038670000}"/>
    <cellStyle name="Normal 2 3 10 2 2 2 6" xfId="26738" xr:uid="{00000000-0005-0000-0000-000039670000}"/>
    <cellStyle name="Normal 2 3 10 2 2 2 7" xfId="26739" xr:uid="{00000000-0005-0000-0000-00003A670000}"/>
    <cellStyle name="Normal 2 3 10 2 2 2 8" xfId="26740" xr:uid="{00000000-0005-0000-0000-00003B670000}"/>
    <cellStyle name="Normal 2 3 10 2 2 3" xfId="26741" xr:uid="{00000000-0005-0000-0000-00003C670000}"/>
    <cellStyle name="Normal 2 3 10 2 2 3 2" xfId="26742" xr:uid="{00000000-0005-0000-0000-00003D670000}"/>
    <cellStyle name="Normal 2 3 10 2 2 3 2 2" xfId="26743" xr:uid="{00000000-0005-0000-0000-00003E670000}"/>
    <cellStyle name="Normal 2 3 10 2 2 3 2 3" xfId="26744" xr:uid="{00000000-0005-0000-0000-00003F670000}"/>
    <cellStyle name="Normal 2 3 10 2 2 3 2 4" xfId="26745" xr:uid="{00000000-0005-0000-0000-000040670000}"/>
    <cellStyle name="Normal 2 3 10 2 2 3 2 5" xfId="26746" xr:uid="{00000000-0005-0000-0000-000041670000}"/>
    <cellStyle name="Normal 2 3 10 2 2 3 3" xfId="26747" xr:uid="{00000000-0005-0000-0000-000042670000}"/>
    <cellStyle name="Normal 2 3 10 2 2 3 4" xfId="26748" xr:uid="{00000000-0005-0000-0000-000043670000}"/>
    <cellStyle name="Normal 2 3 10 2 2 3 5" xfId="26749" xr:uid="{00000000-0005-0000-0000-000044670000}"/>
    <cellStyle name="Normal 2 3 10 2 2 3 6" xfId="26750" xr:uid="{00000000-0005-0000-0000-000045670000}"/>
    <cellStyle name="Normal 2 3 10 2 2 3 7" xfId="26751" xr:uid="{00000000-0005-0000-0000-000046670000}"/>
    <cellStyle name="Normal 2 3 10 2 2 3 8" xfId="26752" xr:uid="{00000000-0005-0000-0000-000047670000}"/>
    <cellStyle name="Normal 2 3 10 2 2 4" xfId="26753" xr:uid="{00000000-0005-0000-0000-000048670000}"/>
    <cellStyle name="Normal 2 3 10 2 2 4 2" xfId="26754" xr:uid="{00000000-0005-0000-0000-000049670000}"/>
    <cellStyle name="Normal 2 3 10 2 2 4 3" xfId="26755" xr:uid="{00000000-0005-0000-0000-00004A670000}"/>
    <cellStyle name="Normal 2 3 10 2 2 4 4" xfId="26756" xr:uid="{00000000-0005-0000-0000-00004B670000}"/>
    <cellStyle name="Normal 2 3 10 2 2 4 5" xfId="26757" xr:uid="{00000000-0005-0000-0000-00004C670000}"/>
    <cellStyle name="Normal 2 3 10 2 2 5" xfId="26758" xr:uid="{00000000-0005-0000-0000-00004D670000}"/>
    <cellStyle name="Normal 2 3 10 2 2 6" xfId="26759" xr:uid="{00000000-0005-0000-0000-00004E670000}"/>
    <cellStyle name="Normal 2 3 10 2 2 7" xfId="26760" xr:uid="{00000000-0005-0000-0000-00004F670000}"/>
    <cellStyle name="Normal 2 3 10 2 2 8" xfId="26761" xr:uid="{00000000-0005-0000-0000-000050670000}"/>
    <cellStyle name="Normal 2 3 10 2 2 9" xfId="26762" xr:uid="{00000000-0005-0000-0000-000051670000}"/>
    <cellStyle name="Normal 2 3 10 2 3" xfId="26763" xr:uid="{00000000-0005-0000-0000-000052670000}"/>
    <cellStyle name="Normal 2 3 10 2 3 2" xfId="26764" xr:uid="{00000000-0005-0000-0000-000053670000}"/>
    <cellStyle name="Normal 2 3 10 2 3 2 2" xfId="26765" xr:uid="{00000000-0005-0000-0000-000054670000}"/>
    <cellStyle name="Normal 2 3 10 2 3 2 3" xfId="26766" xr:uid="{00000000-0005-0000-0000-000055670000}"/>
    <cellStyle name="Normal 2 3 10 2 3 2 4" xfId="26767" xr:uid="{00000000-0005-0000-0000-000056670000}"/>
    <cellStyle name="Normal 2 3 10 2 3 2 5" xfId="26768" xr:uid="{00000000-0005-0000-0000-000057670000}"/>
    <cellStyle name="Normal 2 3 10 2 3 3" xfId="26769" xr:uid="{00000000-0005-0000-0000-000058670000}"/>
    <cellStyle name="Normal 2 3 10 2 3 4" xfId="26770" xr:uid="{00000000-0005-0000-0000-000059670000}"/>
    <cellStyle name="Normal 2 3 10 2 3 5" xfId="26771" xr:uid="{00000000-0005-0000-0000-00005A670000}"/>
    <cellStyle name="Normal 2 3 10 2 3 6" xfId="26772" xr:uid="{00000000-0005-0000-0000-00005B670000}"/>
    <cellStyle name="Normal 2 3 10 2 3 7" xfId="26773" xr:uid="{00000000-0005-0000-0000-00005C670000}"/>
    <cellStyle name="Normal 2 3 10 2 3 8" xfId="26774" xr:uid="{00000000-0005-0000-0000-00005D670000}"/>
    <cellStyle name="Normal 2 3 10 2 4" xfId="26775" xr:uid="{00000000-0005-0000-0000-00005E670000}"/>
    <cellStyle name="Normal 2 3 10 2 4 2" xfId="26776" xr:uid="{00000000-0005-0000-0000-00005F670000}"/>
    <cellStyle name="Normal 2 3 10 2 4 2 2" xfId="26777" xr:uid="{00000000-0005-0000-0000-000060670000}"/>
    <cellStyle name="Normal 2 3 10 2 4 2 3" xfId="26778" xr:uid="{00000000-0005-0000-0000-000061670000}"/>
    <cellStyle name="Normal 2 3 10 2 4 2 4" xfId="26779" xr:uid="{00000000-0005-0000-0000-000062670000}"/>
    <cellStyle name="Normal 2 3 10 2 4 2 5" xfId="26780" xr:uid="{00000000-0005-0000-0000-000063670000}"/>
    <cellStyle name="Normal 2 3 10 2 4 3" xfId="26781" xr:uid="{00000000-0005-0000-0000-000064670000}"/>
    <cellStyle name="Normal 2 3 10 2 4 4" xfId="26782" xr:uid="{00000000-0005-0000-0000-000065670000}"/>
    <cellStyle name="Normal 2 3 10 2 4 5" xfId="26783" xr:uid="{00000000-0005-0000-0000-000066670000}"/>
    <cellStyle name="Normal 2 3 10 2 4 6" xfId="26784" xr:uid="{00000000-0005-0000-0000-000067670000}"/>
    <cellStyle name="Normal 2 3 10 2 4 7" xfId="26785" xr:uid="{00000000-0005-0000-0000-000068670000}"/>
    <cellStyle name="Normal 2 3 10 2 4 8" xfId="26786" xr:uid="{00000000-0005-0000-0000-000069670000}"/>
    <cellStyle name="Normal 2 3 10 2 5" xfId="26787" xr:uid="{00000000-0005-0000-0000-00006A670000}"/>
    <cellStyle name="Normal 2 3 10 2 5 2" xfId="26788" xr:uid="{00000000-0005-0000-0000-00006B670000}"/>
    <cellStyle name="Normal 2 3 10 2 5 3" xfId="26789" xr:uid="{00000000-0005-0000-0000-00006C670000}"/>
    <cellStyle name="Normal 2 3 10 2 5 4" xfId="26790" xr:uid="{00000000-0005-0000-0000-00006D670000}"/>
    <cellStyle name="Normal 2 3 10 2 5 5" xfId="26791" xr:uid="{00000000-0005-0000-0000-00006E670000}"/>
    <cellStyle name="Normal 2 3 10 2 6" xfId="26792" xr:uid="{00000000-0005-0000-0000-00006F670000}"/>
    <cellStyle name="Normal 2 3 10 2 7" xfId="26793" xr:uid="{00000000-0005-0000-0000-000070670000}"/>
    <cellStyle name="Normal 2 3 10 2 8" xfId="26794" xr:uid="{00000000-0005-0000-0000-000071670000}"/>
    <cellStyle name="Normal 2 3 10 2 9" xfId="26795" xr:uid="{00000000-0005-0000-0000-000072670000}"/>
    <cellStyle name="Normal 2 3 10 3" xfId="26796" xr:uid="{00000000-0005-0000-0000-000073670000}"/>
    <cellStyle name="Normal 2 3 10 3 10" xfId="26797" xr:uid="{00000000-0005-0000-0000-000074670000}"/>
    <cellStyle name="Normal 2 3 10 3 11" xfId="26798" xr:uid="{00000000-0005-0000-0000-000075670000}"/>
    <cellStyle name="Normal 2 3 10 3 2" xfId="26799" xr:uid="{00000000-0005-0000-0000-000076670000}"/>
    <cellStyle name="Normal 2 3 10 3 2 10" xfId="26800" xr:uid="{00000000-0005-0000-0000-000077670000}"/>
    <cellStyle name="Normal 2 3 10 3 2 2" xfId="26801" xr:uid="{00000000-0005-0000-0000-000078670000}"/>
    <cellStyle name="Normal 2 3 10 3 2 2 2" xfId="26802" xr:uid="{00000000-0005-0000-0000-000079670000}"/>
    <cellStyle name="Normal 2 3 10 3 2 2 2 2" xfId="26803" xr:uid="{00000000-0005-0000-0000-00007A670000}"/>
    <cellStyle name="Normal 2 3 10 3 2 2 2 3" xfId="26804" xr:uid="{00000000-0005-0000-0000-00007B670000}"/>
    <cellStyle name="Normal 2 3 10 3 2 2 2 4" xfId="26805" xr:uid="{00000000-0005-0000-0000-00007C670000}"/>
    <cellStyle name="Normal 2 3 10 3 2 2 2 5" xfId="26806" xr:uid="{00000000-0005-0000-0000-00007D670000}"/>
    <cellStyle name="Normal 2 3 10 3 2 2 3" xfId="26807" xr:uid="{00000000-0005-0000-0000-00007E670000}"/>
    <cellStyle name="Normal 2 3 10 3 2 2 4" xfId="26808" xr:uid="{00000000-0005-0000-0000-00007F670000}"/>
    <cellStyle name="Normal 2 3 10 3 2 2 5" xfId="26809" xr:uid="{00000000-0005-0000-0000-000080670000}"/>
    <cellStyle name="Normal 2 3 10 3 2 2 6" xfId="26810" xr:uid="{00000000-0005-0000-0000-000081670000}"/>
    <cellStyle name="Normal 2 3 10 3 2 2 7" xfId="26811" xr:uid="{00000000-0005-0000-0000-000082670000}"/>
    <cellStyle name="Normal 2 3 10 3 2 2 8" xfId="26812" xr:uid="{00000000-0005-0000-0000-000083670000}"/>
    <cellStyle name="Normal 2 3 10 3 2 3" xfId="26813" xr:uid="{00000000-0005-0000-0000-000084670000}"/>
    <cellStyle name="Normal 2 3 10 3 2 3 2" xfId="26814" xr:uid="{00000000-0005-0000-0000-000085670000}"/>
    <cellStyle name="Normal 2 3 10 3 2 3 2 2" xfId="26815" xr:uid="{00000000-0005-0000-0000-000086670000}"/>
    <cellStyle name="Normal 2 3 10 3 2 3 2 3" xfId="26816" xr:uid="{00000000-0005-0000-0000-000087670000}"/>
    <cellStyle name="Normal 2 3 10 3 2 3 2 4" xfId="26817" xr:uid="{00000000-0005-0000-0000-000088670000}"/>
    <cellStyle name="Normal 2 3 10 3 2 3 2 5" xfId="26818" xr:uid="{00000000-0005-0000-0000-000089670000}"/>
    <cellStyle name="Normal 2 3 10 3 2 3 3" xfId="26819" xr:uid="{00000000-0005-0000-0000-00008A670000}"/>
    <cellStyle name="Normal 2 3 10 3 2 3 4" xfId="26820" xr:uid="{00000000-0005-0000-0000-00008B670000}"/>
    <cellStyle name="Normal 2 3 10 3 2 3 5" xfId="26821" xr:uid="{00000000-0005-0000-0000-00008C670000}"/>
    <cellStyle name="Normal 2 3 10 3 2 3 6" xfId="26822" xr:uid="{00000000-0005-0000-0000-00008D670000}"/>
    <cellStyle name="Normal 2 3 10 3 2 3 7" xfId="26823" xr:uid="{00000000-0005-0000-0000-00008E670000}"/>
    <cellStyle name="Normal 2 3 10 3 2 3 8" xfId="26824" xr:uid="{00000000-0005-0000-0000-00008F670000}"/>
    <cellStyle name="Normal 2 3 10 3 2 4" xfId="26825" xr:uid="{00000000-0005-0000-0000-000090670000}"/>
    <cellStyle name="Normal 2 3 10 3 2 4 2" xfId="26826" xr:uid="{00000000-0005-0000-0000-000091670000}"/>
    <cellStyle name="Normal 2 3 10 3 2 4 3" xfId="26827" xr:uid="{00000000-0005-0000-0000-000092670000}"/>
    <cellStyle name="Normal 2 3 10 3 2 4 4" xfId="26828" xr:uid="{00000000-0005-0000-0000-000093670000}"/>
    <cellStyle name="Normal 2 3 10 3 2 4 5" xfId="26829" xr:uid="{00000000-0005-0000-0000-000094670000}"/>
    <cellStyle name="Normal 2 3 10 3 2 5" xfId="26830" xr:uid="{00000000-0005-0000-0000-000095670000}"/>
    <cellStyle name="Normal 2 3 10 3 2 6" xfId="26831" xr:uid="{00000000-0005-0000-0000-000096670000}"/>
    <cellStyle name="Normal 2 3 10 3 2 7" xfId="26832" xr:uid="{00000000-0005-0000-0000-000097670000}"/>
    <cellStyle name="Normal 2 3 10 3 2 8" xfId="26833" xr:uid="{00000000-0005-0000-0000-000098670000}"/>
    <cellStyle name="Normal 2 3 10 3 2 9" xfId="26834" xr:uid="{00000000-0005-0000-0000-000099670000}"/>
    <cellStyle name="Normal 2 3 10 3 3" xfId="26835" xr:uid="{00000000-0005-0000-0000-00009A670000}"/>
    <cellStyle name="Normal 2 3 10 3 3 2" xfId="26836" xr:uid="{00000000-0005-0000-0000-00009B670000}"/>
    <cellStyle name="Normal 2 3 10 3 3 2 2" xfId="26837" xr:uid="{00000000-0005-0000-0000-00009C670000}"/>
    <cellStyle name="Normal 2 3 10 3 3 2 3" xfId="26838" xr:uid="{00000000-0005-0000-0000-00009D670000}"/>
    <cellStyle name="Normal 2 3 10 3 3 2 4" xfId="26839" xr:uid="{00000000-0005-0000-0000-00009E670000}"/>
    <cellStyle name="Normal 2 3 10 3 3 2 5" xfId="26840" xr:uid="{00000000-0005-0000-0000-00009F670000}"/>
    <cellStyle name="Normal 2 3 10 3 3 3" xfId="26841" xr:uid="{00000000-0005-0000-0000-0000A0670000}"/>
    <cellStyle name="Normal 2 3 10 3 3 4" xfId="26842" xr:uid="{00000000-0005-0000-0000-0000A1670000}"/>
    <cellStyle name="Normal 2 3 10 3 3 5" xfId="26843" xr:uid="{00000000-0005-0000-0000-0000A2670000}"/>
    <cellStyle name="Normal 2 3 10 3 3 6" xfId="26844" xr:uid="{00000000-0005-0000-0000-0000A3670000}"/>
    <cellStyle name="Normal 2 3 10 3 3 7" xfId="26845" xr:uid="{00000000-0005-0000-0000-0000A4670000}"/>
    <cellStyle name="Normal 2 3 10 3 3 8" xfId="26846" xr:uid="{00000000-0005-0000-0000-0000A5670000}"/>
    <cellStyle name="Normal 2 3 10 3 4" xfId="26847" xr:uid="{00000000-0005-0000-0000-0000A6670000}"/>
    <cellStyle name="Normal 2 3 10 3 4 2" xfId="26848" xr:uid="{00000000-0005-0000-0000-0000A7670000}"/>
    <cellStyle name="Normal 2 3 10 3 4 2 2" xfId="26849" xr:uid="{00000000-0005-0000-0000-0000A8670000}"/>
    <cellStyle name="Normal 2 3 10 3 4 2 3" xfId="26850" xr:uid="{00000000-0005-0000-0000-0000A9670000}"/>
    <cellStyle name="Normal 2 3 10 3 4 2 4" xfId="26851" xr:uid="{00000000-0005-0000-0000-0000AA670000}"/>
    <cellStyle name="Normal 2 3 10 3 4 2 5" xfId="26852" xr:uid="{00000000-0005-0000-0000-0000AB670000}"/>
    <cellStyle name="Normal 2 3 10 3 4 3" xfId="26853" xr:uid="{00000000-0005-0000-0000-0000AC670000}"/>
    <cellStyle name="Normal 2 3 10 3 4 4" xfId="26854" xr:uid="{00000000-0005-0000-0000-0000AD670000}"/>
    <cellStyle name="Normal 2 3 10 3 4 5" xfId="26855" xr:uid="{00000000-0005-0000-0000-0000AE670000}"/>
    <cellStyle name="Normal 2 3 10 3 4 6" xfId="26856" xr:uid="{00000000-0005-0000-0000-0000AF670000}"/>
    <cellStyle name="Normal 2 3 10 3 4 7" xfId="26857" xr:uid="{00000000-0005-0000-0000-0000B0670000}"/>
    <cellStyle name="Normal 2 3 10 3 4 8" xfId="26858" xr:uid="{00000000-0005-0000-0000-0000B1670000}"/>
    <cellStyle name="Normal 2 3 10 3 5" xfId="26859" xr:uid="{00000000-0005-0000-0000-0000B2670000}"/>
    <cellStyle name="Normal 2 3 10 3 5 2" xfId="26860" xr:uid="{00000000-0005-0000-0000-0000B3670000}"/>
    <cellStyle name="Normal 2 3 10 3 5 3" xfId="26861" xr:uid="{00000000-0005-0000-0000-0000B4670000}"/>
    <cellStyle name="Normal 2 3 10 3 5 4" xfId="26862" xr:uid="{00000000-0005-0000-0000-0000B5670000}"/>
    <cellStyle name="Normal 2 3 10 3 5 5" xfId="26863" xr:uid="{00000000-0005-0000-0000-0000B6670000}"/>
    <cellStyle name="Normal 2 3 10 3 6" xfId="26864" xr:uid="{00000000-0005-0000-0000-0000B7670000}"/>
    <cellStyle name="Normal 2 3 10 3 7" xfId="26865" xr:uid="{00000000-0005-0000-0000-0000B8670000}"/>
    <cellStyle name="Normal 2 3 10 3 8" xfId="26866" xr:uid="{00000000-0005-0000-0000-0000B9670000}"/>
    <cellStyle name="Normal 2 3 10 3 9" xfId="26867" xr:uid="{00000000-0005-0000-0000-0000BA670000}"/>
    <cellStyle name="Normal 2 3 10 4" xfId="26868" xr:uid="{00000000-0005-0000-0000-0000BB670000}"/>
    <cellStyle name="Normal 2 3 10 4 10" xfId="26869" xr:uid="{00000000-0005-0000-0000-0000BC670000}"/>
    <cellStyle name="Normal 2 3 10 4 2" xfId="26870" xr:uid="{00000000-0005-0000-0000-0000BD670000}"/>
    <cellStyle name="Normal 2 3 10 4 2 2" xfId="26871" xr:uid="{00000000-0005-0000-0000-0000BE670000}"/>
    <cellStyle name="Normal 2 3 10 4 2 2 2" xfId="26872" xr:uid="{00000000-0005-0000-0000-0000BF670000}"/>
    <cellStyle name="Normal 2 3 10 4 2 2 3" xfId="26873" xr:uid="{00000000-0005-0000-0000-0000C0670000}"/>
    <cellStyle name="Normal 2 3 10 4 2 2 4" xfId="26874" xr:uid="{00000000-0005-0000-0000-0000C1670000}"/>
    <cellStyle name="Normal 2 3 10 4 2 2 5" xfId="26875" xr:uid="{00000000-0005-0000-0000-0000C2670000}"/>
    <cellStyle name="Normal 2 3 10 4 2 3" xfId="26876" xr:uid="{00000000-0005-0000-0000-0000C3670000}"/>
    <cellStyle name="Normal 2 3 10 4 2 4" xfId="26877" xr:uid="{00000000-0005-0000-0000-0000C4670000}"/>
    <cellStyle name="Normal 2 3 10 4 2 5" xfId="26878" xr:uid="{00000000-0005-0000-0000-0000C5670000}"/>
    <cellStyle name="Normal 2 3 10 4 2 6" xfId="26879" xr:uid="{00000000-0005-0000-0000-0000C6670000}"/>
    <cellStyle name="Normal 2 3 10 4 2 7" xfId="26880" xr:uid="{00000000-0005-0000-0000-0000C7670000}"/>
    <cellStyle name="Normal 2 3 10 4 2 8" xfId="26881" xr:uid="{00000000-0005-0000-0000-0000C8670000}"/>
    <cellStyle name="Normal 2 3 10 4 3" xfId="26882" xr:uid="{00000000-0005-0000-0000-0000C9670000}"/>
    <cellStyle name="Normal 2 3 10 4 3 2" xfId="26883" xr:uid="{00000000-0005-0000-0000-0000CA670000}"/>
    <cellStyle name="Normal 2 3 10 4 3 2 2" xfId="26884" xr:uid="{00000000-0005-0000-0000-0000CB670000}"/>
    <cellStyle name="Normal 2 3 10 4 3 2 3" xfId="26885" xr:uid="{00000000-0005-0000-0000-0000CC670000}"/>
    <cellStyle name="Normal 2 3 10 4 3 2 4" xfId="26886" xr:uid="{00000000-0005-0000-0000-0000CD670000}"/>
    <cellStyle name="Normal 2 3 10 4 3 2 5" xfId="26887" xr:uid="{00000000-0005-0000-0000-0000CE670000}"/>
    <cellStyle name="Normal 2 3 10 4 3 3" xfId="26888" xr:uid="{00000000-0005-0000-0000-0000CF670000}"/>
    <cellStyle name="Normal 2 3 10 4 3 4" xfId="26889" xr:uid="{00000000-0005-0000-0000-0000D0670000}"/>
    <cellStyle name="Normal 2 3 10 4 3 5" xfId="26890" xr:uid="{00000000-0005-0000-0000-0000D1670000}"/>
    <cellStyle name="Normal 2 3 10 4 3 6" xfId="26891" xr:uid="{00000000-0005-0000-0000-0000D2670000}"/>
    <cellStyle name="Normal 2 3 10 4 3 7" xfId="26892" xr:uid="{00000000-0005-0000-0000-0000D3670000}"/>
    <cellStyle name="Normal 2 3 10 4 3 8" xfId="26893" xr:uid="{00000000-0005-0000-0000-0000D4670000}"/>
    <cellStyle name="Normal 2 3 10 4 4" xfId="26894" xr:uid="{00000000-0005-0000-0000-0000D5670000}"/>
    <cellStyle name="Normal 2 3 10 4 4 2" xfId="26895" xr:uid="{00000000-0005-0000-0000-0000D6670000}"/>
    <cellStyle name="Normal 2 3 10 4 4 3" xfId="26896" xr:uid="{00000000-0005-0000-0000-0000D7670000}"/>
    <cellStyle name="Normal 2 3 10 4 4 4" xfId="26897" xr:uid="{00000000-0005-0000-0000-0000D8670000}"/>
    <cellStyle name="Normal 2 3 10 4 4 5" xfId="26898" xr:uid="{00000000-0005-0000-0000-0000D9670000}"/>
    <cellStyle name="Normal 2 3 10 4 5" xfId="26899" xr:uid="{00000000-0005-0000-0000-0000DA670000}"/>
    <cellStyle name="Normal 2 3 10 4 6" xfId="26900" xr:uid="{00000000-0005-0000-0000-0000DB670000}"/>
    <cellStyle name="Normal 2 3 10 4 7" xfId="26901" xr:uid="{00000000-0005-0000-0000-0000DC670000}"/>
    <cellStyle name="Normal 2 3 10 4 8" xfId="26902" xr:uid="{00000000-0005-0000-0000-0000DD670000}"/>
    <cellStyle name="Normal 2 3 10 4 9" xfId="26903" xr:uid="{00000000-0005-0000-0000-0000DE670000}"/>
    <cellStyle name="Normal 2 3 10 5" xfId="26904" xr:uid="{00000000-0005-0000-0000-0000DF670000}"/>
    <cellStyle name="Normal 2 3 10 5 2" xfId="26905" xr:uid="{00000000-0005-0000-0000-0000E0670000}"/>
    <cellStyle name="Normal 2 3 10 5 2 2" xfId="26906" xr:uid="{00000000-0005-0000-0000-0000E1670000}"/>
    <cellStyle name="Normal 2 3 10 5 2 3" xfId="26907" xr:uid="{00000000-0005-0000-0000-0000E2670000}"/>
    <cellStyle name="Normal 2 3 10 5 2 4" xfId="26908" xr:uid="{00000000-0005-0000-0000-0000E3670000}"/>
    <cellStyle name="Normal 2 3 10 5 2 5" xfId="26909" xr:uid="{00000000-0005-0000-0000-0000E4670000}"/>
    <cellStyle name="Normal 2 3 10 5 3" xfId="26910" xr:uid="{00000000-0005-0000-0000-0000E5670000}"/>
    <cellStyle name="Normal 2 3 10 5 4" xfId="26911" xr:uid="{00000000-0005-0000-0000-0000E6670000}"/>
    <cellStyle name="Normal 2 3 10 5 5" xfId="26912" xr:uid="{00000000-0005-0000-0000-0000E7670000}"/>
    <cellStyle name="Normal 2 3 10 5 6" xfId="26913" xr:uid="{00000000-0005-0000-0000-0000E8670000}"/>
    <cellStyle name="Normal 2 3 10 5 7" xfId="26914" xr:uid="{00000000-0005-0000-0000-0000E9670000}"/>
    <cellStyle name="Normal 2 3 10 5 8" xfId="26915" xr:uid="{00000000-0005-0000-0000-0000EA670000}"/>
    <cellStyle name="Normal 2 3 10 6" xfId="26916" xr:uid="{00000000-0005-0000-0000-0000EB670000}"/>
    <cellStyle name="Normal 2 3 10 6 2" xfId="26917" xr:uid="{00000000-0005-0000-0000-0000EC670000}"/>
    <cellStyle name="Normal 2 3 10 6 2 2" xfId="26918" xr:uid="{00000000-0005-0000-0000-0000ED670000}"/>
    <cellStyle name="Normal 2 3 10 6 2 3" xfId="26919" xr:uid="{00000000-0005-0000-0000-0000EE670000}"/>
    <cellStyle name="Normal 2 3 10 6 2 4" xfId="26920" xr:uid="{00000000-0005-0000-0000-0000EF670000}"/>
    <cellStyle name="Normal 2 3 10 6 2 5" xfId="26921" xr:uid="{00000000-0005-0000-0000-0000F0670000}"/>
    <cellStyle name="Normal 2 3 10 6 3" xfId="26922" xr:uid="{00000000-0005-0000-0000-0000F1670000}"/>
    <cellStyle name="Normal 2 3 10 6 4" xfId="26923" xr:uid="{00000000-0005-0000-0000-0000F2670000}"/>
    <cellStyle name="Normal 2 3 10 6 5" xfId="26924" xr:uid="{00000000-0005-0000-0000-0000F3670000}"/>
    <cellStyle name="Normal 2 3 10 6 6" xfId="26925" xr:uid="{00000000-0005-0000-0000-0000F4670000}"/>
    <cellStyle name="Normal 2 3 10 6 7" xfId="26926" xr:uid="{00000000-0005-0000-0000-0000F5670000}"/>
    <cellStyle name="Normal 2 3 10 6 8" xfId="26927" xr:uid="{00000000-0005-0000-0000-0000F6670000}"/>
    <cellStyle name="Normal 2 3 10 7" xfId="26928" xr:uid="{00000000-0005-0000-0000-0000F7670000}"/>
    <cellStyle name="Normal 2 3 10 7 2" xfId="26929" xr:uid="{00000000-0005-0000-0000-0000F8670000}"/>
    <cellStyle name="Normal 2 3 10 7 3" xfId="26930" xr:uid="{00000000-0005-0000-0000-0000F9670000}"/>
    <cellStyle name="Normal 2 3 10 7 4" xfId="26931" xr:uid="{00000000-0005-0000-0000-0000FA670000}"/>
    <cellStyle name="Normal 2 3 10 7 5" xfId="26932" xr:uid="{00000000-0005-0000-0000-0000FB670000}"/>
    <cellStyle name="Normal 2 3 10 8" xfId="26933" xr:uid="{00000000-0005-0000-0000-0000FC670000}"/>
    <cellStyle name="Normal 2 3 10 9" xfId="26934" xr:uid="{00000000-0005-0000-0000-0000FD670000}"/>
    <cellStyle name="Normal 2 3 11" xfId="26935" xr:uid="{00000000-0005-0000-0000-0000FE670000}"/>
    <cellStyle name="Normal 2 3 11 10" xfId="26936" xr:uid="{00000000-0005-0000-0000-0000FF670000}"/>
    <cellStyle name="Normal 2 3 11 11" xfId="26937" xr:uid="{00000000-0005-0000-0000-000000680000}"/>
    <cellStyle name="Normal 2 3 11 2" xfId="26938" xr:uid="{00000000-0005-0000-0000-000001680000}"/>
    <cellStyle name="Normal 2 3 11 2 10" xfId="26939" xr:uid="{00000000-0005-0000-0000-000002680000}"/>
    <cellStyle name="Normal 2 3 11 2 2" xfId="26940" xr:uid="{00000000-0005-0000-0000-000003680000}"/>
    <cellStyle name="Normal 2 3 11 2 2 2" xfId="26941" xr:uid="{00000000-0005-0000-0000-000004680000}"/>
    <cellStyle name="Normal 2 3 11 2 2 2 2" xfId="26942" xr:uid="{00000000-0005-0000-0000-000005680000}"/>
    <cellStyle name="Normal 2 3 11 2 2 2 3" xfId="26943" xr:uid="{00000000-0005-0000-0000-000006680000}"/>
    <cellStyle name="Normal 2 3 11 2 2 2 4" xfId="26944" xr:uid="{00000000-0005-0000-0000-000007680000}"/>
    <cellStyle name="Normal 2 3 11 2 2 2 5" xfId="26945" xr:uid="{00000000-0005-0000-0000-000008680000}"/>
    <cellStyle name="Normal 2 3 11 2 2 3" xfId="26946" xr:uid="{00000000-0005-0000-0000-000009680000}"/>
    <cellStyle name="Normal 2 3 11 2 2 4" xfId="26947" xr:uid="{00000000-0005-0000-0000-00000A680000}"/>
    <cellStyle name="Normal 2 3 11 2 2 5" xfId="26948" xr:uid="{00000000-0005-0000-0000-00000B680000}"/>
    <cellStyle name="Normal 2 3 11 2 2 6" xfId="26949" xr:uid="{00000000-0005-0000-0000-00000C680000}"/>
    <cellStyle name="Normal 2 3 11 2 2 7" xfId="26950" xr:uid="{00000000-0005-0000-0000-00000D680000}"/>
    <cellStyle name="Normal 2 3 11 2 2 8" xfId="26951" xr:uid="{00000000-0005-0000-0000-00000E680000}"/>
    <cellStyle name="Normal 2 3 11 2 3" xfId="26952" xr:uid="{00000000-0005-0000-0000-00000F680000}"/>
    <cellStyle name="Normal 2 3 11 2 3 2" xfId="26953" xr:uid="{00000000-0005-0000-0000-000010680000}"/>
    <cellStyle name="Normal 2 3 11 2 3 2 2" xfId="26954" xr:uid="{00000000-0005-0000-0000-000011680000}"/>
    <cellStyle name="Normal 2 3 11 2 3 2 3" xfId="26955" xr:uid="{00000000-0005-0000-0000-000012680000}"/>
    <cellStyle name="Normal 2 3 11 2 3 2 4" xfId="26956" xr:uid="{00000000-0005-0000-0000-000013680000}"/>
    <cellStyle name="Normal 2 3 11 2 3 2 5" xfId="26957" xr:uid="{00000000-0005-0000-0000-000014680000}"/>
    <cellStyle name="Normal 2 3 11 2 3 3" xfId="26958" xr:uid="{00000000-0005-0000-0000-000015680000}"/>
    <cellStyle name="Normal 2 3 11 2 3 4" xfId="26959" xr:uid="{00000000-0005-0000-0000-000016680000}"/>
    <cellStyle name="Normal 2 3 11 2 3 5" xfId="26960" xr:uid="{00000000-0005-0000-0000-000017680000}"/>
    <cellStyle name="Normal 2 3 11 2 3 6" xfId="26961" xr:uid="{00000000-0005-0000-0000-000018680000}"/>
    <cellStyle name="Normal 2 3 11 2 3 7" xfId="26962" xr:uid="{00000000-0005-0000-0000-000019680000}"/>
    <cellStyle name="Normal 2 3 11 2 3 8" xfId="26963" xr:uid="{00000000-0005-0000-0000-00001A680000}"/>
    <cellStyle name="Normal 2 3 11 2 4" xfId="26964" xr:uid="{00000000-0005-0000-0000-00001B680000}"/>
    <cellStyle name="Normal 2 3 11 2 4 2" xfId="26965" xr:uid="{00000000-0005-0000-0000-00001C680000}"/>
    <cellStyle name="Normal 2 3 11 2 4 3" xfId="26966" xr:uid="{00000000-0005-0000-0000-00001D680000}"/>
    <cellStyle name="Normal 2 3 11 2 4 4" xfId="26967" xr:uid="{00000000-0005-0000-0000-00001E680000}"/>
    <cellStyle name="Normal 2 3 11 2 4 5" xfId="26968" xr:uid="{00000000-0005-0000-0000-00001F680000}"/>
    <cellStyle name="Normal 2 3 11 2 5" xfId="26969" xr:uid="{00000000-0005-0000-0000-000020680000}"/>
    <cellStyle name="Normal 2 3 11 2 6" xfId="26970" xr:uid="{00000000-0005-0000-0000-000021680000}"/>
    <cellStyle name="Normal 2 3 11 2 7" xfId="26971" xr:uid="{00000000-0005-0000-0000-000022680000}"/>
    <cellStyle name="Normal 2 3 11 2 8" xfId="26972" xr:uid="{00000000-0005-0000-0000-000023680000}"/>
    <cellStyle name="Normal 2 3 11 2 9" xfId="26973" xr:uid="{00000000-0005-0000-0000-000024680000}"/>
    <cellStyle name="Normal 2 3 11 3" xfId="26974" xr:uid="{00000000-0005-0000-0000-000025680000}"/>
    <cellStyle name="Normal 2 3 11 3 2" xfId="26975" xr:uid="{00000000-0005-0000-0000-000026680000}"/>
    <cellStyle name="Normal 2 3 11 3 2 2" xfId="26976" xr:uid="{00000000-0005-0000-0000-000027680000}"/>
    <cellStyle name="Normal 2 3 11 3 2 3" xfId="26977" xr:uid="{00000000-0005-0000-0000-000028680000}"/>
    <cellStyle name="Normal 2 3 11 3 2 4" xfId="26978" xr:uid="{00000000-0005-0000-0000-000029680000}"/>
    <cellStyle name="Normal 2 3 11 3 2 5" xfId="26979" xr:uid="{00000000-0005-0000-0000-00002A680000}"/>
    <cellStyle name="Normal 2 3 11 3 3" xfId="26980" xr:uid="{00000000-0005-0000-0000-00002B680000}"/>
    <cellStyle name="Normal 2 3 11 3 4" xfId="26981" xr:uid="{00000000-0005-0000-0000-00002C680000}"/>
    <cellStyle name="Normal 2 3 11 3 5" xfId="26982" xr:uid="{00000000-0005-0000-0000-00002D680000}"/>
    <cellStyle name="Normal 2 3 11 3 6" xfId="26983" xr:uid="{00000000-0005-0000-0000-00002E680000}"/>
    <cellStyle name="Normal 2 3 11 3 7" xfId="26984" xr:uid="{00000000-0005-0000-0000-00002F680000}"/>
    <cellStyle name="Normal 2 3 11 3 8" xfId="26985" xr:uid="{00000000-0005-0000-0000-000030680000}"/>
    <cellStyle name="Normal 2 3 11 4" xfId="26986" xr:uid="{00000000-0005-0000-0000-000031680000}"/>
    <cellStyle name="Normal 2 3 11 4 2" xfId="26987" xr:uid="{00000000-0005-0000-0000-000032680000}"/>
    <cellStyle name="Normal 2 3 11 4 2 2" xfId="26988" xr:uid="{00000000-0005-0000-0000-000033680000}"/>
    <cellStyle name="Normal 2 3 11 4 2 3" xfId="26989" xr:uid="{00000000-0005-0000-0000-000034680000}"/>
    <cellStyle name="Normal 2 3 11 4 2 4" xfId="26990" xr:uid="{00000000-0005-0000-0000-000035680000}"/>
    <cellStyle name="Normal 2 3 11 4 2 5" xfId="26991" xr:uid="{00000000-0005-0000-0000-000036680000}"/>
    <cellStyle name="Normal 2 3 11 4 3" xfId="26992" xr:uid="{00000000-0005-0000-0000-000037680000}"/>
    <cellStyle name="Normal 2 3 11 4 4" xfId="26993" xr:uid="{00000000-0005-0000-0000-000038680000}"/>
    <cellStyle name="Normal 2 3 11 4 5" xfId="26994" xr:uid="{00000000-0005-0000-0000-000039680000}"/>
    <cellStyle name="Normal 2 3 11 4 6" xfId="26995" xr:uid="{00000000-0005-0000-0000-00003A680000}"/>
    <cellStyle name="Normal 2 3 11 4 7" xfId="26996" xr:uid="{00000000-0005-0000-0000-00003B680000}"/>
    <cellStyle name="Normal 2 3 11 4 8" xfId="26997" xr:uid="{00000000-0005-0000-0000-00003C680000}"/>
    <cellStyle name="Normal 2 3 11 5" xfId="26998" xr:uid="{00000000-0005-0000-0000-00003D680000}"/>
    <cellStyle name="Normal 2 3 11 5 2" xfId="26999" xr:uid="{00000000-0005-0000-0000-00003E680000}"/>
    <cellStyle name="Normal 2 3 11 5 3" xfId="27000" xr:uid="{00000000-0005-0000-0000-00003F680000}"/>
    <cellStyle name="Normal 2 3 11 5 4" xfId="27001" xr:uid="{00000000-0005-0000-0000-000040680000}"/>
    <cellStyle name="Normal 2 3 11 5 5" xfId="27002" xr:uid="{00000000-0005-0000-0000-000041680000}"/>
    <cellStyle name="Normal 2 3 11 6" xfId="27003" xr:uid="{00000000-0005-0000-0000-000042680000}"/>
    <cellStyle name="Normal 2 3 11 7" xfId="27004" xr:uid="{00000000-0005-0000-0000-000043680000}"/>
    <cellStyle name="Normal 2 3 11 8" xfId="27005" xr:uid="{00000000-0005-0000-0000-000044680000}"/>
    <cellStyle name="Normal 2 3 11 9" xfId="27006" xr:uid="{00000000-0005-0000-0000-000045680000}"/>
    <cellStyle name="Normal 2 3 12" xfId="27007" xr:uid="{00000000-0005-0000-0000-000046680000}"/>
    <cellStyle name="Normal 2 3 12 10" xfId="27008" xr:uid="{00000000-0005-0000-0000-000047680000}"/>
    <cellStyle name="Normal 2 3 12 11" xfId="27009" xr:uid="{00000000-0005-0000-0000-000048680000}"/>
    <cellStyle name="Normal 2 3 12 2" xfId="27010" xr:uid="{00000000-0005-0000-0000-000049680000}"/>
    <cellStyle name="Normal 2 3 12 2 10" xfId="27011" xr:uid="{00000000-0005-0000-0000-00004A680000}"/>
    <cellStyle name="Normal 2 3 12 2 2" xfId="27012" xr:uid="{00000000-0005-0000-0000-00004B680000}"/>
    <cellStyle name="Normal 2 3 12 2 2 2" xfId="27013" xr:uid="{00000000-0005-0000-0000-00004C680000}"/>
    <cellStyle name="Normal 2 3 12 2 2 2 2" xfId="27014" xr:uid="{00000000-0005-0000-0000-00004D680000}"/>
    <cellStyle name="Normal 2 3 12 2 2 2 3" xfId="27015" xr:uid="{00000000-0005-0000-0000-00004E680000}"/>
    <cellStyle name="Normal 2 3 12 2 2 2 4" xfId="27016" xr:uid="{00000000-0005-0000-0000-00004F680000}"/>
    <cellStyle name="Normal 2 3 12 2 2 2 5" xfId="27017" xr:uid="{00000000-0005-0000-0000-000050680000}"/>
    <cellStyle name="Normal 2 3 12 2 2 3" xfId="27018" xr:uid="{00000000-0005-0000-0000-000051680000}"/>
    <cellStyle name="Normal 2 3 12 2 2 4" xfId="27019" xr:uid="{00000000-0005-0000-0000-000052680000}"/>
    <cellStyle name="Normal 2 3 12 2 2 5" xfId="27020" xr:uid="{00000000-0005-0000-0000-000053680000}"/>
    <cellStyle name="Normal 2 3 12 2 2 6" xfId="27021" xr:uid="{00000000-0005-0000-0000-000054680000}"/>
    <cellStyle name="Normal 2 3 12 2 2 7" xfId="27022" xr:uid="{00000000-0005-0000-0000-000055680000}"/>
    <cellStyle name="Normal 2 3 12 2 2 8" xfId="27023" xr:uid="{00000000-0005-0000-0000-000056680000}"/>
    <cellStyle name="Normal 2 3 12 2 3" xfId="27024" xr:uid="{00000000-0005-0000-0000-000057680000}"/>
    <cellStyle name="Normal 2 3 12 2 3 2" xfId="27025" xr:uid="{00000000-0005-0000-0000-000058680000}"/>
    <cellStyle name="Normal 2 3 12 2 3 2 2" xfId="27026" xr:uid="{00000000-0005-0000-0000-000059680000}"/>
    <cellStyle name="Normal 2 3 12 2 3 2 3" xfId="27027" xr:uid="{00000000-0005-0000-0000-00005A680000}"/>
    <cellStyle name="Normal 2 3 12 2 3 2 4" xfId="27028" xr:uid="{00000000-0005-0000-0000-00005B680000}"/>
    <cellStyle name="Normal 2 3 12 2 3 2 5" xfId="27029" xr:uid="{00000000-0005-0000-0000-00005C680000}"/>
    <cellStyle name="Normal 2 3 12 2 3 3" xfId="27030" xr:uid="{00000000-0005-0000-0000-00005D680000}"/>
    <cellStyle name="Normal 2 3 12 2 3 4" xfId="27031" xr:uid="{00000000-0005-0000-0000-00005E680000}"/>
    <cellStyle name="Normal 2 3 12 2 3 5" xfId="27032" xr:uid="{00000000-0005-0000-0000-00005F680000}"/>
    <cellStyle name="Normal 2 3 12 2 3 6" xfId="27033" xr:uid="{00000000-0005-0000-0000-000060680000}"/>
    <cellStyle name="Normal 2 3 12 2 3 7" xfId="27034" xr:uid="{00000000-0005-0000-0000-000061680000}"/>
    <cellStyle name="Normal 2 3 12 2 3 8" xfId="27035" xr:uid="{00000000-0005-0000-0000-000062680000}"/>
    <cellStyle name="Normal 2 3 12 2 4" xfId="27036" xr:uid="{00000000-0005-0000-0000-000063680000}"/>
    <cellStyle name="Normal 2 3 12 2 4 2" xfId="27037" xr:uid="{00000000-0005-0000-0000-000064680000}"/>
    <cellStyle name="Normal 2 3 12 2 4 3" xfId="27038" xr:uid="{00000000-0005-0000-0000-000065680000}"/>
    <cellStyle name="Normal 2 3 12 2 4 4" xfId="27039" xr:uid="{00000000-0005-0000-0000-000066680000}"/>
    <cellStyle name="Normal 2 3 12 2 4 5" xfId="27040" xr:uid="{00000000-0005-0000-0000-000067680000}"/>
    <cellStyle name="Normal 2 3 12 2 5" xfId="27041" xr:uid="{00000000-0005-0000-0000-000068680000}"/>
    <cellStyle name="Normal 2 3 12 2 6" xfId="27042" xr:uid="{00000000-0005-0000-0000-000069680000}"/>
    <cellStyle name="Normal 2 3 12 2 7" xfId="27043" xr:uid="{00000000-0005-0000-0000-00006A680000}"/>
    <cellStyle name="Normal 2 3 12 2 8" xfId="27044" xr:uid="{00000000-0005-0000-0000-00006B680000}"/>
    <cellStyle name="Normal 2 3 12 2 9" xfId="27045" xr:uid="{00000000-0005-0000-0000-00006C680000}"/>
    <cellStyle name="Normal 2 3 12 3" xfId="27046" xr:uid="{00000000-0005-0000-0000-00006D680000}"/>
    <cellStyle name="Normal 2 3 12 3 2" xfId="27047" xr:uid="{00000000-0005-0000-0000-00006E680000}"/>
    <cellStyle name="Normal 2 3 12 3 2 2" xfId="27048" xr:uid="{00000000-0005-0000-0000-00006F680000}"/>
    <cellStyle name="Normal 2 3 12 3 2 3" xfId="27049" xr:uid="{00000000-0005-0000-0000-000070680000}"/>
    <cellStyle name="Normal 2 3 12 3 2 4" xfId="27050" xr:uid="{00000000-0005-0000-0000-000071680000}"/>
    <cellStyle name="Normal 2 3 12 3 2 5" xfId="27051" xr:uid="{00000000-0005-0000-0000-000072680000}"/>
    <cellStyle name="Normal 2 3 12 3 3" xfId="27052" xr:uid="{00000000-0005-0000-0000-000073680000}"/>
    <cellStyle name="Normal 2 3 12 3 4" xfId="27053" xr:uid="{00000000-0005-0000-0000-000074680000}"/>
    <cellStyle name="Normal 2 3 12 3 5" xfId="27054" xr:uid="{00000000-0005-0000-0000-000075680000}"/>
    <cellStyle name="Normal 2 3 12 3 6" xfId="27055" xr:uid="{00000000-0005-0000-0000-000076680000}"/>
    <cellStyle name="Normal 2 3 12 3 7" xfId="27056" xr:uid="{00000000-0005-0000-0000-000077680000}"/>
    <cellStyle name="Normal 2 3 12 3 8" xfId="27057" xr:uid="{00000000-0005-0000-0000-000078680000}"/>
    <cellStyle name="Normal 2 3 12 4" xfId="27058" xr:uid="{00000000-0005-0000-0000-000079680000}"/>
    <cellStyle name="Normal 2 3 12 4 2" xfId="27059" xr:uid="{00000000-0005-0000-0000-00007A680000}"/>
    <cellStyle name="Normal 2 3 12 4 2 2" xfId="27060" xr:uid="{00000000-0005-0000-0000-00007B680000}"/>
    <cellStyle name="Normal 2 3 12 4 2 3" xfId="27061" xr:uid="{00000000-0005-0000-0000-00007C680000}"/>
    <cellStyle name="Normal 2 3 12 4 2 4" xfId="27062" xr:uid="{00000000-0005-0000-0000-00007D680000}"/>
    <cellStyle name="Normal 2 3 12 4 2 5" xfId="27063" xr:uid="{00000000-0005-0000-0000-00007E680000}"/>
    <cellStyle name="Normal 2 3 12 4 3" xfId="27064" xr:uid="{00000000-0005-0000-0000-00007F680000}"/>
    <cellStyle name="Normal 2 3 12 4 4" xfId="27065" xr:uid="{00000000-0005-0000-0000-000080680000}"/>
    <cellStyle name="Normal 2 3 12 4 5" xfId="27066" xr:uid="{00000000-0005-0000-0000-000081680000}"/>
    <cellStyle name="Normal 2 3 12 4 6" xfId="27067" xr:uid="{00000000-0005-0000-0000-000082680000}"/>
    <cellStyle name="Normal 2 3 12 4 7" xfId="27068" xr:uid="{00000000-0005-0000-0000-000083680000}"/>
    <cellStyle name="Normal 2 3 12 4 8" xfId="27069" xr:uid="{00000000-0005-0000-0000-000084680000}"/>
    <cellStyle name="Normal 2 3 12 5" xfId="27070" xr:uid="{00000000-0005-0000-0000-000085680000}"/>
    <cellStyle name="Normal 2 3 12 5 2" xfId="27071" xr:uid="{00000000-0005-0000-0000-000086680000}"/>
    <cellStyle name="Normal 2 3 12 5 3" xfId="27072" xr:uid="{00000000-0005-0000-0000-000087680000}"/>
    <cellStyle name="Normal 2 3 12 5 4" xfId="27073" xr:uid="{00000000-0005-0000-0000-000088680000}"/>
    <cellStyle name="Normal 2 3 12 5 5" xfId="27074" xr:uid="{00000000-0005-0000-0000-000089680000}"/>
    <cellStyle name="Normal 2 3 12 6" xfId="27075" xr:uid="{00000000-0005-0000-0000-00008A680000}"/>
    <cellStyle name="Normal 2 3 12 7" xfId="27076" xr:uid="{00000000-0005-0000-0000-00008B680000}"/>
    <cellStyle name="Normal 2 3 12 8" xfId="27077" xr:uid="{00000000-0005-0000-0000-00008C680000}"/>
    <cellStyle name="Normal 2 3 12 9" xfId="27078" xr:uid="{00000000-0005-0000-0000-00008D680000}"/>
    <cellStyle name="Normal 2 3 13" xfId="27079" xr:uid="{00000000-0005-0000-0000-00008E680000}"/>
    <cellStyle name="Normal 2 3 13 10" xfId="27080" xr:uid="{00000000-0005-0000-0000-00008F680000}"/>
    <cellStyle name="Normal 2 3 13 2" xfId="27081" xr:uid="{00000000-0005-0000-0000-000090680000}"/>
    <cellStyle name="Normal 2 3 13 2 2" xfId="27082" xr:uid="{00000000-0005-0000-0000-000091680000}"/>
    <cellStyle name="Normal 2 3 13 2 2 2" xfId="27083" xr:uid="{00000000-0005-0000-0000-000092680000}"/>
    <cellStyle name="Normal 2 3 13 2 2 3" xfId="27084" xr:uid="{00000000-0005-0000-0000-000093680000}"/>
    <cellStyle name="Normal 2 3 13 2 2 4" xfId="27085" xr:uid="{00000000-0005-0000-0000-000094680000}"/>
    <cellStyle name="Normal 2 3 13 2 2 5" xfId="27086" xr:uid="{00000000-0005-0000-0000-000095680000}"/>
    <cellStyle name="Normal 2 3 13 2 3" xfId="27087" xr:uid="{00000000-0005-0000-0000-000096680000}"/>
    <cellStyle name="Normal 2 3 13 2 4" xfId="27088" xr:uid="{00000000-0005-0000-0000-000097680000}"/>
    <cellStyle name="Normal 2 3 13 2 5" xfId="27089" xr:uid="{00000000-0005-0000-0000-000098680000}"/>
    <cellStyle name="Normal 2 3 13 2 6" xfId="27090" xr:uid="{00000000-0005-0000-0000-000099680000}"/>
    <cellStyle name="Normal 2 3 13 2 7" xfId="27091" xr:uid="{00000000-0005-0000-0000-00009A680000}"/>
    <cellStyle name="Normal 2 3 13 2 8" xfId="27092" xr:uid="{00000000-0005-0000-0000-00009B680000}"/>
    <cellStyle name="Normal 2 3 13 3" xfId="27093" xr:uid="{00000000-0005-0000-0000-00009C680000}"/>
    <cellStyle name="Normal 2 3 13 3 2" xfId="27094" xr:uid="{00000000-0005-0000-0000-00009D680000}"/>
    <cellStyle name="Normal 2 3 13 3 2 2" xfId="27095" xr:uid="{00000000-0005-0000-0000-00009E680000}"/>
    <cellStyle name="Normal 2 3 13 3 2 3" xfId="27096" xr:uid="{00000000-0005-0000-0000-00009F680000}"/>
    <cellStyle name="Normal 2 3 13 3 2 4" xfId="27097" xr:uid="{00000000-0005-0000-0000-0000A0680000}"/>
    <cellStyle name="Normal 2 3 13 3 2 5" xfId="27098" xr:uid="{00000000-0005-0000-0000-0000A1680000}"/>
    <cellStyle name="Normal 2 3 13 3 3" xfId="27099" xr:uid="{00000000-0005-0000-0000-0000A2680000}"/>
    <cellStyle name="Normal 2 3 13 3 4" xfId="27100" xr:uid="{00000000-0005-0000-0000-0000A3680000}"/>
    <cellStyle name="Normal 2 3 13 3 5" xfId="27101" xr:uid="{00000000-0005-0000-0000-0000A4680000}"/>
    <cellStyle name="Normal 2 3 13 3 6" xfId="27102" xr:uid="{00000000-0005-0000-0000-0000A5680000}"/>
    <cellStyle name="Normal 2 3 13 3 7" xfId="27103" xr:uid="{00000000-0005-0000-0000-0000A6680000}"/>
    <cellStyle name="Normal 2 3 13 3 8" xfId="27104" xr:uid="{00000000-0005-0000-0000-0000A7680000}"/>
    <cellStyle name="Normal 2 3 13 4" xfId="27105" xr:uid="{00000000-0005-0000-0000-0000A8680000}"/>
    <cellStyle name="Normal 2 3 13 4 2" xfId="27106" xr:uid="{00000000-0005-0000-0000-0000A9680000}"/>
    <cellStyle name="Normal 2 3 13 4 3" xfId="27107" xr:uid="{00000000-0005-0000-0000-0000AA680000}"/>
    <cellStyle name="Normal 2 3 13 4 4" xfId="27108" xr:uid="{00000000-0005-0000-0000-0000AB680000}"/>
    <cellStyle name="Normal 2 3 13 4 5" xfId="27109" xr:uid="{00000000-0005-0000-0000-0000AC680000}"/>
    <cellStyle name="Normal 2 3 13 5" xfId="27110" xr:uid="{00000000-0005-0000-0000-0000AD680000}"/>
    <cellStyle name="Normal 2 3 13 6" xfId="27111" xr:uid="{00000000-0005-0000-0000-0000AE680000}"/>
    <cellStyle name="Normal 2 3 13 7" xfId="27112" xr:uid="{00000000-0005-0000-0000-0000AF680000}"/>
    <cellStyle name="Normal 2 3 13 8" xfId="27113" xr:uid="{00000000-0005-0000-0000-0000B0680000}"/>
    <cellStyle name="Normal 2 3 13 9" xfId="27114" xr:uid="{00000000-0005-0000-0000-0000B1680000}"/>
    <cellStyle name="Normal 2 3 14" xfId="27115" xr:uid="{00000000-0005-0000-0000-0000B2680000}"/>
    <cellStyle name="Normal 2 3 14 2" xfId="27116" xr:uid="{00000000-0005-0000-0000-0000B3680000}"/>
    <cellStyle name="Normal 2 3 14 2 2" xfId="27117" xr:uid="{00000000-0005-0000-0000-0000B4680000}"/>
    <cellStyle name="Normal 2 3 14 2 3" xfId="27118" xr:uid="{00000000-0005-0000-0000-0000B5680000}"/>
    <cellStyle name="Normal 2 3 14 2 4" xfId="27119" xr:uid="{00000000-0005-0000-0000-0000B6680000}"/>
    <cellStyle name="Normal 2 3 14 2 5" xfId="27120" xr:uid="{00000000-0005-0000-0000-0000B7680000}"/>
    <cellStyle name="Normal 2 3 14 3" xfId="27121" xr:uid="{00000000-0005-0000-0000-0000B8680000}"/>
    <cellStyle name="Normal 2 3 14 4" xfId="27122" xr:uid="{00000000-0005-0000-0000-0000B9680000}"/>
    <cellStyle name="Normal 2 3 14 5" xfId="27123" xr:uid="{00000000-0005-0000-0000-0000BA680000}"/>
    <cellStyle name="Normal 2 3 14 6" xfId="27124" xr:uid="{00000000-0005-0000-0000-0000BB680000}"/>
    <cellStyle name="Normal 2 3 14 7" xfId="27125" xr:uid="{00000000-0005-0000-0000-0000BC680000}"/>
    <cellStyle name="Normal 2 3 14 8" xfId="27126" xr:uid="{00000000-0005-0000-0000-0000BD680000}"/>
    <cellStyle name="Normal 2 3 15" xfId="27127" xr:uid="{00000000-0005-0000-0000-0000BE680000}"/>
    <cellStyle name="Normal 2 3 15 2" xfId="27128" xr:uid="{00000000-0005-0000-0000-0000BF680000}"/>
    <cellStyle name="Normal 2 3 15 2 2" xfId="27129" xr:uid="{00000000-0005-0000-0000-0000C0680000}"/>
    <cellStyle name="Normal 2 3 15 2 3" xfId="27130" xr:uid="{00000000-0005-0000-0000-0000C1680000}"/>
    <cellStyle name="Normal 2 3 15 2 4" xfId="27131" xr:uid="{00000000-0005-0000-0000-0000C2680000}"/>
    <cellStyle name="Normal 2 3 15 2 5" xfId="27132" xr:uid="{00000000-0005-0000-0000-0000C3680000}"/>
    <cellStyle name="Normal 2 3 15 3" xfId="27133" xr:uid="{00000000-0005-0000-0000-0000C4680000}"/>
    <cellStyle name="Normal 2 3 15 4" xfId="27134" xr:uid="{00000000-0005-0000-0000-0000C5680000}"/>
    <cellStyle name="Normal 2 3 15 5" xfId="27135" xr:uid="{00000000-0005-0000-0000-0000C6680000}"/>
    <cellStyle name="Normal 2 3 15 6" xfId="27136" xr:uid="{00000000-0005-0000-0000-0000C7680000}"/>
    <cellStyle name="Normal 2 3 15 7" xfId="27137" xr:uid="{00000000-0005-0000-0000-0000C8680000}"/>
    <cellStyle name="Normal 2 3 15 8" xfId="27138" xr:uid="{00000000-0005-0000-0000-0000C9680000}"/>
    <cellStyle name="Normal 2 3 16" xfId="27139" xr:uid="{00000000-0005-0000-0000-0000CA680000}"/>
    <cellStyle name="Normal 2 3 16 2" xfId="27140" xr:uid="{00000000-0005-0000-0000-0000CB680000}"/>
    <cellStyle name="Normal 2 3 16 3" xfId="27141" xr:uid="{00000000-0005-0000-0000-0000CC680000}"/>
    <cellStyle name="Normal 2 3 16 4" xfId="27142" xr:uid="{00000000-0005-0000-0000-0000CD680000}"/>
    <cellStyle name="Normal 2 3 16 5" xfId="27143" xr:uid="{00000000-0005-0000-0000-0000CE680000}"/>
    <cellStyle name="Normal 2 3 17" xfId="27144" xr:uid="{00000000-0005-0000-0000-0000CF680000}"/>
    <cellStyle name="Normal 2 3 18" xfId="27145" xr:uid="{00000000-0005-0000-0000-0000D0680000}"/>
    <cellStyle name="Normal 2 3 19" xfId="27146" xr:uid="{00000000-0005-0000-0000-0000D1680000}"/>
    <cellStyle name="Normal 2 3 2" xfId="867" xr:uid="{00000000-0005-0000-0000-0000D2680000}"/>
    <cellStyle name="Normal 2 3 2 10" xfId="27147" xr:uid="{00000000-0005-0000-0000-0000D3680000}"/>
    <cellStyle name="Normal 2 3 2 10 10" xfId="27148" xr:uid="{00000000-0005-0000-0000-0000D4680000}"/>
    <cellStyle name="Normal 2 3 2 10 11" xfId="27149" xr:uid="{00000000-0005-0000-0000-0000D5680000}"/>
    <cellStyle name="Normal 2 3 2 10 2" xfId="27150" xr:uid="{00000000-0005-0000-0000-0000D6680000}"/>
    <cellStyle name="Normal 2 3 2 10 2 10" xfId="27151" xr:uid="{00000000-0005-0000-0000-0000D7680000}"/>
    <cellStyle name="Normal 2 3 2 10 2 2" xfId="27152" xr:uid="{00000000-0005-0000-0000-0000D8680000}"/>
    <cellStyle name="Normal 2 3 2 10 2 2 2" xfId="27153" xr:uid="{00000000-0005-0000-0000-0000D9680000}"/>
    <cellStyle name="Normal 2 3 2 10 2 2 2 2" xfId="27154" xr:uid="{00000000-0005-0000-0000-0000DA680000}"/>
    <cellStyle name="Normal 2 3 2 10 2 2 2 3" xfId="27155" xr:uid="{00000000-0005-0000-0000-0000DB680000}"/>
    <cellStyle name="Normal 2 3 2 10 2 2 2 4" xfId="27156" xr:uid="{00000000-0005-0000-0000-0000DC680000}"/>
    <cellStyle name="Normal 2 3 2 10 2 2 2 5" xfId="27157" xr:uid="{00000000-0005-0000-0000-0000DD680000}"/>
    <cellStyle name="Normal 2 3 2 10 2 2 3" xfId="27158" xr:uid="{00000000-0005-0000-0000-0000DE680000}"/>
    <cellStyle name="Normal 2 3 2 10 2 2 4" xfId="27159" xr:uid="{00000000-0005-0000-0000-0000DF680000}"/>
    <cellStyle name="Normal 2 3 2 10 2 2 5" xfId="27160" xr:uid="{00000000-0005-0000-0000-0000E0680000}"/>
    <cellStyle name="Normal 2 3 2 10 2 2 6" xfId="27161" xr:uid="{00000000-0005-0000-0000-0000E1680000}"/>
    <cellStyle name="Normal 2 3 2 10 2 2 7" xfId="27162" xr:uid="{00000000-0005-0000-0000-0000E2680000}"/>
    <cellStyle name="Normal 2 3 2 10 2 2 8" xfId="27163" xr:uid="{00000000-0005-0000-0000-0000E3680000}"/>
    <cellStyle name="Normal 2 3 2 10 2 3" xfId="27164" xr:uid="{00000000-0005-0000-0000-0000E4680000}"/>
    <cellStyle name="Normal 2 3 2 10 2 3 2" xfId="27165" xr:uid="{00000000-0005-0000-0000-0000E5680000}"/>
    <cellStyle name="Normal 2 3 2 10 2 3 2 2" xfId="27166" xr:uid="{00000000-0005-0000-0000-0000E6680000}"/>
    <cellStyle name="Normal 2 3 2 10 2 3 2 3" xfId="27167" xr:uid="{00000000-0005-0000-0000-0000E7680000}"/>
    <cellStyle name="Normal 2 3 2 10 2 3 2 4" xfId="27168" xr:uid="{00000000-0005-0000-0000-0000E8680000}"/>
    <cellStyle name="Normal 2 3 2 10 2 3 2 5" xfId="27169" xr:uid="{00000000-0005-0000-0000-0000E9680000}"/>
    <cellStyle name="Normal 2 3 2 10 2 3 3" xfId="27170" xr:uid="{00000000-0005-0000-0000-0000EA680000}"/>
    <cellStyle name="Normal 2 3 2 10 2 3 4" xfId="27171" xr:uid="{00000000-0005-0000-0000-0000EB680000}"/>
    <cellStyle name="Normal 2 3 2 10 2 3 5" xfId="27172" xr:uid="{00000000-0005-0000-0000-0000EC680000}"/>
    <cellStyle name="Normal 2 3 2 10 2 3 6" xfId="27173" xr:uid="{00000000-0005-0000-0000-0000ED680000}"/>
    <cellStyle name="Normal 2 3 2 10 2 3 7" xfId="27174" xr:uid="{00000000-0005-0000-0000-0000EE680000}"/>
    <cellStyle name="Normal 2 3 2 10 2 3 8" xfId="27175" xr:uid="{00000000-0005-0000-0000-0000EF680000}"/>
    <cellStyle name="Normal 2 3 2 10 2 4" xfId="27176" xr:uid="{00000000-0005-0000-0000-0000F0680000}"/>
    <cellStyle name="Normal 2 3 2 10 2 4 2" xfId="27177" xr:uid="{00000000-0005-0000-0000-0000F1680000}"/>
    <cellStyle name="Normal 2 3 2 10 2 4 3" xfId="27178" xr:uid="{00000000-0005-0000-0000-0000F2680000}"/>
    <cellStyle name="Normal 2 3 2 10 2 4 4" xfId="27179" xr:uid="{00000000-0005-0000-0000-0000F3680000}"/>
    <cellStyle name="Normal 2 3 2 10 2 4 5" xfId="27180" xr:uid="{00000000-0005-0000-0000-0000F4680000}"/>
    <cellStyle name="Normal 2 3 2 10 2 5" xfId="27181" xr:uid="{00000000-0005-0000-0000-0000F5680000}"/>
    <cellStyle name="Normal 2 3 2 10 2 6" xfId="27182" xr:uid="{00000000-0005-0000-0000-0000F6680000}"/>
    <cellStyle name="Normal 2 3 2 10 2 7" xfId="27183" xr:uid="{00000000-0005-0000-0000-0000F7680000}"/>
    <cellStyle name="Normal 2 3 2 10 2 8" xfId="27184" xr:uid="{00000000-0005-0000-0000-0000F8680000}"/>
    <cellStyle name="Normal 2 3 2 10 2 9" xfId="27185" xr:uid="{00000000-0005-0000-0000-0000F9680000}"/>
    <cellStyle name="Normal 2 3 2 10 3" xfId="27186" xr:uid="{00000000-0005-0000-0000-0000FA680000}"/>
    <cellStyle name="Normal 2 3 2 10 3 2" xfId="27187" xr:uid="{00000000-0005-0000-0000-0000FB680000}"/>
    <cellStyle name="Normal 2 3 2 10 3 2 2" xfId="27188" xr:uid="{00000000-0005-0000-0000-0000FC680000}"/>
    <cellStyle name="Normal 2 3 2 10 3 2 3" xfId="27189" xr:uid="{00000000-0005-0000-0000-0000FD680000}"/>
    <cellStyle name="Normal 2 3 2 10 3 2 4" xfId="27190" xr:uid="{00000000-0005-0000-0000-0000FE680000}"/>
    <cellStyle name="Normal 2 3 2 10 3 2 5" xfId="27191" xr:uid="{00000000-0005-0000-0000-0000FF680000}"/>
    <cellStyle name="Normal 2 3 2 10 3 3" xfId="27192" xr:uid="{00000000-0005-0000-0000-000000690000}"/>
    <cellStyle name="Normal 2 3 2 10 3 4" xfId="27193" xr:uid="{00000000-0005-0000-0000-000001690000}"/>
    <cellStyle name="Normal 2 3 2 10 3 5" xfId="27194" xr:uid="{00000000-0005-0000-0000-000002690000}"/>
    <cellStyle name="Normal 2 3 2 10 3 6" xfId="27195" xr:uid="{00000000-0005-0000-0000-000003690000}"/>
    <cellStyle name="Normal 2 3 2 10 3 7" xfId="27196" xr:uid="{00000000-0005-0000-0000-000004690000}"/>
    <cellStyle name="Normal 2 3 2 10 3 8" xfId="27197" xr:uid="{00000000-0005-0000-0000-000005690000}"/>
    <cellStyle name="Normal 2 3 2 10 4" xfId="27198" xr:uid="{00000000-0005-0000-0000-000006690000}"/>
    <cellStyle name="Normal 2 3 2 10 4 2" xfId="27199" xr:uid="{00000000-0005-0000-0000-000007690000}"/>
    <cellStyle name="Normal 2 3 2 10 4 2 2" xfId="27200" xr:uid="{00000000-0005-0000-0000-000008690000}"/>
    <cellStyle name="Normal 2 3 2 10 4 2 3" xfId="27201" xr:uid="{00000000-0005-0000-0000-000009690000}"/>
    <cellStyle name="Normal 2 3 2 10 4 2 4" xfId="27202" xr:uid="{00000000-0005-0000-0000-00000A690000}"/>
    <cellStyle name="Normal 2 3 2 10 4 2 5" xfId="27203" xr:uid="{00000000-0005-0000-0000-00000B690000}"/>
    <cellStyle name="Normal 2 3 2 10 4 3" xfId="27204" xr:uid="{00000000-0005-0000-0000-00000C690000}"/>
    <cellStyle name="Normal 2 3 2 10 4 4" xfId="27205" xr:uid="{00000000-0005-0000-0000-00000D690000}"/>
    <cellStyle name="Normal 2 3 2 10 4 5" xfId="27206" xr:uid="{00000000-0005-0000-0000-00000E690000}"/>
    <cellStyle name="Normal 2 3 2 10 4 6" xfId="27207" xr:uid="{00000000-0005-0000-0000-00000F690000}"/>
    <cellStyle name="Normal 2 3 2 10 4 7" xfId="27208" xr:uid="{00000000-0005-0000-0000-000010690000}"/>
    <cellStyle name="Normal 2 3 2 10 4 8" xfId="27209" xr:uid="{00000000-0005-0000-0000-000011690000}"/>
    <cellStyle name="Normal 2 3 2 10 5" xfId="27210" xr:uid="{00000000-0005-0000-0000-000012690000}"/>
    <cellStyle name="Normal 2 3 2 10 5 2" xfId="27211" xr:uid="{00000000-0005-0000-0000-000013690000}"/>
    <cellStyle name="Normal 2 3 2 10 5 3" xfId="27212" xr:uid="{00000000-0005-0000-0000-000014690000}"/>
    <cellStyle name="Normal 2 3 2 10 5 4" xfId="27213" xr:uid="{00000000-0005-0000-0000-000015690000}"/>
    <cellStyle name="Normal 2 3 2 10 5 5" xfId="27214" xr:uid="{00000000-0005-0000-0000-000016690000}"/>
    <cellStyle name="Normal 2 3 2 10 6" xfId="27215" xr:uid="{00000000-0005-0000-0000-000017690000}"/>
    <cellStyle name="Normal 2 3 2 10 7" xfId="27216" xr:uid="{00000000-0005-0000-0000-000018690000}"/>
    <cellStyle name="Normal 2 3 2 10 8" xfId="27217" xr:uid="{00000000-0005-0000-0000-000019690000}"/>
    <cellStyle name="Normal 2 3 2 10 9" xfId="27218" xr:uid="{00000000-0005-0000-0000-00001A690000}"/>
    <cellStyle name="Normal 2 3 2 11" xfId="27219" xr:uid="{00000000-0005-0000-0000-00001B690000}"/>
    <cellStyle name="Normal 2 3 2 11 10" xfId="27220" xr:uid="{00000000-0005-0000-0000-00001C690000}"/>
    <cellStyle name="Normal 2 3 2 11 2" xfId="27221" xr:uid="{00000000-0005-0000-0000-00001D690000}"/>
    <cellStyle name="Normal 2 3 2 11 2 2" xfId="27222" xr:uid="{00000000-0005-0000-0000-00001E690000}"/>
    <cellStyle name="Normal 2 3 2 11 2 2 2" xfId="27223" xr:uid="{00000000-0005-0000-0000-00001F690000}"/>
    <cellStyle name="Normal 2 3 2 11 2 2 3" xfId="27224" xr:uid="{00000000-0005-0000-0000-000020690000}"/>
    <cellStyle name="Normal 2 3 2 11 2 2 4" xfId="27225" xr:uid="{00000000-0005-0000-0000-000021690000}"/>
    <cellStyle name="Normal 2 3 2 11 2 2 5" xfId="27226" xr:uid="{00000000-0005-0000-0000-000022690000}"/>
    <cellStyle name="Normal 2 3 2 11 2 3" xfId="27227" xr:uid="{00000000-0005-0000-0000-000023690000}"/>
    <cellStyle name="Normal 2 3 2 11 2 4" xfId="27228" xr:uid="{00000000-0005-0000-0000-000024690000}"/>
    <cellStyle name="Normal 2 3 2 11 2 5" xfId="27229" xr:uid="{00000000-0005-0000-0000-000025690000}"/>
    <cellStyle name="Normal 2 3 2 11 2 6" xfId="27230" xr:uid="{00000000-0005-0000-0000-000026690000}"/>
    <cellStyle name="Normal 2 3 2 11 2 7" xfId="27231" xr:uid="{00000000-0005-0000-0000-000027690000}"/>
    <cellStyle name="Normal 2 3 2 11 2 8" xfId="27232" xr:uid="{00000000-0005-0000-0000-000028690000}"/>
    <cellStyle name="Normal 2 3 2 11 3" xfId="27233" xr:uid="{00000000-0005-0000-0000-000029690000}"/>
    <cellStyle name="Normal 2 3 2 11 3 2" xfId="27234" xr:uid="{00000000-0005-0000-0000-00002A690000}"/>
    <cellStyle name="Normal 2 3 2 11 3 2 2" xfId="27235" xr:uid="{00000000-0005-0000-0000-00002B690000}"/>
    <cellStyle name="Normal 2 3 2 11 3 2 3" xfId="27236" xr:uid="{00000000-0005-0000-0000-00002C690000}"/>
    <cellStyle name="Normal 2 3 2 11 3 2 4" xfId="27237" xr:uid="{00000000-0005-0000-0000-00002D690000}"/>
    <cellStyle name="Normal 2 3 2 11 3 2 5" xfId="27238" xr:uid="{00000000-0005-0000-0000-00002E690000}"/>
    <cellStyle name="Normal 2 3 2 11 3 3" xfId="27239" xr:uid="{00000000-0005-0000-0000-00002F690000}"/>
    <cellStyle name="Normal 2 3 2 11 3 4" xfId="27240" xr:uid="{00000000-0005-0000-0000-000030690000}"/>
    <cellStyle name="Normal 2 3 2 11 3 5" xfId="27241" xr:uid="{00000000-0005-0000-0000-000031690000}"/>
    <cellStyle name="Normal 2 3 2 11 3 6" xfId="27242" xr:uid="{00000000-0005-0000-0000-000032690000}"/>
    <cellStyle name="Normal 2 3 2 11 3 7" xfId="27243" xr:uid="{00000000-0005-0000-0000-000033690000}"/>
    <cellStyle name="Normal 2 3 2 11 3 8" xfId="27244" xr:uid="{00000000-0005-0000-0000-000034690000}"/>
    <cellStyle name="Normal 2 3 2 11 4" xfId="27245" xr:uid="{00000000-0005-0000-0000-000035690000}"/>
    <cellStyle name="Normal 2 3 2 11 4 2" xfId="27246" xr:uid="{00000000-0005-0000-0000-000036690000}"/>
    <cellStyle name="Normal 2 3 2 11 4 3" xfId="27247" xr:uid="{00000000-0005-0000-0000-000037690000}"/>
    <cellStyle name="Normal 2 3 2 11 4 4" xfId="27248" xr:uid="{00000000-0005-0000-0000-000038690000}"/>
    <cellStyle name="Normal 2 3 2 11 4 5" xfId="27249" xr:uid="{00000000-0005-0000-0000-000039690000}"/>
    <cellStyle name="Normal 2 3 2 11 5" xfId="27250" xr:uid="{00000000-0005-0000-0000-00003A690000}"/>
    <cellStyle name="Normal 2 3 2 11 6" xfId="27251" xr:uid="{00000000-0005-0000-0000-00003B690000}"/>
    <cellStyle name="Normal 2 3 2 11 7" xfId="27252" xr:uid="{00000000-0005-0000-0000-00003C690000}"/>
    <cellStyle name="Normal 2 3 2 11 8" xfId="27253" xr:uid="{00000000-0005-0000-0000-00003D690000}"/>
    <cellStyle name="Normal 2 3 2 11 9" xfId="27254" xr:uid="{00000000-0005-0000-0000-00003E690000}"/>
    <cellStyle name="Normal 2 3 2 12" xfId="27255" xr:uid="{00000000-0005-0000-0000-00003F690000}"/>
    <cellStyle name="Normal 2 3 2 12 2" xfId="27256" xr:uid="{00000000-0005-0000-0000-000040690000}"/>
    <cellStyle name="Normal 2 3 2 12 2 2" xfId="27257" xr:uid="{00000000-0005-0000-0000-000041690000}"/>
    <cellStyle name="Normal 2 3 2 12 2 3" xfId="27258" xr:uid="{00000000-0005-0000-0000-000042690000}"/>
    <cellStyle name="Normal 2 3 2 12 2 4" xfId="27259" xr:uid="{00000000-0005-0000-0000-000043690000}"/>
    <cellStyle name="Normal 2 3 2 12 2 5" xfId="27260" xr:uid="{00000000-0005-0000-0000-000044690000}"/>
    <cellStyle name="Normal 2 3 2 12 3" xfId="27261" xr:uid="{00000000-0005-0000-0000-000045690000}"/>
    <cellStyle name="Normal 2 3 2 12 4" xfId="27262" xr:uid="{00000000-0005-0000-0000-000046690000}"/>
    <cellStyle name="Normal 2 3 2 12 5" xfId="27263" xr:uid="{00000000-0005-0000-0000-000047690000}"/>
    <cellStyle name="Normal 2 3 2 12 6" xfId="27264" xr:uid="{00000000-0005-0000-0000-000048690000}"/>
    <cellStyle name="Normal 2 3 2 12 7" xfId="27265" xr:uid="{00000000-0005-0000-0000-000049690000}"/>
    <cellStyle name="Normal 2 3 2 12 8" xfId="27266" xr:uid="{00000000-0005-0000-0000-00004A690000}"/>
    <cellStyle name="Normal 2 3 2 13" xfId="27267" xr:uid="{00000000-0005-0000-0000-00004B690000}"/>
    <cellStyle name="Normal 2 3 2 13 2" xfId="27268" xr:uid="{00000000-0005-0000-0000-00004C690000}"/>
    <cellStyle name="Normal 2 3 2 13 2 2" xfId="27269" xr:uid="{00000000-0005-0000-0000-00004D690000}"/>
    <cellStyle name="Normal 2 3 2 13 2 3" xfId="27270" xr:uid="{00000000-0005-0000-0000-00004E690000}"/>
    <cellStyle name="Normal 2 3 2 13 2 4" xfId="27271" xr:uid="{00000000-0005-0000-0000-00004F690000}"/>
    <cellStyle name="Normal 2 3 2 13 2 5" xfId="27272" xr:uid="{00000000-0005-0000-0000-000050690000}"/>
    <cellStyle name="Normal 2 3 2 13 3" xfId="27273" xr:uid="{00000000-0005-0000-0000-000051690000}"/>
    <cellStyle name="Normal 2 3 2 13 4" xfId="27274" xr:uid="{00000000-0005-0000-0000-000052690000}"/>
    <cellStyle name="Normal 2 3 2 13 5" xfId="27275" xr:uid="{00000000-0005-0000-0000-000053690000}"/>
    <cellStyle name="Normal 2 3 2 13 6" xfId="27276" xr:uid="{00000000-0005-0000-0000-000054690000}"/>
    <cellStyle name="Normal 2 3 2 13 7" xfId="27277" xr:uid="{00000000-0005-0000-0000-000055690000}"/>
    <cellStyle name="Normal 2 3 2 13 8" xfId="27278" xr:uid="{00000000-0005-0000-0000-000056690000}"/>
    <cellStyle name="Normal 2 3 2 14" xfId="27279" xr:uid="{00000000-0005-0000-0000-000057690000}"/>
    <cellStyle name="Normal 2 3 2 14 2" xfId="27280" xr:uid="{00000000-0005-0000-0000-000058690000}"/>
    <cellStyle name="Normal 2 3 2 14 3" xfId="27281" xr:uid="{00000000-0005-0000-0000-000059690000}"/>
    <cellStyle name="Normal 2 3 2 14 4" xfId="27282" xr:uid="{00000000-0005-0000-0000-00005A690000}"/>
    <cellStyle name="Normal 2 3 2 14 5" xfId="27283" xr:uid="{00000000-0005-0000-0000-00005B690000}"/>
    <cellStyle name="Normal 2 3 2 15" xfId="27284" xr:uid="{00000000-0005-0000-0000-00005C690000}"/>
    <cellStyle name="Normal 2 3 2 15 2" xfId="27285" xr:uid="{00000000-0005-0000-0000-00005D690000}"/>
    <cellStyle name="Normal 2 3 2 15 3" xfId="27286" xr:uid="{00000000-0005-0000-0000-00005E690000}"/>
    <cellStyle name="Normal 2 3 2 16" xfId="27287" xr:uid="{00000000-0005-0000-0000-00005F690000}"/>
    <cellStyle name="Normal 2 3 2 17" xfId="27288" xr:uid="{00000000-0005-0000-0000-000060690000}"/>
    <cellStyle name="Normal 2 3 2 18" xfId="27289" xr:uid="{00000000-0005-0000-0000-000061690000}"/>
    <cellStyle name="Normal 2 3 2 19" xfId="27290" xr:uid="{00000000-0005-0000-0000-000062690000}"/>
    <cellStyle name="Normal 2 3 2 2" xfId="27291" xr:uid="{00000000-0005-0000-0000-000063690000}"/>
    <cellStyle name="Normal 2 3 2 2 10" xfId="27292" xr:uid="{00000000-0005-0000-0000-000064690000}"/>
    <cellStyle name="Normal 2 3 2 2 11" xfId="27293" xr:uid="{00000000-0005-0000-0000-000065690000}"/>
    <cellStyle name="Normal 2 3 2 2 12" xfId="27294" xr:uid="{00000000-0005-0000-0000-000066690000}"/>
    <cellStyle name="Normal 2 3 2 2 13" xfId="27295" xr:uid="{00000000-0005-0000-0000-000067690000}"/>
    <cellStyle name="Normal 2 3 2 2 14" xfId="27296" xr:uid="{00000000-0005-0000-0000-000068690000}"/>
    <cellStyle name="Normal 2 3 2 2 15" xfId="27297" xr:uid="{00000000-0005-0000-0000-000069690000}"/>
    <cellStyle name="Normal 2 3 2 2 15 2" xfId="27298" xr:uid="{00000000-0005-0000-0000-00006A690000}"/>
    <cellStyle name="Normal 2 3 2 2 15 3" xfId="27299" xr:uid="{00000000-0005-0000-0000-00006B690000}"/>
    <cellStyle name="Normal 2 3 2 2 16" xfId="27300" xr:uid="{00000000-0005-0000-0000-00006C690000}"/>
    <cellStyle name="Normal 2 3 2 2 17" xfId="27301" xr:uid="{00000000-0005-0000-0000-00006D690000}"/>
    <cellStyle name="Normal 2 3 2 2 18" xfId="27302" xr:uid="{00000000-0005-0000-0000-00006E690000}"/>
    <cellStyle name="Normal 2 3 2 2 19" xfId="27303" xr:uid="{00000000-0005-0000-0000-00006F690000}"/>
    <cellStyle name="Normal 2 3 2 2 2" xfId="27304" xr:uid="{00000000-0005-0000-0000-000070690000}"/>
    <cellStyle name="Normal 2 3 2 2 2 10" xfId="27305" xr:uid="{00000000-0005-0000-0000-000071690000}"/>
    <cellStyle name="Normal 2 3 2 2 2 11" xfId="27306" xr:uid="{00000000-0005-0000-0000-000072690000}"/>
    <cellStyle name="Normal 2 3 2 2 2 12" xfId="27307" xr:uid="{00000000-0005-0000-0000-000073690000}"/>
    <cellStyle name="Normal 2 3 2 2 2 13" xfId="27308" xr:uid="{00000000-0005-0000-0000-000074690000}"/>
    <cellStyle name="Normal 2 3 2 2 2 14" xfId="27309" xr:uid="{00000000-0005-0000-0000-000075690000}"/>
    <cellStyle name="Normal 2 3 2 2 2 14 2" xfId="27310" xr:uid="{00000000-0005-0000-0000-000076690000}"/>
    <cellStyle name="Normal 2 3 2 2 2 14 3" xfId="27311" xr:uid="{00000000-0005-0000-0000-000077690000}"/>
    <cellStyle name="Normal 2 3 2 2 2 15" xfId="27312" xr:uid="{00000000-0005-0000-0000-000078690000}"/>
    <cellStyle name="Normal 2 3 2 2 2 16" xfId="27313" xr:uid="{00000000-0005-0000-0000-000079690000}"/>
    <cellStyle name="Normal 2 3 2 2 2 17" xfId="27314" xr:uid="{00000000-0005-0000-0000-00007A690000}"/>
    <cellStyle name="Normal 2 3 2 2 2 18" xfId="27315" xr:uid="{00000000-0005-0000-0000-00007B690000}"/>
    <cellStyle name="Normal 2 3 2 2 2 19" xfId="27316" xr:uid="{00000000-0005-0000-0000-00007C690000}"/>
    <cellStyle name="Normal 2 3 2 2 2 2" xfId="27317" xr:uid="{00000000-0005-0000-0000-00007D690000}"/>
    <cellStyle name="Normal 2 3 2 2 2 2 10" xfId="27318" xr:uid="{00000000-0005-0000-0000-00007E690000}"/>
    <cellStyle name="Normal 2 3 2 2 2 2 11" xfId="27319" xr:uid="{00000000-0005-0000-0000-00007F690000}"/>
    <cellStyle name="Normal 2 3 2 2 2 2 12" xfId="27320" xr:uid="{00000000-0005-0000-0000-000080690000}"/>
    <cellStyle name="Normal 2 3 2 2 2 2 13" xfId="27321" xr:uid="{00000000-0005-0000-0000-000081690000}"/>
    <cellStyle name="Normal 2 3 2 2 2 2 14" xfId="27322" xr:uid="{00000000-0005-0000-0000-000082690000}"/>
    <cellStyle name="Normal 2 3 2 2 2 2 15" xfId="27323" xr:uid="{00000000-0005-0000-0000-000083690000}"/>
    <cellStyle name="Normal 2 3 2 2 2 2 16" xfId="27324" xr:uid="{00000000-0005-0000-0000-000084690000}"/>
    <cellStyle name="Normal 2 3 2 2 2 2 17" xfId="27325" xr:uid="{00000000-0005-0000-0000-000085690000}"/>
    <cellStyle name="Normal 2 3 2 2 2 2 18" xfId="27326" xr:uid="{00000000-0005-0000-0000-000086690000}"/>
    <cellStyle name="Normal 2 3 2 2 2 2 19" xfId="27327" xr:uid="{00000000-0005-0000-0000-000087690000}"/>
    <cellStyle name="Normal 2 3 2 2 2 2 2" xfId="27328" xr:uid="{00000000-0005-0000-0000-000088690000}"/>
    <cellStyle name="Normal 2 3 2 2 2 2 2 10" xfId="27329" xr:uid="{00000000-0005-0000-0000-000089690000}"/>
    <cellStyle name="Normal 2 3 2 2 2 2 2 11" xfId="27330" xr:uid="{00000000-0005-0000-0000-00008A690000}"/>
    <cellStyle name="Normal 2 3 2 2 2 2 2 12" xfId="27331" xr:uid="{00000000-0005-0000-0000-00008B690000}"/>
    <cellStyle name="Normal 2 3 2 2 2 2 2 13" xfId="27332" xr:uid="{00000000-0005-0000-0000-00008C690000}"/>
    <cellStyle name="Normal 2 3 2 2 2 2 2 14" xfId="27333" xr:uid="{00000000-0005-0000-0000-00008D690000}"/>
    <cellStyle name="Normal 2 3 2 2 2 2 2 15" xfId="27334" xr:uid="{00000000-0005-0000-0000-00008E690000}"/>
    <cellStyle name="Normal 2 3 2 2 2 2 2 16" xfId="27335" xr:uid="{00000000-0005-0000-0000-00008F690000}"/>
    <cellStyle name="Normal 2 3 2 2 2 2 2 17" xfId="27336" xr:uid="{00000000-0005-0000-0000-000090690000}"/>
    <cellStyle name="Normal 2 3 2 2 2 2 2 18" xfId="27337" xr:uid="{00000000-0005-0000-0000-000091690000}"/>
    <cellStyle name="Normal 2 3 2 2 2 2 2 19" xfId="27338" xr:uid="{00000000-0005-0000-0000-000092690000}"/>
    <cellStyle name="Normal 2 3 2 2 2 2 2 2" xfId="27339" xr:uid="{00000000-0005-0000-0000-000093690000}"/>
    <cellStyle name="Normal 2 3 2 2 2 2 2 2 2" xfId="27340" xr:uid="{00000000-0005-0000-0000-000094690000}"/>
    <cellStyle name="Normal 2 3 2 2 2 2 2 2 3" xfId="27341" xr:uid="{00000000-0005-0000-0000-000095690000}"/>
    <cellStyle name="Normal 2 3 2 2 2 2 2 2 4" xfId="27342" xr:uid="{00000000-0005-0000-0000-000096690000}"/>
    <cellStyle name="Normal 2 3 2 2 2 2 2 2 5" xfId="27343" xr:uid="{00000000-0005-0000-0000-000097690000}"/>
    <cellStyle name="Normal 2 3 2 2 2 2 2 20" xfId="27344" xr:uid="{00000000-0005-0000-0000-000098690000}"/>
    <cellStyle name="Normal 2 3 2 2 2 2 2 21" xfId="27345" xr:uid="{00000000-0005-0000-0000-000099690000}"/>
    <cellStyle name="Normal 2 3 2 2 2 2 2 22" xfId="27346" xr:uid="{00000000-0005-0000-0000-00009A690000}"/>
    <cellStyle name="Normal 2 3 2 2 2 2 2 23" xfId="27347" xr:uid="{00000000-0005-0000-0000-00009B690000}"/>
    <cellStyle name="Normal 2 3 2 2 2 2 2 24" xfId="27348" xr:uid="{00000000-0005-0000-0000-00009C690000}"/>
    <cellStyle name="Normal 2 3 2 2 2 2 2 25" xfId="27349" xr:uid="{00000000-0005-0000-0000-00009D690000}"/>
    <cellStyle name="Normal 2 3 2 2 2 2 2 26" xfId="27350" xr:uid="{00000000-0005-0000-0000-00009E690000}"/>
    <cellStyle name="Normal 2 3 2 2 2 2 2 3" xfId="27351" xr:uid="{00000000-0005-0000-0000-00009F690000}"/>
    <cellStyle name="Normal 2 3 2 2 2 2 2 4" xfId="27352" xr:uid="{00000000-0005-0000-0000-0000A0690000}"/>
    <cellStyle name="Normal 2 3 2 2 2 2 2 5" xfId="27353" xr:uid="{00000000-0005-0000-0000-0000A1690000}"/>
    <cellStyle name="Normal 2 3 2 2 2 2 2 6" xfId="27354" xr:uid="{00000000-0005-0000-0000-0000A2690000}"/>
    <cellStyle name="Normal 2 3 2 2 2 2 2 7" xfId="27355" xr:uid="{00000000-0005-0000-0000-0000A3690000}"/>
    <cellStyle name="Normal 2 3 2 2 2 2 2 8" xfId="27356" xr:uid="{00000000-0005-0000-0000-0000A4690000}"/>
    <cellStyle name="Normal 2 3 2 2 2 2 2 9" xfId="27357" xr:uid="{00000000-0005-0000-0000-0000A5690000}"/>
    <cellStyle name="Normal 2 3 2 2 2 2 20" xfId="27358" xr:uid="{00000000-0005-0000-0000-0000A6690000}"/>
    <cellStyle name="Normal 2 3 2 2 2 2 21" xfId="27359" xr:uid="{00000000-0005-0000-0000-0000A7690000}"/>
    <cellStyle name="Normal 2 3 2 2 2 2 22" xfId="27360" xr:uid="{00000000-0005-0000-0000-0000A8690000}"/>
    <cellStyle name="Normal 2 3 2 2 2 2 23" xfId="27361" xr:uid="{00000000-0005-0000-0000-0000A9690000}"/>
    <cellStyle name="Normal 2 3 2 2 2 2 24" xfId="27362" xr:uid="{00000000-0005-0000-0000-0000AA690000}"/>
    <cellStyle name="Normal 2 3 2 2 2 2 25" xfId="27363" xr:uid="{00000000-0005-0000-0000-0000AB690000}"/>
    <cellStyle name="Normal 2 3 2 2 2 2 26" xfId="27364" xr:uid="{00000000-0005-0000-0000-0000AC690000}"/>
    <cellStyle name="Normal 2 3 2 2 2 2 3" xfId="27365" xr:uid="{00000000-0005-0000-0000-0000AD690000}"/>
    <cellStyle name="Normal 2 3 2 2 2 2 3 2" xfId="27366" xr:uid="{00000000-0005-0000-0000-0000AE690000}"/>
    <cellStyle name="Normal 2 3 2 2 2 2 3 2 2" xfId="27367" xr:uid="{00000000-0005-0000-0000-0000AF690000}"/>
    <cellStyle name="Normal 2 3 2 2 2 2 3 2 3" xfId="27368" xr:uid="{00000000-0005-0000-0000-0000B0690000}"/>
    <cellStyle name="Normal 2 3 2 2 2 2 3 2 4" xfId="27369" xr:uid="{00000000-0005-0000-0000-0000B1690000}"/>
    <cellStyle name="Normal 2 3 2 2 2 2 3 2 5" xfId="27370" xr:uid="{00000000-0005-0000-0000-0000B2690000}"/>
    <cellStyle name="Normal 2 3 2 2 2 2 3 3" xfId="27371" xr:uid="{00000000-0005-0000-0000-0000B3690000}"/>
    <cellStyle name="Normal 2 3 2 2 2 2 3 4" xfId="27372" xr:uid="{00000000-0005-0000-0000-0000B4690000}"/>
    <cellStyle name="Normal 2 3 2 2 2 2 3 5" xfId="27373" xr:uid="{00000000-0005-0000-0000-0000B5690000}"/>
    <cellStyle name="Normal 2 3 2 2 2 2 3 6" xfId="27374" xr:uid="{00000000-0005-0000-0000-0000B6690000}"/>
    <cellStyle name="Normal 2 3 2 2 2 2 3 7" xfId="27375" xr:uid="{00000000-0005-0000-0000-0000B7690000}"/>
    <cellStyle name="Normal 2 3 2 2 2 2 3 8" xfId="27376" xr:uid="{00000000-0005-0000-0000-0000B8690000}"/>
    <cellStyle name="Normal 2 3 2 2 2 2 4" xfId="27377" xr:uid="{00000000-0005-0000-0000-0000B9690000}"/>
    <cellStyle name="Normal 2 3 2 2 2 2 4 2" xfId="27378" xr:uid="{00000000-0005-0000-0000-0000BA690000}"/>
    <cellStyle name="Normal 2 3 2 2 2 2 4 3" xfId="27379" xr:uid="{00000000-0005-0000-0000-0000BB690000}"/>
    <cellStyle name="Normal 2 3 2 2 2 2 4 4" xfId="27380" xr:uid="{00000000-0005-0000-0000-0000BC690000}"/>
    <cellStyle name="Normal 2 3 2 2 2 2 4 5" xfId="27381" xr:uid="{00000000-0005-0000-0000-0000BD690000}"/>
    <cellStyle name="Normal 2 3 2 2 2 2 5" xfId="27382" xr:uid="{00000000-0005-0000-0000-0000BE690000}"/>
    <cellStyle name="Normal 2 3 2 2 2 2 6" xfId="27383" xr:uid="{00000000-0005-0000-0000-0000BF690000}"/>
    <cellStyle name="Normal 2 3 2 2 2 2 7" xfId="27384" xr:uid="{00000000-0005-0000-0000-0000C0690000}"/>
    <cellStyle name="Normal 2 3 2 2 2 2 8" xfId="27385" xr:uid="{00000000-0005-0000-0000-0000C1690000}"/>
    <cellStyle name="Normal 2 3 2 2 2 2 9" xfId="27386" xr:uid="{00000000-0005-0000-0000-0000C2690000}"/>
    <cellStyle name="Normal 2 3 2 2 2 20" xfId="27387" xr:uid="{00000000-0005-0000-0000-0000C3690000}"/>
    <cellStyle name="Normal 2 3 2 2 2 21" xfId="27388" xr:uid="{00000000-0005-0000-0000-0000C4690000}"/>
    <cellStyle name="Normal 2 3 2 2 2 22" xfId="27389" xr:uid="{00000000-0005-0000-0000-0000C5690000}"/>
    <cellStyle name="Normal 2 3 2 2 2 23" xfId="27390" xr:uid="{00000000-0005-0000-0000-0000C6690000}"/>
    <cellStyle name="Normal 2 3 2 2 2 24" xfId="27391" xr:uid="{00000000-0005-0000-0000-0000C7690000}"/>
    <cellStyle name="Normal 2 3 2 2 2 25" xfId="27392" xr:uid="{00000000-0005-0000-0000-0000C8690000}"/>
    <cellStyle name="Normal 2 3 2 2 2 26" xfId="27393" xr:uid="{00000000-0005-0000-0000-0000C9690000}"/>
    <cellStyle name="Normal 2 3 2 2 2 27" xfId="27394" xr:uid="{00000000-0005-0000-0000-0000CA690000}"/>
    <cellStyle name="Normal 2 3 2 2 2 28" xfId="27395" xr:uid="{00000000-0005-0000-0000-0000CB690000}"/>
    <cellStyle name="Normal 2 3 2 2 2 29" xfId="27396" xr:uid="{00000000-0005-0000-0000-0000CC690000}"/>
    <cellStyle name="Normal 2 3 2 2 2 3" xfId="27397" xr:uid="{00000000-0005-0000-0000-0000CD690000}"/>
    <cellStyle name="Normal 2 3 2 2 2 3 2" xfId="27398" xr:uid="{00000000-0005-0000-0000-0000CE690000}"/>
    <cellStyle name="Normal 2 3 2 2 2 3 2 2" xfId="27399" xr:uid="{00000000-0005-0000-0000-0000CF690000}"/>
    <cellStyle name="Normal 2 3 2 2 2 3 2 3" xfId="27400" xr:uid="{00000000-0005-0000-0000-0000D0690000}"/>
    <cellStyle name="Normal 2 3 2 2 2 3 2 4" xfId="27401" xr:uid="{00000000-0005-0000-0000-0000D1690000}"/>
    <cellStyle name="Normal 2 3 2 2 2 3 2 5" xfId="27402" xr:uid="{00000000-0005-0000-0000-0000D2690000}"/>
    <cellStyle name="Normal 2 3 2 2 2 3 3" xfId="27403" xr:uid="{00000000-0005-0000-0000-0000D3690000}"/>
    <cellStyle name="Normal 2 3 2 2 2 3 4" xfId="27404" xr:uid="{00000000-0005-0000-0000-0000D4690000}"/>
    <cellStyle name="Normal 2 3 2 2 2 3 5" xfId="27405" xr:uid="{00000000-0005-0000-0000-0000D5690000}"/>
    <cellStyle name="Normal 2 3 2 2 2 3 6" xfId="27406" xr:uid="{00000000-0005-0000-0000-0000D6690000}"/>
    <cellStyle name="Normal 2 3 2 2 2 3 7" xfId="27407" xr:uid="{00000000-0005-0000-0000-0000D7690000}"/>
    <cellStyle name="Normal 2 3 2 2 2 3 8" xfId="27408" xr:uid="{00000000-0005-0000-0000-0000D8690000}"/>
    <cellStyle name="Normal 2 3 2 2 2 30" xfId="27409" xr:uid="{00000000-0005-0000-0000-0000D9690000}"/>
    <cellStyle name="Normal 2 3 2 2 2 31" xfId="27410" xr:uid="{00000000-0005-0000-0000-0000DA690000}"/>
    <cellStyle name="Normal 2 3 2 2 2 32" xfId="27411" xr:uid="{00000000-0005-0000-0000-0000DB690000}"/>
    <cellStyle name="Normal 2 3 2 2 2 33" xfId="27412" xr:uid="{00000000-0005-0000-0000-0000DC690000}"/>
    <cellStyle name="Normal 2 3 2 2 2 34" xfId="27413" xr:uid="{00000000-0005-0000-0000-0000DD690000}"/>
    <cellStyle name="Normal 2 3 2 2 2 35" xfId="27414" xr:uid="{00000000-0005-0000-0000-0000DE690000}"/>
    <cellStyle name="Normal 2 3 2 2 2 36" xfId="27415" xr:uid="{00000000-0005-0000-0000-0000DF690000}"/>
    <cellStyle name="Normal 2 3 2 2 2 37" xfId="27416" xr:uid="{00000000-0005-0000-0000-0000E0690000}"/>
    <cellStyle name="Normal 2 3 2 2 2 38" xfId="27417" xr:uid="{00000000-0005-0000-0000-0000E1690000}"/>
    <cellStyle name="Normal 2 3 2 2 2 4" xfId="27418" xr:uid="{00000000-0005-0000-0000-0000E2690000}"/>
    <cellStyle name="Normal 2 3 2 2 2 4 2" xfId="27419" xr:uid="{00000000-0005-0000-0000-0000E3690000}"/>
    <cellStyle name="Normal 2 3 2 2 2 4 2 2" xfId="27420" xr:uid="{00000000-0005-0000-0000-0000E4690000}"/>
    <cellStyle name="Normal 2 3 2 2 2 4 2 3" xfId="27421" xr:uid="{00000000-0005-0000-0000-0000E5690000}"/>
    <cellStyle name="Normal 2 3 2 2 2 4 2 4" xfId="27422" xr:uid="{00000000-0005-0000-0000-0000E6690000}"/>
    <cellStyle name="Normal 2 3 2 2 2 4 2 5" xfId="27423" xr:uid="{00000000-0005-0000-0000-0000E7690000}"/>
    <cellStyle name="Normal 2 3 2 2 2 4 3" xfId="27424" xr:uid="{00000000-0005-0000-0000-0000E8690000}"/>
    <cellStyle name="Normal 2 3 2 2 2 4 4" xfId="27425" xr:uid="{00000000-0005-0000-0000-0000E9690000}"/>
    <cellStyle name="Normal 2 3 2 2 2 4 5" xfId="27426" xr:uid="{00000000-0005-0000-0000-0000EA690000}"/>
    <cellStyle name="Normal 2 3 2 2 2 4 6" xfId="27427" xr:uid="{00000000-0005-0000-0000-0000EB690000}"/>
    <cellStyle name="Normal 2 3 2 2 2 4 7" xfId="27428" xr:uid="{00000000-0005-0000-0000-0000EC690000}"/>
    <cellStyle name="Normal 2 3 2 2 2 4 8" xfId="27429" xr:uid="{00000000-0005-0000-0000-0000ED690000}"/>
    <cellStyle name="Normal 2 3 2 2 2 5" xfId="27430" xr:uid="{00000000-0005-0000-0000-0000EE690000}"/>
    <cellStyle name="Normal 2 3 2 2 2 5 2" xfId="27431" xr:uid="{00000000-0005-0000-0000-0000EF690000}"/>
    <cellStyle name="Normal 2 3 2 2 2 5 3" xfId="27432" xr:uid="{00000000-0005-0000-0000-0000F0690000}"/>
    <cellStyle name="Normal 2 3 2 2 2 5 4" xfId="27433" xr:uid="{00000000-0005-0000-0000-0000F1690000}"/>
    <cellStyle name="Normal 2 3 2 2 2 5 5" xfId="27434" xr:uid="{00000000-0005-0000-0000-0000F2690000}"/>
    <cellStyle name="Normal 2 3 2 2 2 6" xfId="27435" xr:uid="{00000000-0005-0000-0000-0000F3690000}"/>
    <cellStyle name="Normal 2 3 2 2 2 7" xfId="27436" xr:uid="{00000000-0005-0000-0000-0000F4690000}"/>
    <cellStyle name="Normal 2 3 2 2 2 8" xfId="27437" xr:uid="{00000000-0005-0000-0000-0000F5690000}"/>
    <cellStyle name="Normal 2 3 2 2 2 9" xfId="27438" xr:uid="{00000000-0005-0000-0000-0000F6690000}"/>
    <cellStyle name="Normal 2 3 2 2 20" xfId="27439" xr:uid="{00000000-0005-0000-0000-0000F7690000}"/>
    <cellStyle name="Normal 2 3 2 2 21" xfId="27440" xr:uid="{00000000-0005-0000-0000-0000F8690000}"/>
    <cellStyle name="Normal 2 3 2 2 22" xfId="27441" xr:uid="{00000000-0005-0000-0000-0000F9690000}"/>
    <cellStyle name="Normal 2 3 2 2 23" xfId="27442" xr:uid="{00000000-0005-0000-0000-0000FA690000}"/>
    <cellStyle name="Normal 2 3 2 2 24" xfId="27443" xr:uid="{00000000-0005-0000-0000-0000FB690000}"/>
    <cellStyle name="Normal 2 3 2 2 25" xfId="27444" xr:uid="{00000000-0005-0000-0000-0000FC690000}"/>
    <cellStyle name="Normal 2 3 2 2 26" xfId="27445" xr:uid="{00000000-0005-0000-0000-0000FD690000}"/>
    <cellStyle name="Normal 2 3 2 2 27" xfId="27446" xr:uid="{00000000-0005-0000-0000-0000FE690000}"/>
    <cellStyle name="Normal 2 3 2 2 28" xfId="27447" xr:uid="{00000000-0005-0000-0000-0000FF690000}"/>
    <cellStyle name="Normal 2 3 2 2 29" xfId="27448" xr:uid="{00000000-0005-0000-0000-0000006A0000}"/>
    <cellStyle name="Normal 2 3 2 2 3" xfId="27449" xr:uid="{00000000-0005-0000-0000-0000016A0000}"/>
    <cellStyle name="Normal 2 3 2 2 3 10" xfId="27450" xr:uid="{00000000-0005-0000-0000-0000026A0000}"/>
    <cellStyle name="Normal 2 3 2 2 3 11" xfId="27451" xr:uid="{00000000-0005-0000-0000-0000036A0000}"/>
    <cellStyle name="Normal 2 3 2 2 3 2" xfId="27452" xr:uid="{00000000-0005-0000-0000-0000046A0000}"/>
    <cellStyle name="Normal 2 3 2 2 3 2 10" xfId="27453" xr:uid="{00000000-0005-0000-0000-0000056A0000}"/>
    <cellStyle name="Normal 2 3 2 2 3 2 2" xfId="27454" xr:uid="{00000000-0005-0000-0000-0000066A0000}"/>
    <cellStyle name="Normal 2 3 2 2 3 2 2 2" xfId="27455" xr:uid="{00000000-0005-0000-0000-0000076A0000}"/>
    <cellStyle name="Normal 2 3 2 2 3 2 2 2 2" xfId="27456" xr:uid="{00000000-0005-0000-0000-0000086A0000}"/>
    <cellStyle name="Normal 2 3 2 2 3 2 2 2 3" xfId="27457" xr:uid="{00000000-0005-0000-0000-0000096A0000}"/>
    <cellStyle name="Normal 2 3 2 2 3 2 2 2 4" xfId="27458" xr:uid="{00000000-0005-0000-0000-00000A6A0000}"/>
    <cellStyle name="Normal 2 3 2 2 3 2 2 2 5" xfId="27459" xr:uid="{00000000-0005-0000-0000-00000B6A0000}"/>
    <cellStyle name="Normal 2 3 2 2 3 2 2 3" xfId="27460" xr:uid="{00000000-0005-0000-0000-00000C6A0000}"/>
    <cellStyle name="Normal 2 3 2 2 3 2 2 4" xfId="27461" xr:uid="{00000000-0005-0000-0000-00000D6A0000}"/>
    <cellStyle name="Normal 2 3 2 2 3 2 2 5" xfId="27462" xr:uid="{00000000-0005-0000-0000-00000E6A0000}"/>
    <cellStyle name="Normal 2 3 2 2 3 2 2 6" xfId="27463" xr:uid="{00000000-0005-0000-0000-00000F6A0000}"/>
    <cellStyle name="Normal 2 3 2 2 3 2 2 7" xfId="27464" xr:uid="{00000000-0005-0000-0000-0000106A0000}"/>
    <cellStyle name="Normal 2 3 2 2 3 2 2 8" xfId="27465" xr:uid="{00000000-0005-0000-0000-0000116A0000}"/>
    <cellStyle name="Normal 2 3 2 2 3 2 3" xfId="27466" xr:uid="{00000000-0005-0000-0000-0000126A0000}"/>
    <cellStyle name="Normal 2 3 2 2 3 2 3 2" xfId="27467" xr:uid="{00000000-0005-0000-0000-0000136A0000}"/>
    <cellStyle name="Normal 2 3 2 2 3 2 3 2 2" xfId="27468" xr:uid="{00000000-0005-0000-0000-0000146A0000}"/>
    <cellStyle name="Normal 2 3 2 2 3 2 3 2 3" xfId="27469" xr:uid="{00000000-0005-0000-0000-0000156A0000}"/>
    <cellStyle name="Normal 2 3 2 2 3 2 3 2 4" xfId="27470" xr:uid="{00000000-0005-0000-0000-0000166A0000}"/>
    <cellStyle name="Normal 2 3 2 2 3 2 3 2 5" xfId="27471" xr:uid="{00000000-0005-0000-0000-0000176A0000}"/>
    <cellStyle name="Normal 2 3 2 2 3 2 3 3" xfId="27472" xr:uid="{00000000-0005-0000-0000-0000186A0000}"/>
    <cellStyle name="Normal 2 3 2 2 3 2 3 4" xfId="27473" xr:uid="{00000000-0005-0000-0000-0000196A0000}"/>
    <cellStyle name="Normal 2 3 2 2 3 2 3 5" xfId="27474" xr:uid="{00000000-0005-0000-0000-00001A6A0000}"/>
    <cellStyle name="Normal 2 3 2 2 3 2 3 6" xfId="27475" xr:uid="{00000000-0005-0000-0000-00001B6A0000}"/>
    <cellStyle name="Normal 2 3 2 2 3 2 3 7" xfId="27476" xr:uid="{00000000-0005-0000-0000-00001C6A0000}"/>
    <cellStyle name="Normal 2 3 2 2 3 2 3 8" xfId="27477" xr:uid="{00000000-0005-0000-0000-00001D6A0000}"/>
    <cellStyle name="Normal 2 3 2 2 3 2 4" xfId="27478" xr:uid="{00000000-0005-0000-0000-00001E6A0000}"/>
    <cellStyle name="Normal 2 3 2 2 3 2 4 2" xfId="27479" xr:uid="{00000000-0005-0000-0000-00001F6A0000}"/>
    <cellStyle name="Normal 2 3 2 2 3 2 4 3" xfId="27480" xr:uid="{00000000-0005-0000-0000-0000206A0000}"/>
    <cellStyle name="Normal 2 3 2 2 3 2 4 4" xfId="27481" xr:uid="{00000000-0005-0000-0000-0000216A0000}"/>
    <cellStyle name="Normal 2 3 2 2 3 2 4 5" xfId="27482" xr:uid="{00000000-0005-0000-0000-0000226A0000}"/>
    <cellStyle name="Normal 2 3 2 2 3 2 5" xfId="27483" xr:uid="{00000000-0005-0000-0000-0000236A0000}"/>
    <cellStyle name="Normal 2 3 2 2 3 2 6" xfId="27484" xr:uid="{00000000-0005-0000-0000-0000246A0000}"/>
    <cellStyle name="Normal 2 3 2 2 3 2 7" xfId="27485" xr:uid="{00000000-0005-0000-0000-0000256A0000}"/>
    <cellStyle name="Normal 2 3 2 2 3 2 8" xfId="27486" xr:uid="{00000000-0005-0000-0000-0000266A0000}"/>
    <cellStyle name="Normal 2 3 2 2 3 2 9" xfId="27487" xr:uid="{00000000-0005-0000-0000-0000276A0000}"/>
    <cellStyle name="Normal 2 3 2 2 3 3" xfId="27488" xr:uid="{00000000-0005-0000-0000-0000286A0000}"/>
    <cellStyle name="Normal 2 3 2 2 3 3 2" xfId="27489" xr:uid="{00000000-0005-0000-0000-0000296A0000}"/>
    <cellStyle name="Normal 2 3 2 2 3 3 2 2" xfId="27490" xr:uid="{00000000-0005-0000-0000-00002A6A0000}"/>
    <cellStyle name="Normal 2 3 2 2 3 3 2 3" xfId="27491" xr:uid="{00000000-0005-0000-0000-00002B6A0000}"/>
    <cellStyle name="Normal 2 3 2 2 3 3 2 4" xfId="27492" xr:uid="{00000000-0005-0000-0000-00002C6A0000}"/>
    <cellStyle name="Normal 2 3 2 2 3 3 2 5" xfId="27493" xr:uid="{00000000-0005-0000-0000-00002D6A0000}"/>
    <cellStyle name="Normal 2 3 2 2 3 3 3" xfId="27494" xr:uid="{00000000-0005-0000-0000-00002E6A0000}"/>
    <cellStyle name="Normal 2 3 2 2 3 3 4" xfId="27495" xr:uid="{00000000-0005-0000-0000-00002F6A0000}"/>
    <cellStyle name="Normal 2 3 2 2 3 3 5" xfId="27496" xr:uid="{00000000-0005-0000-0000-0000306A0000}"/>
    <cellStyle name="Normal 2 3 2 2 3 3 6" xfId="27497" xr:uid="{00000000-0005-0000-0000-0000316A0000}"/>
    <cellStyle name="Normal 2 3 2 2 3 3 7" xfId="27498" xr:uid="{00000000-0005-0000-0000-0000326A0000}"/>
    <cellStyle name="Normal 2 3 2 2 3 3 8" xfId="27499" xr:uid="{00000000-0005-0000-0000-0000336A0000}"/>
    <cellStyle name="Normal 2 3 2 2 3 4" xfId="27500" xr:uid="{00000000-0005-0000-0000-0000346A0000}"/>
    <cellStyle name="Normal 2 3 2 2 3 4 2" xfId="27501" xr:uid="{00000000-0005-0000-0000-0000356A0000}"/>
    <cellStyle name="Normal 2 3 2 2 3 4 2 2" xfId="27502" xr:uid="{00000000-0005-0000-0000-0000366A0000}"/>
    <cellStyle name="Normal 2 3 2 2 3 4 2 3" xfId="27503" xr:uid="{00000000-0005-0000-0000-0000376A0000}"/>
    <cellStyle name="Normal 2 3 2 2 3 4 2 4" xfId="27504" xr:uid="{00000000-0005-0000-0000-0000386A0000}"/>
    <cellStyle name="Normal 2 3 2 2 3 4 2 5" xfId="27505" xr:uid="{00000000-0005-0000-0000-0000396A0000}"/>
    <cellStyle name="Normal 2 3 2 2 3 4 3" xfId="27506" xr:uid="{00000000-0005-0000-0000-00003A6A0000}"/>
    <cellStyle name="Normal 2 3 2 2 3 4 4" xfId="27507" xr:uid="{00000000-0005-0000-0000-00003B6A0000}"/>
    <cellStyle name="Normal 2 3 2 2 3 4 5" xfId="27508" xr:uid="{00000000-0005-0000-0000-00003C6A0000}"/>
    <cellStyle name="Normal 2 3 2 2 3 4 6" xfId="27509" xr:uid="{00000000-0005-0000-0000-00003D6A0000}"/>
    <cellStyle name="Normal 2 3 2 2 3 4 7" xfId="27510" xr:uid="{00000000-0005-0000-0000-00003E6A0000}"/>
    <cellStyle name="Normal 2 3 2 2 3 4 8" xfId="27511" xr:uid="{00000000-0005-0000-0000-00003F6A0000}"/>
    <cellStyle name="Normal 2 3 2 2 3 5" xfId="27512" xr:uid="{00000000-0005-0000-0000-0000406A0000}"/>
    <cellStyle name="Normal 2 3 2 2 3 5 2" xfId="27513" xr:uid="{00000000-0005-0000-0000-0000416A0000}"/>
    <cellStyle name="Normal 2 3 2 2 3 5 3" xfId="27514" xr:uid="{00000000-0005-0000-0000-0000426A0000}"/>
    <cellStyle name="Normal 2 3 2 2 3 5 4" xfId="27515" xr:uid="{00000000-0005-0000-0000-0000436A0000}"/>
    <cellStyle name="Normal 2 3 2 2 3 5 5" xfId="27516" xr:uid="{00000000-0005-0000-0000-0000446A0000}"/>
    <cellStyle name="Normal 2 3 2 2 3 6" xfId="27517" xr:uid="{00000000-0005-0000-0000-0000456A0000}"/>
    <cellStyle name="Normal 2 3 2 2 3 7" xfId="27518" xr:uid="{00000000-0005-0000-0000-0000466A0000}"/>
    <cellStyle name="Normal 2 3 2 2 3 8" xfId="27519" xr:uid="{00000000-0005-0000-0000-0000476A0000}"/>
    <cellStyle name="Normal 2 3 2 2 3 9" xfId="27520" xr:uid="{00000000-0005-0000-0000-0000486A0000}"/>
    <cellStyle name="Normal 2 3 2 2 30" xfId="27521" xr:uid="{00000000-0005-0000-0000-0000496A0000}"/>
    <cellStyle name="Normal 2 3 2 2 31" xfId="27522" xr:uid="{00000000-0005-0000-0000-00004A6A0000}"/>
    <cellStyle name="Normal 2 3 2 2 32" xfId="27523" xr:uid="{00000000-0005-0000-0000-00004B6A0000}"/>
    <cellStyle name="Normal 2 3 2 2 33" xfId="27524" xr:uid="{00000000-0005-0000-0000-00004C6A0000}"/>
    <cellStyle name="Normal 2 3 2 2 34" xfId="27525" xr:uid="{00000000-0005-0000-0000-00004D6A0000}"/>
    <cellStyle name="Normal 2 3 2 2 35" xfId="27526" xr:uid="{00000000-0005-0000-0000-00004E6A0000}"/>
    <cellStyle name="Normal 2 3 2 2 36" xfId="27527" xr:uid="{00000000-0005-0000-0000-00004F6A0000}"/>
    <cellStyle name="Normal 2 3 2 2 37" xfId="27528" xr:uid="{00000000-0005-0000-0000-0000506A0000}"/>
    <cellStyle name="Normal 2 3 2 2 38" xfId="27529" xr:uid="{00000000-0005-0000-0000-0000516A0000}"/>
    <cellStyle name="Normal 2 3 2 2 39" xfId="27530" xr:uid="{00000000-0005-0000-0000-0000526A0000}"/>
    <cellStyle name="Normal 2 3 2 2 4" xfId="27531" xr:uid="{00000000-0005-0000-0000-0000536A0000}"/>
    <cellStyle name="Normal 2 3 2 2 4 10" xfId="27532" xr:uid="{00000000-0005-0000-0000-0000546A0000}"/>
    <cellStyle name="Normal 2 3 2 2 4 11" xfId="27533" xr:uid="{00000000-0005-0000-0000-0000556A0000}"/>
    <cellStyle name="Normal 2 3 2 2 4 12" xfId="27534" xr:uid="{00000000-0005-0000-0000-0000566A0000}"/>
    <cellStyle name="Normal 2 3 2 2 4 13" xfId="27535" xr:uid="{00000000-0005-0000-0000-0000576A0000}"/>
    <cellStyle name="Normal 2 3 2 2 4 14" xfId="27536" xr:uid="{00000000-0005-0000-0000-0000586A0000}"/>
    <cellStyle name="Normal 2 3 2 2 4 15" xfId="27537" xr:uid="{00000000-0005-0000-0000-0000596A0000}"/>
    <cellStyle name="Normal 2 3 2 2 4 16" xfId="27538" xr:uid="{00000000-0005-0000-0000-00005A6A0000}"/>
    <cellStyle name="Normal 2 3 2 2 4 17" xfId="27539" xr:uid="{00000000-0005-0000-0000-00005B6A0000}"/>
    <cellStyle name="Normal 2 3 2 2 4 18" xfId="27540" xr:uid="{00000000-0005-0000-0000-00005C6A0000}"/>
    <cellStyle name="Normal 2 3 2 2 4 19" xfId="27541" xr:uid="{00000000-0005-0000-0000-00005D6A0000}"/>
    <cellStyle name="Normal 2 3 2 2 4 2" xfId="27542" xr:uid="{00000000-0005-0000-0000-00005E6A0000}"/>
    <cellStyle name="Normal 2 3 2 2 4 2 10" xfId="27543" xr:uid="{00000000-0005-0000-0000-00005F6A0000}"/>
    <cellStyle name="Normal 2 3 2 2 4 2 11" xfId="27544" xr:uid="{00000000-0005-0000-0000-0000606A0000}"/>
    <cellStyle name="Normal 2 3 2 2 4 2 12" xfId="27545" xr:uid="{00000000-0005-0000-0000-0000616A0000}"/>
    <cellStyle name="Normal 2 3 2 2 4 2 13" xfId="27546" xr:uid="{00000000-0005-0000-0000-0000626A0000}"/>
    <cellStyle name="Normal 2 3 2 2 4 2 14" xfId="27547" xr:uid="{00000000-0005-0000-0000-0000636A0000}"/>
    <cellStyle name="Normal 2 3 2 2 4 2 15" xfId="27548" xr:uid="{00000000-0005-0000-0000-0000646A0000}"/>
    <cellStyle name="Normal 2 3 2 2 4 2 16" xfId="27549" xr:uid="{00000000-0005-0000-0000-0000656A0000}"/>
    <cellStyle name="Normal 2 3 2 2 4 2 17" xfId="27550" xr:uid="{00000000-0005-0000-0000-0000666A0000}"/>
    <cellStyle name="Normal 2 3 2 2 4 2 18" xfId="27551" xr:uid="{00000000-0005-0000-0000-0000676A0000}"/>
    <cellStyle name="Normal 2 3 2 2 4 2 19" xfId="27552" xr:uid="{00000000-0005-0000-0000-0000686A0000}"/>
    <cellStyle name="Normal 2 3 2 2 4 2 2" xfId="27553" xr:uid="{00000000-0005-0000-0000-0000696A0000}"/>
    <cellStyle name="Normal 2 3 2 2 4 2 2 2" xfId="27554" xr:uid="{00000000-0005-0000-0000-00006A6A0000}"/>
    <cellStyle name="Normal 2 3 2 2 4 2 2 3" xfId="27555" xr:uid="{00000000-0005-0000-0000-00006B6A0000}"/>
    <cellStyle name="Normal 2 3 2 2 4 2 2 4" xfId="27556" xr:uid="{00000000-0005-0000-0000-00006C6A0000}"/>
    <cellStyle name="Normal 2 3 2 2 4 2 2 5" xfId="27557" xr:uid="{00000000-0005-0000-0000-00006D6A0000}"/>
    <cellStyle name="Normal 2 3 2 2 4 2 20" xfId="27558" xr:uid="{00000000-0005-0000-0000-00006E6A0000}"/>
    <cellStyle name="Normal 2 3 2 2 4 2 21" xfId="27559" xr:uid="{00000000-0005-0000-0000-00006F6A0000}"/>
    <cellStyle name="Normal 2 3 2 2 4 2 22" xfId="27560" xr:uid="{00000000-0005-0000-0000-0000706A0000}"/>
    <cellStyle name="Normal 2 3 2 2 4 2 23" xfId="27561" xr:uid="{00000000-0005-0000-0000-0000716A0000}"/>
    <cellStyle name="Normal 2 3 2 2 4 2 24" xfId="27562" xr:uid="{00000000-0005-0000-0000-0000726A0000}"/>
    <cellStyle name="Normal 2 3 2 2 4 2 25" xfId="27563" xr:uid="{00000000-0005-0000-0000-0000736A0000}"/>
    <cellStyle name="Normal 2 3 2 2 4 2 26" xfId="27564" xr:uid="{00000000-0005-0000-0000-0000746A0000}"/>
    <cellStyle name="Normal 2 3 2 2 4 2 3" xfId="27565" xr:uid="{00000000-0005-0000-0000-0000756A0000}"/>
    <cellStyle name="Normal 2 3 2 2 4 2 4" xfId="27566" xr:uid="{00000000-0005-0000-0000-0000766A0000}"/>
    <cellStyle name="Normal 2 3 2 2 4 2 5" xfId="27567" xr:uid="{00000000-0005-0000-0000-0000776A0000}"/>
    <cellStyle name="Normal 2 3 2 2 4 2 6" xfId="27568" xr:uid="{00000000-0005-0000-0000-0000786A0000}"/>
    <cellStyle name="Normal 2 3 2 2 4 2 7" xfId="27569" xr:uid="{00000000-0005-0000-0000-0000796A0000}"/>
    <cellStyle name="Normal 2 3 2 2 4 2 8" xfId="27570" xr:uid="{00000000-0005-0000-0000-00007A6A0000}"/>
    <cellStyle name="Normal 2 3 2 2 4 2 9" xfId="27571" xr:uid="{00000000-0005-0000-0000-00007B6A0000}"/>
    <cellStyle name="Normal 2 3 2 2 4 20" xfId="27572" xr:uid="{00000000-0005-0000-0000-00007C6A0000}"/>
    <cellStyle name="Normal 2 3 2 2 4 21" xfId="27573" xr:uid="{00000000-0005-0000-0000-00007D6A0000}"/>
    <cellStyle name="Normal 2 3 2 2 4 22" xfId="27574" xr:uid="{00000000-0005-0000-0000-00007E6A0000}"/>
    <cellStyle name="Normal 2 3 2 2 4 23" xfId="27575" xr:uid="{00000000-0005-0000-0000-00007F6A0000}"/>
    <cellStyle name="Normal 2 3 2 2 4 24" xfId="27576" xr:uid="{00000000-0005-0000-0000-0000806A0000}"/>
    <cellStyle name="Normal 2 3 2 2 4 25" xfId="27577" xr:uid="{00000000-0005-0000-0000-0000816A0000}"/>
    <cellStyle name="Normal 2 3 2 2 4 26" xfId="27578" xr:uid="{00000000-0005-0000-0000-0000826A0000}"/>
    <cellStyle name="Normal 2 3 2 2 4 3" xfId="27579" xr:uid="{00000000-0005-0000-0000-0000836A0000}"/>
    <cellStyle name="Normal 2 3 2 2 4 3 2" xfId="27580" xr:uid="{00000000-0005-0000-0000-0000846A0000}"/>
    <cellStyle name="Normal 2 3 2 2 4 3 2 2" xfId="27581" xr:uid="{00000000-0005-0000-0000-0000856A0000}"/>
    <cellStyle name="Normal 2 3 2 2 4 3 2 3" xfId="27582" xr:uid="{00000000-0005-0000-0000-0000866A0000}"/>
    <cellStyle name="Normal 2 3 2 2 4 3 2 4" xfId="27583" xr:uid="{00000000-0005-0000-0000-0000876A0000}"/>
    <cellStyle name="Normal 2 3 2 2 4 3 2 5" xfId="27584" xr:uid="{00000000-0005-0000-0000-0000886A0000}"/>
    <cellStyle name="Normal 2 3 2 2 4 3 3" xfId="27585" xr:uid="{00000000-0005-0000-0000-0000896A0000}"/>
    <cellStyle name="Normal 2 3 2 2 4 3 4" xfId="27586" xr:uid="{00000000-0005-0000-0000-00008A6A0000}"/>
    <cellStyle name="Normal 2 3 2 2 4 3 5" xfId="27587" xr:uid="{00000000-0005-0000-0000-00008B6A0000}"/>
    <cellStyle name="Normal 2 3 2 2 4 3 6" xfId="27588" xr:uid="{00000000-0005-0000-0000-00008C6A0000}"/>
    <cellStyle name="Normal 2 3 2 2 4 3 7" xfId="27589" xr:uid="{00000000-0005-0000-0000-00008D6A0000}"/>
    <cellStyle name="Normal 2 3 2 2 4 3 8" xfId="27590" xr:uid="{00000000-0005-0000-0000-00008E6A0000}"/>
    <cellStyle name="Normal 2 3 2 2 4 4" xfId="27591" xr:uid="{00000000-0005-0000-0000-00008F6A0000}"/>
    <cellStyle name="Normal 2 3 2 2 4 4 2" xfId="27592" xr:uid="{00000000-0005-0000-0000-0000906A0000}"/>
    <cellStyle name="Normal 2 3 2 2 4 4 3" xfId="27593" xr:uid="{00000000-0005-0000-0000-0000916A0000}"/>
    <cellStyle name="Normal 2 3 2 2 4 4 4" xfId="27594" xr:uid="{00000000-0005-0000-0000-0000926A0000}"/>
    <cellStyle name="Normal 2 3 2 2 4 4 5" xfId="27595" xr:uid="{00000000-0005-0000-0000-0000936A0000}"/>
    <cellStyle name="Normal 2 3 2 2 4 5" xfId="27596" xr:uid="{00000000-0005-0000-0000-0000946A0000}"/>
    <cellStyle name="Normal 2 3 2 2 4 6" xfId="27597" xr:uid="{00000000-0005-0000-0000-0000956A0000}"/>
    <cellStyle name="Normal 2 3 2 2 4 7" xfId="27598" xr:uid="{00000000-0005-0000-0000-0000966A0000}"/>
    <cellStyle name="Normal 2 3 2 2 4 8" xfId="27599" xr:uid="{00000000-0005-0000-0000-0000976A0000}"/>
    <cellStyle name="Normal 2 3 2 2 4 9" xfId="27600" xr:uid="{00000000-0005-0000-0000-0000986A0000}"/>
    <cellStyle name="Normal 2 3 2 2 5" xfId="27601" xr:uid="{00000000-0005-0000-0000-0000996A0000}"/>
    <cellStyle name="Normal 2 3 2 2 5 2" xfId="27602" xr:uid="{00000000-0005-0000-0000-00009A6A0000}"/>
    <cellStyle name="Normal 2 3 2 2 5 2 2" xfId="27603" xr:uid="{00000000-0005-0000-0000-00009B6A0000}"/>
    <cellStyle name="Normal 2 3 2 2 5 2 3" xfId="27604" xr:uid="{00000000-0005-0000-0000-00009C6A0000}"/>
    <cellStyle name="Normal 2 3 2 2 5 2 4" xfId="27605" xr:uid="{00000000-0005-0000-0000-00009D6A0000}"/>
    <cellStyle name="Normal 2 3 2 2 5 2 5" xfId="27606" xr:uid="{00000000-0005-0000-0000-00009E6A0000}"/>
    <cellStyle name="Normal 2 3 2 2 5 3" xfId="27607" xr:uid="{00000000-0005-0000-0000-00009F6A0000}"/>
    <cellStyle name="Normal 2 3 2 2 5 4" xfId="27608" xr:uid="{00000000-0005-0000-0000-0000A06A0000}"/>
    <cellStyle name="Normal 2 3 2 2 5 5" xfId="27609" xr:uid="{00000000-0005-0000-0000-0000A16A0000}"/>
    <cellStyle name="Normal 2 3 2 2 5 6" xfId="27610" xr:uid="{00000000-0005-0000-0000-0000A26A0000}"/>
    <cellStyle name="Normal 2 3 2 2 5 7" xfId="27611" xr:uid="{00000000-0005-0000-0000-0000A36A0000}"/>
    <cellStyle name="Normal 2 3 2 2 5 8" xfId="27612" xr:uid="{00000000-0005-0000-0000-0000A46A0000}"/>
    <cellStyle name="Normal 2 3 2 2 6" xfId="27613" xr:uid="{00000000-0005-0000-0000-0000A56A0000}"/>
    <cellStyle name="Normal 2 3 2 2 6 2" xfId="27614" xr:uid="{00000000-0005-0000-0000-0000A66A0000}"/>
    <cellStyle name="Normal 2 3 2 2 6 2 2" xfId="27615" xr:uid="{00000000-0005-0000-0000-0000A76A0000}"/>
    <cellStyle name="Normal 2 3 2 2 6 2 3" xfId="27616" xr:uid="{00000000-0005-0000-0000-0000A86A0000}"/>
    <cellStyle name="Normal 2 3 2 2 6 2 4" xfId="27617" xr:uid="{00000000-0005-0000-0000-0000A96A0000}"/>
    <cellStyle name="Normal 2 3 2 2 6 2 5" xfId="27618" xr:uid="{00000000-0005-0000-0000-0000AA6A0000}"/>
    <cellStyle name="Normal 2 3 2 2 6 3" xfId="27619" xr:uid="{00000000-0005-0000-0000-0000AB6A0000}"/>
    <cellStyle name="Normal 2 3 2 2 6 4" xfId="27620" xr:uid="{00000000-0005-0000-0000-0000AC6A0000}"/>
    <cellStyle name="Normal 2 3 2 2 6 5" xfId="27621" xr:uid="{00000000-0005-0000-0000-0000AD6A0000}"/>
    <cellStyle name="Normal 2 3 2 2 6 6" xfId="27622" xr:uid="{00000000-0005-0000-0000-0000AE6A0000}"/>
    <cellStyle name="Normal 2 3 2 2 6 7" xfId="27623" xr:uid="{00000000-0005-0000-0000-0000AF6A0000}"/>
    <cellStyle name="Normal 2 3 2 2 6 8" xfId="27624" xr:uid="{00000000-0005-0000-0000-0000B06A0000}"/>
    <cellStyle name="Normal 2 3 2 2 7" xfId="27625" xr:uid="{00000000-0005-0000-0000-0000B16A0000}"/>
    <cellStyle name="Normal 2 3 2 2 7 2" xfId="27626" xr:uid="{00000000-0005-0000-0000-0000B26A0000}"/>
    <cellStyle name="Normal 2 3 2 2 7 3" xfId="27627" xr:uid="{00000000-0005-0000-0000-0000B36A0000}"/>
    <cellStyle name="Normal 2 3 2 2 7 4" xfId="27628" xr:uid="{00000000-0005-0000-0000-0000B46A0000}"/>
    <cellStyle name="Normal 2 3 2 2 7 5" xfId="27629" xr:uid="{00000000-0005-0000-0000-0000B56A0000}"/>
    <cellStyle name="Normal 2 3 2 2 8" xfId="27630" xr:uid="{00000000-0005-0000-0000-0000B66A0000}"/>
    <cellStyle name="Normal 2 3 2 2 9" xfId="27631" xr:uid="{00000000-0005-0000-0000-0000B76A0000}"/>
    <cellStyle name="Normal 2 3 2 20" xfId="27632" xr:uid="{00000000-0005-0000-0000-0000B86A0000}"/>
    <cellStyle name="Normal 2 3 2 21" xfId="27633" xr:uid="{00000000-0005-0000-0000-0000B96A0000}"/>
    <cellStyle name="Normal 2 3 2 22" xfId="27634" xr:uid="{00000000-0005-0000-0000-0000BA6A0000}"/>
    <cellStyle name="Normal 2 3 2 23" xfId="27635" xr:uid="{00000000-0005-0000-0000-0000BB6A0000}"/>
    <cellStyle name="Normal 2 3 2 24" xfId="27636" xr:uid="{00000000-0005-0000-0000-0000BC6A0000}"/>
    <cellStyle name="Normal 2 3 2 25" xfId="27637" xr:uid="{00000000-0005-0000-0000-0000BD6A0000}"/>
    <cellStyle name="Normal 2 3 2 26" xfId="27638" xr:uid="{00000000-0005-0000-0000-0000BE6A0000}"/>
    <cellStyle name="Normal 2 3 2 27" xfId="27639" xr:uid="{00000000-0005-0000-0000-0000BF6A0000}"/>
    <cellStyle name="Normal 2 3 2 28" xfId="27640" xr:uid="{00000000-0005-0000-0000-0000C06A0000}"/>
    <cellStyle name="Normal 2 3 2 29" xfId="27641" xr:uid="{00000000-0005-0000-0000-0000C16A0000}"/>
    <cellStyle name="Normal 2 3 2 3" xfId="27642" xr:uid="{00000000-0005-0000-0000-0000C26A0000}"/>
    <cellStyle name="Normal 2 3 2 3 10" xfId="27643" xr:uid="{00000000-0005-0000-0000-0000C36A0000}"/>
    <cellStyle name="Normal 2 3 2 3 11" xfId="27644" xr:uid="{00000000-0005-0000-0000-0000C46A0000}"/>
    <cellStyle name="Normal 2 3 2 3 12" xfId="27645" xr:uid="{00000000-0005-0000-0000-0000C56A0000}"/>
    <cellStyle name="Normal 2 3 2 3 13" xfId="27646" xr:uid="{00000000-0005-0000-0000-0000C66A0000}"/>
    <cellStyle name="Normal 2 3 2 3 14" xfId="27647" xr:uid="{00000000-0005-0000-0000-0000C76A0000}"/>
    <cellStyle name="Normal 2 3 2 3 14 2" xfId="27648" xr:uid="{00000000-0005-0000-0000-0000C86A0000}"/>
    <cellStyle name="Normal 2 3 2 3 14 3" xfId="27649" xr:uid="{00000000-0005-0000-0000-0000C96A0000}"/>
    <cellStyle name="Normal 2 3 2 3 15" xfId="27650" xr:uid="{00000000-0005-0000-0000-0000CA6A0000}"/>
    <cellStyle name="Normal 2 3 2 3 16" xfId="27651" xr:uid="{00000000-0005-0000-0000-0000CB6A0000}"/>
    <cellStyle name="Normal 2 3 2 3 17" xfId="27652" xr:uid="{00000000-0005-0000-0000-0000CC6A0000}"/>
    <cellStyle name="Normal 2 3 2 3 18" xfId="27653" xr:uid="{00000000-0005-0000-0000-0000CD6A0000}"/>
    <cellStyle name="Normal 2 3 2 3 19" xfId="27654" xr:uid="{00000000-0005-0000-0000-0000CE6A0000}"/>
    <cellStyle name="Normal 2 3 2 3 2" xfId="27655" xr:uid="{00000000-0005-0000-0000-0000CF6A0000}"/>
    <cellStyle name="Normal 2 3 2 3 2 10" xfId="27656" xr:uid="{00000000-0005-0000-0000-0000D06A0000}"/>
    <cellStyle name="Normal 2 3 2 3 2 11" xfId="27657" xr:uid="{00000000-0005-0000-0000-0000D16A0000}"/>
    <cellStyle name="Normal 2 3 2 3 2 12" xfId="27658" xr:uid="{00000000-0005-0000-0000-0000D26A0000}"/>
    <cellStyle name="Normal 2 3 2 3 2 13" xfId="27659" xr:uid="{00000000-0005-0000-0000-0000D36A0000}"/>
    <cellStyle name="Normal 2 3 2 3 2 14" xfId="27660" xr:uid="{00000000-0005-0000-0000-0000D46A0000}"/>
    <cellStyle name="Normal 2 3 2 3 2 15" xfId="27661" xr:uid="{00000000-0005-0000-0000-0000D56A0000}"/>
    <cellStyle name="Normal 2 3 2 3 2 16" xfId="27662" xr:uid="{00000000-0005-0000-0000-0000D66A0000}"/>
    <cellStyle name="Normal 2 3 2 3 2 17" xfId="27663" xr:uid="{00000000-0005-0000-0000-0000D76A0000}"/>
    <cellStyle name="Normal 2 3 2 3 2 18" xfId="27664" xr:uid="{00000000-0005-0000-0000-0000D86A0000}"/>
    <cellStyle name="Normal 2 3 2 3 2 19" xfId="27665" xr:uid="{00000000-0005-0000-0000-0000D96A0000}"/>
    <cellStyle name="Normal 2 3 2 3 2 2" xfId="27666" xr:uid="{00000000-0005-0000-0000-0000DA6A0000}"/>
    <cellStyle name="Normal 2 3 2 3 2 2 10" xfId="27667" xr:uid="{00000000-0005-0000-0000-0000DB6A0000}"/>
    <cellStyle name="Normal 2 3 2 3 2 2 11" xfId="27668" xr:uid="{00000000-0005-0000-0000-0000DC6A0000}"/>
    <cellStyle name="Normal 2 3 2 3 2 2 12" xfId="27669" xr:uid="{00000000-0005-0000-0000-0000DD6A0000}"/>
    <cellStyle name="Normal 2 3 2 3 2 2 13" xfId="27670" xr:uid="{00000000-0005-0000-0000-0000DE6A0000}"/>
    <cellStyle name="Normal 2 3 2 3 2 2 14" xfId="27671" xr:uid="{00000000-0005-0000-0000-0000DF6A0000}"/>
    <cellStyle name="Normal 2 3 2 3 2 2 15" xfId="27672" xr:uid="{00000000-0005-0000-0000-0000E06A0000}"/>
    <cellStyle name="Normal 2 3 2 3 2 2 16" xfId="27673" xr:uid="{00000000-0005-0000-0000-0000E16A0000}"/>
    <cellStyle name="Normal 2 3 2 3 2 2 17" xfId="27674" xr:uid="{00000000-0005-0000-0000-0000E26A0000}"/>
    <cellStyle name="Normal 2 3 2 3 2 2 18" xfId="27675" xr:uid="{00000000-0005-0000-0000-0000E36A0000}"/>
    <cellStyle name="Normal 2 3 2 3 2 2 19" xfId="27676" xr:uid="{00000000-0005-0000-0000-0000E46A0000}"/>
    <cellStyle name="Normal 2 3 2 3 2 2 2" xfId="27677" xr:uid="{00000000-0005-0000-0000-0000E56A0000}"/>
    <cellStyle name="Normal 2 3 2 3 2 2 2 2" xfId="27678" xr:uid="{00000000-0005-0000-0000-0000E66A0000}"/>
    <cellStyle name="Normal 2 3 2 3 2 2 2 2 2" xfId="27679" xr:uid="{00000000-0005-0000-0000-0000E76A0000}"/>
    <cellStyle name="Normal 2 3 2 3 2 2 2 2 3" xfId="27680" xr:uid="{00000000-0005-0000-0000-0000E86A0000}"/>
    <cellStyle name="Normal 2 3 2 3 2 2 2 2 4" xfId="27681" xr:uid="{00000000-0005-0000-0000-0000E96A0000}"/>
    <cellStyle name="Normal 2 3 2 3 2 2 2 2 5" xfId="27682" xr:uid="{00000000-0005-0000-0000-0000EA6A0000}"/>
    <cellStyle name="Normal 2 3 2 3 2 2 2 3" xfId="27683" xr:uid="{00000000-0005-0000-0000-0000EB6A0000}"/>
    <cellStyle name="Normal 2 3 2 3 2 2 2 4" xfId="27684" xr:uid="{00000000-0005-0000-0000-0000EC6A0000}"/>
    <cellStyle name="Normal 2 3 2 3 2 2 2 5" xfId="27685" xr:uid="{00000000-0005-0000-0000-0000ED6A0000}"/>
    <cellStyle name="Normal 2 3 2 3 2 2 2 6" xfId="27686" xr:uid="{00000000-0005-0000-0000-0000EE6A0000}"/>
    <cellStyle name="Normal 2 3 2 3 2 2 2 7" xfId="27687" xr:uid="{00000000-0005-0000-0000-0000EF6A0000}"/>
    <cellStyle name="Normal 2 3 2 3 2 2 2 8" xfId="27688" xr:uid="{00000000-0005-0000-0000-0000F06A0000}"/>
    <cellStyle name="Normal 2 3 2 3 2 2 20" xfId="27689" xr:uid="{00000000-0005-0000-0000-0000F16A0000}"/>
    <cellStyle name="Normal 2 3 2 3 2 2 21" xfId="27690" xr:uid="{00000000-0005-0000-0000-0000F26A0000}"/>
    <cellStyle name="Normal 2 3 2 3 2 2 22" xfId="27691" xr:uid="{00000000-0005-0000-0000-0000F36A0000}"/>
    <cellStyle name="Normal 2 3 2 3 2 2 23" xfId="27692" xr:uid="{00000000-0005-0000-0000-0000F46A0000}"/>
    <cellStyle name="Normal 2 3 2 3 2 2 24" xfId="27693" xr:uid="{00000000-0005-0000-0000-0000F56A0000}"/>
    <cellStyle name="Normal 2 3 2 3 2 2 25" xfId="27694" xr:uid="{00000000-0005-0000-0000-0000F66A0000}"/>
    <cellStyle name="Normal 2 3 2 3 2 2 26" xfId="27695" xr:uid="{00000000-0005-0000-0000-0000F76A0000}"/>
    <cellStyle name="Normal 2 3 2 3 2 2 3" xfId="27696" xr:uid="{00000000-0005-0000-0000-0000F86A0000}"/>
    <cellStyle name="Normal 2 3 2 3 2 2 3 2" xfId="27697" xr:uid="{00000000-0005-0000-0000-0000F96A0000}"/>
    <cellStyle name="Normal 2 3 2 3 2 2 3 2 2" xfId="27698" xr:uid="{00000000-0005-0000-0000-0000FA6A0000}"/>
    <cellStyle name="Normal 2 3 2 3 2 2 3 2 3" xfId="27699" xr:uid="{00000000-0005-0000-0000-0000FB6A0000}"/>
    <cellStyle name="Normal 2 3 2 3 2 2 3 2 4" xfId="27700" xr:uid="{00000000-0005-0000-0000-0000FC6A0000}"/>
    <cellStyle name="Normal 2 3 2 3 2 2 3 2 5" xfId="27701" xr:uid="{00000000-0005-0000-0000-0000FD6A0000}"/>
    <cellStyle name="Normal 2 3 2 3 2 2 3 3" xfId="27702" xr:uid="{00000000-0005-0000-0000-0000FE6A0000}"/>
    <cellStyle name="Normal 2 3 2 3 2 2 3 4" xfId="27703" xr:uid="{00000000-0005-0000-0000-0000FF6A0000}"/>
    <cellStyle name="Normal 2 3 2 3 2 2 3 5" xfId="27704" xr:uid="{00000000-0005-0000-0000-0000006B0000}"/>
    <cellStyle name="Normal 2 3 2 3 2 2 3 6" xfId="27705" xr:uid="{00000000-0005-0000-0000-0000016B0000}"/>
    <cellStyle name="Normal 2 3 2 3 2 2 3 7" xfId="27706" xr:uid="{00000000-0005-0000-0000-0000026B0000}"/>
    <cellStyle name="Normal 2 3 2 3 2 2 3 8" xfId="27707" xr:uid="{00000000-0005-0000-0000-0000036B0000}"/>
    <cellStyle name="Normal 2 3 2 3 2 2 4" xfId="27708" xr:uid="{00000000-0005-0000-0000-0000046B0000}"/>
    <cellStyle name="Normal 2 3 2 3 2 2 4 2" xfId="27709" xr:uid="{00000000-0005-0000-0000-0000056B0000}"/>
    <cellStyle name="Normal 2 3 2 3 2 2 4 3" xfId="27710" xr:uid="{00000000-0005-0000-0000-0000066B0000}"/>
    <cellStyle name="Normal 2 3 2 3 2 2 4 4" xfId="27711" xr:uid="{00000000-0005-0000-0000-0000076B0000}"/>
    <cellStyle name="Normal 2 3 2 3 2 2 4 5" xfId="27712" xr:uid="{00000000-0005-0000-0000-0000086B0000}"/>
    <cellStyle name="Normal 2 3 2 3 2 2 5" xfId="27713" xr:uid="{00000000-0005-0000-0000-0000096B0000}"/>
    <cellStyle name="Normal 2 3 2 3 2 2 6" xfId="27714" xr:uid="{00000000-0005-0000-0000-00000A6B0000}"/>
    <cellStyle name="Normal 2 3 2 3 2 2 7" xfId="27715" xr:uid="{00000000-0005-0000-0000-00000B6B0000}"/>
    <cellStyle name="Normal 2 3 2 3 2 2 8" xfId="27716" xr:uid="{00000000-0005-0000-0000-00000C6B0000}"/>
    <cellStyle name="Normal 2 3 2 3 2 2 9" xfId="27717" xr:uid="{00000000-0005-0000-0000-00000D6B0000}"/>
    <cellStyle name="Normal 2 3 2 3 2 20" xfId="27718" xr:uid="{00000000-0005-0000-0000-00000E6B0000}"/>
    <cellStyle name="Normal 2 3 2 3 2 21" xfId="27719" xr:uid="{00000000-0005-0000-0000-00000F6B0000}"/>
    <cellStyle name="Normal 2 3 2 3 2 22" xfId="27720" xr:uid="{00000000-0005-0000-0000-0000106B0000}"/>
    <cellStyle name="Normal 2 3 2 3 2 23" xfId="27721" xr:uid="{00000000-0005-0000-0000-0000116B0000}"/>
    <cellStyle name="Normal 2 3 2 3 2 24" xfId="27722" xr:uid="{00000000-0005-0000-0000-0000126B0000}"/>
    <cellStyle name="Normal 2 3 2 3 2 25" xfId="27723" xr:uid="{00000000-0005-0000-0000-0000136B0000}"/>
    <cellStyle name="Normal 2 3 2 3 2 26" xfId="27724" xr:uid="{00000000-0005-0000-0000-0000146B0000}"/>
    <cellStyle name="Normal 2 3 2 3 2 3" xfId="27725" xr:uid="{00000000-0005-0000-0000-0000156B0000}"/>
    <cellStyle name="Normal 2 3 2 3 2 3 2" xfId="27726" xr:uid="{00000000-0005-0000-0000-0000166B0000}"/>
    <cellStyle name="Normal 2 3 2 3 2 3 2 2" xfId="27727" xr:uid="{00000000-0005-0000-0000-0000176B0000}"/>
    <cellStyle name="Normal 2 3 2 3 2 3 2 3" xfId="27728" xr:uid="{00000000-0005-0000-0000-0000186B0000}"/>
    <cellStyle name="Normal 2 3 2 3 2 3 2 4" xfId="27729" xr:uid="{00000000-0005-0000-0000-0000196B0000}"/>
    <cellStyle name="Normal 2 3 2 3 2 3 2 5" xfId="27730" xr:uid="{00000000-0005-0000-0000-00001A6B0000}"/>
    <cellStyle name="Normal 2 3 2 3 2 3 3" xfId="27731" xr:uid="{00000000-0005-0000-0000-00001B6B0000}"/>
    <cellStyle name="Normal 2 3 2 3 2 3 4" xfId="27732" xr:uid="{00000000-0005-0000-0000-00001C6B0000}"/>
    <cellStyle name="Normal 2 3 2 3 2 3 5" xfId="27733" xr:uid="{00000000-0005-0000-0000-00001D6B0000}"/>
    <cellStyle name="Normal 2 3 2 3 2 3 6" xfId="27734" xr:uid="{00000000-0005-0000-0000-00001E6B0000}"/>
    <cellStyle name="Normal 2 3 2 3 2 3 7" xfId="27735" xr:uid="{00000000-0005-0000-0000-00001F6B0000}"/>
    <cellStyle name="Normal 2 3 2 3 2 3 8" xfId="27736" xr:uid="{00000000-0005-0000-0000-0000206B0000}"/>
    <cellStyle name="Normal 2 3 2 3 2 4" xfId="27737" xr:uid="{00000000-0005-0000-0000-0000216B0000}"/>
    <cellStyle name="Normal 2 3 2 3 2 4 2" xfId="27738" xr:uid="{00000000-0005-0000-0000-0000226B0000}"/>
    <cellStyle name="Normal 2 3 2 3 2 4 2 2" xfId="27739" xr:uid="{00000000-0005-0000-0000-0000236B0000}"/>
    <cellStyle name="Normal 2 3 2 3 2 4 2 3" xfId="27740" xr:uid="{00000000-0005-0000-0000-0000246B0000}"/>
    <cellStyle name="Normal 2 3 2 3 2 4 2 4" xfId="27741" xr:uid="{00000000-0005-0000-0000-0000256B0000}"/>
    <cellStyle name="Normal 2 3 2 3 2 4 2 5" xfId="27742" xr:uid="{00000000-0005-0000-0000-0000266B0000}"/>
    <cellStyle name="Normal 2 3 2 3 2 4 3" xfId="27743" xr:uid="{00000000-0005-0000-0000-0000276B0000}"/>
    <cellStyle name="Normal 2 3 2 3 2 4 4" xfId="27744" xr:uid="{00000000-0005-0000-0000-0000286B0000}"/>
    <cellStyle name="Normal 2 3 2 3 2 4 5" xfId="27745" xr:uid="{00000000-0005-0000-0000-0000296B0000}"/>
    <cellStyle name="Normal 2 3 2 3 2 4 6" xfId="27746" xr:uid="{00000000-0005-0000-0000-00002A6B0000}"/>
    <cellStyle name="Normal 2 3 2 3 2 4 7" xfId="27747" xr:uid="{00000000-0005-0000-0000-00002B6B0000}"/>
    <cellStyle name="Normal 2 3 2 3 2 4 8" xfId="27748" xr:uid="{00000000-0005-0000-0000-00002C6B0000}"/>
    <cellStyle name="Normal 2 3 2 3 2 5" xfId="27749" xr:uid="{00000000-0005-0000-0000-00002D6B0000}"/>
    <cellStyle name="Normal 2 3 2 3 2 5 2" xfId="27750" xr:uid="{00000000-0005-0000-0000-00002E6B0000}"/>
    <cellStyle name="Normal 2 3 2 3 2 5 3" xfId="27751" xr:uid="{00000000-0005-0000-0000-00002F6B0000}"/>
    <cellStyle name="Normal 2 3 2 3 2 5 4" xfId="27752" xr:uid="{00000000-0005-0000-0000-0000306B0000}"/>
    <cellStyle name="Normal 2 3 2 3 2 5 5" xfId="27753" xr:uid="{00000000-0005-0000-0000-0000316B0000}"/>
    <cellStyle name="Normal 2 3 2 3 2 6" xfId="27754" xr:uid="{00000000-0005-0000-0000-0000326B0000}"/>
    <cellStyle name="Normal 2 3 2 3 2 7" xfId="27755" xr:uid="{00000000-0005-0000-0000-0000336B0000}"/>
    <cellStyle name="Normal 2 3 2 3 2 8" xfId="27756" xr:uid="{00000000-0005-0000-0000-0000346B0000}"/>
    <cellStyle name="Normal 2 3 2 3 2 9" xfId="27757" xr:uid="{00000000-0005-0000-0000-0000356B0000}"/>
    <cellStyle name="Normal 2 3 2 3 20" xfId="27758" xr:uid="{00000000-0005-0000-0000-0000366B0000}"/>
    <cellStyle name="Normal 2 3 2 3 21" xfId="27759" xr:uid="{00000000-0005-0000-0000-0000376B0000}"/>
    <cellStyle name="Normal 2 3 2 3 22" xfId="27760" xr:uid="{00000000-0005-0000-0000-0000386B0000}"/>
    <cellStyle name="Normal 2 3 2 3 23" xfId="27761" xr:uid="{00000000-0005-0000-0000-0000396B0000}"/>
    <cellStyle name="Normal 2 3 2 3 24" xfId="27762" xr:uid="{00000000-0005-0000-0000-00003A6B0000}"/>
    <cellStyle name="Normal 2 3 2 3 25" xfId="27763" xr:uid="{00000000-0005-0000-0000-00003B6B0000}"/>
    <cellStyle name="Normal 2 3 2 3 26" xfId="27764" xr:uid="{00000000-0005-0000-0000-00003C6B0000}"/>
    <cellStyle name="Normal 2 3 2 3 27" xfId="27765" xr:uid="{00000000-0005-0000-0000-00003D6B0000}"/>
    <cellStyle name="Normal 2 3 2 3 28" xfId="27766" xr:uid="{00000000-0005-0000-0000-00003E6B0000}"/>
    <cellStyle name="Normal 2 3 2 3 29" xfId="27767" xr:uid="{00000000-0005-0000-0000-00003F6B0000}"/>
    <cellStyle name="Normal 2 3 2 3 3" xfId="27768" xr:uid="{00000000-0005-0000-0000-0000406B0000}"/>
    <cellStyle name="Normal 2 3 2 3 3 10" xfId="27769" xr:uid="{00000000-0005-0000-0000-0000416B0000}"/>
    <cellStyle name="Normal 2 3 2 3 3 11" xfId="27770" xr:uid="{00000000-0005-0000-0000-0000426B0000}"/>
    <cellStyle name="Normal 2 3 2 3 3 2" xfId="27771" xr:uid="{00000000-0005-0000-0000-0000436B0000}"/>
    <cellStyle name="Normal 2 3 2 3 3 2 10" xfId="27772" xr:uid="{00000000-0005-0000-0000-0000446B0000}"/>
    <cellStyle name="Normal 2 3 2 3 3 2 2" xfId="27773" xr:uid="{00000000-0005-0000-0000-0000456B0000}"/>
    <cellStyle name="Normal 2 3 2 3 3 2 2 2" xfId="27774" xr:uid="{00000000-0005-0000-0000-0000466B0000}"/>
    <cellStyle name="Normal 2 3 2 3 3 2 2 2 2" xfId="27775" xr:uid="{00000000-0005-0000-0000-0000476B0000}"/>
    <cellStyle name="Normal 2 3 2 3 3 2 2 2 3" xfId="27776" xr:uid="{00000000-0005-0000-0000-0000486B0000}"/>
    <cellStyle name="Normal 2 3 2 3 3 2 2 2 4" xfId="27777" xr:uid="{00000000-0005-0000-0000-0000496B0000}"/>
    <cellStyle name="Normal 2 3 2 3 3 2 2 2 5" xfId="27778" xr:uid="{00000000-0005-0000-0000-00004A6B0000}"/>
    <cellStyle name="Normal 2 3 2 3 3 2 2 3" xfId="27779" xr:uid="{00000000-0005-0000-0000-00004B6B0000}"/>
    <cellStyle name="Normal 2 3 2 3 3 2 2 4" xfId="27780" xr:uid="{00000000-0005-0000-0000-00004C6B0000}"/>
    <cellStyle name="Normal 2 3 2 3 3 2 2 5" xfId="27781" xr:uid="{00000000-0005-0000-0000-00004D6B0000}"/>
    <cellStyle name="Normal 2 3 2 3 3 2 2 6" xfId="27782" xr:uid="{00000000-0005-0000-0000-00004E6B0000}"/>
    <cellStyle name="Normal 2 3 2 3 3 2 2 7" xfId="27783" xr:uid="{00000000-0005-0000-0000-00004F6B0000}"/>
    <cellStyle name="Normal 2 3 2 3 3 2 2 8" xfId="27784" xr:uid="{00000000-0005-0000-0000-0000506B0000}"/>
    <cellStyle name="Normal 2 3 2 3 3 2 3" xfId="27785" xr:uid="{00000000-0005-0000-0000-0000516B0000}"/>
    <cellStyle name="Normal 2 3 2 3 3 2 3 2" xfId="27786" xr:uid="{00000000-0005-0000-0000-0000526B0000}"/>
    <cellStyle name="Normal 2 3 2 3 3 2 3 2 2" xfId="27787" xr:uid="{00000000-0005-0000-0000-0000536B0000}"/>
    <cellStyle name="Normal 2 3 2 3 3 2 3 2 3" xfId="27788" xr:uid="{00000000-0005-0000-0000-0000546B0000}"/>
    <cellStyle name="Normal 2 3 2 3 3 2 3 2 4" xfId="27789" xr:uid="{00000000-0005-0000-0000-0000556B0000}"/>
    <cellStyle name="Normal 2 3 2 3 3 2 3 2 5" xfId="27790" xr:uid="{00000000-0005-0000-0000-0000566B0000}"/>
    <cellStyle name="Normal 2 3 2 3 3 2 3 3" xfId="27791" xr:uid="{00000000-0005-0000-0000-0000576B0000}"/>
    <cellStyle name="Normal 2 3 2 3 3 2 3 4" xfId="27792" xr:uid="{00000000-0005-0000-0000-0000586B0000}"/>
    <cellStyle name="Normal 2 3 2 3 3 2 3 5" xfId="27793" xr:uid="{00000000-0005-0000-0000-0000596B0000}"/>
    <cellStyle name="Normal 2 3 2 3 3 2 3 6" xfId="27794" xr:uid="{00000000-0005-0000-0000-00005A6B0000}"/>
    <cellStyle name="Normal 2 3 2 3 3 2 3 7" xfId="27795" xr:uid="{00000000-0005-0000-0000-00005B6B0000}"/>
    <cellStyle name="Normal 2 3 2 3 3 2 3 8" xfId="27796" xr:uid="{00000000-0005-0000-0000-00005C6B0000}"/>
    <cellStyle name="Normal 2 3 2 3 3 2 4" xfId="27797" xr:uid="{00000000-0005-0000-0000-00005D6B0000}"/>
    <cellStyle name="Normal 2 3 2 3 3 2 4 2" xfId="27798" xr:uid="{00000000-0005-0000-0000-00005E6B0000}"/>
    <cellStyle name="Normal 2 3 2 3 3 2 4 3" xfId="27799" xr:uid="{00000000-0005-0000-0000-00005F6B0000}"/>
    <cellStyle name="Normal 2 3 2 3 3 2 4 4" xfId="27800" xr:uid="{00000000-0005-0000-0000-0000606B0000}"/>
    <cellStyle name="Normal 2 3 2 3 3 2 4 5" xfId="27801" xr:uid="{00000000-0005-0000-0000-0000616B0000}"/>
    <cellStyle name="Normal 2 3 2 3 3 2 5" xfId="27802" xr:uid="{00000000-0005-0000-0000-0000626B0000}"/>
    <cellStyle name="Normal 2 3 2 3 3 2 6" xfId="27803" xr:uid="{00000000-0005-0000-0000-0000636B0000}"/>
    <cellStyle name="Normal 2 3 2 3 3 2 7" xfId="27804" xr:uid="{00000000-0005-0000-0000-0000646B0000}"/>
    <cellStyle name="Normal 2 3 2 3 3 2 8" xfId="27805" xr:uid="{00000000-0005-0000-0000-0000656B0000}"/>
    <cellStyle name="Normal 2 3 2 3 3 2 9" xfId="27806" xr:uid="{00000000-0005-0000-0000-0000666B0000}"/>
    <cellStyle name="Normal 2 3 2 3 3 3" xfId="27807" xr:uid="{00000000-0005-0000-0000-0000676B0000}"/>
    <cellStyle name="Normal 2 3 2 3 3 3 2" xfId="27808" xr:uid="{00000000-0005-0000-0000-0000686B0000}"/>
    <cellStyle name="Normal 2 3 2 3 3 3 2 2" xfId="27809" xr:uid="{00000000-0005-0000-0000-0000696B0000}"/>
    <cellStyle name="Normal 2 3 2 3 3 3 2 3" xfId="27810" xr:uid="{00000000-0005-0000-0000-00006A6B0000}"/>
    <cellStyle name="Normal 2 3 2 3 3 3 2 4" xfId="27811" xr:uid="{00000000-0005-0000-0000-00006B6B0000}"/>
    <cellStyle name="Normal 2 3 2 3 3 3 2 5" xfId="27812" xr:uid="{00000000-0005-0000-0000-00006C6B0000}"/>
    <cellStyle name="Normal 2 3 2 3 3 3 3" xfId="27813" xr:uid="{00000000-0005-0000-0000-00006D6B0000}"/>
    <cellStyle name="Normal 2 3 2 3 3 3 4" xfId="27814" xr:uid="{00000000-0005-0000-0000-00006E6B0000}"/>
    <cellStyle name="Normal 2 3 2 3 3 3 5" xfId="27815" xr:uid="{00000000-0005-0000-0000-00006F6B0000}"/>
    <cellStyle name="Normal 2 3 2 3 3 3 6" xfId="27816" xr:uid="{00000000-0005-0000-0000-0000706B0000}"/>
    <cellStyle name="Normal 2 3 2 3 3 3 7" xfId="27817" xr:uid="{00000000-0005-0000-0000-0000716B0000}"/>
    <cellStyle name="Normal 2 3 2 3 3 3 8" xfId="27818" xr:uid="{00000000-0005-0000-0000-0000726B0000}"/>
    <cellStyle name="Normal 2 3 2 3 3 4" xfId="27819" xr:uid="{00000000-0005-0000-0000-0000736B0000}"/>
    <cellStyle name="Normal 2 3 2 3 3 4 2" xfId="27820" xr:uid="{00000000-0005-0000-0000-0000746B0000}"/>
    <cellStyle name="Normal 2 3 2 3 3 4 2 2" xfId="27821" xr:uid="{00000000-0005-0000-0000-0000756B0000}"/>
    <cellStyle name="Normal 2 3 2 3 3 4 2 3" xfId="27822" xr:uid="{00000000-0005-0000-0000-0000766B0000}"/>
    <cellStyle name="Normal 2 3 2 3 3 4 2 4" xfId="27823" xr:uid="{00000000-0005-0000-0000-0000776B0000}"/>
    <cellStyle name="Normal 2 3 2 3 3 4 2 5" xfId="27824" xr:uid="{00000000-0005-0000-0000-0000786B0000}"/>
    <cellStyle name="Normal 2 3 2 3 3 4 3" xfId="27825" xr:uid="{00000000-0005-0000-0000-0000796B0000}"/>
    <cellStyle name="Normal 2 3 2 3 3 4 4" xfId="27826" xr:uid="{00000000-0005-0000-0000-00007A6B0000}"/>
    <cellStyle name="Normal 2 3 2 3 3 4 5" xfId="27827" xr:uid="{00000000-0005-0000-0000-00007B6B0000}"/>
    <cellStyle name="Normal 2 3 2 3 3 4 6" xfId="27828" xr:uid="{00000000-0005-0000-0000-00007C6B0000}"/>
    <cellStyle name="Normal 2 3 2 3 3 4 7" xfId="27829" xr:uid="{00000000-0005-0000-0000-00007D6B0000}"/>
    <cellStyle name="Normal 2 3 2 3 3 4 8" xfId="27830" xr:uid="{00000000-0005-0000-0000-00007E6B0000}"/>
    <cellStyle name="Normal 2 3 2 3 3 5" xfId="27831" xr:uid="{00000000-0005-0000-0000-00007F6B0000}"/>
    <cellStyle name="Normal 2 3 2 3 3 5 2" xfId="27832" xr:uid="{00000000-0005-0000-0000-0000806B0000}"/>
    <cellStyle name="Normal 2 3 2 3 3 5 3" xfId="27833" xr:uid="{00000000-0005-0000-0000-0000816B0000}"/>
    <cellStyle name="Normal 2 3 2 3 3 5 4" xfId="27834" xr:uid="{00000000-0005-0000-0000-0000826B0000}"/>
    <cellStyle name="Normal 2 3 2 3 3 5 5" xfId="27835" xr:uid="{00000000-0005-0000-0000-0000836B0000}"/>
    <cellStyle name="Normal 2 3 2 3 3 6" xfId="27836" xr:uid="{00000000-0005-0000-0000-0000846B0000}"/>
    <cellStyle name="Normal 2 3 2 3 3 7" xfId="27837" xr:uid="{00000000-0005-0000-0000-0000856B0000}"/>
    <cellStyle name="Normal 2 3 2 3 3 8" xfId="27838" xr:uid="{00000000-0005-0000-0000-0000866B0000}"/>
    <cellStyle name="Normal 2 3 2 3 3 9" xfId="27839" xr:uid="{00000000-0005-0000-0000-0000876B0000}"/>
    <cellStyle name="Normal 2 3 2 3 30" xfId="27840" xr:uid="{00000000-0005-0000-0000-0000886B0000}"/>
    <cellStyle name="Normal 2 3 2 3 31" xfId="27841" xr:uid="{00000000-0005-0000-0000-0000896B0000}"/>
    <cellStyle name="Normal 2 3 2 3 32" xfId="27842" xr:uid="{00000000-0005-0000-0000-00008A6B0000}"/>
    <cellStyle name="Normal 2 3 2 3 33" xfId="27843" xr:uid="{00000000-0005-0000-0000-00008B6B0000}"/>
    <cellStyle name="Normal 2 3 2 3 34" xfId="27844" xr:uid="{00000000-0005-0000-0000-00008C6B0000}"/>
    <cellStyle name="Normal 2 3 2 3 35" xfId="27845" xr:uid="{00000000-0005-0000-0000-00008D6B0000}"/>
    <cellStyle name="Normal 2 3 2 3 36" xfId="27846" xr:uid="{00000000-0005-0000-0000-00008E6B0000}"/>
    <cellStyle name="Normal 2 3 2 3 37" xfId="27847" xr:uid="{00000000-0005-0000-0000-00008F6B0000}"/>
    <cellStyle name="Normal 2 3 2 3 38" xfId="27848" xr:uid="{00000000-0005-0000-0000-0000906B0000}"/>
    <cellStyle name="Normal 2 3 2 3 4" xfId="27849" xr:uid="{00000000-0005-0000-0000-0000916B0000}"/>
    <cellStyle name="Normal 2 3 2 3 4 10" xfId="27850" xr:uid="{00000000-0005-0000-0000-0000926B0000}"/>
    <cellStyle name="Normal 2 3 2 3 4 2" xfId="27851" xr:uid="{00000000-0005-0000-0000-0000936B0000}"/>
    <cellStyle name="Normal 2 3 2 3 4 2 2" xfId="27852" xr:uid="{00000000-0005-0000-0000-0000946B0000}"/>
    <cellStyle name="Normal 2 3 2 3 4 2 2 2" xfId="27853" xr:uid="{00000000-0005-0000-0000-0000956B0000}"/>
    <cellStyle name="Normal 2 3 2 3 4 2 2 3" xfId="27854" xr:uid="{00000000-0005-0000-0000-0000966B0000}"/>
    <cellStyle name="Normal 2 3 2 3 4 2 2 4" xfId="27855" xr:uid="{00000000-0005-0000-0000-0000976B0000}"/>
    <cellStyle name="Normal 2 3 2 3 4 2 2 5" xfId="27856" xr:uid="{00000000-0005-0000-0000-0000986B0000}"/>
    <cellStyle name="Normal 2 3 2 3 4 2 3" xfId="27857" xr:uid="{00000000-0005-0000-0000-0000996B0000}"/>
    <cellStyle name="Normal 2 3 2 3 4 2 4" xfId="27858" xr:uid="{00000000-0005-0000-0000-00009A6B0000}"/>
    <cellStyle name="Normal 2 3 2 3 4 2 5" xfId="27859" xr:uid="{00000000-0005-0000-0000-00009B6B0000}"/>
    <cellStyle name="Normal 2 3 2 3 4 2 6" xfId="27860" xr:uid="{00000000-0005-0000-0000-00009C6B0000}"/>
    <cellStyle name="Normal 2 3 2 3 4 2 7" xfId="27861" xr:uid="{00000000-0005-0000-0000-00009D6B0000}"/>
    <cellStyle name="Normal 2 3 2 3 4 2 8" xfId="27862" xr:uid="{00000000-0005-0000-0000-00009E6B0000}"/>
    <cellStyle name="Normal 2 3 2 3 4 3" xfId="27863" xr:uid="{00000000-0005-0000-0000-00009F6B0000}"/>
    <cellStyle name="Normal 2 3 2 3 4 3 2" xfId="27864" xr:uid="{00000000-0005-0000-0000-0000A06B0000}"/>
    <cellStyle name="Normal 2 3 2 3 4 3 2 2" xfId="27865" xr:uid="{00000000-0005-0000-0000-0000A16B0000}"/>
    <cellStyle name="Normal 2 3 2 3 4 3 2 3" xfId="27866" xr:uid="{00000000-0005-0000-0000-0000A26B0000}"/>
    <cellStyle name="Normal 2 3 2 3 4 3 2 4" xfId="27867" xr:uid="{00000000-0005-0000-0000-0000A36B0000}"/>
    <cellStyle name="Normal 2 3 2 3 4 3 2 5" xfId="27868" xr:uid="{00000000-0005-0000-0000-0000A46B0000}"/>
    <cellStyle name="Normal 2 3 2 3 4 3 3" xfId="27869" xr:uid="{00000000-0005-0000-0000-0000A56B0000}"/>
    <cellStyle name="Normal 2 3 2 3 4 3 4" xfId="27870" xr:uid="{00000000-0005-0000-0000-0000A66B0000}"/>
    <cellStyle name="Normal 2 3 2 3 4 3 5" xfId="27871" xr:uid="{00000000-0005-0000-0000-0000A76B0000}"/>
    <cellStyle name="Normal 2 3 2 3 4 3 6" xfId="27872" xr:uid="{00000000-0005-0000-0000-0000A86B0000}"/>
    <cellStyle name="Normal 2 3 2 3 4 3 7" xfId="27873" xr:uid="{00000000-0005-0000-0000-0000A96B0000}"/>
    <cellStyle name="Normal 2 3 2 3 4 3 8" xfId="27874" xr:uid="{00000000-0005-0000-0000-0000AA6B0000}"/>
    <cellStyle name="Normal 2 3 2 3 4 4" xfId="27875" xr:uid="{00000000-0005-0000-0000-0000AB6B0000}"/>
    <cellStyle name="Normal 2 3 2 3 4 4 2" xfId="27876" xr:uid="{00000000-0005-0000-0000-0000AC6B0000}"/>
    <cellStyle name="Normal 2 3 2 3 4 4 3" xfId="27877" xr:uid="{00000000-0005-0000-0000-0000AD6B0000}"/>
    <cellStyle name="Normal 2 3 2 3 4 4 4" xfId="27878" xr:uid="{00000000-0005-0000-0000-0000AE6B0000}"/>
    <cellStyle name="Normal 2 3 2 3 4 4 5" xfId="27879" xr:uid="{00000000-0005-0000-0000-0000AF6B0000}"/>
    <cellStyle name="Normal 2 3 2 3 4 5" xfId="27880" xr:uid="{00000000-0005-0000-0000-0000B06B0000}"/>
    <cellStyle name="Normal 2 3 2 3 4 6" xfId="27881" xr:uid="{00000000-0005-0000-0000-0000B16B0000}"/>
    <cellStyle name="Normal 2 3 2 3 4 7" xfId="27882" xr:uid="{00000000-0005-0000-0000-0000B26B0000}"/>
    <cellStyle name="Normal 2 3 2 3 4 8" xfId="27883" xr:uid="{00000000-0005-0000-0000-0000B36B0000}"/>
    <cellStyle name="Normal 2 3 2 3 4 9" xfId="27884" xr:uid="{00000000-0005-0000-0000-0000B46B0000}"/>
    <cellStyle name="Normal 2 3 2 3 5" xfId="27885" xr:uid="{00000000-0005-0000-0000-0000B56B0000}"/>
    <cellStyle name="Normal 2 3 2 3 5 2" xfId="27886" xr:uid="{00000000-0005-0000-0000-0000B66B0000}"/>
    <cellStyle name="Normal 2 3 2 3 5 2 2" xfId="27887" xr:uid="{00000000-0005-0000-0000-0000B76B0000}"/>
    <cellStyle name="Normal 2 3 2 3 5 2 3" xfId="27888" xr:uid="{00000000-0005-0000-0000-0000B86B0000}"/>
    <cellStyle name="Normal 2 3 2 3 5 2 4" xfId="27889" xr:uid="{00000000-0005-0000-0000-0000B96B0000}"/>
    <cellStyle name="Normal 2 3 2 3 5 2 5" xfId="27890" xr:uid="{00000000-0005-0000-0000-0000BA6B0000}"/>
    <cellStyle name="Normal 2 3 2 3 5 3" xfId="27891" xr:uid="{00000000-0005-0000-0000-0000BB6B0000}"/>
    <cellStyle name="Normal 2 3 2 3 5 4" xfId="27892" xr:uid="{00000000-0005-0000-0000-0000BC6B0000}"/>
    <cellStyle name="Normal 2 3 2 3 5 5" xfId="27893" xr:uid="{00000000-0005-0000-0000-0000BD6B0000}"/>
    <cellStyle name="Normal 2 3 2 3 5 6" xfId="27894" xr:uid="{00000000-0005-0000-0000-0000BE6B0000}"/>
    <cellStyle name="Normal 2 3 2 3 5 7" xfId="27895" xr:uid="{00000000-0005-0000-0000-0000BF6B0000}"/>
    <cellStyle name="Normal 2 3 2 3 5 8" xfId="27896" xr:uid="{00000000-0005-0000-0000-0000C06B0000}"/>
    <cellStyle name="Normal 2 3 2 3 6" xfId="27897" xr:uid="{00000000-0005-0000-0000-0000C16B0000}"/>
    <cellStyle name="Normal 2 3 2 3 6 2" xfId="27898" xr:uid="{00000000-0005-0000-0000-0000C26B0000}"/>
    <cellStyle name="Normal 2 3 2 3 6 2 2" xfId="27899" xr:uid="{00000000-0005-0000-0000-0000C36B0000}"/>
    <cellStyle name="Normal 2 3 2 3 6 2 3" xfId="27900" xr:uid="{00000000-0005-0000-0000-0000C46B0000}"/>
    <cellStyle name="Normal 2 3 2 3 6 2 4" xfId="27901" xr:uid="{00000000-0005-0000-0000-0000C56B0000}"/>
    <cellStyle name="Normal 2 3 2 3 6 2 5" xfId="27902" xr:uid="{00000000-0005-0000-0000-0000C66B0000}"/>
    <cellStyle name="Normal 2 3 2 3 6 3" xfId="27903" xr:uid="{00000000-0005-0000-0000-0000C76B0000}"/>
    <cellStyle name="Normal 2 3 2 3 6 4" xfId="27904" xr:uid="{00000000-0005-0000-0000-0000C86B0000}"/>
    <cellStyle name="Normal 2 3 2 3 6 5" xfId="27905" xr:uid="{00000000-0005-0000-0000-0000C96B0000}"/>
    <cellStyle name="Normal 2 3 2 3 6 6" xfId="27906" xr:uid="{00000000-0005-0000-0000-0000CA6B0000}"/>
    <cellStyle name="Normal 2 3 2 3 6 7" xfId="27907" xr:uid="{00000000-0005-0000-0000-0000CB6B0000}"/>
    <cellStyle name="Normal 2 3 2 3 6 8" xfId="27908" xr:uid="{00000000-0005-0000-0000-0000CC6B0000}"/>
    <cellStyle name="Normal 2 3 2 3 7" xfId="27909" xr:uid="{00000000-0005-0000-0000-0000CD6B0000}"/>
    <cellStyle name="Normal 2 3 2 3 7 2" xfId="27910" xr:uid="{00000000-0005-0000-0000-0000CE6B0000}"/>
    <cellStyle name="Normal 2 3 2 3 7 3" xfId="27911" xr:uid="{00000000-0005-0000-0000-0000CF6B0000}"/>
    <cellStyle name="Normal 2 3 2 3 7 4" xfId="27912" xr:uid="{00000000-0005-0000-0000-0000D06B0000}"/>
    <cellStyle name="Normal 2 3 2 3 7 5" xfId="27913" xr:uid="{00000000-0005-0000-0000-0000D16B0000}"/>
    <cellStyle name="Normal 2 3 2 3 8" xfId="27914" xr:uid="{00000000-0005-0000-0000-0000D26B0000}"/>
    <cellStyle name="Normal 2 3 2 3 9" xfId="27915" xr:uid="{00000000-0005-0000-0000-0000D36B0000}"/>
    <cellStyle name="Normal 2 3 2 30" xfId="27916" xr:uid="{00000000-0005-0000-0000-0000D46B0000}"/>
    <cellStyle name="Normal 2 3 2 31" xfId="27917" xr:uid="{00000000-0005-0000-0000-0000D56B0000}"/>
    <cellStyle name="Normal 2 3 2 32" xfId="27918" xr:uid="{00000000-0005-0000-0000-0000D66B0000}"/>
    <cellStyle name="Normal 2 3 2 33" xfId="27919" xr:uid="{00000000-0005-0000-0000-0000D76B0000}"/>
    <cellStyle name="Normal 2 3 2 34" xfId="27920" xr:uid="{00000000-0005-0000-0000-0000D86B0000}"/>
    <cellStyle name="Normal 2 3 2 35" xfId="27921" xr:uid="{00000000-0005-0000-0000-0000D96B0000}"/>
    <cellStyle name="Normal 2 3 2 36" xfId="27922" xr:uid="{00000000-0005-0000-0000-0000DA6B0000}"/>
    <cellStyle name="Normal 2 3 2 37" xfId="27923" xr:uid="{00000000-0005-0000-0000-0000DB6B0000}"/>
    <cellStyle name="Normal 2 3 2 38" xfId="27924" xr:uid="{00000000-0005-0000-0000-0000DC6B0000}"/>
    <cellStyle name="Normal 2 3 2 39" xfId="27925" xr:uid="{00000000-0005-0000-0000-0000DD6B0000}"/>
    <cellStyle name="Normal 2 3 2 4" xfId="27926" xr:uid="{00000000-0005-0000-0000-0000DE6B0000}"/>
    <cellStyle name="Normal 2 3 2 4 10" xfId="27927" xr:uid="{00000000-0005-0000-0000-0000DF6B0000}"/>
    <cellStyle name="Normal 2 3 2 4 11" xfId="27928" xr:uid="{00000000-0005-0000-0000-0000E06B0000}"/>
    <cellStyle name="Normal 2 3 2 4 12" xfId="27929" xr:uid="{00000000-0005-0000-0000-0000E16B0000}"/>
    <cellStyle name="Normal 2 3 2 4 13" xfId="27930" xr:uid="{00000000-0005-0000-0000-0000E26B0000}"/>
    <cellStyle name="Normal 2 3 2 4 14" xfId="27931" xr:uid="{00000000-0005-0000-0000-0000E36B0000}"/>
    <cellStyle name="Normal 2 3 2 4 15" xfId="27932" xr:uid="{00000000-0005-0000-0000-0000E46B0000}"/>
    <cellStyle name="Normal 2 3 2 4 16" xfId="27933" xr:uid="{00000000-0005-0000-0000-0000E56B0000}"/>
    <cellStyle name="Normal 2 3 2 4 17" xfId="27934" xr:uid="{00000000-0005-0000-0000-0000E66B0000}"/>
    <cellStyle name="Normal 2 3 2 4 18" xfId="27935" xr:uid="{00000000-0005-0000-0000-0000E76B0000}"/>
    <cellStyle name="Normal 2 3 2 4 19" xfId="27936" xr:uid="{00000000-0005-0000-0000-0000E86B0000}"/>
    <cellStyle name="Normal 2 3 2 4 2" xfId="27937" xr:uid="{00000000-0005-0000-0000-0000E96B0000}"/>
    <cellStyle name="Normal 2 3 2 4 2 10" xfId="27938" xr:uid="{00000000-0005-0000-0000-0000EA6B0000}"/>
    <cellStyle name="Normal 2 3 2 4 2 11" xfId="27939" xr:uid="{00000000-0005-0000-0000-0000EB6B0000}"/>
    <cellStyle name="Normal 2 3 2 4 2 12" xfId="27940" xr:uid="{00000000-0005-0000-0000-0000EC6B0000}"/>
    <cellStyle name="Normal 2 3 2 4 2 13" xfId="27941" xr:uid="{00000000-0005-0000-0000-0000ED6B0000}"/>
    <cellStyle name="Normal 2 3 2 4 2 14" xfId="27942" xr:uid="{00000000-0005-0000-0000-0000EE6B0000}"/>
    <cellStyle name="Normal 2 3 2 4 2 15" xfId="27943" xr:uid="{00000000-0005-0000-0000-0000EF6B0000}"/>
    <cellStyle name="Normal 2 3 2 4 2 16" xfId="27944" xr:uid="{00000000-0005-0000-0000-0000F06B0000}"/>
    <cellStyle name="Normal 2 3 2 4 2 17" xfId="27945" xr:uid="{00000000-0005-0000-0000-0000F16B0000}"/>
    <cellStyle name="Normal 2 3 2 4 2 18" xfId="27946" xr:uid="{00000000-0005-0000-0000-0000F26B0000}"/>
    <cellStyle name="Normal 2 3 2 4 2 19" xfId="27947" xr:uid="{00000000-0005-0000-0000-0000F36B0000}"/>
    <cellStyle name="Normal 2 3 2 4 2 2" xfId="27948" xr:uid="{00000000-0005-0000-0000-0000F46B0000}"/>
    <cellStyle name="Normal 2 3 2 4 2 2 10" xfId="27949" xr:uid="{00000000-0005-0000-0000-0000F56B0000}"/>
    <cellStyle name="Normal 2 3 2 4 2 2 2" xfId="27950" xr:uid="{00000000-0005-0000-0000-0000F66B0000}"/>
    <cellStyle name="Normal 2 3 2 4 2 2 2 2" xfId="27951" xr:uid="{00000000-0005-0000-0000-0000F76B0000}"/>
    <cellStyle name="Normal 2 3 2 4 2 2 2 2 2" xfId="27952" xr:uid="{00000000-0005-0000-0000-0000F86B0000}"/>
    <cellStyle name="Normal 2 3 2 4 2 2 2 2 3" xfId="27953" xr:uid="{00000000-0005-0000-0000-0000F96B0000}"/>
    <cellStyle name="Normal 2 3 2 4 2 2 2 2 4" xfId="27954" xr:uid="{00000000-0005-0000-0000-0000FA6B0000}"/>
    <cellStyle name="Normal 2 3 2 4 2 2 2 2 5" xfId="27955" xr:uid="{00000000-0005-0000-0000-0000FB6B0000}"/>
    <cellStyle name="Normal 2 3 2 4 2 2 2 3" xfId="27956" xr:uid="{00000000-0005-0000-0000-0000FC6B0000}"/>
    <cellStyle name="Normal 2 3 2 4 2 2 2 4" xfId="27957" xr:uid="{00000000-0005-0000-0000-0000FD6B0000}"/>
    <cellStyle name="Normal 2 3 2 4 2 2 2 5" xfId="27958" xr:uid="{00000000-0005-0000-0000-0000FE6B0000}"/>
    <cellStyle name="Normal 2 3 2 4 2 2 2 6" xfId="27959" xr:uid="{00000000-0005-0000-0000-0000FF6B0000}"/>
    <cellStyle name="Normal 2 3 2 4 2 2 2 7" xfId="27960" xr:uid="{00000000-0005-0000-0000-0000006C0000}"/>
    <cellStyle name="Normal 2 3 2 4 2 2 2 8" xfId="27961" xr:uid="{00000000-0005-0000-0000-0000016C0000}"/>
    <cellStyle name="Normal 2 3 2 4 2 2 3" xfId="27962" xr:uid="{00000000-0005-0000-0000-0000026C0000}"/>
    <cellStyle name="Normal 2 3 2 4 2 2 3 2" xfId="27963" xr:uid="{00000000-0005-0000-0000-0000036C0000}"/>
    <cellStyle name="Normal 2 3 2 4 2 2 3 2 2" xfId="27964" xr:uid="{00000000-0005-0000-0000-0000046C0000}"/>
    <cellStyle name="Normal 2 3 2 4 2 2 3 2 3" xfId="27965" xr:uid="{00000000-0005-0000-0000-0000056C0000}"/>
    <cellStyle name="Normal 2 3 2 4 2 2 3 2 4" xfId="27966" xr:uid="{00000000-0005-0000-0000-0000066C0000}"/>
    <cellStyle name="Normal 2 3 2 4 2 2 3 2 5" xfId="27967" xr:uid="{00000000-0005-0000-0000-0000076C0000}"/>
    <cellStyle name="Normal 2 3 2 4 2 2 3 3" xfId="27968" xr:uid="{00000000-0005-0000-0000-0000086C0000}"/>
    <cellStyle name="Normal 2 3 2 4 2 2 3 4" xfId="27969" xr:uid="{00000000-0005-0000-0000-0000096C0000}"/>
    <cellStyle name="Normal 2 3 2 4 2 2 3 5" xfId="27970" xr:uid="{00000000-0005-0000-0000-00000A6C0000}"/>
    <cellStyle name="Normal 2 3 2 4 2 2 3 6" xfId="27971" xr:uid="{00000000-0005-0000-0000-00000B6C0000}"/>
    <cellStyle name="Normal 2 3 2 4 2 2 3 7" xfId="27972" xr:uid="{00000000-0005-0000-0000-00000C6C0000}"/>
    <cellStyle name="Normal 2 3 2 4 2 2 3 8" xfId="27973" xr:uid="{00000000-0005-0000-0000-00000D6C0000}"/>
    <cellStyle name="Normal 2 3 2 4 2 2 4" xfId="27974" xr:uid="{00000000-0005-0000-0000-00000E6C0000}"/>
    <cellStyle name="Normal 2 3 2 4 2 2 4 2" xfId="27975" xr:uid="{00000000-0005-0000-0000-00000F6C0000}"/>
    <cellStyle name="Normal 2 3 2 4 2 2 4 3" xfId="27976" xr:uid="{00000000-0005-0000-0000-0000106C0000}"/>
    <cellStyle name="Normal 2 3 2 4 2 2 4 4" xfId="27977" xr:uid="{00000000-0005-0000-0000-0000116C0000}"/>
    <cellStyle name="Normal 2 3 2 4 2 2 4 5" xfId="27978" xr:uid="{00000000-0005-0000-0000-0000126C0000}"/>
    <cellStyle name="Normal 2 3 2 4 2 2 5" xfId="27979" xr:uid="{00000000-0005-0000-0000-0000136C0000}"/>
    <cellStyle name="Normal 2 3 2 4 2 2 6" xfId="27980" xr:uid="{00000000-0005-0000-0000-0000146C0000}"/>
    <cellStyle name="Normal 2 3 2 4 2 2 7" xfId="27981" xr:uid="{00000000-0005-0000-0000-0000156C0000}"/>
    <cellStyle name="Normal 2 3 2 4 2 2 8" xfId="27982" xr:uid="{00000000-0005-0000-0000-0000166C0000}"/>
    <cellStyle name="Normal 2 3 2 4 2 2 9" xfId="27983" xr:uid="{00000000-0005-0000-0000-0000176C0000}"/>
    <cellStyle name="Normal 2 3 2 4 2 20" xfId="27984" xr:uid="{00000000-0005-0000-0000-0000186C0000}"/>
    <cellStyle name="Normal 2 3 2 4 2 21" xfId="27985" xr:uid="{00000000-0005-0000-0000-0000196C0000}"/>
    <cellStyle name="Normal 2 3 2 4 2 22" xfId="27986" xr:uid="{00000000-0005-0000-0000-00001A6C0000}"/>
    <cellStyle name="Normal 2 3 2 4 2 23" xfId="27987" xr:uid="{00000000-0005-0000-0000-00001B6C0000}"/>
    <cellStyle name="Normal 2 3 2 4 2 24" xfId="27988" xr:uid="{00000000-0005-0000-0000-00001C6C0000}"/>
    <cellStyle name="Normal 2 3 2 4 2 25" xfId="27989" xr:uid="{00000000-0005-0000-0000-00001D6C0000}"/>
    <cellStyle name="Normal 2 3 2 4 2 26" xfId="27990" xr:uid="{00000000-0005-0000-0000-00001E6C0000}"/>
    <cellStyle name="Normal 2 3 2 4 2 3" xfId="27991" xr:uid="{00000000-0005-0000-0000-00001F6C0000}"/>
    <cellStyle name="Normal 2 3 2 4 2 3 2" xfId="27992" xr:uid="{00000000-0005-0000-0000-0000206C0000}"/>
    <cellStyle name="Normal 2 3 2 4 2 3 2 2" xfId="27993" xr:uid="{00000000-0005-0000-0000-0000216C0000}"/>
    <cellStyle name="Normal 2 3 2 4 2 3 2 3" xfId="27994" xr:uid="{00000000-0005-0000-0000-0000226C0000}"/>
    <cellStyle name="Normal 2 3 2 4 2 3 2 4" xfId="27995" xr:uid="{00000000-0005-0000-0000-0000236C0000}"/>
    <cellStyle name="Normal 2 3 2 4 2 3 2 5" xfId="27996" xr:uid="{00000000-0005-0000-0000-0000246C0000}"/>
    <cellStyle name="Normal 2 3 2 4 2 3 3" xfId="27997" xr:uid="{00000000-0005-0000-0000-0000256C0000}"/>
    <cellStyle name="Normal 2 3 2 4 2 3 4" xfId="27998" xr:uid="{00000000-0005-0000-0000-0000266C0000}"/>
    <cellStyle name="Normal 2 3 2 4 2 3 5" xfId="27999" xr:uid="{00000000-0005-0000-0000-0000276C0000}"/>
    <cellStyle name="Normal 2 3 2 4 2 3 6" xfId="28000" xr:uid="{00000000-0005-0000-0000-0000286C0000}"/>
    <cellStyle name="Normal 2 3 2 4 2 3 7" xfId="28001" xr:uid="{00000000-0005-0000-0000-0000296C0000}"/>
    <cellStyle name="Normal 2 3 2 4 2 3 8" xfId="28002" xr:uid="{00000000-0005-0000-0000-00002A6C0000}"/>
    <cellStyle name="Normal 2 3 2 4 2 4" xfId="28003" xr:uid="{00000000-0005-0000-0000-00002B6C0000}"/>
    <cellStyle name="Normal 2 3 2 4 2 4 2" xfId="28004" xr:uid="{00000000-0005-0000-0000-00002C6C0000}"/>
    <cellStyle name="Normal 2 3 2 4 2 4 2 2" xfId="28005" xr:uid="{00000000-0005-0000-0000-00002D6C0000}"/>
    <cellStyle name="Normal 2 3 2 4 2 4 2 3" xfId="28006" xr:uid="{00000000-0005-0000-0000-00002E6C0000}"/>
    <cellStyle name="Normal 2 3 2 4 2 4 2 4" xfId="28007" xr:uid="{00000000-0005-0000-0000-00002F6C0000}"/>
    <cellStyle name="Normal 2 3 2 4 2 4 2 5" xfId="28008" xr:uid="{00000000-0005-0000-0000-0000306C0000}"/>
    <cellStyle name="Normal 2 3 2 4 2 4 3" xfId="28009" xr:uid="{00000000-0005-0000-0000-0000316C0000}"/>
    <cellStyle name="Normal 2 3 2 4 2 4 4" xfId="28010" xr:uid="{00000000-0005-0000-0000-0000326C0000}"/>
    <cellStyle name="Normal 2 3 2 4 2 4 5" xfId="28011" xr:uid="{00000000-0005-0000-0000-0000336C0000}"/>
    <cellStyle name="Normal 2 3 2 4 2 4 6" xfId="28012" xr:uid="{00000000-0005-0000-0000-0000346C0000}"/>
    <cellStyle name="Normal 2 3 2 4 2 4 7" xfId="28013" xr:uid="{00000000-0005-0000-0000-0000356C0000}"/>
    <cellStyle name="Normal 2 3 2 4 2 4 8" xfId="28014" xr:uid="{00000000-0005-0000-0000-0000366C0000}"/>
    <cellStyle name="Normal 2 3 2 4 2 5" xfId="28015" xr:uid="{00000000-0005-0000-0000-0000376C0000}"/>
    <cellStyle name="Normal 2 3 2 4 2 5 2" xfId="28016" xr:uid="{00000000-0005-0000-0000-0000386C0000}"/>
    <cellStyle name="Normal 2 3 2 4 2 5 3" xfId="28017" xr:uid="{00000000-0005-0000-0000-0000396C0000}"/>
    <cellStyle name="Normal 2 3 2 4 2 5 4" xfId="28018" xr:uid="{00000000-0005-0000-0000-00003A6C0000}"/>
    <cellStyle name="Normal 2 3 2 4 2 5 5" xfId="28019" xr:uid="{00000000-0005-0000-0000-00003B6C0000}"/>
    <cellStyle name="Normal 2 3 2 4 2 6" xfId="28020" xr:uid="{00000000-0005-0000-0000-00003C6C0000}"/>
    <cellStyle name="Normal 2 3 2 4 2 7" xfId="28021" xr:uid="{00000000-0005-0000-0000-00003D6C0000}"/>
    <cellStyle name="Normal 2 3 2 4 2 8" xfId="28022" xr:uid="{00000000-0005-0000-0000-00003E6C0000}"/>
    <cellStyle name="Normal 2 3 2 4 2 9" xfId="28023" xr:uid="{00000000-0005-0000-0000-00003F6C0000}"/>
    <cellStyle name="Normal 2 3 2 4 20" xfId="28024" xr:uid="{00000000-0005-0000-0000-0000406C0000}"/>
    <cellStyle name="Normal 2 3 2 4 21" xfId="28025" xr:uid="{00000000-0005-0000-0000-0000416C0000}"/>
    <cellStyle name="Normal 2 3 2 4 22" xfId="28026" xr:uid="{00000000-0005-0000-0000-0000426C0000}"/>
    <cellStyle name="Normal 2 3 2 4 23" xfId="28027" xr:uid="{00000000-0005-0000-0000-0000436C0000}"/>
    <cellStyle name="Normal 2 3 2 4 24" xfId="28028" xr:uid="{00000000-0005-0000-0000-0000446C0000}"/>
    <cellStyle name="Normal 2 3 2 4 25" xfId="28029" xr:uid="{00000000-0005-0000-0000-0000456C0000}"/>
    <cellStyle name="Normal 2 3 2 4 26" xfId="28030" xr:uid="{00000000-0005-0000-0000-0000466C0000}"/>
    <cellStyle name="Normal 2 3 2 4 3" xfId="28031" xr:uid="{00000000-0005-0000-0000-0000476C0000}"/>
    <cellStyle name="Normal 2 3 2 4 3 10" xfId="28032" xr:uid="{00000000-0005-0000-0000-0000486C0000}"/>
    <cellStyle name="Normal 2 3 2 4 3 11" xfId="28033" xr:uid="{00000000-0005-0000-0000-0000496C0000}"/>
    <cellStyle name="Normal 2 3 2 4 3 2" xfId="28034" xr:uid="{00000000-0005-0000-0000-00004A6C0000}"/>
    <cellStyle name="Normal 2 3 2 4 3 2 10" xfId="28035" xr:uid="{00000000-0005-0000-0000-00004B6C0000}"/>
    <cellStyle name="Normal 2 3 2 4 3 2 2" xfId="28036" xr:uid="{00000000-0005-0000-0000-00004C6C0000}"/>
    <cellStyle name="Normal 2 3 2 4 3 2 2 2" xfId="28037" xr:uid="{00000000-0005-0000-0000-00004D6C0000}"/>
    <cellStyle name="Normal 2 3 2 4 3 2 2 2 2" xfId="28038" xr:uid="{00000000-0005-0000-0000-00004E6C0000}"/>
    <cellStyle name="Normal 2 3 2 4 3 2 2 2 3" xfId="28039" xr:uid="{00000000-0005-0000-0000-00004F6C0000}"/>
    <cellStyle name="Normal 2 3 2 4 3 2 2 2 4" xfId="28040" xr:uid="{00000000-0005-0000-0000-0000506C0000}"/>
    <cellStyle name="Normal 2 3 2 4 3 2 2 2 5" xfId="28041" xr:uid="{00000000-0005-0000-0000-0000516C0000}"/>
    <cellStyle name="Normal 2 3 2 4 3 2 2 3" xfId="28042" xr:uid="{00000000-0005-0000-0000-0000526C0000}"/>
    <cellStyle name="Normal 2 3 2 4 3 2 2 4" xfId="28043" xr:uid="{00000000-0005-0000-0000-0000536C0000}"/>
    <cellStyle name="Normal 2 3 2 4 3 2 2 5" xfId="28044" xr:uid="{00000000-0005-0000-0000-0000546C0000}"/>
    <cellStyle name="Normal 2 3 2 4 3 2 2 6" xfId="28045" xr:uid="{00000000-0005-0000-0000-0000556C0000}"/>
    <cellStyle name="Normal 2 3 2 4 3 2 2 7" xfId="28046" xr:uid="{00000000-0005-0000-0000-0000566C0000}"/>
    <cellStyle name="Normal 2 3 2 4 3 2 2 8" xfId="28047" xr:uid="{00000000-0005-0000-0000-0000576C0000}"/>
    <cellStyle name="Normal 2 3 2 4 3 2 3" xfId="28048" xr:uid="{00000000-0005-0000-0000-0000586C0000}"/>
    <cellStyle name="Normal 2 3 2 4 3 2 3 2" xfId="28049" xr:uid="{00000000-0005-0000-0000-0000596C0000}"/>
    <cellStyle name="Normal 2 3 2 4 3 2 3 2 2" xfId="28050" xr:uid="{00000000-0005-0000-0000-00005A6C0000}"/>
    <cellStyle name="Normal 2 3 2 4 3 2 3 2 3" xfId="28051" xr:uid="{00000000-0005-0000-0000-00005B6C0000}"/>
    <cellStyle name="Normal 2 3 2 4 3 2 3 2 4" xfId="28052" xr:uid="{00000000-0005-0000-0000-00005C6C0000}"/>
    <cellStyle name="Normal 2 3 2 4 3 2 3 2 5" xfId="28053" xr:uid="{00000000-0005-0000-0000-00005D6C0000}"/>
    <cellStyle name="Normal 2 3 2 4 3 2 3 3" xfId="28054" xr:uid="{00000000-0005-0000-0000-00005E6C0000}"/>
    <cellStyle name="Normal 2 3 2 4 3 2 3 4" xfId="28055" xr:uid="{00000000-0005-0000-0000-00005F6C0000}"/>
    <cellStyle name="Normal 2 3 2 4 3 2 3 5" xfId="28056" xr:uid="{00000000-0005-0000-0000-0000606C0000}"/>
    <cellStyle name="Normal 2 3 2 4 3 2 3 6" xfId="28057" xr:uid="{00000000-0005-0000-0000-0000616C0000}"/>
    <cellStyle name="Normal 2 3 2 4 3 2 3 7" xfId="28058" xr:uid="{00000000-0005-0000-0000-0000626C0000}"/>
    <cellStyle name="Normal 2 3 2 4 3 2 3 8" xfId="28059" xr:uid="{00000000-0005-0000-0000-0000636C0000}"/>
    <cellStyle name="Normal 2 3 2 4 3 2 4" xfId="28060" xr:uid="{00000000-0005-0000-0000-0000646C0000}"/>
    <cellStyle name="Normal 2 3 2 4 3 2 4 2" xfId="28061" xr:uid="{00000000-0005-0000-0000-0000656C0000}"/>
    <cellStyle name="Normal 2 3 2 4 3 2 4 3" xfId="28062" xr:uid="{00000000-0005-0000-0000-0000666C0000}"/>
    <cellStyle name="Normal 2 3 2 4 3 2 4 4" xfId="28063" xr:uid="{00000000-0005-0000-0000-0000676C0000}"/>
    <cellStyle name="Normal 2 3 2 4 3 2 4 5" xfId="28064" xr:uid="{00000000-0005-0000-0000-0000686C0000}"/>
    <cellStyle name="Normal 2 3 2 4 3 2 5" xfId="28065" xr:uid="{00000000-0005-0000-0000-0000696C0000}"/>
    <cellStyle name="Normal 2 3 2 4 3 2 6" xfId="28066" xr:uid="{00000000-0005-0000-0000-00006A6C0000}"/>
    <cellStyle name="Normal 2 3 2 4 3 2 7" xfId="28067" xr:uid="{00000000-0005-0000-0000-00006B6C0000}"/>
    <cellStyle name="Normal 2 3 2 4 3 2 8" xfId="28068" xr:uid="{00000000-0005-0000-0000-00006C6C0000}"/>
    <cellStyle name="Normal 2 3 2 4 3 2 9" xfId="28069" xr:uid="{00000000-0005-0000-0000-00006D6C0000}"/>
    <cellStyle name="Normal 2 3 2 4 3 3" xfId="28070" xr:uid="{00000000-0005-0000-0000-00006E6C0000}"/>
    <cellStyle name="Normal 2 3 2 4 3 3 2" xfId="28071" xr:uid="{00000000-0005-0000-0000-00006F6C0000}"/>
    <cellStyle name="Normal 2 3 2 4 3 3 2 2" xfId="28072" xr:uid="{00000000-0005-0000-0000-0000706C0000}"/>
    <cellStyle name="Normal 2 3 2 4 3 3 2 3" xfId="28073" xr:uid="{00000000-0005-0000-0000-0000716C0000}"/>
    <cellStyle name="Normal 2 3 2 4 3 3 2 4" xfId="28074" xr:uid="{00000000-0005-0000-0000-0000726C0000}"/>
    <cellStyle name="Normal 2 3 2 4 3 3 2 5" xfId="28075" xr:uid="{00000000-0005-0000-0000-0000736C0000}"/>
    <cellStyle name="Normal 2 3 2 4 3 3 3" xfId="28076" xr:uid="{00000000-0005-0000-0000-0000746C0000}"/>
    <cellStyle name="Normal 2 3 2 4 3 3 4" xfId="28077" xr:uid="{00000000-0005-0000-0000-0000756C0000}"/>
    <cellStyle name="Normal 2 3 2 4 3 3 5" xfId="28078" xr:uid="{00000000-0005-0000-0000-0000766C0000}"/>
    <cellStyle name="Normal 2 3 2 4 3 3 6" xfId="28079" xr:uid="{00000000-0005-0000-0000-0000776C0000}"/>
    <cellStyle name="Normal 2 3 2 4 3 3 7" xfId="28080" xr:uid="{00000000-0005-0000-0000-0000786C0000}"/>
    <cellStyle name="Normal 2 3 2 4 3 3 8" xfId="28081" xr:uid="{00000000-0005-0000-0000-0000796C0000}"/>
    <cellStyle name="Normal 2 3 2 4 3 4" xfId="28082" xr:uid="{00000000-0005-0000-0000-00007A6C0000}"/>
    <cellStyle name="Normal 2 3 2 4 3 4 2" xfId="28083" xr:uid="{00000000-0005-0000-0000-00007B6C0000}"/>
    <cellStyle name="Normal 2 3 2 4 3 4 2 2" xfId="28084" xr:uid="{00000000-0005-0000-0000-00007C6C0000}"/>
    <cellStyle name="Normal 2 3 2 4 3 4 2 3" xfId="28085" xr:uid="{00000000-0005-0000-0000-00007D6C0000}"/>
    <cellStyle name="Normal 2 3 2 4 3 4 2 4" xfId="28086" xr:uid="{00000000-0005-0000-0000-00007E6C0000}"/>
    <cellStyle name="Normal 2 3 2 4 3 4 2 5" xfId="28087" xr:uid="{00000000-0005-0000-0000-00007F6C0000}"/>
    <cellStyle name="Normal 2 3 2 4 3 4 3" xfId="28088" xr:uid="{00000000-0005-0000-0000-0000806C0000}"/>
    <cellStyle name="Normal 2 3 2 4 3 4 4" xfId="28089" xr:uid="{00000000-0005-0000-0000-0000816C0000}"/>
    <cellStyle name="Normal 2 3 2 4 3 4 5" xfId="28090" xr:uid="{00000000-0005-0000-0000-0000826C0000}"/>
    <cellStyle name="Normal 2 3 2 4 3 4 6" xfId="28091" xr:uid="{00000000-0005-0000-0000-0000836C0000}"/>
    <cellStyle name="Normal 2 3 2 4 3 4 7" xfId="28092" xr:uid="{00000000-0005-0000-0000-0000846C0000}"/>
    <cellStyle name="Normal 2 3 2 4 3 4 8" xfId="28093" xr:uid="{00000000-0005-0000-0000-0000856C0000}"/>
    <cellStyle name="Normal 2 3 2 4 3 5" xfId="28094" xr:uid="{00000000-0005-0000-0000-0000866C0000}"/>
    <cellStyle name="Normal 2 3 2 4 3 5 2" xfId="28095" xr:uid="{00000000-0005-0000-0000-0000876C0000}"/>
    <cellStyle name="Normal 2 3 2 4 3 5 3" xfId="28096" xr:uid="{00000000-0005-0000-0000-0000886C0000}"/>
    <cellStyle name="Normal 2 3 2 4 3 5 4" xfId="28097" xr:uid="{00000000-0005-0000-0000-0000896C0000}"/>
    <cellStyle name="Normal 2 3 2 4 3 5 5" xfId="28098" xr:uid="{00000000-0005-0000-0000-00008A6C0000}"/>
    <cellStyle name="Normal 2 3 2 4 3 6" xfId="28099" xr:uid="{00000000-0005-0000-0000-00008B6C0000}"/>
    <cellStyle name="Normal 2 3 2 4 3 7" xfId="28100" xr:uid="{00000000-0005-0000-0000-00008C6C0000}"/>
    <cellStyle name="Normal 2 3 2 4 3 8" xfId="28101" xr:uid="{00000000-0005-0000-0000-00008D6C0000}"/>
    <cellStyle name="Normal 2 3 2 4 3 9" xfId="28102" xr:uid="{00000000-0005-0000-0000-00008E6C0000}"/>
    <cellStyle name="Normal 2 3 2 4 4" xfId="28103" xr:uid="{00000000-0005-0000-0000-00008F6C0000}"/>
    <cellStyle name="Normal 2 3 2 4 4 10" xfId="28104" xr:uid="{00000000-0005-0000-0000-0000906C0000}"/>
    <cellStyle name="Normal 2 3 2 4 4 2" xfId="28105" xr:uid="{00000000-0005-0000-0000-0000916C0000}"/>
    <cellStyle name="Normal 2 3 2 4 4 2 2" xfId="28106" xr:uid="{00000000-0005-0000-0000-0000926C0000}"/>
    <cellStyle name="Normal 2 3 2 4 4 2 2 2" xfId="28107" xr:uid="{00000000-0005-0000-0000-0000936C0000}"/>
    <cellStyle name="Normal 2 3 2 4 4 2 2 3" xfId="28108" xr:uid="{00000000-0005-0000-0000-0000946C0000}"/>
    <cellStyle name="Normal 2 3 2 4 4 2 2 4" xfId="28109" xr:uid="{00000000-0005-0000-0000-0000956C0000}"/>
    <cellStyle name="Normal 2 3 2 4 4 2 2 5" xfId="28110" xr:uid="{00000000-0005-0000-0000-0000966C0000}"/>
    <cellStyle name="Normal 2 3 2 4 4 2 3" xfId="28111" xr:uid="{00000000-0005-0000-0000-0000976C0000}"/>
    <cellStyle name="Normal 2 3 2 4 4 2 4" xfId="28112" xr:uid="{00000000-0005-0000-0000-0000986C0000}"/>
    <cellStyle name="Normal 2 3 2 4 4 2 5" xfId="28113" xr:uid="{00000000-0005-0000-0000-0000996C0000}"/>
    <cellStyle name="Normal 2 3 2 4 4 2 6" xfId="28114" xr:uid="{00000000-0005-0000-0000-00009A6C0000}"/>
    <cellStyle name="Normal 2 3 2 4 4 2 7" xfId="28115" xr:uid="{00000000-0005-0000-0000-00009B6C0000}"/>
    <cellStyle name="Normal 2 3 2 4 4 2 8" xfId="28116" xr:uid="{00000000-0005-0000-0000-00009C6C0000}"/>
    <cellStyle name="Normal 2 3 2 4 4 3" xfId="28117" xr:uid="{00000000-0005-0000-0000-00009D6C0000}"/>
    <cellStyle name="Normal 2 3 2 4 4 3 2" xfId="28118" xr:uid="{00000000-0005-0000-0000-00009E6C0000}"/>
    <cellStyle name="Normal 2 3 2 4 4 3 2 2" xfId="28119" xr:uid="{00000000-0005-0000-0000-00009F6C0000}"/>
    <cellStyle name="Normal 2 3 2 4 4 3 2 3" xfId="28120" xr:uid="{00000000-0005-0000-0000-0000A06C0000}"/>
    <cellStyle name="Normal 2 3 2 4 4 3 2 4" xfId="28121" xr:uid="{00000000-0005-0000-0000-0000A16C0000}"/>
    <cellStyle name="Normal 2 3 2 4 4 3 2 5" xfId="28122" xr:uid="{00000000-0005-0000-0000-0000A26C0000}"/>
    <cellStyle name="Normal 2 3 2 4 4 3 3" xfId="28123" xr:uid="{00000000-0005-0000-0000-0000A36C0000}"/>
    <cellStyle name="Normal 2 3 2 4 4 3 4" xfId="28124" xr:uid="{00000000-0005-0000-0000-0000A46C0000}"/>
    <cellStyle name="Normal 2 3 2 4 4 3 5" xfId="28125" xr:uid="{00000000-0005-0000-0000-0000A56C0000}"/>
    <cellStyle name="Normal 2 3 2 4 4 3 6" xfId="28126" xr:uid="{00000000-0005-0000-0000-0000A66C0000}"/>
    <cellStyle name="Normal 2 3 2 4 4 3 7" xfId="28127" xr:uid="{00000000-0005-0000-0000-0000A76C0000}"/>
    <cellStyle name="Normal 2 3 2 4 4 3 8" xfId="28128" xr:uid="{00000000-0005-0000-0000-0000A86C0000}"/>
    <cellStyle name="Normal 2 3 2 4 4 4" xfId="28129" xr:uid="{00000000-0005-0000-0000-0000A96C0000}"/>
    <cellStyle name="Normal 2 3 2 4 4 4 2" xfId="28130" xr:uid="{00000000-0005-0000-0000-0000AA6C0000}"/>
    <cellStyle name="Normal 2 3 2 4 4 4 3" xfId="28131" xr:uid="{00000000-0005-0000-0000-0000AB6C0000}"/>
    <cellStyle name="Normal 2 3 2 4 4 4 4" xfId="28132" xr:uid="{00000000-0005-0000-0000-0000AC6C0000}"/>
    <cellStyle name="Normal 2 3 2 4 4 4 5" xfId="28133" xr:uid="{00000000-0005-0000-0000-0000AD6C0000}"/>
    <cellStyle name="Normal 2 3 2 4 4 5" xfId="28134" xr:uid="{00000000-0005-0000-0000-0000AE6C0000}"/>
    <cellStyle name="Normal 2 3 2 4 4 6" xfId="28135" xr:uid="{00000000-0005-0000-0000-0000AF6C0000}"/>
    <cellStyle name="Normal 2 3 2 4 4 7" xfId="28136" xr:uid="{00000000-0005-0000-0000-0000B06C0000}"/>
    <cellStyle name="Normal 2 3 2 4 4 8" xfId="28137" xr:uid="{00000000-0005-0000-0000-0000B16C0000}"/>
    <cellStyle name="Normal 2 3 2 4 4 9" xfId="28138" xr:uid="{00000000-0005-0000-0000-0000B26C0000}"/>
    <cellStyle name="Normal 2 3 2 4 5" xfId="28139" xr:uid="{00000000-0005-0000-0000-0000B36C0000}"/>
    <cellStyle name="Normal 2 3 2 4 5 2" xfId="28140" xr:uid="{00000000-0005-0000-0000-0000B46C0000}"/>
    <cellStyle name="Normal 2 3 2 4 5 2 2" xfId="28141" xr:uid="{00000000-0005-0000-0000-0000B56C0000}"/>
    <cellStyle name="Normal 2 3 2 4 5 2 3" xfId="28142" xr:uid="{00000000-0005-0000-0000-0000B66C0000}"/>
    <cellStyle name="Normal 2 3 2 4 5 2 4" xfId="28143" xr:uid="{00000000-0005-0000-0000-0000B76C0000}"/>
    <cellStyle name="Normal 2 3 2 4 5 2 5" xfId="28144" xr:uid="{00000000-0005-0000-0000-0000B86C0000}"/>
    <cellStyle name="Normal 2 3 2 4 5 3" xfId="28145" xr:uid="{00000000-0005-0000-0000-0000B96C0000}"/>
    <cellStyle name="Normal 2 3 2 4 5 4" xfId="28146" xr:uid="{00000000-0005-0000-0000-0000BA6C0000}"/>
    <cellStyle name="Normal 2 3 2 4 5 5" xfId="28147" xr:uid="{00000000-0005-0000-0000-0000BB6C0000}"/>
    <cellStyle name="Normal 2 3 2 4 5 6" xfId="28148" xr:uid="{00000000-0005-0000-0000-0000BC6C0000}"/>
    <cellStyle name="Normal 2 3 2 4 5 7" xfId="28149" xr:uid="{00000000-0005-0000-0000-0000BD6C0000}"/>
    <cellStyle name="Normal 2 3 2 4 5 8" xfId="28150" xr:uid="{00000000-0005-0000-0000-0000BE6C0000}"/>
    <cellStyle name="Normal 2 3 2 4 6" xfId="28151" xr:uid="{00000000-0005-0000-0000-0000BF6C0000}"/>
    <cellStyle name="Normal 2 3 2 4 6 2" xfId="28152" xr:uid="{00000000-0005-0000-0000-0000C06C0000}"/>
    <cellStyle name="Normal 2 3 2 4 6 2 2" xfId="28153" xr:uid="{00000000-0005-0000-0000-0000C16C0000}"/>
    <cellStyle name="Normal 2 3 2 4 6 2 3" xfId="28154" xr:uid="{00000000-0005-0000-0000-0000C26C0000}"/>
    <cellStyle name="Normal 2 3 2 4 6 2 4" xfId="28155" xr:uid="{00000000-0005-0000-0000-0000C36C0000}"/>
    <cellStyle name="Normal 2 3 2 4 6 2 5" xfId="28156" xr:uid="{00000000-0005-0000-0000-0000C46C0000}"/>
    <cellStyle name="Normal 2 3 2 4 6 3" xfId="28157" xr:uid="{00000000-0005-0000-0000-0000C56C0000}"/>
    <cellStyle name="Normal 2 3 2 4 6 4" xfId="28158" xr:uid="{00000000-0005-0000-0000-0000C66C0000}"/>
    <cellStyle name="Normal 2 3 2 4 6 5" xfId="28159" xr:uid="{00000000-0005-0000-0000-0000C76C0000}"/>
    <cellStyle name="Normal 2 3 2 4 6 6" xfId="28160" xr:uid="{00000000-0005-0000-0000-0000C86C0000}"/>
    <cellStyle name="Normal 2 3 2 4 6 7" xfId="28161" xr:uid="{00000000-0005-0000-0000-0000C96C0000}"/>
    <cellStyle name="Normal 2 3 2 4 6 8" xfId="28162" xr:uid="{00000000-0005-0000-0000-0000CA6C0000}"/>
    <cellStyle name="Normal 2 3 2 4 7" xfId="28163" xr:uid="{00000000-0005-0000-0000-0000CB6C0000}"/>
    <cellStyle name="Normal 2 3 2 4 7 2" xfId="28164" xr:uid="{00000000-0005-0000-0000-0000CC6C0000}"/>
    <cellStyle name="Normal 2 3 2 4 7 3" xfId="28165" xr:uid="{00000000-0005-0000-0000-0000CD6C0000}"/>
    <cellStyle name="Normal 2 3 2 4 7 4" xfId="28166" xr:uid="{00000000-0005-0000-0000-0000CE6C0000}"/>
    <cellStyle name="Normal 2 3 2 4 7 5" xfId="28167" xr:uid="{00000000-0005-0000-0000-0000CF6C0000}"/>
    <cellStyle name="Normal 2 3 2 4 8" xfId="28168" xr:uid="{00000000-0005-0000-0000-0000D06C0000}"/>
    <cellStyle name="Normal 2 3 2 4 9" xfId="28169" xr:uid="{00000000-0005-0000-0000-0000D16C0000}"/>
    <cellStyle name="Normal 2 3 2 5" xfId="28170" xr:uid="{00000000-0005-0000-0000-0000D26C0000}"/>
    <cellStyle name="Normal 2 3 2 5 10" xfId="28171" xr:uid="{00000000-0005-0000-0000-0000D36C0000}"/>
    <cellStyle name="Normal 2 3 2 5 11" xfId="28172" xr:uid="{00000000-0005-0000-0000-0000D46C0000}"/>
    <cellStyle name="Normal 2 3 2 5 12" xfId="28173" xr:uid="{00000000-0005-0000-0000-0000D56C0000}"/>
    <cellStyle name="Normal 2 3 2 5 13" xfId="28174" xr:uid="{00000000-0005-0000-0000-0000D66C0000}"/>
    <cellStyle name="Normal 2 3 2 5 2" xfId="28175" xr:uid="{00000000-0005-0000-0000-0000D76C0000}"/>
    <cellStyle name="Normal 2 3 2 5 2 10" xfId="28176" xr:uid="{00000000-0005-0000-0000-0000D86C0000}"/>
    <cellStyle name="Normal 2 3 2 5 2 11" xfId="28177" xr:uid="{00000000-0005-0000-0000-0000D96C0000}"/>
    <cellStyle name="Normal 2 3 2 5 2 2" xfId="28178" xr:uid="{00000000-0005-0000-0000-0000DA6C0000}"/>
    <cellStyle name="Normal 2 3 2 5 2 2 10" xfId="28179" xr:uid="{00000000-0005-0000-0000-0000DB6C0000}"/>
    <cellStyle name="Normal 2 3 2 5 2 2 2" xfId="28180" xr:uid="{00000000-0005-0000-0000-0000DC6C0000}"/>
    <cellStyle name="Normal 2 3 2 5 2 2 2 2" xfId="28181" xr:uid="{00000000-0005-0000-0000-0000DD6C0000}"/>
    <cellStyle name="Normal 2 3 2 5 2 2 2 2 2" xfId="28182" xr:uid="{00000000-0005-0000-0000-0000DE6C0000}"/>
    <cellStyle name="Normal 2 3 2 5 2 2 2 2 3" xfId="28183" xr:uid="{00000000-0005-0000-0000-0000DF6C0000}"/>
    <cellStyle name="Normal 2 3 2 5 2 2 2 2 4" xfId="28184" xr:uid="{00000000-0005-0000-0000-0000E06C0000}"/>
    <cellStyle name="Normal 2 3 2 5 2 2 2 2 5" xfId="28185" xr:uid="{00000000-0005-0000-0000-0000E16C0000}"/>
    <cellStyle name="Normal 2 3 2 5 2 2 2 3" xfId="28186" xr:uid="{00000000-0005-0000-0000-0000E26C0000}"/>
    <cellStyle name="Normal 2 3 2 5 2 2 2 4" xfId="28187" xr:uid="{00000000-0005-0000-0000-0000E36C0000}"/>
    <cellStyle name="Normal 2 3 2 5 2 2 2 5" xfId="28188" xr:uid="{00000000-0005-0000-0000-0000E46C0000}"/>
    <cellStyle name="Normal 2 3 2 5 2 2 2 6" xfId="28189" xr:uid="{00000000-0005-0000-0000-0000E56C0000}"/>
    <cellStyle name="Normal 2 3 2 5 2 2 2 7" xfId="28190" xr:uid="{00000000-0005-0000-0000-0000E66C0000}"/>
    <cellStyle name="Normal 2 3 2 5 2 2 2 8" xfId="28191" xr:uid="{00000000-0005-0000-0000-0000E76C0000}"/>
    <cellStyle name="Normal 2 3 2 5 2 2 3" xfId="28192" xr:uid="{00000000-0005-0000-0000-0000E86C0000}"/>
    <cellStyle name="Normal 2 3 2 5 2 2 3 2" xfId="28193" xr:uid="{00000000-0005-0000-0000-0000E96C0000}"/>
    <cellStyle name="Normal 2 3 2 5 2 2 3 2 2" xfId="28194" xr:uid="{00000000-0005-0000-0000-0000EA6C0000}"/>
    <cellStyle name="Normal 2 3 2 5 2 2 3 2 3" xfId="28195" xr:uid="{00000000-0005-0000-0000-0000EB6C0000}"/>
    <cellStyle name="Normal 2 3 2 5 2 2 3 2 4" xfId="28196" xr:uid="{00000000-0005-0000-0000-0000EC6C0000}"/>
    <cellStyle name="Normal 2 3 2 5 2 2 3 2 5" xfId="28197" xr:uid="{00000000-0005-0000-0000-0000ED6C0000}"/>
    <cellStyle name="Normal 2 3 2 5 2 2 3 3" xfId="28198" xr:uid="{00000000-0005-0000-0000-0000EE6C0000}"/>
    <cellStyle name="Normal 2 3 2 5 2 2 3 4" xfId="28199" xr:uid="{00000000-0005-0000-0000-0000EF6C0000}"/>
    <cellStyle name="Normal 2 3 2 5 2 2 3 5" xfId="28200" xr:uid="{00000000-0005-0000-0000-0000F06C0000}"/>
    <cellStyle name="Normal 2 3 2 5 2 2 3 6" xfId="28201" xr:uid="{00000000-0005-0000-0000-0000F16C0000}"/>
    <cellStyle name="Normal 2 3 2 5 2 2 3 7" xfId="28202" xr:uid="{00000000-0005-0000-0000-0000F26C0000}"/>
    <cellStyle name="Normal 2 3 2 5 2 2 3 8" xfId="28203" xr:uid="{00000000-0005-0000-0000-0000F36C0000}"/>
    <cellStyle name="Normal 2 3 2 5 2 2 4" xfId="28204" xr:uid="{00000000-0005-0000-0000-0000F46C0000}"/>
    <cellStyle name="Normal 2 3 2 5 2 2 4 2" xfId="28205" xr:uid="{00000000-0005-0000-0000-0000F56C0000}"/>
    <cellStyle name="Normal 2 3 2 5 2 2 4 3" xfId="28206" xr:uid="{00000000-0005-0000-0000-0000F66C0000}"/>
    <cellStyle name="Normal 2 3 2 5 2 2 4 4" xfId="28207" xr:uid="{00000000-0005-0000-0000-0000F76C0000}"/>
    <cellStyle name="Normal 2 3 2 5 2 2 4 5" xfId="28208" xr:uid="{00000000-0005-0000-0000-0000F86C0000}"/>
    <cellStyle name="Normal 2 3 2 5 2 2 5" xfId="28209" xr:uid="{00000000-0005-0000-0000-0000F96C0000}"/>
    <cellStyle name="Normal 2 3 2 5 2 2 6" xfId="28210" xr:uid="{00000000-0005-0000-0000-0000FA6C0000}"/>
    <cellStyle name="Normal 2 3 2 5 2 2 7" xfId="28211" xr:uid="{00000000-0005-0000-0000-0000FB6C0000}"/>
    <cellStyle name="Normal 2 3 2 5 2 2 8" xfId="28212" xr:uid="{00000000-0005-0000-0000-0000FC6C0000}"/>
    <cellStyle name="Normal 2 3 2 5 2 2 9" xfId="28213" xr:uid="{00000000-0005-0000-0000-0000FD6C0000}"/>
    <cellStyle name="Normal 2 3 2 5 2 3" xfId="28214" xr:uid="{00000000-0005-0000-0000-0000FE6C0000}"/>
    <cellStyle name="Normal 2 3 2 5 2 3 2" xfId="28215" xr:uid="{00000000-0005-0000-0000-0000FF6C0000}"/>
    <cellStyle name="Normal 2 3 2 5 2 3 2 2" xfId="28216" xr:uid="{00000000-0005-0000-0000-0000006D0000}"/>
    <cellStyle name="Normal 2 3 2 5 2 3 2 3" xfId="28217" xr:uid="{00000000-0005-0000-0000-0000016D0000}"/>
    <cellStyle name="Normal 2 3 2 5 2 3 2 4" xfId="28218" xr:uid="{00000000-0005-0000-0000-0000026D0000}"/>
    <cellStyle name="Normal 2 3 2 5 2 3 2 5" xfId="28219" xr:uid="{00000000-0005-0000-0000-0000036D0000}"/>
    <cellStyle name="Normal 2 3 2 5 2 3 3" xfId="28220" xr:uid="{00000000-0005-0000-0000-0000046D0000}"/>
    <cellStyle name="Normal 2 3 2 5 2 3 4" xfId="28221" xr:uid="{00000000-0005-0000-0000-0000056D0000}"/>
    <cellStyle name="Normal 2 3 2 5 2 3 5" xfId="28222" xr:uid="{00000000-0005-0000-0000-0000066D0000}"/>
    <cellStyle name="Normal 2 3 2 5 2 3 6" xfId="28223" xr:uid="{00000000-0005-0000-0000-0000076D0000}"/>
    <cellStyle name="Normal 2 3 2 5 2 3 7" xfId="28224" xr:uid="{00000000-0005-0000-0000-0000086D0000}"/>
    <cellStyle name="Normal 2 3 2 5 2 3 8" xfId="28225" xr:uid="{00000000-0005-0000-0000-0000096D0000}"/>
    <cellStyle name="Normal 2 3 2 5 2 4" xfId="28226" xr:uid="{00000000-0005-0000-0000-00000A6D0000}"/>
    <cellStyle name="Normal 2 3 2 5 2 4 2" xfId="28227" xr:uid="{00000000-0005-0000-0000-00000B6D0000}"/>
    <cellStyle name="Normal 2 3 2 5 2 4 2 2" xfId="28228" xr:uid="{00000000-0005-0000-0000-00000C6D0000}"/>
    <cellStyle name="Normal 2 3 2 5 2 4 2 3" xfId="28229" xr:uid="{00000000-0005-0000-0000-00000D6D0000}"/>
    <cellStyle name="Normal 2 3 2 5 2 4 2 4" xfId="28230" xr:uid="{00000000-0005-0000-0000-00000E6D0000}"/>
    <cellStyle name="Normal 2 3 2 5 2 4 2 5" xfId="28231" xr:uid="{00000000-0005-0000-0000-00000F6D0000}"/>
    <cellStyle name="Normal 2 3 2 5 2 4 3" xfId="28232" xr:uid="{00000000-0005-0000-0000-0000106D0000}"/>
    <cellStyle name="Normal 2 3 2 5 2 4 4" xfId="28233" xr:uid="{00000000-0005-0000-0000-0000116D0000}"/>
    <cellStyle name="Normal 2 3 2 5 2 4 5" xfId="28234" xr:uid="{00000000-0005-0000-0000-0000126D0000}"/>
    <cellStyle name="Normal 2 3 2 5 2 4 6" xfId="28235" xr:uid="{00000000-0005-0000-0000-0000136D0000}"/>
    <cellStyle name="Normal 2 3 2 5 2 4 7" xfId="28236" xr:uid="{00000000-0005-0000-0000-0000146D0000}"/>
    <cellStyle name="Normal 2 3 2 5 2 4 8" xfId="28237" xr:uid="{00000000-0005-0000-0000-0000156D0000}"/>
    <cellStyle name="Normal 2 3 2 5 2 5" xfId="28238" xr:uid="{00000000-0005-0000-0000-0000166D0000}"/>
    <cellStyle name="Normal 2 3 2 5 2 5 2" xfId="28239" xr:uid="{00000000-0005-0000-0000-0000176D0000}"/>
    <cellStyle name="Normal 2 3 2 5 2 5 3" xfId="28240" xr:uid="{00000000-0005-0000-0000-0000186D0000}"/>
    <cellStyle name="Normal 2 3 2 5 2 5 4" xfId="28241" xr:uid="{00000000-0005-0000-0000-0000196D0000}"/>
    <cellStyle name="Normal 2 3 2 5 2 5 5" xfId="28242" xr:uid="{00000000-0005-0000-0000-00001A6D0000}"/>
    <cellStyle name="Normal 2 3 2 5 2 6" xfId="28243" xr:uid="{00000000-0005-0000-0000-00001B6D0000}"/>
    <cellStyle name="Normal 2 3 2 5 2 7" xfId="28244" xr:uid="{00000000-0005-0000-0000-00001C6D0000}"/>
    <cellStyle name="Normal 2 3 2 5 2 8" xfId="28245" xr:uid="{00000000-0005-0000-0000-00001D6D0000}"/>
    <cellStyle name="Normal 2 3 2 5 2 9" xfId="28246" xr:uid="{00000000-0005-0000-0000-00001E6D0000}"/>
    <cellStyle name="Normal 2 3 2 5 3" xfId="28247" xr:uid="{00000000-0005-0000-0000-00001F6D0000}"/>
    <cellStyle name="Normal 2 3 2 5 3 10" xfId="28248" xr:uid="{00000000-0005-0000-0000-0000206D0000}"/>
    <cellStyle name="Normal 2 3 2 5 3 11" xfId="28249" xr:uid="{00000000-0005-0000-0000-0000216D0000}"/>
    <cellStyle name="Normal 2 3 2 5 3 2" xfId="28250" xr:uid="{00000000-0005-0000-0000-0000226D0000}"/>
    <cellStyle name="Normal 2 3 2 5 3 2 10" xfId="28251" xr:uid="{00000000-0005-0000-0000-0000236D0000}"/>
    <cellStyle name="Normal 2 3 2 5 3 2 2" xfId="28252" xr:uid="{00000000-0005-0000-0000-0000246D0000}"/>
    <cellStyle name="Normal 2 3 2 5 3 2 2 2" xfId="28253" xr:uid="{00000000-0005-0000-0000-0000256D0000}"/>
    <cellStyle name="Normal 2 3 2 5 3 2 2 2 2" xfId="28254" xr:uid="{00000000-0005-0000-0000-0000266D0000}"/>
    <cellStyle name="Normal 2 3 2 5 3 2 2 2 3" xfId="28255" xr:uid="{00000000-0005-0000-0000-0000276D0000}"/>
    <cellStyle name="Normal 2 3 2 5 3 2 2 2 4" xfId="28256" xr:uid="{00000000-0005-0000-0000-0000286D0000}"/>
    <cellStyle name="Normal 2 3 2 5 3 2 2 2 5" xfId="28257" xr:uid="{00000000-0005-0000-0000-0000296D0000}"/>
    <cellStyle name="Normal 2 3 2 5 3 2 2 3" xfId="28258" xr:uid="{00000000-0005-0000-0000-00002A6D0000}"/>
    <cellStyle name="Normal 2 3 2 5 3 2 2 4" xfId="28259" xr:uid="{00000000-0005-0000-0000-00002B6D0000}"/>
    <cellStyle name="Normal 2 3 2 5 3 2 2 5" xfId="28260" xr:uid="{00000000-0005-0000-0000-00002C6D0000}"/>
    <cellStyle name="Normal 2 3 2 5 3 2 2 6" xfId="28261" xr:uid="{00000000-0005-0000-0000-00002D6D0000}"/>
    <cellStyle name="Normal 2 3 2 5 3 2 2 7" xfId="28262" xr:uid="{00000000-0005-0000-0000-00002E6D0000}"/>
    <cellStyle name="Normal 2 3 2 5 3 2 2 8" xfId="28263" xr:uid="{00000000-0005-0000-0000-00002F6D0000}"/>
    <cellStyle name="Normal 2 3 2 5 3 2 3" xfId="28264" xr:uid="{00000000-0005-0000-0000-0000306D0000}"/>
    <cellStyle name="Normal 2 3 2 5 3 2 3 2" xfId="28265" xr:uid="{00000000-0005-0000-0000-0000316D0000}"/>
    <cellStyle name="Normal 2 3 2 5 3 2 3 2 2" xfId="28266" xr:uid="{00000000-0005-0000-0000-0000326D0000}"/>
    <cellStyle name="Normal 2 3 2 5 3 2 3 2 3" xfId="28267" xr:uid="{00000000-0005-0000-0000-0000336D0000}"/>
    <cellStyle name="Normal 2 3 2 5 3 2 3 2 4" xfId="28268" xr:uid="{00000000-0005-0000-0000-0000346D0000}"/>
    <cellStyle name="Normal 2 3 2 5 3 2 3 2 5" xfId="28269" xr:uid="{00000000-0005-0000-0000-0000356D0000}"/>
    <cellStyle name="Normal 2 3 2 5 3 2 3 3" xfId="28270" xr:uid="{00000000-0005-0000-0000-0000366D0000}"/>
    <cellStyle name="Normal 2 3 2 5 3 2 3 4" xfId="28271" xr:uid="{00000000-0005-0000-0000-0000376D0000}"/>
    <cellStyle name="Normal 2 3 2 5 3 2 3 5" xfId="28272" xr:uid="{00000000-0005-0000-0000-0000386D0000}"/>
    <cellStyle name="Normal 2 3 2 5 3 2 3 6" xfId="28273" xr:uid="{00000000-0005-0000-0000-0000396D0000}"/>
    <cellStyle name="Normal 2 3 2 5 3 2 3 7" xfId="28274" xr:uid="{00000000-0005-0000-0000-00003A6D0000}"/>
    <cellStyle name="Normal 2 3 2 5 3 2 3 8" xfId="28275" xr:uid="{00000000-0005-0000-0000-00003B6D0000}"/>
    <cellStyle name="Normal 2 3 2 5 3 2 4" xfId="28276" xr:uid="{00000000-0005-0000-0000-00003C6D0000}"/>
    <cellStyle name="Normal 2 3 2 5 3 2 4 2" xfId="28277" xr:uid="{00000000-0005-0000-0000-00003D6D0000}"/>
    <cellStyle name="Normal 2 3 2 5 3 2 4 3" xfId="28278" xr:uid="{00000000-0005-0000-0000-00003E6D0000}"/>
    <cellStyle name="Normal 2 3 2 5 3 2 4 4" xfId="28279" xr:uid="{00000000-0005-0000-0000-00003F6D0000}"/>
    <cellStyle name="Normal 2 3 2 5 3 2 4 5" xfId="28280" xr:uid="{00000000-0005-0000-0000-0000406D0000}"/>
    <cellStyle name="Normal 2 3 2 5 3 2 5" xfId="28281" xr:uid="{00000000-0005-0000-0000-0000416D0000}"/>
    <cellStyle name="Normal 2 3 2 5 3 2 6" xfId="28282" xr:uid="{00000000-0005-0000-0000-0000426D0000}"/>
    <cellStyle name="Normal 2 3 2 5 3 2 7" xfId="28283" xr:uid="{00000000-0005-0000-0000-0000436D0000}"/>
    <cellStyle name="Normal 2 3 2 5 3 2 8" xfId="28284" xr:uid="{00000000-0005-0000-0000-0000446D0000}"/>
    <cellStyle name="Normal 2 3 2 5 3 2 9" xfId="28285" xr:uid="{00000000-0005-0000-0000-0000456D0000}"/>
    <cellStyle name="Normal 2 3 2 5 3 3" xfId="28286" xr:uid="{00000000-0005-0000-0000-0000466D0000}"/>
    <cellStyle name="Normal 2 3 2 5 3 3 2" xfId="28287" xr:uid="{00000000-0005-0000-0000-0000476D0000}"/>
    <cellStyle name="Normal 2 3 2 5 3 3 2 2" xfId="28288" xr:uid="{00000000-0005-0000-0000-0000486D0000}"/>
    <cellStyle name="Normal 2 3 2 5 3 3 2 3" xfId="28289" xr:uid="{00000000-0005-0000-0000-0000496D0000}"/>
    <cellStyle name="Normal 2 3 2 5 3 3 2 4" xfId="28290" xr:uid="{00000000-0005-0000-0000-00004A6D0000}"/>
    <cellStyle name="Normal 2 3 2 5 3 3 2 5" xfId="28291" xr:uid="{00000000-0005-0000-0000-00004B6D0000}"/>
    <cellStyle name="Normal 2 3 2 5 3 3 3" xfId="28292" xr:uid="{00000000-0005-0000-0000-00004C6D0000}"/>
    <cellStyle name="Normal 2 3 2 5 3 3 4" xfId="28293" xr:uid="{00000000-0005-0000-0000-00004D6D0000}"/>
    <cellStyle name="Normal 2 3 2 5 3 3 5" xfId="28294" xr:uid="{00000000-0005-0000-0000-00004E6D0000}"/>
    <cellStyle name="Normal 2 3 2 5 3 3 6" xfId="28295" xr:uid="{00000000-0005-0000-0000-00004F6D0000}"/>
    <cellStyle name="Normal 2 3 2 5 3 3 7" xfId="28296" xr:uid="{00000000-0005-0000-0000-0000506D0000}"/>
    <cellStyle name="Normal 2 3 2 5 3 3 8" xfId="28297" xr:uid="{00000000-0005-0000-0000-0000516D0000}"/>
    <cellStyle name="Normal 2 3 2 5 3 4" xfId="28298" xr:uid="{00000000-0005-0000-0000-0000526D0000}"/>
    <cellStyle name="Normal 2 3 2 5 3 4 2" xfId="28299" xr:uid="{00000000-0005-0000-0000-0000536D0000}"/>
    <cellStyle name="Normal 2 3 2 5 3 4 2 2" xfId="28300" xr:uid="{00000000-0005-0000-0000-0000546D0000}"/>
    <cellStyle name="Normal 2 3 2 5 3 4 2 3" xfId="28301" xr:uid="{00000000-0005-0000-0000-0000556D0000}"/>
    <cellStyle name="Normal 2 3 2 5 3 4 2 4" xfId="28302" xr:uid="{00000000-0005-0000-0000-0000566D0000}"/>
    <cellStyle name="Normal 2 3 2 5 3 4 2 5" xfId="28303" xr:uid="{00000000-0005-0000-0000-0000576D0000}"/>
    <cellStyle name="Normal 2 3 2 5 3 4 3" xfId="28304" xr:uid="{00000000-0005-0000-0000-0000586D0000}"/>
    <cellStyle name="Normal 2 3 2 5 3 4 4" xfId="28305" xr:uid="{00000000-0005-0000-0000-0000596D0000}"/>
    <cellStyle name="Normal 2 3 2 5 3 4 5" xfId="28306" xr:uid="{00000000-0005-0000-0000-00005A6D0000}"/>
    <cellStyle name="Normal 2 3 2 5 3 4 6" xfId="28307" xr:uid="{00000000-0005-0000-0000-00005B6D0000}"/>
    <cellStyle name="Normal 2 3 2 5 3 4 7" xfId="28308" xr:uid="{00000000-0005-0000-0000-00005C6D0000}"/>
    <cellStyle name="Normal 2 3 2 5 3 4 8" xfId="28309" xr:uid="{00000000-0005-0000-0000-00005D6D0000}"/>
    <cellStyle name="Normal 2 3 2 5 3 5" xfId="28310" xr:uid="{00000000-0005-0000-0000-00005E6D0000}"/>
    <cellStyle name="Normal 2 3 2 5 3 5 2" xfId="28311" xr:uid="{00000000-0005-0000-0000-00005F6D0000}"/>
    <cellStyle name="Normal 2 3 2 5 3 5 3" xfId="28312" xr:uid="{00000000-0005-0000-0000-0000606D0000}"/>
    <cellStyle name="Normal 2 3 2 5 3 5 4" xfId="28313" xr:uid="{00000000-0005-0000-0000-0000616D0000}"/>
    <cellStyle name="Normal 2 3 2 5 3 5 5" xfId="28314" xr:uid="{00000000-0005-0000-0000-0000626D0000}"/>
    <cellStyle name="Normal 2 3 2 5 3 6" xfId="28315" xr:uid="{00000000-0005-0000-0000-0000636D0000}"/>
    <cellStyle name="Normal 2 3 2 5 3 7" xfId="28316" xr:uid="{00000000-0005-0000-0000-0000646D0000}"/>
    <cellStyle name="Normal 2 3 2 5 3 8" xfId="28317" xr:uid="{00000000-0005-0000-0000-0000656D0000}"/>
    <cellStyle name="Normal 2 3 2 5 3 9" xfId="28318" xr:uid="{00000000-0005-0000-0000-0000666D0000}"/>
    <cellStyle name="Normal 2 3 2 5 4" xfId="28319" xr:uid="{00000000-0005-0000-0000-0000676D0000}"/>
    <cellStyle name="Normal 2 3 2 5 4 10" xfId="28320" xr:uid="{00000000-0005-0000-0000-0000686D0000}"/>
    <cellStyle name="Normal 2 3 2 5 4 2" xfId="28321" xr:uid="{00000000-0005-0000-0000-0000696D0000}"/>
    <cellStyle name="Normal 2 3 2 5 4 2 2" xfId="28322" xr:uid="{00000000-0005-0000-0000-00006A6D0000}"/>
    <cellStyle name="Normal 2 3 2 5 4 2 2 2" xfId="28323" xr:uid="{00000000-0005-0000-0000-00006B6D0000}"/>
    <cellStyle name="Normal 2 3 2 5 4 2 2 3" xfId="28324" xr:uid="{00000000-0005-0000-0000-00006C6D0000}"/>
    <cellStyle name="Normal 2 3 2 5 4 2 2 4" xfId="28325" xr:uid="{00000000-0005-0000-0000-00006D6D0000}"/>
    <cellStyle name="Normal 2 3 2 5 4 2 2 5" xfId="28326" xr:uid="{00000000-0005-0000-0000-00006E6D0000}"/>
    <cellStyle name="Normal 2 3 2 5 4 2 3" xfId="28327" xr:uid="{00000000-0005-0000-0000-00006F6D0000}"/>
    <cellStyle name="Normal 2 3 2 5 4 2 4" xfId="28328" xr:uid="{00000000-0005-0000-0000-0000706D0000}"/>
    <cellStyle name="Normal 2 3 2 5 4 2 5" xfId="28329" xr:uid="{00000000-0005-0000-0000-0000716D0000}"/>
    <cellStyle name="Normal 2 3 2 5 4 2 6" xfId="28330" xr:uid="{00000000-0005-0000-0000-0000726D0000}"/>
    <cellStyle name="Normal 2 3 2 5 4 2 7" xfId="28331" xr:uid="{00000000-0005-0000-0000-0000736D0000}"/>
    <cellStyle name="Normal 2 3 2 5 4 2 8" xfId="28332" xr:uid="{00000000-0005-0000-0000-0000746D0000}"/>
    <cellStyle name="Normal 2 3 2 5 4 3" xfId="28333" xr:uid="{00000000-0005-0000-0000-0000756D0000}"/>
    <cellStyle name="Normal 2 3 2 5 4 3 2" xfId="28334" xr:uid="{00000000-0005-0000-0000-0000766D0000}"/>
    <cellStyle name="Normal 2 3 2 5 4 3 2 2" xfId="28335" xr:uid="{00000000-0005-0000-0000-0000776D0000}"/>
    <cellStyle name="Normal 2 3 2 5 4 3 2 3" xfId="28336" xr:uid="{00000000-0005-0000-0000-0000786D0000}"/>
    <cellStyle name="Normal 2 3 2 5 4 3 2 4" xfId="28337" xr:uid="{00000000-0005-0000-0000-0000796D0000}"/>
    <cellStyle name="Normal 2 3 2 5 4 3 2 5" xfId="28338" xr:uid="{00000000-0005-0000-0000-00007A6D0000}"/>
    <cellStyle name="Normal 2 3 2 5 4 3 3" xfId="28339" xr:uid="{00000000-0005-0000-0000-00007B6D0000}"/>
    <cellStyle name="Normal 2 3 2 5 4 3 4" xfId="28340" xr:uid="{00000000-0005-0000-0000-00007C6D0000}"/>
    <cellStyle name="Normal 2 3 2 5 4 3 5" xfId="28341" xr:uid="{00000000-0005-0000-0000-00007D6D0000}"/>
    <cellStyle name="Normal 2 3 2 5 4 3 6" xfId="28342" xr:uid="{00000000-0005-0000-0000-00007E6D0000}"/>
    <cellStyle name="Normal 2 3 2 5 4 3 7" xfId="28343" xr:uid="{00000000-0005-0000-0000-00007F6D0000}"/>
    <cellStyle name="Normal 2 3 2 5 4 3 8" xfId="28344" xr:uid="{00000000-0005-0000-0000-0000806D0000}"/>
    <cellStyle name="Normal 2 3 2 5 4 4" xfId="28345" xr:uid="{00000000-0005-0000-0000-0000816D0000}"/>
    <cellStyle name="Normal 2 3 2 5 4 4 2" xfId="28346" xr:uid="{00000000-0005-0000-0000-0000826D0000}"/>
    <cellStyle name="Normal 2 3 2 5 4 4 3" xfId="28347" xr:uid="{00000000-0005-0000-0000-0000836D0000}"/>
    <cellStyle name="Normal 2 3 2 5 4 4 4" xfId="28348" xr:uid="{00000000-0005-0000-0000-0000846D0000}"/>
    <cellStyle name="Normal 2 3 2 5 4 4 5" xfId="28349" xr:uid="{00000000-0005-0000-0000-0000856D0000}"/>
    <cellStyle name="Normal 2 3 2 5 4 5" xfId="28350" xr:uid="{00000000-0005-0000-0000-0000866D0000}"/>
    <cellStyle name="Normal 2 3 2 5 4 6" xfId="28351" xr:uid="{00000000-0005-0000-0000-0000876D0000}"/>
    <cellStyle name="Normal 2 3 2 5 4 7" xfId="28352" xr:uid="{00000000-0005-0000-0000-0000886D0000}"/>
    <cellStyle name="Normal 2 3 2 5 4 8" xfId="28353" xr:uid="{00000000-0005-0000-0000-0000896D0000}"/>
    <cellStyle name="Normal 2 3 2 5 4 9" xfId="28354" xr:uid="{00000000-0005-0000-0000-00008A6D0000}"/>
    <cellStyle name="Normal 2 3 2 5 5" xfId="28355" xr:uid="{00000000-0005-0000-0000-00008B6D0000}"/>
    <cellStyle name="Normal 2 3 2 5 5 2" xfId="28356" xr:uid="{00000000-0005-0000-0000-00008C6D0000}"/>
    <cellStyle name="Normal 2 3 2 5 5 2 2" xfId="28357" xr:uid="{00000000-0005-0000-0000-00008D6D0000}"/>
    <cellStyle name="Normal 2 3 2 5 5 2 3" xfId="28358" xr:uid="{00000000-0005-0000-0000-00008E6D0000}"/>
    <cellStyle name="Normal 2 3 2 5 5 2 4" xfId="28359" xr:uid="{00000000-0005-0000-0000-00008F6D0000}"/>
    <cellStyle name="Normal 2 3 2 5 5 2 5" xfId="28360" xr:uid="{00000000-0005-0000-0000-0000906D0000}"/>
    <cellStyle name="Normal 2 3 2 5 5 3" xfId="28361" xr:uid="{00000000-0005-0000-0000-0000916D0000}"/>
    <cellStyle name="Normal 2 3 2 5 5 4" xfId="28362" xr:uid="{00000000-0005-0000-0000-0000926D0000}"/>
    <cellStyle name="Normal 2 3 2 5 5 5" xfId="28363" xr:uid="{00000000-0005-0000-0000-0000936D0000}"/>
    <cellStyle name="Normal 2 3 2 5 5 6" xfId="28364" xr:uid="{00000000-0005-0000-0000-0000946D0000}"/>
    <cellStyle name="Normal 2 3 2 5 5 7" xfId="28365" xr:uid="{00000000-0005-0000-0000-0000956D0000}"/>
    <cellStyle name="Normal 2 3 2 5 5 8" xfId="28366" xr:uid="{00000000-0005-0000-0000-0000966D0000}"/>
    <cellStyle name="Normal 2 3 2 5 6" xfId="28367" xr:uid="{00000000-0005-0000-0000-0000976D0000}"/>
    <cellStyle name="Normal 2 3 2 5 6 2" xfId="28368" xr:uid="{00000000-0005-0000-0000-0000986D0000}"/>
    <cellStyle name="Normal 2 3 2 5 6 2 2" xfId="28369" xr:uid="{00000000-0005-0000-0000-0000996D0000}"/>
    <cellStyle name="Normal 2 3 2 5 6 2 3" xfId="28370" xr:uid="{00000000-0005-0000-0000-00009A6D0000}"/>
    <cellStyle name="Normal 2 3 2 5 6 2 4" xfId="28371" xr:uid="{00000000-0005-0000-0000-00009B6D0000}"/>
    <cellStyle name="Normal 2 3 2 5 6 2 5" xfId="28372" xr:uid="{00000000-0005-0000-0000-00009C6D0000}"/>
    <cellStyle name="Normal 2 3 2 5 6 3" xfId="28373" xr:uid="{00000000-0005-0000-0000-00009D6D0000}"/>
    <cellStyle name="Normal 2 3 2 5 6 4" xfId="28374" xr:uid="{00000000-0005-0000-0000-00009E6D0000}"/>
    <cellStyle name="Normal 2 3 2 5 6 5" xfId="28375" xr:uid="{00000000-0005-0000-0000-00009F6D0000}"/>
    <cellStyle name="Normal 2 3 2 5 6 6" xfId="28376" xr:uid="{00000000-0005-0000-0000-0000A06D0000}"/>
    <cellStyle name="Normal 2 3 2 5 6 7" xfId="28377" xr:uid="{00000000-0005-0000-0000-0000A16D0000}"/>
    <cellStyle name="Normal 2 3 2 5 6 8" xfId="28378" xr:uid="{00000000-0005-0000-0000-0000A26D0000}"/>
    <cellStyle name="Normal 2 3 2 5 7" xfId="28379" xr:uid="{00000000-0005-0000-0000-0000A36D0000}"/>
    <cellStyle name="Normal 2 3 2 5 7 2" xfId="28380" xr:uid="{00000000-0005-0000-0000-0000A46D0000}"/>
    <cellStyle name="Normal 2 3 2 5 7 3" xfId="28381" xr:uid="{00000000-0005-0000-0000-0000A56D0000}"/>
    <cellStyle name="Normal 2 3 2 5 7 4" xfId="28382" xr:uid="{00000000-0005-0000-0000-0000A66D0000}"/>
    <cellStyle name="Normal 2 3 2 5 7 5" xfId="28383" xr:uid="{00000000-0005-0000-0000-0000A76D0000}"/>
    <cellStyle name="Normal 2 3 2 5 8" xfId="28384" xr:uid="{00000000-0005-0000-0000-0000A86D0000}"/>
    <cellStyle name="Normal 2 3 2 5 9" xfId="28385" xr:uid="{00000000-0005-0000-0000-0000A96D0000}"/>
    <cellStyle name="Normal 2 3 2 6" xfId="28386" xr:uid="{00000000-0005-0000-0000-0000AA6D0000}"/>
    <cellStyle name="Normal 2 3 2 6 10" xfId="28387" xr:uid="{00000000-0005-0000-0000-0000AB6D0000}"/>
    <cellStyle name="Normal 2 3 2 6 11" xfId="28388" xr:uid="{00000000-0005-0000-0000-0000AC6D0000}"/>
    <cellStyle name="Normal 2 3 2 6 12" xfId="28389" xr:uid="{00000000-0005-0000-0000-0000AD6D0000}"/>
    <cellStyle name="Normal 2 3 2 6 13" xfId="28390" xr:uid="{00000000-0005-0000-0000-0000AE6D0000}"/>
    <cellStyle name="Normal 2 3 2 6 2" xfId="28391" xr:uid="{00000000-0005-0000-0000-0000AF6D0000}"/>
    <cellStyle name="Normal 2 3 2 6 2 10" xfId="28392" xr:uid="{00000000-0005-0000-0000-0000B06D0000}"/>
    <cellStyle name="Normal 2 3 2 6 2 11" xfId="28393" xr:uid="{00000000-0005-0000-0000-0000B16D0000}"/>
    <cellStyle name="Normal 2 3 2 6 2 2" xfId="28394" xr:uid="{00000000-0005-0000-0000-0000B26D0000}"/>
    <cellStyle name="Normal 2 3 2 6 2 2 10" xfId="28395" xr:uid="{00000000-0005-0000-0000-0000B36D0000}"/>
    <cellStyle name="Normal 2 3 2 6 2 2 2" xfId="28396" xr:uid="{00000000-0005-0000-0000-0000B46D0000}"/>
    <cellStyle name="Normal 2 3 2 6 2 2 2 2" xfId="28397" xr:uid="{00000000-0005-0000-0000-0000B56D0000}"/>
    <cellStyle name="Normal 2 3 2 6 2 2 2 2 2" xfId="28398" xr:uid="{00000000-0005-0000-0000-0000B66D0000}"/>
    <cellStyle name="Normal 2 3 2 6 2 2 2 2 3" xfId="28399" xr:uid="{00000000-0005-0000-0000-0000B76D0000}"/>
    <cellStyle name="Normal 2 3 2 6 2 2 2 2 4" xfId="28400" xr:uid="{00000000-0005-0000-0000-0000B86D0000}"/>
    <cellStyle name="Normal 2 3 2 6 2 2 2 2 5" xfId="28401" xr:uid="{00000000-0005-0000-0000-0000B96D0000}"/>
    <cellStyle name="Normal 2 3 2 6 2 2 2 3" xfId="28402" xr:uid="{00000000-0005-0000-0000-0000BA6D0000}"/>
    <cellStyle name="Normal 2 3 2 6 2 2 2 4" xfId="28403" xr:uid="{00000000-0005-0000-0000-0000BB6D0000}"/>
    <cellStyle name="Normal 2 3 2 6 2 2 2 5" xfId="28404" xr:uid="{00000000-0005-0000-0000-0000BC6D0000}"/>
    <cellStyle name="Normal 2 3 2 6 2 2 2 6" xfId="28405" xr:uid="{00000000-0005-0000-0000-0000BD6D0000}"/>
    <cellStyle name="Normal 2 3 2 6 2 2 2 7" xfId="28406" xr:uid="{00000000-0005-0000-0000-0000BE6D0000}"/>
    <cellStyle name="Normal 2 3 2 6 2 2 2 8" xfId="28407" xr:uid="{00000000-0005-0000-0000-0000BF6D0000}"/>
    <cellStyle name="Normal 2 3 2 6 2 2 3" xfId="28408" xr:uid="{00000000-0005-0000-0000-0000C06D0000}"/>
    <cellStyle name="Normal 2 3 2 6 2 2 3 2" xfId="28409" xr:uid="{00000000-0005-0000-0000-0000C16D0000}"/>
    <cellStyle name="Normal 2 3 2 6 2 2 3 2 2" xfId="28410" xr:uid="{00000000-0005-0000-0000-0000C26D0000}"/>
    <cellStyle name="Normal 2 3 2 6 2 2 3 2 3" xfId="28411" xr:uid="{00000000-0005-0000-0000-0000C36D0000}"/>
    <cellStyle name="Normal 2 3 2 6 2 2 3 2 4" xfId="28412" xr:uid="{00000000-0005-0000-0000-0000C46D0000}"/>
    <cellStyle name="Normal 2 3 2 6 2 2 3 2 5" xfId="28413" xr:uid="{00000000-0005-0000-0000-0000C56D0000}"/>
    <cellStyle name="Normal 2 3 2 6 2 2 3 3" xfId="28414" xr:uid="{00000000-0005-0000-0000-0000C66D0000}"/>
    <cellStyle name="Normal 2 3 2 6 2 2 3 4" xfId="28415" xr:uid="{00000000-0005-0000-0000-0000C76D0000}"/>
    <cellStyle name="Normal 2 3 2 6 2 2 3 5" xfId="28416" xr:uid="{00000000-0005-0000-0000-0000C86D0000}"/>
    <cellStyle name="Normal 2 3 2 6 2 2 3 6" xfId="28417" xr:uid="{00000000-0005-0000-0000-0000C96D0000}"/>
    <cellStyle name="Normal 2 3 2 6 2 2 3 7" xfId="28418" xr:uid="{00000000-0005-0000-0000-0000CA6D0000}"/>
    <cellStyle name="Normal 2 3 2 6 2 2 3 8" xfId="28419" xr:uid="{00000000-0005-0000-0000-0000CB6D0000}"/>
    <cellStyle name="Normal 2 3 2 6 2 2 4" xfId="28420" xr:uid="{00000000-0005-0000-0000-0000CC6D0000}"/>
    <cellStyle name="Normal 2 3 2 6 2 2 4 2" xfId="28421" xr:uid="{00000000-0005-0000-0000-0000CD6D0000}"/>
    <cellStyle name="Normal 2 3 2 6 2 2 4 3" xfId="28422" xr:uid="{00000000-0005-0000-0000-0000CE6D0000}"/>
    <cellStyle name="Normal 2 3 2 6 2 2 4 4" xfId="28423" xr:uid="{00000000-0005-0000-0000-0000CF6D0000}"/>
    <cellStyle name="Normal 2 3 2 6 2 2 4 5" xfId="28424" xr:uid="{00000000-0005-0000-0000-0000D06D0000}"/>
    <cellStyle name="Normal 2 3 2 6 2 2 5" xfId="28425" xr:uid="{00000000-0005-0000-0000-0000D16D0000}"/>
    <cellStyle name="Normal 2 3 2 6 2 2 6" xfId="28426" xr:uid="{00000000-0005-0000-0000-0000D26D0000}"/>
    <cellStyle name="Normal 2 3 2 6 2 2 7" xfId="28427" xr:uid="{00000000-0005-0000-0000-0000D36D0000}"/>
    <cellStyle name="Normal 2 3 2 6 2 2 8" xfId="28428" xr:uid="{00000000-0005-0000-0000-0000D46D0000}"/>
    <cellStyle name="Normal 2 3 2 6 2 2 9" xfId="28429" xr:uid="{00000000-0005-0000-0000-0000D56D0000}"/>
    <cellStyle name="Normal 2 3 2 6 2 3" xfId="28430" xr:uid="{00000000-0005-0000-0000-0000D66D0000}"/>
    <cellStyle name="Normal 2 3 2 6 2 3 2" xfId="28431" xr:uid="{00000000-0005-0000-0000-0000D76D0000}"/>
    <cellStyle name="Normal 2 3 2 6 2 3 2 2" xfId="28432" xr:uid="{00000000-0005-0000-0000-0000D86D0000}"/>
    <cellStyle name="Normal 2 3 2 6 2 3 2 3" xfId="28433" xr:uid="{00000000-0005-0000-0000-0000D96D0000}"/>
    <cellStyle name="Normal 2 3 2 6 2 3 2 4" xfId="28434" xr:uid="{00000000-0005-0000-0000-0000DA6D0000}"/>
    <cellStyle name="Normal 2 3 2 6 2 3 2 5" xfId="28435" xr:uid="{00000000-0005-0000-0000-0000DB6D0000}"/>
    <cellStyle name="Normal 2 3 2 6 2 3 3" xfId="28436" xr:uid="{00000000-0005-0000-0000-0000DC6D0000}"/>
    <cellStyle name="Normal 2 3 2 6 2 3 4" xfId="28437" xr:uid="{00000000-0005-0000-0000-0000DD6D0000}"/>
    <cellStyle name="Normal 2 3 2 6 2 3 5" xfId="28438" xr:uid="{00000000-0005-0000-0000-0000DE6D0000}"/>
    <cellStyle name="Normal 2 3 2 6 2 3 6" xfId="28439" xr:uid="{00000000-0005-0000-0000-0000DF6D0000}"/>
    <cellStyle name="Normal 2 3 2 6 2 3 7" xfId="28440" xr:uid="{00000000-0005-0000-0000-0000E06D0000}"/>
    <cellStyle name="Normal 2 3 2 6 2 3 8" xfId="28441" xr:uid="{00000000-0005-0000-0000-0000E16D0000}"/>
    <cellStyle name="Normal 2 3 2 6 2 4" xfId="28442" xr:uid="{00000000-0005-0000-0000-0000E26D0000}"/>
    <cellStyle name="Normal 2 3 2 6 2 4 2" xfId="28443" xr:uid="{00000000-0005-0000-0000-0000E36D0000}"/>
    <cellStyle name="Normal 2 3 2 6 2 4 2 2" xfId="28444" xr:uid="{00000000-0005-0000-0000-0000E46D0000}"/>
    <cellStyle name="Normal 2 3 2 6 2 4 2 3" xfId="28445" xr:uid="{00000000-0005-0000-0000-0000E56D0000}"/>
    <cellStyle name="Normal 2 3 2 6 2 4 2 4" xfId="28446" xr:uid="{00000000-0005-0000-0000-0000E66D0000}"/>
    <cellStyle name="Normal 2 3 2 6 2 4 2 5" xfId="28447" xr:uid="{00000000-0005-0000-0000-0000E76D0000}"/>
    <cellStyle name="Normal 2 3 2 6 2 4 3" xfId="28448" xr:uid="{00000000-0005-0000-0000-0000E86D0000}"/>
    <cellStyle name="Normal 2 3 2 6 2 4 4" xfId="28449" xr:uid="{00000000-0005-0000-0000-0000E96D0000}"/>
    <cellStyle name="Normal 2 3 2 6 2 4 5" xfId="28450" xr:uid="{00000000-0005-0000-0000-0000EA6D0000}"/>
    <cellStyle name="Normal 2 3 2 6 2 4 6" xfId="28451" xr:uid="{00000000-0005-0000-0000-0000EB6D0000}"/>
    <cellStyle name="Normal 2 3 2 6 2 4 7" xfId="28452" xr:uid="{00000000-0005-0000-0000-0000EC6D0000}"/>
    <cellStyle name="Normal 2 3 2 6 2 4 8" xfId="28453" xr:uid="{00000000-0005-0000-0000-0000ED6D0000}"/>
    <cellStyle name="Normal 2 3 2 6 2 5" xfId="28454" xr:uid="{00000000-0005-0000-0000-0000EE6D0000}"/>
    <cellStyle name="Normal 2 3 2 6 2 5 2" xfId="28455" xr:uid="{00000000-0005-0000-0000-0000EF6D0000}"/>
    <cellStyle name="Normal 2 3 2 6 2 5 3" xfId="28456" xr:uid="{00000000-0005-0000-0000-0000F06D0000}"/>
    <cellStyle name="Normal 2 3 2 6 2 5 4" xfId="28457" xr:uid="{00000000-0005-0000-0000-0000F16D0000}"/>
    <cellStyle name="Normal 2 3 2 6 2 5 5" xfId="28458" xr:uid="{00000000-0005-0000-0000-0000F26D0000}"/>
    <cellStyle name="Normal 2 3 2 6 2 6" xfId="28459" xr:uid="{00000000-0005-0000-0000-0000F36D0000}"/>
    <cellStyle name="Normal 2 3 2 6 2 7" xfId="28460" xr:uid="{00000000-0005-0000-0000-0000F46D0000}"/>
    <cellStyle name="Normal 2 3 2 6 2 8" xfId="28461" xr:uid="{00000000-0005-0000-0000-0000F56D0000}"/>
    <cellStyle name="Normal 2 3 2 6 2 9" xfId="28462" xr:uid="{00000000-0005-0000-0000-0000F66D0000}"/>
    <cellStyle name="Normal 2 3 2 6 3" xfId="28463" xr:uid="{00000000-0005-0000-0000-0000F76D0000}"/>
    <cellStyle name="Normal 2 3 2 6 3 10" xfId="28464" xr:uid="{00000000-0005-0000-0000-0000F86D0000}"/>
    <cellStyle name="Normal 2 3 2 6 3 11" xfId="28465" xr:uid="{00000000-0005-0000-0000-0000F96D0000}"/>
    <cellStyle name="Normal 2 3 2 6 3 2" xfId="28466" xr:uid="{00000000-0005-0000-0000-0000FA6D0000}"/>
    <cellStyle name="Normal 2 3 2 6 3 2 10" xfId="28467" xr:uid="{00000000-0005-0000-0000-0000FB6D0000}"/>
    <cellStyle name="Normal 2 3 2 6 3 2 2" xfId="28468" xr:uid="{00000000-0005-0000-0000-0000FC6D0000}"/>
    <cellStyle name="Normal 2 3 2 6 3 2 2 2" xfId="28469" xr:uid="{00000000-0005-0000-0000-0000FD6D0000}"/>
    <cellStyle name="Normal 2 3 2 6 3 2 2 2 2" xfId="28470" xr:uid="{00000000-0005-0000-0000-0000FE6D0000}"/>
    <cellStyle name="Normal 2 3 2 6 3 2 2 2 3" xfId="28471" xr:uid="{00000000-0005-0000-0000-0000FF6D0000}"/>
    <cellStyle name="Normal 2 3 2 6 3 2 2 2 4" xfId="28472" xr:uid="{00000000-0005-0000-0000-0000006E0000}"/>
    <cellStyle name="Normal 2 3 2 6 3 2 2 2 5" xfId="28473" xr:uid="{00000000-0005-0000-0000-0000016E0000}"/>
    <cellStyle name="Normal 2 3 2 6 3 2 2 3" xfId="28474" xr:uid="{00000000-0005-0000-0000-0000026E0000}"/>
    <cellStyle name="Normal 2 3 2 6 3 2 2 4" xfId="28475" xr:uid="{00000000-0005-0000-0000-0000036E0000}"/>
    <cellStyle name="Normal 2 3 2 6 3 2 2 5" xfId="28476" xr:uid="{00000000-0005-0000-0000-0000046E0000}"/>
    <cellStyle name="Normal 2 3 2 6 3 2 2 6" xfId="28477" xr:uid="{00000000-0005-0000-0000-0000056E0000}"/>
    <cellStyle name="Normal 2 3 2 6 3 2 2 7" xfId="28478" xr:uid="{00000000-0005-0000-0000-0000066E0000}"/>
    <cellStyle name="Normal 2 3 2 6 3 2 2 8" xfId="28479" xr:uid="{00000000-0005-0000-0000-0000076E0000}"/>
    <cellStyle name="Normal 2 3 2 6 3 2 3" xfId="28480" xr:uid="{00000000-0005-0000-0000-0000086E0000}"/>
    <cellStyle name="Normal 2 3 2 6 3 2 3 2" xfId="28481" xr:uid="{00000000-0005-0000-0000-0000096E0000}"/>
    <cellStyle name="Normal 2 3 2 6 3 2 3 2 2" xfId="28482" xr:uid="{00000000-0005-0000-0000-00000A6E0000}"/>
    <cellStyle name="Normal 2 3 2 6 3 2 3 2 3" xfId="28483" xr:uid="{00000000-0005-0000-0000-00000B6E0000}"/>
    <cellStyle name="Normal 2 3 2 6 3 2 3 2 4" xfId="28484" xr:uid="{00000000-0005-0000-0000-00000C6E0000}"/>
    <cellStyle name="Normal 2 3 2 6 3 2 3 2 5" xfId="28485" xr:uid="{00000000-0005-0000-0000-00000D6E0000}"/>
    <cellStyle name="Normal 2 3 2 6 3 2 3 3" xfId="28486" xr:uid="{00000000-0005-0000-0000-00000E6E0000}"/>
    <cellStyle name="Normal 2 3 2 6 3 2 3 4" xfId="28487" xr:uid="{00000000-0005-0000-0000-00000F6E0000}"/>
    <cellStyle name="Normal 2 3 2 6 3 2 3 5" xfId="28488" xr:uid="{00000000-0005-0000-0000-0000106E0000}"/>
    <cellStyle name="Normal 2 3 2 6 3 2 3 6" xfId="28489" xr:uid="{00000000-0005-0000-0000-0000116E0000}"/>
    <cellStyle name="Normal 2 3 2 6 3 2 3 7" xfId="28490" xr:uid="{00000000-0005-0000-0000-0000126E0000}"/>
    <cellStyle name="Normal 2 3 2 6 3 2 3 8" xfId="28491" xr:uid="{00000000-0005-0000-0000-0000136E0000}"/>
    <cellStyle name="Normal 2 3 2 6 3 2 4" xfId="28492" xr:uid="{00000000-0005-0000-0000-0000146E0000}"/>
    <cellStyle name="Normal 2 3 2 6 3 2 4 2" xfId="28493" xr:uid="{00000000-0005-0000-0000-0000156E0000}"/>
    <cellStyle name="Normal 2 3 2 6 3 2 4 3" xfId="28494" xr:uid="{00000000-0005-0000-0000-0000166E0000}"/>
    <cellStyle name="Normal 2 3 2 6 3 2 4 4" xfId="28495" xr:uid="{00000000-0005-0000-0000-0000176E0000}"/>
    <cellStyle name="Normal 2 3 2 6 3 2 4 5" xfId="28496" xr:uid="{00000000-0005-0000-0000-0000186E0000}"/>
    <cellStyle name="Normal 2 3 2 6 3 2 5" xfId="28497" xr:uid="{00000000-0005-0000-0000-0000196E0000}"/>
    <cellStyle name="Normal 2 3 2 6 3 2 6" xfId="28498" xr:uid="{00000000-0005-0000-0000-00001A6E0000}"/>
    <cellStyle name="Normal 2 3 2 6 3 2 7" xfId="28499" xr:uid="{00000000-0005-0000-0000-00001B6E0000}"/>
    <cellStyle name="Normal 2 3 2 6 3 2 8" xfId="28500" xr:uid="{00000000-0005-0000-0000-00001C6E0000}"/>
    <cellStyle name="Normal 2 3 2 6 3 2 9" xfId="28501" xr:uid="{00000000-0005-0000-0000-00001D6E0000}"/>
    <cellStyle name="Normal 2 3 2 6 3 3" xfId="28502" xr:uid="{00000000-0005-0000-0000-00001E6E0000}"/>
    <cellStyle name="Normal 2 3 2 6 3 3 2" xfId="28503" xr:uid="{00000000-0005-0000-0000-00001F6E0000}"/>
    <cellStyle name="Normal 2 3 2 6 3 3 2 2" xfId="28504" xr:uid="{00000000-0005-0000-0000-0000206E0000}"/>
    <cellStyle name="Normal 2 3 2 6 3 3 2 3" xfId="28505" xr:uid="{00000000-0005-0000-0000-0000216E0000}"/>
    <cellStyle name="Normal 2 3 2 6 3 3 2 4" xfId="28506" xr:uid="{00000000-0005-0000-0000-0000226E0000}"/>
    <cellStyle name="Normal 2 3 2 6 3 3 2 5" xfId="28507" xr:uid="{00000000-0005-0000-0000-0000236E0000}"/>
    <cellStyle name="Normal 2 3 2 6 3 3 3" xfId="28508" xr:uid="{00000000-0005-0000-0000-0000246E0000}"/>
    <cellStyle name="Normal 2 3 2 6 3 3 4" xfId="28509" xr:uid="{00000000-0005-0000-0000-0000256E0000}"/>
    <cellStyle name="Normal 2 3 2 6 3 3 5" xfId="28510" xr:uid="{00000000-0005-0000-0000-0000266E0000}"/>
    <cellStyle name="Normal 2 3 2 6 3 3 6" xfId="28511" xr:uid="{00000000-0005-0000-0000-0000276E0000}"/>
    <cellStyle name="Normal 2 3 2 6 3 3 7" xfId="28512" xr:uid="{00000000-0005-0000-0000-0000286E0000}"/>
    <cellStyle name="Normal 2 3 2 6 3 3 8" xfId="28513" xr:uid="{00000000-0005-0000-0000-0000296E0000}"/>
    <cellStyle name="Normal 2 3 2 6 3 4" xfId="28514" xr:uid="{00000000-0005-0000-0000-00002A6E0000}"/>
    <cellStyle name="Normal 2 3 2 6 3 4 2" xfId="28515" xr:uid="{00000000-0005-0000-0000-00002B6E0000}"/>
    <cellStyle name="Normal 2 3 2 6 3 4 2 2" xfId="28516" xr:uid="{00000000-0005-0000-0000-00002C6E0000}"/>
    <cellStyle name="Normal 2 3 2 6 3 4 2 3" xfId="28517" xr:uid="{00000000-0005-0000-0000-00002D6E0000}"/>
    <cellStyle name="Normal 2 3 2 6 3 4 2 4" xfId="28518" xr:uid="{00000000-0005-0000-0000-00002E6E0000}"/>
    <cellStyle name="Normal 2 3 2 6 3 4 2 5" xfId="28519" xr:uid="{00000000-0005-0000-0000-00002F6E0000}"/>
    <cellStyle name="Normal 2 3 2 6 3 4 3" xfId="28520" xr:uid="{00000000-0005-0000-0000-0000306E0000}"/>
    <cellStyle name="Normal 2 3 2 6 3 4 4" xfId="28521" xr:uid="{00000000-0005-0000-0000-0000316E0000}"/>
    <cellStyle name="Normal 2 3 2 6 3 4 5" xfId="28522" xr:uid="{00000000-0005-0000-0000-0000326E0000}"/>
    <cellStyle name="Normal 2 3 2 6 3 4 6" xfId="28523" xr:uid="{00000000-0005-0000-0000-0000336E0000}"/>
    <cellStyle name="Normal 2 3 2 6 3 4 7" xfId="28524" xr:uid="{00000000-0005-0000-0000-0000346E0000}"/>
    <cellStyle name="Normal 2 3 2 6 3 4 8" xfId="28525" xr:uid="{00000000-0005-0000-0000-0000356E0000}"/>
    <cellStyle name="Normal 2 3 2 6 3 5" xfId="28526" xr:uid="{00000000-0005-0000-0000-0000366E0000}"/>
    <cellStyle name="Normal 2 3 2 6 3 5 2" xfId="28527" xr:uid="{00000000-0005-0000-0000-0000376E0000}"/>
    <cellStyle name="Normal 2 3 2 6 3 5 3" xfId="28528" xr:uid="{00000000-0005-0000-0000-0000386E0000}"/>
    <cellStyle name="Normal 2 3 2 6 3 5 4" xfId="28529" xr:uid="{00000000-0005-0000-0000-0000396E0000}"/>
    <cellStyle name="Normal 2 3 2 6 3 5 5" xfId="28530" xr:uid="{00000000-0005-0000-0000-00003A6E0000}"/>
    <cellStyle name="Normal 2 3 2 6 3 6" xfId="28531" xr:uid="{00000000-0005-0000-0000-00003B6E0000}"/>
    <cellStyle name="Normal 2 3 2 6 3 7" xfId="28532" xr:uid="{00000000-0005-0000-0000-00003C6E0000}"/>
    <cellStyle name="Normal 2 3 2 6 3 8" xfId="28533" xr:uid="{00000000-0005-0000-0000-00003D6E0000}"/>
    <cellStyle name="Normal 2 3 2 6 3 9" xfId="28534" xr:uid="{00000000-0005-0000-0000-00003E6E0000}"/>
    <cellStyle name="Normal 2 3 2 6 4" xfId="28535" xr:uid="{00000000-0005-0000-0000-00003F6E0000}"/>
    <cellStyle name="Normal 2 3 2 6 4 10" xfId="28536" xr:uid="{00000000-0005-0000-0000-0000406E0000}"/>
    <cellStyle name="Normal 2 3 2 6 4 2" xfId="28537" xr:uid="{00000000-0005-0000-0000-0000416E0000}"/>
    <cellStyle name="Normal 2 3 2 6 4 2 2" xfId="28538" xr:uid="{00000000-0005-0000-0000-0000426E0000}"/>
    <cellStyle name="Normal 2 3 2 6 4 2 2 2" xfId="28539" xr:uid="{00000000-0005-0000-0000-0000436E0000}"/>
    <cellStyle name="Normal 2 3 2 6 4 2 2 3" xfId="28540" xr:uid="{00000000-0005-0000-0000-0000446E0000}"/>
    <cellStyle name="Normal 2 3 2 6 4 2 2 4" xfId="28541" xr:uid="{00000000-0005-0000-0000-0000456E0000}"/>
    <cellStyle name="Normal 2 3 2 6 4 2 2 5" xfId="28542" xr:uid="{00000000-0005-0000-0000-0000466E0000}"/>
    <cellStyle name="Normal 2 3 2 6 4 2 3" xfId="28543" xr:uid="{00000000-0005-0000-0000-0000476E0000}"/>
    <cellStyle name="Normal 2 3 2 6 4 2 4" xfId="28544" xr:uid="{00000000-0005-0000-0000-0000486E0000}"/>
    <cellStyle name="Normal 2 3 2 6 4 2 5" xfId="28545" xr:uid="{00000000-0005-0000-0000-0000496E0000}"/>
    <cellStyle name="Normal 2 3 2 6 4 2 6" xfId="28546" xr:uid="{00000000-0005-0000-0000-00004A6E0000}"/>
    <cellStyle name="Normal 2 3 2 6 4 2 7" xfId="28547" xr:uid="{00000000-0005-0000-0000-00004B6E0000}"/>
    <cellStyle name="Normal 2 3 2 6 4 2 8" xfId="28548" xr:uid="{00000000-0005-0000-0000-00004C6E0000}"/>
    <cellStyle name="Normal 2 3 2 6 4 3" xfId="28549" xr:uid="{00000000-0005-0000-0000-00004D6E0000}"/>
    <cellStyle name="Normal 2 3 2 6 4 3 2" xfId="28550" xr:uid="{00000000-0005-0000-0000-00004E6E0000}"/>
    <cellStyle name="Normal 2 3 2 6 4 3 2 2" xfId="28551" xr:uid="{00000000-0005-0000-0000-00004F6E0000}"/>
    <cellStyle name="Normal 2 3 2 6 4 3 2 3" xfId="28552" xr:uid="{00000000-0005-0000-0000-0000506E0000}"/>
    <cellStyle name="Normal 2 3 2 6 4 3 2 4" xfId="28553" xr:uid="{00000000-0005-0000-0000-0000516E0000}"/>
    <cellStyle name="Normal 2 3 2 6 4 3 2 5" xfId="28554" xr:uid="{00000000-0005-0000-0000-0000526E0000}"/>
    <cellStyle name="Normal 2 3 2 6 4 3 3" xfId="28555" xr:uid="{00000000-0005-0000-0000-0000536E0000}"/>
    <cellStyle name="Normal 2 3 2 6 4 3 4" xfId="28556" xr:uid="{00000000-0005-0000-0000-0000546E0000}"/>
    <cellStyle name="Normal 2 3 2 6 4 3 5" xfId="28557" xr:uid="{00000000-0005-0000-0000-0000556E0000}"/>
    <cellStyle name="Normal 2 3 2 6 4 3 6" xfId="28558" xr:uid="{00000000-0005-0000-0000-0000566E0000}"/>
    <cellStyle name="Normal 2 3 2 6 4 3 7" xfId="28559" xr:uid="{00000000-0005-0000-0000-0000576E0000}"/>
    <cellStyle name="Normal 2 3 2 6 4 3 8" xfId="28560" xr:uid="{00000000-0005-0000-0000-0000586E0000}"/>
    <cellStyle name="Normal 2 3 2 6 4 4" xfId="28561" xr:uid="{00000000-0005-0000-0000-0000596E0000}"/>
    <cellStyle name="Normal 2 3 2 6 4 4 2" xfId="28562" xr:uid="{00000000-0005-0000-0000-00005A6E0000}"/>
    <cellStyle name="Normal 2 3 2 6 4 4 3" xfId="28563" xr:uid="{00000000-0005-0000-0000-00005B6E0000}"/>
    <cellStyle name="Normal 2 3 2 6 4 4 4" xfId="28564" xr:uid="{00000000-0005-0000-0000-00005C6E0000}"/>
    <cellStyle name="Normal 2 3 2 6 4 4 5" xfId="28565" xr:uid="{00000000-0005-0000-0000-00005D6E0000}"/>
    <cellStyle name="Normal 2 3 2 6 4 5" xfId="28566" xr:uid="{00000000-0005-0000-0000-00005E6E0000}"/>
    <cellStyle name="Normal 2 3 2 6 4 6" xfId="28567" xr:uid="{00000000-0005-0000-0000-00005F6E0000}"/>
    <cellStyle name="Normal 2 3 2 6 4 7" xfId="28568" xr:uid="{00000000-0005-0000-0000-0000606E0000}"/>
    <cellStyle name="Normal 2 3 2 6 4 8" xfId="28569" xr:uid="{00000000-0005-0000-0000-0000616E0000}"/>
    <cellStyle name="Normal 2 3 2 6 4 9" xfId="28570" xr:uid="{00000000-0005-0000-0000-0000626E0000}"/>
    <cellStyle name="Normal 2 3 2 6 5" xfId="28571" xr:uid="{00000000-0005-0000-0000-0000636E0000}"/>
    <cellStyle name="Normal 2 3 2 6 5 2" xfId="28572" xr:uid="{00000000-0005-0000-0000-0000646E0000}"/>
    <cellStyle name="Normal 2 3 2 6 5 2 2" xfId="28573" xr:uid="{00000000-0005-0000-0000-0000656E0000}"/>
    <cellStyle name="Normal 2 3 2 6 5 2 3" xfId="28574" xr:uid="{00000000-0005-0000-0000-0000666E0000}"/>
    <cellStyle name="Normal 2 3 2 6 5 2 4" xfId="28575" xr:uid="{00000000-0005-0000-0000-0000676E0000}"/>
    <cellStyle name="Normal 2 3 2 6 5 2 5" xfId="28576" xr:uid="{00000000-0005-0000-0000-0000686E0000}"/>
    <cellStyle name="Normal 2 3 2 6 5 3" xfId="28577" xr:uid="{00000000-0005-0000-0000-0000696E0000}"/>
    <cellStyle name="Normal 2 3 2 6 5 4" xfId="28578" xr:uid="{00000000-0005-0000-0000-00006A6E0000}"/>
    <cellStyle name="Normal 2 3 2 6 5 5" xfId="28579" xr:uid="{00000000-0005-0000-0000-00006B6E0000}"/>
    <cellStyle name="Normal 2 3 2 6 5 6" xfId="28580" xr:uid="{00000000-0005-0000-0000-00006C6E0000}"/>
    <cellStyle name="Normal 2 3 2 6 5 7" xfId="28581" xr:uid="{00000000-0005-0000-0000-00006D6E0000}"/>
    <cellStyle name="Normal 2 3 2 6 5 8" xfId="28582" xr:uid="{00000000-0005-0000-0000-00006E6E0000}"/>
    <cellStyle name="Normal 2 3 2 6 6" xfId="28583" xr:uid="{00000000-0005-0000-0000-00006F6E0000}"/>
    <cellStyle name="Normal 2 3 2 6 6 2" xfId="28584" xr:uid="{00000000-0005-0000-0000-0000706E0000}"/>
    <cellStyle name="Normal 2 3 2 6 6 2 2" xfId="28585" xr:uid="{00000000-0005-0000-0000-0000716E0000}"/>
    <cellStyle name="Normal 2 3 2 6 6 2 3" xfId="28586" xr:uid="{00000000-0005-0000-0000-0000726E0000}"/>
    <cellStyle name="Normal 2 3 2 6 6 2 4" xfId="28587" xr:uid="{00000000-0005-0000-0000-0000736E0000}"/>
    <cellStyle name="Normal 2 3 2 6 6 2 5" xfId="28588" xr:uid="{00000000-0005-0000-0000-0000746E0000}"/>
    <cellStyle name="Normal 2 3 2 6 6 3" xfId="28589" xr:uid="{00000000-0005-0000-0000-0000756E0000}"/>
    <cellStyle name="Normal 2 3 2 6 6 4" xfId="28590" xr:uid="{00000000-0005-0000-0000-0000766E0000}"/>
    <cellStyle name="Normal 2 3 2 6 6 5" xfId="28591" xr:uid="{00000000-0005-0000-0000-0000776E0000}"/>
    <cellStyle name="Normal 2 3 2 6 6 6" xfId="28592" xr:uid="{00000000-0005-0000-0000-0000786E0000}"/>
    <cellStyle name="Normal 2 3 2 6 6 7" xfId="28593" xr:uid="{00000000-0005-0000-0000-0000796E0000}"/>
    <cellStyle name="Normal 2 3 2 6 6 8" xfId="28594" xr:uid="{00000000-0005-0000-0000-00007A6E0000}"/>
    <cellStyle name="Normal 2 3 2 6 7" xfId="28595" xr:uid="{00000000-0005-0000-0000-00007B6E0000}"/>
    <cellStyle name="Normal 2 3 2 6 7 2" xfId="28596" xr:uid="{00000000-0005-0000-0000-00007C6E0000}"/>
    <cellStyle name="Normal 2 3 2 6 7 3" xfId="28597" xr:uid="{00000000-0005-0000-0000-00007D6E0000}"/>
    <cellStyle name="Normal 2 3 2 6 7 4" xfId="28598" xr:uid="{00000000-0005-0000-0000-00007E6E0000}"/>
    <cellStyle name="Normal 2 3 2 6 7 5" xfId="28599" xr:uid="{00000000-0005-0000-0000-00007F6E0000}"/>
    <cellStyle name="Normal 2 3 2 6 8" xfId="28600" xr:uid="{00000000-0005-0000-0000-0000806E0000}"/>
    <cellStyle name="Normal 2 3 2 6 9" xfId="28601" xr:uid="{00000000-0005-0000-0000-0000816E0000}"/>
    <cellStyle name="Normal 2 3 2 7" xfId="28602" xr:uid="{00000000-0005-0000-0000-0000826E0000}"/>
    <cellStyle name="Normal 2 3 2 7 10" xfId="28603" xr:uid="{00000000-0005-0000-0000-0000836E0000}"/>
    <cellStyle name="Normal 2 3 2 7 11" xfId="28604" xr:uid="{00000000-0005-0000-0000-0000846E0000}"/>
    <cellStyle name="Normal 2 3 2 7 12" xfId="28605" xr:uid="{00000000-0005-0000-0000-0000856E0000}"/>
    <cellStyle name="Normal 2 3 2 7 13" xfId="28606" xr:uid="{00000000-0005-0000-0000-0000866E0000}"/>
    <cellStyle name="Normal 2 3 2 7 2" xfId="28607" xr:uid="{00000000-0005-0000-0000-0000876E0000}"/>
    <cellStyle name="Normal 2 3 2 7 2 10" xfId="28608" xr:uid="{00000000-0005-0000-0000-0000886E0000}"/>
    <cellStyle name="Normal 2 3 2 7 2 11" xfId="28609" xr:uid="{00000000-0005-0000-0000-0000896E0000}"/>
    <cellStyle name="Normal 2 3 2 7 2 2" xfId="28610" xr:uid="{00000000-0005-0000-0000-00008A6E0000}"/>
    <cellStyle name="Normal 2 3 2 7 2 2 10" xfId="28611" xr:uid="{00000000-0005-0000-0000-00008B6E0000}"/>
    <cellStyle name="Normal 2 3 2 7 2 2 2" xfId="28612" xr:uid="{00000000-0005-0000-0000-00008C6E0000}"/>
    <cellStyle name="Normal 2 3 2 7 2 2 2 2" xfId="28613" xr:uid="{00000000-0005-0000-0000-00008D6E0000}"/>
    <cellStyle name="Normal 2 3 2 7 2 2 2 2 2" xfId="28614" xr:uid="{00000000-0005-0000-0000-00008E6E0000}"/>
    <cellStyle name="Normal 2 3 2 7 2 2 2 2 3" xfId="28615" xr:uid="{00000000-0005-0000-0000-00008F6E0000}"/>
    <cellStyle name="Normal 2 3 2 7 2 2 2 2 4" xfId="28616" xr:uid="{00000000-0005-0000-0000-0000906E0000}"/>
    <cellStyle name="Normal 2 3 2 7 2 2 2 2 5" xfId="28617" xr:uid="{00000000-0005-0000-0000-0000916E0000}"/>
    <cellStyle name="Normal 2 3 2 7 2 2 2 3" xfId="28618" xr:uid="{00000000-0005-0000-0000-0000926E0000}"/>
    <cellStyle name="Normal 2 3 2 7 2 2 2 4" xfId="28619" xr:uid="{00000000-0005-0000-0000-0000936E0000}"/>
    <cellStyle name="Normal 2 3 2 7 2 2 2 5" xfId="28620" xr:uid="{00000000-0005-0000-0000-0000946E0000}"/>
    <cellStyle name="Normal 2 3 2 7 2 2 2 6" xfId="28621" xr:uid="{00000000-0005-0000-0000-0000956E0000}"/>
    <cellStyle name="Normal 2 3 2 7 2 2 2 7" xfId="28622" xr:uid="{00000000-0005-0000-0000-0000966E0000}"/>
    <cellStyle name="Normal 2 3 2 7 2 2 2 8" xfId="28623" xr:uid="{00000000-0005-0000-0000-0000976E0000}"/>
    <cellStyle name="Normal 2 3 2 7 2 2 3" xfId="28624" xr:uid="{00000000-0005-0000-0000-0000986E0000}"/>
    <cellStyle name="Normal 2 3 2 7 2 2 3 2" xfId="28625" xr:uid="{00000000-0005-0000-0000-0000996E0000}"/>
    <cellStyle name="Normal 2 3 2 7 2 2 3 2 2" xfId="28626" xr:uid="{00000000-0005-0000-0000-00009A6E0000}"/>
    <cellStyle name="Normal 2 3 2 7 2 2 3 2 3" xfId="28627" xr:uid="{00000000-0005-0000-0000-00009B6E0000}"/>
    <cellStyle name="Normal 2 3 2 7 2 2 3 2 4" xfId="28628" xr:uid="{00000000-0005-0000-0000-00009C6E0000}"/>
    <cellStyle name="Normal 2 3 2 7 2 2 3 2 5" xfId="28629" xr:uid="{00000000-0005-0000-0000-00009D6E0000}"/>
    <cellStyle name="Normal 2 3 2 7 2 2 3 3" xfId="28630" xr:uid="{00000000-0005-0000-0000-00009E6E0000}"/>
    <cellStyle name="Normal 2 3 2 7 2 2 3 4" xfId="28631" xr:uid="{00000000-0005-0000-0000-00009F6E0000}"/>
    <cellStyle name="Normal 2 3 2 7 2 2 3 5" xfId="28632" xr:uid="{00000000-0005-0000-0000-0000A06E0000}"/>
    <cellStyle name="Normal 2 3 2 7 2 2 3 6" xfId="28633" xr:uid="{00000000-0005-0000-0000-0000A16E0000}"/>
    <cellStyle name="Normal 2 3 2 7 2 2 3 7" xfId="28634" xr:uid="{00000000-0005-0000-0000-0000A26E0000}"/>
    <cellStyle name="Normal 2 3 2 7 2 2 3 8" xfId="28635" xr:uid="{00000000-0005-0000-0000-0000A36E0000}"/>
    <cellStyle name="Normal 2 3 2 7 2 2 4" xfId="28636" xr:uid="{00000000-0005-0000-0000-0000A46E0000}"/>
    <cellStyle name="Normal 2 3 2 7 2 2 4 2" xfId="28637" xr:uid="{00000000-0005-0000-0000-0000A56E0000}"/>
    <cellStyle name="Normal 2 3 2 7 2 2 4 3" xfId="28638" xr:uid="{00000000-0005-0000-0000-0000A66E0000}"/>
    <cellStyle name="Normal 2 3 2 7 2 2 4 4" xfId="28639" xr:uid="{00000000-0005-0000-0000-0000A76E0000}"/>
    <cellStyle name="Normal 2 3 2 7 2 2 4 5" xfId="28640" xr:uid="{00000000-0005-0000-0000-0000A86E0000}"/>
    <cellStyle name="Normal 2 3 2 7 2 2 5" xfId="28641" xr:uid="{00000000-0005-0000-0000-0000A96E0000}"/>
    <cellStyle name="Normal 2 3 2 7 2 2 6" xfId="28642" xr:uid="{00000000-0005-0000-0000-0000AA6E0000}"/>
    <cellStyle name="Normal 2 3 2 7 2 2 7" xfId="28643" xr:uid="{00000000-0005-0000-0000-0000AB6E0000}"/>
    <cellStyle name="Normal 2 3 2 7 2 2 8" xfId="28644" xr:uid="{00000000-0005-0000-0000-0000AC6E0000}"/>
    <cellStyle name="Normal 2 3 2 7 2 2 9" xfId="28645" xr:uid="{00000000-0005-0000-0000-0000AD6E0000}"/>
    <cellStyle name="Normal 2 3 2 7 2 3" xfId="28646" xr:uid="{00000000-0005-0000-0000-0000AE6E0000}"/>
    <cellStyle name="Normal 2 3 2 7 2 3 2" xfId="28647" xr:uid="{00000000-0005-0000-0000-0000AF6E0000}"/>
    <cellStyle name="Normal 2 3 2 7 2 3 2 2" xfId="28648" xr:uid="{00000000-0005-0000-0000-0000B06E0000}"/>
    <cellStyle name="Normal 2 3 2 7 2 3 2 3" xfId="28649" xr:uid="{00000000-0005-0000-0000-0000B16E0000}"/>
    <cellStyle name="Normal 2 3 2 7 2 3 2 4" xfId="28650" xr:uid="{00000000-0005-0000-0000-0000B26E0000}"/>
    <cellStyle name="Normal 2 3 2 7 2 3 2 5" xfId="28651" xr:uid="{00000000-0005-0000-0000-0000B36E0000}"/>
    <cellStyle name="Normal 2 3 2 7 2 3 3" xfId="28652" xr:uid="{00000000-0005-0000-0000-0000B46E0000}"/>
    <cellStyle name="Normal 2 3 2 7 2 3 4" xfId="28653" xr:uid="{00000000-0005-0000-0000-0000B56E0000}"/>
    <cellStyle name="Normal 2 3 2 7 2 3 5" xfId="28654" xr:uid="{00000000-0005-0000-0000-0000B66E0000}"/>
    <cellStyle name="Normal 2 3 2 7 2 3 6" xfId="28655" xr:uid="{00000000-0005-0000-0000-0000B76E0000}"/>
    <cellStyle name="Normal 2 3 2 7 2 3 7" xfId="28656" xr:uid="{00000000-0005-0000-0000-0000B86E0000}"/>
    <cellStyle name="Normal 2 3 2 7 2 3 8" xfId="28657" xr:uid="{00000000-0005-0000-0000-0000B96E0000}"/>
    <cellStyle name="Normal 2 3 2 7 2 4" xfId="28658" xr:uid="{00000000-0005-0000-0000-0000BA6E0000}"/>
    <cellStyle name="Normal 2 3 2 7 2 4 2" xfId="28659" xr:uid="{00000000-0005-0000-0000-0000BB6E0000}"/>
    <cellStyle name="Normal 2 3 2 7 2 4 2 2" xfId="28660" xr:uid="{00000000-0005-0000-0000-0000BC6E0000}"/>
    <cellStyle name="Normal 2 3 2 7 2 4 2 3" xfId="28661" xr:uid="{00000000-0005-0000-0000-0000BD6E0000}"/>
    <cellStyle name="Normal 2 3 2 7 2 4 2 4" xfId="28662" xr:uid="{00000000-0005-0000-0000-0000BE6E0000}"/>
    <cellStyle name="Normal 2 3 2 7 2 4 2 5" xfId="28663" xr:uid="{00000000-0005-0000-0000-0000BF6E0000}"/>
    <cellStyle name="Normal 2 3 2 7 2 4 3" xfId="28664" xr:uid="{00000000-0005-0000-0000-0000C06E0000}"/>
    <cellStyle name="Normal 2 3 2 7 2 4 4" xfId="28665" xr:uid="{00000000-0005-0000-0000-0000C16E0000}"/>
    <cellStyle name="Normal 2 3 2 7 2 4 5" xfId="28666" xr:uid="{00000000-0005-0000-0000-0000C26E0000}"/>
    <cellStyle name="Normal 2 3 2 7 2 4 6" xfId="28667" xr:uid="{00000000-0005-0000-0000-0000C36E0000}"/>
    <cellStyle name="Normal 2 3 2 7 2 4 7" xfId="28668" xr:uid="{00000000-0005-0000-0000-0000C46E0000}"/>
    <cellStyle name="Normal 2 3 2 7 2 4 8" xfId="28669" xr:uid="{00000000-0005-0000-0000-0000C56E0000}"/>
    <cellStyle name="Normal 2 3 2 7 2 5" xfId="28670" xr:uid="{00000000-0005-0000-0000-0000C66E0000}"/>
    <cellStyle name="Normal 2 3 2 7 2 5 2" xfId="28671" xr:uid="{00000000-0005-0000-0000-0000C76E0000}"/>
    <cellStyle name="Normal 2 3 2 7 2 5 3" xfId="28672" xr:uid="{00000000-0005-0000-0000-0000C86E0000}"/>
    <cellStyle name="Normal 2 3 2 7 2 5 4" xfId="28673" xr:uid="{00000000-0005-0000-0000-0000C96E0000}"/>
    <cellStyle name="Normal 2 3 2 7 2 5 5" xfId="28674" xr:uid="{00000000-0005-0000-0000-0000CA6E0000}"/>
    <cellStyle name="Normal 2 3 2 7 2 6" xfId="28675" xr:uid="{00000000-0005-0000-0000-0000CB6E0000}"/>
    <cellStyle name="Normal 2 3 2 7 2 7" xfId="28676" xr:uid="{00000000-0005-0000-0000-0000CC6E0000}"/>
    <cellStyle name="Normal 2 3 2 7 2 8" xfId="28677" xr:uid="{00000000-0005-0000-0000-0000CD6E0000}"/>
    <cellStyle name="Normal 2 3 2 7 2 9" xfId="28678" xr:uid="{00000000-0005-0000-0000-0000CE6E0000}"/>
    <cellStyle name="Normal 2 3 2 7 3" xfId="28679" xr:uid="{00000000-0005-0000-0000-0000CF6E0000}"/>
    <cellStyle name="Normal 2 3 2 7 3 10" xfId="28680" xr:uid="{00000000-0005-0000-0000-0000D06E0000}"/>
    <cellStyle name="Normal 2 3 2 7 3 11" xfId="28681" xr:uid="{00000000-0005-0000-0000-0000D16E0000}"/>
    <cellStyle name="Normal 2 3 2 7 3 2" xfId="28682" xr:uid="{00000000-0005-0000-0000-0000D26E0000}"/>
    <cellStyle name="Normal 2 3 2 7 3 2 10" xfId="28683" xr:uid="{00000000-0005-0000-0000-0000D36E0000}"/>
    <cellStyle name="Normal 2 3 2 7 3 2 2" xfId="28684" xr:uid="{00000000-0005-0000-0000-0000D46E0000}"/>
    <cellStyle name="Normal 2 3 2 7 3 2 2 2" xfId="28685" xr:uid="{00000000-0005-0000-0000-0000D56E0000}"/>
    <cellStyle name="Normal 2 3 2 7 3 2 2 2 2" xfId="28686" xr:uid="{00000000-0005-0000-0000-0000D66E0000}"/>
    <cellStyle name="Normal 2 3 2 7 3 2 2 2 3" xfId="28687" xr:uid="{00000000-0005-0000-0000-0000D76E0000}"/>
    <cellStyle name="Normal 2 3 2 7 3 2 2 2 4" xfId="28688" xr:uid="{00000000-0005-0000-0000-0000D86E0000}"/>
    <cellStyle name="Normal 2 3 2 7 3 2 2 2 5" xfId="28689" xr:uid="{00000000-0005-0000-0000-0000D96E0000}"/>
    <cellStyle name="Normal 2 3 2 7 3 2 2 3" xfId="28690" xr:uid="{00000000-0005-0000-0000-0000DA6E0000}"/>
    <cellStyle name="Normal 2 3 2 7 3 2 2 4" xfId="28691" xr:uid="{00000000-0005-0000-0000-0000DB6E0000}"/>
    <cellStyle name="Normal 2 3 2 7 3 2 2 5" xfId="28692" xr:uid="{00000000-0005-0000-0000-0000DC6E0000}"/>
    <cellStyle name="Normal 2 3 2 7 3 2 2 6" xfId="28693" xr:uid="{00000000-0005-0000-0000-0000DD6E0000}"/>
    <cellStyle name="Normal 2 3 2 7 3 2 2 7" xfId="28694" xr:uid="{00000000-0005-0000-0000-0000DE6E0000}"/>
    <cellStyle name="Normal 2 3 2 7 3 2 2 8" xfId="28695" xr:uid="{00000000-0005-0000-0000-0000DF6E0000}"/>
    <cellStyle name="Normal 2 3 2 7 3 2 3" xfId="28696" xr:uid="{00000000-0005-0000-0000-0000E06E0000}"/>
    <cellStyle name="Normal 2 3 2 7 3 2 3 2" xfId="28697" xr:uid="{00000000-0005-0000-0000-0000E16E0000}"/>
    <cellStyle name="Normal 2 3 2 7 3 2 3 2 2" xfId="28698" xr:uid="{00000000-0005-0000-0000-0000E26E0000}"/>
    <cellStyle name="Normal 2 3 2 7 3 2 3 2 3" xfId="28699" xr:uid="{00000000-0005-0000-0000-0000E36E0000}"/>
    <cellStyle name="Normal 2 3 2 7 3 2 3 2 4" xfId="28700" xr:uid="{00000000-0005-0000-0000-0000E46E0000}"/>
    <cellStyle name="Normal 2 3 2 7 3 2 3 2 5" xfId="28701" xr:uid="{00000000-0005-0000-0000-0000E56E0000}"/>
    <cellStyle name="Normal 2 3 2 7 3 2 3 3" xfId="28702" xr:uid="{00000000-0005-0000-0000-0000E66E0000}"/>
    <cellStyle name="Normal 2 3 2 7 3 2 3 4" xfId="28703" xr:uid="{00000000-0005-0000-0000-0000E76E0000}"/>
    <cellStyle name="Normal 2 3 2 7 3 2 3 5" xfId="28704" xr:uid="{00000000-0005-0000-0000-0000E86E0000}"/>
    <cellStyle name="Normal 2 3 2 7 3 2 3 6" xfId="28705" xr:uid="{00000000-0005-0000-0000-0000E96E0000}"/>
    <cellStyle name="Normal 2 3 2 7 3 2 3 7" xfId="28706" xr:uid="{00000000-0005-0000-0000-0000EA6E0000}"/>
    <cellStyle name="Normal 2 3 2 7 3 2 3 8" xfId="28707" xr:uid="{00000000-0005-0000-0000-0000EB6E0000}"/>
    <cellStyle name="Normal 2 3 2 7 3 2 4" xfId="28708" xr:uid="{00000000-0005-0000-0000-0000EC6E0000}"/>
    <cellStyle name="Normal 2 3 2 7 3 2 4 2" xfId="28709" xr:uid="{00000000-0005-0000-0000-0000ED6E0000}"/>
    <cellStyle name="Normal 2 3 2 7 3 2 4 3" xfId="28710" xr:uid="{00000000-0005-0000-0000-0000EE6E0000}"/>
    <cellStyle name="Normal 2 3 2 7 3 2 4 4" xfId="28711" xr:uid="{00000000-0005-0000-0000-0000EF6E0000}"/>
    <cellStyle name="Normal 2 3 2 7 3 2 4 5" xfId="28712" xr:uid="{00000000-0005-0000-0000-0000F06E0000}"/>
    <cellStyle name="Normal 2 3 2 7 3 2 5" xfId="28713" xr:uid="{00000000-0005-0000-0000-0000F16E0000}"/>
    <cellStyle name="Normal 2 3 2 7 3 2 6" xfId="28714" xr:uid="{00000000-0005-0000-0000-0000F26E0000}"/>
    <cellStyle name="Normal 2 3 2 7 3 2 7" xfId="28715" xr:uid="{00000000-0005-0000-0000-0000F36E0000}"/>
    <cellStyle name="Normal 2 3 2 7 3 2 8" xfId="28716" xr:uid="{00000000-0005-0000-0000-0000F46E0000}"/>
    <cellStyle name="Normal 2 3 2 7 3 2 9" xfId="28717" xr:uid="{00000000-0005-0000-0000-0000F56E0000}"/>
    <cellStyle name="Normal 2 3 2 7 3 3" xfId="28718" xr:uid="{00000000-0005-0000-0000-0000F66E0000}"/>
    <cellStyle name="Normal 2 3 2 7 3 3 2" xfId="28719" xr:uid="{00000000-0005-0000-0000-0000F76E0000}"/>
    <cellStyle name="Normal 2 3 2 7 3 3 2 2" xfId="28720" xr:uid="{00000000-0005-0000-0000-0000F86E0000}"/>
    <cellStyle name="Normal 2 3 2 7 3 3 2 3" xfId="28721" xr:uid="{00000000-0005-0000-0000-0000F96E0000}"/>
    <cellStyle name="Normal 2 3 2 7 3 3 2 4" xfId="28722" xr:uid="{00000000-0005-0000-0000-0000FA6E0000}"/>
    <cellStyle name="Normal 2 3 2 7 3 3 2 5" xfId="28723" xr:uid="{00000000-0005-0000-0000-0000FB6E0000}"/>
    <cellStyle name="Normal 2 3 2 7 3 3 3" xfId="28724" xr:uid="{00000000-0005-0000-0000-0000FC6E0000}"/>
    <cellStyle name="Normal 2 3 2 7 3 3 4" xfId="28725" xr:uid="{00000000-0005-0000-0000-0000FD6E0000}"/>
    <cellStyle name="Normal 2 3 2 7 3 3 5" xfId="28726" xr:uid="{00000000-0005-0000-0000-0000FE6E0000}"/>
    <cellStyle name="Normal 2 3 2 7 3 3 6" xfId="28727" xr:uid="{00000000-0005-0000-0000-0000FF6E0000}"/>
    <cellStyle name="Normal 2 3 2 7 3 3 7" xfId="28728" xr:uid="{00000000-0005-0000-0000-0000006F0000}"/>
    <cellStyle name="Normal 2 3 2 7 3 3 8" xfId="28729" xr:uid="{00000000-0005-0000-0000-0000016F0000}"/>
    <cellStyle name="Normal 2 3 2 7 3 4" xfId="28730" xr:uid="{00000000-0005-0000-0000-0000026F0000}"/>
    <cellStyle name="Normal 2 3 2 7 3 4 2" xfId="28731" xr:uid="{00000000-0005-0000-0000-0000036F0000}"/>
    <cellStyle name="Normal 2 3 2 7 3 4 2 2" xfId="28732" xr:uid="{00000000-0005-0000-0000-0000046F0000}"/>
    <cellStyle name="Normal 2 3 2 7 3 4 2 3" xfId="28733" xr:uid="{00000000-0005-0000-0000-0000056F0000}"/>
    <cellStyle name="Normal 2 3 2 7 3 4 2 4" xfId="28734" xr:uid="{00000000-0005-0000-0000-0000066F0000}"/>
    <cellStyle name="Normal 2 3 2 7 3 4 2 5" xfId="28735" xr:uid="{00000000-0005-0000-0000-0000076F0000}"/>
    <cellStyle name="Normal 2 3 2 7 3 4 3" xfId="28736" xr:uid="{00000000-0005-0000-0000-0000086F0000}"/>
    <cellStyle name="Normal 2 3 2 7 3 4 4" xfId="28737" xr:uid="{00000000-0005-0000-0000-0000096F0000}"/>
    <cellStyle name="Normal 2 3 2 7 3 4 5" xfId="28738" xr:uid="{00000000-0005-0000-0000-00000A6F0000}"/>
    <cellStyle name="Normal 2 3 2 7 3 4 6" xfId="28739" xr:uid="{00000000-0005-0000-0000-00000B6F0000}"/>
    <cellStyle name="Normal 2 3 2 7 3 4 7" xfId="28740" xr:uid="{00000000-0005-0000-0000-00000C6F0000}"/>
    <cellStyle name="Normal 2 3 2 7 3 4 8" xfId="28741" xr:uid="{00000000-0005-0000-0000-00000D6F0000}"/>
    <cellStyle name="Normal 2 3 2 7 3 5" xfId="28742" xr:uid="{00000000-0005-0000-0000-00000E6F0000}"/>
    <cellStyle name="Normal 2 3 2 7 3 5 2" xfId="28743" xr:uid="{00000000-0005-0000-0000-00000F6F0000}"/>
    <cellStyle name="Normal 2 3 2 7 3 5 3" xfId="28744" xr:uid="{00000000-0005-0000-0000-0000106F0000}"/>
    <cellStyle name="Normal 2 3 2 7 3 5 4" xfId="28745" xr:uid="{00000000-0005-0000-0000-0000116F0000}"/>
    <cellStyle name="Normal 2 3 2 7 3 5 5" xfId="28746" xr:uid="{00000000-0005-0000-0000-0000126F0000}"/>
    <cellStyle name="Normal 2 3 2 7 3 6" xfId="28747" xr:uid="{00000000-0005-0000-0000-0000136F0000}"/>
    <cellStyle name="Normal 2 3 2 7 3 7" xfId="28748" xr:uid="{00000000-0005-0000-0000-0000146F0000}"/>
    <cellStyle name="Normal 2 3 2 7 3 8" xfId="28749" xr:uid="{00000000-0005-0000-0000-0000156F0000}"/>
    <cellStyle name="Normal 2 3 2 7 3 9" xfId="28750" xr:uid="{00000000-0005-0000-0000-0000166F0000}"/>
    <cellStyle name="Normal 2 3 2 7 4" xfId="28751" xr:uid="{00000000-0005-0000-0000-0000176F0000}"/>
    <cellStyle name="Normal 2 3 2 7 4 10" xfId="28752" xr:uid="{00000000-0005-0000-0000-0000186F0000}"/>
    <cellStyle name="Normal 2 3 2 7 4 2" xfId="28753" xr:uid="{00000000-0005-0000-0000-0000196F0000}"/>
    <cellStyle name="Normal 2 3 2 7 4 2 2" xfId="28754" xr:uid="{00000000-0005-0000-0000-00001A6F0000}"/>
    <cellStyle name="Normal 2 3 2 7 4 2 2 2" xfId="28755" xr:uid="{00000000-0005-0000-0000-00001B6F0000}"/>
    <cellStyle name="Normal 2 3 2 7 4 2 2 3" xfId="28756" xr:uid="{00000000-0005-0000-0000-00001C6F0000}"/>
    <cellStyle name="Normal 2 3 2 7 4 2 2 4" xfId="28757" xr:uid="{00000000-0005-0000-0000-00001D6F0000}"/>
    <cellStyle name="Normal 2 3 2 7 4 2 2 5" xfId="28758" xr:uid="{00000000-0005-0000-0000-00001E6F0000}"/>
    <cellStyle name="Normal 2 3 2 7 4 2 3" xfId="28759" xr:uid="{00000000-0005-0000-0000-00001F6F0000}"/>
    <cellStyle name="Normal 2 3 2 7 4 2 4" xfId="28760" xr:uid="{00000000-0005-0000-0000-0000206F0000}"/>
    <cellStyle name="Normal 2 3 2 7 4 2 5" xfId="28761" xr:uid="{00000000-0005-0000-0000-0000216F0000}"/>
    <cellStyle name="Normal 2 3 2 7 4 2 6" xfId="28762" xr:uid="{00000000-0005-0000-0000-0000226F0000}"/>
    <cellStyle name="Normal 2 3 2 7 4 2 7" xfId="28763" xr:uid="{00000000-0005-0000-0000-0000236F0000}"/>
    <cellStyle name="Normal 2 3 2 7 4 2 8" xfId="28764" xr:uid="{00000000-0005-0000-0000-0000246F0000}"/>
    <cellStyle name="Normal 2 3 2 7 4 3" xfId="28765" xr:uid="{00000000-0005-0000-0000-0000256F0000}"/>
    <cellStyle name="Normal 2 3 2 7 4 3 2" xfId="28766" xr:uid="{00000000-0005-0000-0000-0000266F0000}"/>
    <cellStyle name="Normal 2 3 2 7 4 3 2 2" xfId="28767" xr:uid="{00000000-0005-0000-0000-0000276F0000}"/>
    <cellStyle name="Normal 2 3 2 7 4 3 2 3" xfId="28768" xr:uid="{00000000-0005-0000-0000-0000286F0000}"/>
    <cellStyle name="Normal 2 3 2 7 4 3 2 4" xfId="28769" xr:uid="{00000000-0005-0000-0000-0000296F0000}"/>
    <cellStyle name="Normal 2 3 2 7 4 3 2 5" xfId="28770" xr:uid="{00000000-0005-0000-0000-00002A6F0000}"/>
    <cellStyle name="Normal 2 3 2 7 4 3 3" xfId="28771" xr:uid="{00000000-0005-0000-0000-00002B6F0000}"/>
    <cellStyle name="Normal 2 3 2 7 4 3 4" xfId="28772" xr:uid="{00000000-0005-0000-0000-00002C6F0000}"/>
    <cellStyle name="Normal 2 3 2 7 4 3 5" xfId="28773" xr:uid="{00000000-0005-0000-0000-00002D6F0000}"/>
    <cellStyle name="Normal 2 3 2 7 4 3 6" xfId="28774" xr:uid="{00000000-0005-0000-0000-00002E6F0000}"/>
    <cellStyle name="Normal 2 3 2 7 4 3 7" xfId="28775" xr:uid="{00000000-0005-0000-0000-00002F6F0000}"/>
    <cellStyle name="Normal 2 3 2 7 4 3 8" xfId="28776" xr:uid="{00000000-0005-0000-0000-0000306F0000}"/>
    <cellStyle name="Normal 2 3 2 7 4 4" xfId="28777" xr:uid="{00000000-0005-0000-0000-0000316F0000}"/>
    <cellStyle name="Normal 2 3 2 7 4 4 2" xfId="28778" xr:uid="{00000000-0005-0000-0000-0000326F0000}"/>
    <cellStyle name="Normal 2 3 2 7 4 4 3" xfId="28779" xr:uid="{00000000-0005-0000-0000-0000336F0000}"/>
    <cellStyle name="Normal 2 3 2 7 4 4 4" xfId="28780" xr:uid="{00000000-0005-0000-0000-0000346F0000}"/>
    <cellStyle name="Normal 2 3 2 7 4 4 5" xfId="28781" xr:uid="{00000000-0005-0000-0000-0000356F0000}"/>
    <cellStyle name="Normal 2 3 2 7 4 5" xfId="28782" xr:uid="{00000000-0005-0000-0000-0000366F0000}"/>
    <cellStyle name="Normal 2 3 2 7 4 6" xfId="28783" xr:uid="{00000000-0005-0000-0000-0000376F0000}"/>
    <cellStyle name="Normal 2 3 2 7 4 7" xfId="28784" xr:uid="{00000000-0005-0000-0000-0000386F0000}"/>
    <cellStyle name="Normal 2 3 2 7 4 8" xfId="28785" xr:uid="{00000000-0005-0000-0000-0000396F0000}"/>
    <cellStyle name="Normal 2 3 2 7 4 9" xfId="28786" xr:uid="{00000000-0005-0000-0000-00003A6F0000}"/>
    <cellStyle name="Normal 2 3 2 7 5" xfId="28787" xr:uid="{00000000-0005-0000-0000-00003B6F0000}"/>
    <cellStyle name="Normal 2 3 2 7 5 2" xfId="28788" xr:uid="{00000000-0005-0000-0000-00003C6F0000}"/>
    <cellStyle name="Normal 2 3 2 7 5 2 2" xfId="28789" xr:uid="{00000000-0005-0000-0000-00003D6F0000}"/>
    <cellStyle name="Normal 2 3 2 7 5 2 3" xfId="28790" xr:uid="{00000000-0005-0000-0000-00003E6F0000}"/>
    <cellStyle name="Normal 2 3 2 7 5 2 4" xfId="28791" xr:uid="{00000000-0005-0000-0000-00003F6F0000}"/>
    <cellStyle name="Normal 2 3 2 7 5 2 5" xfId="28792" xr:uid="{00000000-0005-0000-0000-0000406F0000}"/>
    <cellStyle name="Normal 2 3 2 7 5 3" xfId="28793" xr:uid="{00000000-0005-0000-0000-0000416F0000}"/>
    <cellStyle name="Normal 2 3 2 7 5 4" xfId="28794" xr:uid="{00000000-0005-0000-0000-0000426F0000}"/>
    <cellStyle name="Normal 2 3 2 7 5 5" xfId="28795" xr:uid="{00000000-0005-0000-0000-0000436F0000}"/>
    <cellStyle name="Normal 2 3 2 7 5 6" xfId="28796" xr:uid="{00000000-0005-0000-0000-0000446F0000}"/>
    <cellStyle name="Normal 2 3 2 7 5 7" xfId="28797" xr:uid="{00000000-0005-0000-0000-0000456F0000}"/>
    <cellStyle name="Normal 2 3 2 7 5 8" xfId="28798" xr:uid="{00000000-0005-0000-0000-0000466F0000}"/>
    <cellStyle name="Normal 2 3 2 7 6" xfId="28799" xr:uid="{00000000-0005-0000-0000-0000476F0000}"/>
    <cellStyle name="Normal 2 3 2 7 6 2" xfId="28800" xr:uid="{00000000-0005-0000-0000-0000486F0000}"/>
    <cellStyle name="Normal 2 3 2 7 6 2 2" xfId="28801" xr:uid="{00000000-0005-0000-0000-0000496F0000}"/>
    <cellStyle name="Normal 2 3 2 7 6 2 3" xfId="28802" xr:uid="{00000000-0005-0000-0000-00004A6F0000}"/>
    <cellStyle name="Normal 2 3 2 7 6 2 4" xfId="28803" xr:uid="{00000000-0005-0000-0000-00004B6F0000}"/>
    <cellStyle name="Normal 2 3 2 7 6 2 5" xfId="28804" xr:uid="{00000000-0005-0000-0000-00004C6F0000}"/>
    <cellStyle name="Normal 2 3 2 7 6 3" xfId="28805" xr:uid="{00000000-0005-0000-0000-00004D6F0000}"/>
    <cellStyle name="Normal 2 3 2 7 6 4" xfId="28806" xr:uid="{00000000-0005-0000-0000-00004E6F0000}"/>
    <cellStyle name="Normal 2 3 2 7 6 5" xfId="28807" xr:uid="{00000000-0005-0000-0000-00004F6F0000}"/>
    <cellStyle name="Normal 2 3 2 7 6 6" xfId="28808" xr:uid="{00000000-0005-0000-0000-0000506F0000}"/>
    <cellStyle name="Normal 2 3 2 7 6 7" xfId="28809" xr:uid="{00000000-0005-0000-0000-0000516F0000}"/>
    <cellStyle name="Normal 2 3 2 7 6 8" xfId="28810" xr:uid="{00000000-0005-0000-0000-0000526F0000}"/>
    <cellStyle name="Normal 2 3 2 7 7" xfId="28811" xr:uid="{00000000-0005-0000-0000-0000536F0000}"/>
    <cellStyle name="Normal 2 3 2 7 7 2" xfId="28812" xr:uid="{00000000-0005-0000-0000-0000546F0000}"/>
    <cellStyle name="Normal 2 3 2 7 7 3" xfId="28813" xr:uid="{00000000-0005-0000-0000-0000556F0000}"/>
    <cellStyle name="Normal 2 3 2 7 7 4" xfId="28814" xr:uid="{00000000-0005-0000-0000-0000566F0000}"/>
    <cellStyle name="Normal 2 3 2 7 7 5" xfId="28815" xr:uid="{00000000-0005-0000-0000-0000576F0000}"/>
    <cellStyle name="Normal 2 3 2 7 8" xfId="28816" xr:uid="{00000000-0005-0000-0000-0000586F0000}"/>
    <cellStyle name="Normal 2 3 2 7 9" xfId="28817" xr:uid="{00000000-0005-0000-0000-0000596F0000}"/>
    <cellStyle name="Normal 2 3 2 8" xfId="28818" xr:uid="{00000000-0005-0000-0000-00005A6F0000}"/>
    <cellStyle name="Normal 2 3 2 8 10" xfId="28819" xr:uid="{00000000-0005-0000-0000-00005B6F0000}"/>
    <cellStyle name="Normal 2 3 2 8 11" xfId="28820" xr:uid="{00000000-0005-0000-0000-00005C6F0000}"/>
    <cellStyle name="Normal 2 3 2 8 12" xfId="28821" xr:uid="{00000000-0005-0000-0000-00005D6F0000}"/>
    <cellStyle name="Normal 2 3 2 8 13" xfId="28822" xr:uid="{00000000-0005-0000-0000-00005E6F0000}"/>
    <cellStyle name="Normal 2 3 2 8 2" xfId="28823" xr:uid="{00000000-0005-0000-0000-00005F6F0000}"/>
    <cellStyle name="Normal 2 3 2 8 2 10" xfId="28824" xr:uid="{00000000-0005-0000-0000-0000606F0000}"/>
    <cellStyle name="Normal 2 3 2 8 2 11" xfId="28825" xr:uid="{00000000-0005-0000-0000-0000616F0000}"/>
    <cellStyle name="Normal 2 3 2 8 2 2" xfId="28826" xr:uid="{00000000-0005-0000-0000-0000626F0000}"/>
    <cellStyle name="Normal 2 3 2 8 2 2 10" xfId="28827" xr:uid="{00000000-0005-0000-0000-0000636F0000}"/>
    <cellStyle name="Normal 2 3 2 8 2 2 2" xfId="28828" xr:uid="{00000000-0005-0000-0000-0000646F0000}"/>
    <cellStyle name="Normal 2 3 2 8 2 2 2 2" xfId="28829" xr:uid="{00000000-0005-0000-0000-0000656F0000}"/>
    <cellStyle name="Normal 2 3 2 8 2 2 2 2 2" xfId="28830" xr:uid="{00000000-0005-0000-0000-0000666F0000}"/>
    <cellStyle name="Normal 2 3 2 8 2 2 2 2 3" xfId="28831" xr:uid="{00000000-0005-0000-0000-0000676F0000}"/>
    <cellStyle name="Normal 2 3 2 8 2 2 2 2 4" xfId="28832" xr:uid="{00000000-0005-0000-0000-0000686F0000}"/>
    <cellStyle name="Normal 2 3 2 8 2 2 2 2 5" xfId="28833" xr:uid="{00000000-0005-0000-0000-0000696F0000}"/>
    <cellStyle name="Normal 2 3 2 8 2 2 2 3" xfId="28834" xr:uid="{00000000-0005-0000-0000-00006A6F0000}"/>
    <cellStyle name="Normal 2 3 2 8 2 2 2 4" xfId="28835" xr:uid="{00000000-0005-0000-0000-00006B6F0000}"/>
    <cellStyle name="Normal 2 3 2 8 2 2 2 5" xfId="28836" xr:uid="{00000000-0005-0000-0000-00006C6F0000}"/>
    <cellStyle name="Normal 2 3 2 8 2 2 2 6" xfId="28837" xr:uid="{00000000-0005-0000-0000-00006D6F0000}"/>
    <cellStyle name="Normal 2 3 2 8 2 2 2 7" xfId="28838" xr:uid="{00000000-0005-0000-0000-00006E6F0000}"/>
    <cellStyle name="Normal 2 3 2 8 2 2 2 8" xfId="28839" xr:uid="{00000000-0005-0000-0000-00006F6F0000}"/>
    <cellStyle name="Normal 2 3 2 8 2 2 3" xfId="28840" xr:uid="{00000000-0005-0000-0000-0000706F0000}"/>
    <cellStyle name="Normal 2 3 2 8 2 2 3 2" xfId="28841" xr:uid="{00000000-0005-0000-0000-0000716F0000}"/>
    <cellStyle name="Normal 2 3 2 8 2 2 3 2 2" xfId="28842" xr:uid="{00000000-0005-0000-0000-0000726F0000}"/>
    <cellStyle name="Normal 2 3 2 8 2 2 3 2 3" xfId="28843" xr:uid="{00000000-0005-0000-0000-0000736F0000}"/>
    <cellStyle name="Normal 2 3 2 8 2 2 3 2 4" xfId="28844" xr:uid="{00000000-0005-0000-0000-0000746F0000}"/>
    <cellStyle name="Normal 2 3 2 8 2 2 3 2 5" xfId="28845" xr:uid="{00000000-0005-0000-0000-0000756F0000}"/>
    <cellStyle name="Normal 2 3 2 8 2 2 3 3" xfId="28846" xr:uid="{00000000-0005-0000-0000-0000766F0000}"/>
    <cellStyle name="Normal 2 3 2 8 2 2 3 4" xfId="28847" xr:uid="{00000000-0005-0000-0000-0000776F0000}"/>
    <cellStyle name="Normal 2 3 2 8 2 2 3 5" xfId="28848" xr:uid="{00000000-0005-0000-0000-0000786F0000}"/>
    <cellStyle name="Normal 2 3 2 8 2 2 3 6" xfId="28849" xr:uid="{00000000-0005-0000-0000-0000796F0000}"/>
    <cellStyle name="Normal 2 3 2 8 2 2 3 7" xfId="28850" xr:uid="{00000000-0005-0000-0000-00007A6F0000}"/>
    <cellStyle name="Normal 2 3 2 8 2 2 3 8" xfId="28851" xr:uid="{00000000-0005-0000-0000-00007B6F0000}"/>
    <cellStyle name="Normal 2 3 2 8 2 2 4" xfId="28852" xr:uid="{00000000-0005-0000-0000-00007C6F0000}"/>
    <cellStyle name="Normal 2 3 2 8 2 2 4 2" xfId="28853" xr:uid="{00000000-0005-0000-0000-00007D6F0000}"/>
    <cellStyle name="Normal 2 3 2 8 2 2 4 3" xfId="28854" xr:uid="{00000000-0005-0000-0000-00007E6F0000}"/>
    <cellStyle name="Normal 2 3 2 8 2 2 4 4" xfId="28855" xr:uid="{00000000-0005-0000-0000-00007F6F0000}"/>
    <cellStyle name="Normal 2 3 2 8 2 2 4 5" xfId="28856" xr:uid="{00000000-0005-0000-0000-0000806F0000}"/>
    <cellStyle name="Normal 2 3 2 8 2 2 5" xfId="28857" xr:uid="{00000000-0005-0000-0000-0000816F0000}"/>
    <cellStyle name="Normal 2 3 2 8 2 2 6" xfId="28858" xr:uid="{00000000-0005-0000-0000-0000826F0000}"/>
    <cellStyle name="Normal 2 3 2 8 2 2 7" xfId="28859" xr:uid="{00000000-0005-0000-0000-0000836F0000}"/>
    <cellStyle name="Normal 2 3 2 8 2 2 8" xfId="28860" xr:uid="{00000000-0005-0000-0000-0000846F0000}"/>
    <cellStyle name="Normal 2 3 2 8 2 2 9" xfId="28861" xr:uid="{00000000-0005-0000-0000-0000856F0000}"/>
    <cellStyle name="Normal 2 3 2 8 2 3" xfId="28862" xr:uid="{00000000-0005-0000-0000-0000866F0000}"/>
    <cellStyle name="Normal 2 3 2 8 2 3 2" xfId="28863" xr:uid="{00000000-0005-0000-0000-0000876F0000}"/>
    <cellStyle name="Normal 2 3 2 8 2 3 2 2" xfId="28864" xr:uid="{00000000-0005-0000-0000-0000886F0000}"/>
    <cellStyle name="Normal 2 3 2 8 2 3 2 3" xfId="28865" xr:uid="{00000000-0005-0000-0000-0000896F0000}"/>
    <cellStyle name="Normal 2 3 2 8 2 3 2 4" xfId="28866" xr:uid="{00000000-0005-0000-0000-00008A6F0000}"/>
    <cellStyle name="Normal 2 3 2 8 2 3 2 5" xfId="28867" xr:uid="{00000000-0005-0000-0000-00008B6F0000}"/>
    <cellStyle name="Normal 2 3 2 8 2 3 3" xfId="28868" xr:uid="{00000000-0005-0000-0000-00008C6F0000}"/>
    <cellStyle name="Normal 2 3 2 8 2 3 4" xfId="28869" xr:uid="{00000000-0005-0000-0000-00008D6F0000}"/>
    <cellStyle name="Normal 2 3 2 8 2 3 5" xfId="28870" xr:uid="{00000000-0005-0000-0000-00008E6F0000}"/>
    <cellStyle name="Normal 2 3 2 8 2 3 6" xfId="28871" xr:uid="{00000000-0005-0000-0000-00008F6F0000}"/>
    <cellStyle name="Normal 2 3 2 8 2 3 7" xfId="28872" xr:uid="{00000000-0005-0000-0000-0000906F0000}"/>
    <cellStyle name="Normal 2 3 2 8 2 3 8" xfId="28873" xr:uid="{00000000-0005-0000-0000-0000916F0000}"/>
    <cellStyle name="Normal 2 3 2 8 2 4" xfId="28874" xr:uid="{00000000-0005-0000-0000-0000926F0000}"/>
    <cellStyle name="Normal 2 3 2 8 2 4 2" xfId="28875" xr:uid="{00000000-0005-0000-0000-0000936F0000}"/>
    <cellStyle name="Normal 2 3 2 8 2 4 2 2" xfId="28876" xr:uid="{00000000-0005-0000-0000-0000946F0000}"/>
    <cellStyle name="Normal 2 3 2 8 2 4 2 3" xfId="28877" xr:uid="{00000000-0005-0000-0000-0000956F0000}"/>
    <cellStyle name="Normal 2 3 2 8 2 4 2 4" xfId="28878" xr:uid="{00000000-0005-0000-0000-0000966F0000}"/>
    <cellStyle name="Normal 2 3 2 8 2 4 2 5" xfId="28879" xr:uid="{00000000-0005-0000-0000-0000976F0000}"/>
    <cellStyle name="Normal 2 3 2 8 2 4 3" xfId="28880" xr:uid="{00000000-0005-0000-0000-0000986F0000}"/>
    <cellStyle name="Normal 2 3 2 8 2 4 4" xfId="28881" xr:uid="{00000000-0005-0000-0000-0000996F0000}"/>
    <cellStyle name="Normal 2 3 2 8 2 4 5" xfId="28882" xr:uid="{00000000-0005-0000-0000-00009A6F0000}"/>
    <cellStyle name="Normal 2 3 2 8 2 4 6" xfId="28883" xr:uid="{00000000-0005-0000-0000-00009B6F0000}"/>
    <cellStyle name="Normal 2 3 2 8 2 4 7" xfId="28884" xr:uid="{00000000-0005-0000-0000-00009C6F0000}"/>
    <cellStyle name="Normal 2 3 2 8 2 4 8" xfId="28885" xr:uid="{00000000-0005-0000-0000-00009D6F0000}"/>
    <cellStyle name="Normal 2 3 2 8 2 5" xfId="28886" xr:uid="{00000000-0005-0000-0000-00009E6F0000}"/>
    <cellStyle name="Normal 2 3 2 8 2 5 2" xfId="28887" xr:uid="{00000000-0005-0000-0000-00009F6F0000}"/>
    <cellStyle name="Normal 2 3 2 8 2 5 3" xfId="28888" xr:uid="{00000000-0005-0000-0000-0000A06F0000}"/>
    <cellStyle name="Normal 2 3 2 8 2 5 4" xfId="28889" xr:uid="{00000000-0005-0000-0000-0000A16F0000}"/>
    <cellStyle name="Normal 2 3 2 8 2 5 5" xfId="28890" xr:uid="{00000000-0005-0000-0000-0000A26F0000}"/>
    <cellStyle name="Normal 2 3 2 8 2 6" xfId="28891" xr:uid="{00000000-0005-0000-0000-0000A36F0000}"/>
    <cellStyle name="Normal 2 3 2 8 2 7" xfId="28892" xr:uid="{00000000-0005-0000-0000-0000A46F0000}"/>
    <cellStyle name="Normal 2 3 2 8 2 8" xfId="28893" xr:uid="{00000000-0005-0000-0000-0000A56F0000}"/>
    <cellStyle name="Normal 2 3 2 8 2 9" xfId="28894" xr:uid="{00000000-0005-0000-0000-0000A66F0000}"/>
    <cellStyle name="Normal 2 3 2 8 3" xfId="28895" xr:uid="{00000000-0005-0000-0000-0000A76F0000}"/>
    <cellStyle name="Normal 2 3 2 8 3 10" xfId="28896" xr:uid="{00000000-0005-0000-0000-0000A86F0000}"/>
    <cellStyle name="Normal 2 3 2 8 3 11" xfId="28897" xr:uid="{00000000-0005-0000-0000-0000A96F0000}"/>
    <cellStyle name="Normal 2 3 2 8 3 2" xfId="28898" xr:uid="{00000000-0005-0000-0000-0000AA6F0000}"/>
    <cellStyle name="Normal 2 3 2 8 3 2 10" xfId="28899" xr:uid="{00000000-0005-0000-0000-0000AB6F0000}"/>
    <cellStyle name="Normal 2 3 2 8 3 2 2" xfId="28900" xr:uid="{00000000-0005-0000-0000-0000AC6F0000}"/>
    <cellStyle name="Normal 2 3 2 8 3 2 2 2" xfId="28901" xr:uid="{00000000-0005-0000-0000-0000AD6F0000}"/>
    <cellStyle name="Normal 2 3 2 8 3 2 2 2 2" xfId="28902" xr:uid="{00000000-0005-0000-0000-0000AE6F0000}"/>
    <cellStyle name="Normal 2 3 2 8 3 2 2 2 3" xfId="28903" xr:uid="{00000000-0005-0000-0000-0000AF6F0000}"/>
    <cellStyle name="Normal 2 3 2 8 3 2 2 2 4" xfId="28904" xr:uid="{00000000-0005-0000-0000-0000B06F0000}"/>
    <cellStyle name="Normal 2 3 2 8 3 2 2 2 5" xfId="28905" xr:uid="{00000000-0005-0000-0000-0000B16F0000}"/>
    <cellStyle name="Normal 2 3 2 8 3 2 2 3" xfId="28906" xr:uid="{00000000-0005-0000-0000-0000B26F0000}"/>
    <cellStyle name="Normal 2 3 2 8 3 2 2 4" xfId="28907" xr:uid="{00000000-0005-0000-0000-0000B36F0000}"/>
    <cellStyle name="Normal 2 3 2 8 3 2 2 5" xfId="28908" xr:uid="{00000000-0005-0000-0000-0000B46F0000}"/>
    <cellStyle name="Normal 2 3 2 8 3 2 2 6" xfId="28909" xr:uid="{00000000-0005-0000-0000-0000B56F0000}"/>
    <cellStyle name="Normal 2 3 2 8 3 2 2 7" xfId="28910" xr:uid="{00000000-0005-0000-0000-0000B66F0000}"/>
    <cellStyle name="Normal 2 3 2 8 3 2 2 8" xfId="28911" xr:uid="{00000000-0005-0000-0000-0000B76F0000}"/>
    <cellStyle name="Normal 2 3 2 8 3 2 3" xfId="28912" xr:uid="{00000000-0005-0000-0000-0000B86F0000}"/>
    <cellStyle name="Normal 2 3 2 8 3 2 3 2" xfId="28913" xr:uid="{00000000-0005-0000-0000-0000B96F0000}"/>
    <cellStyle name="Normal 2 3 2 8 3 2 3 2 2" xfId="28914" xr:uid="{00000000-0005-0000-0000-0000BA6F0000}"/>
    <cellStyle name="Normal 2 3 2 8 3 2 3 2 3" xfId="28915" xr:uid="{00000000-0005-0000-0000-0000BB6F0000}"/>
    <cellStyle name="Normal 2 3 2 8 3 2 3 2 4" xfId="28916" xr:uid="{00000000-0005-0000-0000-0000BC6F0000}"/>
    <cellStyle name="Normal 2 3 2 8 3 2 3 2 5" xfId="28917" xr:uid="{00000000-0005-0000-0000-0000BD6F0000}"/>
    <cellStyle name="Normal 2 3 2 8 3 2 3 3" xfId="28918" xr:uid="{00000000-0005-0000-0000-0000BE6F0000}"/>
    <cellStyle name="Normal 2 3 2 8 3 2 3 4" xfId="28919" xr:uid="{00000000-0005-0000-0000-0000BF6F0000}"/>
    <cellStyle name="Normal 2 3 2 8 3 2 3 5" xfId="28920" xr:uid="{00000000-0005-0000-0000-0000C06F0000}"/>
    <cellStyle name="Normal 2 3 2 8 3 2 3 6" xfId="28921" xr:uid="{00000000-0005-0000-0000-0000C16F0000}"/>
    <cellStyle name="Normal 2 3 2 8 3 2 3 7" xfId="28922" xr:uid="{00000000-0005-0000-0000-0000C26F0000}"/>
    <cellStyle name="Normal 2 3 2 8 3 2 3 8" xfId="28923" xr:uid="{00000000-0005-0000-0000-0000C36F0000}"/>
    <cellStyle name="Normal 2 3 2 8 3 2 4" xfId="28924" xr:uid="{00000000-0005-0000-0000-0000C46F0000}"/>
    <cellStyle name="Normal 2 3 2 8 3 2 4 2" xfId="28925" xr:uid="{00000000-0005-0000-0000-0000C56F0000}"/>
    <cellStyle name="Normal 2 3 2 8 3 2 4 3" xfId="28926" xr:uid="{00000000-0005-0000-0000-0000C66F0000}"/>
    <cellStyle name="Normal 2 3 2 8 3 2 4 4" xfId="28927" xr:uid="{00000000-0005-0000-0000-0000C76F0000}"/>
    <cellStyle name="Normal 2 3 2 8 3 2 4 5" xfId="28928" xr:uid="{00000000-0005-0000-0000-0000C86F0000}"/>
    <cellStyle name="Normal 2 3 2 8 3 2 5" xfId="28929" xr:uid="{00000000-0005-0000-0000-0000C96F0000}"/>
    <cellStyle name="Normal 2 3 2 8 3 2 6" xfId="28930" xr:uid="{00000000-0005-0000-0000-0000CA6F0000}"/>
    <cellStyle name="Normal 2 3 2 8 3 2 7" xfId="28931" xr:uid="{00000000-0005-0000-0000-0000CB6F0000}"/>
    <cellStyle name="Normal 2 3 2 8 3 2 8" xfId="28932" xr:uid="{00000000-0005-0000-0000-0000CC6F0000}"/>
    <cellStyle name="Normal 2 3 2 8 3 2 9" xfId="28933" xr:uid="{00000000-0005-0000-0000-0000CD6F0000}"/>
    <cellStyle name="Normal 2 3 2 8 3 3" xfId="28934" xr:uid="{00000000-0005-0000-0000-0000CE6F0000}"/>
    <cellStyle name="Normal 2 3 2 8 3 3 2" xfId="28935" xr:uid="{00000000-0005-0000-0000-0000CF6F0000}"/>
    <cellStyle name="Normal 2 3 2 8 3 3 2 2" xfId="28936" xr:uid="{00000000-0005-0000-0000-0000D06F0000}"/>
    <cellStyle name="Normal 2 3 2 8 3 3 2 3" xfId="28937" xr:uid="{00000000-0005-0000-0000-0000D16F0000}"/>
    <cellStyle name="Normal 2 3 2 8 3 3 2 4" xfId="28938" xr:uid="{00000000-0005-0000-0000-0000D26F0000}"/>
    <cellStyle name="Normal 2 3 2 8 3 3 2 5" xfId="28939" xr:uid="{00000000-0005-0000-0000-0000D36F0000}"/>
    <cellStyle name="Normal 2 3 2 8 3 3 3" xfId="28940" xr:uid="{00000000-0005-0000-0000-0000D46F0000}"/>
    <cellStyle name="Normal 2 3 2 8 3 3 4" xfId="28941" xr:uid="{00000000-0005-0000-0000-0000D56F0000}"/>
    <cellStyle name="Normal 2 3 2 8 3 3 5" xfId="28942" xr:uid="{00000000-0005-0000-0000-0000D66F0000}"/>
    <cellStyle name="Normal 2 3 2 8 3 3 6" xfId="28943" xr:uid="{00000000-0005-0000-0000-0000D76F0000}"/>
    <cellStyle name="Normal 2 3 2 8 3 3 7" xfId="28944" xr:uid="{00000000-0005-0000-0000-0000D86F0000}"/>
    <cellStyle name="Normal 2 3 2 8 3 3 8" xfId="28945" xr:uid="{00000000-0005-0000-0000-0000D96F0000}"/>
    <cellStyle name="Normal 2 3 2 8 3 4" xfId="28946" xr:uid="{00000000-0005-0000-0000-0000DA6F0000}"/>
    <cellStyle name="Normal 2 3 2 8 3 4 2" xfId="28947" xr:uid="{00000000-0005-0000-0000-0000DB6F0000}"/>
    <cellStyle name="Normal 2 3 2 8 3 4 2 2" xfId="28948" xr:uid="{00000000-0005-0000-0000-0000DC6F0000}"/>
    <cellStyle name="Normal 2 3 2 8 3 4 2 3" xfId="28949" xr:uid="{00000000-0005-0000-0000-0000DD6F0000}"/>
    <cellStyle name="Normal 2 3 2 8 3 4 2 4" xfId="28950" xr:uid="{00000000-0005-0000-0000-0000DE6F0000}"/>
    <cellStyle name="Normal 2 3 2 8 3 4 2 5" xfId="28951" xr:uid="{00000000-0005-0000-0000-0000DF6F0000}"/>
    <cellStyle name="Normal 2 3 2 8 3 4 3" xfId="28952" xr:uid="{00000000-0005-0000-0000-0000E06F0000}"/>
    <cellStyle name="Normal 2 3 2 8 3 4 4" xfId="28953" xr:uid="{00000000-0005-0000-0000-0000E16F0000}"/>
    <cellStyle name="Normal 2 3 2 8 3 4 5" xfId="28954" xr:uid="{00000000-0005-0000-0000-0000E26F0000}"/>
    <cellStyle name="Normal 2 3 2 8 3 4 6" xfId="28955" xr:uid="{00000000-0005-0000-0000-0000E36F0000}"/>
    <cellStyle name="Normal 2 3 2 8 3 4 7" xfId="28956" xr:uid="{00000000-0005-0000-0000-0000E46F0000}"/>
    <cellStyle name="Normal 2 3 2 8 3 4 8" xfId="28957" xr:uid="{00000000-0005-0000-0000-0000E56F0000}"/>
    <cellStyle name="Normal 2 3 2 8 3 5" xfId="28958" xr:uid="{00000000-0005-0000-0000-0000E66F0000}"/>
    <cellStyle name="Normal 2 3 2 8 3 5 2" xfId="28959" xr:uid="{00000000-0005-0000-0000-0000E76F0000}"/>
    <cellStyle name="Normal 2 3 2 8 3 5 3" xfId="28960" xr:uid="{00000000-0005-0000-0000-0000E86F0000}"/>
    <cellStyle name="Normal 2 3 2 8 3 5 4" xfId="28961" xr:uid="{00000000-0005-0000-0000-0000E96F0000}"/>
    <cellStyle name="Normal 2 3 2 8 3 5 5" xfId="28962" xr:uid="{00000000-0005-0000-0000-0000EA6F0000}"/>
    <cellStyle name="Normal 2 3 2 8 3 6" xfId="28963" xr:uid="{00000000-0005-0000-0000-0000EB6F0000}"/>
    <cellStyle name="Normal 2 3 2 8 3 7" xfId="28964" xr:uid="{00000000-0005-0000-0000-0000EC6F0000}"/>
    <cellStyle name="Normal 2 3 2 8 3 8" xfId="28965" xr:uid="{00000000-0005-0000-0000-0000ED6F0000}"/>
    <cellStyle name="Normal 2 3 2 8 3 9" xfId="28966" xr:uid="{00000000-0005-0000-0000-0000EE6F0000}"/>
    <cellStyle name="Normal 2 3 2 8 4" xfId="28967" xr:uid="{00000000-0005-0000-0000-0000EF6F0000}"/>
    <cellStyle name="Normal 2 3 2 8 4 10" xfId="28968" xr:uid="{00000000-0005-0000-0000-0000F06F0000}"/>
    <cellStyle name="Normal 2 3 2 8 4 2" xfId="28969" xr:uid="{00000000-0005-0000-0000-0000F16F0000}"/>
    <cellStyle name="Normal 2 3 2 8 4 2 2" xfId="28970" xr:uid="{00000000-0005-0000-0000-0000F26F0000}"/>
    <cellStyle name="Normal 2 3 2 8 4 2 2 2" xfId="28971" xr:uid="{00000000-0005-0000-0000-0000F36F0000}"/>
    <cellStyle name="Normal 2 3 2 8 4 2 2 3" xfId="28972" xr:uid="{00000000-0005-0000-0000-0000F46F0000}"/>
    <cellStyle name="Normal 2 3 2 8 4 2 2 4" xfId="28973" xr:uid="{00000000-0005-0000-0000-0000F56F0000}"/>
    <cellStyle name="Normal 2 3 2 8 4 2 2 5" xfId="28974" xr:uid="{00000000-0005-0000-0000-0000F66F0000}"/>
    <cellStyle name="Normal 2 3 2 8 4 2 3" xfId="28975" xr:uid="{00000000-0005-0000-0000-0000F76F0000}"/>
    <cellStyle name="Normal 2 3 2 8 4 2 4" xfId="28976" xr:uid="{00000000-0005-0000-0000-0000F86F0000}"/>
    <cellStyle name="Normal 2 3 2 8 4 2 5" xfId="28977" xr:uid="{00000000-0005-0000-0000-0000F96F0000}"/>
    <cellStyle name="Normal 2 3 2 8 4 2 6" xfId="28978" xr:uid="{00000000-0005-0000-0000-0000FA6F0000}"/>
    <cellStyle name="Normal 2 3 2 8 4 2 7" xfId="28979" xr:uid="{00000000-0005-0000-0000-0000FB6F0000}"/>
    <cellStyle name="Normal 2 3 2 8 4 2 8" xfId="28980" xr:uid="{00000000-0005-0000-0000-0000FC6F0000}"/>
    <cellStyle name="Normal 2 3 2 8 4 3" xfId="28981" xr:uid="{00000000-0005-0000-0000-0000FD6F0000}"/>
    <cellStyle name="Normal 2 3 2 8 4 3 2" xfId="28982" xr:uid="{00000000-0005-0000-0000-0000FE6F0000}"/>
    <cellStyle name="Normal 2 3 2 8 4 3 2 2" xfId="28983" xr:uid="{00000000-0005-0000-0000-0000FF6F0000}"/>
    <cellStyle name="Normal 2 3 2 8 4 3 2 3" xfId="28984" xr:uid="{00000000-0005-0000-0000-000000700000}"/>
    <cellStyle name="Normal 2 3 2 8 4 3 2 4" xfId="28985" xr:uid="{00000000-0005-0000-0000-000001700000}"/>
    <cellStyle name="Normal 2 3 2 8 4 3 2 5" xfId="28986" xr:uid="{00000000-0005-0000-0000-000002700000}"/>
    <cellStyle name="Normal 2 3 2 8 4 3 3" xfId="28987" xr:uid="{00000000-0005-0000-0000-000003700000}"/>
    <cellStyle name="Normal 2 3 2 8 4 3 4" xfId="28988" xr:uid="{00000000-0005-0000-0000-000004700000}"/>
    <cellStyle name="Normal 2 3 2 8 4 3 5" xfId="28989" xr:uid="{00000000-0005-0000-0000-000005700000}"/>
    <cellStyle name="Normal 2 3 2 8 4 3 6" xfId="28990" xr:uid="{00000000-0005-0000-0000-000006700000}"/>
    <cellStyle name="Normal 2 3 2 8 4 3 7" xfId="28991" xr:uid="{00000000-0005-0000-0000-000007700000}"/>
    <cellStyle name="Normal 2 3 2 8 4 3 8" xfId="28992" xr:uid="{00000000-0005-0000-0000-000008700000}"/>
    <cellStyle name="Normal 2 3 2 8 4 4" xfId="28993" xr:uid="{00000000-0005-0000-0000-000009700000}"/>
    <cellStyle name="Normal 2 3 2 8 4 4 2" xfId="28994" xr:uid="{00000000-0005-0000-0000-00000A700000}"/>
    <cellStyle name="Normal 2 3 2 8 4 4 3" xfId="28995" xr:uid="{00000000-0005-0000-0000-00000B700000}"/>
    <cellStyle name="Normal 2 3 2 8 4 4 4" xfId="28996" xr:uid="{00000000-0005-0000-0000-00000C700000}"/>
    <cellStyle name="Normal 2 3 2 8 4 4 5" xfId="28997" xr:uid="{00000000-0005-0000-0000-00000D700000}"/>
    <cellStyle name="Normal 2 3 2 8 4 5" xfId="28998" xr:uid="{00000000-0005-0000-0000-00000E700000}"/>
    <cellStyle name="Normal 2 3 2 8 4 6" xfId="28999" xr:uid="{00000000-0005-0000-0000-00000F700000}"/>
    <cellStyle name="Normal 2 3 2 8 4 7" xfId="29000" xr:uid="{00000000-0005-0000-0000-000010700000}"/>
    <cellStyle name="Normal 2 3 2 8 4 8" xfId="29001" xr:uid="{00000000-0005-0000-0000-000011700000}"/>
    <cellStyle name="Normal 2 3 2 8 4 9" xfId="29002" xr:uid="{00000000-0005-0000-0000-000012700000}"/>
    <cellStyle name="Normal 2 3 2 8 5" xfId="29003" xr:uid="{00000000-0005-0000-0000-000013700000}"/>
    <cellStyle name="Normal 2 3 2 8 5 2" xfId="29004" xr:uid="{00000000-0005-0000-0000-000014700000}"/>
    <cellStyle name="Normal 2 3 2 8 5 2 2" xfId="29005" xr:uid="{00000000-0005-0000-0000-000015700000}"/>
    <cellStyle name="Normal 2 3 2 8 5 2 3" xfId="29006" xr:uid="{00000000-0005-0000-0000-000016700000}"/>
    <cellStyle name="Normal 2 3 2 8 5 2 4" xfId="29007" xr:uid="{00000000-0005-0000-0000-000017700000}"/>
    <cellStyle name="Normal 2 3 2 8 5 2 5" xfId="29008" xr:uid="{00000000-0005-0000-0000-000018700000}"/>
    <cellStyle name="Normal 2 3 2 8 5 3" xfId="29009" xr:uid="{00000000-0005-0000-0000-000019700000}"/>
    <cellStyle name="Normal 2 3 2 8 5 4" xfId="29010" xr:uid="{00000000-0005-0000-0000-00001A700000}"/>
    <cellStyle name="Normal 2 3 2 8 5 5" xfId="29011" xr:uid="{00000000-0005-0000-0000-00001B700000}"/>
    <cellStyle name="Normal 2 3 2 8 5 6" xfId="29012" xr:uid="{00000000-0005-0000-0000-00001C700000}"/>
    <cellStyle name="Normal 2 3 2 8 5 7" xfId="29013" xr:uid="{00000000-0005-0000-0000-00001D700000}"/>
    <cellStyle name="Normal 2 3 2 8 5 8" xfId="29014" xr:uid="{00000000-0005-0000-0000-00001E700000}"/>
    <cellStyle name="Normal 2 3 2 8 6" xfId="29015" xr:uid="{00000000-0005-0000-0000-00001F700000}"/>
    <cellStyle name="Normal 2 3 2 8 6 2" xfId="29016" xr:uid="{00000000-0005-0000-0000-000020700000}"/>
    <cellStyle name="Normal 2 3 2 8 6 2 2" xfId="29017" xr:uid="{00000000-0005-0000-0000-000021700000}"/>
    <cellStyle name="Normal 2 3 2 8 6 2 3" xfId="29018" xr:uid="{00000000-0005-0000-0000-000022700000}"/>
    <cellStyle name="Normal 2 3 2 8 6 2 4" xfId="29019" xr:uid="{00000000-0005-0000-0000-000023700000}"/>
    <cellStyle name="Normal 2 3 2 8 6 2 5" xfId="29020" xr:uid="{00000000-0005-0000-0000-000024700000}"/>
    <cellStyle name="Normal 2 3 2 8 6 3" xfId="29021" xr:uid="{00000000-0005-0000-0000-000025700000}"/>
    <cellStyle name="Normal 2 3 2 8 6 4" xfId="29022" xr:uid="{00000000-0005-0000-0000-000026700000}"/>
    <cellStyle name="Normal 2 3 2 8 6 5" xfId="29023" xr:uid="{00000000-0005-0000-0000-000027700000}"/>
    <cellStyle name="Normal 2 3 2 8 6 6" xfId="29024" xr:uid="{00000000-0005-0000-0000-000028700000}"/>
    <cellStyle name="Normal 2 3 2 8 6 7" xfId="29025" xr:uid="{00000000-0005-0000-0000-000029700000}"/>
    <cellStyle name="Normal 2 3 2 8 6 8" xfId="29026" xr:uid="{00000000-0005-0000-0000-00002A700000}"/>
    <cellStyle name="Normal 2 3 2 8 7" xfId="29027" xr:uid="{00000000-0005-0000-0000-00002B700000}"/>
    <cellStyle name="Normal 2 3 2 8 7 2" xfId="29028" xr:uid="{00000000-0005-0000-0000-00002C700000}"/>
    <cellStyle name="Normal 2 3 2 8 7 3" xfId="29029" xr:uid="{00000000-0005-0000-0000-00002D700000}"/>
    <cellStyle name="Normal 2 3 2 8 7 4" xfId="29030" xr:uid="{00000000-0005-0000-0000-00002E700000}"/>
    <cellStyle name="Normal 2 3 2 8 7 5" xfId="29031" xr:uid="{00000000-0005-0000-0000-00002F700000}"/>
    <cellStyle name="Normal 2 3 2 8 8" xfId="29032" xr:uid="{00000000-0005-0000-0000-000030700000}"/>
    <cellStyle name="Normal 2 3 2 8 9" xfId="29033" xr:uid="{00000000-0005-0000-0000-000031700000}"/>
    <cellStyle name="Normal 2 3 2 9" xfId="29034" xr:uid="{00000000-0005-0000-0000-000032700000}"/>
    <cellStyle name="Normal 2 3 2 9 10" xfId="29035" xr:uid="{00000000-0005-0000-0000-000033700000}"/>
    <cellStyle name="Normal 2 3 2 9 11" xfId="29036" xr:uid="{00000000-0005-0000-0000-000034700000}"/>
    <cellStyle name="Normal 2 3 2 9 2" xfId="29037" xr:uid="{00000000-0005-0000-0000-000035700000}"/>
    <cellStyle name="Normal 2 3 2 9 2 10" xfId="29038" xr:uid="{00000000-0005-0000-0000-000036700000}"/>
    <cellStyle name="Normal 2 3 2 9 2 2" xfId="29039" xr:uid="{00000000-0005-0000-0000-000037700000}"/>
    <cellStyle name="Normal 2 3 2 9 2 2 2" xfId="29040" xr:uid="{00000000-0005-0000-0000-000038700000}"/>
    <cellStyle name="Normal 2 3 2 9 2 2 2 2" xfId="29041" xr:uid="{00000000-0005-0000-0000-000039700000}"/>
    <cellStyle name="Normal 2 3 2 9 2 2 2 3" xfId="29042" xr:uid="{00000000-0005-0000-0000-00003A700000}"/>
    <cellStyle name="Normal 2 3 2 9 2 2 2 4" xfId="29043" xr:uid="{00000000-0005-0000-0000-00003B700000}"/>
    <cellStyle name="Normal 2 3 2 9 2 2 2 5" xfId="29044" xr:uid="{00000000-0005-0000-0000-00003C700000}"/>
    <cellStyle name="Normal 2 3 2 9 2 2 3" xfId="29045" xr:uid="{00000000-0005-0000-0000-00003D700000}"/>
    <cellStyle name="Normal 2 3 2 9 2 2 4" xfId="29046" xr:uid="{00000000-0005-0000-0000-00003E700000}"/>
    <cellStyle name="Normal 2 3 2 9 2 2 5" xfId="29047" xr:uid="{00000000-0005-0000-0000-00003F700000}"/>
    <cellStyle name="Normal 2 3 2 9 2 2 6" xfId="29048" xr:uid="{00000000-0005-0000-0000-000040700000}"/>
    <cellStyle name="Normal 2 3 2 9 2 2 7" xfId="29049" xr:uid="{00000000-0005-0000-0000-000041700000}"/>
    <cellStyle name="Normal 2 3 2 9 2 2 8" xfId="29050" xr:uid="{00000000-0005-0000-0000-000042700000}"/>
    <cellStyle name="Normal 2 3 2 9 2 3" xfId="29051" xr:uid="{00000000-0005-0000-0000-000043700000}"/>
    <cellStyle name="Normal 2 3 2 9 2 3 2" xfId="29052" xr:uid="{00000000-0005-0000-0000-000044700000}"/>
    <cellStyle name="Normal 2 3 2 9 2 3 2 2" xfId="29053" xr:uid="{00000000-0005-0000-0000-000045700000}"/>
    <cellStyle name="Normal 2 3 2 9 2 3 2 3" xfId="29054" xr:uid="{00000000-0005-0000-0000-000046700000}"/>
    <cellStyle name="Normal 2 3 2 9 2 3 2 4" xfId="29055" xr:uid="{00000000-0005-0000-0000-000047700000}"/>
    <cellStyle name="Normal 2 3 2 9 2 3 2 5" xfId="29056" xr:uid="{00000000-0005-0000-0000-000048700000}"/>
    <cellStyle name="Normal 2 3 2 9 2 3 3" xfId="29057" xr:uid="{00000000-0005-0000-0000-000049700000}"/>
    <cellStyle name="Normal 2 3 2 9 2 3 4" xfId="29058" xr:uid="{00000000-0005-0000-0000-00004A700000}"/>
    <cellStyle name="Normal 2 3 2 9 2 3 5" xfId="29059" xr:uid="{00000000-0005-0000-0000-00004B700000}"/>
    <cellStyle name="Normal 2 3 2 9 2 3 6" xfId="29060" xr:uid="{00000000-0005-0000-0000-00004C700000}"/>
    <cellStyle name="Normal 2 3 2 9 2 3 7" xfId="29061" xr:uid="{00000000-0005-0000-0000-00004D700000}"/>
    <cellStyle name="Normal 2 3 2 9 2 3 8" xfId="29062" xr:uid="{00000000-0005-0000-0000-00004E700000}"/>
    <cellStyle name="Normal 2 3 2 9 2 4" xfId="29063" xr:uid="{00000000-0005-0000-0000-00004F700000}"/>
    <cellStyle name="Normal 2 3 2 9 2 4 2" xfId="29064" xr:uid="{00000000-0005-0000-0000-000050700000}"/>
    <cellStyle name="Normal 2 3 2 9 2 4 3" xfId="29065" xr:uid="{00000000-0005-0000-0000-000051700000}"/>
    <cellStyle name="Normal 2 3 2 9 2 4 4" xfId="29066" xr:uid="{00000000-0005-0000-0000-000052700000}"/>
    <cellStyle name="Normal 2 3 2 9 2 4 5" xfId="29067" xr:uid="{00000000-0005-0000-0000-000053700000}"/>
    <cellStyle name="Normal 2 3 2 9 2 5" xfId="29068" xr:uid="{00000000-0005-0000-0000-000054700000}"/>
    <cellStyle name="Normal 2 3 2 9 2 6" xfId="29069" xr:uid="{00000000-0005-0000-0000-000055700000}"/>
    <cellStyle name="Normal 2 3 2 9 2 7" xfId="29070" xr:uid="{00000000-0005-0000-0000-000056700000}"/>
    <cellStyle name="Normal 2 3 2 9 2 8" xfId="29071" xr:uid="{00000000-0005-0000-0000-000057700000}"/>
    <cellStyle name="Normal 2 3 2 9 2 9" xfId="29072" xr:uid="{00000000-0005-0000-0000-000058700000}"/>
    <cellStyle name="Normal 2 3 2 9 3" xfId="29073" xr:uid="{00000000-0005-0000-0000-000059700000}"/>
    <cellStyle name="Normal 2 3 2 9 3 2" xfId="29074" xr:uid="{00000000-0005-0000-0000-00005A700000}"/>
    <cellStyle name="Normal 2 3 2 9 3 2 2" xfId="29075" xr:uid="{00000000-0005-0000-0000-00005B700000}"/>
    <cellStyle name="Normal 2 3 2 9 3 2 3" xfId="29076" xr:uid="{00000000-0005-0000-0000-00005C700000}"/>
    <cellStyle name="Normal 2 3 2 9 3 2 4" xfId="29077" xr:uid="{00000000-0005-0000-0000-00005D700000}"/>
    <cellStyle name="Normal 2 3 2 9 3 2 5" xfId="29078" xr:uid="{00000000-0005-0000-0000-00005E700000}"/>
    <cellStyle name="Normal 2 3 2 9 3 3" xfId="29079" xr:uid="{00000000-0005-0000-0000-00005F700000}"/>
    <cellStyle name="Normal 2 3 2 9 3 4" xfId="29080" xr:uid="{00000000-0005-0000-0000-000060700000}"/>
    <cellStyle name="Normal 2 3 2 9 3 5" xfId="29081" xr:uid="{00000000-0005-0000-0000-000061700000}"/>
    <cellStyle name="Normal 2 3 2 9 3 6" xfId="29082" xr:uid="{00000000-0005-0000-0000-000062700000}"/>
    <cellStyle name="Normal 2 3 2 9 3 7" xfId="29083" xr:uid="{00000000-0005-0000-0000-000063700000}"/>
    <cellStyle name="Normal 2 3 2 9 3 8" xfId="29084" xr:uid="{00000000-0005-0000-0000-000064700000}"/>
    <cellStyle name="Normal 2 3 2 9 4" xfId="29085" xr:uid="{00000000-0005-0000-0000-000065700000}"/>
    <cellStyle name="Normal 2 3 2 9 4 2" xfId="29086" xr:uid="{00000000-0005-0000-0000-000066700000}"/>
    <cellStyle name="Normal 2 3 2 9 4 2 2" xfId="29087" xr:uid="{00000000-0005-0000-0000-000067700000}"/>
    <cellStyle name="Normal 2 3 2 9 4 2 3" xfId="29088" xr:uid="{00000000-0005-0000-0000-000068700000}"/>
    <cellStyle name="Normal 2 3 2 9 4 2 4" xfId="29089" xr:uid="{00000000-0005-0000-0000-000069700000}"/>
    <cellStyle name="Normal 2 3 2 9 4 2 5" xfId="29090" xr:uid="{00000000-0005-0000-0000-00006A700000}"/>
    <cellStyle name="Normal 2 3 2 9 4 3" xfId="29091" xr:uid="{00000000-0005-0000-0000-00006B700000}"/>
    <cellStyle name="Normal 2 3 2 9 4 4" xfId="29092" xr:uid="{00000000-0005-0000-0000-00006C700000}"/>
    <cellStyle name="Normal 2 3 2 9 4 5" xfId="29093" xr:uid="{00000000-0005-0000-0000-00006D700000}"/>
    <cellStyle name="Normal 2 3 2 9 4 6" xfId="29094" xr:uid="{00000000-0005-0000-0000-00006E700000}"/>
    <cellStyle name="Normal 2 3 2 9 4 7" xfId="29095" xr:uid="{00000000-0005-0000-0000-00006F700000}"/>
    <cellStyle name="Normal 2 3 2 9 4 8" xfId="29096" xr:uid="{00000000-0005-0000-0000-000070700000}"/>
    <cellStyle name="Normal 2 3 2 9 5" xfId="29097" xr:uid="{00000000-0005-0000-0000-000071700000}"/>
    <cellStyle name="Normal 2 3 2 9 5 2" xfId="29098" xr:uid="{00000000-0005-0000-0000-000072700000}"/>
    <cellStyle name="Normal 2 3 2 9 5 3" xfId="29099" xr:uid="{00000000-0005-0000-0000-000073700000}"/>
    <cellStyle name="Normal 2 3 2 9 5 4" xfId="29100" xr:uid="{00000000-0005-0000-0000-000074700000}"/>
    <cellStyle name="Normal 2 3 2 9 5 5" xfId="29101" xr:uid="{00000000-0005-0000-0000-000075700000}"/>
    <cellStyle name="Normal 2 3 2 9 6" xfId="29102" xr:uid="{00000000-0005-0000-0000-000076700000}"/>
    <cellStyle name="Normal 2 3 2 9 7" xfId="29103" xr:uid="{00000000-0005-0000-0000-000077700000}"/>
    <cellStyle name="Normal 2 3 2 9 8" xfId="29104" xr:uid="{00000000-0005-0000-0000-000078700000}"/>
    <cellStyle name="Normal 2 3 2 9 9" xfId="29105" xr:uid="{00000000-0005-0000-0000-000079700000}"/>
    <cellStyle name="Normal 2 3 20" xfId="29106" xr:uid="{00000000-0005-0000-0000-00007A700000}"/>
    <cellStyle name="Normal 2 3 21" xfId="29107" xr:uid="{00000000-0005-0000-0000-00007B700000}"/>
    <cellStyle name="Normal 2 3 22" xfId="29108" xr:uid="{00000000-0005-0000-0000-00007C700000}"/>
    <cellStyle name="Normal 2 3 23" xfId="29109" xr:uid="{00000000-0005-0000-0000-00007D700000}"/>
    <cellStyle name="Normal 2 3 24" xfId="29110" xr:uid="{00000000-0005-0000-0000-00007E700000}"/>
    <cellStyle name="Normal 2 3 25" xfId="29111" xr:uid="{00000000-0005-0000-0000-00007F700000}"/>
    <cellStyle name="Normal 2 3 26" xfId="29112" xr:uid="{00000000-0005-0000-0000-000080700000}"/>
    <cellStyle name="Normal 2 3 27" xfId="29113" xr:uid="{00000000-0005-0000-0000-000081700000}"/>
    <cellStyle name="Normal 2 3 28" xfId="29114" xr:uid="{00000000-0005-0000-0000-000082700000}"/>
    <cellStyle name="Normal 2 3 29" xfId="29115" xr:uid="{00000000-0005-0000-0000-000083700000}"/>
    <cellStyle name="Normal 2 3 3" xfId="868" xr:uid="{00000000-0005-0000-0000-000084700000}"/>
    <cellStyle name="Normal 2 3 3 10" xfId="29116" xr:uid="{00000000-0005-0000-0000-000085700000}"/>
    <cellStyle name="Normal 2 3 3 10 10" xfId="29117" xr:uid="{00000000-0005-0000-0000-000086700000}"/>
    <cellStyle name="Normal 2 3 3 10 11" xfId="29118" xr:uid="{00000000-0005-0000-0000-000087700000}"/>
    <cellStyle name="Normal 2 3 3 10 2" xfId="29119" xr:uid="{00000000-0005-0000-0000-000088700000}"/>
    <cellStyle name="Normal 2 3 3 10 2 10" xfId="29120" xr:uid="{00000000-0005-0000-0000-000089700000}"/>
    <cellStyle name="Normal 2 3 3 10 2 2" xfId="29121" xr:uid="{00000000-0005-0000-0000-00008A700000}"/>
    <cellStyle name="Normal 2 3 3 10 2 2 2" xfId="29122" xr:uid="{00000000-0005-0000-0000-00008B700000}"/>
    <cellStyle name="Normal 2 3 3 10 2 2 2 2" xfId="29123" xr:uid="{00000000-0005-0000-0000-00008C700000}"/>
    <cellStyle name="Normal 2 3 3 10 2 2 2 3" xfId="29124" xr:uid="{00000000-0005-0000-0000-00008D700000}"/>
    <cellStyle name="Normal 2 3 3 10 2 2 2 4" xfId="29125" xr:uid="{00000000-0005-0000-0000-00008E700000}"/>
    <cellStyle name="Normal 2 3 3 10 2 2 2 5" xfId="29126" xr:uid="{00000000-0005-0000-0000-00008F700000}"/>
    <cellStyle name="Normal 2 3 3 10 2 2 3" xfId="29127" xr:uid="{00000000-0005-0000-0000-000090700000}"/>
    <cellStyle name="Normal 2 3 3 10 2 2 4" xfId="29128" xr:uid="{00000000-0005-0000-0000-000091700000}"/>
    <cellStyle name="Normal 2 3 3 10 2 2 5" xfId="29129" xr:uid="{00000000-0005-0000-0000-000092700000}"/>
    <cellStyle name="Normal 2 3 3 10 2 2 6" xfId="29130" xr:uid="{00000000-0005-0000-0000-000093700000}"/>
    <cellStyle name="Normal 2 3 3 10 2 2 7" xfId="29131" xr:uid="{00000000-0005-0000-0000-000094700000}"/>
    <cellStyle name="Normal 2 3 3 10 2 2 8" xfId="29132" xr:uid="{00000000-0005-0000-0000-000095700000}"/>
    <cellStyle name="Normal 2 3 3 10 2 3" xfId="29133" xr:uid="{00000000-0005-0000-0000-000096700000}"/>
    <cellStyle name="Normal 2 3 3 10 2 3 2" xfId="29134" xr:uid="{00000000-0005-0000-0000-000097700000}"/>
    <cellStyle name="Normal 2 3 3 10 2 3 2 2" xfId="29135" xr:uid="{00000000-0005-0000-0000-000098700000}"/>
    <cellStyle name="Normal 2 3 3 10 2 3 2 3" xfId="29136" xr:uid="{00000000-0005-0000-0000-000099700000}"/>
    <cellStyle name="Normal 2 3 3 10 2 3 2 4" xfId="29137" xr:uid="{00000000-0005-0000-0000-00009A700000}"/>
    <cellStyle name="Normal 2 3 3 10 2 3 2 5" xfId="29138" xr:uid="{00000000-0005-0000-0000-00009B700000}"/>
    <cellStyle name="Normal 2 3 3 10 2 3 3" xfId="29139" xr:uid="{00000000-0005-0000-0000-00009C700000}"/>
    <cellStyle name="Normal 2 3 3 10 2 3 4" xfId="29140" xr:uid="{00000000-0005-0000-0000-00009D700000}"/>
    <cellStyle name="Normal 2 3 3 10 2 3 5" xfId="29141" xr:uid="{00000000-0005-0000-0000-00009E700000}"/>
    <cellStyle name="Normal 2 3 3 10 2 3 6" xfId="29142" xr:uid="{00000000-0005-0000-0000-00009F700000}"/>
    <cellStyle name="Normal 2 3 3 10 2 3 7" xfId="29143" xr:uid="{00000000-0005-0000-0000-0000A0700000}"/>
    <cellStyle name="Normal 2 3 3 10 2 3 8" xfId="29144" xr:uid="{00000000-0005-0000-0000-0000A1700000}"/>
    <cellStyle name="Normal 2 3 3 10 2 4" xfId="29145" xr:uid="{00000000-0005-0000-0000-0000A2700000}"/>
    <cellStyle name="Normal 2 3 3 10 2 4 2" xfId="29146" xr:uid="{00000000-0005-0000-0000-0000A3700000}"/>
    <cellStyle name="Normal 2 3 3 10 2 4 3" xfId="29147" xr:uid="{00000000-0005-0000-0000-0000A4700000}"/>
    <cellStyle name="Normal 2 3 3 10 2 4 4" xfId="29148" xr:uid="{00000000-0005-0000-0000-0000A5700000}"/>
    <cellStyle name="Normal 2 3 3 10 2 4 5" xfId="29149" xr:uid="{00000000-0005-0000-0000-0000A6700000}"/>
    <cellStyle name="Normal 2 3 3 10 2 5" xfId="29150" xr:uid="{00000000-0005-0000-0000-0000A7700000}"/>
    <cellStyle name="Normal 2 3 3 10 2 6" xfId="29151" xr:uid="{00000000-0005-0000-0000-0000A8700000}"/>
    <cellStyle name="Normal 2 3 3 10 2 7" xfId="29152" xr:uid="{00000000-0005-0000-0000-0000A9700000}"/>
    <cellStyle name="Normal 2 3 3 10 2 8" xfId="29153" xr:uid="{00000000-0005-0000-0000-0000AA700000}"/>
    <cellStyle name="Normal 2 3 3 10 2 9" xfId="29154" xr:uid="{00000000-0005-0000-0000-0000AB700000}"/>
    <cellStyle name="Normal 2 3 3 10 3" xfId="29155" xr:uid="{00000000-0005-0000-0000-0000AC700000}"/>
    <cellStyle name="Normal 2 3 3 10 3 2" xfId="29156" xr:uid="{00000000-0005-0000-0000-0000AD700000}"/>
    <cellStyle name="Normal 2 3 3 10 3 2 2" xfId="29157" xr:uid="{00000000-0005-0000-0000-0000AE700000}"/>
    <cellStyle name="Normal 2 3 3 10 3 2 3" xfId="29158" xr:uid="{00000000-0005-0000-0000-0000AF700000}"/>
    <cellStyle name="Normal 2 3 3 10 3 2 4" xfId="29159" xr:uid="{00000000-0005-0000-0000-0000B0700000}"/>
    <cellStyle name="Normal 2 3 3 10 3 2 5" xfId="29160" xr:uid="{00000000-0005-0000-0000-0000B1700000}"/>
    <cellStyle name="Normal 2 3 3 10 3 3" xfId="29161" xr:uid="{00000000-0005-0000-0000-0000B2700000}"/>
    <cellStyle name="Normal 2 3 3 10 3 4" xfId="29162" xr:uid="{00000000-0005-0000-0000-0000B3700000}"/>
    <cellStyle name="Normal 2 3 3 10 3 5" xfId="29163" xr:uid="{00000000-0005-0000-0000-0000B4700000}"/>
    <cellStyle name="Normal 2 3 3 10 3 6" xfId="29164" xr:uid="{00000000-0005-0000-0000-0000B5700000}"/>
    <cellStyle name="Normal 2 3 3 10 3 7" xfId="29165" xr:uid="{00000000-0005-0000-0000-0000B6700000}"/>
    <cellStyle name="Normal 2 3 3 10 3 8" xfId="29166" xr:uid="{00000000-0005-0000-0000-0000B7700000}"/>
    <cellStyle name="Normal 2 3 3 10 4" xfId="29167" xr:uid="{00000000-0005-0000-0000-0000B8700000}"/>
    <cellStyle name="Normal 2 3 3 10 4 2" xfId="29168" xr:uid="{00000000-0005-0000-0000-0000B9700000}"/>
    <cellStyle name="Normal 2 3 3 10 4 2 2" xfId="29169" xr:uid="{00000000-0005-0000-0000-0000BA700000}"/>
    <cellStyle name="Normal 2 3 3 10 4 2 3" xfId="29170" xr:uid="{00000000-0005-0000-0000-0000BB700000}"/>
    <cellStyle name="Normal 2 3 3 10 4 2 4" xfId="29171" xr:uid="{00000000-0005-0000-0000-0000BC700000}"/>
    <cellStyle name="Normal 2 3 3 10 4 2 5" xfId="29172" xr:uid="{00000000-0005-0000-0000-0000BD700000}"/>
    <cellStyle name="Normal 2 3 3 10 4 3" xfId="29173" xr:uid="{00000000-0005-0000-0000-0000BE700000}"/>
    <cellStyle name="Normal 2 3 3 10 4 4" xfId="29174" xr:uid="{00000000-0005-0000-0000-0000BF700000}"/>
    <cellStyle name="Normal 2 3 3 10 4 5" xfId="29175" xr:uid="{00000000-0005-0000-0000-0000C0700000}"/>
    <cellStyle name="Normal 2 3 3 10 4 6" xfId="29176" xr:uid="{00000000-0005-0000-0000-0000C1700000}"/>
    <cellStyle name="Normal 2 3 3 10 4 7" xfId="29177" xr:uid="{00000000-0005-0000-0000-0000C2700000}"/>
    <cellStyle name="Normal 2 3 3 10 4 8" xfId="29178" xr:uid="{00000000-0005-0000-0000-0000C3700000}"/>
    <cellStyle name="Normal 2 3 3 10 5" xfId="29179" xr:uid="{00000000-0005-0000-0000-0000C4700000}"/>
    <cellStyle name="Normal 2 3 3 10 5 2" xfId="29180" xr:uid="{00000000-0005-0000-0000-0000C5700000}"/>
    <cellStyle name="Normal 2 3 3 10 5 3" xfId="29181" xr:uid="{00000000-0005-0000-0000-0000C6700000}"/>
    <cellStyle name="Normal 2 3 3 10 5 4" xfId="29182" xr:uid="{00000000-0005-0000-0000-0000C7700000}"/>
    <cellStyle name="Normal 2 3 3 10 5 5" xfId="29183" xr:uid="{00000000-0005-0000-0000-0000C8700000}"/>
    <cellStyle name="Normal 2 3 3 10 6" xfId="29184" xr:uid="{00000000-0005-0000-0000-0000C9700000}"/>
    <cellStyle name="Normal 2 3 3 10 7" xfId="29185" xr:uid="{00000000-0005-0000-0000-0000CA700000}"/>
    <cellStyle name="Normal 2 3 3 10 8" xfId="29186" xr:uid="{00000000-0005-0000-0000-0000CB700000}"/>
    <cellStyle name="Normal 2 3 3 10 9" xfId="29187" xr:uid="{00000000-0005-0000-0000-0000CC700000}"/>
    <cellStyle name="Normal 2 3 3 11" xfId="29188" xr:uid="{00000000-0005-0000-0000-0000CD700000}"/>
    <cellStyle name="Normal 2 3 3 11 10" xfId="29189" xr:uid="{00000000-0005-0000-0000-0000CE700000}"/>
    <cellStyle name="Normal 2 3 3 11 2" xfId="29190" xr:uid="{00000000-0005-0000-0000-0000CF700000}"/>
    <cellStyle name="Normal 2 3 3 11 2 2" xfId="29191" xr:uid="{00000000-0005-0000-0000-0000D0700000}"/>
    <cellStyle name="Normal 2 3 3 11 2 2 2" xfId="29192" xr:uid="{00000000-0005-0000-0000-0000D1700000}"/>
    <cellStyle name="Normal 2 3 3 11 2 2 3" xfId="29193" xr:uid="{00000000-0005-0000-0000-0000D2700000}"/>
    <cellStyle name="Normal 2 3 3 11 2 2 4" xfId="29194" xr:uid="{00000000-0005-0000-0000-0000D3700000}"/>
    <cellStyle name="Normal 2 3 3 11 2 2 5" xfId="29195" xr:uid="{00000000-0005-0000-0000-0000D4700000}"/>
    <cellStyle name="Normal 2 3 3 11 2 3" xfId="29196" xr:uid="{00000000-0005-0000-0000-0000D5700000}"/>
    <cellStyle name="Normal 2 3 3 11 2 4" xfId="29197" xr:uid="{00000000-0005-0000-0000-0000D6700000}"/>
    <cellStyle name="Normal 2 3 3 11 2 5" xfId="29198" xr:uid="{00000000-0005-0000-0000-0000D7700000}"/>
    <cellStyle name="Normal 2 3 3 11 2 6" xfId="29199" xr:uid="{00000000-0005-0000-0000-0000D8700000}"/>
    <cellStyle name="Normal 2 3 3 11 2 7" xfId="29200" xr:uid="{00000000-0005-0000-0000-0000D9700000}"/>
    <cellStyle name="Normal 2 3 3 11 2 8" xfId="29201" xr:uid="{00000000-0005-0000-0000-0000DA700000}"/>
    <cellStyle name="Normal 2 3 3 11 3" xfId="29202" xr:uid="{00000000-0005-0000-0000-0000DB700000}"/>
    <cellStyle name="Normal 2 3 3 11 3 2" xfId="29203" xr:uid="{00000000-0005-0000-0000-0000DC700000}"/>
    <cellStyle name="Normal 2 3 3 11 3 2 2" xfId="29204" xr:uid="{00000000-0005-0000-0000-0000DD700000}"/>
    <cellStyle name="Normal 2 3 3 11 3 2 3" xfId="29205" xr:uid="{00000000-0005-0000-0000-0000DE700000}"/>
    <cellStyle name="Normal 2 3 3 11 3 2 4" xfId="29206" xr:uid="{00000000-0005-0000-0000-0000DF700000}"/>
    <cellStyle name="Normal 2 3 3 11 3 2 5" xfId="29207" xr:uid="{00000000-0005-0000-0000-0000E0700000}"/>
    <cellStyle name="Normal 2 3 3 11 3 3" xfId="29208" xr:uid="{00000000-0005-0000-0000-0000E1700000}"/>
    <cellStyle name="Normal 2 3 3 11 3 4" xfId="29209" xr:uid="{00000000-0005-0000-0000-0000E2700000}"/>
    <cellStyle name="Normal 2 3 3 11 3 5" xfId="29210" xr:uid="{00000000-0005-0000-0000-0000E3700000}"/>
    <cellStyle name="Normal 2 3 3 11 3 6" xfId="29211" xr:uid="{00000000-0005-0000-0000-0000E4700000}"/>
    <cellStyle name="Normal 2 3 3 11 3 7" xfId="29212" xr:uid="{00000000-0005-0000-0000-0000E5700000}"/>
    <cellStyle name="Normal 2 3 3 11 3 8" xfId="29213" xr:uid="{00000000-0005-0000-0000-0000E6700000}"/>
    <cellStyle name="Normal 2 3 3 11 4" xfId="29214" xr:uid="{00000000-0005-0000-0000-0000E7700000}"/>
    <cellStyle name="Normal 2 3 3 11 4 2" xfId="29215" xr:uid="{00000000-0005-0000-0000-0000E8700000}"/>
    <cellStyle name="Normal 2 3 3 11 4 3" xfId="29216" xr:uid="{00000000-0005-0000-0000-0000E9700000}"/>
    <cellStyle name="Normal 2 3 3 11 4 4" xfId="29217" xr:uid="{00000000-0005-0000-0000-0000EA700000}"/>
    <cellStyle name="Normal 2 3 3 11 4 5" xfId="29218" xr:uid="{00000000-0005-0000-0000-0000EB700000}"/>
    <cellStyle name="Normal 2 3 3 11 5" xfId="29219" xr:uid="{00000000-0005-0000-0000-0000EC700000}"/>
    <cellStyle name="Normal 2 3 3 11 6" xfId="29220" xr:uid="{00000000-0005-0000-0000-0000ED700000}"/>
    <cellStyle name="Normal 2 3 3 11 7" xfId="29221" xr:uid="{00000000-0005-0000-0000-0000EE700000}"/>
    <cellStyle name="Normal 2 3 3 11 8" xfId="29222" xr:uid="{00000000-0005-0000-0000-0000EF700000}"/>
    <cellStyle name="Normal 2 3 3 11 9" xfId="29223" xr:uid="{00000000-0005-0000-0000-0000F0700000}"/>
    <cellStyle name="Normal 2 3 3 12" xfId="29224" xr:uid="{00000000-0005-0000-0000-0000F1700000}"/>
    <cellStyle name="Normal 2 3 3 12 2" xfId="29225" xr:uid="{00000000-0005-0000-0000-0000F2700000}"/>
    <cellStyle name="Normal 2 3 3 12 2 2" xfId="29226" xr:uid="{00000000-0005-0000-0000-0000F3700000}"/>
    <cellStyle name="Normal 2 3 3 12 2 3" xfId="29227" xr:uid="{00000000-0005-0000-0000-0000F4700000}"/>
    <cellStyle name="Normal 2 3 3 12 2 4" xfId="29228" xr:uid="{00000000-0005-0000-0000-0000F5700000}"/>
    <cellStyle name="Normal 2 3 3 12 2 5" xfId="29229" xr:uid="{00000000-0005-0000-0000-0000F6700000}"/>
    <cellStyle name="Normal 2 3 3 12 3" xfId="29230" xr:uid="{00000000-0005-0000-0000-0000F7700000}"/>
    <cellStyle name="Normal 2 3 3 12 4" xfId="29231" xr:uid="{00000000-0005-0000-0000-0000F8700000}"/>
    <cellStyle name="Normal 2 3 3 12 5" xfId="29232" xr:uid="{00000000-0005-0000-0000-0000F9700000}"/>
    <cellStyle name="Normal 2 3 3 12 6" xfId="29233" xr:uid="{00000000-0005-0000-0000-0000FA700000}"/>
    <cellStyle name="Normal 2 3 3 12 7" xfId="29234" xr:uid="{00000000-0005-0000-0000-0000FB700000}"/>
    <cellStyle name="Normal 2 3 3 12 8" xfId="29235" xr:uid="{00000000-0005-0000-0000-0000FC700000}"/>
    <cellStyle name="Normal 2 3 3 13" xfId="29236" xr:uid="{00000000-0005-0000-0000-0000FD700000}"/>
    <cellStyle name="Normal 2 3 3 13 2" xfId="29237" xr:uid="{00000000-0005-0000-0000-0000FE700000}"/>
    <cellStyle name="Normal 2 3 3 13 2 2" xfId="29238" xr:uid="{00000000-0005-0000-0000-0000FF700000}"/>
    <cellStyle name="Normal 2 3 3 13 2 3" xfId="29239" xr:uid="{00000000-0005-0000-0000-000000710000}"/>
    <cellStyle name="Normal 2 3 3 13 2 4" xfId="29240" xr:uid="{00000000-0005-0000-0000-000001710000}"/>
    <cellStyle name="Normal 2 3 3 13 2 5" xfId="29241" xr:uid="{00000000-0005-0000-0000-000002710000}"/>
    <cellStyle name="Normal 2 3 3 13 3" xfId="29242" xr:uid="{00000000-0005-0000-0000-000003710000}"/>
    <cellStyle name="Normal 2 3 3 13 4" xfId="29243" xr:uid="{00000000-0005-0000-0000-000004710000}"/>
    <cellStyle name="Normal 2 3 3 13 5" xfId="29244" xr:uid="{00000000-0005-0000-0000-000005710000}"/>
    <cellStyle name="Normal 2 3 3 13 6" xfId="29245" xr:uid="{00000000-0005-0000-0000-000006710000}"/>
    <cellStyle name="Normal 2 3 3 13 7" xfId="29246" xr:uid="{00000000-0005-0000-0000-000007710000}"/>
    <cellStyle name="Normal 2 3 3 13 8" xfId="29247" xr:uid="{00000000-0005-0000-0000-000008710000}"/>
    <cellStyle name="Normal 2 3 3 14" xfId="29248" xr:uid="{00000000-0005-0000-0000-000009710000}"/>
    <cellStyle name="Normal 2 3 3 14 2" xfId="29249" xr:uid="{00000000-0005-0000-0000-00000A710000}"/>
    <cellStyle name="Normal 2 3 3 14 3" xfId="29250" xr:uid="{00000000-0005-0000-0000-00000B710000}"/>
    <cellStyle name="Normal 2 3 3 14 4" xfId="29251" xr:uid="{00000000-0005-0000-0000-00000C710000}"/>
    <cellStyle name="Normal 2 3 3 14 5" xfId="29252" xr:uid="{00000000-0005-0000-0000-00000D710000}"/>
    <cellStyle name="Normal 2 3 3 15" xfId="29253" xr:uid="{00000000-0005-0000-0000-00000E710000}"/>
    <cellStyle name="Normal 2 3 3 16" xfId="29254" xr:uid="{00000000-0005-0000-0000-00000F710000}"/>
    <cellStyle name="Normal 2 3 3 17" xfId="29255" xr:uid="{00000000-0005-0000-0000-000010710000}"/>
    <cellStyle name="Normal 2 3 3 18" xfId="29256" xr:uid="{00000000-0005-0000-0000-000011710000}"/>
    <cellStyle name="Normal 2 3 3 19" xfId="29257" xr:uid="{00000000-0005-0000-0000-000012710000}"/>
    <cellStyle name="Normal 2 3 3 2" xfId="29258" xr:uid="{00000000-0005-0000-0000-000013710000}"/>
    <cellStyle name="Normal 2 3 3 2 10" xfId="29259" xr:uid="{00000000-0005-0000-0000-000014710000}"/>
    <cellStyle name="Normal 2 3 3 2 11" xfId="29260" xr:uid="{00000000-0005-0000-0000-000015710000}"/>
    <cellStyle name="Normal 2 3 3 2 12" xfId="29261" xr:uid="{00000000-0005-0000-0000-000016710000}"/>
    <cellStyle name="Normal 2 3 3 2 13" xfId="29262" xr:uid="{00000000-0005-0000-0000-000017710000}"/>
    <cellStyle name="Normal 2 3 3 2 14" xfId="29263" xr:uid="{00000000-0005-0000-0000-000018710000}"/>
    <cellStyle name="Normal 2 3 3 2 15" xfId="29264" xr:uid="{00000000-0005-0000-0000-000019710000}"/>
    <cellStyle name="Normal 2 3 3 2 16" xfId="29265" xr:uid="{00000000-0005-0000-0000-00001A710000}"/>
    <cellStyle name="Normal 2 3 3 2 17" xfId="29266" xr:uid="{00000000-0005-0000-0000-00001B710000}"/>
    <cellStyle name="Normal 2 3 3 2 18" xfId="29267" xr:uid="{00000000-0005-0000-0000-00001C710000}"/>
    <cellStyle name="Normal 2 3 3 2 19" xfId="29268" xr:uid="{00000000-0005-0000-0000-00001D710000}"/>
    <cellStyle name="Normal 2 3 3 2 2" xfId="29269" xr:uid="{00000000-0005-0000-0000-00001E710000}"/>
    <cellStyle name="Normal 2 3 3 2 2 10" xfId="29270" xr:uid="{00000000-0005-0000-0000-00001F710000}"/>
    <cellStyle name="Normal 2 3 3 2 2 11" xfId="29271" xr:uid="{00000000-0005-0000-0000-000020710000}"/>
    <cellStyle name="Normal 2 3 3 2 2 12" xfId="29272" xr:uid="{00000000-0005-0000-0000-000021710000}"/>
    <cellStyle name="Normal 2 3 3 2 2 13" xfId="29273" xr:uid="{00000000-0005-0000-0000-000022710000}"/>
    <cellStyle name="Normal 2 3 3 2 2 14" xfId="29274" xr:uid="{00000000-0005-0000-0000-000023710000}"/>
    <cellStyle name="Normal 2 3 3 2 2 15" xfId="29275" xr:uid="{00000000-0005-0000-0000-000024710000}"/>
    <cellStyle name="Normal 2 3 3 2 2 16" xfId="29276" xr:uid="{00000000-0005-0000-0000-000025710000}"/>
    <cellStyle name="Normal 2 3 3 2 2 17" xfId="29277" xr:uid="{00000000-0005-0000-0000-000026710000}"/>
    <cellStyle name="Normal 2 3 3 2 2 18" xfId="29278" xr:uid="{00000000-0005-0000-0000-000027710000}"/>
    <cellStyle name="Normal 2 3 3 2 2 19" xfId="29279" xr:uid="{00000000-0005-0000-0000-000028710000}"/>
    <cellStyle name="Normal 2 3 3 2 2 2" xfId="29280" xr:uid="{00000000-0005-0000-0000-000029710000}"/>
    <cellStyle name="Normal 2 3 3 2 2 2 10" xfId="29281" xr:uid="{00000000-0005-0000-0000-00002A710000}"/>
    <cellStyle name="Normal 2 3 3 2 2 2 2" xfId="29282" xr:uid="{00000000-0005-0000-0000-00002B710000}"/>
    <cellStyle name="Normal 2 3 3 2 2 2 2 2" xfId="29283" xr:uid="{00000000-0005-0000-0000-00002C710000}"/>
    <cellStyle name="Normal 2 3 3 2 2 2 2 2 2" xfId="29284" xr:uid="{00000000-0005-0000-0000-00002D710000}"/>
    <cellStyle name="Normal 2 3 3 2 2 2 2 2 3" xfId="29285" xr:uid="{00000000-0005-0000-0000-00002E710000}"/>
    <cellStyle name="Normal 2 3 3 2 2 2 2 2 4" xfId="29286" xr:uid="{00000000-0005-0000-0000-00002F710000}"/>
    <cellStyle name="Normal 2 3 3 2 2 2 2 2 5" xfId="29287" xr:uid="{00000000-0005-0000-0000-000030710000}"/>
    <cellStyle name="Normal 2 3 3 2 2 2 2 3" xfId="29288" xr:uid="{00000000-0005-0000-0000-000031710000}"/>
    <cellStyle name="Normal 2 3 3 2 2 2 2 4" xfId="29289" xr:uid="{00000000-0005-0000-0000-000032710000}"/>
    <cellStyle name="Normal 2 3 3 2 2 2 2 5" xfId="29290" xr:uid="{00000000-0005-0000-0000-000033710000}"/>
    <cellStyle name="Normal 2 3 3 2 2 2 2 6" xfId="29291" xr:uid="{00000000-0005-0000-0000-000034710000}"/>
    <cellStyle name="Normal 2 3 3 2 2 2 2 7" xfId="29292" xr:uid="{00000000-0005-0000-0000-000035710000}"/>
    <cellStyle name="Normal 2 3 3 2 2 2 2 8" xfId="29293" xr:uid="{00000000-0005-0000-0000-000036710000}"/>
    <cellStyle name="Normal 2 3 3 2 2 2 3" xfId="29294" xr:uid="{00000000-0005-0000-0000-000037710000}"/>
    <cellStyle name="Normal 2 3 3 2 2 2 3 2" xfId="29295" xr:uid="{00000000-0005-0000-0000-000038710000}"/>
    <cellStyle name="Normal 2 3 3 2 2 2 3 2 2" xfId="29296" xr:uid="{00000000-0005-0000-0000-000039710000}"/>
    <cellStyle name="Normal 2 3 3 2 2 2 3 2 3" xfId="29297" xr:uid="{00000000-0005-0000-0000-00003A710000}"/>
    <cellStyle name="Normal 2 3 3 2 2 2 3 2 4" xfId="29298" xr:uid="{00000000-0005-0000-0000-00003B710000}"/>
    <cellStyle name="Normal 2 3 3 2 2 2 3 2 5" xfId="29299" xr:uid="{00000000-0005-0000-0000-00003C710000}"/>
    <cellStyle name="Normal 2 3 3 2 2 2 3 3" xfId="29300" xr:uid="{00000000-0005-0000-0000-00003D710000}"/>
    <cellStyle name="Normal 2 3 3 2 2 2 3 4" xfId="29301" xr:uid="{00000000-0005-0000-0000-00003E710000}"/>
    <cellStyle name="Normal 2 3 3 2 2 2 3 5" xfId="29302" xr:uid="{00000000-0005-0000-0000-00003F710000}"/>
    <cellStyle name="Normal 2 3 3 2 2 2 3 6" xfId="29303" xr:uid="{00000000-0005-0000-0000-000040710000}"/>
    <cellStyle name="Normal 2 3 3 2 2 2 3 7" xfId="29304" xr:uid="{00000000-0005-0000-0000-000041710000}"/>
    <cellStyle name="Normal 2 3 3 2 2 2 3 8" xfId="29305" xr:uid="{00000000-0005-0000-0000-000042710000}"/>
    <cellStyle name="Normal 2 3 3 2 2 2 4" xfId="29306" xr:uid="{00000000-0005-0000-0000-000043710000}"/>
    <cellStyle name="Normal 2 3 3 2 2 2 4 2" xfId="29307" xr:uid="{00000000-0005-0000-0000-000044710000}"/>
    <cellStyle name="Normal 2 3 3 2 2 2 4 3" xfId="29308" xr:uid="{00000000-0005-0000-0000-000045710000}"/>
    <cellStyle name="Normal 2 3 3 2 2 2 4 4" xfId="29309" xr:uid="{00000000-0005-0000-0000-000046710000}"/>
    <cellStyle name="Normal 2 3 3 2 2 2 4 5" xfId="29310" xr:uid="{00000000-0005-0000-0000-000047710000}"/>
    <cellStyle name="Normal 2 3 3 2 2 2 5" xfId="29311" xr:uid="{00000000-0005-0000-0000-000048710000}"/>
    <cellStyle name="Normal 2 3 3 2 2 2 6" xfId="29312" xr:uid="{00000000-0005-0000-0000-000049710000}"/>
    <cellStyle name="Normal 2 3 3 2 2 2 7" xfId="29313" xr:uid="{00000000-0005-0000-0000-00004A710000}"/>
    <cellStyle name="Normal 2 3 3 2 2 2 8" xfId="29314" xr:uid="{00000000-0005-0000-0000-00004B710000}"/>
    <cellStyle name="Normal 2 3 3 2 2 2 9" xfId="29315" xr:uid="{00000000-0005-0000-0000-00004C710000}"/>
    <cellStyle name="Normal 2 3 3 2 2 20" xfId="29316" xr:uid="{00000000-0005-0000-0000-00004D710000}"/>
    <cellStyle name="Normal 2 3 3 2 2 21" xfId="29317" xr:uid="{00000000-0005-0000-0000-00004E710000}"/>
    <cellStyle name="Normal 2 3 3 2 2 22" xfId="29318" xr:uid="{00000000-0005-0000-0000-00004F710000}"/>
    <cellStyle name="Normal 2 3 3 2 2 23" xfId="29319" xr:uid="{00000000-0005-0000-0000-000050710000}"/>
    <cellStyle name="Normal 2 3 3 2 2 24" xfId="29320" xr:uid="{00000000-0005-0000-0000-000051710000}"/>
    <cellStyle name="Normal 2 3 3 2 2 25" xfId="29321" xr:uid="{00000000-0005-0000-0000-000052710000}"/>
    <cellStyle name="Normal 2 3 3 2 2 26" xfId="29322" xr:uid="{00000000-0005-0000-0000-000053710000}"/>
    <cellStyle name="Normal 2 3 3 2 2 3" xfId="29323" xr:uid="{00000000-0005-0000-0000-000054710000}"/>
    <cellStyle name="Normal 2 3 3 2 2 3 2" xfId="29324" xr:uid="{00000000-0005-0000-0000-000055710000}"/>
    <cellStyle name="Normal 2 3 3 2 2 3 2 2" xfId="29325" xr:uid="{00000000-0005-0000-0000-000056710000}"/>
    <cellStyle name="Normal 2 3 3 2 2 3 2 3" xfId="29326" xr:uid="{00000000-0005-0000-0000-000057710000}"/>
    <cellStyle name="Normal 2 3 3 2 2 3 2 4" xfId="29327" xr:uid="{00000000-0005-0000-0000-000058710000}"/>
    <cellStyle name="Normal 2 3 3 2 2 3 2 5" xfId="29328" xr:uid="{00000000-0005-0000-0000-000059710000}"/>
    <cellStyle name="Normal 2 3 3 2 2 3 3" xfId="29329" xr:uid="{00000000-0005-0000-0000-00005A710000}"/>
    <cellStyle name="Normal 2 3 3 2 2 3 4" xfId="29330" xr:uid="{00000000-0005-0000-0000-00005B710000}"/>
    <cellStyle name="Normal 2 3 3 2 2 3 5" xfId="29331" xr:uid="{00000000-0005-0000-0000-00005C710000}"/>
    <cellStyle name="Normal 2 3 3 2 2 3 6" xfId="29332" xr:uid="{00000000-0005-0000-0000-00005D710000}"/>
    <cellStyle name="Normal 2 3 3 2 2 3 7" xfId="29333" xr:uid="{00000000-0005-0000-0000-00005E710000}"/>
    <cellStyle name="Normal 2 3 3 2 2 3 8" xfId="29334" xr:uid="{00000000-0005-0000-0000-00005F710000}"/>
    <cellStyle name="Normal 2 3 3 2 2 4" xfId="29335" xr:uid="{00000000-0005-0000-0000-000060710000}"/>
    <cellStyle name="Normal 2 3 3 2 2 4 2" xfId="29336" xr:uid="{00000000-0005-0000-0000-000061710000}"/>
    <cellStyle name="Normal 2 3 3 2 2 4 2 2" xfId="29337" xr:uid="{00000000-0005-0000-0000-000062710000}"/>
    <cellStyle name="Normal 2 3 3 2 2 4 2 3" xfId="29338" xr:uid="{00000000-0005-0000-0000-000063710000}"/>
    <cellStyle name="Normal 2 3 3 2 2 4 2 4" xfId="29339" xr:uid="{00000000-0005-0000-0000-000064710000}"/>
    <cellStyle name="Normal 2 3 3 2 2 4 2 5" xfId="29340" xr:uid="{00000000-0005-0000-0000-000065710000}"/>
    <cellStyle name="Normal 2 3 3 2 2 4 3" xfId="29341" xr:uid="{00000000-0005-0000-0000-000066710000}"/>
    <cellStyle name="Normal 2 3 3 2 2 4 4" xfId="29342" xr:uid="{00000000-0005-0000-0000-000067710000}"/>
    <cellStyle name="Normal 2 3 3 2 2 4 5" xfId="29343" xr:uid="{00000000-0005-0000-0000-000068710000}"/>
    <cellStyle name="Normal 2 3 3 2 2 4 6" xfId="29344" xr:uid="{00000000-0005-0000-0000-000069710000}"/>
    <cellStyle name="Normal 2 3 3 2 2 4 7" xfId="29345" xr:uid="{00000000-0005-0000-0000-00006A710000}"/>
    <cellStyle name="Normal 2 3 3 2 2 4 8" xfId="29346" xr:uid="{00000000-0005-0000-0000-00006B710000}"/>
    <cellStyle name="Normal 2 3 3 2 2 5" xfId="29347" xr:uid="{00000000-0005-0000-0000-00006C710000}"/>
    <cellStyle name="Normal 2 3 3 2 2 5 2" xfId="29348" xr:uid="{00000000-0005-0000-0000-00006D710000}"/>
    <cellStyle name="Normal 2 3 3 2 2 5 3" xfId="29349" xr:uid="{00000000-0005-0000-0000-00006E710000}"/>
    <cellStyle name="Normal 2 3 3 2 2 5 4" xfId="29350" xr:uid="{00000000-0005-0000-0000-00006F710000}"/>
    <cellStyle name="Normal 2 3 3 2 2 5 5" xfId="29351" xr:uid="{00000000-0005-0000-0000-000070710000}"/>
    <cellStyle name="Normal 2 3 3 2 2 6" xfId="29352" xr:uid="{00000000-0005-0000-0000-000071710000}"/>
    <cellStyle name="Normal 2 3 3 2 2 7" xfId="29353" xr:uid="{00000000-0005-0000-0000-000072710000}"/>
    <cellStyle name="Normal 2 3 3 2 2 8" xfId="29354" xr:uid="{00000000-0005-0000-0000-000073710000}"/>
    <cellStyle name="Normal 2 3 3 2 2 9" xfId="29355" xr:uid="{00000000-0005-0000-0000-000074710000}"/>
    <cellStyle name="Normal 2 3 3 2 20" xfId="29356" xr:uid="{00000000-0005-0000-0000-000075710000}"/>
    <cellStyle name="Normal 2 3 3 2 21" xfId="29357" xr:uid="{00000000-0005-0000-0000-000076710000}"/>
    <cellStyle name="Normal 2 3 3 2 22" xfId="29358" xr:uid="{00000000-0005-0000-0000-000077710000}"/>
    <cellStyle name="Normal 2 3 3 2 23" xfId="29359" xr:uid="{00000000-0005-0000-0000-000078710000}"/>
    <cellStyle name="Normal 2 3 3 2 24" xfId="29360" xr:uid="{00000000-0005-0000-0000-000079710000}"/>
    <cellStyle name="Normal 2 3 3 2 25" xfId="29361" xr:uid="{00000000-0005-0000-0000-00007A710000}"/>
    <cellStyle name="Normal 2 3 3 2 26" xfId="29362" xr:uid="{00000000-0005-0000-0000-00007B710000}"/>
    <cellStyle name="Normal 2 3 3 2 3" xfId="29363" xr:uid="{00000000-0005-0000-0000-00007C710000}"/>
    <cellStyle name="Normal 2 3 3 2 3 10" xfId="29364" xr:uid="{00000000-0005-0000-0000-00007D710000}"/>
    <cellStyle name="Normal 2 3 3 2 3 11" xfId="29365" xr:uid="{00000000-0005-0000-0000-00007E710000}"/>
    <cellStyle name="Normal 2 3 3 2 3 2" xfId="29366" xr:uid="{00000000-0005-0000-0000-00007F710000}"/>
    <cellStyle name="Normal 2 3 3 2 3 2 10" xfId="29367" xr:uid="{00000000-0005-0000-0000-000080710000}"/>
    <cellStyle name="Normal 2 3 3 2 3 2 2" xfId="29368" xr:uid="{00000000-0005-0000-0000-000081710000}"/>
    <cellStyle name="Normal 2 3 3 2 3 2 2 2" xfId="29369" xr:uid="{00000000-0005-0000-0000-000082710000}"/>
    <cellStyle name="Normal 2 3 3 2 3 2 2 2 2" xfId="29370" xr:uid="{00000000-0005-0000-0000-000083710000}"/>
    <cellStyle name="Normal 2 3 3 2 3 2 2 2 3" xfId="29371" xr:uid="{00000000-0005-0000-0000-000084710000}"/>
    <cellStyle name="Normal 2 3 3 2 3 2 2 2 4" xfId="29372" xr:uid="{00000000-0005-0000-0000-000085710000}"/>
    <cellStyle name="Normal 2 3 3 2 3 2 2 2 5" xfId="29373" xr:uid="{00000000-0005-0000-0000-000086710000}"/>
    <cellStyle name="Normal 2 3 3 2 3 2 2 3" xfId="29374" xr:uid="{00000000-0005-0000-0000-000087710000}"/>
    <cellStyle name="Normal 2 3 3 2 3 2 2 4" xfId="29375" xr:uid="{00000000-0005-0000-0000-000088710000}"/>
    <cellStyle name="Normal 2 3 3 2 3 2 2 5" xfId="29376" xr:uid="{00000000-0005-0000-0000-000089710000}"/>
    <cellStyle name="Normal 2 3 3 2 3 2 2 6" xfId="29377" xr:uid="{00000000-0005-0000-0000-00008A710000}"/>
    <cellStyle name="Normal 2 3 3 2 3 2 2 7" xfId="29378" xr:uid="{00000000-0005-0000-0000-00008B710000}"/>
    <cellStyle name="Normal 2 3 3 2 3 2 2 8" xfId="29379" xr:uid="{00000000-0005-0000-0000-00008C710000}"/>
    <cellStyle name="Normal 2 3 3 2 3 2 3" xfId="29380" xr:uid="{00000000-0005-0000-0000-00008D710000}"/>
    <cellStyle name="Normal 2 3 3 2 3 2 3 2" xfId="29381" xr:uid="{00000000-0005-0000-0000-00008E710000}"/>
    <cellStyle name="Normal 2 3 3 2 3 2 3 2 2" xfId="29382" xr:uid="{00000000-0005-0000-0000-00008F710000}"/>
    <cellStyle name="Normal 2 3 3 2 3 2 3 2 3" xfId="29383" xr:uid="{00000000-0005-0000-0000-000090710000}"/>
    <cellStyle name="Normal 2 3 3 2 3 2 3 2 4" xfId="29384" xr:uid="{00000000-0005-0000-0000-000091710000}"/>
    <cellStyle name="Normal 2 3 3 2 3 2 3 2 5" xfId="29385" xr:uid="{00000000-0005-0000-0000-000092710000}"/>
    <cellStyle name="Normal 2 3 3 2 3 2 3 3" xfId="29386" xr:uid="{00000000-0005-0000-0000-000093710000}"/>
    <cellStyle name="Normal 2 3 3 2 3 2 3 4" xfId="29387" xr:uid="{00000000-0005-0000-0000-000094710000}"/>
    <cellStyle name="Normal 2 3 3 2 3 2 3 5" xfId="29388" xr:uid="{00000000-0005-0000-0000-000095710000}"/>
    <cellStyle name="Normal 2 3 3 2 3 2 3 6" xfId="29389" xr:uid="{00000000-0005-0000-0000-000096710000}"/>
    <cellStyle name="Normal 2 3 3 2 3 2 3 7" xfId="29390" xr:uid="{00000000-0005-0000-0000-000097710000}"/>
    <cellStyle name="Normal 2 3 3 2 3 2 3 8" xfId="29391" xr:uid="{00000000-0005-0000-0000-000098710000}"/>
    <cellStyle name="Normal 2 3 3 2 3 2 4" xfId="29392" xr:uid="{00000000-0005-0000-0000-000099710000}"/>
    <cellStyle name="Normal 2 3 3 2 3 2 4 2" xfId="29393" xr:uid="{00000000-0005-0000-0000-00009A710000}"/>
    <cellStyle name="Normal 2 3 3 2 3 2 4 3" xfId="29394" xr:uid="{00000000-0005-0000-0000-00009B710000}"/>
    <cellStyle name="Normal 2 3 3 2 3 2 4 4" xfId="29395" xr:uid="{00000000-0005-0000-0000-00009C710000}"/>
    <cellStyle name="Normal 2 3 3 2 3 2 4 5" xfId="29396" xr:uid="{00000000-0005-0000-0000-00009D710000}"/>
    <cellStyle name="Normal 2 3 3 2 3 2 5" xfId="29397" xr:uid="{00000000-0005-0000-0000-00009E710000}"/>
    <cellStyle name="Normal 2 3 3 2 3 2 6" xfId="29398" xr:uid="{00000000-0005-0000-0000-00009F710000}"/>
    <cellStyle name="Normal 2 3 3 2 3 2 7" xfId="29399" xr:uid="{00000000-0005-0000-0000-0000A0710000}"/>
    <cellStyle name="Normal 2 3 3 2 3 2 8" xfId="29400" xr:uid="{00000000-0005-0000-0000-0000A1710000}"/>
    <cellStyle name="Normal 2 3 3 2 3 2 9" xfId="29401" xr:uid="{00000000-0005-0000-0000-0000A2710000}"/>
    <cellStyle name="Normal 2 3 3 2 3 3" xfId="29402" xr:uid="{00000000-0005-0000-0000-0000A3710000}"/>
    <cellStyle name="Normal 2 3 3 2 3 3 2" xfId="29403" xr:uid="{00000000-0005-0000-0000-0000A4710000}"/>
    <cellStyle name="Normal 2 3 3 2 3 3 2 2" xfId="29404" xr:uid="{00000000-0005-0000-0000-0000A5710000}"/>
    <cellStyle name="Normal 2 3 3 2 3 3 2 3" xfId="29405" xr:uid="{00000000-0005-0000-0000-0000A6710000}"/>
    <cellStyle name="Normal 2 3 3 2 3 3 2 4" xfId="29406" xr:uid="{00000000-0005-0000-0000-0000A7710000}"/>
    <cellStyle name="Normal 2 3 3 2 3 3 2 5" xfId="29407" xr:uid="{00000000-0005-0000-0000-0000A8710000}"/>
    <cellStyle name="Normal 2 3 3 2 3 3 3" xfId="29408" xr:uid="{00000000-0005-0000-0000-0000A9710000}"/>
    <cellStyle name="Normal 2 3 3 2 3 3 4" xfId="29409" xr:uid="{00000000-0005-0000-0000-0000AA710000}"/>
    <cellStyle name="Normal 2 3 3 2 3 3 5" xfId="29410" xr:uid="{00000000-0005-0000-0000-0000AB710000}"/>
    <cellStyle name="Normal 2 3 3 2 3 3 6" xfId="29411" xr:uid="{00000000-0005-0000-0000-0000AC710000}"/>
    <cellStyle name="Normal 2 3 3 2 3 3 7" xfId="29412" xr:uid="{00000000-0005-0000-0000-0000AD710000}"/>
    <cellStyle name="Normal 2 3 3 2 3 3 8" xfId="29413" xr:uid="{00000000-0005-0000-0000-0000AE710000}"/>
    <cellStyle name="Normal 2 3 3 2 3 4" xfId="29414" xr:uid="{00000000-0005-0000-0000-0000AF710000}"/>
    <cellStyle name="Normal 2 3 3 2 3 4 2" xfId="29415" xr:uid="{00000000-0005-0000-0000-0000B0710000}"/>
    <cellStyle name="Normal 2 3 3 2 3 4 2 2" xfId="29416" xr:uid="{00000000-0005-0000-0000-0000B1710000}"/>
    <cellStyle name="Normal 2 3 3 2 3 4 2 3" xfId="29417" xr:uid="{00000000-0005-0000-0000-0000B2710000}"/>
    <cellStyle name="Normal 2 3 3 2 3 4 2 4" xfId="29418" xr:uid="{00000000-0005-0000-0000-0000B3710000}"/>
    <cellStyle name="Normal 2 3 3 2 3 4 2 5" xfId="29419" xr:uid="{00000000-0005-0000-0000-0000B4710000}"/>
    <cellStyle name="Normal 2 3 3 2 3 4 3" xfId="29420" xr:uid="{00000000-0005-0000-0000-0000B5710000}"/>
    <cellStyle name="Normal 2 3 3 2 3 4 4" xfId="29421" xr:uid="{00000000-0005-0000-0000-0000B6710000}"/>
    <cellStyle name="Normal 2 3 3 2 3 4 5" xfId="29422" xr:uid="{00000000-0005-0000-0000-0000B7710000}"/>
    <cellStyle name="Normal 2 3 3 2 3 4 6" xfId="29423" xr:uid="{00000000-0005-0000-0000-0000B8710000}"/>
    <cellStyle name="Normal 2 3 3 2 3 4 7" xfId="29424" xr:uid="{00000000-0005-0000-0000-0000B9710000}"/>
    <cellStyle name="Normal 2 3 3 2 3 4 8" xfId="29425" xr:uid="{00000000-0005-0000-0000-0000BA710000}"/>
    <cellStyle name="Normal 2 3 3 2 3 5" xfId="29426" xr:uid="{00000000-0005-0000-0000-0000BB710000}"/>
    <cellStyle name="Normal 2 3 3 2 3 5 2" xfId="29427" xr:uid="{00000000-0005-0000-0000-0000BC710000}"/>
    <cellStyle name="Normal 2 3 3 2 3 5 3" xfId="29428" xr:uid="{00000000-0005-0000-0000-0000BD710000}"/>
    <cellStyle name="Normal 2 3 3 2 3 5 4" xfId="29429" xr:uid="{00000000-0005-0000-0000-0000BE710000}"/>
    <cellStyle name="Normal 2 3 3 2 3 5 5" xfId="29430" xr:uid="{00000000-0005-0000-0000-0000BF710000}"/>
    <cellStyle name="Normal 2 3 3 2 3 6" xfId="29431" xr:uid="{00000000-0005-0000-0000-0000C0710000}"/>
    <cellStyle name="Normal 2 3 3 2 3 7" xfId="29432" xr:uid="{00000000-0005-0000-0000-0000C1710000}"/>
    <cellStyle name="Normal 2 3 3 2 3 8" xfId="29433" xr:uid="{00000000-0005-0000-0000-0000C2710000}"/>
    <cellStyle name="Normal 2 3 3 2 3 9" xfId="29434" xr:uid="{00000000-0005-0000-0000-0000C3710000}"/>
    <cellStyle name="Normal 2 3 3 2 4" xfId="29435" xr:uid="{00000000-0005-0000-0000-0000C4710000}"/>
    <cellStyle name="Normal 2 3 3 2 4 10" xfId="29436" xr:uid="{00000000-0005-0000-0000-0000C5710000}"/>
    <cellStyle name="Normal 2 3 3 2 4 2" xfId="29437" xr:uid="{00000000-0005-0000-0000-0000C6710000}"/>
    <cellStyle name="Normal 2 3 3 2 4 2 2" xfId="29438" xr:uid="{00000000-0005-0000-0000-0000C7710000}"/>
    <cellStyle name="Normal 2 3 3 2 4 2 2 2" xfId="29439" xr:uid="{00000000-0005-0000-0000-0000C8710000}"/>
    <cellStyle name="Normal 2 3 3 2 4 2 2 3" xfId="29440" xr:uid="{00000000-0005-0000-0000-0000C9710000}"/>
    <cellStyle name="Normal 2 3 3 2 4 2 2 4" xfId="29441" xr:uid="{00000000-0005-0000-0000-0000CA710000}"/>
    <cellStyle name="Normal 2 3 3 2 4 2 2 5" xfId="29442" xr:uid="{00000000-0005-0000-0000-0000CB710000}"/>
    <cellStyle name="Normal 2 3 3 2 4 2 3" xfId="29443" xr:uid="{00000000-0005-0000-0000-0000CC710000}"/>
    <cellStyle name="Normal 2 3 3 2 4 2 4" xfId="29444" xr:uid="{00000000-0005-0000-0000-0000CD710000}"/>
    <cellStyle name="Normal 2 3 3 2 4 2 5" xfId="29445" xr:uid="{00000000-0005-0000-0000-0000CE710000}"/>
    <cellStyle name="Normal 2 3 3 2 4 2 6" xfId="29446" xr:uid="{00000000-0005-0000-0000-0000CF710000}"/>
    <cellStyle name="Normal 2 3 3 2 4 2 7" xfId="29447" xr:uid="{00000000-0005-0000-0000-0000D0710000}"/>
    <cellStyle name="Normal 2 3 3 2 4 2 8" xfId="29448" xr:uid="{00000000-0005-0000-0000-0000D1710000}"/>
    <cellStyle name="Normal 2 3 3 2 4 3" xfId="29449" xr:uid="{00000000-0005-0000-0000-0000D2710000}"/>
    <cellStyle name="Normal 2 3 3 2 4 3 2" xfId="29450" xr:uid="{00000000-0005-0000-0000-0000D3710000}"/>
    <cellStyle name="Normal 2 3 3 2 4 3 2 2" xfId="29451" xr:uid="{00000000-0005-0000-0000-0000D4710000}"/>
    <cellStyle name="Normal 2 3 3 2 4 3 2 3" xfId="29452" xr:uid="{00000000-0005-0000-0000-0000D5710000}"/>
    <cellStyle name="Normal 2 3 3 2 4 3 2 4" xfId="29453" xr:uid="{00000000-0005-0000-0000-0000D6710000}"/>
    <cellStyle name="Normal 2 3 3 2 4 3 2 5" xfId="29454" xr:uid="{00000000-0005-0000-0000-0000D7710000}"/>
    <cellStyle name="Normal 2 3 3 2 4 3 3" xfId="29455" xr:uid="{00000000-0005-0000-0000-0000D8710000}"/>
    <cellStyle name="Normal 2 3 3 2 4 3 4" xfId="29456" xr:uid="{00000000-0005-0000-0000-0000D9710000}"/>
    <cellStyle name="Normal 2 3 3 2 4 3 5" xfId="29457" xr:uid="{00000000-0005-0000-0000-0000DA710000}"/>
    <cellStyle name="Normal 2 3 3 2 4 3 6" xfId="29458" xr:uid="{00000000-0005-0000-0000-0000DB710000}"/>
    <cellStyle name="Normal 2 3 3 2 4 3 7" xfId="29459" xr:uid="{00000000-0005-0000-0000-0000DC710000}"/>
    <cellStyle name="Normal 2 3 3 2 4 3 8" xfId="29460" xr:uid="{00000000-0005-0000-0000-0000DD710000}"/>
    <cellStyle name="Normal 2 3 3 2 4 4" xfId="29461" xr:uid="{00000000-0005-0000-0000-0000DE710000}"/>
    <cellStyle name="Normal 2 3 3 2 4 4 2" xfId="29462" xr:uid="{00000000-0005-0000-0000-0000DF710000}"/>
    <cellStyle name="Normal 2 3 3 2 4 4 3" xfId="29463" xr:uid="{00000000-0005-0000-0000-0000E0710000}"/>
    <cellStyle name="Normal 2 3 3 2 4 4 4" xfId="29464" xr:uid="{00000000-0005-0000-0000-0000E1710000}"/>
    <cellStyle name="Normal 2 3 3 2 4 4 5" xfId="29465" xr:uid="{00000000-0005-0000-0000-0000E2710000}"/>
    <cellStyle name="Normal 2 3 3 2 4 5" xfId="29466" xr:uid="{00000000-0005-0000-0000-0000E3710000}"/>
    <cellStyle name="Normal 2 3 3 2 4 6" xfId="29467" xr:uid="{00000000-0005-0000-0000-0000E4710000}"/>
    <cellStyle name="Normal 2 3 3 2 4 7" xfId="29468" xr:uid="{00000000-0005-0000-0000-0000E5710000}"/>
    <cellStyle name="Normal 2 3 3 2 4 8" xfId="29469" xr:uid="{00000000-0005-0000-0000-0000E6710000}"/>
    <cellStyle name="Normal 2 3 3 2 4 9" xfId="29470" xr:uid="{00000000-0005-0000-0000-0000E7710000}"/>
    <cellStyle name="Normal 2 3 3 2 5" xfId="29471" xr:uid="{00000000-0005-0000-0000-0000E8710000}"/>
    <cellStyle name="Normal 2 3 3 2 5 2" xfId="29472" xr:uid="{00000000-0005-0000-0000-0000E9710000}"/>
    <cellStyle name="Normal 2 3 3 2 5 2 2" xfId="29473" xr:uid="{00000000-0005-0000-0000-0000EA710000}"/>
    <cellStyle name="Normal 2 3 3 2 5 2 3" xfId="29474" xr:uid="{00000000-0005-0000-0000-0000EB710000}"/>
    <cellStyle name="Normal 2 3 3 2 5 2 4" xfId="29475" xr:uid="{00000000-0005-0000-0000-0000EC710000}"/>
    <cellStyle name="Normal 2 3 3 2 5 2 5" xfId="29476" xr:uid="{00000000-0005-0000-0000-0000ED710000}"/>
    <cellStyle name="Normal 2 3 3 2 5 3" xfId="29477" xr:uid="{00000000-0005-0000-0000-0000EE710000}"/>
    <cellStyle name="Normal 2 3 3 2 5 4" xfId="29478" xr:uid="{00000000-0005-0000-0000-0000EF710000}"/>
    <cellStyle name="Normal 2 3 3 2 5 5" xfId="29479" xr:uid="{00000000-0005-0000-0000-0000F0710000}"/>
    <cellStyle name="Normal 2 3 3 2 5 6" xfId="29480" xr:uid="{00000000-0005-0000-0000-0000F1710000}"/>
    <cellStyle name="Normal 2 3 3 2 5 7" xfId="29481" xr:uid="{00000000-0005-0000-0000-0000F2710000}"/>
    <cellStyle name="Normal 2 3 3 2 5 8" xfId="29482" xr:uid="{00000000-0005-0000-0000-0000F3710000}"/>
    <cellStyle name="Normal 2 3 3 2 6" xfId="29483" xr:uid="{00000000-0005-0000-0000-0000F4710000}"/>
    <cellStyle name="Normal 2 3 3 2 6 2" xfId="29484" xr:uid="{00000000-0005-0000-0000-0000F5710000}"/>
    <cellStyle name="Normal 2 3 3 2 6 2 2" xfId="29485" xr:uid="{00000000-0005-0000-0000-0000F6710000}"/>
    <cellStyle name="Normal 2 3 3 2 6 2 3" xfId="29486" xr:uid="{00000000-0005-0000-0000-0000F7710000}"/>
    <cellStyle name="Normal 2 3 3 2 6 2 4" xfId="29487" xr:uid="{00000000-0005-0000-0000-0000F8710000}"/>
    <cellStyle name="Normal 2 3 3 2 6 2 5" xfId="29488" xr:uid="{00000000-0005-0000-0000-0000F9710000}"/>
    <cellStyle name="Normal 2 3 3 2 6 3" xfId="29489" xr:uid="{00000000-0005-0000-0000-0000FA710000}"/>
    <cellStyle name="Normal 2 3 3 2 6 4" xfId="29490" xr:uid="{00000000-0005-0000-0000-0000FB710000}"/>
    <cellStyle name="Normal 2 3 3 2 6 5" xfId="29491" xr:uid="{00000000-0005-0000-0000-0000FC710000}"/>
    <cellStyle name="Normal 2 3 3 2 6 6" xfId="29492" xr:uid="{00000000-0005-0000-0000-0000FD710000}"/>
    <cellStyle name="Normal 2 3 3 2 6 7" xfId="29493" xr:uid="{00000000-0005-0000-0000-0000FE710000}"/>
    <cellStyle name="Normal 2 3 3 2 6 8" xfId="29494" xr:uid="{00000000-0005-0000-0000-0000FF710000}"/>
    <cellStyle name="Normal 2 3 3 2 7" xfId="29495" xr:uid="{00000000-0005-0000-0000-000000720000}"/>
    <cellStyle name="Normal 2 3 3 2 7 2" xfId="29496" xr:uid="{00000000-0005-0000-0000-000001720000}"/>
    <cellStyle name="Normal 2 3 3 2 7 3" xfId="29497" xr:uid="{00000000-0005-0000-0000-000002720000}"/>
    <cellStyle name="Normal 2 3 3 2 7 4" xfId="29498" xr:uid="{00000000-0005-0000-0000-000003720000}"/>
    <cellStyle name="Normal 2 3 3 2 7 5" xfId="29499" xr:uid="{00000000-0005-0000-0000-000004720000}"/>
    <cellStyle name="Normal 2 3 3 2 8" xfId="29500" xr:uid="{00000000-0005-0000-0000-000005720000}"/>
    <cellStyle name="Normal 2 3 3 2 9" xfId="29501" xr:uid="{00000000-0005-0000-0000-000006720000}"/>
    <cellStyle name="Normal 2 3 3 20" xfId="29502" xr:uid="{00000000-0005-0000-0000-000007720000}"/>
    <cellStyle name="Normal 2 3 3 21" xfId="29503" xr:uid="{00000000-0005-0000-0000-000008720000}"/>
    <cellStyle name="Normal 2 3 3 22" xfId="29504" xr:uid="{00000000-0005-0000-0000-000009720000}"/>
    <cellStyle name="Normal 2 3 3 23" xfId="29505" xr:uid="{00000000-0005-0000-0000-00000A720000}"/>
    <cellStyle name="Normal 2 3 3 24" xfId="29506" xr:uid="{00000000-0005-0000-0000-00000B720000}"/>
    <cellStyle name="Normal 2 3 3 25" xfId="29507" xr:uid="{00000000-0005-0000-0000-00000C720000}"/>
    <cellStyle name="Normal 2 3 3 26" xfId="29508" xr:uid="{00000000-0005-0000-0000-00000D720000}"/>
    <cellStyle name="Normal 2 3 3 27" xfId="29509" xr:uid="{00000000-0005-0000-0000-00000E720000}"/>
    <cellStyle name="Normal 2 3 3 28" xfId="29510" xr:uid="{00000000-0005-0000-0000-00000F720000}"/>
    <cellStyle name="Normal 2 3 3 29" xfId="29511" xr:uid="{00000000-0005-0000-0000-000010720000}"/>
    <cellStyle name="Normal 2 3 3 3" xfId="29512" xr:uid="{00000000-0005-0000-0000-000011720000}"/>
    <cellStyle name="Normal 2 3 3 3 10" xfId="29513" xr:uid="{00000000-0005-0000-0000-000012720000}"/>
    <cellStyle name="Normal 2 3 3 3 11" xfId="29514" xr:uid="{00000000-0005-0000-0000-000013720000}"/>
    <cellStyle name="Normal 2 3 3 3 12" xfId="29515" xr:uid="{00000000-0005-0000-0000-000014720000}"/>
    <cellStyle name="Normal 2 3 3 3 13" xfId="29516" xr:uid="{00000000-0005-0000-0000-000015720000}"/>
    <cellStyle name="Normal 2 3 3 3 2" xfId="29517" xr:uid="{00000000-0005-0000-0000-000016720000}"/>
    <cellStyle name="Normal 2 3 3 3 2 10" xfId="29518" xr:uid="{00000000-0005-0000-0000-000017720000}"/>
    <cellStyle name="Normal 2 3 3 3 2 11" xfId="29519" xr:uid="{00000000-0005-0000-0000-000018720000}"/>
    <cellStyle name="Normal 2 3 3 3 2 2" xfId="29520" xr:uid="{00000000-0005-0000-0000-000019720000}"/>
    <cellStyle name="Normal 2 3 3 3 2 2 10" xfId="29521" xr:uid="{00000000-0005-0000-0000-00001A720000}"/>
    <cellStyle name="Normal 2 3 3 3 2 2 2" xfId="29522" xr:uid="{00000000-0005-0000-0000-00001B720000}"/>
    <cellStyle name="Normal 2 3 3 3 2 2 2 2" xfId="29523" xr:uid="{00000000-0005-0000-0000-00001C720000}"/>
    <cellStyle name="Normal 2 3 3 3 2 2 2 2 2" xfId="29524" xr:uid="{00000000-0005-0000-0000-00001D720000}"/>
    <cellStyle name="Normal 2 3 3 3 2 2 2 2 3" xfId="29525" xr:uid="{00000000-0005-0000-0000-00001E720000}"/>
    <cellStyle name="Normal 2 3 3 3 2 2 2 2 4" xfId="29526" xr:uid="{00000000-0005-0000-0000-00001F720000}"/>
    <cellStyle name="Normal 2 3 3 3 2 2 2 2 5" xfId="29527" xr:uid="{00000000-0005-0000-0000-000020720000}"/>
    <cellStyle name="Normal 2 3 3 3 2 2 2 3" xfId="29528" xr:uid="{00000000-0005-0000-0000-000021720000}"/>
    <cellStyle name="Normal 2 3 3 3 2 2 2 4" xfId="29529" xr:uid="{00000000-0005-0000-0000-000022720000}"/>
    <cellStyle name="Normal 2 3 3 3 2 2 2 5" xfId="29530" xr:uid="{00000000-0005-0000-0000-000023720000}"/>
    <cellStyle name="Normal 2 3 3 3 2 2 2 6" xfId="29531" xr:uid="{00000000-0005-0000-0000-000024720000}"/>
    <cellStyle name="Normal 2 3 3 3 2 2 2 7" xfId="29532" xr:uid="{00000000-0005-0000-0000-000025720000}"/>
    <cellStyle name="Normal 2 3 3 3 2 2 2 8" xfId="29533" xr:uid="{00000000-0005-0000-0000-000026720000}"/>
    <cellStyle name="Normal 2 3 3 3 2 2 3" xfId="29534" xr:uid="{00000000-0005-0000-0000-000027720000}"/>
    <cellStyle name="Normal 2 3 3 3 2 2 3 2" xfId="29535" xr:uid="{00000000-0005-0000-0000-000028720000}"/>
    <cellStyle name="Normal 2 3 3 3 2 2 3 2 2" xfId="29536" xr:uid="{00000000-0005-0000-0000-000029720000}"/>
    <cellStyle name="Normal 2 3 3 3 2 2 3 2 3" xfId="29537" xr:uid="{00000000-0005-0000-0000-00002A720000}"/>
    <cellStyle name="Normal 2 3 3 3 2 2 3 2 4" xfId="29538" xr:uid="{00000000-0005-0000-0000-00002B720000}"/>
    <cellStyle name="Normal 2 3 3 3 2 2 3 2 5" xfId="29539" xr:uid="{00000000-0005-0000-0000-00002C720000}"/>
    <cellStyle name="Normal 2 3 3 3 2 2 3 3" xfId="29540" xr:uid="{00000000-0005-0000-0000-00002D720000}"/>
    <cellStyle name="Normal 2 3 3 3 2 2 3 4" xfId="29541" xr:uid="{00000000-0005-0000-0000-00002E720000}"/>
    <cellStyle name="Normal 2 3 3 3 2 2 3 5" xfId="29542" xr:uid="{00000000-0005-0000-0000-00002F720000}"/>
    <cellStyle name="Normal 2 3 3 3 2 2 3 6" xfId="29543" xr:uid="{00000000-0005-0000-0000-000030720000}"/>
    <cellStyle name="Normal 2 3 3 3 2 2 3 7" xfId="29544" xr:uid="{00000000-0005-0000-0000-000031720000}"/>
    <cellStyle name="Normal 2 3 3 3 2 2 3 8" xfId="29545" xr:uid="{00000000-0005-0000-0000-000032720000}"/>
    <cellStyle name="Normal 2 3 3 3 2 2 4" xfId="29546" xr:uid="{00000000-0005-0000-0000-000033720000}"/>
    <cellStyle name="Normal 2 3 3 3 2 2 4 2" xfId="29547" xr:uid="{00000000-0005-0000-0000-000034720000}"/>
    <cellStyle name="Normal 2 3 3 3 2 2 4 3" xfId="29548" xr:uid="{00000000-0005-0000-0000-000035720000}"/>
    <cellStyle name="Normal 2 3 3 3 2 2 4 4" xfId="29549" xr:uid="{00000000-0005-0000-0000-000036720000}"/>
    <cellStyle name="Normal 2 3 3 3 2 2 4 5" xfId="29550" xr:uid="{00000000-0005-0000-0000-000037720000}"/>
    <cellStyle name="Normal 2 3 3 3 2 2 5" xfId="29551" xr:uid="{00000000-0005-0000-0000-000038720000}"/>
    <cellStyle name="Normal 2 3 3 3 2 2 6" xfId="29552" xr:uid="{00000000-0005-0000-0000-000039720000}"/>
    <cellStyle name="Normal 2 3 3 3 2 2 7" xfId="29553" xr:uid="{00000000-0005-0000-0000-00003A720000}"/>
    <cellStyle name="Normal 2 3 3 3 2 2 8" xfId="29554" xr:uid="{00000000-0005-0000-0000-00003B720000}"/>
    <cellStyle name="Normal 2 3 3 3 2 2 9" xfId="29555" xr:uid="{00000000-0005-0000-0000-00003C720000}"/>
    <cellStyle name="Normal 2 3 3 3 2 3" xfId="29556" xr:uid="{00000000-0005-0000-0000-00003D720000}"/>
    <cellStyle name="Normal 2 3 3 3 2 3 2" xfId="29557" xr:uid="{00000000-0005-0000-0000-00003E720000}"/>
    <cellStyle name="Normal 2 3 3 3 2 3 2 2" xfId="29558" xr:uid="{00000000-0005-0000-0000-00003F720000}"/>
    <cellStyle name="Normal 2 3 3 3 2 3 2 3" xfId="29559" xr:uid="{00000000-0005-0000-0000-000040720000}"/>
    <cellStyle name="Normal 2 3 3 3 2 3 2 4" xfId="29560" xr:uid="{00000000-0005-0000-0000-000041720000}"/>
    <cellStyle name="Normal 2 3 3 3 2 3 2 5" xfId="29561" xr:uid="{00000000-0005-0000-0000-000042720000}"/>
    <cellStyle name="Normal 2 3 3 3 2 3 3" xfId="29562" xr:uid="{00000000-0005-0000-0000-000043720000}"/>
    <cellStyle name="Normal 2 3 3 3 2 3 4" xfId="29563" xr:uid="{00000000-0005-0000-0000-000044720000}"/>
    <cellStyle name="Normal 2 3 3 3 2 3 5" xfId="29564" xr:uid="{00000000-0005-0000-0000-000045720000}"/>
    <cellStyle name="Normal 2 3 3 3 2 3 6" xfId="29565" xr:uid="{00000000-0005-0000-0000-000046720000}"/>
    <cellStyle name="Normal 2 3 3 3 2 3 7" xfId="29566" xr:uid="{00000000-0005-0000-0000-000047720000}"/>
    <cellStyle name="Normal 2 3 3 3 2 3 8" xfId="29567" xr:uid="{00000000-0005-0000-0000-000048720000}"/>
    <cellStyle name="Normal 2 3 3 3 2 4" xfId="29568" xr:uid="{00000000-0005-0000-0000-000049720000}"/>
    <cellStyle name="Normal 2 3 3 3 2 4 2" xfId="29569" xr:uid="{00000000-0005-0000-0000-00004A720000}"/>
    <cellStyle name="Normal 2 3 3 3 2 4 2 2" xfId="29570" xr:uid="{00000000-0005-0000-0000-00004B720000}"/>
    <cellStyle name="Normal 2 3 3 3 2 4 2 3" xfId="29571" xr:uid="{00000000-0005-0000-0000-00004C720000}"/>
    <cellStyle name="Normal 2 3 3 3 2 4 2 4" xfId="29572" xr:uid="{00000000-0005-0000-0000-00004D720000}"/>
    <cellStyle name="Normal 2 3 3 3 2 4 2 5" xfId="29573" xr:uid="{00000000-0005-0000-0000-00004E720000}"/>
    <cellStyle name="Normal 2 3 3 3 2 4 3" xfId="29574" xr:uid="{00000000-0005-0000-0000-00004F720000}"/>
    <cellStyle name="Normal 2 3 3 3 2 4 4" xfId="29575" xr:uid="{00000000-0005-0000-0000-000050720000}"/>
    <cellStyle name="Normal 2 3 3 3 2 4 5" xfId="29576" xr:uid="{00000000-0005-0000-0000-000051720000}"/>
    <cellStyle name="Normal 2 3 3 3 2 4 6" xfId="29577" xr:uid="{00000000-0005-0000-0000-000052720000}"/>
    <cellStyle name="Normal 2 3 3 3 2 4 7" xfId="29578" xr:uid="{00000000-0005-0000-0000-000053720000}"/>
    <cellStyle name="Normal 2 3 3 3 2 4 8" xfId="29579" xr:uid="{00000000-0005-0000-0000-000054720000}"/>
    <cellStyle name="Normal 2 3 3 3 2 5" xfId="29580" xr:uid="{00000000-0005-0000-0000-000055720000}"/>
    <cellStyle name="Normal 2 3 3 3 2 5 2" xfId="29581" xr:uid="{00000000-0005-0000-0000-000056720000}"/>
    <cellStyle name="Normal 2 3 3 3 2 5 3" xfId="29582" xr:uid="{00000000-0005-0000-0000-000057720000}"/>
    <cellStyle name="Normal 2 3 3 3 2 5 4" xfId="29583" xr:uid="{00000000-0005-0000-0000-000058720000}"/>
    <cellStyle name="Normal 2 3 3 3 2 5 5" xfId="29584" xr:uid="{00000000-0005-0000-0000-000059720000}"/>
    <cellStyle name="Normal 2 3 3 3 2 6" xfId="29585" xr:uid="{00000000-0005-0000-0000-00005A720000}"/>
    <cellStyle name="Normal 2 3 3 3 2 7" xfId="29586" xr:uid="{00000000-0005-0000-0000-00005B720000}"/>
    <cellStyle name="Normal 2 3 3 3 2 8" xfId="29587" xr:uid="{00000000-0005-0000-0000-00005C720000}"/>
    <cellStyle name="Normal 2 3 3 3 2 9" xfId="29588" xr:uid="{00000000-0005-0000-0000-00005D720000}"/>
    <cellStyle name="Normal 2 3 3 3 3" xfId="29589" xr:uid="{00000000-0005-0000-0000-00005E720000}"/>
    <cellStyle name="Normal 2 3 3 3 3 10" xfId="29590" xr:uid="{00000000-0005-0000-0000-00005F720000}"/>
    <cellStyle name="Normal 2 3 3 3 3 11" xfId="29591" xr:uid="{00000000-0005-0000-0000-000060720000}"/>
    <cellStyle name="Normal 2 3 3 3 3 2" xfId="29592" xr:uid="{00000000-0005-0000-0000-000061720000}"/>
    <cellStyle name="Normal 2 3 3 3 3 2 10" xfId="29593" xr:uid="{00000000-0005-0000-0000-000062720000}"/>
    <cellStyle name="Normal 2 3 3 3 3 2 2" xfId="29594" xr:uid="{00000000-0005-0000-0000-000063720000}"/>
    <cellStyle name="Normal 2 3 3 3 3 2 2 2" xfId="29595" xr:uid="{00000000-0005-0000-0000-000064720000}"/>
    <cellStyle name="Normal 2 3 3 3 3 2 2 2 2" xfId="29596" xr:uid="{00000000-0005-0000-0000-000065720000}"/>
    <cellStyle name="Normal 2 3 3 3 3 2 2 2 3" xfId="29597" xr:uid="{00000000-0005-0000-0000-000066720000}"/>
    <cellStyle name="Normal 2 3 3 3 3 2 2 2 4" xfId="29598" xr:uid="{00000000-0005-0000-0000-000067720000}"/>
    <cellStyle name="Normal 2 3 3 3 3 2 2 2 5" xfId="29599" xr:uid="{00000000-0005-0000-0000-000068720000}"/>
    <cellStyle name="Normal 2 3 3 3 3 2 2 3" xfId="29600" xr:uid="{00000000-0005-0000-0000-000069720000}"/>
    <cellStyle name="Normal 2 3 3 3 3 2 2 4" xfId="29601" xr:uid="{00000000-0005-0000-0000-00006A720000}"/>
    <cellStyle name="Normal 2 3 3 3 3 2 2 5" xfId="29602" xr:uid="{00000000-0005-0000-0000-00006B720000}"/>
    <cellStyle name="Normal 2 3 3 3 3 2 2 6" xfId="29603" xr:uid="{00000000-0005-0000-0000-00006C720000}"/>
    <cellStyle name="Normal 2 3 3 3 3 2 2 7" xfId="29604" xr:uid="{00000000-0005-0000-0000-00006D720000}"/>
    <cellStyle name="Normal 2 3 3 3 3 2 2 8" xfId="29605" xr:uid="{00000000-0005-0000-0000-00006E720000}"/>
    <cellStyle name="Normal 2 3 3 3 3 2 3" xfId="29606" xr:uid="{00000000-0005-0000-0000-00006F720000}"/>
    <cellStyle name="Normal 2 3 3 3 3 2 3 2" xfId="29607" xr:uid="{00000000-0005-0000-0000-000070720000}"/>
    <cellStyle name="Normal 2 3 3 3 3 2 3 2 2" xfId="29608" xr:uid="{00000000-0005-0000-0000-000071720000}"/>
    <cellStyle name="Normal 2 3 3 3 3 2 3 2 3" xfId="29609" xr:uid="{00000000-0005-0000-0000-000072720000}"/>
    <cellStyle name="Normal 2 3 3 3 3 2 3 2 4" xfId="29610" xr:uid="{00000000-0005-0000-0000-000073720000}"/>
    <cellStyle name="Normal 2 3 3 3 3 2 3 2 5" xfId="29611" xr:uid="{00000000-0005-0000-0000-000074720000}"/>
    <cellStyle name="Normal 2 3 3 3 3 2 3 3" xfId="29612" xr:uid="{00000000-0005-0000-0000-000075720000}"/>
    <cellStyle name="Normal 2 3 3 3 3 2 3 4" xfId="29613" xr:uid="{00000000-0005-0000-0000-000076720000}"/>
    <cellStyle name="Normal 2 3 3 3 3 2 3 5" xfId="29614" xr:uid="{00000000-0005-0000-0000-000077720000}"/>
    <cellStyle name="Normal 2 3 3 3 3 2 3 6" xfId="29615" xr:uid="{00000000-0005-0000-0000-000078720000}"/>
    <cellStyle name="Normal 2 3 3 3 3 2 3 7" xfId="29616" xr:uid="{00000000-0005-0000-0000-000079720000}"/>
    <cellStyle name="Normal 2 3 3 3 3 2 3 8" xfId="29617" xr:uid="{00000000-0005-0000-0000-00007A720000}"/>
    <cellStyle name="Normal 2 3 3 3 3 2 4" xfId="29618" xr:uid="{00000000-0005-0000-0000-00007B720000}"/>
    <cellStyle name="Normal 2 3 3 3 3 2 4 2" xfId="29619" xr:uid="{00000000-0005-0000-0000-00007C720000}"/>
    <cellStyle name="Normal 2 3 3 3 3 2 4 3" xfId="29620" xr:uid="{00000000-0005-0000-0000-00007D720000}"/>
    <cellStyle name="Normal 2 3 3 3 3 2 4 4" xfId="29621" xr:uid="{00000000-0005-0000-0000-00007E720000}"/>
    <cellStyle name="Normal 2 3 3 3 3 2 4 5" xfId="29622" xr:uid="{00000000-0005-0000-0000-00007F720000}"/>
    <cellStyle name="Normal 2 3 3 3 3 2 5" xfId="29623" xr:uid="{00000000-0005-0000-0000-000080720000}"/>
    <cellStyle name="Normal 2 3 3 3 3 2 6" xfId="29624" xr:uid="{00000000-0005-0000-0000-000081720000}"/>
    <cellStyle name="Normal 2 3 3 3 3 2 7" xfId="29625" xr:uid="{00000000-0005-0000-0000-000082720000}"/>
    <cellStyle name="Normal 2 3 3 3 3 2 8" xfId="29626" xr:uid="{00000000-0005-0000-0000-000083720000}"/>
    <cellStyle name="Normal 2 3 3 3 3 2 9" xfId="29627" xr:uid="{00000000-0005-0000-0000-000084720000}"/>
    <cellStyle name="Normal 2 3 3 3 3 3" xfId="29628" xr:uid="{00000000-0005-0000-0000-000085720000}"/>
    <cellStyle name="Normal 2 3 3 3 3 3 2" xfId="29629" xr:uid="{00000000-0005-0000-0000-000086720000}"/>
    <cellStyle name="Normal 2 3 3 3 3 3 2 2" xfId="29630" xr:uid="{00000000-0005-0000-0000-000087720000}"/>
    <cellStyle name="Normal 2 3 3 3 3 3 2 3" xfId="29631" xr:uid="{00000000-0005-0000-0000-000088720000}"/>
    <cellStyle name="Normal 2 3 3 3 3 3 2 4" xfId="29632" xr:uid="{00000000-0005-0000-0000-000089720000}"/>
    <cellStyle name="Normal 2 3 3 3 3 3 2 5" xfId="29633" xr:uid="{00000000-0005-0000-0000-00008A720000}"/>
    <cellStyle name="Normal 2 3 3 3 3 3 3" xfId="29634" xr:uid="{00000000-0005-0000-0000-00008B720000}"/>
    <cellStyle name="Normal 2 3 3 3 3 3 4" xfId="29635" xr:uid="{00000000-0005-0000-0000-00008C720000}"/>
    <cellStyle name="Normal 2 3 3 3 3 3 5" xfId="29636" xr:uid="{00000000-0005-0000-0000-00008D720000}"/>
    <cellStyle name="Normal 2 3 3 3 3 3 6" xfId="29637" xr:uid="{00000000-0005-0000-0000-00008E720000}"/>
    <cellStyle name="Normal 2 3 3 3 3 3 7" xfId="29638" xr:uid="{00000000-0005-0000-0000-00008F720000}"/>
    <cellStyle name="Normal 2 3 3 3 3 3 8" xfId="29639" xr:uid="{00000000-0005-0000-0000-000090720000}"/>
    <cellStyle name="Normal 2 3 3 3 3 4" xfId="29640" xr:uid="{00000000-0005-0000-0000-000091720000}"/>
    <cellStyle name="Normal 2 3 3 3 3 4 2" xfId="29641" xr:uid="{00000000-0005-0000-0000-000092720000}"/>
    <cellStyle name="Normal 2 3 3 3 3 4 2 2" xfId="29642" xr:uid="{00000000-0005-0000-0000-000093720000}"/>
    <cellStyle name="Normal 2 3 3 3 3 4 2 3" xfId="29643" xr:uid="{00000000-0005-0000-0000-000094720000}"/>
    <cellStyle name="Normal 2 3 3 3 3 4 2 4" xfId="29644" xr:uid="{00000000-0005-0000-0000-000095720000}"/>
    <cellStyle name="Normal 2 3 3 3 3 4 2 5" xfId="29645" xr:uid="{00000000-0005-0000-0000-000096720000}"/>
    <cellStyle name="Normal 2 3 3 3 3 4 3" xfId="29646" xr:uid="{00000000-0005-0000-0000-000097720000}"/>
    <cellStyle name="Normal 2 3 3 3 3 4 4" xfId="29647" xr:uid="{00000000-0005-0000-0000-000098720000}"/>
    <cellStyle name="Normal 2 3 3 3 3 4 5" xfId="29648" xr:uid="{00000000-0005-0000-0000-000099720000}"/>
    <cellStyle name="Normal 2 3 3 3 3 4 6" xfId="29649" xr:uid="{00000000-0005-0000-0000-00009A720000}"/>
    <cellStyle name="Normal 2 3 3 3 3 4 7" xfId="29650" xr:uid="{00000000-0005-0000-0000-00009B720000}"/>
    <cellStyle name="Normal 2 3 3 3 3 4 8" xfId="29651" xr:uid="{00000000-0005-0000-0000-00009C720000}"/>
    <cellStyle name="Normal 2 3 3 3 3 5" xfId="29652" xr:uid="{00000000-0005-0000-0000-00009D720000}"/>
    <cellStyle name="Normal 2 3 3 3 3 5 2" xfId="29653" xr:uid="{00000000-0005-0000-0000-00009E720000}"/>
    <cellStyle name="Normal 2 3 3 3 3 5 3" xfId="29654" xr:uid="{00000000-0005-0000-0000-00009F720000}"/>
    <cellStyle name="Normal 2 3 3 3 3 5 4" xfId="29655" xr:uid="{00000000-0005-0000-0000-0000A0720000}"/>
    <cellStyle name="Normal 2 3 3 3 3 5 5" xfId="29656" xr:uid="{00000000-0005-0000-0000-0000A1720000}"/>
    <cellStyle name="Normal 2 3 3 3 3 6" xfId="29657" xr:uid="{00000000-0005-0000-0000-0000A2720000}"/>
    <cellStyle name="Normal 2 3 3 3 3 7" xfId="29658" xr:uid="{00000000-0005-0000-0000-0000A3720000}"/>
    <cellStyle name="Normal 2 3 3 3 3 8" xfId="29659" xr:uid="{00000000-0005-0000-0000-0000A4720000}"/>
    <cellStyle name="Normal 2 3 3 3 3 9" xfId="29660" xr:uid="{00000000-0005-0000-0000-0000A5720000}"/>
    <cellStyle name="Normal 2 3 3 3 4" xfId="29661" xr:uid="{00000000-0005-0000-0000-0000A6720000}"/>
    <cellStyle name="Normal 2 3 3 3 4 10" xfId="29662" xr:uid="{00000000-0005-0000-0000-0000A7720000}"/>
    <cellStyle name="Normal 2 3 3 3 4 2" xfId="29663" xr:uid="{00000000-0005-0000-0000-0000A8720000}"/>
    <cellStyle name="Normal 2 3 3 3 4 2 2" xfId="29664" xr:uid="{00000000-0005-0000-0000-0000A9720000}"/>
    <cellStyle name="Normal 2 3 3 3 4 2 2 2" xfId="29665" xr:uid="{00000000-0005-0000-0000-0000AA720000}"/>
    <cellStyle name="Normal 2 3 3 3 4 2 2 3" xfId="29666" xr:uid="{00000000-0005-0000-0000-0000AB720000}"/>
    <cellStyle name="Normal 2 3 3 3 4 2 2 4" xfId="29667" xr:uid="{00000000-0005-0000-0000-0000AC720000}"/>
    <cellStyle name="Normal 2 3 3 3 4 2 2 5" xfId="29668" xr:uid="{00000000-0005-0000-0000-0000AD720000}"/>
    <cellStyle name="Normal 2 3 3 3 4 2 3" xfId="29669" xr:uid="{00000000-0005-0000-0000-0000AE720000}"/>
    <cellStyle name="Normal 2 3 3 3 4 2 4" xfId="29670" xr:uid="{00000000-0005-0000-0000-0000AF720000}"/>
    <cellStyle name="Normal 2 3 3 3 4 2 5" xfId="29671" xr:uid="{00000000-0005-0000-0000-0000B0720000}"/>
    <cellStyle name="Normal 2 3 3 3 4 2 6" xfId="29672" xr:uid="{00000000-0005-0000-0000-0000B1720000}"/>
    <cellStyle name="Normal 2 3 3 3 4 2 7" xfId="29673" xr:uid="{00000000-0005-0000-0000-0000B2720000}"/>
    <cellStyle name="Normal 2 3 3 3 4 2 8" xfId="29674" xr:uid="{00000000-0005-0000-0000-0000B3720000}"/>
    <cellStyle name="Normal 2 3 3 3 4 3" xfId="29675" xr:uid="{00000000-0005-0000-0000-0000B4720000}"/>
    <cellStyle name="Normal 2 3 3 3 4 3 2" xfId="29676" xr:uid="{00000000-0005-0000-0000-0000B5720000}"/>
    <cellStyle name="Normal 2 3 3 3 4 3 2 2" xfId="29677" xr:uid="{00000000-0005-0000-0000-0000B6720000}"/>
    <cellStyle name="Normal 2 3 3 3 4 3 2 3" xfId="29678" xr:uid="{00000000-0005-0000-0000-0000B7720000}"/>
    <cellStyle name="Normal 2 3 3 3 4 3 2 4" xfId="29679" xr:uid="{00000000-0005-0000-0000-0000B8720000}"/>
    <cellStyle name="Normal 2 3 3 3 4 3 2 5" xfId="29680" xr:uid="{00000000-0005-0000-0000-0000B9720000}"/>
    <cellStyle name="Normal 2 3 3 3 4 3 3" xfId="29681" xr:uid="{00000000-0005-0000-0000-0000BA720000}"/>
    <cellStyle name="Normal 2 3 3 3 4 3 4" xfId="29682" xr:uid="{00000000-0005-0000-0000-0000BB720000}"/>
    <cellStyle name="Normal 2 3 3 3 4 3 5" xfId="29683" xr:uid="{00000000-0005-0000-0000-0000BC720000}"/>
    <cellStyle name="Normal 2 3 3 3 4 3 6" xfId="29684" xr:uid="{00000000-0005-0000-0000-0000BD720000}"/>
    <cellStyle name="Normal 2 3 3 3 4 3 7" xfId="29685" xr:uid="{00000000-0005-0000-0000-0000BE720000}"/>
    <cellStyle name="Normal 2 3 3 3 4 3 8" xfId="29686" xr:uid="{00000000-0005-0000-0000-0000BF720000}"/>
    <cellStyle name="Normal 2 3 3 3 4 4" xfId="29687" xr:uid="{00000000-0005-0000-0000-0000C0720000}"/>
    <cellStyle name="Normal 2 3 3 3 4 4 2" xfId="29688" xr:uid="{00000000-0005-0000-0000-0000C1720000}"/>
    <cellStyle name="Normal 2 3 3 3 4 4 3" xfId="29689" xr:uid="{00000000-0005-0000-0000-0000C2720000}"/>
    <cellStyle name="Normal 2 3 3 3 4 4 4" xfId="29690" xr:uid="{00000000-0005-0000-0000-0000C3720000}"/>
    <cellStyle name="Normal 2 3 3 3 4 4 5" xfId="29691" xr:uid="{00000000-0005-0000-0000-0000C4720000}"/>
    <cellStyle name="Normal 2 3 3 3 4 5" xfId="29692" xr:uid="{00000000-0005-0000-0000-0000C5720000}"/>
    <cellStyle name="Normal 2 3 3 3 4 6" xfId="29693" xr:uid="{00000000-0005-0000-0000-0000C6720000}"/>
    <cellStyle name="Normal 2 3 3 3 4 7" xfId="29694" xr:uid="{00000000-0005-0000-0000-0000C7720000}"/>
    <cellStyle name="Normal 2 3 3 3 4 8" xfId="29695" xr:uid="{00000000-0005-0000-0000-0000C8720000}"/>
    <cellStyle name="Normal 2 3 3 3 4 9" xfId="29696" xr:uid="{00000000-0005-0000-0000-0000C9720000}"/>
    <cellStyle name="Normal 2 3 3 3 5" xfId="29697" xr:uid="{00000000-0005-0000-0000-0000CA720000}"/>
    <cellStyle name="Normal 2 3 3 3 5 2" xfId="29698" xr:uid="{00000000-0005-0000-0000-0000CB720000}"/>
    <cellStyle name="Normal 2 3 3 3 5 2 2" xfId="29699" xr:uid="{00000000-0005-0000-0000-0000CC720000}"/>
    <cellStyle name="Normal 2 3 3 3 5 2 3" xfId="29700" xr:uid="{00000000-0005-0000-0000-0000CD720000}"/>
    <cellStyle name="Normal 2 3 3 3 5 2 4" xfId="29701" xr:uid="{00000000-0005-0000-0000-0000CE720000}"/>
    <cellStyle name="Normal 2 3 3 3 5 2 5" xfId="29702" xr:uid="{00000000-0005-0000-0000-0000CF720000}"/>
    <cellStyle name="Normal 2 3 3 3 5 3" xfId="29703" xr:uid="{00000000-0005-0000-0000-0000D0720000}"/>
    <cellStyle name="Normal 2 3 3 3 5 4" xfId="29704" xr:uid="{00000000-0005-0000-0000-0000D1720000}"/>
    <cellStyle name="Normal 2 3 3 3 5 5" xfId="29705" xr:uid="{00000000-0005-0000-0000-0000D2720000}"/>
    <cellStyle name="Normal 2 3 3 3 5 6" xfId="29706" xr:uid="{00000000-0005-0000-0000-0000D3720000}"/>
    <cellStyle name="Normal 2 3 3 3 5 7" xfId="29707" xr:uid="{00000000-0005-0000-0000-0000D4720000}"/>
    <cellStyle name="Normal 2 3 3 3 5 8" xfId="29708" xr:uid="{00000000-0005-0000-0000-0000D5720000}"/>
    <cellStyle name="Normal 2 3 3 3 6" xfId="29709" xr:uid="{00000000-0005-0000-0000-0000D6720000}"/>
    <cellStyle name="Normal 2 3 3 3 6 2" xfId="29710" xr:uid="{00000000-0005-0000-0000-0000D7720000}"/>
    <cellStyle name="Normal 2 3 3 3 6 2 2" xfId="29711" xr:uid="{00000000-0005-0000-0000-0000D8720000}"/>
    <cellStyle name="Normal 2 3 3 3 6 2 3" xfId="29712" xr:uid="{00000000-0005-0000-0000-0000D9720000}"/>
    <cellStyle name="Normal 2 3 3 3 6 2 4" xfId="29713" xr:uid="{00000000-0005-0000-0000-0000DA720000}"/>
    <cellStyle name="Normal 2 3 3 3 6 2 5" xfId="29714" xr:uid="{00000000-0005-0000-0000-0000DB720000}"/>
    <cellStyle name="Normal 2 3 3 3 6 3" xfId="29715" xr:uid="{00000000-0005-0000-0000-0000DC720000}"/>
    <cellStyle name="Normal 2 3 3 3 6 4" xfId="29716" xr:uid="{00000000-0005-0000-0000-0000DD720000}"/>
    <cellStyle name="Normal 2 3 3 3 6 5" xfId="29717" xr:uid="{00000000-0005-0000-0000-0000DE720000}"/>
    <cellStyle name="Normal 2 3 3 3 6 6" xfId="29718" xr:uid="{00000000-0005-0000-0000-0000DF720000}"/>
    <cellStyle name="Normal 2 3 3 3 6 7" xfId="29719" xr:uid="{00000000-0005-0000-0000-0000E0720000}"/>
    <cellStyle name="Normal 2 3 3 3 6 8" xfId="29720" xr:uid="{00000000-0005-0000-0000-0000E1720000}"/>
    <cellStyle name="Normal 2 3 3 3 7" xfId="29721" xr:uid="{00000000-0005-0000-0000-0000E2720000}"/>
    <cellStyle name="Normal 2 3 3 3 7 2" xfId="29722" xr:uid="{00000000-0005-0000-0000-0000E3720000}"/>
    <cellStyle name="Normal 2 3 3 3 7 3" xfId="29723" xr:uid="{00000000-0005-0000-0000-0000E4720000}"/>
    <cellStyle name="Normal 2 3 3 3 7 4" xfId="29724" xr:uid="{00000000-0005-0000-0000-0000E5720000}"/>
    <cellStyle name="Normal 2 3 3 3 7 5" xfId="29725" xr:uid="{00000000-0005-0000-0000-0000E6720000}"/>
    <cellStyle name="Normal 2 3 3 3 8" xfId="29726" xr:uid="{00000000-0005-0000-0000-0000E7720000}"/>
    <cellStyle name="Normal 2 3 3 3 9" xfId="29727" xr:uid="{00000000-0005-0000-0000-0000E8720000}"/>
    <cellStyle name="Normal 2 3 3 30" xfId="29728" xr:uid="{00000000-0005-0000-0000-0000E9720000}"/>
    <cellStyle name="Normal 2 3 3 31" xfId="29729" xr:uid="{00000000-0005-0000-0000-0000EA720000}"/>
    <cellStyle name="Normal 2 3 3 32" xfId="29730" xr:uid="{00000000-0005-0000-0000-0000EB720000}"/>
    <cellStyle name="Normal 2 3 3 33" xfId="29731" xr:uid="{00000000-0005-0000-0000-0000EC720000}"/>
    <cellStyle name="Normal 2 3 3 34" xfId="29732" xr:uid="{00000000-0005-0000-0000-0000ED720000}"/>
    <cellStyle name="Normal 2 3 3 35" xfId="29733" xr:uid="{00000000-0005-0000-0000-0000EE720000}"/>
    <cellStyle name="Normal 2 3 3 36" xfId="29734" xr:uid="{00000000-0005-0000-0000-0000EF720000}"/>
    <cellStyle name="Normal 2 3 3 37" xfId="29735" xr:uid="{00000000-0005-0000-0000-0000F0720000}"/>
    <cellStyle name="Normal 2 3 3 38" xfId="29736" xr:uid="{00000000-0005-0000-0000-0000F1720000}"/>
    <cellStyle name="Normal 2 3 3 4" xfId="29737" xr:uid="{00000000-0005-0000-0000-0000F2720000}"/>
    <cellStyle name="Normal 2 3 3 4 10" xfId="29738" xr:uid="{00000000-0005-0000-0000-0000F3720000}"/>
    <cellStyle name="Normal 2 3 3 4 11" xfId="29739" xr:uid="{00000000-0005-0000-0000-0000F4720000}"/>
    <cellStyle name="Normal 2 3 3 4 12" xfId="29740" xr:uid="{00000000-0005-0000-0000-0000F5720000}"/>
    <cellStyle name="Normal 2 3 3 4 13" xfId="29741" xr:uid="{00000000-0005-0000-0000-0000F6720000}"/>
    <cellStyle name="Normal 2 3 3 4 2" xfId="29742" xr:uid="{00000000-0005-0000-0000-0000F7720000}"/>
    <cellStyle name="Normal 2 3 3 4 2 10" xfId="29743" xr:uid="{00000000-0005-0000-0000-0000F8720000}"/>
    <cellStyle name="Normal 2 3 3 4 2 11" xfId="29744" xr:uid="{00000000-0005-0000-0000-0000F9720000}"/>
    <cellStyle name="Normal 2 3 3 4 2 2" xfId="29745" xr:uid="{00000000-0005-0000-0000-0000FA720000}"/>
    <cellStyle name="Normal 2 3 3 4 2 2 10" xfId="29746" xr:uid="{00000000-0005-0000-0000-0000FB720000}"/>
    <cellStyle name="Normal 2 3 3 4 2 2 2" xfId="29747" xr:uid="{00000000-0005-0000-0000-0000FC720000}"/>
    <cellStyle name="Normal 2 3 3 4 2 2 2 2" xfId="29748" xr:uid="{00000000-0005-0000-0000-0000FD720000}"/>
    <cellStyle name="Normal 2 3 3 4 2 2 2 2 2" xfId="29749" xr:uid="{00000000-0005-0000-0000-0000FE720000}"/>
    <cellStyle name="Normal 2 3 3 4 2 2 2 2 3" xfId="29750" xr:uid="{00000000-0005-0000-0000-0000FF720000}"/>
    <cellStyle name="Normal 2 3 3 4 2 2 2 2 4" xfId="29751" xr:uid="{00000000-0005-0000-0000-000000730000}"/>
    <cellStyle name="Normal 2 3 3 4 2 2 2 2 5" xfId="29752" xr:uid="{00000000-0005-0000-0000-000001730000}"/>
    <cellStyle name="Normal 2 3 3 4 2 2 2 3" xfId="29753" xr:uid="{00000000-0005-0000-0000-000002730000}"/>
    <cellStyle name="Normal 2 3 3 4 2 2 2 4" xfId="29754" xr:uid="{00000000-0005-0000-0000-000003730000}"/>
    <cellStyle name="Normal 2 3 3 4 2 2 2 5" xfId="29755" xr:uid="{00000000-0005-0000-0000-000004730000}"/>
    <cellStyle name="Normal 2 3 3 4 2 2 2 6" xfId="29756" xr:uid="{00000000-0005-0000-0000-000005730000}"/>
    <cellStyle name="Normal 2 3 3 4 2 2 2 7" xfId="29757" xr:uid="{00000000-0005-0000-0000-000006730000}"/>
    <cellStyle name="Normal 2 3 3 4 2 2 2 8" xfId="29758" xr:uid="{00000000-0005-0000-0000-000007730000}"/>
    <cellStyle name="Normal 2 3 3 4 2 2 3" xfId="29759" xr:uid="{00000000-0005-0000-0000-000008730000}"/>
    <cellStyle name="Normal 2 3 3 4 2 2 3 2" xfId="29760" xr:uid="{00000000-0005-0000-0000-000009730000}"/>
    <cellStyle name="Normal 2 3 3 4 2 2 3 2 2" xfId="29761" xr:uid="{00000000-0005-0000-0000-00000A730000}"/>
    <cellStyle name="Normal 2 3 3 4 2 2 3 2 3" xfId="29762" xr:uid="{00000000-0005-0000-0000-00000B730000}"/>
    <cellStyle name="Normal 2 3 3 4 2 2 3 2 4" xfId="29763" xr:uid="{00000000-0005-0000-0000-00000C730000}"/>
    <cellStyle name="Normal 2 3 3 4 2 2 3 2 5" xfId="29764" xr:uid="{00000000-0005-0000-0000-00000D730000}"/>
    <cellStyle name="Normal 2 3 3 4 2 2 3 3" xfId="29765" xr:uid="{00000000-0005-0000-0000-00000E730000}"/>
    <cellStyle name="Normal 2 3 3 4 2 2 3 4" xfId="29766" xr:uid="{00000000-0005-0000-0000-00000F730000}"/>
    <cellStyle name="Normal 2 3 3 4 2 2 3 5" xfId="29767" xr:uid="{00000000-0005-0000-0000-000010730000}"/>
    <cellStyle name="Normal 2 3 3 4 2 2 3 6" xfId="29768" xr:uid="{00000000-0005-0000-0000-000011730000}"/>
    <cellStyle name="Normal 2 3 3 4 2 2 3 7" xfId="29769" xr:uid="{00000000-0005-0000-0000-000012730000}"/>
    <cellStyle name="Normal 2 3 3 4 2 2 3 8" xfId="29770" xr:uid="{00000000-0005-0000-0000-000013730000}"/>
    <cellStyle name="Normal 2 3 3 4 2 2 4" xfId="29771" xr:uid="{00000000-0005-0000-0000-000014730000}"/>
    <cellStyle name="Normal 2 3 3 4 2 2 4 2" xfId="29772" xr:uid="{00000000-0005-0000-0000-000015730000}"/>
    <cellStyle name="Normal 2 3 3 4 2 2 4 3" xfId="29773" xr:uid="{00000000-0005-0000-0000-000016730000}"/>
    <cellStyle name="Normal 2 3 3 4 2 2 4 4" xfId="29774" xr:uid="{00000000-0005-0000-0000-000017730000}"/>
    <cellStyle name="Normal 2 3 3 4 2 2 4 5" xfId="29775" xr:uid="{00000000-0005-0000-0000-000018730000}"/>
    <cellStyle name="Normal 2 3 3 4 2 2 5" xfId="29776" xr:uid="{00000000-0005-0000-0000-000019730000}"/>
    <cellStyle name="Normal 2 3 3 4 2 2 6" xfId="29777" xr:uid="{00000000-0005-0000-0000-00001A730000}"/>
    <cellStyle name="Normal 2 3 3 4 2 2 7" xfId="29778" xr:uid="{00000000-0005-0000-0000-00001B730000}"/>
    <cellStyle name="Normal 2 3 3 4 2 2 8" xfId="29779" xr:uid="{00000000-0005-0000-0000-00001C730000}"/>
    <cellStyle name="Normal 2 3 3 4 2 2 9" xfId="29780" xr:uid="{00000000-0005-0000-0000-00001D730000}"/>
    <cellStyle name="Normal 2 3 3 4 2 3" xfId="29781" xr:uid="{00000000-0005-0000-0000-00001E730000}"/>
    <cellStyle name="Normal 2 3 3 4 2 3 2" xfId="29782" xr:uid="{00000000-0005-0000-0000-00001F730000}"/>
    <cellStyle name="Normal 2 3 3 4 2 3 2 2" xfId="29783" xr:uid="{00000000-0005-0000-0000-000020730000}"/>
    <cellStyle name="Normal 2 3 3 4 2 3 2 3" xfId="29784" xr:uid="{00000000-0005-0000-0000-000021730000}"/>
    <cellStyle name="Normal 2 3 3 4 2 3 2 4" xfId="29785" xr:uid="{00000000-0005-0000-0000-000022730000}"/>
    <cellStyle name="Normal 2 3 3 4 2 3 2 5" xfId="29786" xr:uid="{00000000-0005-0000-0000-000023730000}"/>
    <cellStyle name="Normal 2 3 3 4 2 3 3" xfId="29787" xr:uid="{00000000-0005-0000-0000-000024730000}"/>
    <cellStyle name="Normal 2 3 3 4 2 3 4" xfId="29788" xr:uid="{00000000-0005-0000-0000-000025730000}"/>
    <cellStyle name="Normal 2 3 3 4 2 3 5" xfId="29789" xr:uid="{00000000-0005-0000-0000-000026730000}"/>
    <cellStyle name="Normal 2 3 3 4 2 3 6" xfId="29790" xr:uid="{00000000-0005-0000-0000-000027730000}"/>
    <cellStyle name="Normal 2 3 3 4 2 3 7" xfId="29791" xr:uid="{00000000-0005-0000-0000-000028730000}"/>
    <cellStyle name="Normal 2 3 3 4 2 3 8" xfId="29792" xr:uid="{00000000-0005-0000-0000-000029730000}"/>
    <cellStyle name="Normal 2 3 3 4 2 4" xfId="29793" xr:uid="{00000000-0005-0000-0000-00002A730000}"/>
    <cellStyle name="Normal 2 3 3 4 2 4 2" xfId="29794" xr:uid="{00000000-0005-0000-0000-00002B730000}"/>
    <cellStyle name="Normal 2 3 3 4 2 4 2 2" xfId="29795" xr:uid="{00000000-0005-0000-0000-00002C730000}"/>
    <cellStyle name="Normal 2 3 3 4 2 4 2 3" xfId="29796" xr:uid="{00000000-0005-0000-0000-00002D730000}"/>
    <cellStyle name="Normal 2 3 3 4 2 4 2 4" xfId="29797" xr:uid="{00000000-0005-0000-0000-00002E730000}"/>
    <cellStyle name="Normal 2 3 3 4 2 4 2 5" xfId="29798" xr:uid="{00000000-0005-0000-0000-00002F730000}"/>
    <cellStyle name="Normal 2 3 3 4 2 4 3" xfId="29799" xr:uid="{00000000-0005-0000-0000-000030730000}"/>
    <cellStyle name="Normal 2 3 3 4 2 4 4" xfId="29800" xr:uid="{00000000-0005-0000-0000-000031730000}"/>
    <cellStyle name="Normal 2 3 3 4 2 4 5" xfId="29801" xr:uid="{00000000-0005-0000-0000-000032730000}"/>
    <cellStyle name="Normal 2 3 3 4 2 4 6" xfId="29802" xr:uid="{00000000-0005-0000-0000-000033730000}"/>
    <cellStyle name="Normal 2 3 3 4 2 4 7" xfId="29803" xr:uid="{00000000-0005-0000-0000-000034730000}"/>
    <cellStyle name="Normal 2 3 3 4 2 4 8" xfId="29804" xr:uid="{00000000-0005-0000-0000-000035730000}"/>
    <cellStyle name="Normal 2 3 3 4 2 5" xfId="29805" xr:uid="{00000000-0005-0000-0000-000036730000}"/>
    <cellStyle name="Normal 2 3 3 4 2 5 2" xfId="29806" xr:uid="{00000000-0005-0000-0000-000037730000}"/>
    <cellStyle name="Normal 2 3 3 4 2 5 3" xfId="29807" xr:uid="{00000000-0005-0000-0000-000038730000}"/>
    <cellStyle name="Normal 2 3 3 4 2 5 4" xfId="29808" xr:uid="{00000000-0005-0000-0000-000039730000}"/>
    <cellStyle name="Normal 2 3 3 4 2 5 5" xfId="29809" xr:uid="{00000000-0005-0000-0000-00003A730000}"/>
    <cellStyle name="Normal 2 3 3 4 2 6" xfId="29810" xr:uid="{00000000-0005-0000-0000-00003B730000}"/>
    <cellStyle name="Normal 2 3 3 4 2 7" xfId="29811" xr:uid="{00000000-0005-0000-0000-00003C730000}"/>
    <cellStyle name="Normal 2 3 3 4 2 8" xfId="29812" xr:uid="{00000000-0005-0000-0000-00003D730000}"/>
    <cellStyle name="Normal 2 3 3 4 2 9" xfId="29813" xr:uid="{00000000-0005-0000-0000-00003E730000}"/>
    <cellStyle name="Normal 2 3 3 4 3" xfId="29814" xr:uid="{00000000-0005-0000-0000-00003F730000}"/>
    <cellStyle name="Normal 2 3 3 4 3 10" xfId="29815" xr:uid="{00000000-0005-0000-0000-000040730000}"/>
    <cellStyle name="Normal 2 3 3 4 3 11" xfId="29816" xr:uid="{00000000-0005-0000-0000-000041730000}"/>
    <cellStyle name="Normal 2 3 3 4 3 2" xfId="29817" xr:uid="{00000000-0005-0000-0000-000042730000}"/>
    <cellStyle name="Normal 2 3 3 4 3 2 10" xfId="29818" xr:uid="{00000000-0005-0000-0000-000043730000}"/>
    <cellStyle name="Normal 2 3 3 4 3 2 2" xfId="29819" xr:uid="{00000000-0005-0000-0000-000044730000}"/>
    <cellStyle name="Normal 2 3 3 4 3 2 2 2" xfId="29820" xr:uid="{00000000-0005-0000-0000-000045730000}"/>
    <cellStyle name="Normal 2 3 3 4 3 2 2 2 2" xfId="29821" xr:uid="{00000000-0005-0000-0000-000046730000}"/>
    <cellStyle name="Normal 2 3 3 4 3 2 2 2 3" xfId="29822" xr:uid="{00000000-0005-0000-0000-000047730000}"/>
    <cellStyle name="Normal 2 3 3 4 3 2 2 2 4" xfId="29823" xr:uid="{00000000-0005-0000-0000-000048730000}"/>
    <cellStyle name="Normal 2 3 3 4 3 2 2 2 5" xfId="29824" xr:uid="{00000000-0005-0000-0000-000049730000}"/>
    <cellStyle name="Normal 2 3 3 4 3 2 2 3" xfId="29825" xr:uid="{00000000-0005-0000-0000-00004A730000}"/>
    <cellStyle name="Normal 2 3 3 4 3 2 2 4" xfId="29826" xr:uid="{00000000-0005-0000-0000-00004B730000}"/>
    <cellStyle name="Normal 2 3 3 4 3 2 2 5" xfId="29827" xr:uid="{00000000-0005-0000-0000-00004C730000}"/>
    <cellStyle name="Normal 2 3 3 4 3 2 2 6" xfId="29828" xr:uid="{00000000-0005-0000-0000-00004D730000}"/>
    <cellStyle name="Normal 2 3 3 4 3 2 2 7" xfId="29829" xr:uid="{00000000-0005-0000-0000-00004E730000}"/>
    <cellStyle name="Normal 2 3 3 4 3 2 2 8" xfId="29830" xr:uid="{00000000-0005-0000-0000-00004F730000}"/>
    <cellStyle name="Normal 2 3 3 4 3 2 3" xfId="29831" xr:uid="{00000000-0005-0000-0000-000050730000}"/>
    <cellStyle name="Normal 2 3 3 4 3 2 3 2" xfId="29832" xr:uid="{00000000-0005-0000-0000-000051730000}"/>
    <cellStyle name="Normal 2 3 3 4 3 2 3 2 2" xfId="29833" xr:uid="{00000000-0005-0000-0000-000052730000}"/>
    <cellStyle name="Normal 2 3 3 4 3 2 3 2 3" xfId="29834" xr:uid="{00000000-0005-0000-0000-000053730000}"/>
    <cellStyle name="Normal 2 3 3 4 3 2 3 2 4" xfId="29835" xr:uid="{00000000-0005-0000-0000-000054730000}"/>
    <cellStyle name="Normal 2 3 3 4 3 2 3 2 5" xfId="29836" xr:uid="{00000000-0005-0000-0000-000055730000}"/>
    <cellStyle name="Normal 2 3 3 4 3 2 3 3" xfId="29837" xr:uid="{00000000-0005-0000-0000-000056730000}"/>
    <cellStyle name="Normal 2 3 3 4 3 2 3 4" xfId="29838" xr:uid="{00000000-0005-0000-0000-000057730000}"/>
    <cellStyle name="Normal 2 3 3 4 3 2 3 5" xfId="29839" xr:uid="{00000000-0005-0000-0000-000058730000}"/>
    <cellStyle name="Normal 2 3 3 4 3 2 3 6" xfId="29840" xr:uid="{00000000-0005-0000-0000-000059730000}"/>
    <cellStyle name="Normal 2 3 3 4 3 2 3 7" xfId="29841" xr:uid="{00000000-0005-0000-0000-00005A730000}"/>
    <cellStyle name="Normal 2 3 3 4 3 2 3 8" xfId="29842" xr:uid="{00000000-0005-0000-0000-00005B730000}"/>
    <cellStyle name="Normal 2 3 3 4 3 2 4" xfId="29843" xr:uid="{00000000-0005-0000-0000-00005C730000}"/>
    <cellStyle name="Normal 2 3 3 4 3 2 4 2" xfId="29844" xr:uid="{00000000-0005-0000-0000-00005D730000}"/>
    <cellStyle name="Normal 2 3 3 4 3 2 4 3" xfId="29845" xr:uid="{00000000-0005-0000-0000-00005E730000}"/>
    <cellStyle name="Normal 2 3 3 4 3 2 4 4" xfId="29846" xr:uid="{00000000-0005-0000-0000-00005F730000}"/>
    <cellStyle name="Normal 2 3 3 4 3 2 4 5" xfId="29847" xr:uid="{00000000-0005-0000-0000-000060730000}"/>
    <cellStyle name="Normal 2 3 3 4 3 2 5" xfId="29848" xr:uid="{00000000-0005-0000-0000-000061730000}"/>
    <cellStyle name="Normal 2 3 3 4 3 2 6" xfId="29849" xr:uid="{00000000-0005-0000-0000-000062730000}"/>
    <cellStyle name="Normal 2 3 3 4 3 2 7" xfId="29850" xr:uid="{00000000-0005-0000-0000-000063730000}"/>
    <cellStyle name="Normal 2 3 3 4 3 2 8" xfId="29851" xr:uid="{00000000-0005-0000-0000-000064730000}"/>
    <cellStyle name="Normal 2 3 3 4 3 2 9" xfId="29852" xr:uid="{00000000-0005-0000-0000-000065730000}"/>
    <cellStyle name="Normal 2 3 3 4 3 3" xfId="29853" xr:uid="{00000000-0005-0000-0000-000066730000}"/>
    <cellStyle name="Normal 2 3 3 4 3 3 2" xfId="29854" xr:uid="{00000000-0005-0000-0000-000067730000}"/>
    <cellStyle name="Normal 2 3 3 4 3 3 2 2" xfId="29855" xr:uid="{00000000-0005-0000-0000-000068730000}"/>
    <cellStyle name="Normal 2 3 3 4 3 3 2 3" xfId="29856" xr:uid="{00000000-0005-0000-0000-000069730000}"/>
    <cellStyle name="Normal 2 3 3 4 3 3 2 4" xfId="29857" xr:uid="{00000000-0005-0000-0000-00006A730000}"/>
    <cellStyle name="Normal 2 3 3 4 3 3 2 5" xfId="29858" xr:uid="{00000000-0005-0000-0000-00006B730000}"/>
    <cellStyle name="Normal 2 3 3 4 3 3 3" xfId="29859" xr:uid="{00000000-0005-0000-0000-00006C730000}"/>
    <cellStyle name="Normal 2 3 3 4 3 3 4" xfId="29860" xr:uid="{00000000-0005-0000-0000-00006D730000}"/>
    <cellStyle name="Normal 2 3 3 4 3 3 5" xfId="29861" xr:uid="{00000000-0005-0000-0000-00006E730000}"/>
    <cellStyle name="Normal 2 3 3 4 3 3 6" xfId="29862" xr:uid="{00000000-0005-0000-0000-00006F730000}"/>
    <cellStyle name="Normal 2 3 3 4 3 3 7" xfId="29863" xr:uid="{00000000-0005-0000-0000-000070730000}"/>
    <cellStyle name="Normal 2 3 3 4 3 3 8" xfId="29864" xr:uid="{00000000-0005-0000-0000-000071730000}"/>
    <cellStyle name="Normal 2 3 3 4 3 4" xfId="29865" xr:uid="{00000000-0005-0000-0000-000072730000}"/>
    <cellStyle name="Normal 2 3 3 4 3 4 2" xfId="29866" xr:uid="{00000000-0005-0000-0000-000073730000}"/>
    <cellStyle name="Normal 2 3 3 4 3 4 2 2" xfId="29867" xr:uid="{00000000-0005-0000-0000-000074730000}"/>
    <cellStyle name="Normal 2 3 3 4 3 4 2 3" xfId="29868" xr:uid="{00000000-0005-0000-0000-000075730000}"/>
    <cellStyle name="Normal 2 3 3 4 3 4 2 4" xfId="29869" xr:uid="{00000000-0005-0000-0000-000076730000}"/>
    <cellStyle name="Normal 2 3 3 4 3 4 2 5" xfId="29870" xr:uid="{00000000-0005-0000-0000-000077730000}"/>
    <cellStyle name="Normal 2 3 3 4 3 4 3" xfId="29871" xr:uid="{00000000-0005-0000-0000-000078730000}"/>
    <cellStyle name="Normal 2 3 3 4 3 4 4" xfId="29872" xr:uid="{00000000-0005-0000-0000-000079730000}"/>
    <cellStyle name="Normal 2 3 3 4 3 4 5" xfId="29873" xr:uid="{00000000-0005-0000-0000-00007A730000}"/>
    <cellStyle name="Normal 2 3 3 4 3 4 6" xfId="29874" xr:uid="{00000000-0005-0000-0000-00007B730000}"/>
    <cellStyle name="Normal 2 3 3 4 3 4 7" xfId="29875" xr:uid="{00000000-0005-0000-0000-00007C730000}"/>
    <cellStyle name="Normal 2 3 3 4 3 4 8" xfId="29876" xr:uid="{00000000-0005-0000-0000-00007D730000}"/>
    <cellStyle name="Normal 2 3 3 4 3 5" xfId="29877" xr:uid="{00000000-0005-0000-0000-00007E730000}"/>
    <cellStyle name="Normal 2 3 3 4 3 5 2" xfId="29878" xr:uid="{00000000-0005-0000-0000-00007F730000}"/>
    <cellStyle name="Normal 2 3 3 4 3 5 3" xfId="29879" xr:uid="{00000000-0005-0000-0000-000080730000}"/>
    <cellStyle name="Normal 2 3 3 4 3 5 4" xfId="29880" xr:uid="{00000000-0005-0000-0000-000081730000}"/>
    <cellStyle name="Normal 2 3 3 4 3 5 5" xfId="29881" xr:uid="{00000000-0005-0000-0000-000082730000}"/>
    <cellStyle name="Normal 2 3 3 4 3 6" xfId="29882" xr:uid="{00000000-0005-0000-0000-000083730000}"/>
    <cellStyle name="Normal 2 3 3 4 3 7" xfId="29883" xr:uid="{00000000-0005-0000-0000-000084730000}"/>
    <cellStyle name="Normal 2 3 3 4 3 8" xfId="29884" xr:uid="{00000000-0005-0000-0000-000085730000}"/>
    <cellStyle name="Normal 2 3 3 4 3 9" xfId="29885" xr:uid="{00000000-0005-0000-0000-000086730000}"/>
    <cellStyle name="Normal 2 3 3 4 4" xfId="29886" xr:uid="{00000000-0005-0000-0000-000087730000}"/>
    <cellStyle name="Normal 2 3 3 4 4 10" xfId="29887" xr:uid="{00000000-0005-0000-0000-000088730000}"/>
    <cellStyle name="Normal 2 3 3 4 4 2" xfId="29888" xr:uid="{00000000-0005-0000-0000-000089730000}"/>
    <cellStyle name="Normal 2 3 3 4 4 2 2" xfId="29889" xr:uid="{00000000-0005-0000-0000-00008A730000}"/>
    <cellStyle name="Normal 2 3 3 4 4 2 2 2" xfId="29890" xr:uid="{00000000-0005-0000-0000-00008B730000}"/>
    <cellStyle name="Normal 2 3 3 4 4 2 2 3" xfId="29891" xr:uid="{00000000-0005-0000-0000-00008C730000}"/>
    <cellStyle name="Normal 2 3 3 4 4 2 2 4" xfId="29892" xr:uid="{00000000-0005-0000-0000-00008D730000}"/>
    <cellStyle name="Normal 2 3 3 4 4 2 2 5" xfId="29893" xr:uid="{00000000-0005-0000-0000-00008E730000}"/>
    <cellStyle name="Normal 2 3 3 4 4 2 3" xfId="29894" xr:uid="{00000000-0005-0000-0000-00008F730000}"/>
    <cellStyle name="Normal 2 3 3 4 4 2 4" xfId="29895" xr:uid="{00000000-0005-0000-0000-000090730000}"/>
    <cellStyle name="Normal 2 3 3 4 4 2 5" xfId="29896" xr:uid="{00000000-0005-0000-0000-000091730000}"/>
    <cellStyle name="Normal 2 3 3 4 4 2 6" xfId="29897" xr:uid="{00000000-0005-0000-0000-000092730000}"/>
    <cellStyle name="Normal 2 3 3 4 4 2 7" xfId="29898" xr:uid="{00000000-0005-0000-0000-000093730000}"/>
    <cellStyle name="Normal 2 3 3 4 4 2 8" xfId="29899" xr:uid="{00000000-0005-0000-0000-000094730000}"/>
    <cellStyle name="Normal 2 3 3 4 4 3" xfId="29900" xr:uid="{00000000-0005-0000-0000-000095730000}"/>
    <cellStyle name="Normal 2 3 3 4 4 3 2" xfId="29901" xr:uid="{00000000-0005-0000-0000-000096730000}"/>
    <cellStyle name="Normal 2 3 3 4 4 3 2 2" xfId="29902" xr:uid="{00000000-0005-0000-0000-000097730000}"/>
    <cellStyle name="Normal 2 3 3 4 4 3 2 3" xfId="29903" xr:uid="{00000000-0005-0000-0000-000098730000}"/>
    <cellStyle name="Normal 2 3 3 4 4 3 2 4" xfId="29904" xr:uid="{00000000-0005-0000-0000-000099730000}"/>
    <cellStyle name="Normal 2 3 3 4 4 3 2 5" xfId="29905" xr:uid="{00000000-0005-0000-0000-00009A730000}"/>
    <cellStyle name="Normal 2 3 3 4 4 3 3" xfId="29906" xr:uid="{00000000-0005-0000-0000-00009B730000}"/>
    <cellStyle name="Normal 2 3 3 4 4 3 4" xfId="29907" xr:uid="{00000000-0005-0000-0000-00009C730000}"/>
    <cellStyle name="Normal 2 3 3 4 4 3 5" xfId="29908" xr:uid="{00000000-0005-0000-0000-00009D730000}"/>
    <cellStyle name="Normal 2 3 3 4 4 3 6" xfId="29909" xr:uid="{00000000-0005-0000-0000-00009E730000}"/>
    <cellStyle name="Normal 2 3 3 4 4 3 7" xfId="29910" xr:uid="{00000000-0005-0000-0000-00009F730000}"/>
    <cellStyle name="Normal 2 3 3 4 4 3 8" xfId="29911" xr:uid="{00000000-0005-0000-0000-0000A0730000}"/>
    <cellStyle name="Normal 2 3 3 4 4 4" xfId="29912" xr:uid="{00000000-0005-0000-0000-0000A1730000}"/>
    <cellStyle name="Normal 2 3 3 4 4 4 2" xfId="29913" xr:uid="{00000000-0005-0000-0000-0000A2730000}"/>
    <cellStyle name="Normal 2 3 3 4 4 4 3" xfId="29914" xr:uid="{00000000-0005-0000-0000-0000A3730000}"/>
    <cellStyle name="Normal 2 3 3 4 4 4 4" xfId="29915" xr:uid="{00000000-0005-0000-0000-0000A4730000}"/>
    <cellStyle name="Normal 2 3 3 4 4 4 5" xfId="29916" xr:uid="{00000000-0005-0000-0000-0000A5730000}"/>
    <cellStyle name="Normal 2 3 3 4 4 5" xfId="29917" xr:uid="{00000000-0005-0000-0000-0000A6730000}"/>
    <cellStyle name="Normal 2 3 3 4 4 6" xfId="29918" xr:uid="{00000000-0005-0000-0000-0000A7730000}"/>
    <cellStyle name="Normal 2 3 3 4 4 7" xfId="29919" xr:uid="{00000000-0005-0000-0000-0000A8730000}"/>
    <cellStyle name="Normal 2 3 3 4 4 8" xfId="29920" xr:uid="{00000000-0005-0000-0000-0000A9730000}"/>
    <cellStyle name="Normal 2 3 3 4 4 9" xfId="29921" xr:uid="{00000000-0005-0000-0000-0000AA730000}"/>
    <cellStyle name="Normal 2 3 3 4 5" xfId="29922" xr:uid="{00000000-0005-0000-0000-0000AB730000}"/>
    <cellStyle name="Normal 2 3 3 4 5 2" xfId="29923" xr:uid="{00000000-0005-0000-0000-0000AC730000}"/>
    <cellStyle name="Normal 2 3 3 4 5 2 2" xfId="29924" xr:uid="{00000000-0005-0000-0000-0000AD730000}"/>
    <cellStyle name="Normal 2 3 3 4 5 2 3" xfId="29925" xr:uid="{00000000-0005-0000-0000-0000AE730000}"/>
    <cellStyle name="Normal 2 3 3 4 5 2 4" xfId="29926" xr:uid="{00000000-0005-0000-0000-0000AF730000}"/>
    <cellStyle name="Normal 2 3 3 4 5 2 5" xfId="29927" xr:uid="{00000000-0005-0000-0000-0000B0730000}"/>
    <cellStyle name="Normal 2 3 3 4 5 3" xfId="29928" xr:uid="{00000000-0005-0000-0000-0000B1730000}"/>
    <cellStyle name="Normal 2 3 3 4 5 4" xfId="29929" xr:uid="{00000000-0005-0000-0000-0000B2730000}"/>
    <cellStyle name="Normal 2 3 3 4 5 5" xfId="29930" xr:uid="{00000000-0005-0000-0000-0000B3730000}"/>
    <cellStyle name="Normal 2 3 3 4 5 6" xfId="29931" xr:uid="{00000000-0005-0000-0000-0000B4730000}"/>
    <cellStyle name="Normal 2 3 3 4 5 7" xfId="29932" xr:uid="{00000000-0005-0000-0000-0000B5730000}"/>
    <cellStyle name="Normal 2 3 3 4 5 8" xfId="29933" xr:uid="{00000000-0005-0000-0000-0000B6730000}"/>
    <cellStyle name="Normal 2 3 3 4 6" xfId="29934" xr:uid="{00000000-0005-0000-0000-0000B7730000}"/>
    <cellStyle name="Normal 2 3 3 4 6 2" xfId="29935" xr:uid="{00000000-0005-0000-0000-0000B8730000}"/>
    <cellStyle name="Normal 2 3 3 4 6 2 2" xfId="29936" xr:uid="{00000000-0005-0000-0000-0000B9730000}"/>
    <cellStyle name="Normal 2 3 3 4 6 2 3" xfId="29937" xr:uid="{00000000-0005-0000-0000-0000BA730000}"/>
    <cellStyle name="Normal 2 3 3 4 6 2 4" xfId="29938" xr:uid="{00000000-0005-0000-0000-0000BB730000}"/>
    <cellStyle name="Normal 2 3 3 4 6 2 5" xfId="29939" xr:uid="{00000000-0005-0000-0000-0000BC730000}"/>
    <cellStyle name="Normal 2 3 3 4 6 3" xfId="29940" xr:uid="{00000000-0005-0000-0000-0000BD730000}"/>
    <cellStyle name="Normal 2 3 3 4 6 4" xfId="29941" xr:uid="{00000000-0005-0000-0000-0000BE730000}"/>
    <cellStyle name="Normal 2 3 3 4 6 5" xfId="29942" xr:uid="{00000000-0005-0000-0000-0000BF730000}"/>
    <cellStyle name="Normal 2 3 3 4 6 6" xfId="29943" xr:uid="{00000000-0005-0000-0000-0000C0730000}"/>
    <cellStyle name="Normal 2 3 3 4 6 7" xfId="29944" xr:uid="{00000000-0005-0000-0000-0000C1730000}"/>
    <cellStyle name="Normal 2 3 3 4 6 8" xfId="29945" xr:uid="{00000000-0005-0000-0000-0000C2730000}"/>
    <cellStyle name="Normal 2 3 3 4 7" xfId="29946" xr:uid="{00000000-0005-0000-0000-0000C3730000}"/>
    <cellStyle name="Normal 2 3 3 4 7 2" xfId="29947" xr:uid="{00000000-0005-0000-0000-0000C4730000}"/>
    <cellStyle name="Normal 2 3 3 4 7 3" xfId="29948" xr:uid="{00000000-0005-0000-0000-0000C5730000}"/>
    <cellStyle name="Normal 2 3 3 4 7 4" xfId="29949" xr:uid="{00000000-0005-0000-0000-0000C6730000}"/>
    <cellStyle name="Normal 2 3 3 4 7 5" xfId="29950" xr:uid="{00000000-0005-0000-0000-0000C7730000}"/>
    <cellStyle name="Normal 2 3 3 4 8" xfId="29951" xr:uid="{00000000-0005-0000-0000-0000C8730000}"/>
    <cellStyle name="Normal 2 3 3 4 9" xfId="29952" xr:uid="{00000000-0005-0000-0000-0000C9730000}"/>
    <cellStyle name="Normal 2 3 3 5" xfId="29953" xr:uid="{00000000-0005-0000-0000-0000CA730000}"/>
    <cellStyle name="Normal 2 3 3 5 10" xfId="29954" xr:uid="{00000000-0005-0000-0000-0000CB730000}"/>
    <cellStyle name="Normal 2 3 3 5 11" xfId="29955" xr:uid="{00000000-0005-0000-0000-0000CC730000}"/>
    <cellStyle name="Normal 2 3 3 5 12" xfId="29956" xr:uid="{00000000-0005-0000-0000-0000CD730000}"/>
    <cellStyle name="Normal 2 3 3 5 13" xfId="29957" xr:uid="{00000000-0005-0000-0000-0000CE730000}"/>
    <cellStyle name="Normal 2 3 3 5 2" xfId="29958" xr:uid="{00000000-0005-0000-0000-0000CF730000}"/>
    <cellStyle name="Normal 2 3 3 5 2 10" xfId="29959" xr:uid="{00000000-0005-0000-0000-0000D0730000}"/>
    <cellStyle name="Normal 2 3 3 5 2 11" xfId="29960" xr:uid="{00000000-0005-0000-0000-0000D1730000}"/>
    <cellStyle name="Normal 2 3 3 5 2 2" xfId="29961" xr:uid="{00000000-0005-0000-0000-0000D2730000}"/>
    <cellStyle name="Normal 2 3 3 5 2 2 10" xfId="29962" xr:uid="{00000000-0005-0000-0000-0000D3730000}"/>
    <cellStyle name="Normal 2 3 3 5 2 2 2" xfId="29963" xr:uid="{00000000-0005-0000-0000-0000D4730000}"/>
    <cellStyle name="Normal 2 3 3 5 2 2 2 2" xfId="29964" xr:uid="{00000000-0005-0000-0000-0000D5730000}"/>
    <cellStyle name="Normal 2 3 3 5 2 2 2 2 2" xfId="29965" xr:uid="{00000000-0005-0000-0000-0000D6730000}"/>
    <cellStyle name="Normal 2 3 3 5 2 2 2 2 3" xfId="29966" xr:uid="{00000000-0005-0000-0000-0000D7730000}"/>
    <cellStyle name="Normal 2 3 3 5 2 2 2 2 4" xfId="29967" xr:uid="{00000000-0005-0000-0000-0000D8730000}"/>
    <cellStyle name="Normal 2 3 3 5 2 2 2 2 5" xfId="29968" xr:uid="{00000000-0005-0000-0000-0000D9730000}"/>
    <cellStyle name="Normal 2 3 3 5 2 2 2 3" xfId="29969" xr:uid="{00000000-0005-0000-0000-0000DA730000}"/>
    <cellStyle name="Normal 2 3 3 5 2 2 2 4" xfId="29970" xr:uid="{00000000-0005-0000-0000-0000DB730000}"/>
    <cellStyle name="Normal 2 3 3 5 2 2 2 5" xfId="29971" xr:uid="{00000000-0005-0000-0000-0000DC730000}"/>
    <cellStyle name="Normal 2 3 3 5 2 2 2 6" xfId="29972" xr:uid="{00000000-0005-0000-0000-0000DD730000}"/>
    <cellStyle name="Normal 2 3 3 5 2 2 2 7" xfId="29973" xr:uid="{00000000-0005-0000-0000-0000DE730000}"/>
    <cellStyle name="Normal 2 3 3 5 2 2 2 8" xfId="29974" xr:uid="{00000000-0005-0000-0000-0000DF730000}"/>
    <cellStyle name="Normal 2 3 3 5 2 2 3" xfId="29975" xr:uid="{00000000-0005-0000-0000-0000E0730000}"/>
    <cellStyle name="Normal 2 3 3 5 2 2 3 2" xfId="29976" xr:uid="{00000000-0005-0000-0000-0000E1730000}"/>
    <cellStyle name="Normal 2 3 3 5 2 2 3 2 2" xfId="29977" xr:uid="{00000000-0005-0000-0000-0000E2730000}"/>
    <cellStyle name="Normal 2 3 3 5 2 2 3 2 3" xfId="29978" xr:uid="{00000000-0005-0000-0000-0000E3730000}"/>
    <cellStyle name="Normal 2 3 3 5 2 2 3 2 4" xfId="29979" xr:uid="{00000000-0005-0000-0000-0000E4730000}"/>
    <cellStyle name="Normal 2 3 3 5 2 2 3 2 5" xfId="29980" xr:uid="{00000000-0005-0000-0000-0000E5730000}"/>
    <cellStyle name="Normal 2 3 3 5 2 2 3 3" xfId="29981" xr:uid="{00000000-0005-0000-0000-0000E6730000}"/>
    <cellStyle name="Normal 2 3 3 5 2 2 3 4" xfId="29982" xr:uid="{00000000-0005-0000-0000-0000E7730000}"/>
    <cellStyle name="Normal 2 3 3 5 2 2 3 5" xfId="29983" xr:uid="{00000000-0005-0000-0000-0000E8730000}"/>
    <cellStyle name="Normal 2 3 3 5 2 2 3 6" xfId="29984" xr:uid="{00000000-0005-0000-0000-0000E9730000}"/>
    <cellStyle name="Normal 2 3 3 5 2 2 3 7" xfId="29985" xr:uid="{00000000-0005-0000-0000-0000EA730000}"/>
    <cellStyle name="Normal 2 3 3 5 2 2 3 8" xfId="29986" xr:uid="{00000000-0005-0000-0000-0000EB730000}"/>
    <cellStyle name="Normal 2 3 3 5 2 2 4" xfId="29987" xr:uid="{00000000-0005-0000-0000-0000EC730000}"/>
    <cellStyle name="Normal 2 3 3 5 2 2 4 2" xfId="29988" xr:uid="{00000000-0005-0000-0000-0000ED730000}"/>
    <cellStyle name="Normal 2 3 3 5 2 2 4 3" xfId="29989" xr:uid="{00000000-0005-0000-0000-0000EE730000}"/>
    <cellStyle name="Normal 2 3 3 5 2 2 4 4" xfId="29990" xr:uid="{00000000-0005-0000-0000-0000EF730000}"/>
    <cellStyle name="Normal 2 3 3 5 2 2 4 5" xfId="29991" xr:uid="{00000000-0005-0000-0000-0000F0730000}"/>
    <cellStyle name="Normal 2 3 3 5 2 2 5" xfId="29992" xr:uid="{00000000-0005-0000-0000-0000F1730000}"/>
    <cellStyle name="Normal 2 3 3 5 2 2 6" xfId="29993" xr:uid="{00000000-0005-0000-0000-0000F2730000}"/>
    <cellStyle name="Normal 2 3 3 5 2 2 7" xfId="29994" xr:uid="{00000000-0005-0000-0000-0000F3730000}"/>
    <cellStyle name="Normal 2 3 3 5 2 2 8" xfId="29995" xr:uid="{00000000-0005-0000-0000-0000F4730000}"/>
    <cellStyle name="Normal 2 3 3 5 2 2 9" xfId="29996" xr:uid="{00000000-0005-0000-0000-0000F5730000}"/>
    <cellStyle name="Normal 2 3 3 5 2 3" xfId="29997" xr:uid="{00000000-0005-0000-0000-0000F6730000}"/>
    <cellStyle name="Normal 2 3 3 5 2 3 2" xfId="29998" xr:uid="{00000000-0005-0000-0000-0000F7730000}"/>
    <cellStyle name="Normal 2 3 3 5 2 3 2 2" xfId="29999" xr:uid="{00000000-0005-0000-0000-0000F8730000}"/>
    <cellStyle name="Normal 2 3 3 5 2 3 2 3" xfId="30000" xr:uid="{00000000-0005-0000-0000-0000F9730000}"/>
    <cellStyle name="Normal 2 3 3 5 2 3 2 4" xfId="30001" xr:uid="{00000000-0005-0000-0000-0000FA730000}"/>
    <cellStyle name="Normal 2 3 3 5 2 3 2 5" xfId="30002" xr:uid="{00000000-0005-0000-0000-0000FB730000}"/>
    <cellStyle name="Normal 2 3 3 5 2 3 3" xfId="30003" xr:uid="{00000000-0005-0000-0000-0000FC730000}"/>
    <cellStyle name="Normal 2 3 3 5 2 3 4" xfId="30004" xr:uid="{00000000-0005-0000-0000-0000FD730000}"/>
    <cellStyle name="Normal 2 3 3 5 2 3 5" xfId="30005" xr:uid="{00000000-0005-0000-0000-0000FE730000}"/>
    <cellStyle name="Normal 2 3 3 5 2 3 6" xfId="30006" xr:uid="{00000000-0005-0000-0000-0000FF730000}"/>
    <cellStyle name="Normal 2 3 3 5 2 3 7" xfId="30007" xr:uid="{00000000-0005-0000-0000-000000740000}"/>
    <cellStyle name="Normal 2 3 3 5 2 3 8" xfId="30008" xr:uid="{00000000-0005-0000-0000-000001740000}"/>
    <cellStyle name="Normal 2 3 3 5 2 4" xfId="30009" xr:uid="{00000000-0005-0000-0000-000002740000}"/>
    <cellStyle name="Normal 2 3 3 5 2 4 2" xfId="30010" xr:uid="{00000000-0005-0000-0000-000003740000}"/>
    <cellStyle name="Normal 2 3 3 5 2 4 2 2" xfId="30011" xr:uid="{00000000-0005-0000-0000-000004740000}"/>
    <cellStyle name="Normal 2 3 3 5 2 4 2 3" xfId="30012" xr:uid="{00000000-0005-0000-0000-000005740000}"/>
    <cellStyle name="Normal 2 3 3 5 2 4 2 4" xfId="30013" xr:uid="{00000000-0005-0000-0000-000006740000}"/>
    <cellStyle name="Normal 2 3 3 5 2 4 2 5" xfId="30014" xr:uid="{00000000-0005-0000-0000-000007740000}"/>
    <cellStyle name="Normal 2 3 3 5 2 4 3" xfId="30015" xr:uid="{00000000-0005-0000-0000-000008740000}"/>
    <cellStyle name="Normal 2 3 3 5 2 4 4" xfId="30016" xr:uid="{00000000-0005-0000-0000-000009740000}"/>
    <cellStyle name="Normal 2 3 3 5 2 4 5" xfId="30017" xr:uid="{00000000-0005-0000-0000-00000A740000}"/>
    <cellStyle name="Normal 2 3 3 5 2 4 6" xfId="30018" xr:uid="{00000000-0005-0000-0000-00000B740000}"/>
    <cellStyle name="Normal 2 3 3 5 2 4 7" xfId="30019" xr:uid="{00000000-0005-0000-0000-00000C740000}"/>
    <cellStyle name="Normal 2 3 3 5 2 4 8" xfId="30020" xr:uid="{00000000-0005-0000-0000-00000D740000}"/>
    <cellStyle name="Normal 2 3 3 5 2 5" xfId="30021" xr:uid="{00000000-0005-0000-0000-00000E740000}"/>
    <cellStyle name="Normal 2 3 3 5 2 5 2" xfId="30022" xr:uid="{00000000-0005-0000-0000-00000F740000}"/>
    <cellStyle name="Normal 2 3 3 5 2 5 3" xfId="30023" xr:uid="{00000000-0005-0000-0000-000010740000}"/>
    <cellStyle name="Normal 2 3 3 5 2 5 4" xfId="30024" xr:uid="{00000000-0005-0000-0000-000011740000}"/>
    <cellStyle name="Normal 2 3 3 5 2 5 5" xfId="30025" xr:uid="{00000000-0005-0000-0000-000012740000}"/>
    <cellStyle name="Normal 2 3 3 5 2 6" xfId="30026" xr:uid="{00000000-0005-0000-0000-000013740000}"/>
    <cellStyle name="Normal 2 3 3 5 2 7" xfId="30027" xr:uid="{00000000-0005-0000-0000-000014740000}"/>
    <cellStyle name="Normal 2 3 3 5 2 8" xfId="30028" xr:uid="{00000000-0005-0000-0000-000015740000}"/>
    <cellStyle name="Normal 2 3 3 5 2 9" xfId="30029" xr:uid="{00000000-0005-0000-0000-000016740000}"/>
    <cellStyle name="Normal 2 3 3 5 3" xfId="30030" xr:uid="{00000000-0005-0000-0000-000017740000}"/>
    <cellStyle name="Normal 2 3 3 5 3 10" xfId="30031" xr:uid="{00000000-0005-0000-0000-000018740000}"/>
    <cellStyle name="Normal 2 3 3 5 3 11" xfId="30032" xr:uid="{00000000-0005-0000-0000-000019740000}"/>
    <cellStyle name="Normal 2 3 3 5 3 2" xfId="30033" xr:uid="{00000000-0005-0000-0000-00001A740000}"/>
    <cellStyle name="Normal 2 3 3 5 3 2 10" xfId="30034" xr:uid="{00000000-0005-0000-0000-00001B740000}"/>
    <cellStyle name="Normal 2 3 3 5 3 2 2" xfId="30035" xr:uid="{00000000-0005-0000-0000-00001C740000}"/>
    <cellStyle name="Normal 2 3 3 5 3 2 2 2" xfId="30036" xr:uid="{00000000-0005-0000-0000-00001D740000}"/>
    <cellStyle name="Normal 2 3 3 5 3 2 2 2 2" xfId="30037" xr:uid="{00000000-0005-0000-0000-00001E740000}"/>
    <cellStyle name="Normal 2 3 3 5 3 2 2 2 3" xfId="30038" xr:uid="{00000000-0005-0000-0000-00001F740000}"/>
    <cellStyle name="Normal 2 3 3 5 3 2 2 2 4" xfId="30039" xr:uid="{00000000-0005-0000-0000-000020740000}"/>
    <cellStyle name="Normal 2 3 3 5 3 2 2 2 5" xfId="30040" xr:uid="{00000000-0005-0000-0000-000021740000}"/>
    <cellStyle name="Normal 2 3 3 5 3 2 2 3" xfId="30041" xr:uid="{00000000-0005-0000-0000-000022740000}"/>
    <cellStyle name="Normal 2 3 3 5 3 2 2 4" xfId="30042" xr:uid="{00000000-0005-0000-0000-000023740000}"/>
    <cellStyle name="Normal 2 3 3 5 3 2 2 5" xfId="30043" xr:uid="{00000000-0005-0000-0000-000024740000}"/>
    <cellStyle name="Normal 2 3 3 5 3 2 2 6" xfId="30044" xr:uid="{00000000-0005-0000-0000-000025740000}"/>
    <cellStyle name="Normal 2 3 3 5 3 2 2 7" xfId="30045" xr:uid="{00000000-0005-0000-0000-000026740000}"/>
    <cellStyle name="Normal 2 3 3 5 3 2 2 8" xfId="30046" xr:uid="{00000000-0005-0000-0000-000027740000}"/>
    <cellStyle name="Normal 2 3 3 5 3 2 3" xfId="30047" xr:uid="{00000000-0005-0000-0000-000028740000}"/>
    <cellStyle name="Normal 2 3 3 5 3 2 3 2" xfId="30048" xr:uid="{00000000-0005-0000-0000-000029740000}"/>
    <cellStyle name="Normal 2 3 3 5 3 2 3 2 2" xfId="30049" xr:uid="{00000000-0005-0000-0000-00002A740000}"/>
    <cellStyle name="Normal 2 3 3 5 3 2 3 2 3" xfId="30050" xr:uid="{00000000-0005-0000-0000-00002B740000}"/>
    <cellStyle name="Normal 2 3 3 5 3 2 3 2 4" xfId="30051" xr:uid="{00000000-0005-0000-0000-00002C740000}"/>
    <cellStyle name="Normal 2 3 3 5 3 2 3 2 5" xfId="30052" xr:uid="{00000000-0005-0000-0000-00002D740000}"/>
    <cellStyle name="Normal 2 3 3 5 3 2 3 3" xfId="30053" xr:uid="{00000000-0005-0000-0000-00002E740000}"/>
    <cellStyle name="Normal 2 3 3 5 3 2 3 4" xfId="30054" xr:uid="{00000000-0005-0000-0000-00002F740000}"/>
    <cellStyle name="Normal 2 3 3 5 3 2 3 5" xfId="30055" xr:uid="{00000000-0005-0000-0000-000030740000}"/>
    <cellStyle name="Normal 2 3 3 5 3 2 3 6" xfId="30056" xr:uid="{00000000-0005-0000-0000-000031740000}"/>
    <cellStyle name="Normal 2 3 3 5 3 2 3 7" xfId="30057" xr:uid="{00000000-0005-0000-0000-000032740000}"/>
    <cellStyle name="Normal 2 3 3 5 3 2 3 8" xfId="30058" xr:uid="{00000000-0005-0000-0000-000033740000}"/>
    <cellStyle name="Normal 2 3 3 5 3 2 4" xfId="30059" xr:uid="{00000000-0005-0000-0000-000034740000}"/>
    <cellStyle name="Normal 2 3 3 5 3 2 4 2" xfId="30060" xr:uid="{00000000-0005-0000-0000-000035740000}"/>
    <cellStyle name="Normal 2 3 3 5 3 2 4 3" xfId="30061" xr:uid="{00000000-0005-0000-0000-000036740000}"/>
    <cellStyle name="Normal 2 3 3 5 3 2 4 4" xfId="30062" xr:uid="{00000000-0005-0000-0000-000037740000}"/>
    <cellStyle name="Normal 2 3 3 5 3 2 4 5" xfId="30063" xr:uid="{00000000-0005-0000-0000-000038740000}"/>
    <cellStyle name="Normal 2 3 3 5 3 2 5" xfId="30064" xr:uid="{00000000-0005-0000-0000-000039740000}"/>
    <cellStyle name="Normal 2 3 3 5 3 2 6" xfId="30065" xr:uid="{00000000-0005-0000-0000-00003A740000}"/>
    <cellStyle name="Normal 2 3 3 5 3 2 7" xfId="30066" xr:uid="{00000000-0005-0000-0000-00003B740000}"/>
    <cellStyle name="Normal 2 3 3 5 3 2 8" xfId="30067" xr:uid="{00000000-0005-0000-0000-00003C740000}"/>
    <cellStyle name="Normal 2 3 3 5 3 2 9" xfId="30068" xr:uid="{00000000-0005-0000-0000-00003D740000}"/>
    <cellStyle name="Normal 2 3 3 5 3 3" xfId="30069" xr:uid="{00000000-0005-0000-0000-00003E740000}"/>
    <cellStyle name="Normal 2 3 3 5 3 3 2" xfId="30070" xr:uid="{00000000-0005-0000-0000-00003F740000}"/>
    <cellStyle name="Normal 2 3 3 5 3 3 2 2" xfId="30071" xr:uid="{00000000-0005-0000-0000-000040740000}"/>
    <cellStyle name="Normal 2 3 3 5 3 3 2 3" xfId="30072" xr:uid="{00000000-0005-0000-0000-000041740000}"/>
    <cellStyle name="Normal 2 3 3 5 3 3 2 4" xfId="30073" xr:uid="{00000000-0005-0000-0000-000042740000}"/>
    <cellStyle name="Normal 2 3 3 5 3 3 2 5" xfId="30074" xr:uid="{00000000-0005-0000-0000-000043740000}"/>
    <cellStyle name="Normal 2 3 3 5 3 3 3" xfId="30075" xr:uid="{00000000-0005-0000-0000-000044740000}"/>
    <cellStyle name="Normal 2 3 3 5 3 3 4" xfId="30076" xr:uid="{00000000-0005-0000-0000-000045740000}"/>
    <cellStyle name="Normal 2 3 3 5 3 3 5" xfId="30077" xr:uid="{00000000-0005-0000-0000-000046740000}"/>
    <cellStyle name="Normal 2 3 3 5 3 3 6" xfId="30078" xr:uid="{00000000-0005-0000-0000-000047740000}"/>
    <cellStyle name="Normal 2 3 3 5 3 3 7" xfId="30079" xr:uid="{00000000-0005-0000-0000-000048740000}"/>
    <cellStyle name="Normal 2 3 3 5 3 3 8" xfId="30080" xr:uid="{00000000-0005-0000-0000-000049740000}"/>
    <cellStyle name="Normal 2 3 3 5 3 4" xfId="30081" xr:uid="{00000000-0005-0000-0000-00004A740000}"/>
    <cellStyle name="Normal 2 3 3 5 3 4 2" xfId="30082" xr:uid="{00000000-0005-0000-0000-00004B740000}"/>
    <cellStyle name="Normal 2 3 3 5 3 4 2 2" xfId="30083" xr:uid="{00000000-0005-0000-0000-00004C740000}"/>
    <cellStyle name="Normal 2 3 3 5 3 4 2 3" xfId="30084" xr:uid="{00000000-0005-0000-0000-00004D740000}"/>
    <cellStyle name="Normal 2 3 3 5 3 4 2 4" xfId="30085" xr:uid="{00000000-0005-0000-0000-00004E740000}"/>
    <cellStyle name="Normal 2 3 3 5 3 4 2 5" xfId="30086" xr:uid="{00000000-0005-0000-0000-00004F740000}"/>
    <cellStyle name="Normal 2 3 3 5 3 4 3" xfId="30087" xr:uid="{00000000-0005-0000-0000-000050740000}"/>
    <cellStyle name="Normal 2 3 3 5 3 4 4" xfId="30088" xr:uid="{00000000-0005-0000-0000-000051740000}"/>
    <cellStyle name="Normal 2 3 3 5 3 4 5" xfId="30089" xr:uid="{00000000-0005-0000-0000-000052740000}"/>
    <cellStyle name="Normal 2 3 3 5 3 4 6" xfId="30090" xr:uid="{00000000-0005-0000-0000-000053740000}"/>
    <cellStyle name="Normal 2 3 3 5 3 4 7" xfId="30091" xr:uid="{00000000-0005-0000-0000-000054740000}"/>
    <cellStyle name="Normal 2 3 3 5 3 4 8" xfId="30092" xr:uid="{00000000-0005-0000-0000-000055740000}"/>
    <cellStyle name="Normal 2 3 3 5 3 5" xfId="30093" xr:uid="{00000000-0005-0000-0000-000056740000}"/>
    <cellStyle name="Normal 2 3 3 5 3 5 2" xfId="30094" xr:uid="{00000000-0005-0000-0000-000057740000}"/>
    <cellStyle name="Normal 2 3 3 5 3 5 3" xfId="30095" xr:uid="{00000000-0005-0000-0000-000058740000}"/>
    <cellStyle name="Normal 2 3 3 5 3 5 4" xfId="30096" xr:uid="{00000000-0005-0000-0000-000059740000}"/>
    <cellStyle name="Normal 2 3 3 5 3 5 5" xfId="30097" xr:uid="{00000000-0005-0000-0000-00005A740000}"/>
    <cellStyle name="Normal 2 3 3 5 3 6" xfId="30098" xr:uid="{00000000-0005-0000-0000-00005B740000}"/>
    <cellStyle name="Normal 2 3 3 5 3 7" xfId="30099" xr:uid="{00000000-0005-0000-0000-00005C740000}"/>
    <cellStyle name="Normal 2 3 3 5 3 8" xfId="30100" xr:uid="{00000000-0005-0000-0000-00005D740000}"/>
    <cellStyle name="Normal 2 3 3 5 3 9" xfId="30101" xr:uid="{00000000-0005-0000-0000-00005E740000}"/>
    <cellStyle name="Normal 2 3 3 5 4" xfId="30102" xr:uid="{00000000-0005-0000-0000-00005F740000}"/>
    <cellStyle name="Normal 2 3 3 5 4 10" xfId="30103" xr:uid="{00000000-0005-0000-0000-000060740000}"/>
    <cellStyle name="Normal 2 3 3 5 4 2" xfId="30104" xr:uid="{00000000-0005-0000-0000-000061740000}"/>
    <cellStyle name="Normal 2 3 3 5 4 2 2" xfId="30105" xr:uid="{00000000-0005-0000-0000-000062740000}"/>
    <cellStyle name="Normal 2 3 3 5 4 2 2 2" xfId="30106" xr:uid="{00000000-0005-0000-0000-000063740000}"/>
    <cellStyle name="Normal 2 3 3 5 4 2 2 3" xfId="30107" xr:uid="{00000000-0005-0000-0000-000064740000}"/>
    <cellStyle name="Normal 2 3 3 5 4 2 2 4" xfId="30108" xr:uid="{00000000-0005-0000-0000-000065740000}"/>
    <cellStyle name="Normal 2 3 3 5 4 2 2 5" xfId="30109" xr:uid="{00000000-0005-0000-0000-000066740000}"/>
    <cellStyle name="Normal 2 3 3 5 4 2 3" xfId="30110" xr:uid="{00000000-0005-0000-0000-000067740000}"/>
    <cellStyle name="Normal 2 3 3 5 4 2 4" xfId="30111" xr:uid="{00000000-0005-0000-0000-000068740000}"/>
    <cellStyle name="Normal 2 3 3 5 4 2 5" xfId="30112" xr:uid="{00000000-0005-0000-0000-000069740000}"/>
    <cellStyle name="Normal 2 3 3 5 4 2 6" xfId="30113" xr:uid="{00000000-0005-0000-0000-00006A740000}"/>
    <cellStyle name="Normal 2 3 3 5 4 2 7" xfId="30114" xr:uid="{00000000-0005-0000-0000-00006B740000}"/>
    <cellStyle name="Normal 2 3 3 5 4 2 8" xfId="30115" xr:uid="{00000000-0005-0000-0000-00006C740000}"/>
    <cellStyle name="Normal 2 3 3 5 4 3" xfId="30116" xr:uid="{00000000-0005-0000-0000-00006D740000}"/>
    <cellStyle name="Normal 2 3 3 5 4 3 2" xfId="30117" xr:uid="{00000000-0005-0000-0000-00006E740000}"/>
    <cellStyle name="Normal 2 3 3 5 4 3 2 2" xfId="30118" xr:uid="{00000000-0005-0000-0000-00006F740000}"/>
    <cellStyle name="Normal 2 3 3 5 4 3 2 3" xfId="30119" xr:uid="{00000000-0005-0000-0000-000070740000}"/>
    <cellStyle name="Normal 2 3 3 5 4 3 2 4" xfId="30120" xr:uid="{00000000-0005-0000-0000-000071740000}"/>
    <cellStyle name="Normal 2 3 3 5 4 3 2 5" xfId="30121" xr:uid="{00000000-0005-0000-0000-000072740000}"/>
    <cellStyle name="Normal 2 3 3 5 4 3 3" xfId="30122" xr:uid="{00000000-0005-0000-0000-000073740000}"/>
    <cellStyle name="Normal 2 3 3 5 4 3 4" xfId="30123" xr:uid="{00000000-0005-0000-0000-000074740000}"/>
    <cellStyle name="Normal 2 3 3 5 4 3 5" xfId="30124" xr:uid="{00000000-0005-0000-0000-000075740000}"/>
    <cellStyle name="Normal 2 3 3 5 4 3 6" xfId="30125" xr:uid="{00000000-0005-0000-0000-000076740000}"/>
    <cellStyle name="Normal 2 3 3 5 4 3 7" xfId="30126" xr:uid="{00000000-0005-0000-0000-000077740000}"/>
    <cellStyle name="Normal 2 3 3 5 4 3 8" xfId="30127" xr:uid="{00000000-0005-0000-0000-000078740000}"/>
    <cellStyle name="Normal 2 3 3 5 4 4" xfId="30128" xr:uid="{00000000-0005-0000-0000-000079740000}"/>
    <cellStyle name="Normal 2 3 3 5 4 4 2" xfId="30129" xr:uid="{00000000-0005-0000-0000-00007A740000}"/>
    <cellStyle name="Normal 2 3 3 5 4 4 3" xfId="30130" xr:uid="{00000000-0005-0000-0000-00007B740000}"/>
    <cellStyle name="Normal 2 3 3 5 4 4 4" xfId="30131" xr:uid="{00000000-0005-0000-0000-00007C740000}"/>
    <cellStyle name="Normal 2 3 3 5 4 4 5" xfId="30132" xr:uid="{00000000-0005-0000-0000-00007D740000}"/>
    <cellStyle name="Normal 2 3 3 5 4 5" xfId="30133" xr:uid="{00000000-0005-0000-0000-00007E740000}"/>
    <cellStyle name="Normal 2 3 3 5 4 6" xfId="30134" xr:uid="{00000000-0005-0000-0000-00007F740000}"/>
    <cellStyle name="Normal 2 3 3 5 4 7" xfId="30135" xr:uid="{00000000-0005-0000-0000-000080740000}"/>
    <cellStyle name="Normal 2 3 3 5 4 8" xfId="30136" xr:uid="{00000000-0005-0000-0000-000081740000}"/>
    <cellStyle name="Normal 2 3 3 5 4 9" xfId="30137" xr:uid="{00000000-0005-0000-0000-000082740000}"/>
    <cellStyle name="Normal 2 3 3 5 5" xfId="30138" xr:uid="{00000000-0005-0000-0000-000083740000}"/>
    <cellStyle name="Normal 2 3 3 5 5 2" xfId="30139" xr:uid="{00000000-0005-0000-0000-000084740000}"/>
    <cellStyle name="Normal 2 3 3 5 5 2 2" xfId="30140" xr:uid="{00000000-0005-0000-0000-000085740000}"/>
    <cellStyle name="Normal 2 3 3 5 5 2 3" xfId="30141" xr:uid="{00000000-0005-0000-0000-000086740000}"/>
    <cellStyle name="Normal 2 3 3 5 5 2 4" xfId="30142" xr:uid="{00000000-0005-0000-0000-000087740000}"/>
    <cellStyle name="Normal 2 3 3 5 5 2 5" xfId="30143" xr:uid="{00000000-0005-0000-0000-000088740000}"/>
    <cellStyle name="Normal 2 3 3 5 5 3" xfId="30144" xr:uid="{00000000-0005-0000-0000-000089740000}"/>
    <cellStyle name="Normal 2 3 3 5 5 4" xfId="30145" xr:uid="{00000000-0005-0000-0000-00008A740000}"/>
    <cellStyle name="Normal 2 3 3 5 5 5" xfId="30146" xr:uid="{00000000-0005-0000-0000-00008B740000}"/>
    <cellStyle name="Normal 2 3 3 5 5 6" xfId="30147" xr:uid="{00000000-0005-0000-0000-00008C740000}"/>
    <cellStyle name="Normal 2 3 3 5 5 7" xfId="30148" xr:uid="{00000000-0005-0000-0000-00008D740000}"/>
    <cellStyle name="Normal 2 3 3 5 5 8" xfId="30149" xr:uid="{00000000-0005-0000-0000-00008E740000}"/>
    <cellStyle name="Normal 2 3 3 5 6" xfId="30150" xr:uid="{00000000-0005-0000-0000-00008F740000}"/>
    <cellStyle name="Normal 2 3 3 5 6 2" xfId="30151" xr:uid="{00000000-0005-0000-0000-000090740000}"/>
    <cellStyle name="Normal 2 3 3 5 6 2 2" xfId="30152" xr:uid="{00000000-0005-0000-0000-000091740000}"/>
    <cellStyle name="Normal 2 3 3 5 6 2 3" xfId="30153" xr:uid="{00000000-0005-0000-0000-000092740000}"/>
    <cellStyle name="Normal 2 3 3 5 6 2 4" xfId="30154" xr:uid="{00000000-0005-0000-0000-000093740000}"/>
    <cellStyle name="Normal 2 3 3 5 6 2 5" xfId="30155" xr:uid="{00000000-0005-0000-0000-000094740000}"/>
    <cellStyle name="Normal 2 3 3 5 6 3" xfId="30156" xr:uid="{00000000-0005-0000-0000-000095740000}"/>
    <cellStyle name="Normal 2 3 3 5 6 4" xfId="30157" xr:uid="{00000000-0005-0000-0000-000096740000}"/>
    <cellStyle name="Normal 2 3 3 5 6 5" xfId="30158" xr:uid="{00000000-0005-0000-0000-000097740000}"/>
    <cellStyle name="Normal 2 3 3 5 6 6" xfId="30159" xr:uid="{00000000-0005-0000-0000-000098740000}"/>
    <cellStyle name="Normal 2 3 3 5 6 7" xfId="30160" xr:uid="{00000000-0005-0000-0000-000099740000}"/>
    <cellStyle name="Normal 2 3 3 5 6 8" xfId="30161" xr:uid="{00000000-0005-0000-0000-00009A740000}"/>
    <cellStyle name="Normal 2 3 3 5 7" xfId="30162" xr:uid="{00000000-0005-0000-0000-00009B740000}"/>
    <cellStyle name="Normal 2 3 3 5 7 2" xfId="30163" xr:uid="{00000000-0005-0000-0000-00009C740000}"/>
    <cellStyle name="Normal 2 3 3 5 7 3" xfId="30164" xr:uid="{00000000-0005-0000-0000-00009D740000}"/>
    <cellStyle name="Normal 2 3 3 5 7 4" xfId="30165" xr:uid="{00000000-0005-0000-0000-00009E740000}"/>
    <cellStyle name="Normal 2 3 3 5 7 5" xfId="30166" xr:uid="{00000000-0005-0000-0000-00009F740000}"/>
    <cellStyle name="Normal 2 3 3 5 8" xfId="30167" xr:uid="{00000000-0005-0000-0000-0000A0740000}"/>
    <cellStyle name="Normal 2 3 3 5 9" xfId="30168" xr:uid="{00000000-0005-0000-0000-0000A1740000}"/>
    <cellStyle name="Normal 2 3 3 6" xfId="30169" xr:uid="{00000000-0005-0000-0000-0000A2740000}"/>
    <cellStyle name="Normal 2 3 3 6 10" xfId="30170" xr:uid="{00000000-0005-0000-0000-0000A3740000}"/>
    <cellStyle name="Normal 2 3 3 6 11" xfId="30171" xr:uid="{00000000-0005-0000-0000-0000A4740000}"/>
    <cellStyle name="Normal 2 3 3 6 12" xfId="30172" xr:uid="{00000000-0005-0000-0000-0000A5740000}"/>
    <cellStyle name="Normal 2 3 3 6 13" xfId="30173" xr:uid="{00000000-0005-0000-0000-0000A6740000}"/>
    <cellStyle name="Normal 2 3 3 6 2" xfId="30174" xr:uid="{00000000-0005-0000-0000-0000A7740000}"/>
    <cellStyle name="Normal 2 3 3 6 2 10" xfId="30175" xr:uid="{00000000-0005-0000-0000-0000A8740000}"/>
    <cellStyle name="Normal 2 3 3 6 2 11" xfId="30176" xr:uid="{00000000-0005-0000-0000-0000A9740000}"/>
    <cellStyle name="Normal 2 3 3 6 2 2" xfId="30177" xr:uid="{00000000-0005-0000-0000-0000AA740000}"/>
    <cellStyle name="Normal 2 3 3 6 2 2 10" xfId="30178" xr:uid="{00000000-0005-0000-0000-0000AB740000}"/>
    <cellStyle name="Normal 2 3 3 6 2 2 2" xfId="30179" xr:uid="{00000000-0005-0000-0000-0000AC740000}"/>
    <cellStyle name="Normal 2 3 3 6 2 2 2 2" xfId="30180" xr:uid="{00000000-0005-0000-0000-0000AD740000}"/>
    <cellStyle name="Normal 2 3 3 6 2 2 2 2 2" xfId="30181" xr:uid="{00000000-0005-0000-0000-0000AE740000}"/>
    <cellStyle name="Normal 2 3 3 6 2 2 2 2 3" xfId="30182" xr:uid="{00000000-0005-0000-0000-0000AF740000}"/>
    <cellStyle name="Normal 2 3 3 6 2 2 2 2 4" xfId="30183" xr:uid="{00000000-0005-0000-0000-0000B0740000}"/>
    <cellStyle name="Normal 2 3 3 6 2 2 2 2 5" xfId="30184" xr:uid="{00000000-0005-0000-0000-0000B1740000}"/>
    <cellStyle name="Normal 2 3 3 6 2 2 2 3" xfId="30185" xr:uid="{00000000-0005-0000-0000-0000B2740000}"/>
    <cellStyle name="Normal 2 3 3 6 2 2 2 4" xfId="30186" xr:uid="{00000000-0005-0000-0000-0000B3740000}"/>
    <cellStyle name="Normal 2 3 3 6 2 2 2 5" xfId="30187" xr:uid="{00000000-0005-0000-0000-0000B4740000}"/>
    <cellStyle name="Normal 2 3 3 6 2 2 2 6" xfId="30188" xr:uid="{00000000-0005-0000-0000-0000B5740000}"/>
    <cellStyle name="Normal 2 3 3 6 2 2 2 7" xfId="30189" xr:uid="{00000000-0005-0000-0000-0000B6740000}"/>
    <cellStyle name="Normal 2 3 3 6 2 2 2 8" xfId="30190" xr:uid="{00000000-0005-0000-0000-0000B7740000}"/>
    <cellStyle name="Normal 2 3 3 6 2 2 3" xfId="30191" xr:uid="{00000000-0005-0000-0000-0000B8740000}"/>
    <cellStyle name="Normal 2 3 3 6 2 2 3 2" xfId="30192" xr:uid="{00000000-0005-0000-0000-0000B9740000}"/>
    <cellStyle name="Normal 2 3 3 6 2 2 3 2 2" xfId="30193" xr:uid="{00000000-0005-0000-0000-0000BA740000}"/>
    <cellStyle name="Normal 2 3 3 6 2 2 3 2 3" xfId="30194" xr:uid="{00000000-0005-0000-0000-0000BB740000}"/>
    <cellStyle name="Normal 2 3 3 6 2 2 3 2 4" xfId="30195" xr:uid="{00000000-0005-0000-0000-0000BC740000}"/>
    <cellStyle name="Normal 2 3 3 6 2 2 3 2 5" xfId="30196" xr:uid="{00000000-0005-0000-0000-0000BD740000}"/>
    <cellStyle name="Normal 2 3 3 6 2 2 3 3" xfId="30197" xr:uid="{00000000-0005-0000-0000-0000BE740000}"/>
    <cellStyle name="Normal 2 3 3 6 2 2 3 4" xfId="30198" xr:uid="{00000000-0005-0000-0000-0000BF740000}"/>
    <cellStyle name="Normal 2 3 3 6 2 2 3 5" xfId="30199" xr:uid="{00000000-0005-0000-0000-0000C0740000}"/>
    <cellStyle name="Normal 2 3 3 6 2 2 3 6" xfId="30200" xr:uid="{00000000-0005-0000-0000-0000C1740000}"/>
    <cellStyle name="Normal 2 3 3 6 2 2 3 7" xfId="30201" xr:uid="{00000000-0005-0000-0000-0000C2740000}"/>
    <cellStyle name="Normal 2 3 3 6 2 2 3 8" xfId="30202" xr:uid="{00000000-0005-0000-0000-0000C3740000}"/>
    <cellStyle name="Normal 2 3 3 6 2 2 4" xfId="30203" xr:uid="{00000000-0005-0000-0000-0000C4740000}"/>
    <cellStyle name="Normal 2 3 3 6 2 2 4 2" xfId="30204" xr:uid="{00000000-0005-0000-0000-0000C5740000}"/>
    <cellStyle name="Normal 2 3 3 6 2 2 4 3" xfId="30205" xr:uid="{00000000-0005-0000-0000-0000C6740000}"/>
    <cellStyle name="Normal 2 3 3 6 2 2 4 4" xfId="30206" xr:uid="{00000000-0005-0000-0000-0000C7740000}"/>
    <cellStyle name="Normal 2 3 3 6 2 2 4 5" xfId="30207" xr:uid="{00000000-0005-0000-0000-0000C8740000}"/>
    <cellStyle name="Normal 2 3 3 6 2 2 5" xfId="30208" xr:uid="{00000000-0005-0000-0000-0000C9740000}"/>
    <cellStyle name="Normal 2 3 3 6 2 2 6" xfId="30209" xr:uid="{00000000-0005-0000-0000-0000CA740000}"/>
    <cellStyle name="Normal 2 3 3 6 2 2 7" xfId="30210" xr:uid="{00000000-0005-0000-0000-0000CB740000}"/>
    <cellStyle name="Normal 2 3 3 6 2 2 8" xfId="30211" xr:uid="{00000000-0005-0000-0000-0000CC740000}"/>
    <cellStyle name="Normal 2 3 3 6 2 2 9" xfId="30212" xr:uid="{00000000-0005-0000-0000-0000CD740000}"/>
    <cellStyle name="Normal 2 3 3 6 2 3" xfId="30213" xr:uid="{00000000-0005-0000-0000-0000CE740000}"/>
    <cellStyle name="Normal 2 3 3 6 2 3 2" xfId="30214" xr:uid="{00000000-0005-0000-0000-0000CF740000}"/>
    <cellStyle name="Normal 2 3 3 6 2 3 2 2" xfId="30215" xr:uid="{00000000-0005-0000-0000-0000D0740000}"/>
    <cellStyle name="Normal 2 3 3 6 2 3 2 3" xfId="30216" xr:uid="{00000000-0005-0000-0000-0000D1740000}"/>
    <cellStyle name="Normal 2 3 3 6 2 3 2 4" xfId="30217" xr:uid="{00000000-0005-0000-0000-0000D2740000}"/>
    <cellStyle name="Normal 2 3 3 6 2 3 2 5" xfId="30218" xr:uid="{00000000-0005-0000-0000-0000D3740000}"/>
    <cellStyle name="Normal 2 3 3 6 2 3 3" xfId="30219" xr:uid="{00000000-0005-0000-0000-0000D4740000}"/>
    <cellStyle name="Normal 2 3 3 6 2 3 4" xfId="30220" xr:uid="{00000000-0005-0000-0000-0000D5740000}"/>
    <cellStyle name="Normal 2 3 3 6 2 3 5" xfId="30221" xr:uid="{00000000-0005-0000-0000-0000D6740000}"/>
    <cellStyle name="Normal 2 3 3 6 2 3 6" xfId="30222" xr:uid="{00000000-0005-0000-0000-0000D7740000}"/>
    <cellStyle name="Normal 2 3 3 6 2 3 7" xfId="30223" xr:uid="{00000000-0005-0000-0000-0000D8740000}"/>
    <cellStyle name="Normal 2 3 3 6 2 3 8" xfId="30224" xr:uid="{00000000-0005-0000-0000-0000D9740000}"/>
    <cellStyle name="Normal 2 3 3 6 2 4" xfId="30225" xr:uid="{00000000-0005-0000-0000-0000DA740000}"/>
    <cellStyle name="Normal 2 3 3 6 2 4 2" xfId="30226" xr:uid="{00000000-0005-0000-0000-0000DB740000}"/>
    <cellStyle name="Normal 2 3 3 6 2 4 2 2" xfId="30227" xr:uid="{00000000-0005-0000-0000-0000DC740000}"/>
    <cellStyle name="Normal 2 3 3 6 2 4 2 3" xfId="30228" xr:uid="{00000000-0005-0000-0000-0000DD740000}"/>
    <cellStyle name="Normal 2 3 3 6 2 4 2 4" xfId="30229" xr:uid="{00000000-0005-0000-0000-0000DE740000}"/>
    <cellStyle name="Normal 2 3 3 6 2 4 2 5" xfId="30230" xr:uid="{00000000-0005-0000-0000-0000DF740000}"/>
    <cellStyle name="Normal 2 3 3 6 2 4 3" xfId="30231" xr:uid="{00000000-0005-0000-0000-0000E0740000}"/>
    <cellStyle name="Normal 2 3 3 6 2 4 4" xfId="30232" xr:uid="{00000000-0005-0000-0000-0000E1740000}"/>
    <cellStyle name="Normal 2 3 3 6 2 4 5" xfId="30233" xr:uid="{00000000-0005-0000-0000-0000E2740000}"/>
    <cellStyle name="Normal 2 3 3 6 2 4 6" xfId="30234" xr:uid="{00000000-0005-0000-0000-0000E3740000}"/>
    <cellStyle name="Normal 2 3 3 6 2 4 7" xfId="30235" xr:uid="{00000000-0005-0000-0000-0000E4740000}"/>
    <cellStyle name="Normal 2 3 3 6 2 4 8" xfId="30236" xr:uid="{00000000-0005-0000-0000-0000E5740000}"/>
    <cellStyle name="Normal 2 3 3 6 2 5" xfId="30237" xr:uid="{00000000-0005-0000-0000-0000E6740000}"/>
    <cellStyle name="Normal 2 3 3 6 2 5 2" xfId="30238" xr:uid="{00000000-0005-0000-0000-0000E7740000}"/>
    <cellStyle name="Normal 2 3 3 6 2 5 3" xfId="30239" xr:uid="{00000000-0005-0000-0000-0000E8740000}"/>
    <cellStyle name="Normal 2 3 3 6 2 5 4" xfId="30240" xr:uid="{00000000-0005-0000-0000-0000E9740000}"/>
    <cellStyle name="Normal 2 3 3 6 2 5 5" xfId="30241" xr:uid="{00000000-0005-0000-0000-0000EA740000}"/>
    <cellStyle name="Normal 2 3 3 6 2 6" xfId="30242" xr:uid="{00000000-0005-0000-0000-0000EB740000}"/>
    <cellStyle name="Normal 2 3 3 6 2 7" xfId="30243" xr:uid="{00000000-0005-0000-0000-0000EC740000}"/>
    <cellStyle name="Normal 2 3 3 6 2 8" xfId="30244" xr:uid="{00000000-0005-0000-0000-0000ED740000}"/>
    <cellStyle name="Normal 2 3 3 6 2 9" xfId="30245" xr:uid="{00000000-0005-0000-0000-0000EE740000}"/>
    <cellStyle name="Normal 2 3 3 6 3" xfId="30246" xr:uid="{00000000-0005-0000-0000-0000EF740000}"/>
    <cellStyle name="Normal 2 3 3 6 3 10" xfId="30247" xr:uid="{00000000-0005-0000-0000-0000F0740000}"/>
    <cellStyle name="Normal 2 3 3 6 3 11" xfId="30248" xr:uid="{00000000-0005-0000-0000-0000F1740000}"/>
    <cellStyle name="Normal 2 3 3 6 3 2" xfId="30249" xr:uid="{00000000-0005-0000-0000-0000F2740000}"/>
    <cellStyle name="Normal 2 3 3 6 3 2 10" xfId="30250" xr:uid="{00000000-0005-0000-0000-0000F3740000}"/>
    <cellStyle name="Normal 2 3 3 6 3 2 2" xfId="30251" xr:uid="{00000000-0005-0000-0000-0000F4740000}"/>
    <cellStyle name="Normal 2 3 3 6 3 2 2 2" xfId="30252" xr:uid="{00000000-0005-0000-0000-0000F5740000}"/>
    <cellStyle name="Normal 2 3 3 6 3 2 2 2 2" xfId="30253" xr:uid="{00000000-0005-0000-0000-0000F6740000}"/>
    <cellStyle name="Normal 2 3 3 6 3 2 2 2 3" xfId="30254" xr:uid="{00000000-0005-0000-0000-0000F7740000}"/>
    <cellStyle name="Normal 2 3 3 6 3 2 2 2 4" xfId="30255" xr:uid="{00000000-0005-0000-0000-0000F8740000}"/>
    <cellStyle name="Normal 2 3 3 6 3 2 2 2 5" xfId="30256" xr:uid="{00000000-0005-0000-0000-0000F9740000}"/>
    <cellStyle name="Normal 2 3 3 6 3 2 2 3" xfId="30257" xr:uid="{00000000-0005-0000-0000-0000FA740000}"/>
    <cellStyle name="Normal 2 3 3 6 3 2 2 4" xfId="30258" xr:uid="{00000000-0005-0000-0000-0000FB740000}"/>
    <cellStyle name="Normal 2 3 3 6 3 2 2 5" xfId="30259" xr:uid="{00000000-0005-0000-0000-0000FC740000}"/>
    <cellStyle name="Normal 2 3 3 6 3 2 2 6" xfId="30260" xr:uid="{00000000-0005-0000-0000-0000FD740000}"/>
    <cellStyle name="Normal 2 3 3 6 3 2 2 7" xfId="30261" xr:uid="{00000000-0005-0000-0000-0000FE740000}"/>
    <cellStyle name="Normal 2 3 3 6 3 2 2 8" xfId="30262" xr:uid="{00000000-0005-0000-0000-0000FF740000}"/>
    <cellStyle name="Normal 2 3 3 6 3 2 3" xfId="30263" xr:uid="{00000000-0005-0000-0000-000000750000}"/>
    <cellStyle name="Normal 2 3 3 6 3 2 3 2" xfId="30264" xr:uid="{00000000-0005-0000-0000-000001750000}"/>
    <cellStyle name="Normal 2 3 3 6 3 2 3 2 2" xfId="30265" xr:uid="{00000000-0005-0000-0000-000002750000}"/>
    <cellStyle name="Normal 2 3 3 6 3 2 3 2 3" xfId="30266" xr:uid="{00000000-0005-0000-0000-000003750000}"/>
    <cellStyle name="Normal 2 3 3 6 3 2 3 2 4" xfId="30267" xr:uid="{00000000-0005-0000-0000-000004750000}"/>
    <cellStyle name="Normal 2 3 3 6 3 2 3 2 5" xfId="30268" xr:uid="{00000000-0005-0000-0000-000005750000}"/>
    <cellStyle name="Normal 2 3 3 6 3 2 3 3" xfId="30269" xr:uid="{00000000-0005-0000-0000-000006750000}"/>
    <cellStyle name="Normal 2 3 3 6 3 2 3 4" xfId="30270" xr:uid="{00000000-0005-0000-0000-000007750000}"/>
    <cellStyle name="Normal 2 3 3 6 3 2 3 5" xfId="30271" xr:uid="{00000000-0005-0000-0000-000008750000}"/>
    <cellStyle name="Normal 2 3 3 6 3 2 3 6" xfId="30272" xr:uid="{00000000-0005-0000-0000-000009750000}"/>
    <cellStyle name="Normal 2 3 3 6 3 2 3 7" xfId="30273" xr:uid="{00000000-0005-0000-0000-00000A750000}"/>
    <cellStyle name="Normal 2 3 3 6 3 2 3 8" xfId="30274" xr:uid="{00000000-0005-0000-0000-00000B750000}"/>
    <cellStyle name="Normal 2 3 3 6 3 2 4" xfId="30275" xr:uid="{00000000-0005-0000-0000-00000C750000}"/>
    <cellStyle name="Normal 2 3 3 6 3 2 4 2" xfId="30276" xr:uid="{00000000-0005-0000-0000-00000D750000}"/>
    <cellStyle name="Normal 2 3 3 6 3 2 4 3" xfId="30277" xr:uid="{00000000-0005-0000-0000-00000E750000}"/>
    <cellStyle name="Normal 2 3 3 6 3 2 4 4" xfId="30278" xr:uid="{00000000-0005-0000-0000-00000F750000}"/>
    <cellStyle name="Normal 2 3 3 6 3 2 4 5" xfId="30279" xr:uid="{00000000-0005-0000-0000-000010750000}"/>
    <cellStyle name="Normal 2 3 3 6 3 2 5" xfId="30280" xr:uid="{00000000-0005-0000-0000-000011750000}"/>
    <cellStyle name="Normal 2 3 3 6 3 2 6" xfId="30281" xr:uid="{00000000-0005-0000-0000-000012750000}"/>
    <cellStyle name="Normal 2 3 3 6 3 2 7" xfId="30282" xr:uid="{00000000-0005-0000-0000-000013750000}"/>
    <cellStyle name="Normal 2 3 3 6 3 2 8" xfId="30283" xr:uid="{00000000-0005-0000-0000-000014750000}"/>
    <cellStyle name="Normal 2 3 3 6 3 2 9" xfId="30284" xr:uid="{00000000-0005-0000-0000-000015750000}"/>
    <cellStyle name="Normal 2 3 3 6 3 3" xfId="30285" xr:uid="{00000000-0005-0000-0000-000016750000}"/>
    <cellStyle name="Normal 2 3 3 6 3 3 2" xfId="30286" xr:uid="{00000000-0005-0000-0000-000017750000}"/>
    <cellStyle name="Normal 2 3 3 6 3 3 2 2" xfId="30287" xr:uid="{00000000-0005-0000-0000-000018750000}"/>
    <cellStyle name="Normal 2 3 3 6 3 3 2 3" xfId="30288" xr:uid="{00000000-0005-0000-0000-000019750000}"/>
    <cellStyle name="Normal 2 3 3 6 3 3 2 4" xfId="30289" xr:uid="{00000000-0005-0000-0000-00001A750000}"/>
    <cellStyle name="Normal 2 3 3 6 3 3 2 5" xfId="30290" xr:uid="{00000000-0005-0000-0000-00001B750000}"/>
    <cellStyle name="Normal 2 3 3 6 3 3 3" xfId="30291" xr:uid="{00000000-0005-0000-0000-00001C750000}"/>
    <cellStyle name="Normal 2 3 3 6 3 3 4" xfId="30292" xr:uid="{00000000-0005-0000-0000-00001D750000}"/>
    <cellStyle name="Normal 2 3 3 6 3 3 5" xfId="30293" xr:uid="{00000000-0005-0000-0000-00001E750000}"/>
    <cellStyle name="Normal 2 3 3 6 3 3 6" xfId="30294" xr:uid="{00000000-0005-0000-0000-00001F750000}"/>
    <cellStyle name="Normal 2 3 3 6 3 3 7" xfId="30295" xr:uid="{00000000-0005-0000-0000-000020750000}"/>
    <cellStyle name="Normal 2 3 3 6 3 3 8" xfId="30296" xr:uid="{00000000-0005-0000-0000-000021750000}"/>
    <cellStyle name="Normal 2 3 3 6 3 4" xfId="30297" xr:uid="{00000000-0005-0000-0000-000022750000}"/>
    <cellStyle name="Normal 2 3 3 6 3 4 2" xfId="30298" xr:uid="{00000000-0005-0000-0000-000023750000}"/>
    <cellStyle name="Normal 2 3 3 6 3 4 2 2" xfId="30299" xr:uid="{00000000-0005-0000-0000-000024750000}"/>
    <cellStyle name="Normal 2 3 3 6 3 4 2 3" xfId="30300" xr:uid="{00000000-0005-0000-0000-000025750000}"/>
    <cellStyle name="Normal 2 3 3 6 3 4 2 4" xfId="30301" xr:uid="{00000000-0005-0000-0000-000026750000}"/>
    <cellStyle name="Normal 2 3 3 6 3 4 2 5" xfId="30302" xr:uid="{00000000-0005-0000-0000-000027750000}"/>
    <cellStyle name="Normal 2 3 3 6 3 4 3" xfId="30303" xr:uid="{00000000-0005-0000-0000-000028750000}"/>
    <cellStyle name="Normal 2 3 3 6 3 4 4" xfId="30304" xr:uid="{00000000-0005-0000-0000-000029750000}"/>
    <cellStyle name="Normal 2 3 3 6 3 4 5" xfId="30305" xr:uid="{00000000-0005-0000-0000-00002A750000}"/>
    <cellStyle name="Normal 2 3 3 6 3 4 6" xfId="30306" xr:uid="{00000000-0005-0000-0000-00002B750000}"/>
    <cellStyle name="Normal 2 3 3 6 3 4 7" xfId="30307" xr:uid="{00000000-0005-0000-0000-00002C750000}"/>
    <cellStyle name="Normal 2 3 3 6 3 4 8" xfId="30308" xr:uid="{00000000-0005-0000-0000-00002D750000}"/>
    <cellStyle name="Normal 2 3 3 6 3 5" xfId="30309" xr:uid="{00000000-0005-0000-0000-00002E750000}"/>
    <cellStyle name="Normal 2 3 3 6 3 5 2" xfId="30310" xr:uid="{00000000-0005-0000-0000-00002F750000}"/>
    <cellStyle name="Normal 2 3 3 6 3 5 3" xfId="30311" xr:uid="{00000000-0005-0000-0000-000030750000}"/>
    <cellStyle name="Normal 2 3 3 6 3 5 4" xfId="30312" xr:uid="{00000000-0005-0000-0000-000031750000}"/>
    <cellStyle name="Normal 2 3 3 6 3 5 5" xfId="30313" xr:uid="{00000000-0005-0000-0000-000032750000}"/>
    <cellStyle name="Normal 2 3 3 6 3 6" xfId="30314" xr:uid="{00000000-0005-0000-0000-000033750000}"/>
    <cellStyle name="Normal 2 3 3 6 3 7" xfId="30315" xr:uid="{00000000-0005-0000-0000-000034750000}"/>
    <cellStyle name="Normal 2 3 3 6 3 8" xfId="30316" xr:uid="{00000000-0005-0000-0000-000035750000}"/>
    <cellStyle name="Normal 2 3 3 6 3 9" xfId="30317" xr:uid="{00000000-0005-0000-0000-000036750000}"/>
    <cellStyle name="Normal 2 3 3 6 4" xfId="30318" xr:uid="{00000000-0005-0000-0000-000037750000}"/>
    <cellStyle name="Normal 2 3 3 6 4 10" xfId="30319" xr:uid="{00000000-0005-0000-0000-000038750000}"/>
    <cellStyle name="Normal 2 3 3 6 4 2" xfId="30320" xr:uid="{00000000-0005-0000-0000-000039750000}"/>
    <cellStyle name="Normal 2 3 3 6 4 2 2" xfId="30321" xr:uid="{00000000-0005-0000-0000-00003A750000}"/>
    <cellStyle name="Normal 2 3 3 6 4 2 2 2" xfId="30322" xr:uid="{00000000-0005-0000-0000-00003B750000}"/>
    <cellStyle name="Normal 2 3 3 6 4 2 2 3" xfId="30323" xr:uid="{00000000-0005-0000-0000-00003C750000}"/>
    <cellStyle name="Normal 2 3 3 6 4 2 2 4" xfId="30324" xr:uid="{00000000-0005-0000-0000-00003D750000}"/>
    <cellStyle name="Normal 2 3 3 6 4 2 2 5" xfId="30325" xr:uid="{00000000-0005-0000-0000-00003E750000}"/>
    <cellStyle name="Normal 2 3 3 6 4 2 3" xfId="30326" xr:uid="{00000000-0005-0000-0000-00003F750000}"/>
    <cellStyle name="Normal 2 3 3 6 4 2 4" xfId="30327" xr:uid="{00000000-0005-0000-0000-000040750000}"/>
    <cellStyle name="Normal 2 3 3 6 4 2 5" xfId="30328" xr:uid="{00000000-0005-0000-0000-000041750000}"/>
    <cellStyle name="Normal 2 3 3 6 4 2 6" xfId="30329" xr:uid="{00000000-0005-0000-0000-000042750000}"/>
    <cellStyle name="Normal 2 3 3 6 4 2 7" xfId="30330" xr:uid="{00000000-0005-0000-0000-000043750000}"/>
    <cellStyle name="Normal 2 3 3 6 4 2 8" xfId="30331" xr:uid="{00000000-0005-0000-0000-000044750000}"/>
    <cellStyle name="Normal 2 3 3 6 4 3" xfId="30332" xr:uid="{00000000-0005-0000-0000-000045750000}"/>
    <cellStyle name="Normal 2 3 3 6 4 3 2" xfId="30333" xr:uid="{00000000-0005-0000-0000-000046750000}"/>
    <cellStyle name="Normal 2 3 3 6 4 3 2 2" xfId="30334" xr:uid="{00000000-0005-0000-0000-000047750000}"/>
    <cellStyle name="Normal 2 3 3 6 4 3 2 3" xfId="30335" xr:uid="{00000000-0005-0000-0000-000048750000}"/>
    <cellStyle name="Normal 2 3 3 6 4 3 2 4" xfId="30336" xr:uid="{00000000-0005-0000-0000-000049750000}"/>
    <cellStyle name="Normal 2 3 3 6 4 3 2 5" xfId="30337" xr:uid="{00000000-0005-0000-0000-00004A750000}"/>
    <cellStyle name="Normal 2 3 3 6 4 3 3" xfId="30338" xr:uid="{00000000-0005-0000-0000-00004B750000}"/>
    <cellStyle name="Normal 2 3 3 6 4 3 4" xfId="30339" xr:uid="{00000000-0005-0000-0000-00004C750000}"/>
    <cellStyle name="Normal 2 3 3 6 4 3 5" xfId="30340" xr:uid="{00000000-0005-0000-0000-00004D750000}"/>
    <cellStyle name="Normal 2 3 3 6 4 3 6" xfId="30341" xr:uid="{00000000-0005-0000-0000-00004E750000}"/>
    <cellStyle name="Normal 2 3 3 6 4 3 7" xfId="30342" xr:uid="{00000000-0005-0000-0000-00004F750000}"/>
    <cellStyle name="Normal 2 3 3 6 4 3 8" xfId="30343" xr:uid="{00000000-0005-0000-0000-000050750000}"/>
    <cellStyle name="Normal 2 3 3 6 4 4" xfId="30344" xr:uid="{00000000-0005-0000-0000-000051750000}"/>
    <cellStyle name="Normal 2 3 3 6 4 4 2" xfId="30345" xr:uid="{00000000-0005-0000-0000-000052750000}"/>
    <cellStyle name="Normal 2 3 3 6 4 4 3" xfId="30346" xr:uid="{00000000-0005-0000-0000-000053750000}"/>
    <cellStyle name="Normal 2 3 3 6 4 4 4" xfId="30347" xr:uid="{00000000-0005-0000-0000-000054750000}"/>
    <cellStyle name="Normal 2 3 3 6 4 4 5" xfId="30348" xr:uid="{00000000-0005-0000-0000-000055750000}"/>
    <cellStyle name="Normal 2 3 3 6 4 5" xfId="30349" xr:uid="{00000000-0005-0000-0000-000056750000}"/>
    <cellStyle name="Normal 2 3 3 6 4 6" xfId="30350" xr:uid="{00000000-0005-0000-0000-000057750000}"/>
    <cellStyle name="Normal 2 3 3 6 4 7" xfId="30351" xr:uid="{00000000-0005-0000-0000-000058750000}"/>
    <cellStyle name="Normal 2 3 3 6 4 8" xfId="30352" xr:uid="{00000000-0005-0000-0000-000059750000}"/>
    <cellStyle name="Normal 2 3 3 6 4 9" xfId="30353" xr:uid="{00000000-0005-0000-0000-00005A750000}"/>
    <cellStyle name="Normal 2 3 3 6 5" xfId="30354" xr:uid="{00000000-0005-0000-0000-00005B750000}"/>
    <cellStyle name="Normal 2 3 3 6 5 2" xfId="30355" xr:uid="{00000000-0005-0000-0000-00005C750000}"/>
    <cellStyle name="Normal 2 3 3 6 5 2 2" xfId="30356" xr:uid="{00000000-0005-0000-0000-00005D750000}"/>
    <cellStyle name="Normal 2 3 3 6 5 2 3" xfId="30357" xr:uid="{00000000-0005-0000-0000-00005E750000}"/>
    <cellStyle name="Normal 2 3 3 6 5 2 4" xfId="30358" xr:uid="{00000000-0005-0000-0000-00005F750000}"/>
    <cellStyle name="Normal 2 3 3 6 5 2 5" xfId="30359" xr:uid="{00000000-0005-0000-0000-000060750000}"/>
    <cellStyle name="Normal 2 3 3 6 5 3" xfId="30360" xr:uid="{00000000-0005-0000-0000-000061750000}"/>
    <cellStyle name="Normal 2 3 3 6 5 4" xfId="30361" xr:uid="{00000000-0005-0000-0000-000062750000}"/>
    <cellStyle name="Normal 2 3 3 6 5 5" xfId="30362" xr:uid="{00000000-0005-0000-0000-000063750000}"/>
    <cellStyle name="Normal 2 3 3 6 5 6" xfId="30363" xr:uid="{00000000-0005-0000-0000-000064750000}"/>
    <cellStyle name="Normal 2 3 3 6 5 7" xfId="30364" xr:uid="{00000000-0005-0000-0000-000065750000}"/>
    <cellStyle name="Normal 2 3 3 6 5 8" xfId="30365" xr:uid="{00000000-0005-0000-0000-000066750000}"/>
    <cellStyle name="Normal 2 3 3 6 6" xfId="30366" xr:uid="{00000000-0005-0000-0000-000067750000}"/>
    <cellStyle name="Normal 2 3 3 6 6 2" xfId="30367" xr:uid="{00000000-0005-0000-0000-000068750000}"/>
    <cellStyle name="Normal 2 3 3 6 6 2 2" xfId="30368" xr:uid="{00000000-0005-0000-0000-000069750000}"/>
    <cellStyle name="Normal 2 3 3 6 6 2 3" xfId="30369" xr:uid="{00000000-0005-0000-0000-00006A750000}"/>
    <cellStyle name="Normal 2 3 3 6 6 2 4" xfId="30370" xr:uid="{00000000-0005-0000-0000-00006B750000}"/>
    <cellStyle name="Normal 2 3 3 6 6 2 5" xfId="30371" xr:uid="{00000000-0005-0000-0000-00006C750000}"/>
    <cellStyle name="Normal 2 3 3 6 6 3" xfId="30372" xr:uid="{00000000-0005-0000-0000-00006D750000}"/>
    <cellStyle name="Normal 2 3 3 6 6 4" xfId="30373" xr:uid="{00000000-0005-0000-0000-00006E750000}"/>
    <cellStyle name="Normal 2 3 3 6 6 5" xfId="30374" xr:uid="{00000000-0005-0000-0000-00006F750000}"/>
    <cellStyle name="Normal 2 3 3 6 6 6" xfId="30375" xr:uid="{00000000-0005-0000-0000-000070750000}"/>
    <cellStyle name="Normal 2 3 3 6 6 7" xfId="30376" xr:uid="{00000000-0005-0000-0000-000071750000}"/>
    <cellStyle name="Normal 2 3 3 6 6 8" xfId="30377" xr:uid="{00000000-0005-0000-0000-000072750000}"/>
    <cellStyle name="Normal 2 3 3 6 7" xfId="30378" xr:uid="{00000000-0005-0000-0000-000073750000}"/>
    <cellStyle name="Normal 2 3 3 6 7 2" xfId="30379" xr:uid="{00000000-0005-0000-0000-000074750000}"/>
    <cellStyle name="Normal 2 3 3 6 7 3" xfId="30380" xr:uid="{00000000-0005-0000-0000-000075750000}"/>
    <cellStyle name="Normal 2 3 3 6 7 4" xfId="30381" xr:uid="{00000000-0005-0000-0000-000076750000}"/>
    <cellStyle name="Normal 2 3 3 6 7 5" xfId="30382" xr:uid="{00000000-0005-0000-0000-000077750000}"/>
    <cellStyle name="Normal 2 3 3 6 8" xfId="30383" xr:uid="{00000000-0005-0000-0000-000078750000}"/>
    <cellStyle name="Normal 2 3 3 6 9" xfId="30384" xr:uid="{00000000-0005-0000-0000-000079750000}"/>
    <cellStyle name="Normal 2 3 3 7" xfId="30385" xr:uid="{00000000-0005-0000-0000-00007A750000}"/>
    <cellStyle name="Normal 2 3 3 7 10" xfId="30386" xr:uid="{00000000-0005-0000-0000-00007B750000}"/>
    <cellStyle name="Normal 2 3 3 7 11" xfId="30387" xr:uid="{00000000-0005-0000-0000-00007C750000}"/>
    <cellStyle name="Normal 2 3 3 7 12" xfId="30388" xr:uid="{00000000-0005-0000-0000-00007D750000}"/>
    <cellStyle name="Normal 2 3 3 7 13" xfId="30389" xr:uid="{00000000-0005-0000-0000-00007E750000}"/>
    <cellStyle name="Normal 2 3 3 7 2" xfId="30390" xr:uid="{00000000-0005-0000-0000-00007F750000}"/>
    <cellStyle name="Normal 2 3 3 7 2 10" xfId="30391" xr:uid="{00000000-0005-0000-0000-000080750000}"/>
    <cellStyle name="Normal 2 3 3 7 2 11" xfId="30392" xr:uid="{00000000-0005-0000-0000-000081750000}"/>
    <cellStyle name="Normal 2 3 3 7 2 2" xfId="30393" xr:uid="{00000000-0005-0000-0000-000082750000}"/>
    <cellStyle name="Normal 2 3 3 7 2 2 10" xfId="30394" xr:uid="{00000000-0005-0000-0000-000083750000}"/>
    <cellStyle name="Normal 2 3 3 7 2 2 2" xfId="30395" xr:uid="{00000000-0005-0000-0000-000084750000}"/>
    <cellStyle name="Normal 2 3 3 7 2 2 2 2" xfId="30396" xr:uid="{00000000-0005-0000-0000-000085750000}"/>
    <cellStyle name="Normal 2 3 3 7 2 2 2 2 2" xfId="30397" xr:uid="{00000000-0005-0000-0000-000086750000}"/>
    <cellStyle name="Normal 2 3 3 7 2 2 2 2 3" xfId="30398" xr:uid="{00000000-0005-0000-0000-000087750000}"/>
    <cellStyle name="Normal 2 3 3 7 2 2 2 2 4" xfId="30399" xr:uid="{00000000-0005-0000-0000-000088750000}"/>
    <cellStyle name="Normal 2 3 3 7 2 2 2 2 5" xfId="30400" xr:uid="{00000000-0005-0000-0000-000089750000}"/>
    <cellStyle name="Normal 2 3 3 7 2 2 2 3" xfId="30401" xr:uid="{00000000-0005-0000-0000-00008A750000}"/>
    <cellStyle name="Normal 2 3 3 7 2 2 2 4" xfId="30402" xr:uid="{00000000-0005-0000-0000-00008B750000}"/>
    <cellStyle name="Normal 2 3 3 7 2 2 2 5" xfId="30403" xr:uid="{00000000-0005-0000-0000-00008C750000}"/>
    <cellStyle name="Normal 2 3 3 7 2 2 2 6" xfId="30404" xr:uid="{00000000-0005-0000-0000-00008D750000}"/>
    <cellStyle name="Normal 2 3 3 7 2 2 2 7" xfId="30405" xr:uid="{00000000-0005-0000-0000-00008E750000}"/>
    <cellStyle name="Normal 2 3 3 7 2 2 2 8" xfId="30406" xr:uid="{00000000-0005-0000-0000-00008F750000}"/>
    <cellStyle name="Normal 2 3 3 7 2 2 3" xfId="30407" xr:uid="{00000000-0005-0000-0000-000090750000}"/>
    <cellStyle name="Normal 2 3 3 7 2 2 3 2" xfId="30408" xr:uid="{00000000-0005-0000-0000-000091750000}"/>
    <cellStyle name="Normal 2 3 3 7 2 2 3 2 2" xfId="30409" xr:uid="{00000000-0005-0000-0000-000092750000}"/>
    <cellStyle name="Normal 2 3 3 7 2 2 3 2 3" xfId="30410" xr:uid="{00000000-0005-0000-0000-000093750000}"/>
    <cellStyle name="Normal 2 3 3 7 2 2 3 2 4" xfId="30411" xr:uid="{00000000-0005-0000-0000-000094750000}"/>
    <cellStyle name="Normal 2 3 3 7 2 2 3 2 5" xfId="30412" xr:uid="{00000000-0005-0000-0000-000095750000}"/>
    <cellStyle name="Normal 2 3 3 7 2 2 3 3" xfId="30413" xr:uid="{00000000-0005-0000-0000-000096750000}"/>
    <cellStyle name="Normal 2 3 3 7 2 2 3 4" xfId="30414" xr:uid="{00000000-0005-0000-0000-000097750000}"/>
    <cellStyle name="Normal 2 3 3 7 2 2 3 5" xfId="30415" xr:uid="{00000000-0005-0000-0000-000098750000}"/>
    <cellStyle name="Normal 2 3 3 7 2 2 3 6" xfId="30416" xr:uid="{00000000-0005-0000-0000-000099750000}"/>
    <cellStyle name="Normal 2 3 3 7 2 2 3 7" xfId="30417" xr:uid="{00000000-0005-0000-0000-00009A750000}"/>
    <cellStyle name="Normal 2 3 3 7 2 2 3 8" xfId="30418" xr:uid="{00000000-0005-0000-0000-00009B750000}"/>
    <cellStyle name="Normal 2 3 3 7 2 2 4" xfId="30419" xr:uid="{00000000-0005-0000-0000-00009C750000}"/>
    <cellStyle name="Normal 2 3 3 7 2 2 4 2" xfId="30420" xr:uid="{00000000-0005-0000-0000-00009D750000}"/>
    <cellStyle name="Normal 2 3 3 7 2 2 4 3" xfId="30421" xr:uid="{00000000-0005-0000-0000-00009E750000}"/>
    <cellStyle name="Normal 2 3 3 7 2 2 4 4" xfId="30422" xr:uid="{00000000-0005-0000-0000-00009F750000}"/>
    <cellStyle name="Normal 2 3 3 7 2 2 4 5" xfId="30423" xr:uid="{00000000-0005-0000-0000-0000A0750000}"/>
    <cellStyle name="Normal 2 3 3 7 2 2 5" xfId="30424" xr:uid="{00000000-0005-0000-0000-0000A1750000}"/>
    <cellStyle name="Normal 2 3 3 7 2 2 6" xfId="30425" xr:uid="{00000000-0005-0000-0000-0000A2750000}"/>
    <cellStyle name="Normal 2 3 3 7 2 2 7" xfId="30426" xr:uid="{00000000-0005-0000-0000-0000A3750000}"/>
    <cellStyle name="Normal 2 3 3 7 2 2 8" xfId="30427" xr:uid="{00000000-0005-0000-0000-0000A4750000}"/>
    <cellStyle name="Normal 2 3 3 7 2 2 9" xfId="30428" xr:uid="{00000000-0005-0000-0000-0000A5750000}"/>
    <cellStyle name="Normal 2 3 3 7 2 3" xfId="30429" xr:uid="{00000000-0005-0000-0000-0000A6750000}"/>
    <cellStyle name="Normal 2 3 3 7 2 3 2" xfId="30430" xr:uid="{00000000-0005-0000-0000-0000A7750000}"/>
    <cellStyle name="Normal 2 3 3 7 2 3 2 2" xfId="30431" xr:uid="{00000000-0005-0000-0000-0000A8750000}"/>
    <cellStyle name="Normal 2 3 3 7 2 3 2 3" xfId="30432" xr:uid="{00000000-0005-0000-0000-0000A9750000}"/>
    <cellStyle name="Normal 2 3 3 7 2 3 2 4" xfId="30433" xr:uid="{00000000-0005-0000-0000-0000AA750000}"/>
    <cellStyle name="Normal 2 3 3 7 2 3 2 5" xfId="30434" xr:uid="{00000000-0005-0000-0000-0000AB750000}"/>
    <cellStyle name="Normal 2 3 3 7 2 3 3" xfId="30435" xr:uid="{00000000-0005-0000-0000-0000AC750000}"/>
    <cellStyle name="Normal 2 3 3 7 2 3 4" xfId="30436" xr:uid="{00000000-0005-0000-0000-0000AD750000}"/>
    <cellStyle name="Normal 2 3 3 7 2 3 5" xfId="30437" xr:uid="{00000000-0005-0000-0000-0000AE750000}"/>
    <cellStyle name="Normal 2 3 3 7 2 3 6" xfId="30438" xr:uid="{00000000-0005-0000-0000-0000AF750000}"/>
    <cellStyle name="Normal 2 3 3 7 2 3 7" xfId="30439" xr:uid="{00000000-0005-0000-0000-0000B0750000}"/>
    <cellStyle name="Normal 2 3 3 7 2 3 8" xfId="30440" xr:uid="{00000000-0005-0000-0000-0000B1750000}"/>
    <cellStyle name="Normal 2 3 3 7 2 4" xfId="30441" xr:uid="{00000000-0005-0000-0000-0000B2750000}"/>
    <cellStyle name="Normal 2 3 3 7 2 4 2" xfId="30442" xr:uid="{00000000-0005-0000-0000-0000B3750000}"/>
    <cellStyle name="Normal 2 3 3 7 2 4 2 2" xfId="30443" xr:uid="{00000000-0005-0000-0000-0000B4750000}"/>
    <cellStyle name="Normal 2 3 3 7 2 4 2 3" xfId="30444" xr:uid="{00000000-0005-0000-0000-0000B5750000}"/>
    <cellStyle name="Normal 2 3 3 7 2 4 2 4" xfId="30445" xr:uid="{00000000-0005-0000-0000-0000B6750000}"/>
    <cellStyle name="Normal 2 3 3 7 2 4 2 5" xfId="30446" xr:uid="{00000000-0005-0000-0000-0000B7750000}"/>
    <cellStyle name="Normal 2 3 3 7 2 4 3" xfId="30447" xr:uid="{00000000-0005-0000-0000-0000B8750000}"/>
    <cellStyle name="Normal 2 3 3 7 2 4 4" xfId="30448" xr:uid="{00000000-0005-0000-0000-0000B9750000}"/>
    <cellStyle name="Normal 2 3 3 7 2 4 5" xfId="30449" xr:uid="{00000000-0005-0000-0000-0000BA750000}"/>
    <cellStyle name="Normal 2 3 3 7 2 4 6" xfId="30450" xr:uid="{00000000-0005-0000-0000-0000BB750000}"/>
    <cellStyle name="Normal 2 3 3 7 2 4 7" xfId="30451" xr:uid="{00000000-0005-0000-0000-0000BC750000}"/>
    <cellStyle name="Normal 2 3 3 7 2 4 8" xfId="30452" xr:uid="{00000000-0005-0000-0000-0000BD750000}"/>
    <cellStyle name="Normal 2 3 3 7 2 5" xfId="30453" xr:uid="{00000000-0005-0000-0000-0000BE750000}"/>
    <cellStyle name="Normal 2 3 3 7 2 5 2" xfId="30454" xr:uid="{00000000-0005-0000-0000-0000BF750000}"/>
    <cellStyle name="Normal 2 3 3 7 2 5 3" xfId="30455" xr:uid="{00000000-0005-0000-0000-0000C0750000}"/>
    <cellStyle name="Normal 2 3 3 7 2 5 4" xfId="30456" xr:uid="{00000000-0005-0000-0000-0000C1750000}"/>
    <cellStyle name="Normal 2 3 3 7 2 5 5" xfId="30457" xr:uid="{00000000-0005-0000-0000-0000C2750000}"/>
    <cellStyle name="Normal 2 3 3 7 2 6" xfId="30458" xr:uid="{00000000-0005-0000-0000-0000C3750000}"/>
    <cellStyle name="Normal 2 3 3 7 2 7" xfId="30459" xr:uid="{00000000-0005-0000-0000-0000C4750000}"/>
    <cellStyle name="Normal 2 3 3 7 2 8" xfId="30460" xr:uid="{00000000-0005-0000-0000-0000C5750000}"/>
    <cellStyle name="Normal 2 3 3 7 2 9" xfId="30461" xr:uid="{00000000-0005-0000-0000-0000C6750000}"/>
    <cellStyle name="Normal 2 3 3 7 3" xfId="30462" xr:uid="{00000000-0005-0000-0000-0000C7750000}"/>
    <cellStyle name="Normal 2 3 3 7 3 10" xfId="30463" xr:uid="{00000000-0005-0000-0000-0000C8750000}"/>
    <cellStyle name="Normal 2 3 3 7 3 11" xfId="30464" xr:uid="{00000000-0005-0000-0000-0000C9750000}"/>
    <cellStyle name="Normal 2 3 3 7 3 2" xfId="30465" xr:uid="{00000000-0005-0000-0000-0000CA750000}"/>
    <cellStyle name="Normal 2 3 3 7 3 2 10" xfId="30466" xr:uid="{00000000-0005-0000-0000-0000CB750000}"/>
    <cellStyle name="Normal 2 3 3 7 3 2 2" xfId="30467" xr:uid="{00000000-0005-0000-0000-0000CC750000}"/>
    <cellStyle name="Normal 2 3 3 7 3 2 2 2" xfId="30468" xr:uid="{00000000-0005-0000-0000-0000CD750000}"/>
    <cellStyle name="Normal 2 3 3 7 3 2 2 2 2" xfId="30469" xr:uid="{00000000-0005-0000-0000-0000CE750000}"/>
    <cellStyle name="Normal 2 3 3 7 3 2 2 2 3" xfId="30470" xr:uid="{00000000-0005-0000-0000-0000CF750000}"/>
    <cellStyle name="Normal 2 3 3 7 3 2 2 2 4" xfId="30471" xr:uid="{00000000-0005-0000-0000-0000D0750000}"/>
    <cellStyle name="Normal 2 3 3 7 3 2 2 2 5" xfId="30472" xr:uid="{00000000-0005-0000-0000-0000D1750000}"/>
    <cellStyle name="Normal 2 3 3 7 3 2 2 3" xfId="30473" xr:uid="{00000000-0005-0000-0000-0000D2750000}"/>
    <cellStyle name="Normal 2 3 3 7 3 2 2 4" xfId="30474" xr:uid="{00000000-0005-0000-0000-0000D3750000}"/>
    <cellStyle name="Normal 2 3 3 7 3 2 2 5" xfId="30475" xr:uid="{00000000-0005-0000-0000-0000D4750000}"/>
    <cellStyle name="Normal 2 3 3 7 3 2 2 6" xfId="30476" xr:uid="{00000000-0005-0000-0000-0000D5750000}"/>
    <cellStyle name="Normal 2 3 3 7 3 2 2 7" xfId="30477" xr:uid="{00000000-0005-0000-0000-0000D6750000}"/>
    <cellStyle name="Normal 2 3 3 7 3 2 2 8" xfId="30478" xr:uid="{00000000-0005-0000-0000-0000D7750000}"/>
    <cellStyle name="Normal 2 3 3 7 3 2 3" xfId="30479" xr:uid="{00000000-0005-0000-0000-0000D8750000}"/>
    <cellStyle name="Normal 2 3 3 7 3 2 3 2" xfId="30480" xr:uid="{00000000-0005-0000-0000-0000D9750000}"/>
    <cellStyle name="Normal 2 3 3 7 3 2 3 2 2" xfId="30481" xr:uid="{00000000-0005-0000-0000-0000DA750000}"/>
    <cellStyle name="Normal 2 3 3 7 3 2 3 2 3" xfId="30482" xr:uid="{00000000-0005-0000-0000-0000DB750000}"/>
    <cellStyle name="Normal 2 3 3 7 3 2 3 2 4" xfId="30483" xr:uid="{00000000-0005-0000-0000-0000DC750000}"/>
    <cellStyle name="Normal 2 3 3 7 3 2 3 2 5" xfId="30484" xr:uid="{00000000-0005-0000-0000-0000DD750000}"/>
    <cellStyle name="Normal 2 3 3 7 3 2 3 3" xfId="30485" xr:uid="{00000000-0005-0000-0000-0000DE750000}"/>
    <cellStyle name="Normal 2 3 3 7 3 2 3 4" xfId="30486" xr:uid="{00000000-0005-0000-0000-0000DF750000}"/>
    <cellStyle name="Normal 2 3 3 7 3 2 3 5" xfId="30487" xr:uid="{00000000-0005-0000-0000-0000E0750000}"/>
    <cellStyle name="Normal 2 3 3 7 3 2 3 6" xfId="30488" xr:uid="{00000000-0005-0000-0000-0000E1750000}"/>
    <cellStyle name="Normal 2 3 3 7 3 2 3 7" xfId="30489" xr:uid="{00000000-0005-0000-0000-0000E2750000}"/>
    <cellStyle name="Normal 2 3 3 7 3 2 3 8" xfId="30490" xr:uid="{00000000-0005-0000-0000-0000E3750000}"/>
    <cellStyle name="Normal 2 3 3 7 3 2 4" xfId="30491" xr:uid="{00000000-0005-0000-0000-0000E4750000}"/>
    <cellStyle name="Normal 2 3 3 7 3 2 4 2" xfId="30492" xr:uid="{00000000-0005-0000-0000-0000E5750000}"/>
    <cellStyle name="Normal 2 3 3 7 3 2 4 3" xfId="30493" xr:uid="{00000000-0005-0000-0000-0000E6750000}"/>
    <cellStyle name="Normal 2 3 3 7 3 2 4 4" xfId="30494" xr:uid="{00000000-0005-0000-0000-0000E7750000}"/>
    <cellStyle name="Normal 2 3 3 7 3 2 4 5" xfId="30495" xr:uid="{00000000-0005-0000-0000-0000E8750000}"/>
    <cellStyle name="Normal 2 3 3 7 3 2 5" xfId="30496" xr:uid="{00000000-0005-0000-0000-0000E9750000}"/>
    <cellStyle name="Normal 2 3 3 7 3 2 6" xfId="30497" xr:uid="{00000000-0005-0000-0000-0000EA750000}"/>
    <cellStyle name="Normal 2 3 3 7 3 2 7" xfId="30498" xr:uid="{00000000-0005-0000-0000-0000EB750000}"/>
    <cellStyle name="Normal 2 3 3 7 3 2 8" xfId="30499" xr:uid="{00000000-0005-0000-0000-0000EC750000}"/>
    <cellStyle name="Normal 2 3 3 7 3 2 9" xfId="30500" xr:uid="{00000000-0005-0000-0000-0000ED750000}"/>
    <cellStyle name="Normal 2 3 3 7 3 3" xfId="30501" xr:uid="{00000000-0005-0000-0000-0000EE750000}"/>
    <cellStyle name="Normal 2 3 3 7 3 3 2" xfId="30502" xr:uid="{00000000-0005-0000-0000-0000EF750000}"/>
    <cellStyle name="Normal 2 3 3 7 3 3 2 2" xfId="30503" xr:uid="{00000000-0005-0000-0000-0000F0750000}"/>
    <cellStyle name="Normal 2 3 3 7 3 3 2 3" xfId="30504" xr:uid="{00000000-0005-0000-0000-0000F1750000}"/>
    <cellStyle name="Normal 2 3 3 7 3 3 2 4" xfId="30505" xr:uid="{00000000-0005-0000-0000-0000F2750000}"/>
    <cellStyle name="Normal 2 3 3 7 3 3 2 5" xfId="30506" xr:uid="{00000000-0005-0000-0000-0000F3750000}"/>
    <cellStyle name="Normal 2 3 3 7 3 3 3" xfId="30507" xr:uid="{00000000-0005-0000-0000-0000F4750000}"/>
    <cellStyle name="Normal 2 3 3 7 3 3 4" xfId="30508" xr:uid="{00000000-0005-0000-0000-0000F5750000}"/>
    <cellStyle name="Normal 2 3 3 7 3 3 5" xfId="30509" xr:uid="{00000000-0005-0000-0000-0000F6750000}"/>
    <cellStyle name="Normal 2 3 3 7 3 3 6" xfId="30510" xr:uid="{00000000-0005-0000-0000-0000F7750000}"/>
    <cellStyle name="Normal 2 3 3 7 3 3 7" xfId="30511" xr:uid="{00000000-0005-0000-0000-0000F8750000}"/>
    <cellStyle name="Normal 2 3 3 7 3 3 8" xfId="30512" xr:uid="{00000000-0005-0000-0000-0000F9750000}"/>
    <cellStyle name="Normal 2 3 3 7 3 4" xfId="30513" xr:uid="{00000000-0005-0000-0000-0000FA750000}"/>
    <cellStyle name="Normal 2 3 3 7 3 4 2" xfId="30514" xr:uid="{00000000-0005-0000-0000-0000FB750000}"/>
    <cellStyle name="Normal 2 3 3 7 3 4 2 2" xfId="30515" xr:uid="{00000000-0005-0000-0000-0000FC750000}"/>
    <cellStyle name="Normal 2 3 3 7 3 4 2 3" xfId="30516" xr:uid="{00000000-0005-0000-0000-0000FD750000}"/>
    <cellStyle name="Normal 2 3 3 7 3 4 2 4" xfId="30517" xr:uid="{00000000-0005-0000-0000-0000FE750000}"/>
    <cellStyle name="Normal 2 3 3 7 3 4 2 5" xfId="30518" xr:uid="{00000000-0005-0000-0000-0000FF750000}"/>
    <cellStyle name="Normal 2 3 3 7 3 4 3" xfId="30519" xr:uid="{00000000-0005-0000-0000-000000760000}"/>
    <cellStyle name="Normal 2 3 3 7 3 4 4" xfId="30520" xr:uid="{00000000-0005-0000-0000-000001760000}"/>
    <cellStyle name="Normal 2 3 3 7 3 4 5" xfId="30521" xr:uid="{00000000-0005-0000-0000-000002760000}"/>
    <cellStyle name="Normal 2 3 3 7 3 4 6" xfId="30522" xr:uid="{00000000-0005-0000-0000-000003760000}"/>
    <cellStyle name="Normal 2 3 3 7 3 4 7" xfId="30523" xr:uid="{00000000-0005-0000-0000-000004760000}"/>
    <cellStyle name="Normal 2 3 3 7 3 4 8" xfId="30524" xr:uid="{00000000-0005-0000-0000-000005760000}"/>
    <cellStyle name="Normal 2 3 3 7 3 5" xfId="30525" xr:uid="{00000000-0005-0000-0000-000006760000}"/>
    <cellStyle name="Normal 2 3 3 7 3 5 2" xfId="30526" xr:uid="{00000000-0005-0000-0000-000007760000}"/>
    <cellStyle name="Normal 2 3 3 7 3 5 3" xfId="30527" xr:uid="{00000000-0005-0000-0000-000008760000}"/>
    <cellStyle name="Normal 2 3 3 7 3 5 4" xfId="30528" xr:uid="{00000000-0005-0000-0000-000009760000}"/>
    <cellStyle name="Normal 2 3 3 7 3 5 5" xfId="30529" xr:uid="{00000000-0005-0000-0000-00000A760000}"/>
    <cellStyle name="Normal 2 3 3 7 3 6" xfId="30530" xr:uid="{00000000-0005-0000-0000-00000B760000}"/>
    <cellStyle name="Normal 2 3 3 7 3 7" xfId="30531" xr:uid="{00000000-0005-0000-0000-00000C760000}"/>
    <cellStyle name="Normal 2 3 3 7 3 8" xfId="30532" xr:uid="{00000000-0005-0000-0000-00000D760000}"/>
    <cellStyle name="Normal 2 3 3 7 3 9" xfId="30533" xr:uid="{00000000-0005-0000-0000-00000E760000}"/>
    <cellStyle name="Normal 2 3 3 7 4" xfId="30534" xr:uid="{00000000-0005-0000-0000-00000F760000}"/>
    <cellStyle name="Normal 2 3 3 7 4 10" xfId="30535" xr:uid="{00000000-0005-0000-0000-000010760000}"/>
    <cellStyle name="Normal 2 3 3 7 4 2" xfId="30536" xr:uid="{00000000-0005-0000-0000-000011760000}"/>
    <cellStyle name="Normal 2 3 3 7 4 2 2" xfId="30537" xr:uid="{00000000-0005-0000-0000-000012760000}"/>
    <cellStyle name="Normal 2 3 3 7 4 2 2 2" xfId="30538" xr:uid="{00000000-0005-0000-0000-000013760000}"/>
    <cellStyle name="Normal 2 3 3 7 4 2 2 3" xfId="30539" xr:uid="{00000000-0005-0000-0000-000014760000}"/>
    <cellStyle name="Normal 2 3 3 7 4 2 2 4" xfId="30540" xr:uid="{00000000-0005-0000-0000-000015760000}"/>
    <cellStyle name="Normal 2 3 3 7 4 2 2 5" xfId="30541" xr:uid="{00000000-0005-0000-0000-000016760000}"/>
    <cellStyle name="Normal 2 3 3 7 4 2 3" xfId="30542" xr:uid="{00000000-0005-0000-0000-000017760000}"/>
    <cellStyle name="Normal 2 3 3 7 4 2 4" xfId="30543" xr:uid="{00000000-0005-0000-0000-000018760000}"/>
    <cellStyle name="Normal 2 3 3 7 4 2 5" xfId="30544" xr:uid="{00000000-0005-0000-0000-000019760000}"/>
    <cellStyle name="Normal 2 3 3 7 4 2 6" xfId="30545" xr:uid="{00000000-0005-0000-0000-00001A760000}"/>
    <cellStyle name="Normal 2 3 3 7 4 2 7" xfId="30546" xr:uid="{00000000-0005-0000-0000-00001B760000}"/>
    <cellStyle name="Normal 2 3 3 7 4 2 8" xfId="30547" xr:uid="{00000000-0005-0000-0000-00001C760000}"/>
    <cellStyle name="Normal 2 3 3 7 4 3" xfId="30548" xr:uid="{00000000-0005-0000-0000-00001D760000}"/>
    <cellStyle name="Normal 2 3 3 7 4 3 2" xfId="30549" xr:uid="{00000000-0005-0000-0000-00001E760000}"/>
    <cellStyle name="Normal 2 3 3 7 4 3 2 2" xfId="30550" xr:uid="{00000000-0005-0000-0000-00001F760000}"/>
    <cellStyle name="Normal 2 3 3 7 4 3 2 3" xfId="30551" xr:uid="{00000000-0005-0000-0000-000020760000}"/>
    <cellStyle name="Normal 2 3 3 7 4 3 2 4" xfId="30552" xr:uid="{00000000-0005-0000-0000-000021760000}"/>
    <cellStyle name="Normal 2 3 3 7 4 3 2 5" xfId="30553" xr:uid="{00000000-0005-0000-0000-000022760000}"/>
    <cellStyle name="Normal 2 3 3 7 4 3 3" xfId="30554" xr:uid="{00000000-0005-0000-0000-000023760000}"/>
    <cellStyle name="Normal 2 3 3 7 4 3 4" xfId="30555" xr:uid="{00000000-0005-0000-0000-000024760000}"/>
    <cellStyle name="Normal 2 3 3 7 4 3 5" xfId="30556" xr:uid="{00000000-0005-0000-0000-000025760000}"/>
    <cellStyle name="Normal 2 3 3 7 4 3 6" xfId="30557" xr:uid="{00000000-0005-0000-0000-000026760000}"/>
    <cellStyle name="Normal 2 3 3 7 4 3 7" xfId="30558" xr:uid="{00000000-0005-0000-0000-000027760000}"/>
    <cellStyle name="Normal 2 3 3 7 4 3 8" xfId="30559" xr:uid="{00000000-0005-0000-0000-000028760000}"/>
    <cellStyle name="Normal 2 3 3 7 4 4" xfId="30560" xr:uid="{00000000-0005-0000-0000-000029760000}"/>
    <cellStyle name="Normal 2 3 3 7 4 4 2" xfId="30561" xr:uid="{00000000-0005-0000-0000-00002A760000}"/>
    <cellStyle name="Normal 2 3 3 7 4 4 3" xfId="30562" xr:uid="{00000000-0005-0000-0000-00002B760000}"/>
    <cellStyle name="Normal 2 3 3 7 4 4 4" xfId="30563" xr:uid="{00000000-0005-0000-0000-00002C760000}"/>
    <cellStyle name="Normal 2 3 3 7 4 4 5" xfId="30564" xr:uid="{00000000-0005-0000-0000-00002D760000}"/>
    <cellStyle name="Normal 2 3 3 7 4 5" xfId="30565" xr:uid="{00000000-0005-0000-0000-00002E760000}"/>
    <cellStyle name="Normal 2 3 3 7 4 6" xfId="30566" xr:uid="{00000000-0005-0000-0000-00002F760000}"/>
    <cellStyle name="Normal 2 3 3 7 4 7" xfId="30567" xr:uid="{00000000-0005-0000-0000-000030760000}"/>
    <cellStyle name="Normal 2 3 3 7 4 8" xfId="30568" xr:uid="{00000000-0005-0000-0000-000031760000}"/>
    <cellStyle name="Normal 2 3 3 7 4 9" xfId="30569" xr:uid="{00000000-0005-0000-0000-000032760000}"/>
    <cellStyle name="Normal 2 3 3 7 5" xfId="30570" xr:uid="{00000000-0005-0000-0000-000033760000}"/>
    <cellStyle name="Normal 2 3 3 7 5 2" xfId="30571" xr:uid="{00000000-0005-0000-0000-000034760000}"/>
    <cellStyle name="Normal 2 3 3 7 5 2 2" xfId="30572" xr:uid="{00000000-0005-0000-0000-000035760000}"/>
    <cellStyle name="Normal 2 3 3 7 5 2 3" xfId="30573" xr:uid="{00000000-0005-0000-0000-000036760000}"/>
    <cellStyle name="Normal 2 3 3 7 5 2 4" xfId="30574" xr:uid="{00000000-0005-0000-0000-000037760000}"/>
    <cellStyle name="Normal 2 3 3 7 5 2 5" xfId="30575" xr:uid="{00000000-0005-0000-0000-000038760000}"/>
    <cellStyle name="Normal 2 3 3 7 5 3" xfId="30576" xr:uid="{00000000-0005-0000-0000-000039760000}"/>
    <cellStyle name="Normal 2 3 3 7 5 4" xfId="30577" xr:uid="{00000000-0005-0000-0000-00003A760000}"/>
    <cellStyle name="Normal 2 3 3 7 5 5" xfId="30578" xr:uid="{00000000-0005-0000-0000-00003B760000}"/>
    <cellStyle name="Normal 2 3 3 7 5 6" xfId="30579" xr:uid="{00000000-0005-0000-0000-00003C760000}"/>
    <cellStyle name="Normal 2 3 3 7 5 7" xfId="30580" xr:uid="{00000000-0005-0000-0000-00003D760000}"/>
    <cellStyle name="Normal 2 3 3 7 5 8" xfId="30581" xr:uid="{00000000-0005-0000-0000-00003E760000}"/>
    <cellStyle name="Normal 2 3 3 7 6" xfId="30582" xr:uid="{00000000-0005-0000-0000-00003F760000}"/>
    <cellStyle name="Normal 2 3 3 7 6 2" xfId="30583" xr:uid="{00000000-0005-0000-0000-000040760000}"/>
    <cellStyle name="Normal 2 3 3 7 6 2 2" xfId="30584" xr:uid="{00000000-0005-0000-0000-000041760000}"/>
    <cellStyle name="Normal 2 3 3 7 6 2 3" xfId="30585" xr:uid="{00000000-0005-0000-0000-000042760000}"/>
    <cellStyle name="Normal 2 3 3 7 6 2 4" xfId="30586" xr:uid="{00000000-0005-0000-0000-000043760000}"/>
    <cellStyle name="Normal 2 3 3 7 6 2 5" xfId="30587" xr:uid="{00000000-0005-0000-0000-000044760000}"/>
    <cellStyle name="Normal 2 3 3 7 6 3" xfId="30588" xr:uid="{00000000-0005-0000-0000-000045760000}"/>
    <cellStyle name="Normal 2 3 3 7 6 4" xfId="30589" xr:uid="{00000000-0005-0000-0000-000046760000}"/>
    <cellStyle name="Normal 2 3 3 7 6 5" xfId="30590" xr:uid="{00000000-0005-0000-0000-000047760000}"/>
    <cellStyle name="Normal 2 3 3 7 6 6" xfId="30591" xr:uid="{00000000-0005-0000-0000-000048760000}"/>
    <cellStyle name="Normal 2 3 3 7 6 7" xfId="30592" xr:uid="{00000000-0005-0000-0000-000049760000}"/>
    <cellStyle name="Normal 2 3 3 7 6 8" xfId="30593" xr:uid="{00000000-0005-0000-0000-00004A760000}"/>
    <cellStyle name="Normal 2 3 3 7 7" xfId="30594" xr:uid="{00000000-0005-0000-0000-00004B760000}"/>
    <cellStyle name="Normal 2 3 3 7 7 2" xfId="30595" xr:uid="{00000000-0005-0000-0000-00004C760000}"/>
    <cellStyle name="Normal 2 3 3 7 7 3" xfId="30596" xr:uid="{00000000-0005-0000-0000-00004D760000}"/>
    <cellStyle name="Normal 2 3 3 7 7 4" xfId="30597" xr:uid="{00000000-0005-0000-0000-00004E760000}"/>
    <cellStyle name="Normal 2 3 3 7 7 5" xfId="30598" xr:uid="{00000000-0005-0000-0000-00004F760000}"/>
    <cellStyle name="Normal 2 3 3 7 8" xfId="30599" xr:uid="{00000000-0005-0000-0000-000050760000}"/>
    <cellStyle name="Normal 2 3 3 7 9" xfId="30600" xr:uid="{00000000-0005-0000-0000-000051760000}"/>
    <cellStyle name="Normal 2 3 3 8" xfId="30601" xr:uid="{00000000-0005-0000-0000-000052760000}"/>
    <cellStyle name="Normal 2 3 3 8 10" xfId="30602" xr:uid="{00000000-0005-0000-0000-000053760000}"/>
    <cellStyle name="Normal 2 3 3 8 11" xfId="30603" xr:uid="{00000000-0005-0000-0000-000054760000}"/>
    <cellStyle name="Normal 2 3 3 8 12" xfId="30604" xr:uid="{00000000-0005-0000-0000-000055760000}"/>
    <cellStyle name="Normal 2 3 3 8 13" xfId="30605" xr:uid="{00000000-0005-0000-0000-000056760000}"/>
    <cellStyle name="Normal 2 3 3 8 2" xfId="30606" xr:uid="{00000000-0005-0000-0000-000057760000}"/>
    <cellStyle name="Normal 2 3 3 8 2 10" xfId="30607" xr:uid="{00000000-0005-0000-0000-000058760000}"/>
    <cellStyle name="Normal 2 3 3 8 2 11" xfId="30608" xr:uid="{00000000-0005-0000-0000-000059760000}"/>
    <cellStyle name="Normal 2 3 3 8 2 2" xfId="30609" xr:uid="{00000000-0005-0000-0000-00005A760000}"/>
    <cellStyle name="Normal 2 3 3 8 2 2 10" xfId="30610" xr:uid="{00000000-0005-0000-0000-00005B760000}"/>
    <cellStyle name="Normal 2 3 3 8 2 2 2" xfId="30611" xr:uid="{00000000-0005-0000-0000-00005C760000}"/>
    <cellStyle name="Normal 2 3 3 8 2 2 2 2" xfId="30612" xr:uid="{00000000-0005-0000-0000-00005D760000}"/>
    <cellStyle name="Normal 2 3 3 8 2 2 2 2 2" xfId="30613" xr:uid="{00000000-0005-0000-0000-00005E760000}"/>
    <cellStyle name="Normal 2 3 3 8 2 2 2 2 3" xfId="30614" xr:uid="{00000000-0005-0000-0000-00005F760000}"/>
    <cellStyle name="Normal 2 3 3 8 2 2 2 2 4" xfId="30615" xr:uid="{00000000-0005-0000-0000-000060760000}"/>
    <cellStyle name="Normal 2 3 3 8 2 2 2 2 5" xfId="30616" xr:uid="{00000000-0005-0000-0000-000061760000}"/>
    <cellStyle name="Normal 2 3 3 8 2 2 2 3" xfId="30617" xr:uid="{00000000-0005-0000-0000-000062760000}"/>
    <cellStyle name="Normal 2 3 3 8 2 2 2 4" xfId="30618" xr:uid="{00000000-0005-0000-0000-000063760000}"/>
    <cellStyle name="Normal 2 3 3 8 2 2 2 5" xfId="30619" xr:uid="{00000000-0005-0000-0000-000064760000}"/>
    <cellStyle name="Normal 2 3 3 8 2 2 2 6" xfId="30620" xr:uid="{00000000-0005-0000-0000-000065760000}"/>
    <cellStyle name="Normal 2 3 3 8 2 2 2 7" xfId="30621" xr:uid="{00000000-0005-0000-0000-000066760000}"/>
    <cellStyle name="Normal 2 3 3 8 2 2 2 8" xfId="30622" xr:uid="{00000000-0005-0000-0000-000067760000}"/>
    <cellStyle name="Normal 2 3 3 8 2 2 3" xfId="30623" xr:uid="{00000000-0005-0000-0000-000068760000}"/>
    <cellStyle name="Normal 2 3 3 8 2 2 3 2" xfId="30624" xr:uid="{00000000-0005-0000-0000-000069760000}"/>
    <cellStyle name="Normal 2 3 3 8 2 2 3 2 2" xfId="30625" xr:uid="{00000000-0005-0000-0000-00006A760000}"/>
    <cellStyle name="Normal 2 3 3 8 2 2 3 2 3" xfId="30626" xr:uid="{00000000-0005-0000-0000-00006B760000}"/>
    <cellStyle name="Normal 2 3 3 8 2 2 3 2 4" xfId="30627" xr:uid="{00000000-0005-0000-0000-00006C760000}"/>
    <cellStyle name="Normal 2 3 3 8 2 2 3 2 5" xfId="30628" xr:uid="{00000000-0005-0000-0000-00006D760000}"/>
    <cellStyle name="Normal 2 3 3 8 2 2 3 3" xfId="30629" xr:uid="{00000000-0005-0000-0000-00006E760000}"/>
    <cellStyle name="Normal 2 3 3 8 2 2 3 4" xfId="30630" xr:uid="{00000000-0005-0000-0000-00006F760000}"/>
    <cellStyle name="Normal 2 3 3 8 2 2 3 5" xfId="30631" xr:uid="{00000000-0005-0000-0000-000070760000}"/>
    <cellStyle name="Normal 2 3 3 8 2 2 3 6" xfId="30632" xr:uid="{00000000-0005-0000-0000-000071760000}"/>
    <cellStyle name="Normal 2 3 3 8 2 2 3 7" xfId="30633" xr:uid="{00000000-0005-0000-0000-000072760000}"/>
    <cellStyle name="Normal 2 3 3 8 2 2 3 8" xfId="30634" xr:uid="{00000000-0005-0000-0000-000073760000}"/>
    <cellStyle name="Normal 2 3 3 8 2 2 4" xfId="30635" xr:uid="{00000000-0005-0000-0000-000074760000}"/>
    <cellStyle name="Normal 2 3 3 8 2 2 4 2" xfId="30636" xr:uid="{00000000-0005-0000-0000-000075760000}"/>
    <cellStyle name="Normal 2 3 3 8 2 2 4 3" xfId="30637" xr:uid="{00000000-0005-0000-0000-000076760000}"/>
    <cellStyle name="Normal 2 3 3 8 2 2 4 4" xfId="30638" xr:uid="{00000000-0005-0000-0000-000077760000}"/>
    <cellStyle name="Normal 2 3 3 8 2 2 4 5" xfId="30639" xr:uid="{00000000-0005-0000-0000-000078760000}"/>
    <cellStyle name="Normal 2 3 3 8 2 2 5" xfId="30640" xr:uid="{00000000-0005-0000-0000-000079760000}"/>
    <cellStyle name="Normal 2 3 3 8 2 2 6" xfId="30641" xr:uid="{00000000-0005-0000-0000-00007A760000}"/>
    <cellStyle name="Normal 2 3 3 8 2 2 7" xfId="30642" xr:uid="{00000000-0005-0000-0000-00007B760000}"/>
    <cellStyle name="Normal 2 3 3 8 2 2 8" xfId="30643" xr:uid="{00000000-0005-0000-0000-00007C760000}"/>
    <cellStyle name="Normal 2 3 3 8 2 2 9" xfId="30644" xr:uid="{00000000-0005-0000-0000-00007D760000}"/>
    <cellStyle name="Normal 2 3 3 8 2 3" xfId="30645" xr:uid="{00000000-0005-0000-0000-00007E760000}"/>
    <cellStyle name="Normal 2 3 3 8 2 3 2" xfId="30646" xr:uid="{00000000-0005-0000-0000-00007F760000}"/>
    <cellStyle name="Normal 2 3 3 8 2 3 2 2" xfId="30647" xr:uid="{00000000-0005-0000-0000-000080760000}"/>
    <cellStyle name="Normal 2 3 3 8 2 3 2 3" xfId="30648" xr:uid="{00000000-0005-0000-0000-000081760000}"/>
    <cellStyle name="Normal 2 3 3 8 2 3 2 4" xfId="30649" xr:uid="{00000000-0005-0000-0000-000082760000}"/>
    <cellStyle name="Normal 2 3 3 8 2 3 2 5" xfId="30650" xr:uid="{00000000-0005-0000-0000-000083760000}"/>
    <cellStyle name="Normal 2 3 3 8 2 3 3" xfId="30651" xr:uid="{00000000-0005-0000-0000-000084760000}"/>
    <cellStyle name="Normal 2 3 3 8 2 3 4" xfId="30652" xr:uid="{00000000-0005-0000-0000-000085760000}"/>
    <cellStyle name="Normal 2 3 3 8 2 3 5" xfId="30653" xr:uid="{00000000-0005-0000-0000-000086760000}"/>
    <cellStyle name="Normal 2 3 3 8 2 3 6" xfId="30654" xr:uid="{00000000-0005-0000-0000-000087760000}"/>
    <cellStyle name="Normal 2 3 3 8 2 3 7" xfId="30655" xr:uid="{00000000-0005-0000-0000-000088760000}"/>
    <cellStyle name="Normal 2 3 3 8 2 3 8" xfId="30656" xr:uid="{00000000-0005-0000-0000-000089760000}"/>
    <cellStyle name="Normal 2 3 3 8 2 4" xfId="30657" xr:uid="{00000000-0005-0000-0000-00008A760000}"/>
    <cellStyle name="Normal 2 3 3 8 2 4 2" xfId="30658" xr:uid="{00000000-0005-0000-0000-00008B760000}"/>
    <cellStyle name="Normal 2 3 3 8 2 4 2 2" xfId="30659" xr:uid="{00000000-0005-0000-0000-00008C760000}"/>
    <cellStyle name="Normal 2 3 3 8 2 4 2 3" xfId="30660" xr:uid="{00000000-0005-0000-0000-00008D760000}"/>
    <cellStyle name="Normal 2 3 3 8 2 4 2 4" xfId="30661" xr:uid="{00000000-0005-0000-0000-00008E760000}"/>
    <cellStyle name="Normal 2 3 3 8 2 4 2 5" xfId="30662" xr:uid="{00000000-0005-0000-0000-00008F760000}"/>
    <cellStyle name="Normal 2 3 3 8 2 4 3" xfId="30663" xr:uid="{00000000-0005-0000-0000-000090760000}"/>
    <cellStyle name="Normal 2 3 3 8 2 4 4" xfId="30664" xr:uid="{00000000-0005-0000-0000-000091760000}"/>
    <cellStyle name="Normal 2 3 3 8 2 4 5" xfId="30665" xr:uid="{00000000-0005-0000-0000-000092760000}"/>
    <cellStyle name="Normal 2 3 3 8 2 4 6" xfId="30666" xr:uid="{00000000-0005-0000-0000-000093760000}"/>
    <cellStyle name="Normal 2 3 3 8 2 4 7" xfId="30667" xr:uid="{00000000-0005-0000-0000-000094760000}"/>
    <cellStyle name="Normal 2 3 3 8 2 4 8" xfId="30668" xr:uid="{00000000-0005-0000-0000-000095760000}"/>
    <cellStyle name="Normal 2 3 3 8 2 5" xfId="30669" xr:uid="{00000000-0005-0000-0000-000096760000}"/>
    <cellStyle name="Normal 2 3 3 8 2 5 2" xfId="30670" xr:uid="{00000000-0005-0000-0000-000097760000}"/>
    <cellStyle name="Normal 2 3 3 8 2 5 3" xfId="30671" xr:uid="{00000000-0005-0000-0000-000098760000}"/>
    <cellStyle name="Normal 2 3 3 8 2 5 4" xfId="30672" xr:uid="{00000000-0005-0000-0000-000099760000}"/>
    <cellStyle name="Normal 2 3 3 8 2 5 5" xfId="30673" xr:uid="{00000000-0005-0000-0000-00009A760000}"/>
    <cellStyle name="Normal 2 3 3 8 2 6" xfId="30674" xr:uid="{00000000-0005-0000-0000-00009B760000}"/>
    <cellStyle name="Normal 2 3 3 8 2 7" xfId="30675" xr:uid="{00000000-0005-0000-0000-00009C760000}"/>
    <cellStyle name="Normal 2 3 3 8 2 8" xfId="30676" xr:uid="{00000000-0005-0000-0000-00009D760000}"/>
    <cellStyle name="Normal 2 3 3 8 2 9" xfId="30677" xr:uid="{00000000-0005-0000-0000-00009E760000}"/>
    <cellStyle name="Normal 2 3 3 8 3" xfId="30678" xr:uid="{00000000-0005-0000-0000-00009F760000}"/>
    <cellStyle name="Normal 2 3 3 8 3 10" xfId="30679" xr:uid="{00000000-0005-0000-0000-0000A0760000}"/>
    <cellStyle name="Normal 2 3 3 8 3 11" xfId="30680" xr:uid="{00000000-0005-0000-0000-0000A1760000}"/>
    <cellStyle name="Normal 2 3 3 8 3 2" xfId="30681" xr:uid="{00000000-0005-0000-0000-0000A2760000}"/>
    <cellStyle name="Normal 2 3 3 8 3 2 10" xfId="30682" xr:uid="{00000000-0005-0000-0000-0000A3760000}"/>
    <cellStyle name="Normal 2 3 3 8 3 2 2" xfId="30683" xr:uid="{00000000-0005-0000-0000-0000A4760000}"/>
    <cellStyle name="Normal 2 3 3 8 3 2 2 2" xfId="30684" xr:uid="{00000000-0005-0000-0000-0000A5760000}"/>
    <cellStyle name="Normal 2 3 3 8 3 2 2 2 2" xfId="30685" xr:uid="{00000000-0005-0000-0000-0000A6760000}"/>
    <cellStyle name="Normal 2 3 3 8 3 2 2 2 3" xfId="30686" xr:uid="{00000000-0005-0000-0000-0000A7760000}"/>
    <cellStyle name="Normal 2 3 3 8 3 2 2 2 4" xfId="30687" xr:uid="{00000000-0005-0000-0000-0000A8760000}"/>
    <cellStyle name="Normal 2 3 3 8 3 2 2 2 5" xfId="30688" xr:uid="{00000000-0005-0000-0000-0000A9760000}"/>
    <cellStyle name="Normal 2 3 3 8 3 2 2 3" xfId="30689" xr:uid="{00000000-0005-0000-0000-0000AA760000}"/>
    <cellStyle name="Normal 2 3 3 8 3 2 2 4" xfId="30690" xr:uid="{00000000-0005-0000-0000-0000AB760000}"/>
    <cellStyle name="Normal 2 3 3 8 3 2 2 5" xfId="30691" xr:uid="{00000000-0005-0000-0000-0000AC760000}"/>
    <cellStyle name="Normal 2 3 3 8 3 2 2 6" xfId="30692" xr:uid="{00000000-0005-0000-0000-0000AD760000}"/>
    <cellStyle name="Normal 2 3 3 8 3 2 2 7" xfId="30693" xr:uid="{00000000-0005-0000-0000-0000AE760000}"/>
    <cellStyle name="Normal 2 3 3 8 3 2 2 8" xfId="30694" xr:uid="{00000000-0005-0000-0000-0000AF760000}"/>
    <cellStyle name="Normal 2 3 3 8 3 2 3" xfId="30695" xr:uid="{00000000-0005-0000-0000-0000B0760000}"/>
    <cellStyle name="Normal 2 3 3 8 3 2 3 2" xfId="30696" xr:uid="{00000000-0005-0000-0000-0000B1760000}"/>
    <cellStyle name="Normal 2 3 3 8 3 2 3 2 2" xfId="30697" xr:uid="{00000000-0005-0000-0000-0000B2760000}"/>
    <cellStyle name="Normal 2 3 3 8 3 2 3 2 3" xfId="30698" xr:uid="{00000000-0005-0000-0000-0000B3760000}"/>
    <cellStyle name="Normal 2 3 3 8 3 2 3 2 4" xfId="30699" xr:uid="{00000000-0005-0000-0000-0000B4760000}"/>
    <cellStyle name="Normal 2 3 3 8 3 2 3 2 5" xfId="30700" xr:uid="{00000000-0005-0000-0000-0000B5760000}"/>
    <cellStyle name="Normal 2 3 3 8 3 2 3 3" xfId="30701" xr:uid="{00000000-0005-0000-0000-0000B6760000}"/>
    <cellStyle name="Normal 2 3 3 8 3 2 3 4" xfId="30702" xr:uid="{00000000-0005-0000-0000-0000B7760000}"/>
    <cellStyle name="Normal 2 3 3 8 3 2 3 5" xfId="30703" xr:uid="{00000000-0005-0000-0000-0000B8760000}"/>
    <cellStyle name="Normal 2 3 3 8 3 2 3 6" xfId="30704" xr:uid="{00000000-0005-0000-0000-0000B9760000}"/>
    <cellStyle name="Normal 2 3 3 8 3 2 3 7" xfId="30705" xr:uid="{00000000-0005-0000-0000-0000BA760000}"/>
    <cellStyle name="Normal 2 3 3 8 3 2 3 8" xfId="30706" xr:uid="{00000000-0005-0000-0000-0000BB760000}"/>
    <cellStyle name="Normal 2 3 3 8 3 2 4" xfId="30707" xr:uid="{00000000-0005-0000-0000-0000BC760000}"/>
    <cellStyle name="Normal 2 3 3 8 3 2 4 2" xfId="30708" xr:uid="{00000000-0005-0000-0000-0000BD760000}"/>
    <cellStyle name="Normal 2 3 3 8 3 2 4 3" xfId="30709" xr:uid="{00000000-0005-0000-0000-0000BE760000}"/>
    <cellStyle name="Normal 2 3 3 8 3 2 4 4" xfId="30710" xr:uid="{00000000-0005-0000-0000-0000BF760000}"/>
    <cellStyle name="Normal 2 3 3 8 3 2 4 5" xfId="30711" xr:uid="{00000000-0005-0000-0000-0000C0760000}"/>
    <cellStyle name="Normal 2 3 3 8 3 2 5" xfId="30712" xr:uid="{00000000-0005-0000-0000-0000C1760000}"/>
    <cellStyle name="Normal 2 3 3 8 3 2 6" xfId="30713" xr:uid="{00000000-0005-0000-0000-0000C2760000}"/>
    <cellStyle name="Normal 2 3 3 8 3 2 7" xfId="30714" xr:uid="{00000000-0005-0000-0000-0000C3760000}"/>
    <cellStyle name="Normal 2 3 3 8 3 2 8" xfId="30715" xr:uid="{00000000-0005-0000-0000-0000C4760000}"/>
    <cellStyle name="Normal 2 3 3 8 3 2 9" xfId="30716" xr:uid="{00000000-0005-0000-0000-0000C5760000}"/>
    <cellStyle name="Normal 2 3 3 8 3 3" xfId="30717" xr:uid="{00000000-0005-0000-0000-0000C6760000}"/>
    <cellStyle name="Normal 2 3 3 8 3 3 2" xfId="30718" xr:uid="{00000000-0005-0000-0000-0000C7760000}"/>
    <cellStyle name="Normal 2 3 3 8 3 3 2 2" xfId="30719" xr:uid="{00000000-0005-0000-0000-0000C8760000}"/>
    <cellStyle name="Normal 2 3 3 8 3 3 2 3" xfId="30720" xr:uid="{00000000-0005-0000-0000-0000C9760000}"/>
    <cellStyle name="Normal 2 3 3 8 3 3 2 4" xfId="30721" xr:uid="{00000000-0005-0000-0000-0000CA760000}"/>
    <cellStyle name="Normal 2 3 3 8 3 3 2 5" xfId="30722" xr:uid="{00000000-0005-0000-0000-0000CB760000}"/>
    <cellStyle name="Normal 2 3 3 8 3 3 3" xfId="30723" xr:uid="{00000000-0005-0000-0000-0000CC760000}"/>
    <cellStyle name="Normal 2 3 3 8 3 3 4" xfId="30724" xr:uid="{00000000-0005-0000-0000-0000CD760000}"/>
    <cellStyle name="Normal 2 3 3 8 3 3 5" xfId="30725" xr:uid="{00000000-0005-0000-0000-0000CE760000}"/>
    <cellStyle name="Normal 2 3 3 8 3 3 6" xfId="30726" xr:uid="{00000000-0005-0000-0000-0000CF760000}"/>
    <cellStyle name="Normal 2 3 3 8 3 3 7" xfId="30727" xr:uid="{00000000-0005-0000-0000-0000D0760000}"/>
    <cellStyle name="Normal 2 3 3 8 3 3 8" xfId="30728" xr:uid="{00000000-0005-0000-0000-0000D1760000}"/>
    <cellStyle name="Normal 2 3 3 8 3 4" xfId="30729" xr:uid="{00000000-0005-0000-0000-0000D2760000}"/>
    <cellStyle name="Normal 2 3 3 8 3 4 2" xfId="30730" xr:uid="{00000000-0005-0000-0000-0000D3760000}"/>
    <cellStyle name="Normal 2 3 3 8 3 4 2 2" xfId="30731" xr:uid="{00000000-0005-0000-0000-0000D4760000}"/>
    <cellStyle name="Normal 2 3 3 8 3 4 2 3" xfId="30732" xr:uid="{00000000-0005-0000-0000-0000D5760000}"/>
    <cellStyle name="Normal 2 3 3 8 3 4 2 4" xfId="30733" xr:uid="{00000000-0005-0000-0000-0000D6760000}"/>
    <cellStyle name="Normal 2 3 3 8 3 4 2 5" xfId="30734" xr:uid="{00000000-0005-0000-0000-0000D7760000}"/>
    <cellStyle name="Normal 2 3 3 8 3 4 3" xfId="30735" xr:uid="{00000000-0005-0000-0000-0000D8760000}"/>
    <cellStyle name="Normal 2 3 3 8 3 4 4" xfId="30736" xr:uid="{00000000-0005-0000-0000-0000D9760000}"/>
    <cellStyle name="Normal 2 3 3 8 3 4 5" xfId="30737" xr:uid="{00000000-0005-0000-0000-0000DA760000}"/>
    <cellStyle name="Normal 2 3 3 8 3 4 6" xfId="30738" xr:uid="{00000000-0005-0000-0000-0000DB760000}"/>
    <cellStyle name="Normal 2 3 3 8 3 4 7" xfId="30739" xr:uid="{00000000-0005-0000-0000-0000DC760000}"/>
    <cellStyle name="Normal 2 3 3 8 3 4 8" xfId="30740" xr:uid="{00000000-0005-0000-0000-0000DD760000}"/>
    <cellStyle name="Normal 2 3 3 8 3 5" xfId="30741" xr:uid="{00000000-0005-0000-0000-0000DE760000}"/>
    <cellStyle name="Normal 2 3 3 8 3 5 2" xfId="30742" xr:uid="{00000000-0005-0000-0000-0000DF760000}"/>
    <cellStyle name="Normal 2 3 3 8 3 5 3" xfId="30743" xr:uid="{00000000-0005-0000-0000-0000E0760000}"/>
    <cellStyle name="Normal 2 3 3 8 3 5 4" xfId="30744" xr:uid="{00000000-0005-0000-0000-0000E1760000}"/>
    <cellStyle name="Normal 2 3 3 8 3 5 5" xfId="30745" xr:uid="{00000000-0005-0000-0000-0000E2760000}"/>
    <cellStyle name="Normal 2 3 3 8 3 6" xfId="30746" xr:uid="{00000000-0005-0000-0000-0000E3760000}"/>
    <cellStyle name="Normal 2 3 3 8 3 7" xfId="30747" xr:uid="{00000000-0005-0000-0000-0000E4760000}"/>
    <cellStyle name="Normal 2 3 3 8 3 8" xfId="30748" xr:uid="{00000000-0005-0000-0000-0000E5760000}"/>
    <cellStyle name="Normal 2 3 3 8 3 9" xfId="30749" xr:uid="{00000000-0005-0000-0000-0000E6760000}"/>
    <cellStyle name="Normal 2 3 3 8 4" xfId="30750" xr:uid="{00000000-0005-0000-0000-0000E7760000}"/>
    <cellStyle name="Normal 2 3 3 8 4 10" xfId="30751" xr:uid="{00000000-0005-0000-0000-0000E8760000}"/>
    <cellStyle name="Normal 2 3 3 8 4 2" xfId="30752" xr:uid="{00000000-0005-0000-0000-0000E9760000}"/>
    <cellStyle name="Normal 2 3 3 8 4 2 2" xfId="30753" xr:uid="{00000000-0005-0000-0000-0000EA760000}"/>
    <cellStyle name="Normal 2 3 3 8 4 2 2 2" xfId="30754" xr:uid="{00000000-0005-0000-0000-0000EB760000}"/>
    <cellStyle name="Normal 2 3 3 8 4 2 2 3" xfId="30755" xr:uid="{00000000-0005-0000-0000-0000EC760000}"/>
    <cellStyle name="Normal 2 3 3 8 4 2 2 4" xfId="30756" xr:uid="{00000000-0005-0000-0000-0000ED760000}"/>
    <cellStyle name="Normal 2 3 3 8 4 2 2 5" xfId="30757" xr:uid="{00000000-0005-0000-0000-0000EE760000}"/>
    <cellStyle name="Normal 2 3 3 8 4 2 3" xfId="30758" xr:uid="{00000000-0005-0000-0000-0000EF760000}"/>
    <cellStyle name="Normal 2 3 3 8 4 2 4" xfId="30759" xr:uid="{00000000-0005-0000-0000-0000F0760000}"/>
    <cellStyle name="Normal 2 3 3 8 4 2 5" xfId="30760" xr:uid="{00000000-0005-0000-0000-0000F1760000}"/>
    <cellStyle name="Normal 2 3 3 8 4 2 6" xfId="30761" xr:uid="{00000000-0005-0000-0000-0000F2760000}"/>
    <cellStyle name="Normal 2 3 3 8 4 2 7" xfId="30762" xr:uid="{00000000-0005-0000-0000-0000F3760000}"/>
    <cellStyle name="Normal 2 3 3 8 4 2 8" xfId="30763" xr:uid="{00000000-0005-0000-0000-0000F4760000}"/>
    <cellStyle name="Normal 2 3 3 8 4 3" xfId="30764" xr:uid="{00000000-0005-0000-0000-0000F5760000}"/>
    <cellStyle name="Normal 2 3 3 8 4 3 2" xfId="30765" xr:uid="{00000000-0005-0000-0000-0000F6760000}"/>
    <cellStyle name="Normal 2 3 3 8 4 3 2 2" xfId="30766" xr:uid="{00000000-0005-0000-0000-0000F7760000}"/>
    <cellStyle name="Normal 2 3 3 8 4 3 2 3" xfId="30767" xr:uid="{00000000-0005-0000-0000-0000F8760000}"/>
    <cellStyle name="Normal 2 3 3 8 4 3 2 4" xfId="30768" xr:uid="{00000000-0005-0000-0000-0000F9760000}"/>
    <cellStyle name="Normal 2 3 3 8 4 3 2 5" xfId="30769" xr:uid="{00000000-0005-0000-0000-0000FA760000}"/>
    <cellStyle name="Normal 2 3 3 8 4 3 3" xfId="30770" xr:uid="{00000000-0005-0000-0000-0000FB760000}"/>
    <cellStyle name="Normal 2 3 3 8 4 3 4" xfId="30771" xr:uid="{00000000-0005-0000-0000-0000FC760000}"/>
    <cellStyle name="Normal 2 3 3 8 4 3 5" xfId="30772" xr:uid="{00000000-0005-0000-0000-0000FD760000}"/>
    <cellStyle name="Normal 2 3 3 8 4 3 6" xfId="30773" xr:uid="{00000000-0005-0000-0000-0000FE760000}"/>
    <cellStyle name="Normal 2 3 3 8 4 3 7" xfId="30774" xr:uid="{00000000-0005-0000-0000-0000FF760000}"/>
    <cellStyle name="Normal 2 3 3 8 4 3 8" xfId="30775" xr:uid="{00000000-0005-0000-0000-000000770000}"/>
    <cellStyle name="Normal 2 3 3 8 4 4" xfId="30776" xr:uid="{00000000-0005-0000-0000-000001770000}"/>
    <cellStyle name="Normal 2 3 3 8 4 4 2" xfId="30777" xr:uid="{00000000-0005-0000-0000-000002770000}"/>
    <cellStyle name="Normal 2 3 3 8 4 4 3" xfId="30778" xr:uid="{00000000-0005-0000-0000-000003770000}"/>
    <cellStyle name="Normal 2 3 3 8 4 4 4" xfId="30779" xr:uid="{00000000-0005-0000-0000-000004770000}"/>
    <cellStyle name="Normal 2 3 3 8 4 4 5" xfId="30780" xr:uid="{00000000-0005-0000-0000-000005770000}"/>
    <cellStyle name="Normal 2 3 3 8 4 5" xfId="30781" xr:uid="{00000000-0005-0000-0000-000006770000}"/>
    <cellStyle name="Normal 2 3 3 8 4 6" xfId="30782" xr:uid="{00000000-0005-0000-0000-000007770000}"/>
    <cellStyle name="Normal 2 3 3 8 4 7" xfId="30783" xr:uid="{00000000-0005-0000-0000-000008770000}"/>
    <cellStyle name="Normal 2 3 3 8 4 8" xfId="30784" xr:uid="{00000000-0005-0000-0000-000009770000}"/>
    <cellStyle name="Normal 2 3 3 8 4 9" xfId="30785" xr:uid="{00000000-0005-0000-0000-00000A770000}"/>
    <cellStyle name="Normal 2 3 3 8 5" xfId="30786" xr:uid="{00000000-0005-0000-0000-00000B770000}"/>
    <cellStyle name="Normal 2 3 3 8 5 2" xfId="30787" xr:uid="{00000000-0005-0000-0000-00000C770000}"/>
    <cellStyle name="Normal 2 3 3 8 5 2 2" xfId="30788" xr:uid="{00000000-0005-0000-0000-00000D770000}"/>
    <cellStyle name="Normal 2 3 3 8 5 2 3" xfId="30789" xr:uid="{00000000-0005-0000-0000-00000E770000}"/>
    <cellStyle name="Normal 2 3 3 8 5 2 4" xfId="30790" xr:uid="{00000000-0005-0000-0000-00000F770000}"/>
    <cellStyle name="Normal 2 3 3 8 5 2 5" xfId="30791" xr:uid="{00000000-0005-0000-0000-000010770000}"/>
    <cellStyle name="Normal 2 3 3 8 5 3" xfId="30792" xr:uid="{00000000-0005-0000-0000-000011770000}"/>
    <cellStyle name="Normal 2 3 3 8 5 4" xfId="30793" xr:uid="{00000000-0005-0000-0000-000012770000}"/>
    <cellStyle name="Normal 2 3 3 8 5 5" xfId="30794" xr:uid="{00000000-0005-0000-0000-000013770000}"/>
    <cellStyle name="Normal 2 3 3 8 5 6" xfId="30795" xr:uid="{00000000-0005-0000-0000-000014770000}"/>
    <cellStyle name="Normal 2 3 3 8 5 7" xfId="30796" xr:uid="{00000000-0005-0000-0000-000015770000}"/>
    <cellStyle name="Normal 2 3 3 8 5 8" xfId="30797" xr:uid="{00000000-0005-0000-0000-000016770000}"/>
    <cellStyle name="Normal 2 3 3 8 6" xfId="30798" xr:uid="{00000000-0005-0000-0000-000017770000}"/>
    <cellStyle name="Normal 2 3 3 8 6 2" xfId="30799" xr:uid="{00000000-0005-0000-0000-000018770000}"/>
    <cellStyle name="Normal 2 3 3 8 6 2 2" xfId="30800" xr:uid="{00000000-0005-0000-0000-000019770000}"/>
    <cellStyle name="Normal 2 3 3 8 6 2 3" xfId="30801" xr:uid="{00000000-0005-0000-0000-00001A770000}"/>
    <cellStyle name="Normal 2 3 3 8 6 2 4" xfId="30802" xr:uid="{00000000-0005-0000-0000-00001B770000}"/>
    <cellStyle name="Normal 2 3 3 8 6 2 5" xfId="30803" xr:uid="{00000000-0005-0000-0000-00001C770000}"/>
    <cellStyle name="Normal 2 3 3 8 6 3" xfId="30804" xr:uid="{00000000-0005-0000-0000-00001D770000}"/>
    <cellStyle name="Normal 2 3 3 8 6 4" xfId="30805" xr:uid="{00000000-0005-0000-0000-00001E770000}"/>
    <cellStyle name="Normal 2 3 3 8 6 5" xfId="30806" xr:uid="{00000000-0005-0000-0000-00001F770000}"/>
    <cellStyle name="Normal 2 3 3 8 6 6" xfId="30807" xr:uid="{00000000-0005-0000-0000-000020770000}"/>
    <cellStyle name="Normal 2 3 3 8 6 7" xfId="30808" xr:uid="{00000000-0005-0000-0000-000021770000}"/>
    <cellStyle name="Normal 2 3 3 8 6 8" xfId="30809" xr:uid="{00000000-0005-0000-0000-000022770000}"/>
    <cellStyle name="Normal 2 3 3 8 7" xfId="30810" xr:uid="{00000000-0005-0000-0000-000023770000}"/>
    <cellStyle name="Normal 2 3 3 8 7 2" xfId="30811" xr:uid="{00000000-0005-0000-0000-000024770000}"/>
    <cellStyle name="Normal 2 3 3 8 7 3" xfId="30812" xr:uid="{00000000-0005-0000-0000-000025770000}"/>
    <cellStyle name="Normal 2 3 3 8 7 4" xfId="30813" xr:uid="{00000000-0005-0000-0000-000026770000}"/>
    <cellStyle name="Normal 2 3 3 8 7 5" xfId="30814" xr:uid="{00000000-0005-0000-0000-000027770000}"/>
    <cellStyle name="Normal 2 3 3 8 8" xfId="30815" xr:uid="{00000000-0005-0000-0000-000028770000}"/>
    <cellStyle name="Normal 2 3 3 8 9" xfId="30816" xr:uid="{00000000-0005-0000-0000-000029770000}"/>
    <cellStyle name="Normal 2 3 3 9" xfId="30817" xr:uid="{00000000-0005-0000-0000-00002A770000}"/>
    <cellStyle name="Normal 2 3 3 9 10" xfId="30818" xr:uid="{00000000-0005-0000-0000-00002B770000}"/>
    <cellStyle name="Normal 2 3 3 9 11" xfId="30819" xr:uid="{00000000-0005-0000-0000-00002C770000}"/>
    <cellStyle name="Normal 2 3 3 9 2" xfId="30820" xr:uid="{00000000-0005-0000-0000-00002D770000}"/>
    <cellStyle name="Normal 2 3 3 9 2 10" xfId="30821" xr:uid="{00000000-0005-0000-0000-00002E770000}"/>
    <cellStyle name="Normal 2 3 3 9 2 2" xfId="30822" xr:uid="{00000000-0005-0000-0000-00002F770000}"/>
    <cellStyle name="Normal 2 3 3 9 2 2 2" xfId="30823" xr:uid="{00000000-0005-0000-0000-000030770000}"/>
    <cellStyle name="Normal 2 3 3 9 2 2 2 2" xfId="30824" xr:uid="{00000000-0005-0000-0000-000031770000}"/>
    <cellStyle name="Normal 2 3 3 9 2 2 2 3" xfId="30825" xr:uid="{00000000-0005-0000-0000-000032770000}"/>
    <cellStyle name="Normal 2 3 3 9 2 2 2 4" xfId="30826" xr:uid="{00000000-0005-0000-0000-000033770000}"/>
    <cellStyle name="Normal 2 3 3 9 2 2 2 5" xfId="30827" xr:uid="{00000000-0005-0000-0000-000034770000}"/>
    <cellStyle name="Normal 2 3 3 9 2 2 3" xfId="30828" xr:uid="{00000000-0005-0000-0000-000035770000}"/>
    <cellStyle name="Normal 2 3 3 9 2 2 4" xfId="30829" xr:uid="{00000000-0005-0000-0000-000036770000}"/>
    <cellStyle name="Normal 2 3 3 9 2 2 5" xfId="30830" xr:uid="{00000000-0005-0000-0000-000037770000}"/>
    <cellStyle name="Normal 2 3 3 9 2 2 6" xfId="30831" xr:uid="{00000000-0005-0000-0000-000038770000}"/>
    <cellStyle name="Normal 2 3 3 9 2 2 7" xfId="30832" xr:uid="{00000000-0005-0000-0000-000039770000}"/>
    <cellStyle name="Normal 2 3 3 9 2 2 8" xfId="30833" xr:uid="{00000000-0005-0000-0000-00003A770000}"/>
    <cellStyle name="Normal 2 3 3 9 2 3" xfId="30834" xr:uid="{00000000-0005-0000-0000-00003B770000}"/>
    <cellStyle name="Normal 2 3 3 9 2 3 2" xfId="30835" xr:uid="{00000000-0005-0000-0000-00003C770000}"/>
    <cellStyle name="Normal 2 3 3 9 2 3 2 2" xfId="30836" xr:uid="{00000000-0005-0000-0000-00003D770000}"/>
    <cellStyle name="Normal 2 3 3 9 2 3 2 3" xfId="30837" xr:uid="{00000000-0005-0000-0000-00003E770000}"/>
    <cellStyle name="Normal 2 3 3 9 2 3 2 4" xfId="30838" xr:uid="{00000000-0005-0000-0000-00003F770000}"/>
    <cellStyle name="Normal 2 3 3 9 2 3 2 5" xfId="30839" xr:uid="{00000000-0005-0000-0000-000040770000}"/>
    <cellStyle name="Normal 2 3 3 9 2 3 3" xfId="30840" xr:uid="{00000000-0005-0000-0000-000041770000}"/>
    <cellStyle name="Normal 2 3 3 9 2 3 4" xfId="30841" xr:uid="{00000000-0005-0000-0000-000042770000}"/>
    <cellStyle name="Normal 2 3 3 9 2 3 5" xfId="30842" xr:uid="{00000000-0005-0000-0000-000043770000}"/>
    <cellStyle name="Normal 2 3 3 9 2 3 6" xfId="30843" xr:uid="{00000000-0005-0000-0000-000044770000}"/>
    <cellStyle name="Normal 2 3 3 9 2 3 7" xfId="30844" xr:uid="{00000000-0005-0000-0000-000045770000}"/>
    <cellStyle name="Normal 2 3 3 9 2 3 8" xfId="30845" xr:uid="{00000000-0005-0000-0000-000046770000}"/>
    <cellStyle name="Normal 2 3 3 9 2 4" xfId="30846" xr:uid="{00000000-0005-0000-0000-000047770000}"/>
    <cellStyle name="Normal 2 3 3 9 2 4 2" xfId="30847" xr:uid="{00000000-0005-0000-0000-000048770000}"/>
    <cellStyle name="Normal 2 3 3 9 2 4 3" xfId="30848" xr:uid="{00000000-0005-0000-0000-000049770000}"/>
    <cellStyle name="Normal 2 3 3 9 2 4 4" xfId="30849" xr:uid="{00000000-0005-0000-0000-00004A770000}"/>
    <cellStyle name="Normal 2 3 3 9 2 4 5" xfId="30850" xr:uid="{00000000-0005-0000-0000-00004B770000}"/>
    <cellStyle name="Normal 2 3 3 9 2 5" xfId="30851" xr:uid="{00000000-0005-0000-0000-00004C770000}"/>
    <cellStyle name="Normal 2 3 3 9 2 6" xfId="30852" xr:uid="{00000000-0005-0000-0000-00004D770000}"/>
    <cellStyle name="Normal 2 3 3 9 2 7" xfId="30853" xr:uid="{00000000-0005-0000-0000-00004E770000}"/>
    <cellStyle name="Normal 2 3 3 9 2 8" xfId="30854" xr:uid="{00000000-0005-0000-0000-00004F770000}"/>
    <cellStyle name="Normal 2 3 3 9 2 9" xfId="30855" xr:uid="{00000000-0005-0000-0000-000050770000}"/>
    <cellStyle name="Normal 2 3 3 9 3" xfId="30856" xr:uid="{00000000-0005-0000-0000-000051770000}"/>
    <cellStyle name="Normal 2 3 3 9 3 2" xfId="30857" xr:uid="{00000000-0005-0000-0000-000052770000}"/>
    <cellStyle name="Normal 2 3 3 9 3 2 2" xfId="30858" xr:uid="{00000000-0005-0000-0000-000053770000}"/>
    <cellStyle name="Normal 2 3 3 9 3 2 3" xfId="30859" xr:uid="{00000000-0005-0000-0000-000054770000}"/>
    <cellStyle name="Normal 2 3 3 9 3 2 4" xfId="30860" xr:uid="{00000000-0005-0000-0000-000055770000}"/>
    <cellStyle name="Normal 2 3 3 9 3 2 5" xfId="30861" xr:uid="{00000000-0005-0000-0000-000056770000}"/>
    <cellStyle name="Normal 2 3 3 9 3 3" xfId="30862" xr:uid="{00000000-0005-0000-0000-000057770000}"/>
    <cellStyle name="Normal 2 3 3 9 3 4" xfId="30863" xr:uid="{00000000-0005-0000-0000-000058770000}"/>
    <cellStyle name="Normal 2 3 3 9 3 5" xfId="30864" xr:uid="{00000000-0005-0000-0000-000059770000}"/>
    <cellStyle name="Normal 2 3 3 9 3 6" xfId="30865" xr:uid="{00000000-0005-0000-0000-00005A770000}"/>
    <cellStyle name="Normal 2 3 3 9 3 7" xfId="30866" xr:uid="{00000000-0005-0000-0000-00005B770000}"/>
    <cellStyle name="Normal 2 3 3 9 3 8" xfId="30867" xr:uid="{00000000-0005-0000-0000-00005C770000}"/>
    <cellStyle name="Normal 2 3 3 9 4" xfId="30868" xr:uid="{00000000-0005-0000-0000-00005D770000}"/>
    <cellStyle name="Normal 2 3 3 9 4 2" xfId="30869" xr:uid="{00000000-0005-0000-0000-00005E770000}"/>
    <cellStyle name="Normal 2 3 3 9 4 2 2" xfId="30870" xr:uid="{00000000-0005-0000-0000-00005F770000}"/>
    <cellStyle name="Normal 2 3 3 9 4 2 3" xfId="30871" xr:uid="{00000000-0005-0000-0000-000060770000}"/>
    <cellStyle name="Normal 2 3 3 9 4 2 4" xfId="30872" xr:uid="{00000000-0005-0000-0000-000061770000}"/>
    <cellStyle name="Normal 2 3 3 9 4 2 5" xfId="30873" xr:uid="{00000000-0005-0000-0000-000062770000}"/>
    <cellStyle name="Normal 2 3 3 9 4 3" xfId="30874" xr:uid="{00000000-0005-0000-0000-000063770000}"/>
    <cellStyle name="Normal 2 3 3 9 4 4" xfId="30875" xr:uid="{00000000-0005-0000-0000-000064770000}"/>
    <cellStyle name="Normal 2 3 3 9 4 5" xfId="30876" xr:uid="{00000000-0005-0000-0000-000065770000}"/>
    <cellStyle name="Normal 2 3 3 9 4 6" xfId="30877" xr:uid="{00000000-0005-0000-0000-000066770000}"/>
    <cellStyle name="Normal 2 3 3 9 4 7" xfId="30878" xr:uid="{00000000-0005-0000-0000-000067770000}"/>
    <cellStyle name="Normal 2 3 3 9 4 8" xfId="30879" xr:uid="{00000000-0005-0000-0000-000068770000}"/>
    <cellStyle name="Normal 2 3 3 9 5" xfId="30880" xr:uid="{00000000-0005-0000-0000-000069770000}"/>
    <cellStyle name="Normal 2 3 3 9 5 2" xfId="30881" xr:uid="{00000000-0005-0000-0000-00006A770000}"/>
    <cellStyle name="Normal 2 3 3 9 5 3" xfId="30882" xr:uid="{00000000-0005-0000-0000-00006B770000}"/>
    <cellStyle name="Normal 2 3 3 9 5 4" xfId="30883" xr:uid="{00000000-0005-0000-0000-00006C770000}"/>
    <cellStyle name="Normal 2 3 3 9 5 5" xfId="30884" xr:uid="{00000000-0005-0000-0000-00006D770000}"/>
    <cellStyle name="Normal 2 3 3 9 6" xfId="30885" xr:uid="{00000000-0005-0000-0000-00006E770000}"/>
    <cellStyle name="Normal 2 3 3 9 7" xfId="30886" xr:uid="{00000000-0005-0000-0000-00006F770000}"/>
    <cellStyle name="Normal 2 3 3 9 8" xfId="30887" xr:uid="{00000000-0005-0000-0000-000070770000}"/>
    <cellStyle name="Normal 2 3 3 9 9" xfId="30888" xr:uid="{00000000-0005-0000-0000-000071770000}"/>
    <cellStyle name="Normal 2 3 30" xfId="30889" xr:uid="{00000000-0005-0000-0000-000072770000}"/>
    <cellStyle name="Normal 2 3 31" xfId="30890" xr:uid="{00000000-0005-0000-0000-000073770000}"/>
    <cellStyle name="Normal 2 3 32" xfId="30891" xr:uid="{00000000-0005-0000-0000-000074770000}"/>
    <cellStyle name="Normal 2 3 33" xfId="30892" xr:uid="{00000000-0005-0000-0000-000075770000}"/>
    <cellStyle name="Normal 2 3 34" xfId="30893" xr:uid="{00000000-0005-0000-0000-000076770000}"/>
    <cellStyle name="Normal 2 3 35" xfId="30894" xr:uid="{00000000-0005-0000-0000-000077770000}"/>
    <cellStyle name="Normal 2 3 36" xfId="30895" xr:uid="{00000000-0005-0000-0000-000078770000}"/>
    <cellStyle name="Normal 2 3 37" xfId="30896" xr:uid="{00000000-0005-0000-0000-000079770000}"/>
    <cellStyle name="Normal 2 3 38" xfId="30897" xr:uid="{00000000-0005-0000-0000-00007A770000}"/>
    <cellStyle name="Normal 2 3 39" xfId="30898" xr:uid="{00000000-0005-0000-0000-00007B770000}"/>
    <cellStyle name="Normal 2 3 4" xfId="869" xr:uid="{00000000-0005-0000-0000-00007C770000}"/>
    <cellStyle name="Normal 2 3 4 10" xfId="30899" xr:uid="{00000000-0005-0000-0000-00007D770000}"/>
    <cellStyle name="Normal 2 3 4 11" xfId="30900" xr:uid="{00000000-0005-0000-0000-00007E770000}"/>
    <cellStyle name="Normal 2 3 4 12" xfId="30901" xr:uid="{00000000-0005-0000-0000-00007F770000}"/>
    <cellStyle name="Normal 2 3 4 13" xfId="30902" xr:uid="{00000000-0005-0000-0000-000080770000}"/>
    <cellStyle name="Normal 2 3 4 2" xfId="30903" xr:uid="{00000000-0005-0000-0000-000081770000}"/>
    <cellStyle name="Normal 2 3 4 2 10" xfId="30904" xr:uid="{00000000-0005-0000-0000-000082770000}"/>
    <cellStyle name="Normal 2 3 4 2 11" xfId="30905" xr:uid="{00000000-0005-0000-0000-000083770000}"/>
    <cellStyle name="Normal 2 3 4 2 2" xfId="30906" xr:uid="{00000000-0005-0000-0000-000084770000}"/>
    <cellStyle name="Normal 2 3 4 2 2 10" xfId="30907" xr:uid="{00000000-0005-0000-0000-000085770000}"/>
    <cellStyle name="Normal 2 3 4 2 2 2" xfId="30908" xr:uid="{00000000-0005-0000-0000-000086770000}"/>
    <cellStyle name="Normal 2 3 4 2 2 2 2" xfId="30909" xr:uid="{00000000-0005-0000-0000-000087770000}"/>
    <cellStyle name="Normal 2 3 4 2 2 2 2 2" xfId="30910" xr:uid="{00000000-0005-0000-0000-000088770000}"/>
    <cellStyle name="Normal 2 3 4 2 2 2 2 3" xfId="30911" xr:uid="{00000000-0005-0000-0000-000089770000}"/>
    <cellStyle name="Normal 2 3 4 2 2 2 2 4" xfId="30912" xr:uid="{00000000-0005-0000-0000-00008A770000}"/>
    <cellStyle name="Normal 2 3 4 2 2 2 2 5" xfId="30913" xr:uid="{00000000-0005-0000-0000-00008B770000}"/>
    <cellStyle name="Normal 2 3 4 2 2 2 3" xfId="30914" xr:uid="{00000000-0005-0000-0000-00008C770000}"/>
    <cellStyle name="Normal 2 3 4 2 2 2 4" xfId="30915" xr:uid="{00000000-0005-0000-0000-00008D770000}"/>
    <cellStyle name="Normal 2 3 4 2 2 2 5" xfId="30916" xr:uid="{00000000-0005-0000-0000-00008E770000}"/>
    <cellStyle name="Normal 2 3 4 2 2 2 6" xfId="30917" xr:uid="{00000000-0005-0000-0000-00008F770000}"/>
    <cellStyle name="Normal 2 3 4 2 2 2 7" xfId="30918" xr:uid="{00000000-0005-0000-0000-000090770000}"/>
    <cellStyle name="Normal 2 3 4 2 2 2 8" xfId="30919" xr:uid="{00000000-0005-0000-0000-000091770000}"/>
    <cellStyle name="Normal 2 3 4 2 2 3" xfId="30920" xr:uid="{00000000-0005-0000-0000-000092770000}"/>
    <cellStyle name="Normal 2 3 4 2 2 3 2" xfId="30921" xr:uid="{00000000-0005-0000-0000-000093770000}"/>
    <cellStyle name="Normal 2 3 4 2 2 3 2 2" xfId="30922" xr:uid="{00000000-0005-0000-0000-000094770000}"/>
    <cellStyle name="Normal 2 3 4 2 2 3 2 3" xfId="30923" xr:uid="{00000000-0005-0000-0000-000095770000}"/>
    <cellStyle name="Normal 2 3 4 2 2 3 2 4" xfId="30924" xr:uid="{00000000-0005-0000-0000-000096770000}"/>
    <cellStyle name="Normal 2 3 4 2 2 3 2 5" xfId="30925" xr:uid="{00000000-0005-0000-0000-000097770000}"/>
    <cellStyle name="Normal 2 3 4 2 2 3 3" xfId="30926" xr:uid="{00000000-0005-0000-0000-000098770000}"/>
    <cellStyle name="Normal 2 3 4 2 2 3 4" xfId="30927" xr:uid="{00000000-0005-0000-0000-000099770000}"/>
    <cellStyle name="Normal 2 3 4 2 2 3 5" xfId="30928" xr:uid="{00000000-0005-0000-0000-00009A770000}"/>
    <cellStyle name="Normal 2 3 4 2 2 3 6" xfId="30929" xr:uid="{00000000-0005-0000-0000-00009B770000}"/>
    <cellStyle name="Normal 2 3 4 2 2 3 7" xfId="30930" xr:uid="{00000000-0005-0000-0000-00009C770000}"/>
    <cellStyle name="Normal 2 3 4 2 2 3 8" xfId="30931" xr:uid="{00000000-0005-0000-0000-00009D770000}"/>
    <cellStyle name="Normal 2 3 4 2 2 4" xfId="30932" xr:uid="{00000000-0005-0000-0000-00009E770000}"/>
    <cellStyle name="Normal 2 3 4 2 2 4 2" xfId="30933" xr:uid="{00000000-0005-0000-0000-00009F770000}"/>
    <cellStyle name="Normal 2 3 4 2 2 4 3" xfId="30934" xr:uid="{00000000-0005-0000-0000-0000A0770000}"/>
    <cellStyle name="Normal 2 3 4 2 2 4 4" xfId="30935" xr:uid="{00000000-0005-0000-0000-0000A1770000}"/>
    <cellStyle name="Normal 2 3 4 2 2 4 5" xfId="30936" xr:uid="{00000000-0005-0000-0000-0000A2770000}"/>
    <cellStyle name="Normal 2 3 4 2 2 5" xfId="30937" xr:uid="{00000000-0005-0000-0000-0000A3770000}"/>
    <cellStyle name="Normal 2 3 4 2 2 6" xfId="30938" xr:uid="{00000000-0005-0000-0000-0000A4770000}"/>
    <cellStyle name="Normal 2 3 4 2 2 7" xfId="30939" xr:uid="{00000000-0005-0000-0000-0000A5770000}"/>
    <cellStyle name="Normal 2 3 4 2 2 8" xfId="30940" xr:uid="{00000000-0005-0000-0000-0000A6770000}"/>
    <cellStyle name="Normal 2 3 4 2 2 9" xfId="30941" xr:uid="{00000000-0005-0000-0000-0000A7770000}"/>
    <cellStyle name="Normal 2 3 4 2 3" xfId="30942" xr:uid="{00000000-0005-0000-0000-0000A8770000}"/>
    <cellStyle name="Normal 2 3 4 2 3 2" xfId="30943" xr:uid="{00000000-0005-0000-0000-0000A9770000}"/>
    <cellStyle name="Normal 2 3 4 2 3 2 2" xfId="30944" xr:uid="{00000000-0005-0000-0000-0000AA770000}"/>
    <cellStyle name="Normal 2 3 4 2 3 2 3" xfId="30945" xr:uid="{00000000-0005-0000-0000-0000AB770000}"/>
    <cellStyle name="Normal 2 3 4 2 3 2 4" xfId="30946" xr:uid="{00000000-0005-0000-0000-0000AC770000}"/>
    <cellStyle name="Normal 2 3 4 2 3 2 5" xfId="30947" xr:uid="{00000000-0005-0000-0000-0000AD770000}"/>
    <cellStyle name="Normal 2 3 4 2 3 3" xfId="30948" xr:uid="{00000000-0005-0000-0000-0000AE770000}"/>
    <cellStyle name="Normal 2 3 4 2 3 4" xfId="30949" xr:uid="{00000000-0005-0000-0000-0000AF770000}"/>
    <cellStyle name="Normal 2 3 4 2 3 5" xfId="30950" xr:uid="{00000000-0005-0000-0000-0000B0770000}"/>
    <cellStyle name="Normal 2 3 4 2 3 6" xfId="30951" xr:uid="{00000000-0005-0000-0000-0000B1770000}"/>
    <cellStyle name="Normal 2 3 4 2 3 7" xfId="30952" xr:uid="{00000000-0005-0000-0000-0000B2770000}"/>
    <cellStyle name="Normal 2 3 4 2 3 8" xfId="30953" xr:uid="{00000000-0005-0000-0000-0000B3770000}"/>
    <cellStyle name="Normal 2 3 4 2 4" xfId="30954" xr:uid="{00000000-0005-0000-0000-0000B4770000}"/>
    <cellStyle name="Normal 2 3 4 2 4 2" xfId="30955" xr:uid="{00000000-0005-0000-0000-0000B5770000}"/>
    <cellStyle name="Normal 2 3 4 2 4 2 2" xfId="30956" xr:uid="{00000000-0005-0000-0000-0000B6770000}"/>
    <cellStyle name="Normal 2 3 4 2 4 2 3" xfId="30957" xr:uid="{00000000-0005-0000-0000-0000B7770000}"/>
    <cellStyle name="Normal 2 3 4 2 4 2 4" xfId="30958" xr:uid="{00000000-0005-0000-0000-0000B8770000}"/>
    <cellStyle name="Normal 2 3 4 2 4 2 5" xfId="30959" xr:uid="{00000000-0005-0000-0000-0000B9770000}"/>
    <cellStyle name="Normal 2 3 4 2 4 3" xfId="30960" xr:uid="{00000000-0005-0000-0000-0000BA770000}"/>
    <cellStyle name="Normal 2 3 4 2 4 4" xfId="30961" xr:uid="{00000000-0005-0000-0000-0000BB770000}"/>
    <cellStyle name="Normal 2 3 4 2 4 5" xfId="30962" xr:uid="{00000000-0005-0000-0000-0000BC770000}"/>
    <cellStyle name="Normal 2 3 4 2 4 6" xfId="30963" xr:uid="{00000000-0005-0000-0000-0000BD770000}"/>
    <cellStyle name="Normal 2 3 4 2 4 7" xfId="30964" xr:uid="{00000000-0005-0000-0000-0000BE770000}"/>
    <cellStyle name="Normal 2 3 4 2 4 8" xfId="30965" xr:uid="{00000000-0005-0000-0000-0000BF770000}"/>
    <cellStyle name="Normal 2 3 4 2 5" xfId="30966" xr:uid="{00000000-0005-0000-0000-0000C0770000}"/>
    <cellStyle name="Normal 2 3 4 2 5 2" xfId="30967" xr:uid="{00000000-0005-0000-0000-0000C1770000}"/>
    <cellStyle name="Normal 2 3 4 2 5 3" xfId="30968" xr:uid="{00000000-0005-0000-0000-0000C2770000}"/>
    <cellStyle name="Normal 2 3 4 2 5 4" xfId="30969" xr:uid="{00000000-0005-0000-0000-0000C3770000}"/>
    <cellStyle name="Normal 2 3 4 2 5 5" xfId="30970" xr:uid="{00000000-0005-0000-0000-0000C4770000}"/>
    <cellStyle name="Normal 2 3 4 2 6" xfId="30971" xr:uid="{00000000-0005-0000-0000-0000C5770000}"/>
    <cellStyle name="Normal 2 3 4 2 7" xfId="30972" xr:uid="{00000000-0005-0000-0000-0000C6770000}"/>
    <cellStyle name="Normal 2 3 4 2 8" xfId="30973" xr:uid="{00000000-0005-0000-0000-0000C7770000}"/>
    <cellStyle name="Normal 2 3 4 2 9" xfId="30974" xr:uid="{00000000-0005-0000-0000-0000C8770000}"/>
    <cellStyle name="Normal 2 3 4 3" xfId="30975" xr:uid="{00000000-0005-0000-0000-0000C9770000}"/>
    <cellStyle name="Normal 2 3 4 3 10" xfId="30976" xr:uid="{00000000-0005-0000-0000-0000CA770000}"/>
    <cellStyle name="Normal 2 3 4 3 11" xfId="30977" xr:uid="{00000000-0005-0000-0000-0000CB770000}"/>
    <cellStyle name="Normal 2 3 4 3 2" xfId="30978" xr:uid="{00000000-0005-0000-0000-0000CC770000}"/>
    <cellStyle name="Normal 2 3 4 3 2 10" xfId="30979" xr:uid="{00000000-0005-0000-0000-0000CD770000}"/>
    <cellStyle name="Normal 2 3 4 3 2 2" xfId="30980" xr:uid="{00000000-0005-0000-0000-0000CE770000}"/>
    <cellStyle name="Normal 2 3 4 3 2 2 2" xfId="30981" xr:uid="{00000000-0005-0000-0000-0000CF770000}"/>
    <cellStyle name="Normal 2 3 4 3 2 2 2 2" xfId="30982" xr:uid="{00000000-0005-0000-0000-0000D0770000}"/>
    <cellStyle name="Normal 2 3 4 3 2 2 2 3" xfId="30983" xr:uid="{00000000-0005-0000-0000-0000D1770000}"/>
    <cellStyle name="Normal 2 3 4 3 2 2 2 4" xfId="30984" xr:uid="{00000000-0005-0000-0000-0000D2770000}"/>
    <cellStyle name="Normal 2 3 4 3 2 2 2 5" xfId="30985" xr:uid="{00000000-0005-0000-0000-0000D3770000}"/>
    <cellStyle name="Normal 2 3 4 3 2 2 3" xfId="30986" xr:uid="{00000000-0005-0000-0000-0000D4770000}"/>
    <cellStyle name="Normal 2 3 4 3 2 2 4" xfId="30987" xr:uid="{00000000-0005-0000-0000-0000D5770000}"/>
    <cellStyle name="Normal 2 3 4 3 2 2 5" xfId="30988" xr:uid="{00000000-0005-0000-0000-0000D6770000}"/>
    <cellStyle name="Normal 2 3 4 3 2 2 6" xfId="30989" xr:uid="{00000000-0005-0000-0000-0000D7770000}"/>
    <cellStyle name="Normal 2 3 4 3 2 2 7" xfId="30990" xr:uid="{00000000-0005-0000-0000-0000D8770000}"/>
    <cellStyle name="Normal 2 3 4 3 2 2 8" xfId="30991" xr:uid="{00000000-0005-0000-0000-0000D9770000}"/>
    <cellStyle name="Normal 2 3 4 3 2 3" xfId="30992" xr:uid="{00000000-0005-0000-0000-0000DA770000}"/>
    <cellStyle name="Normal 2 3 4 3 2 3 2" xfId="30993" xr:uid="{00000000-0005-0000-0000-0000DB770000}"/>
    <cellStyle name="Normal 2 3 4 3 2 3 2 2" xfId="30994" xr:uid="{00000000-0005-0000-0000-0000DC770000}"/>
    <cellStyle name="Normal 2 3 4 3 2 3 2 3" xfId="30995" xr:uid="{00000000-0005-0000-0000-0000DD770000}"/>
    <cellStyle name="Normal 2 3 4 3 2 3 2 4" xfId="30996" xr:uid="{00000000-0005-0000-0000-0000DE770000}"/>
    <cellStyle name="Normal 2 3 4 3 2 3 2 5" xfId="30997" xr:uid="{00000000-0005-0000-0000-0000DF770000}"/>
    <cellStyle name="Normal 2 3 4 3 2 3 3" xfId="30998" xr:uid="{00000000-0005-0000-0000-0000E0770000}"/>
    <cellStyle name="Normal 2 3 4 3 2 3 4" xfId="30999" xr:uid="{00000000-0005-0000-0000-0000E1770000}"/>
    <cellStyle name="Normal 2 3 4 3 2 3 5" xfId="31000" xr:uid="{00000000-0005-0000-0000-0000E2770000}"/>
    <cellStyle name="Normal 2 3 4 3 2 3 6" xfId="31001" xr:uid="{00000000-0005-0000-0000-0000E3770000}"/>
    <cellStyle name="Normal 2 3 4 3 2 3 7" xfId="31002" xr:uid="{00000000-0005-0000-0000-0000E4770000}"/>
    <cellStyle name="Normal 2 3 4 3 2 3 8" xfId="31003" xr:uid="{00000000-0005-0000-0000-0000E5770000}"/>
    <cellStyle name="Normal 2 3 4 3 2 4" xfId="31004" xr:uid="{00000000-0005-0000-0000-0000E6770000}"/>
    <cellStyle name="Normal 2 3 4 3 2 4 2" xfId="31005" xr:uid="{00000000-0005-0000-0000-0000E7770000}"/>
    <cellStyle name="Normal 2 3 4 3 2 4 3" xfId="31006" xr:uid="{00000000-0005-0000-0000-0000E8770000}"/>
    <cellStyle name="Normal 2 3 4 3 2 4 4" xfId="31007" xr:uid="{00000000-0005-0000-0000-0000E9770000}"/>
    <cellStyle name="Normal 2 3 4 3 2 4 5" xfId="31008" xr:uid="{00000000-0005-0000-0000-0000EA770000}"/>
    <cellStyle name="Normal 2 3 4 3 2 5" xfId="31009" xr:uid="{00000000-0005-0000-0000-0000EB770000}"/>
    <cellStyle name="Normal 2 3 4 3 2 6" xfId="31010" xr:uid="{00000000-0005-0000-0000-0000EC770000}"/>
    <cellStyle name="Normal 2 3 4 3 2 7" xfId="31011" xr:uid="{00000000-0005-0000-0000-0000ED770000}"/>
    <cellStyle name="Normal 2 3 4 3 2 8" xfId="31012" xr:uid="{00000000-0005-0000-0000-0000EE770000}"/>
    <cellStyle name="Normal 2 3 4 3 2 9" xfId="31013" xr:uid="{00000000-0005-0000-0000-0000EF770000}"/>
    <cellStyle name="Normal 2 3 4 3 3" xfId="31014" xr:uid="{00000000-0005-0000-0000-0000F0770000}"/>
    <cellStyle name="Normal 2 3 4 3 3 2" xfId="31015" xr:uid="{00000000-0005-0000-0000-0000F1770000}"/>
    <cellStyle name="Normal 2 3 4 3 3 2 2" xfId="31016" xr:uid="{00000000-0005-0000-0000-0000F2770000}"/>
    <cellStyle name="Normal 2 3 4 3 3 2 3" xfId="31017" xr:uid="{00000000-0005-0000-0000-0000F3770000}"/>
    <cellStyle name="Normal 2 3 4 3 3 2 4" xfId="31018" xr:uid="{00000000-0005-0000-0000-0000F4770000}"/>
    <cellStyle name="Normal 2 3 4 3 3 2 5" xfId="31019" xr:uid="{00000000-0005-0000-0000-0000F5770000}"/>
    <cellStyle name="Normal 2 3 4 3 3 3" xfId="31020" xr:uid="{00000000-0005-0000-0000-0000F6770000}"/>
    <cellStyle name="Normal 2 3 4 3 3 4" xfId="31021" xr:uid="{00000000-0005-0000-0000-0000F7770000}"/>
    <cellStyle name="Normal 2 3 4 3 3 5" xfId="31022" xr:uid="{00000000-0005-0000-0000-0000F8770000}"/>
    <cellStyle name="Normal 2 3 4 3 3 6" xfId="31023" xr:uid="{00000000-0005-0000-0000-0000F9770000}"/>
    <cellStyle name="Normal 2 3 4 3 3 7" xfId="31024" xr:uid="{00000000-0005-0000-0000-0000FA770000}"/>
    <cellStyle name="Normal 2 3 4 3 3 8" xfId="31025" xr:uid="{00000000-0005-0000-0000-0000FB770000}"/>
    <cellStyle name="Normal 2 3 4 3 4" xfId="31026" xr:uid="{00000000-0005-0000-0000-0000FC770000}"/>
    <cellStyle name="Normal 2 3 4 3 4 2" xfId="31027" xr:uid="{00000000-0005-0000-0000-0000FD770000}"/>
    <cellStyle name="Normal 2 3 4 3 4 2 2" xfId="31028" xr:uid="{00000000-0005-0000-0000-0000FE770000}"/>
    <cellStyle name="Normal 2 3 4 3 4 2 3" xfId="31029" xr:uid="{00000000-0005-0000-0000-0000FF770000}"/>
    <cellStyle name="Normal 2 3 4 3 4 2 4" xfId="31030" xr:uid="{00000000-0005-0000-0000-000000780000}"/>
    <cellStyle name="Normal 2 3 4 3 4 2 5" xfId="31031" xr:uid="{00000000-0005-0000-0000-000001780000}"/>
    <cellStyle name="Normal 2 3 4 3 4 3" xfId="31032" xr:uid="{00000000-0005-0000-0000-000002780000}"/>
    <cellStyle name="Normal 2 3 4 3 4 4" xfId="31033" xr:uid="{00000000-0005-0000-0000-000003780000}"/>
    <cellStyle name="Normal 2 3 4 3 4 5" xfId="31034" xr:uid="{00000000-0005-0000-0000-000004780000}"/>
    <cellStyle name="Normal 2 3 4 3 4 6" xfId="31035" xr:uid="{00000000-0005-0000-0000-000005780000}"/>
    <cellStyle name="Normal 2 3 4 3 4 7" xfId="31036" xr:uid="{00000000-0005-0000-0000-000006780000}"/>
    <cellStyle name="Normal 2 3 4 3 4 8" xfId="31037" xr:uid="{00000000-0005-0000-0000-000007780000}"/>
    <cellStyle name="Normal 2 3 4 3 5" xfId="31038" xr:uid="{00000000-0005-0000-0000-000008780000}"/>
    <cellStyle name="Normal 2 3 4 3 5 2" xfId="31039" xr:uid="{00000000-0005-0000-0000-000009780000}"/>
    <cellStyle name="Normal 2 3 4 3 5 3" xfId="31040" xr:uid="{00000000-0005-0000-0000-00000A780000}"/>
    <cellStyle name="Normal 2 3 4 3 5 4" xfId="31041" xr:uid="{00000000-0005-0000-0000-00000B780000}"/>
    <cellStyle name="Normal 2 3 4 3 5 5" xfId="31042" xr:uid="{00000000-0005-0000-0000-00000C780000}"/>
    <cellStyle name="Normal 2 3 4 3 6" xfId="31043" xr:uid="{00000000-0005-0000-0000-00000D780000}"/>
    <cellStyle name="Normal 2 3 4 3 7" xfId="31044" xr:uid="{00000000-0005-0000-0000-00000E780000}"/>
    <cellStyle name="Normal 2 3 4 3 8" xfId="31045" xr:uid="{00000000-0005-0000-0000-00000F780000}"/>
    <cellStyle name="Normal 2 3 4 3 9" xfId="31046" xr:uid="{00000000-0005-0000-0000-000010780000}"/>
    <cellStyle name="Normal 2 3 4 4" xfId="31047" xr:uid="{00000000-0005-0000-0000-000011780000}"/>
    <cellStyle name="Normal 2 3 4 4 10" xfId="31048" xr:uid="{00000000-0005-0000-0000-000012780000}"/>
    <cellStyle name="Normal 2 3 4 4 2" xfId="31049" xr:uid="{00000000-0005-0000-0000-000013780000}"/>
    <cellStyle name="Normal 2 3 4 4 2 2" xfId="31050" xr:uid="{00000000-0005-0000-0000-000014780000}"/>
    <cellStyle name="Normal 2 3 4 4 2 2 2" xfId="31051" xr:uid="{00000000-0005-0000-0000-000015780000}"/>
    <cellStyle name="Normal 2 3 4 4 2 2 3" xfId="31052" xr:uid="{00000000-0005-0000-0000-000016780000}"/>
    <cellStyle name="Normal 2 3 4 4 2 2 4" xfId="31053" xr:uid="{00000000-0005-0000-0000-000017780000}"/>
    <cellStyle name="Normal 2 3 4 4 2 2 5" xfId="31054" xr:uid="{00000000-0005-0000-0000-000018780000}"/>
    <cellStyle name="Normal 2 3 4 4 2 3" xfId="31055" xr:uid="{00000000-0005-0000-0000-000019780000}"/>
    <cellStyle name="Normal 2 3 4 4 2 4" xfId="31056" xr:uid="{00000000-0005-0000-0000-00001A780000}"/>
    <cellStyle name="Normal 2 3 4 4 2 5" xfId="31057" xr:uid="{00000000-0005-0000-0000-00001B780000}"/>
    <cellStyle name="Normal 2 3 4 4 2 6" xfId="31058" xr:uid="{00000000-0005-0000-0000-00001C780000}"/>
    <cellStyle name="Normal 2 3 4 4 2 7" xfId="31059" xr:uid="{00000000-0005-0000-0000-00001D780000}"/>
    <cellStyle name="Normal 2 3 4 4 2 8" xfId="31060" xr:uid="{00000000-0005-0000-0000-00001E780000}"/>
    <cellStyle name="Normal 2 3 4 4 3" xfId="31061" xr:uid="{00000000-0005-0000-0000-00001F780000}"/>
    <cellStyle name="Normal 2 3 4 4 3 2" xfId="31062" xr:uid="{00000000-0005-0000-0000-000020780000}"/>
    <cellStyle name="Normal 2 3 4 4 3 2 2" xfId="31063" xr:uid="{00000000-0005-0000-0000-000021780000}"/>
    <cellStyle name="Normal 2 3 4 4 3 2 3" xfId="31064" xr:uid="{00000000-0005-0000-0000-000022780000}"/>
    <cellStyle name="Normal 2 3 4 4 3 2 4" xfId="31065" xr:uid="{00000000-0005-0000-0000-000023780000}"/>
    <cellStyle name="Normal 2 3 4 4 3 2 5" xfId="31066" xr:uid="{00000000-0005-0000-0000-000024780000}"/>
    <cellStyle name="Normal 2 3 4 4 3 3" xfId="31067" xr:uid="{00000000-0005-0000-0000-000025780000}"/>
    <cellStyle name="Normal 2 3 4 4 3 4" xfId="31068" xr:uid="{00000000-0005-0000-0000-000026780000}"/>
    <cellStyle name="Normal 2 3 4 4 3 5" xfId="31069" xr:uid="{00000000-0005-0000-0000-000027780000}"/>
    <cellStyle name="Normal 2 3 4 4 3 6" xfId="31070" xr:uid="{00000000-0005-0000-0000-000028780000}"/>
    <cellStyle name="Normal 2 3 4 4 3 7" xfId="31071" xr:uid="{00000000-0005-0000-0000-000029780000}"/>
    <cellStyle name="Normal 2 3 4 4 3 8" xfId="31072" xr:uid="{00000000-0005-0000-0000-00002A780000}"/>
    <cellStyle name="Normal 2 3 4 4 4" xfId="31073" xr:uid="{00000000-0005-0000-0000-00002B780000}"/>
    <cellStyle name="Normal 2 3 4 4 4 2" xfId="31074" xr:uid="{00000000-0005-0000-0000-00002C780000}"/>
    <cellStyle name="Normal 2 3 4 4 4 3" xfId="31075" xr:uid="{00000000-0005-0000-0000-00002D780000}"/>
    <cellStyle name="Normal 2 3 4 4 4 4" xfId="31076" xr:uid="{00000000-0005-0000-0000-00002E780000}"/>
    <cellStyle name="Normal 2 3 4 4 4 5" xfId="31077" xr:uid="{00000000-0005-0000-0000-00002F780000}"/>
    <cellStyle name="Normal 2 3 4 4 5" xfId="31078" xr:uid="{00000000-0005-0000-0000-000030780000}"/>
    <cellStyle name="Normal 2 3 4 4 6" xfId="31079" xr:uid="{00000000-0005-0000-0000-000031780000}"/>
    <cellStyle name="Normal 2 3 4 4 7" xfId="31080" xr:uid="{00000000-0005-0000-0000-000032780000}"/>
    <cellStyle name="Normal 2 3 4 4 8" xfId="31081" xr:uid="{00000000-0005-0000-0000-000033780000}"/>
    <cellStyle name="Normal 2 3 4 4 9" xfId="31082" xr:uid="{00000000-0005-0000-0000-000034780000}"/>
    <cellStyle name="Normal 2 3 4 5" xfId="31083" xr:uid="{00000000-0005-0000-0000-000035780000}"/>
    <cellStyle name="Normal 2 3 4 5 2" xfId="31084" xr:uid="{00000000-0005-0000-0000-000036780000}"/>
    <cellStyle name="Normal 2 3 4 5 2 2" xfId="31085" xr:uid="{00000000-0005-0000-0000-000037780000}"/>
    <cellStyle name="Normal 2 3 4 5 2 3" xfId="31086" xr:uid="{00000000-0005-0000-0000-000038780000}"/>
    <cellStyle name="Normal 2 3 4 5 2 4" xfId="31087" xr:uid="{00000000-0005-0000-0000-000039780000}"/>
    <cellStyle name="Normal 2 3 4 5 2 5" xfId="31088" xr:uid="{00000000-0005-0000-0000-00003A780000}"/>
    <cellStyle name="Normal 2 3 4 5 3" xfId="31089" xr:uid="{00000000-0005-0000-0000-00003B780000}"/>
    <cellStyle name="Normal 2 3 4 5 4" xfId="31090" xr:uid="{00000000-0005-0000-0000-00003C780000}"/>
    <cellStyle name="Normal 2 3 4 5 5" xfId="31091" xr:uid="{00000000-0005-0000-0000-00003D780000}"/>
    <cellStyle name="Normal 2 3 4 5 6" xfId="31092" xr:uid="{00000000-0005-0000-0000-00003E780000}"/>
    <cellStyle name="Normal 2 3 4 5 7" xfId="31093" xr:uid="{00000000-0005-0000-0000-00003F780000}"/>
    <cellStyle name="Normal 2 3 4 5 8" xfId="31094" xr:uid="{00000000-0005-0000-0000-000040780000}"/>
    <cellStyle name="Normal 2 3 4 6" xfId="31095" xr:uid="{00000000-0005-0000-0000-000041780000}"/>
    <cellStyle name="Normal 2 3 4 6 2" xfId="31096" xr:uid="{00000000-0005-0000-0000-000042780000}"/>
    <cellStyle name="Normal 2 3 4 6 2 2" xfId="31097" xr:uid="{00000000-0005-0000-0000-000043780000}"/>
    <cellStyle name="Normal 2 3 4 6 2 3" xfId="31098" xr:uid="{00000000-0005-0000-0000-000044780000}"/>
    <cellStyle name="Normal 2 3 4 6 2 4" xfId="31099" xr:uid="{00000000-0005-0000-0000-000045780000}"/>
    <cellStyle name="Normal 2 3 4 6 2 5" xfId="31100" xr:uid="{00000000-0005-0000-0000-000046780000}"/>
    <cellStyle name="Normal 2 3 4 6 3" xfId="31101" xr:uid="{00000000-0005-0000-0000-000047780000}"/>
    <cellStyle name="Normal 2 3 4 6 4" xfId="31102" xr:uid="{00000000-0005-0000-0000-000048780000}"/>
    <cellStyle name="Normal 2 3 4 6 5" xfId="31103" xr:uid="{00000000-0005-0000-0000-000049780000}"/>
    <cellStyle name="Normal 2 3 4 6 6" xfId="31104" xr:uid="{00000000-0005-0000-0000-00004A780000}"/>
    <cellStyle name="Normal 2 3 4 6 7" xfId="31105" xr:uid="{00000000-0005-0000-0000-00004B780000}"/>
    <cellStyle name="Normal 2 3 4 6 8" xfId="31106" xr:uid="{00000000-0005-0000-0000-00004C780000}"/>
    <cellStyle name="Normal 2 3 4 7" xfId="31107" xr:uid="{00000000-0005-0000-0000-00004D780000}"/>
    <cellStyle name="Normal 2 3 4 7 2" xfId="31108" xr:uid="{00000000-0005-0000-0000-00004E780000}"/>
    <cellStyle name="Normal 2 3 4 7 3" xfId="31109" xr:uid="{00000000-0005-0000-0000-00004F780000}"/>
    <cellStyle name="Normal 2 3 4 7 4" xfId="31110" xr:uid="{00000000-0005-0000-0000-000050780000}"/>
    <cellStyle name="Normal 2 3 4 7 5" xfId="31111" xr:uid="{00000000-0005-0000-0000-000051780000}"/>
    <cellStyle name="Normal 2 3 4 8" xfId="31112" xr:uid="{00000000-0005-0000-0000-000052780000}"/>
    <cellStyle name="Normal 2 3 4 9" xfId="31113" xr:uid="{00000000-0005-0000-0000-000053780000}"/>
    <cellStyle name="Normal 2 3 40" xfId="31114" xr:uid="{00000000-0005-0000-0000-000054780000}"/>
    <cellStyle name="Normal 2 3 5" xfId="870" xr:uid="{00000000-0005-0000-0000-000055780000}"/>
    <cellStyle name="Normal 2 3 5 10" xfId="31115" xr:uid="{00000000-0005-0000-0000-000056780000}"/>
    <cellStyle name="Normal 2 3 5 11" xfId="31116" xr:uid="{00000000-0005-0000-0000-000057780000}"/>
    <cellStyle name="Normal 2 3 5 12" xfId="31117" xr:uid="{00000000-0005-0000-0000-000058780000}"/>
    <cellStyle name="Normal 2 3 5 13" xfId="31118" xr:uid="{00000000-0005-0000-0000-000059780000}"/>
    <cellStyle name="Normal 2 3 5 14" xfId="31119" xr:uid="{00000000-0005-0000-0000-00005A780000}"/>
    <cellStyle name="Normal 2 3 5 15" xfId="31120" xr:uid="{00000000-0005-0000-0000-00005B780000}"/>
    <cellStyle name="Normal 2 3 5 16" xfId="31121" xr:uid="{00000000-0005-0000-0000-00005C780000}"/>
    <cellStyle name="Normal 2 3 5 17" xfId="31122" xr:uid="{00000000-0005-0000-0000-00005D780000}"/>
    <cellStyle name="Normal 2 3 5 18" xfId="31123" xr:uid="{00000000-0005-0000-0000-00005E780000}"/>
    <cellStyle name="Normal 2 3 5 19" xfId="31124" xr:uid="{00000000-0005-0000-0000-00005F780000}"/>
    <cellStyle name="Normal 2 3 5 2" xfId="31125" xr:uid="{00000000-0005-0000-0000-000060780000}"/>
    <cellStyle name="Normal 2 3 5 2 10" xfId="31126" xr:uid="{00000000-0005-0000-0000-000061780000}"/>
    <cellStyle name="Normal 2 3 5 2 11" xfId="31127" xr:uid="{00000000-0005-0000-0000-000062780000}"/>
    <cellStyle name="Normal 2 3 5 2 12" xfId="31128" xr:uid="{00000000-0005-0000-0000-000063780000}"/>
    <cellStyle name="Normal 2 3 5 2 13" xfId="31129" xr:uid="{00000000-0005-0000-0000-000064780000}"/>
    <cellStyle name="Normal 2 3 5 2 14" xfId="31130" xr:uid="{00000000-0005-0000-0000-000065780000}"/>
    <cellStyle name="Normal 2 3 5 2 15" xfId="31131" xr:uid="{00000000-0005-0000-0000-000066780000}"/>
    <cellStyle name="Normal 2 3 5 2 16" xfId="31132" xr:uid="{00000000-0005-0000-0000-000067780000}"/>
    <cellStyle name="Normal 2 3 5 2 17" xfId="31133" xr:uid="{00000000-0005-0000-0000-000068780000}"/>
    <cellStyle name="Normal 2 3 5 2 18" xfId="31134" xr:uid="{00000000-0005-0000-0000-000069780000}"/>
    <cellStyle name="Normal 2 3 5 2 19" xfId="31135" xr:uid="{00000000-0005-0000-0000-00006A780000}"/>
    <cellStyle name="Normal 2 3 5 2 2" xfId="31136" xr:uid="{00000000-0005-0000-0000-00006B780000}"/>
    <cellStyle name="Normal 2 3 5 2 2 10" xfId="31137" xr:uid="{00000000-0005-0000-0000-00006C780000}"/>
    <cellStyle name="Normal 2 3 5 2 2 2" xfId="31138" xr:uid="{00000000-0005-0000-0000-00006D780000}"/>
    <cellStyle name="Normal 2 3 5 2 2 2 2" xfId="31139" xr:uid="{00000000-0005-0000-0000-00006E780000}"/>
    <cellStyle name="Normal 2 3 5 2 2 2 2 2" xfId="31140" xr:uid="{00000000-0005-0000-0000-00006F780000}"/>
    <cellStyle name="Normal 2 3 5 2 2 2 2 3" xfId="31141" xr:uid="{00000000-0005-0000-0000-000070780000}"/>
    <cellStyle name="Normal 2 3 5 2 2 2 2 4" xfId="31142" xr:uid="{00000000-0005-0000-0000-000071780000}"/>
    <cellStyle name="Normal 2 3 5 2 2 2 2 5" xfId="31143" xr:uid="{00000000-0005-0000-0000-000072780000}"/>
    <cellStyle name="Normal 2 3 5 2 2 2 3" xfId="31144" xr:uid="{00000000-0005-0000-0000-000073780000}"/>
    <cellStyle name="Normal 2 3 5 2 2 2 4" xfId="31145" xr:uid="{00000000-0005-0000-0000-000074780000}"/>
    <cellStyle name="Normal 2 3 5 2 2 2 5" xfId="31146" xr:uid="{00000000-0005-0000-0000-000075780000}"/>
    <cellStyle name="Normal 2 3 5 2 2 2 6" xfId="31147" xr:uid="{00000000-0005-0000-0000-000076780000}"/>
    <cellStyle name="Normal 2 3 5 2 2 2 7" xfId="31148" xr:uid="{00000000-0005-0000-0000-000077780000}"/>
    <cellStyle name="Normal 2 3 5 2 2 2 8" xfId="31149" xr:uid="{00000000-0005-0000-0000-000078780000}"/>
    <cellStyle name="Normal 2 3 5 2 2 3" xfId="31150" xr:uid="{00000000-0005-0000-0000-000079780000}"/>
    <cellStyle name="Normal 2 3 5 2 2 3 2" xfId="31151" xr:uid="{00000000-0005-0000-0000-00007A780000}"/>
    <cellStyle name="Normal 2 3 5 2 2 3 2 2" xfId="31152" xr:uid="{00000000-0005-0000-0000-00007B780000}"/>
    <cellStyle name="Normal 2 3 5 2 2 3 2 3" xfId="31153" xr:uid="{00000000-0005-0000-0000-00007C780000}"/>
    <cellStyle name="Normal 2 3 5 2 2 3 2 4" xfId="31154" xr:uid="{00000000-0005-0000-0000-00007D780000}"/>
    <cellStyle name="Normal 2 3 5 2 2 3 2 5" xfId="31155" xr:uid="{00000000-0005-0000-0000-00007E780000}"/>
    <cellStyle name="Normal 2 3 5 2 2 3 3" xfId="31156" xr:uid="{00000000-0005-0000-0000-00007F780000}"/>
    <cellStyle name="Normal 2 3 5 2 2 3 4" xfId="31157" xr:uid="{00000000-0005-0000-0000-000080780000}"/>
    <cellStyle name="Normal 2 3 5 2 2 3 5" xfId="31158" xr:uid="{00000000-0005-0000-0000-000081780000}"/>
    <cellStyle name="Normal 2 3 5 2 2 3 6" xfId="31159" xr:uid="{00000000-0005-0000-0000-000082780000}"/>
    <cellStyle name="Normal 2 3 5 2 2 3 7" xfId="31160" xr:uid="{00000000-0005-0000-0000-000083780000}"/>
    <cellStyle name="Normal 2 3 5 2 2 3 8" xfId="31161" xr:uid="{00000000-0005-0000-0000-000084780000}"/>
    <cellStyle name="Normal 2 3 5 2 2 4" xfId="31162" xr:uid="{00000000-0005-0000-0000-000085780000}"/>
    <cellStyle name="Normal 2 3 5 2 2 4 2" xfId="31163" xr:uid="{00000000-0005-0000-0000-000086780000}"/>
    <cellStyle name="Normal 2 3 5 2 2 4 3" xfId="31164" xr:uid="{00000000-0005-0000-0000-000087780000}"/>
    <cellStyle name="Normal 2 3 5 2 2 4 4" xfId="31165" xr:uid="{00000000-0005-0000-0000-000088780000}"/>
    <cellStyle name="Normal 2 3 5 2 2 4 5" xfId="31166" xr:uid="{00000000-0005-0000-0000-000089780000}"/>
    <cellStyle name="Normal 2 3 5 2 2 5" xfId="31167" xr:uid="{00000000-0005-0000-0000-00008A780000}"/>
    <cellStyle name="Normal 2 3 5 2 2 6" xfId="31168" xr:uid="{00000000-0005-0000-0000-00008B780000}"/>
    <cellStyle name="Normal 2 3 5 2 2 7" xfId="31169" xr:uid="{00000000-0005-0000-0000-00008C780000}"/>
    <cellStyle name="Normal 2 3 5 2 2 8" xfId="31170" xr:uid="{00000000-0005-0000-0000-00008D780000}"/>
    <cellStyle name="Normal 2 3 5 2 2 9" xfId="31171" xr:uid="{00000000-0005-0000-0000-00008E780000}"/>
    <cellStyle name="Normal 2 3 5 2 20" xfId="31172" xr:uid="{00000000-0005-0000-0000-00008F780000}"/>
    <cellStyle name="Normal 2 3 5 2 21" xfId="31173" xr:uid="{00000000-0005-0000-0000-000090780000}"/>
    <cellStyle name="Normal 2 3 5 2 22" xfId="31174" xr:uid="{00000000-0005-0000-0000-000091780000}"/>
    <cellStyle name="Normal 2 3 5 2 23" xfId="31175" xr:uid="{00000000-0005-0000-0000-000092780000}"/>
    <cellStyle name="Normal 2 3 5 2 24" xfId="31176" xr:uid="{00000000-0005-0000-0000-000093780000}"/>
    <cellStyle name="Normal 2 3 5 2 25" xfId="31177" xr:uid="{00000000-0005-0000-0000-000094780000}"/>
    <cellStyle name="Normal 2 3 5 2 26" xfId="31178" xr:uid="{00000000-0005-0000-0000-000095780000}"/>
    <cellStyle name="Normal 2 3 5 2 3" xfId="31179" xr:uid="{00000000-0005-0000-0000-000096780000}"/>
    <cellStyle name="Normal 2 3 5 2 3 2" xfId="31180" xr:uid="{00000000-0005-0000-0000-000097780000}"/>
    <cellStyle name="Normal 2 3 5 2 3 2 2" xfId="31181" xr:uid="{00000000-0005-0000-0000-000098780000}"/>
    <cellStyle name="Normal 2 3 5 2 3 2 3" xfId="31182" xr:uid="{00000000-0005-0000-0000-000099780000}"/>
    <cellStyle name="Normal 2 3 5 2 3 2 4" xfId="31183" xr:uid="{00000000-0005-0000-0000-00009A780000}"/>
    <cellStyle name="Normal 2 3 5 2 3 2 5" xfId="31184" xr:uid="{00000000-0005-0000-0000-00009B780000}"/>
    <cellStyle name="Normal 2 3 5 2 3 3" xfId="31185" xr:uid="{00000000-0005-0000-0000-00009C780000}"/>
    <cellStyle name="Normal 2 3 5 2 3 4" xfId="31186" xr:uid="{00000000-0005-0000-0000-00009D780000}"/>
    <cellStyle name="Normal 2 3 5 2 3 5" xfId="31187" xr:uid="{00000000-0005-0000-0000-00009E780000}"/>
    <cellStyle name="Normal 2 3 5 2 3 6" xfId="31188" xr:uid="{00000000-0005-0000-0000-00009F780000}"/>
    <cellStyle name="Normal 2 3 5 2 3 7" xfId="31189" xr:uid="{00000000-0005-0000-0000-0000A0780000}"/>
    <cellStyle name="Normal 2 3 5 2 3 8" xfId="31190" xr:uid="{00000000-0005-0000-0000-0000A1780000}"/>
    <cellStyle name="Normal 2 3 5 2 4" xfId="31191" xr:uid="{00000000-0005-0000-0000-0000A2780000}"/>
    <cellStyle name="Normal 2 3 5 2 4 2" xfId="31192" xr:uid="{00000000-0005-0000-0000-0000A3780000}"/>
    <cellStyle name="Normal 2 3 5 2 4 2 2" xfId="31193" xr:uid="{00000000-0005-0000-0000-0000A4780000}"/>
    <cellStyle name="Normal 2 3 5 2 4 2 3" xfId="31194" xr:uid="{00000000-0005-0000-0000-0000A5780000}"/>
    <cellStyle name="Normal 2 3 5 2 4 2 4" xfId="31195" xr:uid="{00000000-0005-0000-0000-0000A6780000}"/>
    <cellStyle name="Normal 2 3 5 2 4 2 5" xfId="31196" xr:uid="{00000000-0005-0000-0000-0000A7780000}"/>
    <cellStyle name="Normal 2 3 5 2 4 3" xfId="31197" xr:uid="{00000000-0005-0000-0000-0000A8780000}"/>
    <cellStyle name="Normal 2 3 5 2 4 4" xfId="31198" xr:uid="{00000000-0005-0000-0000-0000A9780000}"/>
    <cellStyle name="Normal 2 3 5 2 4 5" xfId="31199" xr:uid="{00000000-0005-0000-0000-0000AA780000}"/>
    <cellStyle name="Normal 2 3 5 2 4 6" xfId="31200" xr:uid="{00000000-0005-0000-0000-0000AB780000}"/>
    <cellStyle name="Normal 2 3 5 2 4 7" xfId="31201" xr:uid="{00000000-0005-0000-0000-0000AC780000}"/>
    <cellStyle name="Normal 2 3 5 2 4 8" xfId="31202" xr:uid="{00000000-0005-0000-0000-0000AD780000}"/>
    <cellStyle name="Normal 2 3 5 2 5" xfId="31203" xr:uid="{00000000-0005-0000-0000-0000AE780000}"/>
    <cellStyle name="Normal 2 3 5 2 5 2" xfId="31204" xr:uid="{00000000-0005-0000-0000-0000AF780000}"/>
    <cellStyle name="Normal 2 3 5 2 5 3" xfId="31205" xr:uid="{00000000-0005-0000-0000-0000B0780000}"/>
    <cellStyle name="Normal 2 3 5 2 5 4" xfId="31206" xr:uid="{00000000-0005-0000-0000-0000B1780000}"/>
    <cellStyle name="Normal 2 3 5 2 5 5" xfId="31207" xr:uid="{00000000-0005-0000-0000-0000B2780000}"/>
    <cellStyle name="Normal 2 3 5 2 6" xfId="31208" xr:uid="{00000000-0005-0000-0000-0000B3780000}"/>
    <cellStyle name="Normal 2 3 5 2 7" xfId="31209" xr:uid="{00000000-0005-0000-0000-0000B4780000}"/>
    <cellStyle name="Normal 2 3 5 2 8" xfId="31210" xr:uid="{00000000-0005-0000-0000-0000B5780000}"/>
    <cellStyle name="Normal 2 3 5 2 9" xfId="31211" xr:uid="{00000000-0005-0000-0000-0000B6780000}"/>
    <cellStyle name="Normal 2 3 5 20" xfId="31212" xr:uid="{00000000-0005-0000-0000-0000B7780000}"/>
    <cellStyle name="Normal 2 3 5 21" xfId="31213" xr:uid="{00000000-0005-0000-0000-0000B8780000}"/>
    <cellStyle name="Normal 2 3 5 22" xfId="31214" xr:uid="{00000000-0005-0000-0000-0000B9780000}"/>
    <cellStyle name="Normal 2 3 5 23" xfId="31215" xr:uid="{00000000-0005-0000-0000-0000BA780000}"/>
    <cellStyle name="Normal 2 3 5 24" xfId="31216" xr:uid="{00000000-0005-0000-0000-0000BB780000}"/>
    <cellStyle name="Normal 2 3 5 25" xfId="31217" xr:uid="{00000000-0005-0000-0000-0000BC780000}"/>
    <cellStyle name="Normal 2 3 5 26" xfId="31218" xr:uid="{00000000-0005-0000-0000-0000BD780000}"/>
    <cellStyle name="Normal 2 3 5 3" xfId="31219" xr:uid="{00000000-0005-0000-0000-0000BE780000}"/>
    <cellStyle name="Normal 2 3 5 3 10" xfId="31220" xr:uid="{00000000-0005-0000-0000-0000BF780000}"/>
    <cellStyle name="Normal 2 3 5 3 11" xfId="31221" xr:uid="{00000000-0005-0000-0000-0000C0780000}"/>
    <cellStyle name="Normal 2 3 5 3 2" xfId="31222" xr:uid="{00000000-0005-0000-0000-0000C1780000}"/>
    <cellStyle name="Normal 2 3 5 3 2 10" xfId="31223" xr:uid="{00000000-0005-0000-0000-0000C2780000}"/>
    <cellStyle name="Normal 2 3 5 3 2 2" xfId="31224" xr:uid="{00000000-0005-0000-0000-0000C3780000}"/>
    <cellStyle name="Normal 2 3 5 3 2 2 2" xfId="31225" xr:uid="{00000000-0005-0000-0000-0000C4780000}"/>
    <cellStyle name="Normal 2 3 5 3 2 2 2 2" xfId="31226" xr:uid="{00000000-0005-0000-0000-0000C5780000}"/>
    <cellStyle name="Normal 2 3 5 3 2 2 2 3" xfId="31227" xr:uid="{00000000-0005-0000-0000-0000C6780000}"/>
    <cellStyle name="Normal 2 3 5 3 2 2 2 4" xfId="31228" xr:uid="{00000000-0005-0000-0000-0000C7780000}"/>
    <cellStyle name="Normal 2 3 5 3 2 2 2 5" xfId="31229" xr:uid="{00000000-0005-0000-0000-0000C8780000}"/>
    <cellStyle name="Normal 2 3 5 3 2 2 3" xfId="31230" xr:uid="{00000000-0005-0000-0000-0000C9780000}"/>
    <cellStyle name="Normal 2 3 5 3 2 2 4" xfId="31231" xr:uid="{00000000-0005-0000-0000-0000CA780000}"/>
    <cellStyle name="Normal 2 3 5 3 2 2 5" xfId="31232" xr:uid="{00000000-0005-0000-0000-0000CB780000}"/>
    <cellStyle name="Normal 2 3 5 3 2 2 6" xfId="31233" xr:uid="{00000000-0005-0000-0000-0000CC780000}"/>
    <cellStyle name="Normal 2 3 5 3 2 2 7" xfId="31234" xr:uid="{00000000-0005-0000-0000-0000CD780000}"/>
    <cellStyle name="Normal 2 3 5 3 2 2 8" xfId="31235" xr:uid="{00000000-0005-0000-0000-0000CE780000}"/>
    <cellStyle name="Normal 2 3 5 3 2 3" xfId="31236" xr:uid="{00000000-0005-0000-0000-0000CF780000}"/>
    <cellStyle name="Normal 2 3 5 3 2 3 2" xfId="31237" xr:uid="{00000000-0005-0000-0000-0000D0780000}"/>
    <cellStyle name="Normal 2 3 5 3 2 3 2 2" xfId="31238" xr:uid="{00000000-0005-0000-0000-0000D1780000}"/>
    <cellStyle name="Normal 2 3 5 3 2 3 2 3" xfId="31239" xr:uid="{00000000-0005-0000-0000-0000D2780000}"/>
    <cellStyle name="Normal 2 3 5 3 2 3 2 4" xfId="31240" xr:uid="{00000000-0005-0000-0000-0000D3780000}"/>
    <cellStyle name="Normal 2 3 5 3 2 3 2 5" xfId="31241" xr:uid="{00000000-0005-0000-0000-0000D4780000}"/>
    <cellStyle name="Normal 2 3 5 3 2 3 3" xfId="31242" xr:uid="{00000000-0005-0000-0000-0000D5780000}"/>
    <cellStyle name="Normal 2 3 5 3 2 3 4" xfId="31243" xr:uid="{00000000-0005-0000-0000-0000D6780000}"/>
    <cellStyle name="Normal 2 3 5 3 2 3 5" xfId="31244" xr:uid="{00000000-0005-0000-0000-0000D7780000}"/>
    <cellStyle name="Normal 2 3 5 3 2 3 6" xfId="31245" xr:uid="{00000000-0005-0000-0000-0000D8780000}"/>
    <cellStyle name="Normal 2 3 5 3 2 3 7" xfId="31246" xr:uid="{00000000-0005-0000-0000-0000D9780000}"/>
    <cellStyle name="Normal 2 3 5 3 2 3 8" xfId="31247" xr:uid="{00000000-0005-0000-0000-0000DA780000}"/>
    <cellStyle name="Normal 2 3 5 3 2 4" xfId="31248" xr:uid="{00000000-0005-0000-0000-0000DB780000}"/>
    <cellStyle name="Normal 2 3 5 3 2 4 2" xfId="31249" xr:uid="{00000000-0005-0000-0000-0000DC780000}"/>
    <cellStyle name="Normal 2 3 5 3 2 4 3" xfId="31250" xr:uid="{00000000-0005-0000-0000-0000DD780000}"/>
    <cellStyle name="Normal 2 3 5 3 2 4 4" xfId="31251" xr:uid="{00000000-0005-0000-0000-0000DE780000}"/>
    <cellStyle name="Normal 2 3 5 3 2 4 5" xfId="31252" xr:uid="{00000000-0005-0000-0000-0000DF780000}"/>
    <cellStyle name="Normal 2 3 5 3 2 5" xfId="31253" xr:uid="{00000000-0005-0000-0000-0000E0780000}"/>
    <cellStyle name="Normal 2 3 5 3 2 6" xfId="31254" xr:uid="{00000000-0005-0000-0000-0000E1780000}"/>
    <cellStyle name="Normal 2 3 5 3 2 7" xfId="31255" xr:uid="{00000000-0005-0000-0000-0000E2780000}"/>
    <cellStyle name="Normal 2 3 5 3 2 8" xfId="31256" xr:uid="{00000000-0005-0000-0000-0000E3780000}"/>
    <cellStyle name="Normal 2 3 5 3 2 9" xfId="31257" xr:uid="{00000000-0005-0000-0000-0000E4780000}"/>
    <cellStyle name="Normal 2 3 5 3 3" xfId="31258" xr:uid="{00000000-0005-0000-0000-0000E5780000}"/>
    <cellStyle name="Normal 2 3 5 3 3 2" xfId="31259" xr:uid="{00000000-0005-0000-0000-0000E6780000}"/>
    <cellStyle name="Normal 2 3 5 3 3 2 2" xfId="31260" xr:uid="{00000000-0005-0000-0000-0000E7780000}"/>
    <cellStyle name="Normal 2 3 5 3 3 2 3" xfId="31261" xr:uid="{00000000-0005-0000-0000-0000E8780000}"/>
    <cellStyle name="Normal 2 3 5 3 3 2 4" xfId="31262" xr:uid="{00000000-0005-0000-0000-0000E9780000}"/>
    <cellStyle name="Normal 2 3 5 3 3 2 5" xfId="31263" xr:uid="{00000000-0005-0000-0000-0000EA780000}"/>
    <cellStyle name="Normal 2 3 5 3 3 3" xfId="31264" xr:uid="{00000000-0005-0000-0000-0000EB780000}"/>
    <cellStyle name="Normal 2 3 5 3 3 4" xfId="31265" xr:uid="{00000000-0005-0000-0000-0000EC780000}"/>
    <cellStyle name="Normal 2 3 5 3 3 5" xfId="31266" xr:uid="{00000000-0005-0000-0000-0000ED780000}"/>
    <cellStyle name="Normal 2 3 5 3 3 6" xfId="31267" xr:uid="{00000000-0005-0000-0000-0000EE780000}"/>
    <cellStyle name="Normal 2 3 5 3 3 7" xfId="31268" xr:uid="{00000000-0005-0000-0000-0000EF780000}"/>
    <cellStyle name="Normal 2 3 5 3 3 8" xfId="31269" xr:uid="{00000000-0005-0000-0000-0000F0780000}"/>
    <cellStyle name="Normal 2 3 5 3 4" xfId="31270" xr:uid="{00000000-0005-0000-0000-0000F1780000}"/>
    <cellStyle name="Normal 2 3 5 3 4 2" xfId="31271" xr:uid="{00000000-0005-0000-0000-0000F2780000}"/>
    <cellStyle name="Normal 2 3 5 3 4 2 2" xfId="31272" xr:uid="{00000000-0005-0000-0000-0000F3780000}"/>
    <cellStyle name="Normal 2 3 5 3 4 2 3" xfId="31273" xr:uid="{00000000-0005-0000-0000-0000F4780000}"/>
    <cellStyle name="Normal 2 3 5 3 4 2 4" xfId="31274" xr:uid="{00000000-0005-0000-0000-0000F5780000}"/>
    <cellStyle name="Normal 2 3 5 3 4 2 5" xfId="31275" xr:uid="{00000000-0005-0000-0000-0000F6780000}"/>
    <cellStyle name="Normal 2 3 5 3 4 3" xfId="31276" xr:uid="{00000000-0005-0000-0000-0000F7780000}"/>
    <cellStyle name="Normal 2 3 5 3 4 4" xfId="31277" xr:uid="{00000000-0005-0000-0000-0000F8780000}"/>
    <cellStyle name="Normal 2 3 5 3 4 5" xfId="31278" xr:uid="{00000000-0005-0000-0000-0000F9780000}"/>
    <cellStyle name="Normal 2 3 5 3 4 6" xfId="31279" xr:uid="{00000000-0005-0000-0000-0000FA780000}"/>
    <cellStyle name="Normal 2 3 5 3 4 7" xfId="31280" xr:uid="{00000000-0005-0000-0000-0000FB780000}"/>
    <cellStyle name="Normal 2 3 5 3 4 8" xfId="31281" xr:uid="{00000000-0005-0000-0000-0000FC780000}"/>
    <cellStyle name="Normal 2 3 5 3 5" xfId="31282" xr:uid="{00000000-0005-0000-0000-0000FD780000}"/>
    <cellStyle name="Normal 2 3 5 3 5 2" xfId="31283" xr:uid="{00000000-0005-0000-0000-0000FE780000}"/>
    <cellStyle name="Normal 2 3 5 3 5 3" xfId="31284" xr:uid="{00000000-0005-0000-0000-0000FF780000}"/>
    <cellStyle name="Normal 2 3 5 3 5 4" xfId="31285" xr:uid="{00000000-0005-0000-0000-000000790000}"/>
    <cellStyle name="Normal 2 3 5 3 5 5" xfId="31286" xr:uid="{00000000-0005-0000-0000-000001790000}"/>
    <cellStyle name="Normal 2 3 5 3 6" xfId="31287" xr:uid="{00000000-0005-0000-0000-000002790000}"/>
    <cellStyle name="Normal 2 3 5 3 7" xfId="31288" xr:uid="{00000000-0005-0000-0000-000003790000}"/>
    <cellStyle name="Normal 2 3 5 3 8" xfId="31289" xr:uid="{00000000-0005-0000-0000-000004790000}"/>
    <cellStyle name="Normal 2 3 5 3 9" xfId="31290" xr:uid="{00000000-0005-0000-0000-000005790000}"/>
    <cellStyle name="Normal 2 3 5 4" xfId="31291" xr:uid="{00000000-0005-0000-0000-000006790000}"/>
    <cellStyle name="Normal 2 3 5 4 10" xfId="31292" xr:uid="{00000000-0005-0000-0000-000007790000}"/>
    <cellStyle name="Normal 2 3 5 4 2" xfId="31293" xr:uid="{00000000-0005-0000-0000-000008790000}"/>
    <cellStyle name="Normal 2 3 5 4 2 2" xfId="31294" xr:uid="{00000000-0005-0000-0000-000009790000}"/>
    <cellStyle name="Normal 2 3 5 4 2 2 2" xfId="31295" xr:uid="{00000000-0005-0000-0000-00000A790000}"/>
    <cellStyle name="Normal 2 3 5 4 2 2 3" xfId="31296" xr:uid="{00000000-0005-0000-0000-00000B790000}"/>
    <cellStyle name="Normal 2 3 5 4 2 2 4" xfId="31297" xr:uid="{00000000-0005-0000-0000-00000C790000}"/>
    <cellStyle name="Normal 2 3 5 4 2 2 5" xfId="31298" xr:uid="{00000000-0005-0000-0000-00000D790000}"/>
    <cellStyle name="Normal 2 3 5 4 2 3" xfId="31299" xr:uid="{00000000-0005-0000-0000-00000E790000}"/>
    <cellStyle name="Normal 2 3 5 4 2 4" xfId="31300" xr:uid="{00000000-0005-0000-0000-00000F790000}"/>
    <cellStyle name="Normal 2 3 5 4 2 5" xfId="31301" xr:uid="{00000000-0005-0000-0000-000010790000}"/>
    <cellStyle name="Normal 2 3 5 4 2 6" xfId="31302" xr:uid="{00000000-0005-0000-0000-000011790000}"/>
    <cellStyle name="Normal 2 3 5 4 2 7" xfId="31303" xr:uid="{00000000-0005-0000-0000-000012790000}"/>
    <cellStyle name="Normal 2 3 5 4 2 8" xfId="31304" xr:uid="{00000000-0005-0000-0000-000013790000}"/>
    <cellStyle name="Normal 2 3 5 4 3" xfId="31305" xr:uid="{00000000-0005-0000-0000-000014790000}"/>
    <cellStyle name="Normal 2 3 5 4 3 2" xfId="31306" xr:uid="{00000000-0005-0000-0000-000015790000}"/>
    <cellStyle name="Normal 2 3 5 4 3 2 2" xfId="31307" xr:uid="{00000000-0005-0000-0000-000016790000}"/>
    <cellStyle name="Normal 2 3 5 4 3 2 3" xfId="31308" xr:uid="{00000000-0005-0000-0000-000017790000}"/>
    <cellStyle name="Normal 2 3 5 4 3 2 4" xfId="31309" xr:uid="{00000000-0005-0000-0000-000018790000}"/>
    <cellStyle name="Normal 2 3 5 4 3 2 5" xfId="31310" xr:uid="{00000000-0005-0000-0000-000019790000}"/>
    <cellStyle name="Normal 2 3 5 4 3 3" xfId="31311" xr:uid="{00000000-0005-0000-0000-00001A790000}"/>
    <cellStyle name="Normal 2 3 5 4 3 4" xfId="31312" xr:uid="{00000000-0005-0000-0000-00001B790000}"/>
    <cellStyle name="Normal 2 3 5 4 3 5" xfId="31313" xr:uid="{00000000-0005-0000-0000-00001C790000}"/>
    <cellStyle name="Normal 2 3 5 4 3 6" xfId="31314" xr:uid="{00000000-0005-0000-0000-00001D790000}"/>
    <cellStyle name="Normal 2 3 5 4 3 7" xfId="31315" xr:uid="{00000000-0005-0000-0000-00001E790000}"/>
    <cellStyle name="Normal 2 3 5 4 3 8" xfId="31316" xr:uid="{00000000-0005-0000-0000-00001F790000}"/>
    <cellStyle name="Normal 2 3 5 4 4" xfId="31317" xr:uid="{00000000-0005-0000-0000-000020790000}"/>
    <cellStyle name="Normal 2 3 5 4 4 2" xfId="31318" xr:uid="{00000000-0005-0000-0000-000021790000}"/>
    <cellStyle name="Normal 2 3 5 4 4 3" xfId="31319" xr:uid="{00000000-0005-0000-0000-000022790000}"/>
    <cellStyle name="Normal 2 3 5 4 4 4" xfId="31320" xr:uid="{00000000-0005-0000-0000-000023790000}"/>
    <cellStyle name="Normal 2 3 5 4 4 5" xfId="31321" xr:uid="{00000000-0005-0000-0000-000024790000}"/>
    <cellStyle name="Normal 2 3 5 4 5" xfId="31322" xr:uid="{00000000-0005-0000-0000-000025790000}"/>
    <cellStyle name="Normal 2 3 5 4 6" xfId="31323" xr:uid="{00000000-0005-0000-0000-000026790000}"/>
    <cellStyle name="Normal 2 3 5 4 7" xfId="31324" xr:uid="{00000000-0005-0000-0000-000027790000}"/>
    <cellStyle name="Normal 2 3 5 4 8" xfId="31325" xr:uid="{00000000-0005-0000-0000-000028790000}"/>
    <cellStyle name="Normal 2 3 5 4 9" xfId="31326" xr:uid="{00000000-0005-0000-0000-000029790000}"/>
    <cellStyle name="Normal 2 3 5 5" xfId="31327" xr:uid="{00000000-0005-0000-0000-00002A790000}"/>
    <cellStyle name="Normal 2 3 5 5 2" xfId="31328" xr:uid="{00000000-0005-0000-0000-00002B790000}"/>
    <cellStyle name="Normal 2 3 5 5 2 2" xfId="31329" xr:uid="{00000000-0005-0000-0000-00002C790000}"/>
    <cellStyle name="Normal 2 3 5 5 2 3" xfId="31330" xr:uid="{00000000-0005-0000-0000-00002D790000}"/>
    <cellStyle name="Normal 2 3 5 5 2 4" xfId="31331" xr:uid="{00000000-0005-0000-0000-00002E790000}"/>
    <cellStyle name="Normal 2 3 5 5 2 5" xfId="31332" xr:uid="{00000000-0005-0000-0000-00002F790000}"/>
    <cellStyle name="Normal 2 3 5 5 3" xfId="31333" xr:uid="{00000000-0005-0000-0000-000030790000}"/>
    <cellStyle name="Normal 2 3 5 5 4" xfId="31334" xr:uid="{00000000-0005-0000-0000-000031790000}"/>
    <cellStyle name="Normal 2 3 5 5 5" xfId="31335" xr:uid="{00000000-0005-0000-0000-000032790000}"/>
    <cellStyle name="Normal 2 3 5 5 6" xfId="31336" xr:uid="{00000000-0005-0000-0000-000033790000}"/>
    <cellStyle name="Normal 2 3 5 5 7" xfId="31337" xr:uid="{00000000-0005-0000-0000-000034790000}"/>
    <cellStyle name="Normal 2 3 5 5 8" xfId="31338" xr:uid="{00000000-0005-0000-0000-000035790000}"/>
    <cellStyle name="Normal 2 3 5 6" xfId="31339" xr:uid="{00000000-0005-0000-0000-000036790000}"/>
    <cellStyle name="Normal 2 3 5 6 2" xfId="31340" xr:uid="{00000000-0005-0000-0000-000037790000}"/>
    <cellStyle name="Normal 2 3 5 6 2 2" xfId="31341" xr:uid="{00000000-0005-0000-0000-000038790000}"/>
    <cellStyle name="Normal 2 3 5 6 2 3" xfId="31342" xr:uid="{00000000-0005-0000-0000-000039790000}"/>
    <cellStyle name="Normal 2 3 5 6 2 4" xfId="31343" xr:uid="{00000000-0005-0000-0000-00003A790000}"/>
    <cellStyle name="Normal 2 3 5 6 2 5" xfId="31344" xr:uid="{00000000-0005-0000-0000-00003B790000}"/>
    <cellStyle name="Normal 2 3 5 6 3" xfId="31345" xr:uid="{00000000-0005-0000-0000-00003C790000}"/>
    <cellStyle name="Normal 2 3 5 6 4" xfId="31346" xr:uid="{00000000-0005-0000-0000-00003D790000}"/>
    <cellStyle name="Normal 2 3 5 6 5" xfId="31347" xr:uid="{00000000-0005-0000-0000-00003E790000}"/>
    <cellStyle name="Normal 2 3 5 6 6" xfId="31348" xr:uid="{00000000-0005-0000-0000-00003F790000}"/>
    <cellStyle name="Normal 2 3 5 6 7" xfId="31349" xr:uid="{00000000-0005-0000-0000-000040790000}"/>
    <cellStyle name="Normal 2 3 5 6 8" xfId="31350" xr:uid="{00000000-0005-0000-0000-000041790000}"/>
    <cellStyle name="Normal 2 3 5 7" xfId="31351" xr:uid="{00000000-0005-0000-0000-000042790000}"/>
    <cellStyle name="Normal 2 3 5 7 2" xfId="31352" xr:uid="{00000000-0005-0000-0000-000043790000}"/>
    <cellStyle name="Normal 2 3 5 7 3" xfId="31353" xr:uid="{00000000-0005-0000-0000-000044790000}"/>
    <cellStyle name="Normal 2 3 5 7 4" xfId="31354" xr:uid="{00000000-0005-0000-0000-000045790000}"/>
    <cellStyle name="Normal 2 3 5 7 5" xfId="31355" xr:uid="{00000000-0005-0000-0000-000046790000}"/>
    <cellStyle name="Normal 2 3 5 8" xfId="31356" xr:uid="{00000000-0005-0000-0000-000047790000}"/>
    <cellStyle name="Normal 2 3 5 9" xfId="31357" xr:uid="{00000000-0005-0000-0000-000048790000}"/>
    <cellStyle name="Normal 2 3 6" xfId="31358" xr:uid="{00000000-0005-0000-0000-000049790000}"/>
    <cellStyle name="Normal 2 3 6 10" xfId="31359" xr:uid="{00000000-0005-0000-0000-00004A790000}"/>
    <cellStyle name="Normal 2 3 6 11" xfId="31360" xr:uid="{00000000-0005-0000-0000-00004B790000}"/>
    <cellStyle name="Normal 2 3 6 12" xfId="31361" xr:uid="{00000000-0005-0000-0000-00004C790000}"/>
    <cellStyle name="Normal 2 3 6 13" xfId="31362" xr:uid="{00000000-0005-0000-0000-00004D790000}"/>
    <cellStyle name="Normal 2 3 6 2" xfId="31363" xr:uid="{00000000-0005-0000-0000-00004E790000}"/>
    <cellStyle name="Normal 2 3 6 2 10" xfId="31364" xr:uid="{00000000-0005-0000-0000-00004F790000}"/>
    <cellStyle name="Normal 2 3 6 2 11" xfId="31365" xr:uid="{00000000-0005-0000-0000-000050790000}"/>
    <cellStyle name="Normal 2 3 6 2 2" xfId="31366" xr:uid="{00000000-0005-0000-0000-000051790000}"/>
    <cellStyle name="Normal 2 3 6 2 2 10" xfId="31367" xr:uid="{00000000-0005-0000-0000-000052790000}"/>
    <cellStyle name="Normal 2 3 6 2 2 2" xfId="31368" xr:uid="{00000000-0005-0000-0000-000053790000}"/>
    <cellStyle name="Normal 2 3 6 2 2 2 2" xfId="31369" xr:uid="{00000000-0005-0000-0000-000054790000}"/>
    <cellStyle name="Normal 2 3 6 2 2 2 2 2" xfId="31370" xr:uid="{00000000-0005-0000-0000-000055790000}"/>
    <cellStyle name="Normal 2 3 6 2 2 2 2 3" xfId="31371" xr:uid="{00000000-0005-0000-0000-000056790000}"/>
    <cellStyle name="Normal 2 3 6 2 2 2 2 4" xfId="31372" xr:uid="{00000000-0005-0000-0000-000057790000}"/>
    <cellStyle name="Normal 2 3 6 2 2 2 2 5" xfId="31373" xr:uid="{00000000-0005-0000-0000-000058790000}"/>
    <cellStyle name="Normal 2 3 6 2 2 2 3" xfId="31374" xr:uid="{00000000-0005-0000-0000-000059790000}"/>
    <cellStyle name="Normal 2 3 6 2 2 2 4" xfId="31375" xr:uid="{00000000-0005-0000-0000-00005A790000}"/>
    <cellStyle name="Normal 2 3 6 2 2 2 5" xfId="31376" xr:uid="{00000000-0005-0000-0000-00005B790000}"/>
    <cellStyle name="Normal 2 3 6 2 2 2 6" xfId="31377" xr:uid="{00000000-0005-0000-0000-00005C790000}"/>
    <cellStyle name="Normal 2 3 6 2 2 2 7" xfId="31378" xr:uid="{00000000-0005-0000-0000-00005D790000}"/>
    <cellStyle name="Normal 2 3 6 2 2 2 8" xfId="31379" xr:uid="{00000000-0005-0000-0000-00005E790000}"/>
    <cellStyle name="Normal 2 3 6 2 2 3" xfId="31380" xr:uid="{00000000-0005-0000-0000-00005F790000}"/>
    <cellStyle name="Normal 2 3 6 2 2 3 2" xfId="31381" xr:uid="{00000000-0005-0000-0000-000060790000}"/>
    <cellStyle name="Normal 2 3 6 2 2 3 2 2" xfId="31382" xr:uid="{00000000-0005-0000-0000-000061790000}"/>
    <cellStyle name="Normal 2 3 6 2 2 3 2 3" xfId="31383" xr:uid="{00000000-0005-0000-0000-000062790000}"/>
    <cellStyle name="Normal 2 3 6 2 2 3 2 4" xfId="31384" xr:uid="{00000000-0005-0000-0000-000063790000}"/>
    <cellStyle name="Normal 2 3 6 2 2 3 2 5" xfId="31385" xr:uid="{00000000-0005-0000-0000-000064790000}"/>
    <cellStyle name="Normal 2 3 6 2 2 3 3" xfId="31386" xr:uid="{00000000-0005-0000-0000-000065790000}"/>
    <cellStyle name="Normal 2 3 6 2 2 3 4" xfId="31387" xr:uid="{00000000-0005-0000-0000-000066790000}"/>
    <cellStyle name="Normal 2 3 6 2 2 3 5" xfId="31388" xr:uid="{00000000-0005-0000-0000-000067790000}"/>
    <cellStyle name="Normal 2 3 6 2 2 3 6" xfId="31389" xr:uid="{00000000-0005-0000-0000-000068790000}"/>
    <cellStyle name="Normal 2 3 6 2 2 3 7" xfId="31390" xr:uid="{00000000-0005-0000-0000-000069790000}"/>
    <cellStyle name="Normal 2 3 6 2 2 3 8" xfId="31391" xr:uid="{00000000-0005-0000-0000-00006A790000}"/>
    <cellStyle name="Normal 2 3 6 2 2 4" xfId="31392" xr:uid="{00000000-0005-0000-0000-00006B790000}"/>
    <cellStyle name="Normal 2 3 6 2 2 4 2" xfId="31393" xr:uid="{00000000-0005-0000-0000-00006C790000}"/>
    <cellStyle name="Normal 2 3 6 2 2 4 3" xfId="31394" xr:uid="{00000000-0005-0000-0000-00006D790000}"/>
    <cellStyle name="Normal 2 3 6 2 2 4 4" xfId="31395" xr:uid="{00000000-0005-0000-0000-00006E790000}"/>
    <cellStyle name="Normal 2 3 6 2 2 4 5" xfId="31396" xr:uid="{00000000-0005-0000-0000-00006F790000}"/>
    <cellStyle name="Normal 2 3 6 2 2 5" xfId="31397" xr:uid="{00000000-0005-0000-0000-000070790000}"/>
    <cellStyle name="Normal 2 3 6 2 2 6" xfId="31398" xr:uid="{00000000-0005-0000-0000-000071790000}"/>
    <cellStyle name="Normal 2 3 6 2 2 7" xfId="31399" xr:uid="{00000000-0005-0000-0000-000072790000}"/>
    <cellStyle name="Normal 2 3 6 2 2 8" xfId="31400" xr:uid="{00000000-0005-0000-0000-000073790000}"/>
    <cellStyle name="Normal 2 3 6 2 2 9" xfId="31401" xr:uid="{00000000-0005-0000-0000-000074790000}"/>
    <cellStyle name="Normal 2 3 6 2 3" xfId="31402" xr:uid="{00000000-0005-0000-0000-000075790000}"/>
    <cellStyle name="Normal 2 3 6 2 3 2" xfId="31403" xr:uid="{00000000-0005-0000-0000-000076790000}"/>
    <cellStyle name="Normal 2 3 6 2 3 2 2" xfId="31404" xr:uid="{00000000-0005-0000-0000-000077790000}"/>
    <cellStyle name="Normal 2 3 6 2 3 2 3" xfId="31405" xr:uid="{00000000-0005-0000-0000-000078790000}"/>
    <cellStyle name="Normal 2 3 6 2 3 2 4" xfId="31406" xr:uid="{00000000-0005-0000-0000-000079790000}"/>
    <cellStyle name="Normal 2 3 6 2 3 2 5" xfId="31407" xr:uid="{00000000-0005-0000-0000-00007A790000}"/>
    <cellStyle name="Normal 2 3 6 2 3 3" xfId="31408" xr:uid="{00000000-0005-0000-0000-00007B790000}"/>
    <cellStyle name="Normal 2 3 6 2 3 4" xfId="31409" xr:uid="{00000000-0005-0000-0000-00007C790000}"/>
    <cellStyle name="Normal 2 3 6 2 3 5" xfId="31410" xr:uid="{00000000-0005-0000-0000-00007D790000}"/>
    <cellStyle name="Normal 2 3 6 2 3 6" xfId="31411" xr:uid="{00000000-0005-0000-0000-00007E790000}"/>
    <cellStyle name="Normal 2 3 6 2 3 7" xfId="31412" xr:uid="{00000000-0005-0000-0000-00007F790000}"/>
    <cellStyle name="Normal 2 3 6 2 3 8" xfId="31413" xr:uid="{00000000-0005-0000-0000-000080790000}"/>
    <cellStyle name="Normal 2 3 6 2 4" xfId="31414" xr:uid="{00000000-0005-0000-0000-000081790000}"/>
    <cellStyle name="Normal 2 3 6 2 4 2" xfId="31415" xr:uid="{00000000-0005-0000-0000-000082790000}"/>
    <cellStyle name="Normal 2 3 6 2 4 2 2" xfId="31416" xr:uid="{00000000-0005-0000-0000-000083790000}"/>
    <cellStyle name="Normal 2 3 6 2 4 2 3" xfId="31417" xr:uid="{00000000-0005-0000-0000-000084790000}"/>
    <cellStyle name="Normal 2 3 6 2 4 2 4" xfId="31418" xr:uid="{00000000-0005-0000-0000-000085790000}"/>
    <cellStyle name="Normal 2 3 6 2 4 2 5" xfId="31419" xr:uid="{00000000-0005-0000-0000-000086790000}"/>
    <cellStyle name="Normal 2 3 6 2 4 3" xfId="31420" xr:uid="{00000000-0005-0000-0000-000087790000}"/>
    <cellStyle name="Normal 2 3 6 2 4 4" xfId="31421" xr:uid="{00000000-0005-0000-0000-000088790000}"/>
    <cellStyle name="Normal 2 3 6 2 4 5" xfId="31422" xr:uid="{00000000-0005-0000-0000-000089790000}"/>
    <cellStyle name="Normal 2 3 6 2 4 6" xfId="31423" xr:uid="{00000000-0005-0000-0000-00008A790000}"/>
    <cellStyle name="Normal 2 3 6 2 4 7" xfId="31424" xr:uid="{00000000-0005-0000-0000-00008B790000}"/>
    <cellStyle name="Normal 2 3 6 2 4 8" xfId="31425" xr:uid="{00000000-0005-0000-0000-00008C790000}"/>
    <cellStyle name="Normal 2 3 6 2 5" xfId="31426" xr:uid="{00000000-0005-0000-0000-00008D790000}"/>
    <cellStyle name="Normal 2 3 6 2 5 2" xfId="31427" xr:uid="{00000000-0005-0000-0000-00008E790000}"/>
    <cellStyle name="Normal 2 3 6 2 5 3" xfId="31428" xr:uid="{00000000-0005-0000-0000-00008F790000}"/>
    <cellStyle name="Normal 2 3 6 2 5 4" xfId="31429" xr:uid="{00000000-0005-0000-0000-000090790000}"/>
    <cellStyle name="Normal 2 3 6 2 5 5" xfId="31430" xr:uid="{00000000-0005-0000-0000-000091790000}"/>
    <cellStyle name="Normal 2 3 6 2 6" xfId="31431" xr:uid="{00000000-0005-0000-0000-000092790000}"/>
    <cellStyle name="Normal 2 3 6 2 7" xfId="31432" xr:uid="{00000000-0005-0000-0000-000093790000}"/>
    <cellStyle name="Normal 2 3 6 2 8" xfId="31433" xr:uid="{00000000-0005-0000-0000-000094790000}"/>
    <cellStyle name="Normal 2 3 6 2 9" xfId="31434" xr:uid="{00000000-0005-0000-0000-000095790000}"/>
    <cellStyle name="Normal 2 3 6 3" xfId="31435" xr:uid="{00000000-0005-0000-0000-000096790000}"/>
    <cellStyle name="Normal 2 3 6 3 10" xfId="31436" xr:uid="{00000000-0005-0000-0000-000097790000}"/>
    <cellStyle name="Normal 2 3 6 3 11" xfId="31437" xr:uid="{00000000-0005-0000-0000-000098790000}"/>
    <cellStyle name="Normal 2 3 6 3 2" xfId="31438" xr:uid="{00000000-0005-0000-0000-000099790000}"/>
    <cellStyle name="Normal 2 3 6 3 2 10" xfId="31439" xr:uid="{00000000-0005-0000-0000-00009A790000}"/>
    <cellStyle name="Normal 2 3 6 3 2 2" xfId="31440" xr:uid="{00000000-0005-0000-0000-00009B790000}"/>
    <cellStyle name="Normal 2 3 6 3 2 2 2" xfId="31441" xr:uid="{00000000-0005-0000-0000-00009C790000}"/>
    <cellStyle name="Normal 2 3 6 3 2 2 2 2" xfId="31442" xr:uid="{00000000-0005-0000-0000-00009D790000}"/>
    <cellStyle name="Normal 2 3 6 3 2 2 2 3" xfId="31443" xr:uid="{00000000-0005-0000-0000-00009E790000}"/>
    <cellStyle name="Normal 2 3 6 3 2 2 2 4" xfId="31444" xr:uid="{00000000-0005-0000-0000-00009F790000}"/>
    <cellStyle name="Normal 2 3 6 3 2 2 2 5" xfId="31445" xr:uid="{00000000-0005-0000-0000-0000A0790000}"/>
    <cellStyle name="Normal 2 3 6 3 2 2 3" xfId="31446" xr:uid="{00000000-0005-0000-0000-0000A1790000}"/>
    <cellStyle name="Normal 2 3 6 3 2 2 4" xfId="31447" xr:uid="{00000000-0005-0000-0000-0000A2790000}"/>
    <cellStyle name="Normal 2 3 6 3 2 2 5" xfId="31448" xr:uid="{00000000-0005-0000-0000-0000A3790000}"/>
    <cellStyle name="Normal 2 3 6 3 2 2 6" xfId="31449" xr:uid="{00000000-0005-0000-0000-0000A4790000}"/>
    <cellStyle name="Normal 2 3 6 3 2 2 7" xfId="31450" xr:uid="{00000000-0005-0000-0000-0000A5790000}"/>
    <cellStyle name="Normal 2 3 6 3 2 2 8" xfId="31451" xr:uid="{00000000-0005-0000-0000-0000A6790000}"/>
    <cellStyle name="Normal 2 3 6 3 2 3" xfId="31452" xr:uid="{00000000-0005-0000-0000-0000A7790000}"/>
    <cellStyle name="Normal 2 3 6 3 2 3 2" xfId="31453" xr:uid="{00000000-0005-0000-0000-0000A8790000}"/>
    <cellStyle name="Normal 2 3 6 3 2 3 2 2" xfId="31454" xr:uid="{00000000-0005-0000-0000-0000A9790000}"/>
    <cellStyle name="Normal 2 3 6 3 2 3 2 3" xfId="31455" xr:uid="{00000000-0005-0000-0000-0000AA790000}"/>
    <cellStyle name="Normal 2 3 6 3 2 3 2 4" xfId="31456" xr:uid="{00000000-0005-0000-0000-0000AB790000}"/>
    <cellStyle name="Normal 2 3 6 3 2 3 2 5" xfId="31457" xr:uid="{00000000-0005-0000-0000-0000AC790000}"/>
    <cellStyle name="Normal 2 3 6 3 2 3 3" xfId="31458" xr:uid="{00000000-0005-0000-0000-0000AD790000}"/>
    <cellStyle name="Normal 2 3 6 3 2 3 4" xfId="31459" xr:uid="{00000000-0005-0000-0000-0000AE790000}"/>
    <cellStyle name="Normal 2 3 6 3 2 3 5" xfId="31460" xr:uid="{00000000-0005-0000-0000-0000AF790000}"/>
    <cellStyle name="Normal 2 3 6 3 2 3 6" xfId="31461" xr:uid="{00000000-0005-0000-0000-0000B0790000}"/>
    <cellStyle name="Normal 2 3 6 3 2 3 7" xfId="31462" xr:uid="{00000000-0005-0000-0000-0000B1790000}"/>
    <cellStyle name="Normal 2 3 6 3 2 3 8" xfId="31463" xr:uid="{00000000-0005-0000-0000-0000B2790000}"/>
    <cellStyle name="Normal 2 3 6 3 2 4" xfId="31464" xr:uid="{00000000-0005-0000-0000-0000B3790000}"/>
    <cellStyle name="Normal 2 3 6 3 2 4 2" xfId="31465" xr:uid="{00000000-0005-0000-0000-0000B4790000}"/>
    <cellStyle name="Normal 2 3 6 3 2 4 3" xfId="31466" xr:uid="{00000000-0005-0000-0000-0000B5790000}"/>
    <cellStyle name="Normal 2 3 6 3 2 4 4" xfId="31467" xr:uid="{00000000-0005-0000-0000-0000B6790000}"/>
    <cellStyle name="Normal 2 3 6 3 2 4 5" xfId="31468" xr:uid="{00000000-0005-0000-0000-0000B7790000}"/>
    <cellStyle name="Normal 2 3 6 3 2 5" xfId="31469" xr:uid="{00000000-0005-0000-0000-0000B8790000}"/>
    <cellStyle name="Normal 2 3 6 3 2 6" xfId="31470" xr:uid="{00000000-0005-0000-0000-0000B9790000}"/>
    <cellStyle name="Normal 2 3 6 3 2 7" xfId="31471" xr:uid="{00000000-0005-0000-0000-0000BA790000}"/>
    <cellStyle name="Normal 2 3 6 3 2 8" xfId="31472" xr:uid="{00000000-0005-0000-0000-0000BB790000}"/>
    <cellStyle name="Normal 2 3 6 3 2 9" xfId="31473" xr:uid="{00000000-0005-0000-0000-0000BC790000}"/>
    <cellStyle name="Normal 2 3 6 3 3" xfId="31474" xr:uid="{00000000-0005-0000-0000-0000BD790000}"/>
    <cellStyle name="Normal 2 3 6 3 3 2" xfId="31475" xr:uid="{00000000-0005-0000-0000-0000BE790000}"/>
    <cellStyle name="Normal 2 3 6 3 3 2 2" xfId="31476" xr:uid="{00000000-0005-0000-0000-0000BF790000}"/>
    <cellStyle name="Normal 2 3 6 3 3 2 3" xfId="31477" xr:uid="{00000000-0005-0000-0000-0000C0790000}"/>
    <cellStyle name="Normal 2 3 6 3 3 2 4" xfId="31478" xr:uid="{00000000-0005-0000-0000-0000C1790000}"/>
    <cellStyle name="Normal 2 3 6 3 3 2 5" xfId="31479" xr:uid="{00000000-0005-0000-0000-0000C2790000}"/>
    <cellStyle name="Normal 2 3 6 3 3 3" xfId="31480" xr:uid="{00000000-0005-0000-0000-0000C3790000}"/>
    <cellStyle name="Normal 2 3 6 3 3 4" xfId="31481" xr:uid="{00000000-0005-0000-0000-0000C4790000}"/>
    <cellStyle name="Normal 2 3 6 3 3 5" xfId="31482" xr:uid="{00000000-0005-0000-0000-0000C5790000}"/>
    <cellStyle name="Normal 2 3 6 3 3 6" xfId="31483" xr:uid="{00000000-0005-0000-0000-0000C6790000}"/>
    <cellStyle name="Normal 2 3 6 3 3 7" xfId="31484" xr:uid="{00000000-0005-0000-0000-0000C7790000}"/>
    <cellStyle name="Normal 2 3 6 3 3 8" xfId="31485" xr:uid="{00000000-0005-0000-0000-0000C8790000}"/>
    <cellStyle name="Normal 2 3 6 3 4" xfId="31486" xr:uid="{00000000-0005-0000-0000-0000C9790000}"/>
    <cellStyle name="Normal 2 3 6 3 4 2" xfId="31487" xr:uid="{00000000-0005-0000-0000-0000CA790000}"/>
    <cellStyle name="Normal 2 3 6 3 4 2 2" xfId="31488" xr:uid="{00000000-0005-0000-0000-0000CB790000}"/>
    <cellStyle name="Normal 2 3 6 3 4 2 3" xfId="31489" xr:uid="{00000000-0005-0000-0000-0000CC790000}"/>
    <cellStyle name="Normal 2 3 6 3 4 2 4" xfId="31490" xr:uid="{00000000-0005-0000-0000-0000CD790000}"/>
    <cellStyle name="Normal 2 3 6 3 4 2 5" xfId="31491" xr:uid="{00000000-0005-0000-0000-0000CE790000}"/>
    <cellStyle name="Normal 2 3 6 3 4 3" xfId="31492" xr:uid="{00000000-0005-0000-0000-0000CF790000}"/>
    <cellStyle name="Normal 2 3 6 3 4 4" xfId="31493" xr:uid="{00000000-0005-0000-0000-0000D0790000}"/>
    <cellStyle name="Normal 2 3 6 3 4 5" xfId="31494" xr:uid="{00000000-0005-0000-0000-0000D1790000}"/>
    <cellStyle name="Normal 2 3 6 3 4 6" xfId="31495" xr:uid="{00000000-0005-0000-0000-0000D2790000}"/>
    <cellStyle name="Normal 2 3 6 3 4 7" xfId="31496" xr:uid="{00000000-0005-0000-0000-0000D3790000}"/>
    <cellStyle name="Normal 2 3 6 3 4 8" xfId="31497" xr:uid="{00000000-0005-0000-0000-0000D4790000}"/>
    <cellStyle name="Normal 2 3 6 3 5" xfId="31498" xr:uid="{00000000-0005-0000-0000-0000D5790000}"/>
    <cellStyle name="Normal 2 3 6 3 5 2" xfId="31499" xr:uid="{00000000-0005-0000-0000-0000D6790000}"/>
    <cellStyle name="Normal 2 3 6 3 5 3" xfId="31500" xr:uid="{00000000-0005-0000-0000-0000D7790000}"/>
    <cellStyle name="Normal 2 3 6 3 5 4" xfId="31501" xr:uid="{00000000-0005-0000-0000-0000D8790000}"/>
    <cellStyle name="Normal 2 3 6 3 5 5" xfId="31502" xr:uid="{00000000-0005-0000-0000-0000D9790000}"/>
    <cellStyle name="Normal 2 3 6 3 6" xfId="31503" xr:uid="{00000000-0005-0000-0000-0000DA790000}"/>
    <cellStyle name="Normal 2 3 6 3 7" xfId="31504" xr:uid="{00000000-0005-0000-0000-0000DB790000}"/>
    <cellStyle name="Normal 2 3 6 3 8" xfId="31505" xr:uid="{00000000-0005-0000-0000-0000DC790000}"/>
    <cellStyle name="Normal 2 3 6 3 9" xfId="31506" xr:uid="{00000000-0005-0000-0000-0000DD790000}"/>
    <cellStyle name="Normal 2 3 6 4" xfId="31507" xr:uid="{00000000-0005-0000-0000-0000DE790000}"/>
    <cellStyle name="Normal 2 3 6 4 10" xfId="31508" xr:uid="{00000000-0005-0000-0000-0000DF790000}"/>
    <cellStyle name="Normal 2 3 6 4 2" xfId="31509" xr:uid="{00000000-0005-0000-0000-0000E0790000}"/>
    <cellStyle name="Normal 2 3 6 4 2 2" xfId="31510" xr:uid="{00000000-0005-0000-0000-0000E1790000}"/>
    <cellStyle name="Normal 2 3 6 4 2 2 2" xfId="31511" xr:uid="{00000000-0005-0000-0000-0000E2790000}"/>
    <cellStyle name="Normal 2 3 6 4 2 2 3" xfId="31512" xr:uid="{00000000-0005-0000-0000-0000E3790000}"/>
    <cellStyle name="Normal 2 3 6 4 2 2 4" xfId="31513" xr:uid="{00000000-0005-0000-0000-0000E4790000}"/>
    <cellStyle name="Normal 2 3 6 4 2 2 5" xfId="31514" xr:uid="{00000000-0005-0000-0000-0000E5790000}"/>
    <cellStyle name="Normal 2 3 6 4 2 3" xfId="31515" xr:uid="{00000000-0005-0000-0000-0000E6790000}"/>
    <cellStyle name="Normal 2 3 6 4 2 4" xfId="31516" xr:uid="{00000000-0005-0000-0000-0000E7790000}"/>
    <cellStyle name="Normal 2 3 6 4 2 5" xfId="31517" xr:uid="{00000000-0005-0000-0000-0000E8790000}"/>
    <cellStyle name="Normal 2 3 6 4 2 6" xfId="31518" xr:uid="{00000000-0005-0000-0000-0000E9790000}"/>
    <cellStyle name="Normal 2 3 6 4 2 7" xfId="31519" xr:uid="{00000000-0005-0000-0000-0000EA790000}"/>
    <cellStyle name="Normal 2 3 6 4 2 8" xfId="31520" xr:uid="{00000000-0005-0000-0000-0000EB790000}"/>
    <cellStyle name="Normal 2 3 6 4 3" xfId="31521" xr:uid="{00000000-0005-0000-0000-0000EC790000}"/>
    <cellStyle name="Normal 2 3 6 4 3 2" xfId="31522" xr:uid="{00000000-0005-0000-0000-0000ED790000}"/>
    <cellStyle name="Normal 2 3 6 4 3 2 2" xfId="31523" xr:uid="{00000000-0005-0000-0000-0000EE790000}"/>
    <cellStyle name="Normal 2 3 6 4 3 2 3" xfId="31524" xr:uid="{00000000-0005-0000-0000-0000EF790000}"/>
    <cellStyle name="Normal 2 3 6 4 3 2 4" xfId="31525" xr:uid="{00000000-0005-0000-0000-0000F0790000}"/>
    <cellStyle name="Normal 2 3 6 4 3 2 5" xfId="31526" xr:uid="{00000000-0005-0000-0000-0000F1790000}"/>
    <cellStyle name="Normal 2 3 6 4 3 3" xfId="31527" xr:uid="{00000000-0005-0000-0000-0000F2790000}"/>
    <cellStyle name="Normal 2 3 6 4 3 4" xfId="31528" xr:uid="{00000000-0005-0000-0000-0000F3790000}"/>
    <cellStyle name="Normal 2 3 6 4 3 5" xfId="31529" xr:uid="{00000000-0005-0000-0000-0000F4790000}"/>
    <cellStyle name="Normal 2 3 6 4 3 6" xfId="31530" xr:uid="{00000000-0005-0000-0000-0000F5790000}"/>
    <cellStyle name="Normal 2 3 6 4 3 7" xfId="31531" xr:uid="{00000000-0005-0000-0000-0000F6790000}"/>
    <cellStyle name="Normal 2 3 6 4 3 8" xfId="31532" xr:uid="{00000000-0005-0000-0000-0000F7790000}"/>
    <cellStyle name="Normal 2 3 6 4 4" xfId="31533" xr:uid="{00000000-0005-0000-0000-0000F8790000}"/>
    <cellStyle name="Normal 2 3 6 4 4 2" xfId="31534" xr:uid="{00000000-0005-0000-0000-0000F9790000}"/>
    <cellStyle name="Normal 2 3 6 4 4 3" xfId="31535" xr:uid="{00000000-0005-0000-0000-0000FA790000}"/>
    <cellStyle name="Normal 2 3 6 4 4 4" xfId="31536" xr:uid="{00000000-0005-0000-0000-0000FB790000}"/>
    <cellStyle name="Normal 2 3 6 4 4 5" xfId="31537" xr:uid="{00000000-0005-0000-0000-0000FC790000}"/>
    <cellStyle name="Normal 2 3 6 4 5" xfId="31538" xr:uid="{00000000-0005-0000-0000-0000FD790000}"/>
    <cellStyle name="Normal 2 3 6 4 6" xfId="31539" xr:uid="{00000000-0005-0000-0000-0000FE790000}"/>
    <cellStyle name="Normal 2 3 6 4 7" xfId="31540" xr:uid="{00000000-0005-0000-0000-0000FF790000}"/>
    <cellStyle name="Normal 2 3 6 4 8" xfId="31541" xr:uid="{00000000-0005-0000-0000-0000007A0000}"/>
    <cellStyle name="Normal 2 3 6 4 9" xfId="31542" xr:uid="{00000000-0005-0000-0000-0000017A0000}"/>
    <cellStyle name="Normal 2 3 6 5" xfId="31543" xr:uid="{00000000-0005-0000-0000-0000027A0000}"/>
    <cellStyle name="Normal 2 3 6 5 2" xfId="31544" xr:uid="{00000000-0005-0000-0000-0000037A0000}"/>
    <cellStyle name="Normal 2 3 6 5 2 2" xfId="31545" xr:uid="{00000000-0005-0000-0000-0000047A0000}"/>
    <cellStyle name="Normal 2 3 6 5 2 3" xfId="31546" xr:uid="{00000000-0005-0000-0000-0000057A0000}"/>
    <cellStyle name="Normal 2 3 6 5 2 4" xfId="31547" xr:uid="{00000000-0005-0000-0000-0000067A0000}"/>
    <cellStyle name="Normal 2 3 6 5 2 5" xfId="31548" xr:uid="{00000000-0005-0000-0000-0000077A0000}"/>
    <cellStyle name="Normal 2 3 6 5 3" xfId="31549" xr:uid="{00000000-0005-0000-0000-0000087A0000}"/>
    <cellStyle name="Normal 2 3 6 5 4" xfId="31550" xr:uid="{00000000-0005-0000-0000-0000097A0000}"/>
    <cellStyle name="Normal 2 3 6 5 5" xfId="31551" xr:uid="{00000000-0005-0000-0000-00000A7A0000}"/>
    <cellStyle name="Normal 2 3 6 5 6" xfId="31552" xr:uid="{00000000-0005-0000-0000-00000B7A0000}"/>
    <cellStyle name="Normal 2 3 6 5 7" xfId="31553" xr:uid="{00000000-0005-0000-0000-00000C7A0000}"/>
    <cellStyle name="Normal 2 3 6 5 8" xfId="31554" xr:uid="{00000000-0005-0000-0000-00000D7A0000}"/>
    <cellStyle name="Normal 2 3 6 6" xfId="31555" xr:uid="{00000000-0005-0000-0000-00000E7A0000}"/>
    <cellStyle name="Normal 2 3 6 6 2" xfId="31556" xr:uid="{00000000-0005-0000-0000-00000F7A0000}"/>
    <cellStyle name="Normal 2 3 6 6 2 2" xfId="31557" xr:uid="{00000000-0005-0000-0000-0000107A0000}"/>
    <cellStyle name="Normal 2 3 6 6 2 3" xfId="31558" xr:uid="{00000000-0005-0000-0000-0000117A0000}"/>
    <cellStyle name="Normal 2 3 6 6 2 4" xfId="31559" xr:uid="{00000000-0005-0000-0000-0000127A0000}"/>
    <cellStyle name="Normal 2 3 6 6 2 5" xfId="31560" xr:uid="{00000000-0005-0000-0000-0000137A0000}"/>
    <cellStyle name="Normal 2 3 6 6 3" xfId="31561" xr:uid="{00000000-0005-0000-0000-0000147A0000}"/>
    <cellStyle name="Normal 2 3 6 6 4" xfId="31562" xr:uid="{00000000-0005-0000-0000-0000157A0000}"/>
    <cellStyle name="Normal 2 3 6 6 5" xfId="31563" xr:uid="{00000000-0005-0000-0000-0000167A0000}"/>
    <cellStyle name="Normal 2 3 6 6 6" xfId="31564" xr:uid="{00000000-0005-0000-0000-0000177A0000}"/>
    <cellStyle name="Normal 2 3 6 6 7" xfId="31565" xr:uid="{00000000-0005-0000-0000-0000187A0000}"/>
    <cellStyle name="Normal 2 3 6 6 8" xfId="31566" xr:uid="{00000000-0005-0000-0000-0000197A0000}"/>
    <cellStyle name="Normal 2 3 6 7" xfId="31567" xr:uid="{00000000-0005-0000-0000-00001A7A0000}"/>
    <cellStyle name="Normal 2 3 6 7 2" xfId="31568" xr:uid="{00000000-0005-0000-0000-00001B7A0000}"/>
    <cellStyle name="Normal 2 3 6 7 3" xfId="31569" xr:uid="{00000000-0005-0000-0000-00001C7A0000}"/>
    <cellStyle name="Normal 2 3 6 7 4" xfId="31570" xr:uid="{00000000-0005-0000-0000-00001D7A0000}"/>
    <cellStyle name="Normal 2 3 6 7 5" xfId="31571" xr:uid="{00000000-0005-0000-0000-00001E7A0000}"/>
    <cellStyle name="Normal 2 3 6 8" xfId="31572" xr:uid="{00000000-0005-0000-0000-00001F7A0000}"/>
    <cellStyle name="Normal 2 3 6 9" xfId="31573" xr:uid="{00000000-0005-0000-0000-0000207A0000}"/>
    <cellStyle name="Normal 2 3 7" xfId="31574" xr:uid="{00000000-0005-0000-0000-0000217A0000}"/>
    <cellStyle name="Normal 2 3 7 10" xfId="31575" xr:uid="{00000000-0005-0000-0000-0000227A0000}"/>
    <cellStyle name="Normal 2 3 7 11" xfId="31576" xr:uid="{00000000-0005-0000-0000-0000237A0000}"/>
    <cellStyle name="Normal 2 3 7 12" xfId="31577" xr:uid="{00000000-0005-0000-0000-0000247A0000}"/>
    <cellStyle name="Normal 2 3 7 13" xfId="31578" xr:uid="{00000000-0005-0000-0000-0000257A0000}"/>
    <cellStyle name="Normal 2 3 7 2" xfId="31579" xr:uid="{00000000-0005-0000-0000-0000267A0000}"/>
    <cellStyle name="Normal 2 3 7 2 10" xfId="31580" xr:uid="{00000000-0005-0000-0000-0000277A0000}"/>
    <cellStyle name="Normal 2 3 7 2 11" xfId="31581" xr:uid="{00000000-0005-0000-0000-0000287A0000}"/>
    <cellStyle name="Normal 2 3 7 2 2" xfId="31582" xr:uid="{00000000-0005-0000-0000-0000297A0000}"/>
    <cellStyle name="Normal 2 3 7 2 2 10" xfId="31583" xr:uid="{00000000-0005-0000-0000-00002A7A0000}"/>
    <cellStyle name="Normal 2 3 7 2 2 2" xfId="31584" xr:uid="{00000000-0005-0000-0000-00002B7A0000}"/>
    <cellStyle name="Normal 2 3 7 2 2 2 2" xfId="31585" xr:uid="{00000000-0005-0000-0000-00002C7A0000}"/>
    <cellStyle name="Normal 2 3 7 2 2 2 2 2" xfId="31586" xr:uid="{00000000-0005-0000-0000-00002D7A0000}"/>
    <cellStyle name="Normal 2 3 7 2 2 2 2 3" xfId="31587" xr:uid="{00000000-0005-0000-0000-00002E7A0000}"/>
    <cellStyle name="Normal 2 3 7 2 2 2 2 4" xfId="31588" xr:uid="{00000000-0005-0000-0000-00002F7A0000}"/>
    <cellStyle name="Normal 2 3 7 2 2 2 2 5" xfId="31589" xr:uid="{00000000-0005-0000-0000-0000307A0000}"/>
    <cellStyle name="Normal 2 3 7 2 2 2 3" xfId="31590" xr:uid="{00000000-0005-0000-0000-0000317A0000}"/>
    <cellStyle name="Normal 2 3 7 2 2 2 4" xfId="31591" xr:uid="{00000000-0005-0000-0000-0000327A0000}"/>
    <cellStyle name="Normal 2 3 7 2 2 2 5" xfId="31592" xr:uid="{00000000-0005-0000-0000-0000337A0000}"/>
    <cellStyle name="Normal 2 3 7 2 2 2 6" xfId="31593" xr:uid="{00000000-0005-0000-0000-0000347A0000}"/>
    <cellStyle name="Normal 2 3 7 2 2 2 7" xfId="31594" xr:uid="{00000000-0005-0000-0000-0000357A0000}"/>
    <cellStyle name="Normal 2 3 7 2 2 2 8" xfId="31595" xr:uid="{00000000-0005-0000-0000-0000367A0000}"/>
    <cellStyle name="Normal 2 3 7 2 2 3" xfId="31596" xr:uid="{00000000-0005-0000-0000-0000377A0000}"/>
    <cellStyle name="Normal 2 3 7 2 2 3 2" xfId="31597" xr:uid="{00000000-0005-0000-0000-0000387A0000}"/>
    <cellStyle name="Normal 2 3 7 2 2 3 2 2" xfId="31598" xr:uid="{00000000-0005-0000-0000-0000397A0000}"/>
    <cellStyle name="Normal 2 3 7 2 2 3 2 3" xfId="31599" xr:uid="{00000000-0005-0000-0000-00003A7A0000}"/>
    <cellStyle name="Normal 2 3 7 2 2 3 2 4" xfId="31600" xr:uid="{00000000-0005-0000-0000-00003B7A0000}"/>
    <cellStyle name="Normal 2 3 7 2 2 3 2 5" xfId="31601" xr:uid="{00000000-0005-0000-0000-00003C7A0000}"/>
    <cellStyle name="Normal 2 3 7 2 2 3 3" xfId="31602" xr:uid="{00000000-0005-0000-0000-00003D7A0000}"/>
    <cellStyle name="Normal 2 3 7 2 2 3 4" xfId="31603" xr:uid="{00000000-0005-0000-0000-00003E7A0000}"/>
    <cellStyle name="Normal 2 3 7 2 2 3 5" xfId="31604" xr:uid="{00000000-0005-0000-0000-00003F7A0000}"/>
    <cellStyle name="Normal 2 3 7 2 2 3 6" xfId="31605" xr:uid="{00000000-0005-0000-0000-0000407A0000}"/>
    <cellStyle name="Normal 2 3 7 2 2 3 7" xfId="31606" xr:uid="{00000000-0005-0000-0000-0000417A0000}"/>
    <cellStyle name="Normal 2 3 7 2 2 3 8" xfId="31607" xr:uid="{00000000-0005-0000-0000-0000427A0000}"/>
    <cellStyle name="Normal 2 3 7 2 2 4" xfId="31608" xr:uid="{00000000-0005-0000-0000-0000437A0000}"/>
    <cellStyle name="Normal 2 3 7 2 2 4 2" xfId="31609" xr:uid="{00000000-0005-0000-0000-0000447A0000}"/>
    <cellStyle name="Normal 2 3 7 2 2 4 3" xfId="31610" xr:uid="{00000000-0005-0000-0000-0000457A0000}"/>
    <cellStyle name="Normal 2 3 7 2 2 4 4" xfId="31611" xr:uid="{00000000-0005-0000-0000-0000467A0000}"/>
    <cellStyle name="Normal 2 3 7 2 2 4 5" xfId="31612" xr:uid="{00000000-0005-0000-0000-0000477A0000}"/>
    <cellStyle name="Normal 2 3 7 2 2 5" xfId="31613" xr:uid="{00000000-0005-0000-0000-0000487A0000}"/>
    <cellStyle name="Normal 2 3 7 2 2 6" xfId="31614" xr:uid="{00000000-0005-0000-0000-0000497A0000}"/>
    <cellStyle name="Normal 2 3 7 2 2 7" xfId="31615" xr:uid="{00000000-0005-0000-0000-00004A7A0000}"/>
    <cellStyle name="Normal 2 3 7 2 2 8" xfId="31616" xr:uid="{00000000-0005-0000-0000-00004B7A0000}"/>
    <cellStyle name="Normal 2 3 7 2 2 9" xfId="31617" xr:uid="{00000000-0005-0000-0000-00004C7A0000}"/>
    <cellStyle name="Normal 2 3 7 2 3" xfId="31618" xr:uid="{00000000-0005-0000-0000-00004D7A0000}"/>
    <cellStyle name="Normal 2 3 7 2 3 2" xfId="31619" xr:uid="{00000000-0005-0000-0000-00004E7A0000}"/>
    <cellStyle name="Normal 2 3 7 2 3 2 2" xfId="31620" xr:uid="{00000000-0005-0000-0000-00004F7A0000}"/>
    <cellStyle name="Normal 2 3 7 2 3 2 3" xfId="31621" xr:uid="{00000000-0005-0000-0000-0000507A0000}"/>
    <cellStyle name="Normal 2 3 7 2 3 2 4" xfId="31622" xr:uid="{00000000-0005-0000-0000-0000517A0000}"/>
    <cellStyle name="Normal 2 3 7 2 3 2 5" xfId="31623" xr:uid="{00000000-0005-0000-0000-0000527A0000}"/>
    <cellStyle name="Normal 2 3 7 2 3 3" xfId="31624" xr:uid="{00000000-0005-0000-0000-0000537A0000}"/>
    <cellStyle name="Normal 2 3 7 2 3 4" xfId="31625" xr:uid="{00000000-0005-0000-0000-0000547A0000}"/>
    <cellStyle name="Normal 2 3 7 2 3 5" xfId="31626" xr:uid="{00000000-0005-0000-0000-0000557A0000}"/>
    <cellStyle name="Normal 2 3 7 2 3 6" xfId="31627" xr:uid="{00000000-0005-0000-0000-0000567A0000}"/>
    <cellStyle name="Normal 2 3 7 2 3 7" xfId="31628" xr:uid="{00000000-0005-0000-0000-0000577A0000}"/>
    <cellStyle name="Normal 2 3 7 2 3 8" xfId="31629" xr:uid="{00000000-0005-0000-0000-0000587A0000}"/>
    <cellStyle name="Normal 2 3 7 2 4" xfId="31630" xr:uid="{00000000-0005-0000-0000-0000597A0000}"/>
    <cellStyle name="Normal 2 3 7 2 4 2" xfId="31631" xr:uid="{00000000-0005-0000-0000-00005A7A0000}"/>
    <cellStyle name="Normal 2 3 7 2 4 2 2" xfId="31632" xr:uid="{00000000-0005-0000-0000-00005B7A0000}"/>
    <cellStyle name="Normal 2 3 7 2 4 2 3" xfId="31633" xr:uid="{00000000-0005-0000-0000-00005C7A0000}"/>
    <cellStyle name="Normal 2 3 7 2 4 2 4" xfId="31634" xr:uid="{00000000-0005-0000-0000-00005D7A0000}"/>
    <cellStyle name="Normal 2 3 7 2 4 2 5" xfId="31635" xr:uid="{00000000-0005-0000-0000-00005E7A0000}"/>
    <cellStyle name="Normal 2 3 7 2 4 3" xfId="31636" xr:uid="{00000000-0005-0000-0000-00005F7A0000}"/>
    <cellStyle name="Normal 2 3 7 2 4 4" xfId="31637" xr:uid="{00000000-0005-0000-0000-0000607A0000}"/>
    <cellStyle name="Normal 2 3 7 2 4 5" xfId="31638" xr:uid="{00000000-0005-0000-0000-0000617A0000}"/>
    <cellStyle name="Normal 2 3 7 2 4 6" xfId="31639" xr:uid="{00000000-0005-0000-0000-0000627A0000}"/>
    <cellStyle name="Normal 2 3 7 2 4 7" xfId="31640" xr:uid="{00000000-0005-0000-0000-0000637A0000}"/>
    <cellStyle name="Normal 2 3 7 2 4 8" xfId="31641" xr:uid="{00000000-0005-0000-0000-0000647A0000}"/>
    <cellStyle name="Normal 2 3 7 2 5" xfId="31642" xr:uid="{00000000-0005-0000-0000-0000657A0000}"/>
    <cellStyle name="Normal 2 3 7 2 5 2" xfId="31643" xr:uid="{00000000-0005-0000-0000-0000667A0000}"/>
    <cellStyle name="Normal 2 3 7 2 5 3" xfId="31644" xr:uid="{00000000-0005-0000-0000-0000677A0000}"/>
    <cellStyle name="Normal 2 3 7 2 5 4" xfId="31645" xr:uid="{00000000-0005-0000-0000-0000687A0000}"/>
    <cellStyle name="Normal 2 3 7 2 5 5" xfId="31646" xr:uid="{00000000-0005-0000-0000-0000697A0000}"/>
    <cellStyle name="Normal 2 3 7 2 6" xfId="31647" xr:uid="{00000000-0005-0000-0000-00006A7A0000}"/>
    <cellStyle name="Normal 2 3 7 2 7" xfId="31648" xr:uid="{00000000-0005-0000-0000-00006B7A0000}"/>
    <cellStyle name="Normal 2 3 7 2 8" xfId="31649" xr:uid="{00000000-0005-0000-0000-00006C7A0000}"/>
    <cellStyle name="Normal 2 3 7 2 9" xfId="31650" xr:uid="{00000000-0005-0000-0000-00006D7A0000}"/>
    <cellStyle name="Normal 2 3 7 3" xfId="31651" xr:uid="{00000000-0005-0000-0000-00006E7A0000}"/>
    <cellStyle name="Normal 2 3 7 3 10" xfId="31652" xr:uid="{00000000-0005-0000-0000-00006F7A0000}"/>
    <cellStyle name="Normal 2 3 7 3 11" xfId="31653" xr:uid="{00000000-0005-0000-0000-0000707A0000}"/>
    <cellStyle name="Normal 2 3 7 3 2" xfId="31654" xr:uid="{00000000-0005-0000-0000-0000717A0000}"/>
    <cellStyle name="Normal 2 3 7 3 2 10" xfId="31655" xr:uid="{00000000-0005-0000-0000-0000727A0000}"/>
    <cellStyle name="Normal 2 3 7 3 2 2" xfId="31656" xr:uid="{00000000-0005-0000-0000-0000737A0000}"/>
    <cellStyle name="Normal 2 3 7 3 2 2 2" xfId="31657" xr:uid="{00000000-0005-0000-0000-0000747A0000}"/>
    <cellStyle name="Normal 2 3 7 3 2 2 2 2" xfId="31658" xr:uid="{00000000-0005-0000-0000-0000757A0000}"/>
    <cellStyle name="Normal 2 3 7 3 2 2 2 3" xfId="31659" xr:uid="{00000000-0005-0000-0000-0000767A0000}"/>
    <cellStyle name="Normal 2 3 7 3 2 2 2 4" xfId="31660" xr:uid="{00000000-0005-0000-0000-0000777A0000}"/>
    <cellStyle name="Normal 2 3 7 3 2 2 2 5" xfId="31661" xr:uid="{00000000-0005-0000-0000-0000787A0000}"/>
    <cellStyle name="Normal 2 3 7 3 2 2 3" xfId="31662" xr:uid="{00000000-0005-0000-0000-0000797A0000}"/>
    <cellStyle name="Normal 2 3 7 3 2 2 4" xfId="31663" xr:uid="{00000000-0005-0000-0000-00007A7A0000}"/>
    <cellStyle name="Normal 2 3 7 3 2 2 5" xfId="31664" xr:uid="{00000000-0005-0000-0000-00007B7A0000}"/>
    <cellStyle name="Normal 2 3 7 3 2 2 6" xfId="31665" xr:uid="{00000000-0005-0000-0000-00007C7A0000}"/>
    <cellStyle name="Normal 2 3 7 3 2 2 7" xfId="31666" xr:uid="{00000000-0005-0000-0000-00007D7A0000}"/>
    <cellStyle name="Normal 2 3 7 3 2 2 8" xfId="31667" xr:uid="{00000000-0005-0000-0000-00007E7A0000}"/>
    <cellStyle name="Normal 2 3 7 3 2 3" xfId="31668" xr:uid="{00000000-0005-0000-0000-00007F7A0000}"/>
    <cellStyle name="Normal 2 3 7 3 2 3 2" xfId="31669" xr:uid="{00000000-0005-0000-0000-0000807A0000}"/>
    <cellStyle name="Normal 2 3 7 3 2 3 2 2" xfId="31670" xr:uid="{00000000-0005-0000-0000-0000817A0000}"/>
    <cellStyle name="Normal 2 3 7 3 2 3 2 3" xfId="31671" xr:uid="{00000000-0005-0000-0000-0000827A0000}"/>
    <cellStyle name="Normal 2 3 7 3 2 3 2 4" xfId="31672" xr:uid="{00000000-0005-0000-0000-0000837A0000}"/>
    <cellStyle name="Normal 2 3 7 3 2 3 2 5" xfId="31673" xr:uid="{00000000-0005-0000-0000-0000847A0000}"/>
    <cellStyle name="Normal 2 3 7 3 2 3 3" xfId="31674" xr:uid="{00000000-0005-0000-0000-0000857A0000}"/>
    <cellStyle name="Normal 2 3 7 3 2 3 4" xfId="31675" xr:uid="{00000000-0005-0000-0000-0000867A0000}"/>
    <cellStyle name="Normal 2 3 7 3 2 3 5" xfId="31676" xr:uid="{00000000-0005-0000-0000-0000877A0000}"/>
    <cellStyle name="Normal 2 3 7 3 2 3 6" xfId="31677" xr:uid="{00000000-0005-0000-0000-0000887A0000}"/>
    <cellStyle name="Normal 2 3 7 3 2 3 7" xfId="31678" xr:uid="{00000000-0005-0000-0000-0000897A0000}"/>
    <cellStyle name="Normal 2 3 7 3 2 3 8" xfId="31679" xr:uid="{00000000-0005-0000-0000-00008A7A0000}"/>
    <cellStyle name="Normal 2 3 7 3 2 4" xfId="31680" xr:uid="{00000000-0005-0000-0000-00008B7A0000}"/>
    <cellStyle name="Normal 2 3 7 3 2 4 2" xfId="31681" xr:uid="{00000000-0005-0000-0000-00008C7A0000}"/>
    <cellStyle name="Normal 2 3 7 3 2 4 3" xfId="31682" xr:uid="{00000000-0005-0000-0000-00008D7A0000}"/>
    <cellStyle name="Normal 2 3 7 3 2 4 4" xfId="31683" xr:uid="{00000000-0005-0000-0000-00008E7A0000}"/>
    <cellStyle name="Normal 2 3 7 3 2 4 5" xfId="31684" xr:uid="{00000000-0005-0000-0000-00008F7A0000}"/>
    <cellStyle name="Normal 2 3 7 3 2 5" xfId="31685" xr:uid="{00000000-0005-0000-0000-0000907A0000}"/>
    <cellStyle name="Normal 2 3 7 3 2 6" xfId="31686" xr:uid="{00000000-0005-0000-0000-0000917A0000}"/>
    <cellStyle name="Normal 2 3 7 3 2 7" xfId="31687" xr:uid="{00000000-0005-0000-0000-0000927A0000}"/>
    <cellStyle name="Normal 2 3 7 3 2 8" xfId="31688" xr:uid="{00000000-0005-0000-0000-0000937A0000}"/>
    <cellStyle name="Normal 2 3 7 3 2 9" xfId="31689" xr:uid="{00000000-0005-0000-0000-0000947A0000}"/>
    <cellStyle name="Normal 2 3 7 3 3" xfId="31690" xr:uid="{00000000-0005-0000-0000-0000957A0000}"/>
    <cellStyle name="Normal 2 3 7 3 3 2" xfId="31691" xr:uid="{00000000-0005-0000-0000-0000967A0000}"/>
    <cellStyle name="Normal 2 3 7 3 3 2 2" xfId="31692" xr:uid="{00000000-0005-0000-0000-0000977A0000}"/>
    <cellStyle name="Normal 2 3 7 3 3 2 3" xfId="31693" xr:uid="{00000000-0005-0000-0000-0000987A0000}"/>
    <cellStyle name="Normal 2 3 7 3 3 2 4" xfId="31694" xr:uid="{00000000-0005-0000-0000-0000997A0000}"/>
    <cellStyle name="Normal 2 3 7 3 3 2 5" xfId="31695" xr:uid="{00000000-0005-0000-0000-00009A7A0000}"/>
    <cellStyle name="Normal 2 3 7 3 3 3" xfId="31696" xr:uid="{00000000-0005-0000-0000-00009B7A0000}"/>
    <cellStyle name="Normal 2 3 7 3 3 4" xfId="31697" xr:uid="{00000000-0005-0000-0000-00009C7A0000}"/>
    <cellStyle name="Normal 2 3 7 3 3 5" xfId="31698" xr:uid="{00000000-0005-0000-0000-00009D7A0000}"/>
    <cellStyle name="Normal 2 3 7 3 3 6" xfId="31699" xr:uid="{00000000-0005-0000-0000-00009E7A0000}"/>
    <cellStyle name="Normal 2 3 7 3 3 7" xfId="31700" xr:uid="{00000000-0005-0000-0000-00009F7A0000}"/>
    <cellStyle name="Normal 2 3 7 3 3 8" xfId="31701" xr:uid="{00000000-0005-0000-0000-0000A07A0000}"/>
    <cellStyle name="Normal 2 3 7 3 4" xfId="31702" xr:uid="{00000000-0005-0000-0000-0000A17A0000}"/>
    <cellStyle name="Normal 2 3 7 3 4 2" xfId="31703" xr:uid="{00000000-0005-0000-0000-0000A27A0000}"/>
    <cellStyle name="Normal 2 3 7 3 4 2 2" xfId="31704" xr:uid="{00000000-0005-0000-0000-0000A37A0000}"/>
    <cellStyle name="Normal 2 3 7 3 4 2 3" xfId="31705" xr:uid="{00000000-0005-0000-0000-0000A47A0000}"/>
    <cellStyle name="Normal 2 3 7 3 4 2 4" xfId="31706" xr:uid="{00000000-0005-0000-0000-0000A57A0000}"/>
    <cellStyle name="Normal 2 3 7 3 4 2 5" xfId="31707" xr:uid="{00000000-0005-0000-0000-0000A67A0000}"/>
    <cellStyle name="Normal 2 3 7 3 4 3" xfId="31708" xr:uid="{00000000-0005-0000-0000-0000A77A0000}"/>
    <cellStyle name="Normal 2 3 7 3 4 4" xfId="31709" xr:uid="{00000000-0005-0000-0000-0000A87A0000}"/>
    <cellStyle name="Normal 2 3 7 3 4 5" xfId="31710" xr:uid="{00000000-0005-0000-0000-0000A97A0000}"/>
    <cellStyle name="Normal 2 3 7 3 4 6" xfId="31711" xr:uid="{00000000-0005-0000-0000-0000AA7A0000}"/>
    <cellStyle name="Normal 2 3 7 3 4 7" xfId="31712" xr:uid="{00000000-0005-0000-0000-0000AB7A0000}"/>
    <cellStyle name="Normal 2 3 7 3 4 8" xfId="31713" xr:uid="{00000000-0005-0000-0000-0000AC7A0000}"/>
    <cellStyle name="Normal 2 3 7 3 5" xfId="31714" xr:uid="{00000000-0005-0000-0000-0000AD7A0000}"/>
    <cellStyle name="Normal 2 3 7 3 5 2" xfId="31715" xr:uid="{00000000-0005-0000-0000-0000AE7A0000}"/>
    <cellStyle name="Normal 2 3 7 3 5 3" xfId="31716" xr:uid="{00000000-0005-0000-0000-0000AF7A0000}"/>
    <cellStyle name="Normal 2 3 7 3 5 4" xfId="31717" xr:uid="{00000000-0005-0000-0000-0000B07A0000}"/>
    <cellStyle name="Normal 2 3 7 3 5 5" xfId="31718" xr:uid="{00000000-0005-0000-0000-0000B17A0000}"/>
    <cellStyle name="Normal 2 3 7 3 6" xfId="31719" xr:uid="{00000000-0005-0000-0000-0000B27A0000}"/>
    <cellStyle name="Normal 2 3 7 3 7" xfId="31720" xr:uid="{00000000-0005-0000-0000-0000B37A0000}"/>
    <cellStyle name="Normal 2 3 7 3 8" xfId="31721" xr:uid="{00000000-0005-0000-0000-0000B47A0000}"/>
    <cellStyle name="Normal 2 3 7 3 9" xfId="31722" xr:uid="{00000000-0005-0000-0000-0000B57A0000}"/>
    <cellStyle name="Normal 2 3 7 4" xfId="31723" xr:uid="{00000000-0005-0000-0000-0000B67A0000}"/>
    <cellStyle name="Normal 2 3 7 4 10" xfId="31724" xr:uid="{00000000-0005-0000-0000-0000B77A0000}"/>
    <cellStyle name="Normal 2 3 7 4 2" xfId="31725" xr:uid="{00000000-0005-0000-0000-0000B87A0000}"/>
    <cellStyle name="Normal 2 3 7 4 2 2" xfId="31726" xr:uid="{00000000-0005-0000-0000-0000B97A0000}"/>
    <cellStyle name="Normal 2 3 7 4 2 2 2" xfId="31727" xr:uid="{00000000-0005-0000-0000-0000BA7A0000}"/>
    <cellStyle name="Normal 2 3 7 4 2 2 3" xfId="31728" xr:uid="{00000000-0005-0000-0000-0000BB7A0000}"/>
    <cellStyle name="Normal 2 3 7 4 2 2 4" xfId="31729" xr:uid="{00000000-0005-0000-0000-0000BC7A0000}"/>
    <cellStyle name="Normal 2 3 7 4 2 2 5" xfId="31730" xr:uid="{00000000-0005-0000-0000-0000BD7A0000}"/>
    <cellStyle name="Normal 2 3 7 4 2 3" xfId="31731" xr:uid="{00000000-0005-0000-0000-0000BE7A0000}"/>
    <cellStyle name="Normal 2 3 7 4 2 4" xfId="31732" xr:uid="{00000000-0005-0000-0000-0000BF7A0000}"/>
    <cellStyle name="Normal 2 3 7 4 2 5" xfId="31733" xr:uid="{00000000-0005-0000-0000-0000C07A0000}"/>
    <cellStyle name="Normal 2 3 7 4 2 6" xfId="31734" xr:uid="{00000000-0005-0000-0000-0000C17A0000}"/>
    <cellStyle name="Normal 2 3 7 4 2 7" xfId="31735" xr:uid="{00000000-0005-0000-0000-0000C27A0000}"/>
    <cellStyle name="Normal 2 3 7 4 2 8" xfId="31736" xr:uid="{00000000-0005-0000-0000-0000C37A0000}"/>
    <cellStyle name="Normal 2 3 7 4 3" xfId="31737" xr:uid="{00000000-0005-0000-0000-0000C47A0000}"/>
    <cellStyle name="Normal 2 3 7 4 3 2" xfId="31738" xr:uid="{00000000-0005-0000-0000-0000C57A0000}"/>
    <cellStyle name="Normal 2 3 7 4 3 2 2" xfId="31739" xr:uid="{00000000-0005-0000-0000-0000C67A0000}"/>
    <cellStyle name="Normal 2 3 7 4 3 2 3" xfId="31740" xr:uid="{00000000-0005-0000-0000-0000C77A0000}"/>
    <cellStyle name="Normal 2 3 7 4 3 2 4" xfId="31741" xr:uid="{00000000-0005-0000-0000-0000C87A0000}"/>
    <cellStyle name="Normal 2 3 7 4 3 2 5" xfId="31742" xr:uid="{00000000-0005-0000-0000-0000C97A0000}"/>
    <cellStyle name="Normal 2 3 7 4 3 3" xfId="31743" xr:uid="{00000000-0005-0000-0000-0000CA7A0000}"/>
    <cellStyle name="Normal 2 3 7 4 3 4" xfId="31744" xr:uid="{00000000-0005-0000-0000-0000CB7A0000}"/>
    <cellStyle name="Normal 2 3 7 4 3 5" xfId="31745" xr:uid="{00000000-0005-0000-0000-0000CC7A0000}"/>
    <cellStyle name="Normal 2 3 7 4 3 6" xfId="31746" xr:uid="{00000000-0005-0000-0000-0000CD7A0000}"/>
    <cellStyle name="Normal 2 3 7 4 3 7" xfId="31747" xr:uid="{00000000-0005-0000-0000-0000CE7A0000}"/>
    <cellStyle name="Normal 2 3 7 4 3 8" xfId="31748" xr:uid="{00000000-0005-0000-0000-0000CF7A0000}"/>
    <cellStyle name="Normal 2 3 7 4 4" xfId="31749" xr:uid="{00000000-0005-0000-0000-0000D07A0000}"/>
    <cellStyle name="Normal 2 3 7 4 4 2" xfId="31750" xr:uid="{00000000-0005-0000-0000-0000D17A0000}"/>
    <cellStyle name="Normal 2 3 7 4 4 3" xfId="31751" xr:uid="{00000000-0005-0000-0000-0000D27A0000}"/>
    <cellStyle name="Normal 2 3 7 4 4 4" xfId="31752" xr:uid="{00000000-0005-0000-0000-0000D37A0000}"/>
    <cellStyle name="Normal 2 3 7 4 4 5" xfId="31753" xr:uid="{00000000-0005-0000-0000-0000D47A0000}"/>
    <cellStyle name="Normal 2 3 7 4 5" xfId="31754" xr:uid="{00000000-0005-0000-0000-0000D57A0000}"/>
    <cellStyle name="Normal 2 3 7 4 6" xfId="31755" xr:uid="{00000000-0005-0000-0000-0000D67A0000}"/>
    <cellStyle name="Normal 2 3 7 4 7" xfId="31756" xr:uid="{00000000-0005-0000-0000-0000D77A0000}"/>
    <cellStyle name="Normal 2 3 7 4 8" xfId="31757" xr:uid="{00000000-0005-0000-0000-0000D87A0000}"/>
    <cellStyle name="Normal 2 3 7 4 9" xfId="31758" xr:uid="{00000000-0005-0000-0000-0000D97A0000}"/>
    <cellStyle name="Normal 2 3 7 5" xfId="31759" xr:uid="{00000000-0005-0000-0000-0000DA7A0000}"/>
    <cellStyle name="Normal 2 3 7 5 2" xfId="31760" xr:uid="{00000000-0005-0000-0000-0000DB7A0000}"/>
    <cellStyle name="Normal 2 3 7 5 2 2" xfId="31761" xr:uid="{00000000-0005-0000-0000-0000DC7A0000}"/>
    <cellStyle name="Normal 2 3 7 5 2 3" xfId="31762" xr:uid="{00000000-0005-0000-0000-0000DD7A0000}"/>
    <cellStyle name="Normal 2 3 7 5 2 4" xfId="31763" xr:uid="{00000000-0005-0000-0000-0000DE7A0000}"/>
    <cellStyle name="Normal 2 3 7 5 2 5" xfId="31764" xr:uid="{00000000-0005-0000-0000-0000DF7A0000}"/>
    <cellStyle name="Normal 2 3 7 5 3" xfId="31765" xr:uid="{00000000-0005-0000-0000-0000E07A0000}"/>
    <cellStyle name="Normal 2 3 7 5 4" xfId="31766" xr:uid="{00000000-0005-0000-0000-0000E17A0000}"/>
    <cellStyle name="Normal 2 3 7 5 5" xfId="31767" xr:uid="{00000000-0005-0000-0000-0000E27A0000}"/>
    <cellStyle name="Normal 2 3 7 5 6" xfId="31768" xr:uid="{00000000-0005-0000-0000-0000E37A0000}"/>
    <cellStyle name="Normal 2 3 7 5 7" xfId="31769" xr:uid="{00000000-0005-0000-0000-0000E47A0000}"/>
    <cellStyle name="Normal 2 3 7 5 8" xfId="31770" xr:uid="{00000000-0005-0000-0000-0000E57A0000}"/>
    <cellStyle name="Normal 2 3 7 6" xfId="31771" xr:uid="{00000000-0005-0000-0000-0000E67A0000}"/>
    <cellStyle name="Normal 2 3 7 6 2" xfId="31772" xr:uid="{00000000-0005-0000-0000-0000E77A0000}"/>
    <cellStyle name="Normal 2 3 7 6 2 2" xfId="31773" xr:uid="{00000000-0005-0000-0000-0000E87A0000}"/>
    <cellStyle name="Normal 2 3 7 6 2 3" xfId="31774" xr:uid="{00000000-0005-0000-0000-0000E97A0000}"/>
    <cellStyle name="Normal 2 3 7 6 2 4" xfId="31775" xr:uid="{00000000-0005-0000-0000-0000EA7A0000}"/>
    <cellStyle name="Normal 2 3 7 6 2 5" xfId="31776" xr:uid="{00000000-0005-0000-0000-0000EB7A0000}"/>
    <cellStyle name="Normal 2 3 7 6 3" xfId="31777" xr:uid="{00000000-0005-0000-0000-0000EC7A0000}"/>
    <cellStyle name="Normal 2 3 7 6 4" xfId="31778" xr:uid="{00000000-0005-0000-0000-0000ED7A0000}"/>
    <cellStyle name="Normal 2 3 7 6 5" xfId="31779" xr:uid="{00000000-0005-0000-0000-0000EE7A0000}"/>
    <cellStyle name="Normal 2 3 7 6 6" xfId="31780" xr:uid="{00000000-0005-0000-0000-0000EF7A0000}"/>
    <cellStyle name="Normal 2 3 7 6 7" xfId="31781" xr:uid="{00000000-0005-0000-0000-0000F07A0000}"/>
    <cellStyle name="Normal 2 3 7 6 8" xfId="31782" xr:uid="{00000000-0005-0000-0000-0000F17A0000}"/>
    <cellStyle name="Normal 2 3 7 7" xfId="31783" xr:uid="{00000000-0005-0000-0000-0000F27A0000}"/>
    <cellStyle name="Normal 2 3 7 7 2" xfId="31784" xr:uid="{00000000-0005-0000-0000-0000F37A0000}"/>
    <cellStyle name="Normal 2 3 7 7 3" xfId="31785" xr:uid="{00000000-0005-0000-0000-0000F47A0000}"/>
    <cellStyle name="Normal 2 3 7 7 4" xfId="31786" xr:uid="{00000000-0005-0000-0000-0000F57A0000}"/>
    <cellStyle name="Normal 2 3 7 7 5" xfId="31787" xr:uid="{00000000-0005-0000-0000-0000F67A0000}"/>
    <cellStyle name="Normal 2 3 7 8" xfId="31788" xr:uid="{00000000-0005-0000-0000-0000F77A0000}"/>
    <cellStyle name="Normal 2 3 7 9" xfId="31789" xr:uid="{00000000-0005-0000-0000-0000F87A0000}"/>
    <cellStyle name="Normal 2 3 8" xfId="31790" xr:uid="{00000000-0005-0000-0000-0000F97A0000}"/>
    <cellStyle name="Normal 2 3 8 10" xfId="31791" xr:uid="{00000000-0005-0000-0000-0000FA7A0000}"/>
    <cellStyle name="Normal 2 3 8 11" xfId="31792" xr:uid="{00000000-0005-0000-0000-0000FB7A0000}"/>
    <cellStyle name="Normal 2 3 8 12" xfId="31793" xr:uid="{00000000-0005-0000-0000-0000FC7A0000}"/>
    <cellStyle name="Normal 2 3 8 13" xfId="31794" xr:uid="{00000000-0005-0000-0000-0000FD7A0000}"/>
    <cellStyle name="Normal 2 3 8 2" xfId="31795" xr:uid="{00000000-0005-0000-0000-0000FE7A0000}"/>
    <cellStyle name="Normal 2 3 8 2 10" xfId="31796" xr:uid="{00000000-0005-0000-0000-0000FF7A0000}"/>
    <cellStyle name="Normal 2 3 8 2 11" xfId="31797" xr:uid="{00000000-0005-0000-0000-0000007B0000}"/>
    <cellStyle name="Normal 2 3 8 2 2" xfId="31798" xr:uid="{00000000-0005-0000-0000-0000017B0000}"/>
    <cellStyle name="Normal 2 3 8 2 2 10" xfId="31799" xr:uid="{00000000-0005-0000-0000-0000027B0000}"/>
    <cellStyle name="Normal 2 3 8 2 2 2" xfId="31800" xr:uid="{00000000-0005-0000-0000-0000037B0000}"/>
    <cellStyle name="Normal 2 3 8 2 2 2 2" xfId="31801" xr:uid="{00000000-0005-0000-0000-0000047B0000}"/>
    <cellStyle name="Normal 2 3 8 2 2 2 2 2" xfId="31802" xr:uid="{00000000-0005-0000-0000-0000057B0000}"/>
    <cellStyle name="Normal 2 3 8 2 2 2 2 3" xfId="31803" xr:uid="{00000000-0005-0000-0000-0000067B0000}"/>
    <cellStyle name="Normal 2 3 8 2 2 2 2 4" xfId="31804" xr:uid="{00000000-0005-0000-0000-0000077B0000}"/>
    <cellStyle name="Normal 2 3 8 2 2 2 2 5" xfId="31805" xr:uid="{00000000-0005-0000-0000-0000087B0000}"/>
    <cellStyle name="Normal 2 3 8 2 2 2 3" xfId="31806" xr:uid="{00000000-0005-0000-0000-0000097B0000}"/>
    <cellStyle name="Normal 2 3 8 2 2 2 4" xfId="31807" xr:uid="{00000000-0005-0000-0000-00000A7B0000}"/>
    <cellStyle name="Normal 2 3 8 2 2 2 5" xfId="31808" xr:uid="{00000000-0005-0000-0000-00000B7B0000}"/>
    <cellStyle name="Normal 2 3 8 2 2 2 6" xfId="31809" xr:uid="{00000000-0005-0000-0000-00000C7B0000}"/>
    <cellStyle name="Normal 2 3 8 2 2 2 7" xfId="31810" xr:uid="{00000000-0005-0000-0000-00000D7B0000}"/>
    <cellStyle name="Normal 2 3 8 2 2 2 8" xfId="31811" xr:uid="{00000000-0005-0000-0000-00000E7B0000}"/>
    <cellStyle name="Normal 2 3 8 2 2 3" xfId="31812" xr:uid="{00000000-0005-0000-0000-00000F7B0000}"/>
    <cellStyle name="Normal 2 3 8 2 2 3 2" xfId="31813" xr:uid="{00000000-0005-0000-0000-0000107B0000}"/>
    <cellStyle name="Normal 2 3 8 2 2 3 2 2" xfId="31814" xr:uid="{00000000-0005-0000-0000-0000117B0000}"/>
    <cellStyle name="Normal 2 3 8 2 2 3 2 3" xfId="31815" xr:uid="{00000000-0005-0000-0000-0000127B0000}"/>
    <cellStyle name="Normal 2 3 8 2 2 3 2 4" xfId="31816" xr:uid="{00000000-0005-0000-0000-0000137B0000}"/>
    <cellStyle name="Normal 2 3 8 2 2 3 2 5" xfId="31817" xr:uid="{00000000-0005-0000-0000-0000147B0000}"/>
    <cellStyle name="Normal 2 3 8 2 2 3 3" xfId="31818" xr:uid="{00000000-0005-0000-0000-0000157B0000}"/>
    <cellStyle name="Normal 2 3 8 2 2 3 4" xfId="31819" xr:uid="{00000000-0005-0000-0000-0000167B0000}"/>
    <cellStyle name="Normal 2 3 8 2 2 3 5" xfId="31820" xr:uid="{00000000-0005-0000-0000-0000177B0000}"/>
    <cellStyle name="Normal 2 3 8 2 2 3 6" xfId="31821" xr:uid="{00000000-0005-0000-0000-0000187B0000}"/>
    <cellStyle name="Normal 2 3 8 2 2 3 7" xfId="31822" xr:uid="{00000000-0005-0000-0000-0000197B0000}"/>
    <cellStyle name="Normal 2 3 8 2 2 3 8" xfId="31823" xr:uid="{00000000-0005-0000-0000-00001A7B0000}"/>
    <cellStyle name="Normal 2 3 8 2 2 4" xfId="31824" xr:uid="{00000000-0005-0000-0000-00001B7B0000}"/>
    <cellStyle name="Normal 2 3 8 2 2 4 2" xfId="31825" xr:uid="{00000000-0005-0000-0000-00001C7B0000}"/>
    <cellStyle name="Normal 2 3 8 2 2 4 3" xfId="31826" xr:uid="{00000000-0005-0000-0000-00001D7B0000}"/>
    <cellStyle name="Normal 2 3 8 2 2 4 4" xfId="31827" xr:uid="{00000000-0005-0000-0000-00001E7B0000}"/>
    <cellStyle name="Normal 2 3 8 2 2 4 5" xfId="31828" xr:uid="{00000000-0005-0000-0000-00001F7B0000}"/>
    <cellStyle name="Normal 2 3 8 2 2 5" xfId="31829" xr:uid="{00000000-0005-0000-0000-0000207B0000}"/>
    <cellStyle name="Normal 2 3 8 2 2 6" xfId="31830" xr:uid="{00000000-0005-0000-0000-0000217B0000}"/>
    <cellStyle name="Normal 2 3 8 2 2 7" xfId="31831" xr:uid="{00000000-0005-0000-0000-0000227B0000}"/>
    <cellStyle name="Normal 2 3 8 2 2 8" xfId="31832" xr:uid="{00000000-0005-0000-0000-0000237B0000}"/>
    <cellStyle name="Normal 2 3 8 2 2 9" xfId="31833" xr:uid="{00000000-0005-0000-0000-0000247B0000}"/>
    <cellStyle name="Normal 2 3 8 2 3" xfId="31834" xr:uid="{00000000-0005-0000-0000-0000257B0000}"/>
    <cellStyle name="Normal 2 3 8 2 3 2" xfId="31835" xr:uid="{00000000-0005-0000-0000-0000267B0000}"/>
    <cellStyle name="Normal 2 3 8 2 3 2 2" xfId="31836" xr:uid="{00000000-0005-0000-0000-0000277B0000}"/>
    <cellStyle name="Normal 2 3 8 2 3 2 3" xfId="31837" xr:uid="{00000000-0005-0000-0000-0000287B0000}"/>
    <cellStyle name="Normal 2 3 8 2 3 2 4" xfId="31838" xr:uid="{00000000-0005-0000-0000-0000297B0000}"/>
    <cellStyle name="Normal 2 3 8 2 3 2 5" xfId="31839" xr:uid="{00000000-0005-0000-0000-00002A7B0000}"/>
    <cellStyle name="Normal 2 3 8 2 3 3" xfId="31840" xr:uid="{00000000-0005-0000-0000-00002B7B0000}"/>
    <cellStyle name="Normal 2 3 8 2 3 4" xfId="31841" xr:uid="{00000000-0005-0000-0000-00002C7B0000}"/>
    <cellStyle name="Normal 2 3 8 2 3 5" xfId="31842" xr:uid="{00000000-0005-0000-0000-00002D7B0000}"/>
    <cellStyle name="Normal 2 3 8 2 3 6" xfId="31843" xr:uid="{00000000-0005-0000-0000-00002E7B0000}"/>
    <cellStyle name="Normal 2 3 8 2 3 7" xfId="31844" xr:uid="{00000000-0005-0000-0000-00002F7B0000}"/>
    <cellStyle name="Normal 2 3 8 2 3 8" xfId="31845" xr:uid="{00000000-0005-0000-0000-0000307B0000}"/>
    <cellStyle name="Normal 2 3 8 2 4" xfId="31846" xr:uid="{00000000-0005-0000-0000-0000317B0000}"/>
    <cellStyle name="Normal 2 3 8 2 4 2" xfId="31847" xr:uid="{00000000-0005-0000-0000-0000327B0000}"/>
    <cellStyle name="Normal 2 3 8 2 4 2 2" xfId="31848" xr:uid="{00000000-0005-0000-0000-0000337B0000}"/>
    <cellStyle name="Normal 2 3 8 2 4 2 3" xfId="31849" xr:uid="{00000000-0005-0000-0000-0000347B0000}"/>
    <cellStyle name="Normal 2 3 8 2 4 2 4" xfId="31850" xr:uid="{00000000-0005-0000-0000-0000357B0000}"/>
    <cellStyle name="Normal 2 3 8 2 4 2 5" xfId="31851" xr:uid="{00000000-0005-0000-0000-0000367B0000}"/>
    <cellStyle name="Normal 2 3 8 2 4 3" xfId="31852" xr:uid="{00000000-0005-0000-0000-0000377B0000}"/>
    <cellStyle name="Normal 2 3 8 2 4 4" xfId="31853" xr:uid="{00000000-0005-0000-0000-0000387B0000}"/>
    <cellStyle name="Normal 2 3 8 2 4 5" xfId="31854" xr:uid="{00000000-0005-0000-0000-0000397B0000}"/>
    <cellStyle name="Normal 2 3 8 2 4 6" xfId="31855" xr:uid="{00000000-0005-0000-0000-00003A7B0000}"/>
    <cellStyle name="Normal 2 3 8 2 4 7" xfId="31856" xr:uid="{00000000-0005-0000-0000-00003B7B0000}"/>
    <cellStyle name="Normal 2 3 8 2 4 8" xfId="31857" xr:uid="{00000000-0005-0000-0000-00003C7B0000}"/>
    <cellStyle name="Normal 2 3 8 2 5" xfId="31858" xr:uid="{00000000-0005-0000-0000-00003D7B0000}"/>
    <cellStyle name="Normal 2 3 8 2 5 2" xfId="31859" xr:uid="{00000000-0005-0000-0000-00003E7B0000}"/>
    <cellStyle name="Normal 2 3 8 2 5 3" xfId="31860" xr:uid="{00000000-0005-0000-0000-00003F7B0000}"/>
    <cellStyle name="Normal 2 3 8 2 5 4" xfId="31861" xr:uid="{00000000-0005-0000-0000-0000407B0000}"/>
    <cellStyle name="Normal 2 3 8 2 5 5" xfId="31862" xr:uid="{00000000-0005-0000-0000-0000417B0000}"/>
    <cellStyle name="Normal 2 3 8 2 6" xfId="31863" xr:uid="{00000000-0005-0000-0000-0000427B0000}"/>
    <cellStyle name="Normal 2 3 8 2 7" xfId="31864" xr:uid="{00000000-0005-0000-0000-0000437B0000}"/>
    <cellStyle name="Normal 2 3 8 2 8" xfId="31865" xr:uid="{00000000-0005-0000-0000-0000447B0000}"/>
    <cellStyle name="Normal 2 3 8 2 9" xfId="31866" xr:uid="{00000000-0005-0000-0000-0000457B0000}"/>
    <cellStyle name="Normal 2 3 8 3" xfId="31867" xr:uid="{00000000-0005-0000-0000-0000467B0000}"/>
    <cellStyle name="Normal 2 3 8 3 10" xfId="31868" xr:uid="{00000000-0005-0000-0000-0000477B0000}"/>
    <cellStyle name="Normal 2 3 8 3 11" xfId="31869" xr:uid="{00000000-0005-0000-0000-0000487B0000}"/>
    <cellStyle name="Normal 2 3 8 3 2" xfId="31870" xr:uid="{00000000-0005-0000-0000-0000497B0000}"/>
    <cellStyle name="Normal 2 3 8 3 2 10" xfId="31871" xr:uid="{00000000-0005-0000-0000-00004A7B0000}"/>
    <cellStyle name="Normal 2 3 8 3 2 2" xfId="31872" xr:uid="{00000000-0005-0000-0000-00004B7B0000}"/>
    <cellStyle name="Normal 2 3 8 3 2 2 2" xfId="31873" xr:uid="{00000000-0005-0000-0000-00004C7B0000}"/>
    <cellStyle name="Normal 2 3 8 3 2 2 2 2" xfId="31874" xr:uid="{00000000-0005-0000-0000-00004D7B0000}"/>
    <cellStyle name="Normal 2 3 8 3 2 2 2 3" xfId="31875" xr:uid="{00000000-0005-0000-0000-00004E7B0000}"/>
    <cellStyle name="Normal 2 3 8 3 2 2 2 4" xfId="31876" xr:uid="{00000000-0005-0000-0000-00004F7B0000}"/>
    <cellStyle name="Normal 2 3 8 3 2 2 2 5" xfId="31877" xr:uid="{00000000-0005-0000-0000-0000507B0000}"/>
    <cellStyle name="Normal 2 3 8 3 2 2 3" xfId="31878" xr:uid="{00000000-0005-0000-0000-0000517B0000}"/>
    <cellStyle name="Normal 2 3 8 3 2 2 4" xfId="31879" xr:uid="{00000000-0005-0000-0000-0000527B0000}"/>
    <cellStyle name="Normal 2 3 8 3 2 2 5" xfId="31880" xr:uid="{00000000-0005-0000-0000-0000537B0000}"/>
    <cellStyle name="Normal 2 3 8 3 2 2 6" xfId="31881" xr:uid="{00000000-0005-0000-0000-0000547B0000}"/>
    <cellStyle name="Normal 2 3 8 3 2 2 7" xfId="31882" xr:uid="{00000000-0005-0000-0000-0000557B0000}"/>
    <cellStyle name="Normal 2 3 8 3 2 2 8" xfId="31883" xr:uid="{00000000-0005-0000-0000-0000567B0000}"/>
    <cellStyle name="Normal 2 3 8 3 2 3" xfId="31884" xr:uid="{00000000-0005-0000-0000-0000577B0000}"/>
    <cellStyle name="Normal 2 3 8 3 2 3 2" xfId="31885" xr:uid="{00000000-0005-0000-0000-0000587B0000}"/>
    <cellStyle name="Normal 2 3 8 3 2 3 2 2" xfId="31886" xr:uid="{00000000-0005-0000-0000-0000597B0000}"/>
    <cellStyle name="Normal 2 3 8 3 2 3 2 3" xfId="31887" xr:uid="{00000000-0005-0000-0000-00005A7B0000}"/>
    <cellStyle name="Normal 2 3 8 3 2 3 2 4" xfId="31888" xr:uid="{00000000-0005-0000-0000-00005B7B0000}"/>
    <cellStyle name="Normal 2 3 8 3 2 3 2 5" xfId="31889" xr:uid="{00000000-0005-0000-0000-00005C7B0000}"/>
    <cellStyle name="Normal 2 3 8 3 2 3 3" xfId="31890" xr:uid="{00000000-0005-0000-0000-00005D7B0000}"/>
    <cellStyle name="Normal 2 3 8 3 2 3 4" xfId="31891" xr:uid="{00000000-0005-0000-0000-00005E7B0000}"/>
    <cellStyle name="Normal 2 3 8 3 2 3 5" xfId="31892" xr:uid="{00000000-0005-0000-0000-00005F7B0000}"/>
    <cellStyle name="Normal 2 3 8 3 2 3 6" xfId="31893" xr:uid="{00000000-0005-0000-0000-0000607B0000}"/>
    <cellStyle name="Normal 2 3 8 3 2 3 7" xfId="31894" xr:uid="{00000000-0005-0000-0000-0000617B0000}"/>
    <cellStyle name="Normal 2 3 8 3 2 3 8" xfId="31895" xr:uid="{00000000-0005-0000-0000-0000627B0000}"/>
    <cellStyle name="Normal 2 3 8 3 2 4" xfId="31896" xr:uid="{00000000-0005-0000-0000-0000637B0000}"/>
    <cellStyle name="Normal 2 3 8 3 2 4 2" xfId="31897" xr:uid="{00000000-0005-0000-0000-0000647B0000}"/>
    <cellStyle name="Normal 2 3 8 3 2 4 3" xfId="31898" xr:uid="{00000000-0005-0000-0000-0000657B0000}"/>
    <cellStyle name="Normal 2 3 8 3 2 4 4" xfId="31899" xr:uid="{00000000-0005-0000-0000-0000667B0000}"/>
    <cellStyle name="Normal 2 3 8 3 2 4 5" xfId="31900" xr:uid="{00000000-0005-0000-0000-0000677B0000}"/>
    <cellStyle name="Normal 2 3 8 3 2 5" xfId="31901" xr:uid="{00000000-0005-0000-0000-0000687B0000}"/>
    <cellStyle name="Normal 2 3 8 3 2 6" xfId="31902" xr:uid="{00000000-0005-0000-0000-0000697B0000}"/>
    <cellStyle name="Normal 2 3 8 3 2 7" xfId="31903" xr:uid="{00000000-0005-0000-0000-00006A7B0000}"/>
    <cellStyle name="Normal 2 3 8 3 2 8" xfId="31904" xr:uid="{00000000-0005-0000-0000-00006B7B0000}"/>
    <cellStyle name="Normal 2 3 8 3 2 9" xfId="31905" xr:uid="{00000000-0005-0000-0000-00006C7B0000}"/>
    <cellStyle name="Normal 2 3 8 3 3" xfId="31906" xr:uid="{00000000-0005-0000-0000-00006D7B0000}"/>
    <cellStyle name="Normal 2 3 8 3 3 2" xfId="31907" xr:uid="{00000000-0005-0000-0000-00006E7B0000}"/>
    <cellStyle name="Normal 2 3 8 3 3 2 2" xfId="31908" xr:uid="{00000000-0005-0000-0000-00006F7B0000}"/>
    <cellStyle name="Normal 2 3 8 3 3 2 3" xfId="31909" xr:uid="{00000000-0005-0000-0000-0000707B0000}"/>
    <cellStyle name="Normal 2 3 8 3 3 2 4" xfId="31910" xr:uid="{00000000-0005-0000-0000-0000717B0000}"/>
    <cellStyle name="Normal 2 3 8 3 3 2 5" xfId="31911" xr:uid="{00000000-0005-0000-0000-0000727B0000}"/>
    <cellStyle name="Normal 2 3 8 3 3 3" xfId="31912" xr:uid="{00000000-0005-0000-0000-0000737B0000}"/>
    <cellStyle name="Normal 2 3 8 3 3 4" xfId="31913" xr:uid="{00000000-0005-0000-0000-0000747B0000}"/>
    <cellStyle name="Normal 2 3 8 3 3 5" xfId="31914" xr:uid="{00000000-0005-0000-0000-0000757B0000}"/>
    <cellStyle name="Normal 2 3 8 3 3 6" xfId="31915" xr:uid="{00000000-0005-0000-0000-0000767B0000}"/>
    <cellStyle name="Normal 2 3 8 3 3 7" xfId="31916" xr:uid="{00000000-0005-0000-0000-0000777B0000}"/>
    <cellStyle name="Normal 2 3 8 3 3 8" xfId="31917" xr:uid="{00000000-0005-0000-0000-0000787B0000}"/>
    <cellStyle name="Normal 2 3 8 3 4" xfId="31918" xr:uid="{00000000-0005-0000-0000-0000797B0000}"/>
    <cellStyle name="Normal 2 3 8 3 4 2" xfId="31919" xr:uid="{00000000-0005-0000-0000-00007A7B0000}"/>
    <cellStyle name="Normal 2 3 8 3 4 2 2" xfId="31920" xr:uid="{00000000-0005-0000-0000-00007B7B0000}"/>
    <cellStyle name="Normal 2 3 8 3 4 2 3" xfId="31921" xr:uid="{00000000-0005-0000-0000-00007C7B0000}"/>
    <cellStyle name="Normal 2 3 8 3 4 2 4" xfId="31922" xr:uid="{00000000-0005-0000-0000-00007D7B0000}"/>
    <cellStyle name="Normal 2 3 8 3 4 2 5" xfId="31923" xr:uid="{00000000-0005-0000-0000-00007E7B0000}"/>
    <cellStyle name="Normal 2 3 8 3 4 3" xfId="31924" xr:uid="{00000000-0005-0000-0000-00007F7B0000}"/>
    <cellStyle name="Normal 2 3 8 3 4 4" xfId="31925" xr:uid="{00000000-0005-0000-0000-0000807B0000}"/>
    <cellStyle name="Normal 2 3 8 3 4 5" xfId="31926" xr:uid="{00000000-0005-0000-0000-0000817B0000}"/>
    <cellStyle name="Normal 2 3 8 3 4 6" xfId="31927" xr:uid="{00000000-0005-0000-0000-0000827B0000}"/>
    <cellStyle name="Normal 2 3 8 3 4 7" xfId="31928" xr:uid="{00000000-0005-0000-0000-0000837B0000}"/>
    <cellStyle name="Normal 2 3 8 3 4 8" xfId="31929" xr:uid="{00000000-0005-0000-0000-0000847B0000}"/>
    <cellStyle name="Normal 2 3 8 3 5" xfId="31930" xr:uid="{00000000-0005-0000-0000-0000857B0000}"/>
    <cellStyle name="Normal 2 3 8 3 5 2" xfId="31931" xr:uid="{00000000-0005-0000-0000-0000867B0000}"/>
    <cellStyle name="Normal 2 3 8 3 5 3" xfId="31932" xr:uid="{00000000-0005-0000-0000-0000877B0000}"/>
    <cellStyle name="Normal 2 3 8 3 5 4" xfId="31933" xr:uid="{00000000-0005-0000-0000-0000887B0000}"/>
    <cellStyle name="Normal 2 3 8 3 5 5" xfId="31934" xr:uid="{00000000-0005-0000-0000-0000897B0000}"/>
    <cellStyle name="Normal 2 3 8 3 6" xfId="31935" xr:uid="{00000000-0005-0000-0000-00008A7B0000}"/>
    <cellStyle name="Normal 2 3 8 3 7" xfId="31936" xr:uid="{00000000-0005-0000-0000-00008B7B0000}"/>
    <cellStyle name="Normal 2 3 8 3 8" xfId="31937" xr:uid="{00000000-0005-0000-0000-00008C7B0000}"/>
    <cellStyle name="Normal 2 3 8 3 9" xfId="31938" xr:uid="{00000000-0005-0000-0000-00008D7B0000}"/>
    <cellStyle name="Normal 2 3 8 4" xfId="31939" xr:uid="{00000000-0005-0000-0000-00008E7B0000}"/>
    <cellStyle name="Normal 2 3 8 4 10" xfId="31940" xr:uid="{00000000-0005-0000-0000-00008F7B0000}"/>
    <cellStyle name="Normal 2 3 8 4 2" xfId="31941" xr:uid="{00000000-0005-0000-0000-0000907B0000}"/>
    <cellStyle name="Normal 2 3 8 4 2 2" xfId="31942" xr:uid="{00000000-0005-0000-0000-0000917B0000}"/>
    <cellStyle name="Normal 2 3 8 4 2 2 2" xfId="31943" xr:uid="{00000000-0005-0000-0000-0000927B0000}"/>
    <cellStyle name="Normal 2 3 8 4 2 2 3" xfId="31944" xr:uid="{00000000-0005-0000-0000-0000937B0000}"/>
    <cellStyle name="Normal 2 3 8 4 2 2 4" xfId="31945" xr:uid="{00000000-0005-0000-0000-0000947B0000}"/>
    <cellStyle name="Normal 2 3 8 4 2 2 5" xfId="31946" xr:uid="{00000000-0005-0000-0000-0000957B0000}"/>
    <cellStyle name="Normal 2 3 8 4 2 3" xfId="31947" xr:uid="{00000000-0005-0000-0000-0000967B0000}"/>
    <cellStyle name="Normal 2 3 8 4 2 4" xfId="31948" xr:uid="{00000000-0005-0000-0000-0000977B0000}"/>
    <cellStyle name="Normal 2 3 8 4 2 5" xfId="31949" xr:uid="{00000000-0005-0000-0000-0000987B0000}"/>
    <cellStyle name="Normal 2 3 8 4 2 6" xfId="31950" xr:uid="{00000000-0005-0000-0000-0000997B0000}"/>
    <cellStyle name="Normal 2 3 8 4 2 7" xfId="31951" xr:uid="{00000000-0005-0000-0000-00009A7B0000}"/>
    <cellStyle name="Normal 2 3 8 4 2 8" xfId="31952" xr:uid="{00000000-0005-0000-0000-00009B7B0000}"/>
    <cellStyle name="Normal 2 3 8 4 3" xfId="31953" xr:uid="{00000000-0005-0000-0000-00009C7B0000}"/>
    <cellStyle name="Normal 2 3 8 4 3 2" xfId="31954" xr:uid="{00000000-0005-0000-0000-00009D7B0000}"/>
    <cellStyle name="Normal 2 3 8 4 3 2 2" xfId="31955" xr:uid="{00000000-0005-0000-0000-00009E7B0000}"/>
    <cellStyle name="Normal 2 3 8 4 3 2 3" xfId="31956" xr:uid="{00000000-0005-0000-0000-00009F7B0000}"/>
    <cellStyle name="Normal 2 3 8 4 3 2 4" xfId="31957" xr:uid="{00000000-0005-0000-0000-0000A07B0000}"/>
    <cellStyle name="Normal 2 3 8 4 3 2 5" xfId="31958" xr:uid="{00000000-0005-0000-0000-0000A17B0000}"/>
    <cellStyle name="Normal 2 3 8 4 3 3" xfId="31959" xr:uid="{00000000-0005-0000-0000-0000A27B0000}"/>
    <cellStyle name="Normal 2 3 8 4 3 4" xfId="31960" xr:uid="{00000000-0005-0000-0000-0000A37B0000}"/>
    <cellStyle name="Normal 2 3 8 4 3 5" xfId="31961" xr:uid="{00000000-0005-0000-0000-0000A47B0000}"/>
    <cellStyle name="Normal 2 3 8 4 3 6" xfId="31962" xr:uid="{00000000-0005-0000-0000-0000A57B0000}"/>
    <cellStyle name="Normal 2 3 8 4 3 7" xfId="31963" xr:uid="{00000000-0005-0000-0000-0000A67B0000}"/>
    <cellStyle name="Normal 2 3 8 4 3 8" xfId="31964" xr:uid="{00000000-0005-0000-0000-0000A77B0000}"/>
    <cellStyle name="Normal 2 3 8 4 4" xfId="31965" xr:uid="{00000000-0005-0000-0000-0000A87B0000}"/>
    <cellStyle name="Normal 2 3 8 4 4 2" xfId="31966" xr:uid="{00000000-0005-0000-0000-0000A97B0000}"/>
    <cellStyle name="Normal 2 3 8 4 4 3" xfId="31967" xr:uid="{00000000-0005-0000-0000-0000AA7B0000}"/>
    <cellStyle name="Normal 2 3 8 4 4 4" xfId="31968" xr:uid="{00000000-0005-0000-0000-0000AB7B0000}"/>
    <cellStyle name="Normal 2 3 8 4 4 5" xfId="31969" xr:uid="{00000000-0005-0000-0000-0000AC7B0000}"/>
    <cellStyle name="Normal 2 3 8 4 5" xfId="31970" xr:uid="{00000000-0005-0000-0000-0000AD7B0000}"/>
    <cellStyle name="Normal 2 3 8 4 6" xfId="31971" xr:uid="{00000000-0005-0000-0000-0000AE7B0000}"/>
    <cellStyle name="Normal 2 3 8 4 7" xfId="31972" xr:uid="{00000000-0005-0000-0000-0000AF7B0000}"/>
    <cellStyle name="Normal 2 3 8 4 8" xfId="31973" xr:uid="{00000000-0005-0000-0000-0000B07B0000}"/>
    <cellStyle name="Normal 2 3 8 4 9" xfId="31974" xr:uid="{00000000-0005-0000-0000-0000B17B0000}"/>
    <cellStyle name="Normal 2 3 8 5" xfId="31975" xr:uid="{00000000-0005-0000-0000-0000B27B0000}"/>
    <cellStyle name="Normal 2 3 8 5 2" xfId="31976" xr:uid="{00000000-0005-0000-0000-0000B37B0000}"/>
    <cellStyle name="Normal 2 3 8 5 2 2" xfId="31977" xr:uid="{00000000-0005-0000-0000-0000B47B0000}"/>
    <cellStyle name="Normal 2 3 8 5 2 3" xfId="31978" xr:uid="{00000000-0005-0000-0000-0000B57B0000}"/>
    <cellStyle name="Normal 2 3 8 5 2 4" xfId="31979" xr:uid="{00000000-0005-0000-0000-0000B67B0000}"/>
    <cellStyle name="Normal 2 3 8 5 2 5" xfId="31980" xr:uid="{00000000-0005-0000-0000-0000B77B0000}"/>
    <cellStyle name="Normal 2 3 8 5 3" xfId="31981" xr:uid="{00000000-0005-0000-0000-0000B87B0000}"/>
    <cellStyle name="Normal 2 3 8 5 4" xfId="31982" xr:uid="{00000000-0005-0000-0000-0000B97B0000}"/>
    <cellStyle name="Normal 2 3 8 5 5" xfId="31983" xr:uid="{00000000-0005-0000-0000-0000BA7B0000}"/>
    <cellStyle name="Normal 2 3 8 5 6" xfId="31984" xr:uid="{00000000-0005-0000-0000-0000BB7B0000}"/>
    <cellStyle name="Normal 2 3 8 5 7" xfId="31985" xr:uid="{00000000-0005-0000-0000-0000BC7B0000}"/>
    <cellStyle name="Normal 2 3 8 5 8" xfId="31986" xr:uid="{00000000-0005-0000-0000-0000BD7B0000}"/>
    <cellStyle name="Normal 2 3 8 6" xfId="31987" xr:uid="{00000000-0005-0000-0000-0000BE7B0000}"/>
    <cellStyle name="Normal 2 3 8 6 2" xfId="31988" xr:uid="{00000000-0005-0000-0000-0000BF7B0000}"/>
    <cellStyle name="Normal 2 3 8 6 2 2" xfId="31989" xr:uid="{00000000-0005-0000-0000-0000C07B0000}"/>
    <cellStyle name="Normal 2 3 8 6 2 3" xfId="31990" xr:uid="{00000000-0005-0000-0000-0000C17B0000}"/>
    <cellStyle name="Normal 2 3 8 6 2 4" xfId="31991" xr:uid="{00000000-0005-0000-0000-0000C27B0000}"/>
    <cellStyle name="Normal 2 3 8 6 2 5" xfId="31992" xr:uid="{00000000-0005-0000-0000-0000C37B0000}"/>
    <cellStyle name="Normal 2 3 8 6 3" xfId="31993" xr:uid="{00000000-0005-0000-0000-0000C47B0000}"/>
    <cellStyle name="Normal 2 3 8 6 4" xfId="31994" xr:uid="{00000000-0005-0000-0000-0000C57B0000}"/>
    <cellStyle name="Normal 2 3 8 6 5" xfId="31995" xr:uid="{00000000-0005-0000-0000-0000C67B0000}"/>
    <cellStyle name="Normal 2 3 8 6 6" xfId="31996" xr:uid="{00000000-0005-0000-0000-0000C77B0000}"/>
    <cellStyle name="Normal 2 3 8 6 7" xfId="31997" xr:uid="{00000000-0005-0000-0000-0000C87B0000}"/>
    <cellStyle name="Normal 2 3 8 6 8" xfId="31998" xr:uid="{00000000-0005-0000-0000-0000C97B0000}"/>
    <cellStyle name="Normal 2 3 8 7" xfId="31999" xr:uid="{00000000-0005-0000-0000-0000CA7B0000}"/>
    <cellStyle name="Normal 2 3 8 7 2" xfId="32000" xr:uid="{00000000-0005-0000-0000-0000CB7B0000}"/>
    <cellStyle name="Normal 2 3 8 7 3" xfId="32001" xr:uid="{00000000-0005-0000-0000-0000CC7B0000}"/>
    <cellStyle name="Normal 2 3 8 7 4" xfId="32002" xr:uid="{00000000-0005-0000-0000-0000CD7B0000}"/>
    <cellStyle name="Normal 2 3 8 7 5" xfId="32003" xr:uid="{00000000-0005-0000-0000-0000CE7B0000}"/>
    <cellStyle name="Normal 2 3 8 8" xfId="32004" xr:uid="{00000000-0005-0000-0000-0000CF7B0000}"/>
    <cellStyle name="Normal 2 3 8 9" xfId="32005" xr:uid="{00000000-0005-0000-0000-0000D07B0000}"/>
    <cellStyle name="Normal 2 3 9" xfId="32006" xr:uid="{00000000-0005-0000-0000-0000D17B0000}"/>
    <cellStyle name="Normal 2 3 9 10" xfId="32007" xr:uid="{00000000-0005-0000-0000-0000D27B0000}"/>
    <cellStyle name="Normal 2 3 9 11" xfId="32008" xr:uid="{00000000-0005-0000-0000-0000D37B0000}"/>
    <cellStyle name="Normal 2 3 9 12" xfId="32009" xr:uid="{00000000-0005-0000-0000-0000D47B0000}"/>
    <cellStyle name="Normal 2 3 9 13" xfId="32010" xr:uid="{00000000-0005-0000-0000-0000D57B0000}"/>
    <cellStyle name="Normal 2 3 9 2" xfId="32011" xr:uid="{00000000-0005-0000-0000-0000D67B0000}"/>
    <cellStyle name="Normal 2 3 9 2 10" xfId="32012" xr:uid="{00000000-0005-0000-0000-0000D77B0000}"/>
    <cellStyle name="Normal 2 3 9 2 11" xfId="32013" xr:uid="{00000000-0005-0000-0000-0000D87B0000}"/>
    <cellStyle name="Normal 2 3 9 2 2" xfId="32014" xr:uid="{00000000-0005-0000-0000-0000D97B0000}"/>
    <cellStyle name="Normal 2 3 9 2 2 10" xfId="32015" xr:uid="{00000000-0005-0000-0000-0000DA7B0000}"/>
    <cellStyle name="Normal 2 3 9 2 2 2" xfId="32016" xr:uid="{00000000-0005-0000-0000-0000DB7B0000}"/>
    <cellStyle name="Normal 2 3 9 2 2 2 2" xfId="32017" xr:uid="{00000000-0005-0000-0000-0000DC7B0000}"/>
    <cellStyle name="Normal 2 3 9 2 2 2 2 2" xfId="32018" xr:uid="{00000000-0005-0000-0000-0000DD7B0000}"/>
    <cellStyle name="Normal 2 3 9 2 2 2 2 3" xfId="32019" xr:uid="{00000000-0005-0000-0000-0000DE7B0000}"/>
    <cellStyle name="Normal 2 3 9 2 2 2 2 4" xfId="32020" xr:uid="{00000000-0005-0000-0000-0000DF7B0000}"/>
    <cellStyle name="Normal 2 3 9 2 2 2 2 5" xfId="32021" xr:uid="{00000000-0005-0000-0000-0000E07B0000}"/>
    <cellStyle name="Normal 2 3 9 2 2 2 3" xfId="32022" xr:uid="{00000000-0005-0000-0000-0000E17B0000}"/>
    <cellStyle name="Normal 2 3 9 2 2 2 4" xfId="32023" xr:uid="{00000000-0005-0000-0000-0000E27B0000}"/>
    <cellStyle name="Normal 2 3 9 2 2 2 5" xfId="32024" xr:uid="{00000000-0005-0000-0000-0000E37B0000}"/>
    <cellStyle name="Normal 2 3 9 2 2 2 6" xfId="32025" xr:uid="{00000000-0005-0000-0000-0000E47B0000}"/>
    <cellStyle name="Normal 2 3 9 2 2 2 7" xfId="32026" xr:uid="{00000000-0005-0000-0000-0000E57B0000}"/>
    <cellStyle name="Normal 2 3 9 2 2 2 8" xfId="32027" xr:uid="{00000000-0005-0000-0000-0000E67B0000}"/>
    <cellStyle name="Normal 2 3 9 2 2 3" xfId="32028" xr:uid="{00000000-0005-0000-0000-0000E77B0000}"/>
    <cellStyle name="Normal 2 3 9 2 2 3 2" xfId="32029" xr:uid="{00000000-0005-0000-0000-0000E87B0000}"/>
    <cellStyle name="Normal 2 3 9 2 2 3 2 2" xfId="32030" xr:uid="{00000000-0005-0000-0000-0000E97B0000}"/>
    <cellStyle name="Normal 2 3 9 2 2 3 2 3" xfId="32031" xr:uid="{00000000-0005-0000-0000-0000EA7B0000}"/>
    <cellStyle name="Normal 2 3 9 2 2 3 2 4" xfId="32032" xr:uid="{00000000-0005-0000-0000-0000EB7B0000}"/>
    <cellStyle name="Normal 2 3 9 2 2 3 2 5" xfId="32033" xr:uid="{00000000-0005-0000-0000-0000EC7B0000}"/>
    <cellStyle name="Normal 2 3 9 2 2 3 3" xfId="32034" xr:uid="{00000000-0005-0000-0000-0000ED7B0000}"/>
    <cellStyle name="Normal 2 3 9 2 2 3 4" xfId="32035" xr:uid="{00000000-0005-0000-0000-0000EE7B0000}"/>
    <cellStyle name="Normal 2 3 9 2 2 3 5" xfId="32036" xr:uid="{00000000-0005-0000-0000-0000EF7B0000}"/>
    <cellStyle name="Normal 2 3 9 2 2 3 6" xfId="32037" xr:uid="{00000000-0005-0000-0000-0000F07B0000}"/>
    <cellStyle name="Normal 2 3 9 2 2 3 7" xfId="32038" xr:uid="{00000000-0005-0000-0000-0000F17B0000}"/>
    <cellStyle name="Normal 2 3 9 2 2 3 8" xfId="32039" xr:uid="{00000000-0005-0000-0000-0000F27B0000}"/>
    <cellStyle name="Normal 2 3 9 2 2 4" xfId="32040" xr:uid="{00000000-0005-0000-0000-0000F37B0000}"/>
    <cellStyle name="Normal 2 3 9 2 2 4 2" xfId="32041" xr:uid="{00000000-0005-0000-0000-0000F47B0000}"/>
    <cellStyle name="Normal 2 3 9 2 2 4 3" xfId="32042" xr:uid="{00000000-0005-0000-0000-0000F57B0000}"/>
    <cellStyle name="Normal 2 3 9 2 2 4 4" xfId="32043" xr:uid="{00000000-0005-0000-0000-0000F67B0000}"/>
    <cellStyle name="Normal 2 3 9 2 2 4 5" xfId="32044" xr:uid="{00000000-0005-0000-0000-0000F77B0000}"/>
    <cellStyle name="Normal 2 3 9 2 2 5" xfId="32045" xr:uid="{00000000-0005-0000-0000-0000F87B0000}"/>
    <cellStyle name="Normal 2 3 9 2 2 6" xfId="32046" xr:uid="{00000000-0005-0000-0000-0000F97B0000}"/>
    <cellStyle name="Normal 2 3 9 2 2 7" xfId="32047" xr:uid="{00000000-0005-0000-0000-0000FA7B0000}"/>
    <cellStyle name="Normal 2 3 9 2 2 8" xfId="32048" xr:uid="{00000000-0005-0000-0000-0000FB7B0000}"/>
    <cellStyle name="Normal 2 3 9 2 2 9" xfId="32049" xr:uid="{00000000-0005-0000-0000-0000FC7B0000}"/>
    <cellStyle name="Normal 2 3 9 2 3" xfId="32050" xr:uid="{00000000-0005-0000-0000-0000FD7B0000}"/>
    <cellStyle name="Normal 2 3 9 2 3 2" xfId="32051" xr:uid="{00000000-0005-0000-0000-0000FE7B0000}"/>
    <cellStyle name="Normal 2 3 9 2 3 2 2" xfId="32052" xr:uid="{00000000-0005-0000-0000-0000FF7B0000}"/>
    <cellStyle name="Normal 2 3 9 2 3 2 3" xfId="32053" xr:uid="{00000000-0005-0000-0000-0000007C0000}"/>
    <cellStyle name="Normal 2 3 9 2 3 2 4" xfId="32054" xr:uid="{00000000-0005-0000-0000-0000017C0000}"/>
    <cellStyle name="Normal 2 3 9 2 3 2 5" xfId="32055" xr:uid="{00000000-0005-0000-0000-0000027C0000}"/>
    <cellStyle name="Normal 2 3 9 2 3 3" xfId="32056" xr:uid="{00000000-0005-0000-0000-0000037C0000}"/>
    <cellStyle name="Normal 2 3 9 2 3 4" xfId="32057" xr:uid="{00000000-0005-0000-0000-0000047C0000}"/>
    <cellStyle name="Normal 2 3 9 2 3 5" xfId="32058" xr:uid="{00000000-0005-0000-0000-0000057C0000}"/>
    <cellStyle name="Normal 2 3 9 2 3 6" xfId="32059" xr:uid="{00000000-0005-0000-0000-0000067C0000}"/>
    <cellStyle name="Normal 2 3 9 2 3 7" xfId="32060" xr:uid="{00000000-0005-0000-0000-0000077C0000}"/>
    <cellStyle name="Normal 2 3 9 2 3 8" xfId="32061" xr:uid="{00000000-0005-0000-0000-0000087C0000}"/>
    <cellStyle name="Normal 2 3 9 2 4" xfId="32062" xr:uid="{00000000-0005-0000-0000-0000097C0000}"/>
    <cellStyle name="Normal 2 3 9 2 4 2" xfId="32063" xr:uid="{00000000-0005-0000-0000-00000A7C0000}"/>
    <cellStyle name="Normal 2 3 9 2 4 2 2" xfId="32064" xr:uid="{00000000-0005-0000-0000-00000B7C0000}"/>
    <cellStyle name="Normal 2 3 9 2 4 2 3" xfId="32065" xr:uid="{00000000-0005-0000-0000-00000C7C0000}"/>
    <cellStyle name="Normal 2 3 9 2 4 2 4" xfId="32066" xr:uid="{00000000-0005-0000-0000-00000D7C0000}"/>
    <cellStyle name="Normal 2 3 9 2 4 2 5" xfId="32067" xr:uid="{00000000-0005-0000-0000-00000E7C0000}"/>
    <cellStyle name="Normal 2 3 9 2 4 3" xfId="32068" xr:uid="{00000000-0005-0000-0000-00000F7C0000}"/>
    <cellStyle name="Normal 2 3 9 2 4 4" xfId="32069" xr:uid="{00000000-0005-0000-0000-0000107C0000}"/>
    <cellStyle name="Normal 2 3 9 2 4 5" xfId="32070" xr:uid="{00000000-0005-0000-0000-0000117C0000}"/>
    <cellStyle name="Normal 2 3 9 2 4 6" xfId="32071" xr:uid="{00000000-0005-0000-0000-0000127C0000}"/>
    <cellStyle name="Normal 2 3 9 2 4 7" xfId="32072" xr:uid="{00000000-0005-0000-0000-0000137C0000}"/>
    <cellStyle name="Normal 2 3 9 2 4 8" xfId="32073" xr:uid="{00000000-0005-0000-0000-0000147C0000}"/>
    <cellStyle name="Normal 2 3 9 2 5" xfId="32074" xr:uid="{00000000-0005-0000-0000-0000157C0000}"/>
    <cellStyle name="Normal 2 3 9 2 5 2" xfId="32075" xr:uid="{00000000-0005-0000-0000-0000167C0000}"/>
    <cellStyle name="Normal 2 3 9 2 5 3" xfId="32076" xr:uid="{00000000-0005-0000-0000-0000177C0000}"/>
    <cellStyle name="Normal 2 3 9 2 5 4" xfId="32077" xr:uid="{00000000-0005-0000-0000-0000187C0000}"/>
    <cellStyle name="Normal 2 3 9 2 5 5" xfId="32078" xr:uid="{00000000-0005-0000-0000-0000197C0000}"/>
    <cellStyle name="Normal 2 3 9 2 6" xfId="32079" xr:uid="{00000000-0005-0000-0000-00001A7C0000}"/>
    <cellStyle name="Normal 2 3 9 2 7" xfId="32080" xr:uid="{00000000-0005-0000-0000-00001B7C0000}"/>
    <cellStyle name="Normal 2 3 9 2 8" xfId="32081" xr:uid="{00000000-0005-0000-0000-00001C7C0000}"/>
    <cellStyle name="Normal 2 3 9 2 9" xfId="32082" xr:uid="{00000000-0005-0000-0000-00001D7C0000}"/>
    <cellStyle name="Normal 2 3 9 3" xfId="32083" xr:uid="{00000000-0005-0000-0000-00001E7C0000}"/>
    <cellStyle name="Normal 2 3 9 3 10" xfId="32084" xr:uid="{00000000-0005-0000-0000-00001F7C0000}"/>
    <cellStyle name="Normal 2 3 9 3 11" xfId="32085" xr:uid="{00000000-0005-0000-0000-0000207C0000}"/>
    <cellStyle name="Normal 2 3 9 3 2" xfId="32086" xr:uid="{00000000-0005-0000-0000-0000217C0000}"/>
    <cellStyle name="Normal 2 3 9 3 2 10" xfId="32087" xr:uid="{00000000-0005-0000-0000-0000227C0000}"/>
    <cellStyle name="Normal 2 3 9 3 2 2" xfId="32088" xr:uid="{00000000-0005-0000-0000-0000237C0000}"/>
    <cellStyle name="Normal 2 3 9 3 2 2 2" xfId="32089" xr:uid="{00000000-0005-0000-0000-0000247C0000}"/>
    <cellStyle name="Normal 2 3 9 3 2 2 2 2" xfId="32090" xr:uid="{00000000-0005-0000-0000-0000257C0000}"/>
    <cellStyle name="Normal 2 3 9 3 2 2 2 3" xfId="32091" xr:uid="{00000000-0005-0000-0000-0000267C0000}"/>
    <cellStyle name="Normal 2 3 9 3 2 2 2 4" xfId="32092" xr:uid="{00000000-0005-0000-0000-0000277C0000}"/>
    <cellStyle name="Normal 2 3 9 3 2 2 2 5" xfId="32093" xr:uid="{00000000-0005-0000-0000-0000287C0000}"/>
    <cellStyle name="Normal 2 3 9 3 2 2 3" xfId="32094" xr:uid="{00000000-0005-0000-0000-0000297C0000}"/>
    <cellStyle name="Normal 2 3 9 3 2 2 4" xfId="32095" xr:uid="{00000000-0005-0000-0000-00002A7C0000}"/>
    <cellStyle name="Normal 2 3 9 3 2 2 5" xfId="32096" xr:uid="{00000000-0005-0000-0000-00002B7C0000}"/>
    <cellStyle name="Normal 2 3 9 3 2 2 6" xfId="32097" xr:uid="{00000000-0005-0000-0000-00002C7C0000}"/>
    <cellStyle name="Normal 2 3 9 3 2 2 7" xfId="32098" xr:uid="{00000000-0005-0000-0000-00002D7C0000}"/>
    <cellStyle name="Normal 2 3 9 3 2 2 8" xfId="32099" xr:uid="{00000000-0005-0000-0000-00002E7C0000}"/>
    <cellStyle name="Normal 2 3 9 3 2 3" xfId="32100" xr:uid="{00000000-0005-0000-0000-00002F7C0000}"/>
    <cellStyle name="Normal 2 3 9 3 2 3 2" xfId="32101" xr:uid="{00000000-0005-0000-0000-0000307C0000}"/>
    <cellStyle name="Normal 2 3 9 3 2 3 2 2" xfId="32102" xr:uid="{00000000-0005-0000-0000-0000317C0000}"/>
    <cellStyle name="Normal 2 3 9 3 2 3 2 3" xfId="32103" xr:uid="{00000000-0005-0000-0000-0000327C0000}"/>
    <cellStyle name="Normal 2 3 9 3 2 3 2 4" xfId="32104" xr:uid="{00000000-0005-0000-0000-0000337C0000}"/>
    <cellStyle name="Normal 2 3 9 3 2 3 2 5" xfId="32105" xr:uid="{00000000-0005-0000-0000-0000347C0000}"/>
    <cellStyle name="Normal 2 3 9 3 2 3 3" xfId="32106" xr:uid="{00000000-0005-0000-0000-0000357C0000}"/>
    <cellStyle name="Normal 2 3 9 3 2 3 4" xfId="32107" xr:uid="{00000000-0005-0000-0000-0000367C0000}"/>
    <cellStyle name="Normal 2 3 9 3 2 3 5" xfId="32108" xr:uid="{00000000-0005-0000-0000-0000377C0000}"/>
    <cellStyle name="Normal 2 3 9 3 2 3 6" xfId="32109" xr:uid="{00000000-0005-0000-0000-0000387C0000}"/>
    <cellStyle name="Normal 2 3 9 3 2 3 7" xfId="32110" xr:uid="{00000000-0005-0000-0000-0000397C0000}"/>
    <cellStyle name="Normal 2 3 9 3 2 3 8" xfId="32111" xr:uid="{00000000-0005-0000-0000-00003A7C0000}"/>
    <cellStyle name="Normal 2 3 9 3 2 4" xfId="32112" xr:uid="{00000000-0005-0000-0000-00003B7C0000}"/>
    <cellStyle name="Normal 2 3 9 3 2 4 2" xfId="32113" xr:uid="{00000000-0005-0000-0000-00003C7C0000}"/>
    <cellStyle name="Normal 2 3 9 3 2 4 3" xfId="32114" xr:uid="{00000000-0005-0000-0000-00003D7C0000}"/>
    <cellStyle name="Normal 2 3 9 3 2 4 4" xfId="32115" xr:uid="{00000000-0005-0000-0000-00003E7C0000}"/>
    <cellStyle name="Normal 2 3 9 3 2 4 5" xfId="32116" xr:uid="{00000000-0005-0000-0000-00003F7C0000}"/>
    <cellStyle name="Normal 2 3 9 3 2 5" xfId="32117" xr:uid="{00000000-0005-0000-0000-0000407C0000}"/>
    <cellStyle name="Normal 2 3 9 3 2 6" xfId="32118" xr:uid="{00000000-0005-0000-0000-0000417C0000}"/>
    <cellStyle name="Normal 2 3 9 3 2 7" xfId="32119" xr:uid="{00000000-0005-0000-0000-0000427C0000}"/>
    <cellStyle name="Normal 2 3 9 3 2 8" xfId="32120" xr:uid="{00000000-0005-0000-0000-0000437C0000}"/>
    <cellStyle name="Normal 2 3 9 3 2 9" xfId="32121" xr:uid="{00000000-0005-0000-0000-0000447C0000}"/>
    <cellStyle name="Normal 2 3 9 3 3" xfId="32122" xr:uid="{00000000-0005-0000-0000-0000457C0000}"/>
    <cellStyle name="Normal 2 3 9 3 3 2" xfId="32123" xr:uid="{00000000-0005-0000-0000-0000467C0000}"/>
    <cellStyle name="Normal 2 3 9 3 3 2 2" xfId="32124" xr:uid="{00000000-0005-0000-0000-0000477C0000}"/>
    <cellStyle name="Normal 2 3 9 3 3 2 3" xfId="32125" xr:uid="{00000000-0005-0000-0000-0000487C0000}"/>
    <cellStyle name="Normal 2 3 9 3 3 2 4" xfId="32126" xr:uid="{00000000-0005-0000-0000-0000497C0000}"/>
    <cellStyle name="Normal 2 3 9 3 3 2 5" xfId="32127" xr:uid="{00000000-0005-0000-0000-00004A7C0000}"/>
    <cellStyle name="Normal 2 3 9 3 3 3" xfId="32128" xr:uid="{00000000-0005-0000-0000-00004B7C0000}"/>
    <cellStyle name="Normal 2 3 9 3 3 4" xfId="32129" xr:uid="{00000000-0005-0000-0000-00004C7C0000}"/>
    <cellStyle name="Normal 2 3 9 3 3 5" xfId="32130" xr:uid="{00000000-0005-0000-0000-00004D7C0000}"/>
    <cellStyle name="Normal 2 3 9 3 3 6" xfId="32131" xr:uid="{00000000-0005-0000-0000-00004E7C0000}"/>
    <cellStyle name="Normal 2 3 9 3 3 7" xfId="32132" xr:uid="{00000000-0005-0000-0000-00004F7C0000}"/>
    <cellStyle name="Normal 2 3 9 3 3 8" xfId="32133" xr:uid="{00000000-0005-0000-0000-0000507C0000}"/>
    <cellStyle name="Normal 2 3 9 3 4" xfId="32134" xr:uid="{00000000-0005-0000-0000-0000517C0000}"/>
    <cellStyle name="Normal 2 3 9 3 4 2" xfId="32135" xr:uid="{00000000-0005-0000-0000-0000527C0000}"/>
    <cellStyle name="Normal 2 3 9 3 4 2 2" xfId="32136" xr:uid="{00000000-0005-0000-0000-0000537C0000}"/>
    <cellStyle name="Normal 2 3 9 3 4 2 3" xfId="32137" xr:uid="{00000000-0005-0000-0000-0000547C0000}"/>
    <cellStyle name="Normal 2 3 9 3 4 2 4" xfId="32138" xr:uid="{00000000-0005-0000-0000-0000557C0000}"/>
    <cellStyle name="Normal 2 3 9 3 4 2 5" xfId="32139" xr:uid="{00000000-0005-0000-0000-0000567C0000}"/>
    <cellStyle name="Normal 2 3 9 3 4 3" xfId="32140" xr:uid="{00000000-0005-0000-0000-0000577C0000}"/>
    <cellStyle name="Normal 2 3 9 3 4 4" xfId="32141" xr:uid="{00000000-0005-0000-0000-0000587C0000}"/>
    <cellStyle name="Normal 2 3 9 3 4 5" xfId="32142" xr:uid="{00000000-0005-0000-0000-0000597C0000}"/>
    <cellStyle name="Normal 2 3 9 3 4 6" xfId="32143" xr:uid="{00000000-0005-0000-0000-00005A7C0000}"/>
    <cellStyle name="Normal 2 3 9 3 4 7" xfId="32144" xr:uid="{00000000-0005-0000-0000-00005B7C0000}"/>
    <cellStyle name="Normal 2 3 9 3 4 8" xfId="32145" xr:uid="{00000000-0005-0000-0000-00005C7C0000}"/>
    <cellStyle name="Normal 2 3 9 3 5" xfId="32146" xr:uid="{00000000-0005-0000-0000-00005D7C0000}"/>
    <cellStyle name="Normal 2 3 9 3 5 2" xfId="32147" xr:uid="{00000000-0005-0000-0000-00005E7C0000}"/>
    <cellStyle name="Normal 2 3 9 3 5 3" xfId="32148" xr:uid="{00000000-0005-0000-0000-00005F7C0000}"/>
    <cellStyle name="Normal 2 3 9 3 5 4" xfId="32149" xr:uid="{00000000-0005-0000-0000-0000607C0000}"/>
    <cellStyle name="Normal 2 3 9 3 5 5" xfId="32150" xr:uid="{00000000-0005-0000-0000-0000617C0000}"/>
    <cellStyle name="Normal 2 3 9 3 6" xfId="32151" xr:uid="{00000000-0005-0000-0000-0000627C0000}"/>
    <cellStyle name="Normal 2 3 9 3 7" xfId="32152" xr:uid="{00000000-0005-0000-0000-0000637C0000}"/>
    <cellStyle name="Normal 2 3 9 3 8" xfId="32153" xr:uid="{00000000-0005-0000-0000-0000647C0000}"/>
    <cellStyle name="Normal 2 3 9 3 9" xfId="32154" xr:uid="{00000000-0005-0000-0000-0000657C0000}"/>
    <cellStyle name="Normal 2 3 9 4" xfId="32155" xr:uid="{00000000-0005-0000-0000-0000667C0000}"/>
    <cellStyle name="Normal 2 3 9 4 10" xfId="32156" xr:uid="{00000000-0005-0000-0000-0000677C0000}"/>
    <cellStyle name="Normal 2 3 9 4 2" xfId="32157" xr:uid="{00000000-0005-0000-0000-0000687C0000}"/>
    <cellStyle name="Normal 2 3 9 4 2 2" xfId="32158" xr:uid="{00000000-0005-0000-0000-0000697C0000}"/>
    <cellStyle name="Normal 2 3 9 4 2 2 2" xfId="32159" xr:uid="{00000000-0005-0000-0000-00006A7C0000}"/>
    <cellStyle name="Normal 2 3 9 4 2 2 3" xfId="32160" xr:uid="{00000000-0005-0000-0000-00006B7C0000}"/>
    <cellStyle name="Normal 2 3 9 4 2 2 4" xfId="32161" xr:uid="{00000000-0005-0000-0000-00006C7C0000}"/>
    <cellStyle name="Normal 2 3 9 4 2 2 5" xfId="32162" xr:uid="{00000000-0005-0000-0000-00006D7C0000}"/>
    <cellStyle name="Normal 2 3 9 4 2 3" xfId="32163" xr:uid="{00000000-0005-0000-0000-00006E7C0000}"/>
    <cellStyle name="Normal 2 3 9 4 2 4" xfId="32164" xr:uid="{00000000-0005-0000-0000-00006F7C0000}"/>
    <cellStyle name="Normal 2 3 9 4 2 5" xfId="32165" xr:uid="{00000000-0005-0000-0000-0000707C0000}"/>
    <cellStyle name="Normal 2 3 9 4 2 6" xfId="32166" xr:uid="{00000000-0005-0000-0000-0000717C0000}"/>
    <cellStyle name="Normal 2 3 9 4 2 7" xfId="32167" xr:uid="{00000000-0005-0000-0000-0000727C0000}"/>
    <cellStyle name="Normal 2 3 9 4 2 8" xfId="32168" xr:uid="{00000000-0005-0000-0000-0000737C0000}"/>
    <cellStyle name="Normal 2 3 9 4 3" xfId="32169" xr:uid="{00000000-0005-0000-0000-0000747C0000}"/>
    <cellStyle name="Normal 2 3 9 4 3 2" xfId="32170" xr:uid="{00000000-0005-0000-0000-0000757C0000}"/>
    <cellStyle name="Normal 2 3 9 4 3 2 2" xfId="32171" xr:uid="{00000000-0005-0000-0000-0000767C0000}"/>
    <cellStyle name="Normal 2 3 9 4 3 2 3" xfId="32172" xr:uid="{00000000-0005-0000-0000-0000777C0000}"/>
    <cellStyle name="Normal 2 3 9 4 3 2 4" xfId="32173" xr:uid="{00000000-0005-0000-0000-0000787C0000}"/>
    <cellStyle name="Normal 2 3 9 4 3 2 5" xfId="32174" xr:uid="{00000000-0005-0000-0000-0000797C0000}"/>
    <cellStyle name="Normal 2 3 9 4 3 3" xfId="32175" xr:uid="{00000000-0005-0000-0000-00007A7C0000}"/>
    <cellStyle name="Normal 2 3 9 4 3 4" xfId="32176" xr:uid="{00000000-0005-0000-0000-00007B7C0000}"/>
    <cellStyle name="Normal 2 3 9 4 3 5" xfId="32177" xr:uid="{00000000-0005-0000-0000-00007C7C0000}"/>
    <cellStyle name="Normal 2 3 9 4 3 6" xfId="32178" xr:uid="{00000000-0005-0000-0000-00007D7C0000}"/>
    <cellStyle name="Normal 2 3 9 4 3 7" xfId="32179" xr:uid="{00000000-0005-0000-0000-00007E7C0000}"/>
    <cellStyle name="Normal 2 3 9 4 3 8" xfId="32180" xr:uid="{00000000-0005-0000-0000-00007F7C0000}"/>
    <cellStyle name="Normal 2 3 9 4 4" xfId="32181" xr:uid="{00000000-0005-0000-0000-0000807C0000}"/>
    <cellStyle name="Normal 2 3 9 4 4 2" xfId="32182" xr:uid="{00000000-0005-0000-0000-0000817C0000}"/>
    <cellStyle name="Normal 2 3 9 4 4 3" xfId="32183" xr:uid="{00000000-0005-0000-0000-0000827C0000}"/>
    <cellStyle name="Normal 2 3 9 4 4 4" xfId="32184" xr:uid="{00000000-0005-0000-0000-0000837C0000}"/>
    <cellStyle name="Normal 2 3 9 4 4 5" xfId="32185" xr:uid="{00000000-0005-0000-0000-0000847C0000}"/>
    <cellStyle name="Normal 2 3 9 4 5" xfId="32186" xr:uid="{00000000-0005-0000-0000-0000857C0000}"/>
    <cellStyle name="Normal 2 3 9 4 6" xfId="32187" xr:uid="{00000000-0005-0000-0000-0000867C0000}"/>
    <cellStyle name="Normal 2 3 9 4 7" xfId="32188" xr:uid="{00000000-0005-0000-0000-0000877C0000}"/>
    <cellStyle name="Normal 2 3 9 4 8" xfId="32189" xr:uid="{00000000-0005-0000-0000-0000887C0000}"/>
    <cellStyle name="Normal 2 3 9 4 9" xfId="32190" xr:uid="{00000000-0005-0000-0000-0000897C0000}"/>
    <cellStyle name="Normal 2 3 9 5" xfId="32191" xr:uid="{00000000-0005-0000-0000-00008A7C0000}"/>
    <cellStyle name="Normal 2 3 9 5 2" xfId="32192" xr:uid="{00000000-0005-0000-0000-00008B7C0000}"/>
    <cellStyle name="Normal 2 3 9 5 2 2" xfId="32193" xr:uid="{00000000-0005-0000-0000-00008C7C0000}"/>
    <cellStyle name="Normal 2 3 9 5 2 3" xfId="32194" xr:uid="{00000000-0005-0000-0000-00008D7C0000}"/>
    <cellStyle name="Normal 2 3 9 5 2 4" xfId="32195" xr:uid="{00000000-0005-0000-0000-00008E7C0000}"/>
    <cellStyle name="Normal 2 3 9 5 2 5" xfId="32196" xr:uid="{00000000-0005-0000-0000-00008F7C0000}"/>
    <cellStyle name="Normal 2 3 9 5 3" xfId="32197" xr:uid="{00000000-0005-0000-0000-0000907C0000}"/>
    <cellStyle name="Normal 2 3 9 5 4" xfId="32198" xr:uid="{00000000-0005-0000-0000-0000917C0000}"/>
    <cellStyle name="Normal 2 3 9 5 5" xfId="32199" xr:uid="{00000000-0005-0000-0000-0000927C0000}"/>
    <cellStyle name="Normal 2 3 9 5 6" xfId="32200" xr:uid="{00000000-0005-0000-0000-0000937C0000}"/>
    <cellStyle name="Normal 2 3 9 5 7" xfId="32201" xr:uid="{00000000-0005-0000-0000-0000947C0000}"/>
    <cellStyle name="Normal 2 3 9 5 8" xfId="32202" xr:uid="{00000000-0005-0000-0000-0000957C0000}"/>
    <cellStyle name="Normal 2 3 9 6" xfId="32203" xr:uid="{00000000-0005-0000-0000-0000967C0000}"/>
    <cellStyle name="Normal 2 3 9 6 2" xfId="32204" xr:uid="{00000000-0005-0000-0000-0000977C0000}"/>
    <cellStyle name="Normal 2 3 9 6 2 2" xfId="32205" xr:uid="{00000000-0005-0000-0000-0000987C0000}"/>
    <cellStyle name="Normal 2 3 9 6 2 3" xfId="32206" xr:uid="{00000000-0005-0000-0000-0000997C0000}"/>
    <cellStyle name="Normal 2 3 9 6 2 4" xfId="32207" xr:uid="{00000000-0005-0000-0000-00009A7C0000}"/>
    <cellStyle name="Normal 2 3 9 6 2 5" xfId="32208" xr:uid="{00000000-0005-0000-0000-00009B7C0000}"/>
    <cellStyle name="Normal 2 3 9 6 3" xfId="32209" xr:uid="{00000000-0005-0000-0000-00009C7C0000}"/>
    <cellStyle name="Normal 2 3 9 6 4" xfId="32210" xr:uid="{00000000-0005-0000-0000-00009D7C0000}"/>
    <cellStyle name="Normal 2 3 9 6 5" xfId="32211" xr:uid="{00000000-0005-0000-0000-00009E7C0000}"/>
    <cellStyle name="Normal 2 3 9 6 6" xfId="32212" xr:uid="{00000000-0005-0000-0000-00009F7C0000}"/>
    <cellStyle name="Normal 2 3 9 6 7" xfId="32213" xr:uid="{00000000-0005-0000-0000-0000A07C0000}"/>
    <cellStyle name="Normal 2 3 9 6 8" xfId="32214" xr:uid="{00000000-0005-0000-0000-0000A17C0000}"/>
    <cellStyle name="Normal 2 3 9 7" xfId="32215" xr:uid="{00000000-0005-0000-0000-0000A27C0000}"/>
    <cellStyle name="Normal 2 3 9 7 2" xfId="32216" xr:uid="{00000000-0005-0000-0000-0000A37C0000}"/>
    <cellStyle name="Normal 2 3 9 7 3" xfId="32217" xr:uid="{00000000-0005-0000-0000-0000A47C0000}"/>
    <cellStyle name="Normal 2 3 9 7 4" xfId="32218" xr:uid="{00000000-0005-0000-0000-0000A57C0000}"/>
    <cellStyle name="Normal 2 3 9 7 5" xfId="32219" xr:uid="{00000000-0005-0000-0000-0000A67C0000}"/>
    <cellStyle name="Normal 2 3 9 8" xfId="32220" xr:uid="{00000000-0005-0000-0000-0000A77C0000}"/>
    <cellStyle name="Normal 2 3 9 9" xfId="32221" xr:uid="{00000000-0005-0000-0000-0000A87C0000}"/>
    <cellStyle name="Normal 2 3_METODOLOGI" xfId="32222" xr:uid="{00000000-0005-0000-0000-0000A97C0000}"/>
    <cellStyle name="Normal 2 30" xfId="32223" xr:uid="{00000000-0005-0000-0000-0000AA7C0000}"/>
    <cellStyle name="Normal 2 31" xfId="32224" xr:uid="{00000000-0005-0000-0000-0000AB7C0000}"/>
    <cellStyle name="Normal 2 32" xfId="32225" xr:uid="{00000000-0005-0000-0000-0000AC7C0000}"/>
    <cellStyle name="Normal 2 33" xfId="32226" xr:uid="{00000000-0005-0000-0000-0000AD7C0000}"/>
    <cellStyle name="Normal 2 34" xfId="32227" xr:uid="{00000000-0005-0000-0000-0000AE7C0000}"/>
    <cellStyle name="Normal 2 35" xfId="32228" xr:uid="{00000000-0005-0000-0000-0000AF7C0000}"/>
    <cellStyle name="Normal 2 35 2" xfId="32229" xr:uid="{00000000-0005-0000-0000-0000B07C0000}"/>
    <cellStyle name="Normal 2 36" xfId="32230" xr:uid="{00000000-0005-0000-0000-0000B17C0000}"/>
    <cellStyle name="Normal 2 37" xfId="32231" xr:uid="{00000000-0005-0000-0000-0000B27C0000}"/>
    <cellStyle name="Normal 2 38" xfId="32232" xr:uid="{00000000-0005-0000-0000-0000B37C0000}"/>
    <cellStyle name="Normal 2 39" xfId="32233" xr:uid="{00000000-0005-0000-0000-0000B47C0000}"/>
    <cellStyle name="Normal 2 4" xfId="871" xr:uid="{00000000-0005-0000-0000-0000B57C0000}"/>
    <cellStyle name="Normal 2 4 10" xfId="32234" xr:uid="{00000000-0005-0000-0000-0000B67C0000}"/>
    <cellStyle name="Normal 2 4 10 10" xfId="32235" xr:uid="{00000000-0005-0000-0000-0000B77C0000}"/>
    <cellStyle name="Normal 2 4 10 11" xfId="32236" xr:uid="{00000000-0005-0000-0000-0000B87C0000}"/>
    <cellStyle name="Normal 2 4 10 2" xfId="32237" xr:uid="{00000000-0005-0000-0000-0000B97C0000}"/>
    <cellStyle name="Normal 2 4 10 2 10" xfId="32238" xr:uid="{00000000-0005-0000-0000-0000BA7C0000}"/>
    <cellStyle name="Normal 2 4 10 2 2" xfId="32239" xr:uid="{00000000-0005-0000-0000-0000BB7C0000}"/>
    <cellStyle name="Normal 2 4 10 2 2 2" xfId="32240" xr:uid="{00000000-0005-0000-0000-0000BC7C0000}"/>
    <cellStyle name="Normal 2 4 10 2 2 2 2" xfId="32241" xr:uid="{00000000-0005-0000-0000-0000BD7C0000}"/>
    <cellStyle name="Normal 2 4 10 2 2 2 3" xfId="32242" xr:uid="{00000000-0005-0000-0000-0000BE7C0000}"/>
    <cellStyle name="Normal 2 4 10 2 2 2 4" xfId="32243" xr:uid="{00000000-0005-0000-0000-0000BF7C0000}"/>
    <cellStyle name="Normal 2 4 10 2 2 2 5" xfId="32244" xr:uid="{00000000-0005-0000-0000-0000C07C0000}"/>
    <cellStyle name="Normal 2 4 10 2 2 3" xfId="32245" xr:uid="{00000000-0005-0000-0000-0000C17C0000}"/>
    <cellStyle name="Normal 2 4 10 2 2 4" xfId="32246" xr:uid="{00000000-0005-0000-0000-0000C27C0000}"/>
    <cellStyle name="Normal 2 4 10 2 2 5" xfId="32247" xr:uid="{00000000-0005-0000-0000-0000C37C0000}"/>
    <cellStyle name="Normal 2 4 10 2 2 6" xfId="32248" xr:uid="{00000000-0005-0000-0000-0000C47C0000}"/>
    <cellStyle name="Normal 2 4 10 2 2 7" xfId="32249" xr:uid="{00000000-0005-0000-0000-0000C57C0000}"/>
    <cellStyle name="Normal 2 4 10 2 2 8" xfId="32250" xr:uid="{00000000-0005-0000-0000-0000C67C0000}"/>
    <cellStyle name="Normal 2 4 10 2 3" xfId="32251" xr:uid="{00000000-0005-0000-0000-0000C77C0000}"/>
    <cellStyle name="Normal 2 4 10 2 3 2" xfId="32252" xr:uid="{00000000-0005-0000-0000-0000C87C0000}"/>
    <cellStyle name="Normal 2 4 10 2 3 2 2" xfId="32253" xr:uid="{00000000-0005-0000-0000-0000C97C0000}"/>
    <cellStyle name="Normal 2 4 10 2 3 2 3" xfId="32254" xr:uid="{00000000-0005-0000-0000-0000CA7C0000}"/>
    <cellStyle name="Normal 2 4 10 2 3 2 4" xfId="32255" xr:uid="{00000000-0005-0000-0000-0000CB7C0000}"/>
    <cellStyle name="Normal 2 4 10 2 3 2 5" xfId="32256" xr:uid="{00000000-0005-0000-0000-0000CC7C0000}"/>
    <cellStyle name="Normal 2 4 10 2 3 3" xfId="32257" xr:uid="{00000000-0005-0000-0000-0000CD7C0000}"/>
    <cellStyle name="Normal 2 4 10 2 3 4" xfId="32258" xr:uid="{00000000-0005-0000-0000-0000CE7C0000}"/>
    <cellStyle name="Normal 2 4 10 2 3 5" xfId="32259" xr:uid="{00000000-0005-0000-0000-0000CF7C0000}"/>
    <cellStyle name="Normal 2 4 10 2 3 6" xfId="32260" xr:uid="{00000000-0005-0000-0000-0000D07C0000}"/>
    <cellStyle name="Normal 2 4 10 2 3 7" xfId="32261" xr:uid="{00000000-0005-0000-0000-0000D17C0000}"/>
    <cellStyle name="Normal 2 4 10 2 3 8" xfId="32262" xr:uid="{00000000-0005-0000-0000-0000D27C0000}"/>
    <cellStyle name="Normal 2 4 10 2 4" xfId="32263" xr:uid="{00000000-0005-0000-0000-0000D37C0000}"/>
    <cellStyle name="Normal 2 4 10 2 4 2" xfId="32264" xr:uid="{00000000-0005-0000-0000-0000D47C0000}"/>
    <cellStyle name="Normal 2 4 10 2 4 3" xfId="32265" xr:uid="{00000000-0005-0000-0000-0000D57C0000}"/>
    <cellStyle name="Normal 2 4 10 2 4 4" xfId="32266" xr:uid="{00000000-0005-0000-0000-0000D67C0000}"/>
    <cellStyle name="Normal 2 4 10 2 4 5" xfId="32267" xr:uid="{00000000-0005-0000-0000-0000D77C0000}"/>
    <cellStyle name="Normal 2 4 10 2 5" xfId="32268" xr:uid="{00000000-0005-0000-0000-0000D87C0000}"/>
    <cellStyle name="Normal 2 4 10 2 6" xfId="32269" xr:uid="{00000000-0005-0000-0000-0000D97C0000}"/>
    <cellStyle name="Normal 2 4 10 2 7" xfId="32270" xr:uid="{00000000-0005-0000-0000-0000DA7C0000}"/>
    <cellStyle name="Normal 2 4 10 2 8" xfId="32271" xr:uid="{00000000-0005-0000-0000-0000DB7C0000}"/>
    <cellStyle name="Normal 2 4 10 2 9" xfId="32272" xr:uid="{00000000-0005-0000-0000-0000DC7C0000}"/>
    <cellStyle name="Normal 2 4 10 3" xfId="32273" xr:uid="{00000000-0005-0000-0000-0000DD7C0000}"/>
    <cellStyle name="Normal 2 4 10 3 2" xfId="32274" xr:uid="{00000000-0005-0000-0000-0000DE7C0000}"/>
    <cellStyle name="Normal 2 4 10 3 2 2" xfId="32275" xr:uid="{00000000-0005-0000-0000-0000DF7C0000}"/>
    <cellStyle name="Normal 2 4 10 3 2 3" xfId="32276" xr:uid="{00000000-0005-0000-0000-0000E07C0000}"/>
    <cellStyle name="Normal 2 4 10 3 2 4" xfId="32277" xr:uid="{00000000-0005-0000-0000-0000E17C0000}"/>
    <cellStyle name="Normal 2 4 10 3 2 5" xfId="32278" xr:uid="{00000000-0005-0000-0000-0000E27C0000}"/>
    <cellStyle name="Normal 2 4 10 3 3" xfId="32279" xr:uid="{00000000-0005-0000-0000-0000E37C0000}"/>
    <cellStyle name="Normal 2 4 10 3 4" xfId="32280" xr:uid="{00000000-0005-0000-0000-0000E47C0000}"/>
    <cellStyle name="Normal 2 4 10 3 5" xfId="32281" xr:uid="{00000000-0005-0000-0000-0000E57C0000}"/>
    <cellStyle name="Normal 2 4 10 3 6" xfId="32282" xr:uid="{00000000-0005-0000-0000-0000E67C0000}"/>
    <cellStyle name="Normal 2 4 10 3 7" xfId="32283" xr:uid="{00000000-0005-0000-0000-0000E77C0000}"/>
    <cellStyle name="Normal 2 4 10 3 8" xfId="32284" xr:uid="{00000000-0005-0000-0000-0000E87C0000}"/>
    <cellStyle name="Normal 2 4 10 4" xfId="32285" xr:uid="{00000000-0005-0000-0000-0000E97C0000}"/>
    <cellStyle name="Normal 2 4 10 4 2" xfId="32286" xr:uid="{00000000-0005-0000-0000-0000EA7C0000}"/>
    <cellStyle name="Normal 2 4 10 4 2 2" xfId="32287" xr:uid="{00000000-0005-0000-0000-0000EB7C0000}"/>
    <cellStyle name="Normal 2 4 10 4 2 3" xfId="32288" xr:uid="{00000000-0005-0000-0000-0000EC7C0000}"/>
    <cellStyle name="Normal 2 4 10 4 2 4" xfId="32289" xr:uid="{00000000-0005-0000-0000-0000ED7C0000}"/>
    <cellStyle name="Normal 2 4 10 4 2 5" xfId="32290" xr:uid="{00000000-0005-0000-0000-0000EE7C0000}"/>
    <cellStyle name="Normal 2 4 10 4 3" xfId="32291" xr:uid="{00000000-0005-0000-0000-0000EF7C0000}"/>
    <cellStyle name="Normal 2 4 10 4 4" xfId="32292" xr:uid="{00000000-0005-0000-0000-0000F07C0000}"/>
    <cellStyle name="Normal 2 4 10 4 5" xfId="32293" xr:uid="{00000000-0005-0000-0000-0000F17C0000}"/>
    <cellStyle name="Normal 2 4 10 4 6" xfId="32294" xr:uid="{00000000-0005-0000-0000-0000F27C0000}"/>
    <cellStyle name="Normal 2 4 10 4 7" xfId="32295" xr:uid="{00000000-0005-0000-0000-0000F37C0000}"/>
    <cellStyle name="Normal 2 4 10 4 8" xfId="32296" xr:uid="{00000000-0005-0000-0000-0000F47C0000}"/>
    <cellStyle name="Normal 2 4 10 5" xfId="32297" xr:uid="{00000000-0005-0000-0000-0000F57C0000}"/>
    <cellStyle name="Normal 2 4 10 5 2" xfId="32298" xr:uid="{00000000-0005-0000-0000-0000F67C0000}"/>
    <cellStyle name="Normal 2 4 10 5 3" xfId="32299" xr:uid="{00000000-0005-0000-0000-0000F77C0000}"/>
    <cellStyle name="Normal 2 4 10 5 4" xfId="32300" xr:uid="{00000000-0005-0000-0000-0000F87C0000}"/>
    <cellStyle name="Normal 2 4 10 5 5" xfId="32301" xr:uid="{00000000-0005-0000-0000-0000F97C0000}"/>
    <cellStyle name="Normal 2 4 10 6" xfId="32302" xr:uid="{00000000-0005-0000-0000-0000FA7C0000}"/>
    <cellStyle name="Normal 2 4 10 7" xfId="32303" xr:uid="{00000000-0005-0000-0000-0000FB7C0000}"/>
    <cellStyle name="Normal 2 4 10 8" xfId="32304" xr:uid="{00000000-0005-0000-0000-0000FC7C0000}"/>
    <cellStyle name="Normal 2 4 10 9" xfId="32305" xr:uid="{00000000-0005-0000-0000-0000FD7C0000}"/>
    <cellStyle name="Normal 2 4 11" xfId="32306" xr:uid="{00000000-0005-0000-0000-0000FE7C0000}"/>
    <cellStyle name="Normal 2 4 11 10" xfId="32307" xr:uid="{00000000-0005-0000-0000-0000FF7C0000}"/>
    <cellStyle name="Normal 2 4 11 2" xfId="32308" xr:uid="{00000000-0005-0000-0000-0000007D0000}"/>
    <cellStyle name="Normal 2 4 11 2 2" xfId="32309" xr:uid="{00000000-0005-0000-0000-0000017D0000}"/>
    <cellStyle name="Normal 2 4 11 2 2 2" xfId="32310" xr:uid="{00000000-0005-0000-0000-0000027D0000}"/>
    <cellStyle name="Normal 2 4 11 2 2 3" xfId="32311" xr:uid="{00000000-0005-0000-0000-0000037D0000}"/>
    <cellStyle name="Normal 2 4 11 2 2 4" xfId="32312" xr:uid="{00000000-0005-0000-0000-0000047D0000}"/>
    <cellStyle name="Normal 2 4 11 2 2 5" xfId="32313" xr:uid="{00000000-0005-0000-0000-0000057D0000}"/>
    <cellStyle name="Normal 2 4 11 2 3" xfId="32314" xr:uid="{00000000-0005-0000-0000-0000067D0000}"/>
    <cellStyle name="Normal 2 4 11 2 4" xfId="32315" xr:uid="{00000000-0005-0000-0000-0000077D0000}"/>
    <cellStyle name="Normal 2 4 11 2 5" xfId="32316" xr:uid="{00000000-0005-0000-0000-0000087D0000}"/>
    <cellStyle name="Normal 2 4 11 2 6" xfId="32317" xr:uid="{00000000-0005-0000-0000-0000097D0000}"/>
    <cellStyle name="Normal 2 4 11 2 7" xfId="32318" xr:uid="{00000000-0005-0000-0000-00000A7D0000}"/>
    <cellStyle name="Normal 2 4 11 2 8" xfId="32319" xr:uid="{00000000-0005-0000-0000-00000B7D0000}"/>
    <cellStyle name="Normal 2 4 11 3" xfId="32320" xr:uid="{00000000-0005-0000-0000-00000C7D0000}"/>
    <cellStyle name="Normal 2 4 11 3 2" xfId="32321" xr:uid="{00000000-0005-0000-0000-00000D7D0000}"/>
    <cellStyle name="Normal 2 4 11 3 2 2" xfId="32322" xr:uid="{00000000-0005-0000-0000-00000E7D0000}"/>
    <cellStyle name="Normal 2 4 11 3 2 3" xfId="32323" xr:uid="{00000000-0005-0000-0000-00000F7D0000}"/>
    <cellStyle name="Normal 2 4 11 3 2 4" xfId="32324" xr:uid="{00000000-0005-0000-0000-0000107D0000}"/>
    <cellStyle name="Normal 2 4 11 3 2 5" xfId="32325" xr:uid="{00000000-0005-0000-0000-0000117D0000}"/>
    <cellStyle name="Normal 2 4 11 3 3" xfId="32326" xr:uid="{00000000-0005-0000-0000-0000127D0000}"/>
    <cellStyle name="Normal 2 4 11 3 4" xfId="32327" xr:uid="{00000000-0005-0000-0000-0000137D0000}"/>
    <cellStyle name="Normal 2 4 11 3 5" xfId="32328" xr:uid="{00000000-0005-0000-0000-0000147D0000}"/>
    <cellStyle name="Normal 2 4 11 3 6" xfId="32329" xr:uid="{00000000-0005-0000-0000-0000157D0000}"/>
    <cellStyle name="Normal 2 4 11 3 7" xfId="32330" xr:uid="{00000000-0005-0000-0000-0000167D0000}"/>
    <cellStyle name="Normal 2 4 11 3 8" xfId="32331" xr:uid="{00000000-0005-0000-0000-0000177D0000}"/>
    <cellStyle name="Normal 2 4 11 4" xfId="32332" xr:uid="{00000000-0005-0000-0000-0000187D0000}"/>
    <cellStyle name="Normal 2 4 11 4 2" xfId="32333" xr:uid="{00000000-0005-0000-0000-0000197D0000}"/>
    <cellStyle name="Normal 2 4 11 4 3" xfId="32334" xr:uid="{00000000-0005-0000-0000-00001A7D0000}"/>
    <cellStyle name="Normal 2 4 11 4 4" xfId="32335" xr:uid="{00000000-0005-0000-0000-00001B7D0000}"/>
    <cellStyle name="Normal 2 4 11 4 5" xfId="32336" xr:uid="{00000000-0005-0000-0000-00001C7D0000}"/>
    <cellStyle name="Normal 2 4 11 5" xfId="32337" xr:uid="{00000000-0005-0000-0000-00001D7D0000}"/>
    <cellStyle name="Normal 2 4 11 6" xfId="32338" xr:uid="{00000000-0005-0000-0000-00001E7D0000}"/>
    <cellStyle name="Normal 2 4 11 7" xfId="32339" xr:uid="{00000000-0005-0000-0000-00001F7D0000}"/>
    <cellStyle name="Normal 2 4 11 8" xfId="32340" xr:uid="{00000000-0005-0000-0000-0000207D0000}"/>
    <cellStyle name="Normal 2 4 11 9" xfId="32341" xr:uid="{00000000-0005-0000-0000-0000217D0000}"/>
    <cellStyle name="Normal 2 4 12" xfId="32342" xr:uid="{00000000-0005-0000-0000-0000227D0000}"/>
    <cellStyle name="Normal 2 4 12 2" xfId="32343" xr:uid="{00000000-0005-0000-0000-0000237D0000}"/>
    <cellStyle name="Normal 2 4 12 2 2" xfId="32344" xr:uid="{00000000-0005-0000-0000-0000247D0000}"/>
    <cellStyle name="Normal 2 4 12 2 3" xfId="32345" xr:uid="{00000000-0005-0000-0000-0000257D0000}"/>
    <cellStyle name="Normal 2 4 12 2 4" xfId="32346" xr:uid="{00000000-0005-0000-0000-0000267D0000}"/>
    <cellStyle name="Normal 2 4 12 2 5" xfId="32347" xr:uid="{00000000-0005-0000-0000-0000277D0000}"/>
    <cellStyle name="Normal 2 4 12 3" xfId="32348" xr:uid="{00000000-0005-0000-0000-0000287D0000}"/>
    <cellStyle name="Normal 2 4 12 4" xfId="32349" xr:uid="{00000000-0005-0000-0000-0000297D0000}"/>
    <cellStyle name="Normal 2 4 12 5" xfId="32350" xr:uid="{00000000-0005-0000-0000-00002A7D0000}"/>
    <cellStyle name="Normal 2 4 12 6" xfId="32351" xr:uid="{00000000-0005-0000-0000-00002B7D0000}"/>
    <cellStyle name="Normal 2 4 12 7" xfId="32352" xr:uid="{00000000-0005-0000-0000-00002C7D0000}"/>
    <cellStyle name="Normal 2 4 12 8" xfId="32353" xr:uid="{00000000-0005-0000-0000-00002D7D0000}"/>
    <cellStyle name="Normal 2 4 13" xfId="32354" xr:uid="{00000000-0005-0000-0000-00002E7D0000}"/>
    <cellStyle name="Normal 2 4 13 2" xfId="32355" xr:uid="{00000000-0005-0000-0000-00002F7D0000}"/>
    <cellStyle name="Normal 2 4 13 2 2" xfId="32356" xr:uid="{00000000-0005-0000-0000-0000307D0000}"/>
    <cellStyle name="Normal 2 4 13 2 3" xfId="32357" xr:uid="{00000000-0005-0000-0000-0000317D0000}"/>
    <cellStyle name="Normal 2 4 13 2 4" xfId="32358" xr:uid="{00000000-0005-0000-0000-0000327D0000}"/>
    <cellStyle name="Normal 2 4 13 2 5" xfId="32359" xr:uid="{00000000-0005-0000-0000-0000337D0000}"/>
    <cellStyle name="Normal 2 4 13 3" xfId="32360" xr:uid="{00000000-0005-0000-0000-0000347D0000}"/>
    <cellStyle name="Normal 2 4 13 4" xfId="32361" xr:uid="{00000000-0005-0000-0000-0000357D0000}"/>
    <cellStyle name="Normal 2 4 13 5" xfId="32362" xr:uid="{00000000-0005-0000-0000-0000367D0000}"/>
    <cellStyle name="Normal 2 4 13 6" xfId="32363" xr:uid="{00000000-0005-0000-0000-0000377D0000}"/>
    <cellStyle name="Normal 2 4 13 7" xfId="32364" xr:uid="{00000000-0005-0000-0000-0000387D0000}"/>
    <cellStyle name="Normal 2 4 13 8" xfId="32365" xr:uid="{00000000-0005-0000-0000-0000397D0000}"/>
    <cellStyle name="Normal 2 4 14" xfId="32366" xr:uid="{00000000-0005-0000-0000-00003A7D0000}"/>
    <cellStyle name="Normal 2 4 14 2" xfId="32367" xr:uid="{00000000-0005-0000-0000-00003B7D0000}"/>
    <cellStyle name="Normal 2 4 14 3" xfId="32368" xr:uid="{00000000-0005-0000-0000-00003C7D0000}"/>
    <cellStyle name="Normal 2 4 14 4" xfId="32369" xr:uid="{00000000-0005-0000-0000-00003D7D0000}"/>
    <cellStyle name="Normal 2 4 14 5" xfId="32370" xr:uid="{00000000-0005-0000-0000-00003E7D0000}"/>
    <cellStyle name="Normal 2 4 15" xfId="32371" xr:uid="{00000000-0005-0000-0000-00003F7D0000}"/>
    <cellStyle name="Normal 2 4 16" xfId="32372" xr:uid="{00000000-0005-0000-0000-0000407D0000}"/>
    <cellStyle name="Normal 2 4 17" xfId="32373" xr:uid="{00000000-0005-0000-0000-0000417D0000}"/>
    <cellStyle name="Normal 2 4 18" xfId="32374" xr:uid="{00000000-0005-0000-0000-0000427D0000}"/>
    <cellStyle name="Normal 2 4 19" xfId="32375" xr:uid="{00000000-0005-0000-0000-0000437D0000}"/>
    <cellStyle name="Normal 2 4 2" xfId="872" xr:uid="{00000000-0005-0000-0000-0000447D0000}"/>
    <cellStyle name="Normal 2 4 2 10" xfId="32376" xr:uid="{00000000-0005-0000-0000-0000457D0000}"/>
    <cellStyle name="Normal 2 4 2 11" xfId="32377" xr:uid="{00000000-0005-0000-0000-0000467D0000}"/>
    <cellStyle name="Normal 2 4 2 12" xfId="32378" xr:uid="{00000000-0005-0000-0000-0000477D0000}"/>
    <cellStyle name="Normal 2 4 2 13" xfId="32379" xr:uid="{00000000-0005-0000-0000-0000487D0000}"/>
    <cellStyle name="Normal 2 4 2 14" xfId="42640" xr:uid="{00000000-0005-0000-0000-0000497D0000}"/>
    <cellStyle name="Normal 2 4 2 2" xfId="32380" xr:uid="{00000000-0005-0000-0000-00004A7D0000}"/>
    <cellStyle name="Normal 2 4 2 2 10" xfId="32381" xr:uid="{00000000-0005-0000-0000-00004B7D0000}"/>
    <cellStyle name="Normal 2 4 2 2 11" xfId="32382" xr:uid="{00000000-0005-0000-0000-00004C7D0000}"/>
    <cellStyle name="Normal 2 4 2 2 2" xfId="32383" xr:uid="{00000000-0005-0000-0000-00004D7D0000}"/>
    <cellStyle name="Normal 2 4 2 2 2 10" xfId="32384" xr:uid="{00000000-0005-0000-0000-00004E7D0000}"/>
    <cellStyle name="Normal 2 4 2 2 2 2" xfId="32385" xr:uid="{00000000-0005-0000-0000-00004F7D0000}"/>
    <cellStyle name="Normal 2 4 2 2 2 2 2" xfId="32386" xr:uid="{00000000-0005-0000-0000-0000507D0000}"/>
    <cellStyle name="Normal 2 4 2 2 2 2 2 2" xfId="32387" xr:uid="{00000000-0005-0000-0000-0000517D0000}"/>
    <cellStyle name="Normal 2 4 2 2 2 2 2 3" xfId="32388" xr:uid="{00000000-0005-0000-0000-0000527D0000}"/>
    <cellStyle name="Normal 2 4 2 2 2 2 2 4" xfId="32389" xr:uid="{00000000-0005-0000-0000-0000537D0000}"/>
    <cellStyle name="Normal 2 4 2 2 2 2 2 5" xfId="32390" xr:uid="{00000000-0005-0000-0000-0000547D0000}"/>
    <cellStyle name="Normal 2 4 2 2 2 2 3" xfId="32391" xr:uid="{00000000-0005-0000-0000-0000557D0000}"/>
    <cellStyle name="Normal 2 4 2 2 2 2 4" xfId="32392" xr:uid="{00000000-0005-0000-0000-0000567D0000}"/>
    <cellStyle name="Normal 2 4 2 2 2 2 5" xfId="32393" xr:uid="{00000000-0005-0000-0000-0000577D0000}"/>
    <cellStyle name="Normal 2 4 2 2 2 2 6" xfId="32394" xr:uid="{00000000-0005-0000-0000-0000587D0000}"/>
    <cellStyle name="Normal 2 4 2 2 2 2 7" xfId="32395" xr:uid="{00000000-0005-0000-0000-0000597D0000}"/>
    <cellStyle name="Normal 2 4 2 2 2 2 8" xfId="32396" xr:uid="{00000000-0005-0000-0000-00005A7D0000}"/>
    <cellStyle name="Normal 2 4 2 2 2 3" xfId="32397" xr:uid="{00000000-0005-0000-0000-00005B7D0000}"/>
    <cellStyle name="Normal 2 4 2 2 2 3 2" xfId="32398" xr:uid="{00000000-0005-0000-0000-00005C7D0000}"/>
    <cellStyle name="Normal 2 4 2 2 2 3 2 2" xfId="32399" xr:uid="{00000000-0005-0000-0000-00005D7D0000}"/>
    <cellStyle name="Normal 2 4 2 2 2 3 2 3" xfId="32400" xr:uid="{00000000-0005-0000-0000-00005E7D0000}"/>
    <cellStyle name="Normal 2 4 2 2 2 3 2 4" xfId="32401" xr:uid="{00000000-0005-0000-0000-00005F7D0000}"/>
    <cellStyle name="Normal 2 4 2 2 2 3 2 5" xfId="32402" xr:uid="{00000000-0005-0000-0000-0000607D0000}"/>
    <cellStyle name="Normal 2 4 2 2 2 3 3" xfId="32403" xr:uid="{00000000-0005-0000-0000-0000617D0000}"/>
    <cellStyle name="Normal 2 4 2 2 2 3 4" xfId="32404" xr:uid="{00000000-0005-0000-0000-0000627D0000}"/>
    <cellStyle name="Normal 2 4 2 2 2 3 5" xfId="32405" xr:uid="{00000000-0005-0000-0000-0000637D0000}"/>
    <cellStyle name="Normal 2 4 2 2 2 3 6" xfId="32406" xr:uid="{00000000-0005-0000-0000-0000647D0000}"/>
    <cellStyle name="Normal 2 4 2 2 2 3 7" xfId="32407" xr:uid="{00000000-0005-0000-0000-0000657D0000}"/>
    <cellStyle name="Normal 2 4 2 2 2 3 8" xfId="32408" xr:uid="{00000000-0005-0000-0000-0000667D0000}"/>
    <cellStyle name="Normal 2 4 2 2 2 4" xfId="32409" xr:uid="{00000000-0005-0000-0000-0000677D0000}"/>
    <cellStyle name="Normal 2 4 2 2 2 4 2" xfId="32410" xr:uid="{00000000-0005-0000-0000-0000687D0000}"/>
    <cellStyle name="Normal 2 4 2 2 2 4 3" xfId="32411" xr:uid="{00000000-0005-0000-0000-0000697D0000}"/>
    <cellStyle name="Normal 2 4 2 2 2 4 4" xfId="32412" xr:uid="{00000000-0005-0000-0000-00006A7D0000}"/>
    <cellStyle name="Normal 2 4 2 2 2 4 5" xfId="32413" xr:uid="{00000000-0005-0000-0000-00006B7D0000}"/>
    <cellStyle name="Normal 2 4 2 2 2 5" xfId="32414" xr:uid="{00000000-0005-0000-0000-00006C7D0000}"/>
    <cellStyle name="Normal 2 4 2 2 2 6" xfId="32415" xr:uid="{00000000-0005-0000-0000-00006D7D0000}"/>
    <cellStyle name="Normal 2 4 2 2 2 7" xfId="32416" xr:uid="{00000000-0005-0000-0000-00006E7D0000}"/>
    <cellStyle name="Normal 2 4 2 2 2 8" xfId="32417" xr:uid="{00000000-0005-0000-0000-00006F7D0000}"/>
    <cellStyle name="Normal 2 4 2 2 2 9" xfId="32418" xr:uid="{00000000-0005-0000-0000-0000707D0000}"/>
    <cellStyle name="Normal 2 4 2 2 3" xfId="32419" xr:uid="{00000000-0005-0000-0000-0000717D0000}"/>
    <cellStyle name="Normal 2 4 2 2 3 2" xfId="32420" xr:uid="{00000000-0005-0000-0000-0000727D0000}"/>
    <cellStyle name="Normal 2 4 2 2 3 2 2" xfId="32421" xr:uid="{00000000-0005-0000-0000-0000737D0000}"/>
    <cellStyle name="Normal 2 4 2 2 3 2 3" xfId="32422" xr:uid="{00000000-0005-0000-0000-0000747D0000}"/>
    <cellStyle name="Normal 2 4 2 2 3 2 4" xfId="32423" xr:uid="{00000000-0005-0000-0000-0000757D0000}"/>
    <cellStyle name="Normal 2 4 2 2 3 2 5" xfId="32424" xr:uid="{00000000-0005-0000-0000-0000767D0000}"/>
    <cellStyle name="Normal 2 4 2 2 3 3" xfId="32425" xr:uid="{00000000-0005-0000-0000-0000777D0000}"/>
    <cellStyle name="Normal 2 4 2 2 3 4" xfId="32426" xr:uid="{00000000-0005-0000-0000-0000787D0000}"/>
    <cellStyle name="Normal 2 4 2 2 3 5" xfId="32427" xr:uid="{00000000-0005-0000-0000-0000797D0000}"/>
    <cellStyle name="Normal 2 4 2 2 3 6" xfId="32428" xr:uid="{00000000-0005-0000-0000-00007A7D0000}"/>
    <cellStyle name="Normal 2 4 2 2 3 7" xfId="32429" xr:uid="{00000000-0005-0000-0000-00007B7D0000}"/>
    <cellStyle name="Normal 2 4 2 2 3 8" xfId="32430" xr:uid="{00000000-0005-0000-0000-00007C7D0000}"/>
    <cellStyle name="Normal 2 4 2 2 4" xfId="32431" xr:uid="{00000000-0005-0000-0000-00007D7D0000}"/>
    <cellStyle name="Normal 2 4 2 2 4 2" xfId="32432" xr:uid="{00000000-0005-0000-0000-00007E7D0000}"/>
    <cellStyle name="Normal 2 4 2 2 4 2 2" xfId="32433" xr:uid="{00000000-0005-0000-0000-00007F7D0000}"/>
    <cellStyle name="Normal 2 4 2 2 4 2 3" xfId="32434" xr:uid="{00000000-0005-0000-0000-0000807D0000}"/>
    <cellStyle name="Normal 2 4 2 2 4 2 4" xfId="32435" xr:uid="{00000000-0005-0000-0000-0000817D0000}"/>
    <cellStyle name="Normal 2 4 2 2 4 2 5" xfId="32436" xr:uid="{00000000-0005-0000-0000-0000827D0000}"/>
    <cellStyle name="Normal 2 4 2 2 4 3" xfId="32437" xr:uid="{00000000-0005-0000-0000-0000837D0000}"/>
    <cellStyle name="Normal 2 4 2 2 4 4" xfId="32438" xr:uid="{00000000-0005-0000-0000-0000847D0000}"/>
    <cellStyle name="Normal 2 4 2 2 4 5" xfId="32439" xr:uid="{00000000-0005-0000-0000-0000857D0000}"/>
    <cellStyle name="Normal 2 4 2 2 4 6" xfId="32440" xr:uid="{00000000-0005-0000-0000-0000867D0000}"/>
    <cellStyle name="Normal 2 4 2 2 4 7" xfId="32441" xr:uid="{00000000-0005-0000-0000-0000877D0000}"/>
    <cellStyle name="Normal 2 4 2 2 4 8" xfId="32442" xr:uid="{00000000-0005-0000-0000-0000887D0000}"/>
    <cellStyle name="Normal 2 4 2 2 5" xfId="32443" xr:uid="{00000000-0005-0000-0000-0000897D0000}"/>
    <cellStyle name="Normal 2 4 2 2 5 2" xfId="32444" xr:uid="{00000000-0005-0000-0000-00008A7D0000}"/>
    <cellStyle name="Normal 2 4 2 2 5 3" xfId="32445" xr:uid="{00000000-0005-0000-0000-00008B7D0000}"/>
    <cellStyle name="Normal 2 4 2 2 5 4" xfId="32446" xr:uid="{00000000-0005-0000-0000-00008C7D0000}"/>
    <cellStyle name="Normal 2 4 2 2 5 5" xfId="32447" xr:uid="{00000000-0005-0000-0000-00008D7D0000}"/>
    <cellStyle name="Normal 2 4 2 2 6" xfId="32448" xr:uid="{00000000-0005-0000-0000-00008E7D0000}"/>
    <cellStyle name="Normal 2 4 2 2 7" xfId="32449" xr:uid="{00000000-0005-0000-0000-00008F7D0000}"/>
    <cellStyle name="Normal 2 4 2 2 8" xfId="32450" xr:uid="{00000000-0005-0000-0000-0000907D0000}"/>
    <cellStyle name="Normal 2 4 2 2 9" xfId="32451" xr:uid="{00000000-0005-0000-0000-0000917D0000}"/>
    <cellStyle name="Normal 2 4 2 3" xfId="32452" xr:uid="{00000000-0005-0000-0000-0000927D0000}"/>
    <cellStyle name="Normal 2 4 2 3 10" xfId="32453" xr:uid="{00000000-0005-0000-0000-0000937D0000}"/>
    <cellStyle name="Normal 2 4 2 3 11" xfId="32454" xr:uid="{00000000-0005-0000-0000-0000947D0000}"/>
    <cellStyle name="Normal 2 4 2 3 2" xfId="32455" xr:uid="{00000000-0005-0000-0000-0000957D0000}"/>
    <cellStyle name="Normal 2 4 2 3 2 10" xfId="32456" xr:uid="{00000000-0005-0000-0000-0000967D0000}"/>
    <cellStyle name="Normal 2 4 2 3 2 2" xfId="32457" xr:uid="{00000000-0005-0000-0000-0000977D0000}"/>
    <cellStyle name="Normal 2 4 2 3 2 2 2" xfId="32458" xr:uid="{00000000-0005-0000-0000-0000987D0000}"/>
    <cellStyle name="Normal 2 4 2 3 2 2 2 2" xfId="32459" xr:uid="{00000000-0005-0000-0000-0000997D0000}"/>
    <cellStyle name="Normal 2 4 2 3 2 2 2 3" xfId="32460" xr:uid="{00000000-0005-0000-0000-00009A7D0000}"/>
    <cellStyle name="Normal 2 4 2 3 2 2 2 4" xfId="32461" xr:uid="{00000000-0005-0000-0000-00009B7D0000}"/>
    <cellStyle name="Normal 2 4 2 3 2 2 2 5" xfId="32462" xr:uid="{00000000-0005-0000-0000-00009C7D0000}"/>
    <cellStyle name="Normal 2 4 2 3 2 2 3" xfId="32463" xr:uid="{00000000-0005-0000-0000-00009D7D0000}"/>
    <cellStyle name="Normal 2 4 2 3 2 2 4" xfId="32464" xr:uid="{00000000-0005-0000-0000-00009E7D0000}"/>
    <cellStyle name="Normal 2 4 2 3 2 2 5" xfId="32465" xr:uid="{00000000-0005-0000-0000-00009F7D0000}"/>
    <cellStyle name="Normal 2 4 2 3 2 2 6" xfId="32466" xr:uid="{00000000-0005-0000-0000-0000A07D0000}"/>
    <cellStyle name="Normal 2 4 2 3 2 2 7" xfId="32467" xr:uid="{00000000-0005-0000-0000-0000A17D0000}"/>
    <cellStyle name="Normal 2 4 2 3 2 2 8" xfId="32468" xr:uid="{00000000-0005-0000-0000-0000A27D0000}"/>
    <cellStyle name="Normal 2 4 2 3 2 3" xfId="32469" xr:uid="{00000000-0005-0000-0000-0000A37D0000}"/>
    <cellStyle name="Normal 2 4 2 3 2 3 2" xfId="32470" xr:uid="{00000000-0005-0000-0000-0000A47D0000}"/>
    <cellStyle name="Normal 2 4 2 3 2 3 2 2" xfId="32471" xr:uid="{00000000-0005-0000-0000-0000A57D0000}"/>
    <cellStyle name="Normal 2 4 2 3 2 3 2 3" xfId="32472" xr:uid="{00000000-0005-0000-0000-0000A67D0000}"/>
    <cellStyle name="Normal 2 4 2 3 2 3 2 4" xfId="32473" xr:uid="{00000000-0005-0000-0000-0000A77D0000}"/>
    <cellStyle name="Normal 2 4 2 3 2 3 2 5" xfId="32474" xr:uid="{00000000-0005-0000-0000-0000A87D0000}"/>
    <cellStyle name="Normal 2 4 2 3 2 3 3" xfId="32475" xr:uid="{00000000-0005-0000-0000-0000A97D0000}"/>
    <cellStyle name="Normal 2 4 2 3 2 3 4" xfId="32476" xr:uid="{00000000-0005-0000-0000-0000AA7D0000}"/>
    <cellStyle name="Normal 2 4 2 3 2 3 5" xfId="32477" xr:uid="{00000000-0005-0000-0000-0000AB7D0000}"/>
    <cellStyle name="Normal 2 4 2 3 2 3 6" xfId="32478" xr:uid="{00000000-0005-0000-0000-0000AC7D0000}"/>
    <cellStyle name="Normal 2 4 2 3 2 3 7" xfId="32479" xr:uid="{00000000-0005-0000-0000-0000AD7D0000}"/>
    <cellStyle name="Normal 2 4 2 3 2 3 8" xfId="32480" xr:uid="{00000000-0005-0000-0000-0000AE7D0000}"/>
    <cellStyle name="Normal 2 4 2 3 2 4" xfId="32481" xr:uid="{00000000-0005-0000-0000-0000AF7D0000}"/>
    <cellStyle name="Normal 2 4 2 3 2 4 2" xfId="32482" xr:uid="{00000000-0005-0000-0000-0000B07D0000}"/>
    <cellStyle name="Normal 2 4 2 3 2 4 3" xfId="32483" xr:uid="{00000000-0005-0000-0000-0000B17D0000}"/>
    <cellStyle name="Normal 2 4 2 3 2 4 4" xfId="32484" xr:uid="{00000000-0005-0000-0000-0000B27D0000}"/>
    <cellStyle name="Normal 2 4 2 3 2 4 5" xfId="32485" xr:uid="{00000000-0005-0000-0000-0000B37D0000}"/>
    <cellStyle name="Normal 2 4 2 3 2 5" xfId="32486" xr:uid="{00000000-0005-0000-0000-0000B47D0000}"/>
    <cellStyle name="Normal 2 4 2 3 2 6" xfId="32487" xr:uid="{00000000-0005-0000-0000-0000B57D0000}"/>
    <cellStyle name="Normal 2 4 2 3 2 7" xfId="32488" xr:uid="{00000000-0005-0000-0000-0000B67D0000}"/>
    <cellStyle name="Normal 2 4 2 3 2 8" xfId="32489" xr:uid="{00000000-0005-0000-0000-0000B77D0000}"/>
    <cellStyle name="Normal 2 4 2 3 2 9" xfId="32490" xr:uid="{00000000-0005-0000-0000-0000B87D0000}"/>
    <cellStyle name="Normal 2 4 2 3 3" xfId="32491" xr:uid="{00000000-0005-0000-0000-0000B97D0000}"/>
    <cellStyle name="Normal 2 4 2 3 3 2" xfId="32492" xr:uid="{00000000-0005-0000-0000-0000BA7D0000}"/>
    <cellStyle name="Normal 2 4 2 3 3 2 2" xfId="32493" xr:uid="{00000000-0005-0000-0000-0000BB7D0000}"/>
    <cellStyle name="Normal 2 4 2 3 3 2 3" xfId="32494" xr:uid="{00000000-0005-0000-0000-0000BC7D0000}"/>
    <cellStyle name="Normal 2 4 2 3 3 2 4" xfId="32495" xr:uid="{00000000-0005-0000-0000-0000BD7D0000}"/>
    <cellStyle name="Normal 2 4 2 3 3 2 5" xfId="32496" xr:uid="{00000000-0005-0000-0000-0000BE7D0000}"/>
    <cellStyle name="Normal 2 4 2 3 3 3" xfId="32497" xr:uid="{00000000-0005-0000-0000-0000BF7D0000}"/>
    <cellStyle name="Normal 2 4 2 3 3 4" xfId="32498" xr:uid="{00000000-0005-0000-0000-0000C07D0000}"/>
    <cellStyle name="Normal 2 4 2 3 3 5" xfId="32499" xr:uid="{00000000-0005-0000-0000-0000C17D0000}"/>
    <cellStyle name="Normal 2 4 2 3 3 6" xfId="32500" xr:uid="{00000000-0005-0000-0000-0000C27D0000}"/>
    <cellStyle name="Normal 2 4 2 3 3 7" xfId="32501" xr:uid="{00000000-0005-0000-0000-0000C37D0000}"/>
    <cellStyle name="Normal 2 4 2 3 3 8" xfId="32502" xr:uid="{00000000-0005-0000-0000-0000C47D0000}"/>
    <cellStyle name="Normal 2 4 2 3 4" xfId="32503" xr:uid="{00000000-0005-0000-0000-0000C57D0000}"/>
    <cellStyle name="Normal 2 4 2 3 4 2" xfId="32504" xr:uid="{00000000-0005-0000-0000-0000C67D0000}"/>
    <cellStyle name="Normal 2 4 2 3 4 2 2" xfId="32505" xr:uid="{00000000-0005-0000-0000-0000C77D0000}"/>
    <cellStyle name="Normal 2 4 2 3 4 2 3" xfId="32506" xr:uid="{00000000-0005-0000-0000-0000C87D0000}"/>
    <cellStyle name="Normal 2 4 2 3 4 2 4" xfId="32507" xr:uid="{00000000-0005-0000-0000-0000C97D0000}"/>
    <cellStyle name="Normal 2 4 2 3 4 2 5" xfId="32508" xr:uid="{00000000-0005-0000-0000-0000CA7D0000}"/>
    <cellStyle name="Normal 2 4 2 3 4 3" xfId="32509" xr:uid="{00000000-0005-0000-0000-0000CB7D0000}"/>
    <cellStyle name="Normal 2 4 2 3 4 4" xfId="32510" xr:uid="{00000000-0005-0000-0000-0000CC7D0000}"/>
    <cellStyle name="Normal 2 4 2 3 4 5" xfId="32511" xr:uid="{00000000-0005-0000-0000-0000CD7D0000}"/>
    <cellStyle name="Normal 2 4 2 3 4 6" xfId="32512" xr:uid="{00000000-0005-0000-0000-0000CE7D0000}"/>
    <cellStyle name="Normal 2 4 2 3 4 7" xfId="32513" xr:uid="{00000000-0005-0000-0000-0000CF7D0000}"/>
    <cellStyle name="Normal 2 4 2 3 4 8" xfId="32514" xr:uid="{00000000-0005-0000-0000-0000D07D0000}"/>
    <cellStyle name="Normal 2 4 2 3 5" xfId="32515" xr:uid="{00000000-0005-0000-0000-0000D17D0000}"/>
    <cellStyle name="Normal 2 4 2 3 5 2" xfId="32516" xr:uid="{00000000-0005-0000-0000-0000D27D0000}"/>
    <cellStyle name="Normal 2 4 2 3 5 3" xfId="32517" xr:uid="{00000000-0005-0000-0000-0000D37D0000}"/>
    <cellStyle name="Normal 2 4 2 3 5 4" xfId="32518" xr:uid="{00000000-0005-0000-0000-0000D47D0000}"/>
    <cellStyle name="Normal 2 4 2 3 5 5" xfId="32519" xr:uid="{00000000-0005-0000-0000-0000D57D0000}"/>
    <cellStyle name="Normal 2 4 2 3 6" xfId="32520" xr:uid="{00000000-0005-0000-0000-0000D67D0000}"/>
    <cellStyle name="Normal 2 4 2 3 7" xfId="32521" xr:uid="{00000000-0005-0000-0000-0000D77D0000}"/>
    <cellStyle name="Normal 2 4 2 3 8" xfId="32522" xr:uid="{00000000-0005-0000-0000-0000D87D0000}"/>
    <cellStyle name="Normal 2 4 2 3 9" xfId="32523" xr:uid="{00000000-0005-0000-0000-0000D97D0000}"/>
    <cellStyle name="Normal 2 4 2 4" xfId="32524" xr:uid="{00000000-0005-0000-0000-0000DA7D0000}"/>
    <cellStyle name="Normal 2 4 2 4 10" xfId="32525" xr:uid="{00000000-0005-0000-0000-0000DB7D0000}"/>
    <cellStyle name="Normal 2 4 2 4 2" xfId="32526" xr:uid="{00000000-0005-0000-0000-0000DC7D0000}"/>
    <cellStyle name="Normal 2 4 2 4 2 2" xfId="32527" xr:uid="{00000000-0005-0000-0000-0000DD7D0000}"/>
    <cellStyle name="Normal 2 4 2 4 2 2 2" xfId="32528" xr:uid="{00000000-0005-0000-0000-0000DE7D0000}"/>
    <cellStyle name="Normal 2 4 2 4 2 2 3" xfId="32529" xr:uid="{00000000-0005-0000-0000-0000DF7D0000}"/>
    <cellStyle name="Normal 2 4 2 4 2 2 4" xfId="32530" xr:uid="{00000000-0005-0000-0000-0000E07D0000}"/>
    <cellStyle name="Normal 2 4 2 4 2 2 5" xfId="32531" xr:uid="{00000000-0005-0000-0000-0000E17D0000}"/>
    <cellStyle name="Normal 2 4 2 4 2 3" xfId="32532" xr:uid="{00000000-0005-0000-0000-0000E27D0000}"/>
    <cellStyle name="Normal 2 4 2 4 2 4" xfId="32533" xr:uid="{00000000-0005-0000-0000-0000E37D0000}"/>
    <cellStyle name="Normal 2 4 2 4 2 5" xfId="32534" xr:uid="{00000000-0005-0000-0000-0000E47D0000}"/>
    <cellStyle name="Normal 2 4 2 4 2 6" xfId="32535" xr:uid="{00000000-0005-0000-0000-0000E57D0000}"/>
    <cellStyle name="Normal 2 4 2 4 2 7" xfId="32536" xr:uid="{00000000-0005-0000-0000-0000E67D0000}"/>
    <cellStyle name="Normal 2 4 2 4 2 8" xfId="32537" xr:uid="{00000000-0005-0000-0000-0000E77D0000}"/>
    <cellStyle name="Normal 2 4 2 4 3" xfId="32538" xr:uid="{00000000-0005-0000-0000-0000E87D0000}"/>
    <cellStyle name="Normal 2 4 2 4 3 2" xfId="32539" xr:uid="{00000000-0005-0000-0000-0000E97D0000}"/>
    <cellStyle name="Normal 2 4 2 4 3 2 2" xfId="32540" xr:uid="{00000000-0005-0000-0000-0000EA7D0000}"/>
    <cellStyle name="Normal 2 4 2 4 3 2 3" xfId="32541" xr:uid="{00000000-0005-0000-0000-0000EB7D0000}"/>
    <cellStyle name="Normal 2 4 2 4 3 2 4" xfId="32542" xr:uid="{00000000-0005-0000-0000-0000EC7D0000}"/>
    <cellStyle name="Normal 2 4 2 4 3 2 5" xfId="32543" xr:uid="{00000000-0005-0000-0000-0000ED7D0000}"/>
    <cellStyle name="Normal 2 4 2 4 3 3" xfId="32544" xr:uid="{00000000-0005-0000-0000-0000EE7D0000}"/>
    <cellStyle name="Normal 2 4 2 4 3 4" xfId="32545" xr:uid="{00000000-0005-0000-0000-0000EF7D0000}"/>
    <cellStyle name="Normal 2 4 2 4 3 5" xfId="32546" xr:uid="{00000000-0005-0000-0000-0000F07D0000}"/>
    <cellStyle name="Normal 2 4 2 4 3 6" xfId="32547" xr:uid="{00000000-0005-0000-0000-0000F17D0000}"/>
    <cellStyle name="Normal 2 4 2 4 3 7" xfId="32548" xr:uid="{00000000-0005-0000-0000-0000F27D0000}"/>
    <cellStyle name="Normal 2 4 2 4 3 8" xfId="32549" xr:uid="{00000000-0005-0000-0000-0000F37D0000}"/>
    <cellStyle name="Normal 2 4 2 4 4" xfId="32550" xr:uid="{00000000-0005-0000-0000-0000F47D0000}"/>
    <cellStyle name="Normal 2 4 2 4 4 2" xfId="32551" xr:uid="{00000000-0005-0000-0000-0000F57D0000}"/>
    <cellStyle name="Normal 2 4 2 4 4 3" xfId="32552" xr:uid="{00000000-0005-0000-0000-0000F67D0000}"/>
    <cellStyle name="Normal 2 4 2 4 4 4" xfId="32553" xr:uid="{00000000-0005-0000-0000-0000F77D0000}"/>
    <cellStyle name="Normal 2 4 2 4 4 5" xfId="32554" xr:uid="{00000000-0005-0000-0000-0000F87D0000}"/>
    <cellStyle name="Normal 2 4 2 4 5" xfId="32555" xr:uid="{00000000-0005-0000-0000-0000F97D0000}"/>
    <cellStyle name="Normal 2 4 2 4 6" xfId="32556" xr:uid="{00000000-0005-0000-0000-0000FA7D0000}"/>
    <cellStyle name="Normal 2 4 2 4 7" xfId="32557" xr:uid="{00000000-0005-0000-0000-0000FB7D0000}"/>
    <cellStyle name="Normal 2 4 2 4 8" xfId="32558" xr:uid="{00000000-0005-0000-0000-0000FC7D0000}"/>
    <cellStyle name="Normal 2 4 2 4 9" xfId="32559" xr:uid="{00000000-0005-0000-0000-0000FD7D0000}"/>
    <cellStyle name="Normal 2 4 2 5" xfId="32560" xr:uid="{00000000-0005-0000-0000-0000FE7D0000}"/>
    <cellStyle name="Normal 2 4 2 5 2" xfId="32561" xr:uid="{00000000-0005-0000-0000-0000FF7D0000}"/>
    <cellStyle name="Normal 2 4 2 5 2 2" xfId="32562" xr:uid="{00000000-0005-0000-0000-0000007E0000}"/>
    <cellStyle name="Normal 2 4 2 5 2 3" xfId="32563" xr:uid="{00000000-0005-0000-0000-0000017E0000}"/>
    <cellStyle name="Normal 2 4 2 5 2 4" xfId="32564" xr:uid="{00000000-0005-0000-0000-0000027E0000}"/>
    <cellStyle name="Normal 2 4 2 5 2 5" xfId="32565" xr:uid="{00000000-0005-0000-0000-0000037E0000}"/>
    <cellStyle name="Normal 2 4 2 5 3" xfId="32566" xr:uid="{00000000-0005-0000-0000-0000047E0000}"/>
    <cellStyle name="Normal 2 4 2 5 4" xfId="32567" xr:uid="{00000000-0005-0000-0000-0000057E0000}"/>
    <cellStyle name="Normal 2 4 2 5 5" xfId="32568" xr:uid="{00000000-0005-0000-0000-0000067E0000}"/>
    <cellStyle name="Normal 2 4 2 5 6" xfId="32569" xr:uid="{00000000-0005-0000-0000-0000077E0000}"/>
    <cellStyle name="Normal 2 4 2 5 7" xfId="32570" xr:uid="{00000000-0005-0000-0000-0000087E0000}"/>
    <cellStyle name="Normal 2 4 2 5 8" xfId="32571" xr:uid="{00000000-0005-0000-0000-0000097E0000}"/>
    <cellStyle name="Normal 2 4 2 6" xfId="32572" xr:uid="{00000000-0005-0000-0000-00000A7E0000}"/>
    <cellStyle name="Normal 2 4 2 6 2" xfId="32573" xr:uid="{00000000-0005-0000-0000-00000B7E0000}"/>
    <cellStyle name="Normal 2 4 2 6 2 2" xfId="32574" xr:uid="{00000000-0005-0000-0000-00000C7E0000}"/>
    <cellStyle name="Normal 2 4 2 6 2 3" xfId="32575" xr:uid="{00000000-0005-0000-0000-00000D7E0000}"/>
    <cellStyle name="Normal 2 4 2 6 2 4" xfId="32576" xr:uid="{00000000-0005-0000-0000-00000E7E0000}"/>
    <cellStyle name="Normal 2 4 2 6 2 5" xfId="32577" xr:uid="{00000000-0005-0000-0000-00000F7E0000}"/>
    <cellStyle name="Normal 2 4 2 6 3" xfId="32578" xr:uid="{00000000-0005-0000-0000-0000107E0000}"/>
    <cellStyle name="Normal 2 4 2 6 4" xfId="32579" xr:uid="{00000000-0005-0000-0000-0000117E0000}"/>
    <cellStyle name="Normal 2 4 2 6 5" xfId="32580" xr:uid="{00000000-0005-0000-0000-0000127E0000}"/>
    <cellStyle name="Normal 2 4 2 6 6" xfId="32581" xr:uid="{00000000-0005-0000-0000-0000137E0000}"/>
    <cellStyle name="Normal 2 4 2 6 7" xfId="32582" xr:uid="{00000000-0005-0000-0000-0000147E0000}"/>
    <cellStyle name="Normal 2 4 2 6 8" xfId="32583" xr:uid="{00000000-0005-0000-0000-0000157E0000}"/>
    <cellStyle name="Normal 2 4 2 7" xfId="32584" xr:uid="{00000000-0005-0000-0000-0000167E0000}"/>
    <cellStyle name="Normal 2 4 2 7 2" xfId="32585" xr:uid="{00000000-0005-0000-0000-0000177E0000}"/>
    <cellStyle name="Normal 2 4 2 7 3" xfId="32586" xr:uid="{00000000-0005-0000-0000-0000187E0000}"/>
    <cellStyle name="Normal 2 4 2 7 4" xfId="32587" xr:uid="{00000000-0005-0000-0000-0000197E0000}"/>
    <cellStyle name="Normal 2 4 2 7 5" xfId="32588" xr:uid="{00000000-0005-0000-0000-00001A7E0000}"/>
    <cellStyle name="Normal 2 4 2 8" xfId="32589" xr:uid="{00000000-0005-0000-0000-00001B7E0000}"/>
    <cellStyle name="Normal 2 4 2 9" xfId="32590" xr:uid="{00000000-0005-0000-0000-00001C7E0000}"/>
    <cellStyle name="Normal 2 4 20" xfId="32591" xr:uid="{00000000-0005-0000-0000-00001D7E0000}"/>
    <cellStyle name="Normal 2 4 21" xfId="42639" xr:uid="{00000000-0005-0000-0000-00001E7E0000}"/>
    <cellStyle name="Normal 2 4 3" xfId="873" xr:uid="{00000000-0005-0000-0000-00001F7E0000}"/>
    <cellStyle name="Normal 2 4 3 10" xfId="32592" xr:uid="{00000000-0005-0000-0000-0000207E0000}"/>
    <cellStyle name="Normal 2 4 3 11" xfId="32593" xr:uid="{00000000-0005-0000-0000-0000217E0000}"/>
    <cellStyle name="Normal 2 4 3 12" xfId="32594" xr:uid="{00000000-0005-0000-0000-0000227E0000}"/>
    <cellStyle name="Normal 2 4 3 13" xfId="32595" xr:uid="{00000000-0005-0000-0000-0000237E0000}"/>
    <cellStyle name="Normal 2 4 3 14" xfId="42641" xr:uid="{00000000-0005-0000-0000-0000247E0000}"/>
    <cellStyle name="Normal 2 4 3 2" xfId="32596" xr:uid="{00000000-0005-0000-0000-0000257E0000}"/>
    <cellStyle name="Normal 2 4 3 2 10" xfId="32597" xr:uid="{00000000-0005-0000-0000-0000267E0000}"/>
    <cellStyle name="Normal 2 4 3 2 11" xfId="32598" xr:uid="{00000000-0005-0000-0000-0000277E0000}"/>
    <cellStyle name="Normal 2 4 3 2 2" xfId="32599" xr:uid="{00000000-0005-0000-0000-0000287E0000}"/>
    <cellStyle name="Normal 2 4 3 2 2 10" xfId="32600" xr:uid="{00000000-0005-0000-0000-0000297E0000}"/>
    <cellStyle name="Normal 2 4 3 2 2 2" xfId="32601" xr:uid="{00000000-0005-0000-0000-00002A7E0000}"/>
    <cellStyle name="Normal 2 4 3 2 2 2 2" xfId="32602" xr:uid="{00000000-0005-0000-0000-00002B7E0000}"/>
    <cellStyle name="Normal 2 4 3 2 2 2 2 2" xfId="32603" xr:uid="{00000000-0005-0000-0000-00002C7E0000}"/>
    <cellStyle name="Normal 2 4 3 2 2 2 2 3" xfId="32604" xr:uid="{00000000-0005-0000-0000-00002D7E0000}"/>
    <cellStyle name="Normal 2 4 3 2 2 2 2 4" xfId="32605" xr:uid="{00000000-0005-0000-0000-00002E7E0000}"/>
    <cellStyle name="Normal 2 4 3 2 2 2 2 5" xfId="32606" xr:uid="{00000000-0005-0000-0000-00002F7E0000}"/>
    <cellStyle name="Normal 2 4 3 2 2 2 3" xfId="32607" xr:uid="{00000000-0005-0000-0000-0000307E0000}"/>
    <cellStyle name="Normal 2 4 3 2 2 2 4" xfId="32608" xr:uid="{00000000-0005-0000-0000-0000317E0000}"/>
    <cellStyle name="Normal 2 4 3 2 2 2 5" xfId="32609" xr:uid="{00000000-0005-0000-0000-0000327E0000}"/>
    <cellStyle name="Normal 2 4 3 2 2 2 6" xfId="32610" xr:uid="{00000000-0005-0000-0000-0000337E0000}"/>
    <cellStyle name="Normal 2 4 3 2 2 2 7" xfId="32611" xr:uid="{00000000-0005-0000-0000-0000347E0000}"/>
    <cellStyle name="Normal 2 4 3 2 2 2 8" xfId="32612" xr:uid="{00000000-0005-0000-0000-0000357E0000}"/>
    <cellStyle name="Normal 2 4 3 2 2 3" xfId="32613" xr:uid="{00000000-0005-0000-0000-0000367E0000}"/>
    <cellStyle name="Normal 2 4 3 2 2 3 2" xfId="32614" xr:uid="{00000000-0005-0000-0000-0000377E0000}"/>
    <cellStyle name="Normal 2 4 3 2 2 3 2 2" xfId="32615" xr:uid="{00000000-0005-0000-0000-0000387E0000}"/>
    <cellStyle name="Normal 2 4 3 2 2 3 2 3" xfId="32616" xr:uid="{00000000-0005-0000-0000-0000397E0000}"/>
    <cellStyle name="Normal 2 4 3 2 2 3 2 4" xfId="32617" xr:uid="{00000000-0005-0000-0000-00003A7E0000}"/>
    <cellStyle name="Normal 2 4 3 2 2 3 2 5" xfId="32618" xr:uid="{00000000-0005-0000-0000-00003B7E0000}"/>
    <cellStyle name="Normal 2 4 3 2 2 3 3" xfId="32619" xr:uid="{00000000-0005-0000-0000-00003C7E0000}"/>
    <cellStyle name="Normal 2 4 3 2 2 3 4" xfId="32620" xr:uid="{00000000-0005-0000-0000-00003D7E0000}"/>
    <cellStyle name="Normal 2 4 3 2 2 3 5" xfId="32621" xr:uid="{00000000-0005-0000-0000-00003E7E0000}"/>
    <cellStyle name="Normal 2 4 3 2 2 3 6" xfId="32622" xr:uid="{00000000-0005-0000-0000-00003F7E0000}"/>
    <cellStyle name="Normal 2 4 3 2 2 3 7" xfId="32623" xr:uid="{00000000-0005-0000-0000-0000407E0000}"/>
    <cellStyle name="Normal 2 4 3 2 2 3 8" xfId="32624" xr:uid="{00000000-0005-0000-0000-0000417E0000}"/>
    <cellStyle name="Normal 2 4 3 2 2 4" xfId="32625" xr:uid="{00000000-0005-0000-0000-0000427E0000}"/>
    <cellStyle name="Normal 2 4 3 2 2 4 2" xfId="32626" xr:uid="{00000000-0005-0000-0000-0000437E0000}"/>
    <cellStyle name="Normal 2 4 3 2 2 4 3" xfId="32627" xr:uid="{00000000-0005-0000-0000-0000447E0000}"/>
    <cellStyle name="Normal 2 4 3 2 2 4 4" xfId="32628" xr:uid="{00000000-0005-0000-0000-0000457E0000}"/>
    <cellStyle name="Normal 2 4 3 2 2 4 5" xfId="32629" xr:uid="{00000000-0005-0000-0000-0000467E0000}"/>
    <cellStyle name="Normal 2 4 3 2 2 5" xfId="32630" xr:uid="{00000000-0005-0000-0000-0000477E0000}"/>
    <cellStyle name="Normal 2 4 3 2 2 6" xfId="32631" xr:uid="{00000000-0005-0000-0000-0000487E0000}"/>
    <cellStyle name="Normal 2 4 3 2 2 7" xfId="32632" xr:uid="{00000000-0005-0000-0000-0000497E0000}"/>
    <cellStyle name="Normal 2 4 3 2 2 8" xfId="32633" xr:uid="{00000000-0005-0000-0000-00004A7E0000}"/>
    <cellStyle name="Normal 2 4 3 2 2 9" xfId="32634" xr:uid="{00000000-0005-0000-0000-00004B7E0000}"/>
    <cellStyle name="Normal 2 4 3 2 3" xfId="32635" xr:uid="{00000000-0005-0000-0000-00004C7E0000}"/>
    <cellStyle name="Normal 2 4 3 2 3 2" xfId="32636" xr:uid="{00000000-0005-0000-0000-00004D7E0000}"/>
    <cellStyle name="Normal 2 4 3 2 3 2 2" xfId="32637" xr:uid="{00000000-0005-0000-0000-00004E7E0000}"/>
    <cellStyle name="Normal 2 4 3 2 3 2 3" xfId="32638" xr:uid="{00000000-0005-0000-0000-00004F7E0000}"/>
    <cellStyle name="Normal 2 4 3 2 3 2 4" xfId="32639" xr:uid="{00000000-0005-0000-0000-0000507E0000}"/>
    <cellStyle name="Normal 2 4 3 2 3 2 5" xfId="32640" xr:uid="{00000000-0005-0000-0000-0000517E0000}"/>
    <cellStyle name="Normal 2 4 3 2 3 3" xfId="32641" xr:uid="{00000000-0005-0000-0000-0000527E0000}"/>
    <cellStyle name="Normal 2 4 3 2 3 4" xfId="32642" xr:uid="{00000000-0005-0000-0000-0000537E0000}"/>
    <cellStyle name="Normal 2 4 3 2 3 5" xfId="32643" xr:uid="{00000000-0005-0000-0000-0000547E0000}"/>
    <cellStyle name="Normal 2 4 3 2 3 6" xfId="32644" xr:uid="{00000000-0005-0000-0000-0000557E0000}"/>
    <cellStyle name="Normal 2 4 3 2 3 7" xfId="32645" xr:uid="{00000000-0005-0000-0000-0000567E0000}"/>
    <cellStyle name="Normal 2 4 3 2 3 8" xfId="32646" xr:uid="{00000000-0005-0000-0000-0000577E0000}"/>
    <cellStyle name="Normal 2 4 3 2 4" xfId="32647" xr:uid="{00000000-0005-0000-0000-0000587E0000}"/>
    <cellStyle name="Normal 2 4 3 2 4 2" xfId="32648" xr:uid="{00000000-0005-0000-0000-0000597E0000}"/>
    <cellStyle name="Normal 2 4 3 2 4 2 2" xfId="32649" xr:uid="{00000000-0005-0000-0000-00005A7E0000}"/>
    <cellStyle name="Normal 2 4 3 2 4 2 3" xfId="32650" xr:uid="{00000000-0005-0000-0000-00005B7E0000}"/>
    <cellStyle name="Normal 2 4 3 2 4 2 4" xfId="32651" xr:uid="{00000000-0005-0000-0000-00005C7E0000}"/>
    <cellStyle name="Normal 2 4 3 2 4 2 5" xfId="32652" xr:uid="{00000000-0005-0000-0000-00005D7E0000}"/>
    <cellStyle name="Normal 2 4 3 2 4 3" xfId="32653" xr:uid="{00000000-0005-0000-0000-00005E7E0000}"/>
    <cellStyle name="Normal 2 4 3 2 4 4" xfId="32654" xr:uid="{00000000-0005-0000-0000-00005F7E0000}"/>
    <cellStyle name="Normal 2 4 3 2 4 5" xfId="32655" xr:uid="{00000000-0005-0000-0000-0000607E0000}"/>
    <cellStyle name="Normal 2 4 3 2 4 6" xfId="32656" xr:uid="{00000000-0005-0000-0000-0000617E0000}"/>
    <cellStyle name="Normal 2 4 3 2 4 7" xfId="32657" xr:uid="{00000000-0005-0000-0000-0000627E0000}"/>
    <cellStyle name="Normal 2 4 3 2 4 8" xfId="32658" xr:uid="{00000000-0005-0000-0000-0000637E0000}"/>
    <cellStyle name="Normal 2 4 3 2 5" xfId="32659" xr:uid="{00000000-0005-0000-0000-0000647E0000}"/>
    <cellStyle name="Normal 2 4 3 2 5 2" xfId="32660" xr:uid="{00000000-0005-0000-0000-0000657E0000}"/>
    <cellStyle name="Normal 2 4 3 2 5 3" xfId="32661" xr:uid="{00000000-0005-0000-0000-0000667E0000}"/>
    <cellStyle name="Normal 2 4 3 2 5 4" xfId="32662" xr:uid="{00000000-0005-0000-0000-0000677E0000}"/>
    <cellStyle name="Normal 2 4 3 2 5 5" xfId="32663" xr:uid="{00000000-0005-0000-0000-0000687E0000}"/>
    <cellStyle name="Normal 2 4 3 2 6" xfId="32664" xr:uid="{00000000-0005-0000-0000-0000697E0000}"/>
    <cellStyle name="Normal 2 4 3 2 7" xfId="32665" xr:uid="{00000000-0005-0000-0000-00006A7E0000}"/>
    <cellStyle name="Normal 2 4 3 2 8" xfId="32666" xr:uid="{00000000-0005-0000-0000-00006B7E0000}"/>
    <cellStyle name="Normal 2 4 3 2 9" xfId="32667" xr:uid="{00000000-0005-0000-0000-00006C7E0000}"/>
    <cellStyle name="Normal 2 4 3 3" xfId="32668" xr:uid="{00000000-0005-0000-0000-00006D7E0000}"/>
    <cellStyle name="Normal 2 4 3 3 10" xfId="32669" xr:uid="{00000000-0005-0000-0000-00006E7E0000}"/>
    <cellStyle name="Normal 2 4 3 3 11" xfId="32670" xr:uid="{00000000-0005-0000-0000-00006F7E0000}"/>
    <cellStyle name="Normal 2 4 3 3 2" xfId="32671" xr:uid="{00000000-0005-0000-0000-0000707E0000}"/>
    <cellStyle name="Normal 2 4 3 3 2 10" xfId="32672" xr:uid="{00000000-0005-0000-0000-0000717E0000}"/>
    <cellStyle name="Normal 2 4 3 3 2 2" xfId="32673" xr:uid="{00000000-0005-0000-0000-0000727E0000}"/>
    <cellStyle name="Normal 2 4 3 3 2 2 2" xfId="32674" xr:uid="{00000000-0005-0000-0000-0000737E0000}"/>
    <cellStyle name="Normal 2 4 3 3 2 2 2 2" xfId="32675" xr:uid="{00000000-0005-0000-0000-0000747E0000}"/>
    <cellStyle name="Normal 2 4 3 3 2 2 2 3" xfId="32676" xr:uid="{00000000-0005-0000-0000-0000757E0000}"/>
    <cellStyle name="Normal 2 4 3 3 2 2 2 4" xfId="32677" xr:uid="{00000000-0005-0000-0000-0000767E0000}"/>
    <cellStyle name="Normal 2 4 3 3 2 2 2 5" xfId="32678" xr:uid="{00000000-0005-0000-0000-0000777E0000}"/>
    <cellStyle name="Normal 2 4 3 3 2 2 3" xfId="32679" xr:uid="{00000000-0005-0000-0000-0000787E0000}"/>
    <cellStyle name="Normal 2 4 3 3 2 2 4" xfId="32680" xr:uid="{00000000-0005-0000-0000-0000797E0000}"/>
    <cellStyle name="Normal 2 4 3 3 2 2 5" xfId="32681" xr:uid="{00000000-0005-0000-0000-00007A7E0000}"/>
    <cellStyle name="Normal 2 4 3 3 2 2 6" xfId="32682" xr:uid="{00000000-0005-0000-0000-00007B7E0000}"/>
    <cellStyle name="Normal 2 4 3 3 2 2 7" xfId="32683" xr:uid="{00000000-0005-0000-0000-00007C7E0000}"/>
    <cellStyle name="Normal 2 4 3 3 2 2 8" xfId="32684" xr:uid="{00000000-0005-0000-0000-00007D7E0000}"/>
    <cellStyle name="Normal 2 4 3 3 2 3" xfId="32685" xr:uid="{00000000-0005-0000-0000-00007E7E0000}"/>
    <cellStyle name="Normal 2 4 3 3 2 3 2" xfId="32686" xr:uid="{00000000-0005-0000-0000-00007F7E0000}"/>
    <cellStyle name="Normal 2 4 3 3 2 3 2 2" xfId="32687" xr:uid="{00000000-0005-0000-0000-0000807E0000}"/>
    <cellStyle name="Normal 2 4 3 3 2 3 2 3" xfId="32688" xr:uid="{00000000-0005-0000-0000-0000817E0000}"/>
    <cellStyle name="Normal 2 4 3 3 2 3 2 4" xfId="32689" xr:uid="{00000000-0005-0000-0000-0000827E0000}"/>
    <cellStyle name="Normal 2 4 3 3 2 3 2 5" xfId="32690" xr:uid="{00000000-0005-0000-0000-0000837E0000}"/>
    <cellStyle name="Normal 2 4 3 3 2 3 3" xfId="32691" xr:uid="{00000000-0005-0000-0000-0000847E0000}"/>
    <cellStyle name="Normal 2 4 3 3 2 3 4" xfId="32692" xr:uid="{00000000-0005-0000-0000-0000857E0000}"/>
    <cellStyle name="Normal 2 4 3 3 2 3 5" xfId="32693" xr:uid="{00000000-0005-0000-0000-0000867E0000}"/>
    <cellStyle name="Normal 2 4 3 3 2 3 6" xfId="32694" xr:uid="{00000000-0005-0000-0000-0000877E0000}"/>
    <cellStyle name="Normal 2 4 3 3 2 3 7" xfId="32695" xr:uid="{00000000-0005-0000-0000-0000887E0000}"/>
    <cellStyle name="Normal 2 4 3 3 2 3 8" xfId="32696" xr:uid="{00000000-0005-0000-0000-0000897E0000}"/>
    <cellStyle name="Normal 2 4 3 3 2 4" xfId="32697" xr:uid="{00000000-0005-0000-0000-00008A7E0000}"/>
    <cellStyle name="Normal 2 4 3 3 2 4 2" xfId="32698" xr:uid="{00000000-0005-0000-0000-00008B7E0000}"/>
    <cellStyle name="Normal 2 4 3 3 2 4 3" xfId="32699" xr:uid="{00000000-0005-0000-0000-00008C7E0000}"/>
    <cellStyle name="Normal 2 4 3 3 2 4 4" xfId="32700" xr:uid="{00000000-0005-0000-0000-00008D7E0000}"/>
    <cellStyle name="Normal 2 4 3 3 2 4 5" xfId="32701" xr:uid="{00000000-0005-0000-0000-00008E7E0000}"/>
    <cellStyle name="Normal 2 4 3 3 2 5" xfId="32702" xr:uid="{00000000-0005-0000-0000-00008F7E0000}"/>
    <cellStyle name="Normal 2 4 3 3 2 6" xfId="32703" xr:uid="{00000000-0005-0000-0000-0000907E0000}"/>
    <cellStyle name="Normal 2 4 3 3 2 7" xfId="32704" xr:uid="{00000000-0005-0000-0000-0000917E0000}"/>
    <cellStyle name="Normal 2 4 3 3 2 8" xfId="32705" xr:uid="{00000000-0005-0000-0000-0000927E0000}"/>
    <cellStyle name="Normal 2 4 3 3 2 9" xfId="32706" xr:uid="{00000000-0005-0000-0000-0000937E0000}"/>
    <cellStyle name="Normal 2 4 3 3 3" xfId="32707" xr:uid="{00000000-0005-0000-0000-0000947E0000}"/>
    <cellStyle name="Normal 2 4 3 3 3 2" xfId="32708" xr:uid="{00000000-0005-0000-0000-0000957E0000}"/>
    <cellStyle name="Normal 2 4 3 3 3 2 2" xfId="32709" xr:uid="{00000000-0005-0000-0000-0000967E0000}"/>
    <cellStyle name="Normal 2 4 3 3 3 2 3" xfId="32710" xr:uid="{00000000-0005-0000-0000-0000977E0000}"/>
    <cellStyle name="Normal 2 4 3 3 3 2 4" xfId="32711" xr:uid="{00000000-0005-0000-0000-0000987E0000}"/>
    <cellStyle name="Normal 2 4 3 3 3 2 5" xfId="32712" xr:uid="{00000000-0005-0000-0000-0000997E0000}"/>
    <cellStyle name="Normal 2 4 3 3 3 3" xfId="32713" xr:uid="{00000000-0005-0000-0000-00009A7E0000}"/>
    <cellStyle name="Normal 2 4 3 3 3 4" xfId="32714" xr:uid="{00000000-0005-0000-0000-00009B7E0000}"/>
    <cellStyle name="Normal 2 4 3 3 3 5" xfId="32715" xr:uid="{00000000-0005-0000-0000-00009C7E0000}"/>
    <cellStyle name="Normal 2 4 3 3 3 6" xfId="32716" xr:uid="{00000000-0005-0000-0000-00009D7E0000}"/>
    <cellStyle name="Normal 2 4 3 3 3 7" xfId="32717" xr:uid="{00000000-0005-0000-0000-00009E7E0000}"/>
    <cellStyle name="Normal 2 4 3 3 3 8" xfId="32718" xr:uid="{00000000-0005-0000-0000-00009F7E0000}"/>
    <cellStyle name="Normal 2 4 3 3 4" xfId="32719" xr:uid="{00000000-0005-0000-0000-0000A07E0000}"/>
    <cellStyle name="Normal 2 4 3 3 4 2" xfId="32720" xr:uid="{00000000-0005-0000-0000-0000A17E0000}"/>
    <cellStyle name="Normal 2 4 3 3 4 2 2" xfId="32721" xr:uid="{00000000-0005-0000-0000-0000A27E0000}"/>
    <cellStyle name="Normal 2 4 3 3 4 2 3" xfId="32722" xr:uid="{00000000-0005-0000-0000-0000A37E0000}"/>
    <cellStyle name="Normal 2 4 3 3 4 2 4" xfId="32723" xr:uid="{00000000-0005-0000-0000-0000A47E0000}"/>
    <cellStyle name="Normal 2 4 3 3 4 2 5" xfId="32724" xr:uid="{00000000-0005-0000-0000-0000A57E0000}"/>
    <cellStyle name="Normal 2 4 3 3 4 3" xfId="32725" xr:uid="{00000000-0005-0000-0000-0000A67E0000}"/>
    <cellStyle name="Normal 2 4 3 3 4 4" xfId="32726" xr:uid="{00000000-0005-0000-0000-0000A77E0000}"/>
    <cellStyle name="Normal 2 4 3 3 4 5" xfId="32727" xr:uid="{00000000-0005-0000-0000-0000A87E0000}"/>
    <cellStyle name="Normal 2 4 3 3 4 6" xfId="32728" xr:uid="{00000000-0005-0000-0000-0000A97E0000}"/>
    <cellStyle name="Normal 2 4 3 3 4 7" xfId="32729" xr:uid="{00000000-0005-0000-0000-0000AA7E0000}"/>
    <cellStyle name="Normal 2 4 3 3 4 8" xfId="32730" xr:uid="{00000000-0005-0000-0000-0000AB7E0000}"/>
    <cellStyle name="Normal 2 4 3 3 5" xfId="32731" xr:uid="{00000000-0005-0000-0000-0000AC7E0000}"/>
    <cellStyle name="Normal 2 4 3 3 5 2" xfId="32732" xr:uid="{00000000-0005-0000-0000-0000AD7E0000}"/>
    <cellStyle name="Normal 2 4 3 3 5 3" xfId="32733" xr:uid="{00000000-0005-0000-0000-0000AE7E0000}"/>
    <cellStyle name="Normal 2 4 3 3 5 4" xfId="32734" xr:uid="{00000000-0005-0000-0000-0000AF7E0000}"/>
    <cellStyle name="Normal 2 4 3 3 5 5" xfId="32735" xr:uid="{00000000-0005-0000-0000-0000B07E0000}"/>
    <cellStyle name="Normal 2 4 3 3 6" xfId="32736" xr:uid="{00000000-0005-0000-0000-0000B17E0000}"/>
    <cellStyle name="Normal 2 4 3 3 7" xfId="32737" xr:uid="{00000000-0005-0000-0000-0000B27E0000}"/>
    <cellStyle name="Normal 2 4 3 3 8" xfId="32738" xr:uid="{00000000-0005-0000-0000-0000B37E0000}"/>
    <cellStyle name="Normal 2 4 3 3 9" xfId="32739" xr:uid="{00000000-0005-0000-0000-0000B47E0000}"/>
    <cellStyle name="Normal 2 4 3 4" xfId="32740" xr:uid="{00000000-0005-0000-0000-0000B57E0000}"/>
    <cellStyle name="Normal 2 4 3 4 10" xfId="32741" xr:uid="{00000000-0005-0000-0000-0000B67E0000}"/>
    <cellStyle name="Normal 2 4 3 4 2" xfId="32742" xr:uid="{00000000-0005-0000-0000-0000B77E0000}"/>
    <cellStyle name="Normal 2 4 3 4 2 2" xfId="32743" xr:uid="{00000000-0005-0000-0000-0000B87E0000}"/>
    <cellStyle name="Normal 2 4 3 4 2 2 2" xfId="32744" xr:uid="{00000000-0005-0000-0000-0000B97E0000}"/>
    <cellStyle name="Normal 2 4 3 4 2 2 3" xfId="32745" xr:uid="{00000000-0005-0000-0000-0000BA7E0000}"/>
    <cellStyle name="Normal 2 4 3 4 2 2 4" xfId="32746" xr:uid="{00000000-0005-0000-0000-0000BB7E0000}"/>
    <cellStyle name="Normal 2 4 3 4 2 2 5" xfId="32747" xr:uid="{00000000-0005-0000-0000-0000BC7E0000}"/>
    <cellStyle name="Normal 2 4 3 4 2 3" xfId="32748" xr:uid="{00000000-0005-0000-0000-0000BD7E0000}"/>
    <cellStyle name="Normal 2 4 3 4 2 4" xfId="32749" xr:uid="{00000000-0005-0000-0000-0000BE7E0000}"/>
    <cellStyle name="Normal 2 4 3 4 2 5" xfId="32750" xr:uid="{00000000-0005-0000-0000-0000BF7E0000}"/>
    <cellStyle name="Normal 2 4 3 4 2 6" xfId="32751" xr:uid="{00000000-0005-0000-0000-0000C07E0000}"/>
    <cellStyle name="Normal 2 4 3 4 2 7" xfId="32752" xr:uid="{00000000-0005-0000-0000-0000C17E0000}"/>
    <cellStyle name="Normal 2 4 3 4 2 8" xfId="32753" xr:uid="{00000000-0005-0000-0000-0000C27E0000}"/>
    <cellStyle name="Normal 2 4 3 4 3" xfId="32754" xr:uid="{00000000-0005-0000-0000-0000C37E0000}"/>
    <cellStyle name="Normal 2 4 3 4 3 2" xfId="32755" xr:uid="{00000000-0005-0000-0000-0000C47E0000}"/>
    <cellStyle name="Normal 2 4 3 4 3 2 2" xfId="32756" xr:uid="{00000000-0005-0000-0000-0000C57E0000}"/>
    <cellStyle name="Normal 2 4 3 4 3 2 3" xfId="32757" xr:uid="{00000000-0005-0000-0000-0000C67E0000}"/>
    <cellStyle name="Normal 2 4 3 4 3 2 4" xfId="32758" xr:uid="{00000000-0005-0000-0000-0000C77E0000}"/>
    <cellStyle name="Normal 2 4 3 4 3 2 5" xfId="32759" xr:uid="{00000000-0005-0000-0000-0000C87E0000}"/>
    <cellStyle name="Normal 2 4 3 4 3 3" xfId="32760" xr:uid="{00000000-0005-0000-0000-0000C97E0000}"/>
    <cellStyle name="Normal 2 4 3 4 3 4" xfId="32761" xr:uid="{00000000-0005-0000-0000-0000CA7E0000}"/>
    <cellStyle name="Normal 2 4 3 4 3 5" xfId="32762" xr:uid="{00000000-0005-0000-0000-0000CB7E0000}"/>
    <cellStyle name="Normal 2 4 3 4 3 6" xfId="32763" xr:uid="{00000000-0005-0000-0000-0000CC7E0000}"/>
    <cellStyle name="Normal 2 4 3 4 3 7" xfId="32764" xr:uid="{00000000-0005-0000-0000-0000CD7E0000}"/>
    <cellStyle name="Normal 2 4 3 4 3 8" xfId="32765" xr:uid="{00000000-0005-0000-0000-0000CE7E0000}"/>
    <cellStyle name="Normal 2 4 3 4 4" xfId="32766" xr:uid="{00000000-0005-0000-0000-0000CF7E0000}"/>
    <cellStyle name="Normal 2 4 3 4 4 2" xfId="32767" xr:uid="{00000000-0005-0000-0000-0000D07E0000}"/>
    <cellStyle name="Normal 2 4 3 4 4 3" xfId="32768" xr:uid="{00000000-0005-0000-0000-0000D17E0000}"/>
    <cellStyle name="Normal 2 4 3 4 4 4" xfId="32769" xr:uid="{00000000-0005-0000-0000-0000D27E0000}"/>
    <cellStyle name="Normal 2 4 3 4 4 5" xfId="32770" xr:uid="{00000000-0005-0000-0000-0000D37E0000}"/>
    <cellStyle name="Normal 2 4 3 4 5" xfId="32771" xr:uid="{00000000-0005-0000-0000-0000D47E0000}"/>
    <cellStyle name="Normal 2 4 3 4 6" xfId="32772" xr:uid="{00000000-0005-0000-0000-0000D57E0000}"/>
    <cellStyle name="Normal 2 4 3 4 7" xfId="32773" xr:uid="{00000000-0005-0000-0000-0000D67E0000}"/>
    <cellStyle name="Normal 2 4 3 4 8" xfId="32774" xr:uid="{00000000-0005-0000-0000-0000D77E0000}"/>
    <cellStyle name="Normal 2 4 3 4 9" xfId="32775" xr:uid="{00000000-0005-0000-0000-0000D87E0000}"/>
    <cellStyle name="Normal 2 4 3 5" xfId="32776" xr:uid="{00000000-0005-0000-0000-0000D97E0000}"/>
    <cellStyle name="Normal 2 4 3 5 2" xfId="32777" xr:uid="{00000000-0005-0000-0000-0000DA7E0000}"/>
    <cellStyle name="Normal 2 4 3 5 2 2" xfId="32778" xr:uid="{00000000-0005-0000-0000-0000DB7E0000}"/>
    <cellStyle name="Normal 2 4 3 5 2 3" xfId="32779" xr:uid="{00000000-0005-0000-0000-0000DC7E0000}"/>
    <cellStyle name="Normal 2 4 3 5 2 4" xfId="32780" xr:uid="{00000000-0005-0000-0000-0000DD7E0000}"/>
    <cellStyle name="Normal 2 4 3 5 2 5" xfId="32781" xr:uid="{00000000-0005-0000-0000-0000DE7E0000}"/>
    <cellStyle name="Normal 2 4 3 5 3" xfId="32782" xr:uid="{00000000-0005-0000-0000-0000DF7E0000}"/>
    <cellStyle name="Normal 2 4 3 5 4" xfId="32783" xr:uid="{00000000-0005-0000-0000-0000E07E0000}"/>
    <cellStyle name="Normal 2 4 3 5 5" xfId="32784" xr:uid="{00000000-0005-0000-0000-0000E17E0000}"/>
    <cellStyle name="Normal 2 4 3 5 6" xfId="32785" xr:uid="{00000000-0005-0000-0000-0000E27E0000}"/>
    <cellStyle name="Normal 2 4 3 5 7" xfId="32786" xr:uid="{00000000-0005-0000-0000-0000E37E0000}"/>
    <cellStyle name="Normal 2 4 3 5 8" xfId="32787" xr:uid="{00000000-0005-0000-0000-0000E47E0000}"/>
    <cellStyle name="Normal 2 4 3 6" xfId="32788" xr:uid="{00000000-0005-0000-0000-0000E57E0000}"/>
    <cellStyle name="Normal 2 4 3 6 2" xfId="32789" xr:uid="{00000000-0005-0000-0000-0000E67E0000}"/>
    <cellStyle name="Normal 2 4 3 6 2 2" xfId="32790" xr:uid="{00000000-0005-0000-0000-0000E77E0000}"/>
    <cellStyle name="Normal 2 4 3 6 2 3" xfId="32791" xr:uid="{00000000-0005-0000-0000-0000E87E0000}"/>
    <cellStyle name="Normal 2 4 3 6 2 4" xfId="32792" xr:uid="{00000000-0005-0000-0000-0000E97E0000}"/>
    <cellStyle name="Normal 2 4 3 6 2 5" xfId="32793" xr:uid="{00000000-0005-0000-0000-0000EA7E0000}"/>
    <cellStyle name="Normal 2 4 3 6 3" xfId="32794" xr:uid="{00000000-0005-0000-0000-0000EB7E0000}"/>
    <cellStyle name="Normal 2 4 3 6 4" xfId="32795" xr:uid="{00000000-0005-0000-0000-0000EC7E0000}"/>
    <cellStyle name="Normal 2 4 3 6 5" xfId="32796" xr:uid="{00000000-0005-0000-0000-0000ED7E0000}"/>
    <cellStyle name="Normal 2 4 3 6 6" xfId="32797" xr:uid="{00000000-0005-0000-0000-0000EE7E0000}"/>
    <cellStyle name="Normal 2 4 3 6 7" xfId="32798" xr:uid="{00000000-0005-0000-0000-0000EF7E0000}"/>
    <cellStyle name="Normal 2 4 3 6 8" xfId="32799" xr:uid="{00000000-0005-0000-0000-0000F07E0000}"/>
    <cellStyle name="Normal 2 4 3 7" xfId="32800" xr:uid="{00000000-0005-0000-0000-0000F17E0000}"/>
    <cellStyle name="Normal 2 4 3 7 2" xfId="32801" xr:uid="{00000000-0005-0000-0000-0000F27E0000}"/>
    <cellStyle name="Normal 2 4 3 7 3" xfId="32802" xr:uid="{00000000-0005-0000-0000-0000F37E0000}"/>
    <cellStyle name="Normal 2 4 3 7 4" xfId="32803" xr:uid="{00000000-0005-0000-0000-0000F47E0000}"/>
    <cellStyle name="Normal 2 4 3 7 5" xfId="32804" xr:uid="{00000000-0005-0000-0000-0000F57E0000}"/>
    <cellStyle name="Normal 2 4 3 8" xfId="32805" xr:uid="{00000000-0005-0000-0000-0000F67E0000}"/>
    <cellStyle name="Normal 2 4 3 9" xfId="32806" xr:uid="{00000000-0005-0000-0000-0000F77E0000}"/>
    <cellStyle name="Normal 2 4 4" xfId="874" xr:uid="{00000000-0005-0000-0000-0000F87E0000}"/>
    <cellStyle name="Normal 2 4 4 10" xfId="32807" xr:uid="{00000000-0005-0000-0000-0000F97E0000}"/>
    <cellStyle name="Normal 2 4 4 11" xfId="32808" xr:uid="{00000000-0005-0000-0000-0000FA7E0000}"/>
    <cellStyle name="Normal 2 4 4 12" xfId="32809" xr:uid="{00000000-0005-0000-0000-0000FB7E0000}"/>
    <cellStyle name="Normal 2 4 4 13" xfId="32810" xr:uid="{00000000-0005-0000-0000-0000FC7E0000}"/>
    <cellStyle name="Normal 2 4 4 2" xfId="32811" xr:uid="{00000000-0005-0000-0000-0000FD7E0000}"/>
    <cellStyle name="Normal 2 4 4 2 10" xfId="32812" xr:uid="{00000000-0005-0000-0000-0000FE7E0000}"/>
    <cellStyle name="Normal 2 4 4 2 11" xfId="32813" xr:uid="{00000000-0005-0000-0000-0000FF7E0000}"/>
    <cellStyle name="Normal 2 4 4 2 2" xfId="32814" xr:uid="{00000000-0005-0000-0000-0000007F0000}"/>
    <cellStyle name="Normal 2 4 4 2 2 10" xfId="32815" xr:uid="{00000000-0005-0000-0000-0000017F0000}"/>
    <cellStyle name="Normal 2 4 4 2 2 2" xfId="32816" xr:uid="{00000000-0005-0000-0000-0000027F0000}"/>
    <cellStyle name="Normal 2 4 4 2 2 2 2" xfId="32817" xr:uid="{00000000-0005-0000-0000-0000037F0000}"/>
    <cellStyle name="Normal 2 4 4 2 2 2 2 2" xfId="32818" xr:uid="{00000000-0005-0000-0000-0000047F0000}"/>
    <cellStyle name="Normal 2 4 4 2 2 2 2 3" xfId="32819" xr:uid="{00000000-0005-0000-0000-0000057F0000}"/>
    <cellStyle name="Normal 2 4 4 2 2 2 2 4" xfId="32820" xr:uid="{00000000-0005-0000-0000-0000067F0000}"/>
    <cellStyle name="Normal 2 4 4 2 2 2 2 5" xfId="32821" xr:uid="{00000000-0005-0000-0000-0000077F0000}"/>
    <cellStyle name="Normal 2 4 4 2 2 2 3" xfId="32822" xr:uid="{00000000-0005-0000-0000-0000087F0000}"/>
    <cellStyle name="Normal 2 4 4 2 2 2 4" xfId="32823" xr:uid="{00000000-0005-0000-0000-0000097F0000}"/>
    <cellStyle name="Normal 2 4 4 2 2 2 5" xfId="32824" xr:uid="{00000000-0005-0000-0000-00000A7F0000}"/>
    <cellStyle name="Normal 2 4 4 2 2 2 6" xfId="32825" xr:uid="{00000000-0005-0000-0000-00000B7F0000}"/>
    <cellStyle name="Normal 2 4 4 2 2 2 7" xfId="32826" xr:uid="{00000000-0005-0000-0000-00000C7F0000}"/>
    <cellStyle name="Normal 2 4 4 2 2 2 8" xfId="32827" xr:uid="{00000000-0005-0000-0000-00000D7F0000}"/>
    <cellStyle name="Normal 2 4 4 2 2 3" xfId="32828" xr:uid="{00000000-0005-0000-0000-00000E7F0000}"/>
    <cellStyle name="Normal 2 4 4 2 2 3 2" xfId="32829" xr:uid="{00000000-0005-0000-0000-00000F7F0000}"/>
    <cellStyle name="Normal 2 4 4 2 2 3 2 2" xfId="32830" xr:uid="{00000000-0005-0000-0000-0000107F0000}"/>
    <cellStyle name="Normal 2 4 4 2 2 3 2 3" xfId="32831" xr:uid="{00000000-0005-0000-0000-0000117F0000}"/>
    <cellStyle name="Normal 2 4 4 2 2 3 2 4" xfId="32832" xr:uid="{00000000-0005-0000-0000-0000127F0000}"/>
    <cellStyle name="Normal 2 4 4 2 2 3 2 5" xfId="32833" xr:uid="{00000000-0005-0000-0000-0000137F0000}"/>
    <cellStyle name="Normal 2 4 4 2 2 3 3" xfId="32834" xr:uid="{00000000-0005-0000-0000-0000147F0000}"/>
    <cellStyle name="Normal 2 4 4 2 2 3 4" xfId="32835" xr:uid="{00000000-0005-0000-0000-0000157F0000}"/>
    <cellStyle name="Normal 2 4 4 2 2 3 5" xfId="32836" xr:uid="{00000000-0005-0000-0000-0000167F0000}"/>
    <cellStyle name="Normal 2 4 4 2 2 3 6" xfId="32837" xr:uid="{00000000-0005-0000-0000-0000177F0000}"/>
    <cellStyle name="Normal 2 4 4 2 2 3 7" xfId="32838" xr:uid="{00000000-0005-0000-0000-0000187F0000}"/>
    <cellStyle name="Normal 2 4 4 2 2 3 8" xfId="32839" xr:uid="{00000000-0005-0000-0000-0000197F0000}"/>
    <cellStyle name="Normal 2 4 4 2 2 4" xfId="32840" xr:uid="{00000000-0005-0000-0000-00001A7F0000}"/>
    <cellStyle name="Normal 2 4 4 2 2 4 2" xfId="32841" xr:uid="{00000000-0005-0000-0000-00001B7F0000}"/>
    <cellStyle name="Normal 2 4 4 2 2 4 3" xfId="32842" xr:uid="{00000000-0005-0000-0000-00001C7F0000}"/>
    <cellStyle name="Normal 2 4 4 2 2 4 4" xfId="32843" xr:uid="{00000000-0005-0000-0000-00001D7F0000}"/>
    <cellStyle name="Normal 2 4 4 2 2 4 5" xfId="32844" xr:uid="{00000000-0005-0000-0000-00001E7F0000}"/>
    <cellStyle name="Normal 2 4 4 2 2 5" xfId="32845" xr:uid="{00000000-0005-0000-0000-00001F7F0000}"/>
    <cellStyle name="Normal 2 4 4 2 2 6" xfId="32846" xr:uid="{00000000-0005-0000-0000-0000207F0000}"/>
    <cellStyle name="Normal 2 4 4 2 2 7" xfId="32847" xr:uid="{00000000-0005-0000-0000-0000217F0000}"/>
    <cellStyle name="Normal 2 4 4 2 2 8" xfId="32848" xr:uid="{00000000-0005-0000-0000-0000227F0000}"/>
    <cellStyle name="Normal 2 4 4 2 2 9" xfId="32849" xr:uid="{00000000-0005-0000-0000-0000237F0000}"/>
    <cellStyle name="Normal 2 4 4 2 3" xfId="32850" xr:uid="{00000000-0005-0000-0000-0000247F0000}"/>
    <cellStyle name="Normal 2 4 4 2 3 2" xfId="32851" xr:uid="{00000000-0005-0000-0000-0000257F0000}"/>
    <cellStyle name="Normal 2 4 4 2 3 2 2" xfId="32852" xr:uid="{00000000-0005-0000-0000-0000267F0000}"/>
    <cellStyle name="Normal 2 4 4 2 3 2 3" xfId="32853" xr:uid="{00000000-0005-0000-0000-0000277F0000}"/>
    <cellStyle name="Normal 2 4 4 2 3 2 4" xfId="32854" xr:uid="{00000000-0005-0000-0000-0000287F0000}"/>
    <cellStyle name="Normal 2 4 4 2 3 2 5" xfId="32855" xr:uid="{00000000-0005-0000-0000-0000297F0000}"/>
    <cellStyle name="Normal 2 4 4 2 3 3" xfId="32856" xr:uid="{00000000-0005-0000-0000-00002A7F0000}"/>
    <cellStyle name="Normal 2 4 4 2 3 4" xfId="32857" xr:uid="{00000000-0005-0000-0000-00002B7F0000}"/>
    <cellStyle name="Normal 2 4 4 2 3 5" xfId="32858" xr:uid="{00000000-0005-0000-0000-00002C7F0000}"/>
    <cellStyle name="Normal 2 4 4 2 3 6" xfId="32859" xr:uid="{00000000-0005-0000-0000-00002D7F0000}"/>
    <cellStyle name="Normal 2 4 4 2 3 7" xfId="32860" xr:uid="{00000000-0005-0000-0000-00002E7F0000}"/>
    <cellStyle name="Normal 2 4 4 2 3 8" xfId="32861" xr:uid="{00000000-0005-0000-0000-00002F7F0000}"/>
    <cellStyle name="Normal 2 4 4 2 4" xfId="32862" xr:uid="{00000000-0005-0000-0000-0000307F0000}"/>
    <cellStyle name="Normal 2 4 4 2 4 2" xfId="32863" xr:uid="{00000000-0005-0000-0000-0000317F0000}"/>
    <cellStyle name="Normal 2 4 4 2 4 2 2" xfId="32864" xr:uid="{00000000-0005-0000-0000-0000327F0000}"/>
    <cellStyle name="Normal 2 4 4 2 4 2 3" xfId="32865" xr:uid="{00000000-0005-0000-0000-0000337F0000}"/>
    <cellStyle name="Normal 2 4 4 2 4 2 4" xfId="32866" xr:uid="{00000000-0005-0000-0000-0000347F0000}"/>
    <cellStyle name="Normal 2 4 4 2 4 2 5" xfId="32867" xr:uid="{00000000-0005-0000-0000-0000357F0000}"/>
    <cellStyle name="Normal 2 4 4 2 4 3" xfId="32868" xr:uid="{00000000-0005-0000-0000-0000367F0000}"/>
    <cellStyle name="Normal 2 4 4 2 4 4" xfId="32869" xr:uid="{00000000-0005-0000-0000-0000377F0000}"/>
    <cellStyle name="Normal 2 4 4 2 4 5" xfId="32870" xr:uid="{00000000-0005-0000-0000-0000387F0000}"/>
    <cellStyle name="Normal 2 4 4 2 4 6" xfId="32871" xr:uid="{00000000-0005-0000-0000-0000397F0000}"/>
    <cellStyle name="Normal 2 4 4 2 4 7" xfId="32872" xr:uid="{00000000-0005-0000-0000-00003A7F0000}"/>
    <cellStyle name="Normal 2 4 4 2 4 8" xfId="32873" xr:uid="{00000000-0005-0000-0000-00003B7F0000}"/>
    <cellStyle name="Normal 2 4 4 2 5" xfId="32874" xr:uid="{00000000-0005-0000-0000-00003C7F0000}"/>
    <cellStyle name="Normal 2 4 4 2 5 2" xfId="32875" xr:uid="{00000000-0005-0000-0000-00003D7F0000}"/>
    <cellStyle name="Normal 2 4 4 2 5 3" xfId="32876" xr:uid="{00000000-0005-0000-0000-00003E7F0000}"/>
    <cellStyle name="Normal 2 4 4 2 5 4" xfId="32877" xr:uid="{00000000-0005-0000-0000-00003F7F0000}"/>
    <cellStyle name="Normal 2 4 4 2 5 5" xfId="32878" xr:uid="{00000000-0005-0000-0000-0000407F0000}"/>
    <cellStyle name="Normal 2 4 4 2 6" xfId="32879" xr:uid="{00000000-0005-0000-0000-0000417F0000}"/>
    <cellStyle name="Normal 2 4 4 2 7" xfId="32880" xr:uid="{00000000-0005-0000-0000-0000427F0000}"/>
    <cellStyle name="Normal 2 4 4 2 8" xfId="32881" xr:uid="{00000000-0005-0000-0000-0000437F0000}"/>
    <cellStyle name="Normal 2 4 4 2 9" xfId="32882" xr:uid="{00000000-0005-0000-0000-0000447F0000}"/>
    <cellStyle name="Normal 2 4 4 3" xfId="32883" xr:uid="{00000000-0005-0000-0000-0000457F0000}"/>
    <cellStyle name="Normal 2 4 4 3 10" xfId="32884" xr:uid="{00000000-0005-0000-0000-0000467F0000}"/>
    <cellStyle name="Normal 2 4 4 3 11" xfId="32885" xr:uid="{00000000-0005-0000-0000-0000477F0000}"/>
    <cellStyle name="Normal 2 4 4 3 2" xfId="32886" xr:uid="{00000000-0005-0000-0000-0000487F0000}"/>
    <cellStyle name="Normal 2 4 4 3 2 10" xfId="32887" xr:uid="{00000000-0005-0000-0000-0000497F0000}"/>
    <cellStyle name="Normal 2 4 4 3 2 2" xfId="32888" xr:uid="{00000000-0005-0000-0000-00004A7F0000}"/>
    <cellStyle name="Normal 2 4 4 3 2 2 2" xfId="32889" xr:uid="{00000000-0005-0000-0000-00004B7F0000}"/>
    <cellStyle name="Normal 2 4 4 3 2 2 2 2" xfId="32890" xr:uid="{00000000-0005-0000-0000-00004C7F0000}"/>
    <cellStyle name="Normal 2 4 4 3 2 2 2 3" xfId="32891" xr:uid="{00000000-0005-0000-0000-00004D7F0000}"/>
    <cellStyle name="Normal 2 4 4 3 2 2 2 4" xfId="32892" xr:uid="{00000000-0005-0000-0000-00004E7F0000}"/>
    <cellStyle name="Normal 2 4 4 3 2 2 2 5" xfId="32893" xr:uid="{00000000-0005-0000-0000-00004F7F0000}"/>
    <cellStyle name="Normal 2 4 4 3 2 2 3" xfId="32894" xr:uid="{00000000-0005-0000-0000-0000507F0000}"/>
    <cellStyle name="Normal 2 4 4 3 2 2 4" xfId="32895" xr:uid="{00000000-0005-0000-0000-0000517F0000}"/>
    <cellStyle name="Normal 2 4 4 3 2 2 5" xfId="32896" xr:uid="{00000000-0005-0000-0000-0000527F0000}"/>
    <cellStyle name="Normal 2 4 4 3 2 2 6" xfId="32897" xr:uid="{00000000-0005-0000-0000-0000537F0000}"/>
    <cellStyle name="Normal 2 4 4 3 2 2 7" xfId="32898" xr:uid="{00000000-0005-0000-0000-0000547F0000}"/>
    <cellStyle name="Normal 2 4 4 3 2 2 8" xfId="32899" xr:uid="{00000000-0005-0000-0000-0000557F0000}"/>
    <cellStyle name="Normal 2 4 4 3 2 3" xfId="32900" xr:uid="{00000000-0005-0000-0000-0000567F0000}"/>
    <cellStyle name="Normal 2 4 4 3 2 3 2" xfId="32901" xr:uid="{00000000-0005-0000-0000-0000577F0000}"/>
    <cellStyle name="Normal 2 4 4 3 2 3 2 2" xfId="32902" xr:uid="{00000000-0005-0000-0000-0000587F0000}"/>
    <cellStyle name="Normal 2 4 4 3 2 3 2 3" xfId="32903" xr:uid="{00000000-0005-0000-0000-0000597F0000}"/>
    <cellStyle name="Normal 2 4 4 3 2 3 2 4" xfId="32904" xr:uid="{00000000-0005-0000-0000-00005A7F0000}"/>
    <cellStyle name="Normal 2 4 4 3 2 3 2 5" xfId="32905" xr:uid="{00000000-0005-0000-0000-00005B7F0000}"/>
    <cellStyle name="Normal 2 4 4 3 2 3 3" xfId="32906" xr:uid="{00000000-0005-0000-0000-00005C7F0000}"/>
    <cellStyle name="Normal 2 4 4 3 2 3 4" xfId="32907" xr:uid="{00000000-0005-0000-0000-00005D7F0000}"/>
    <cellStyle name="Normal 2 4 4 3 2 3 5" xfId="32908" xr:uid="{00000000-0005-0000-0000-00005E7F0000}"/>
    <cellStyle name="Normal 2 4 4 3 2 3 6" xfId="32909" xr:uid="{00000000-0005-0000-0000-00005F7F0000}"/>
    <cellStyle name="Normal 2 4 4 3 2 3 7" xfId="32910" xr:uid="{00000000-0005-0000-0000-0000607F0000}"/>
    <cellStyle name="Normal 2 4 4 3 2 3 8" xfId="32911" xr:uid="{00000000-0005-0000-0000-0000617F0000}"/>
    <cellStyle name="Normal 2 4 4 3 2 4" xfId="32912" xr:uid="{00000000-0005-0000-0000-0000627F0000}"/>
    <cellStyle name="Normal 2 4 4 3 2 4 2" xfId="32913" xr:uid="{00000000-0005-0000-0000-0000637F0000}"/>
    <cellStyle name="Normal 2 4 4 3 2 4 3" xfId="32914" xr:uid="{00000000-0005-0000-0000-0000647F0000}"/>
    <cellStyle name="Normal 2 4 4 3 2 4 4" xfId="32915" xr:uid="{00000000-0005-0000-0000-0000657F0000}"/>
    <cellStyle name="Normal 2 4 4 3 2 4 5" xfId="32916" xr:uid="{00000000-0005-0000-0000-0000667F0000}"/>
    <cellStyle name="Normal 2 4 4 3 2 5" xfId="32917" xr:uid="{00000000-0005-0000-0000-0000677F0000}"/>
    <cellStyle name="Normal 2 4 4 3 2 6" xfId="32918" xr:uid="{00000000-0005-0000-0000-0000687F0000}"/>
    <cellStyle name="Normal 2 4 4 3 2 7" xfId="32919" xr:uid="{00000000-0005-0000-0000-0000697F0000}"/>
    <cellStyle name="Normal 2 4 4 3 2 8" xfId="32920" xr:uid="{00000000-0005-0000-0000-00006A7F0000}"/>
    <cellStyle name="Normal 2 4 4 3 2 9" xfId="32921" xr:uid="{00000000-0005-0000-0000-00006B7F0000}"/>
    <cellStyle name="Normal 2 4 4 3 3" xfId="32922" xr:uid="{00000000-0005-0000-0000-00006C7F0000}"/>
    <cellStyle name="Normal 2 4 4 3 3 2" xfId="32923" xr:uid="{00000000-0005-0000-0000-00006D7F0000}"/>
    <cellStyle name="Normal 2 4 4 3 3 2 2" xfId="32924" xr:uid="{00000000-0005-0000-0000-00006E7F0000}"/>
    <cellStyle name="Normal 2 4 4 3 3 2 3" xfId="32925" xr:uid="{00000000-0005-0000-0000-00006F7F0000}"/>
    <cellStyle name="Normal 2 4 4 3 3 2 4" xfId="32926" xr:uid="{00000000-0005-0000-0000-0000707F0000}"/>
    <cellStyle name="Normal 2 4 4 3 3 2 5" xfId="32927" xr:uid="{00000000-0005-0000-0000-0000717F0000}"/>
    <cellStyle name="Normal 2 4 4 3 3 3" xfId="32928" xr:uid="{00000000-0005-0000-0000-0000727F0000}"/>
    <cellStyle name="Normal 2 4 4 3 3 4" xfId="32929" xr:uid="{00000000-0005-0000-0000-0000737F0000}"/>
    <cellStyle name="Normal 2 4 4 3 3 5" xfId="32930" xr:uid="{00000000-0005-0000-0000-0000747F0000}"/>
    <cellStyle name="Normal 2 4 4 3 3 6" xfId="32931" xr:uid="{00000000-0005-0000-0000-0000757F0000}"/>
    <cellStyle name="Normal 2 4 4 3 3 7" xfId="32932" xr:uid="{00000000-0005-0000-0000-0000767F0000}"/>
    <cellStyle name="Normal 2 4 4 3 3 8" xfId="32933" xr:uid="{00000000-0005-0000-0000-0000777F0000}"/>
    <cellStyle name="Normal 2 4 4 3 4" xfId="32934" xr:uid="{00000000-0005-0000-0000-0000787F0000}"/>
    <cellStyle name="Normal 2 4 4 3 4 2" xfId="32935" xr:uid="{00000000-0005-0000-0000-0000797F0000}"/>
    <cellStyle name="Normal 2 4 4 3 4 2 2" xfId="32936" xr:uid="{00000000-0005-0000-0000-00007A7F0000}"/>
    <cellStyle name="Normal 2 4 4 3 4 2 3" xfId="32937" xr:uid="{00000000-0005-0000-0000-00007B7F0000}"/>
    <cellStyle name="Normal 2 4 4 3 4 2 4" xfId="32938" xr:uid="{00000000-0005-0000-0000-00007C7F0000}"/>
    <cellStyle name="Normal 2 4 4 3 4 2 5" xfId="32939" xr:uid="{00000000-0005-0000-0000-00007D7F0000}"/>
    <cellStyle name="Normal 2 4 4 3 4 3" xfId="32940" xr:uid="{00000000-0005-0000-0000-00007E7F0000}"/>
    <cellStyle name="Normal 2 4 4 3 4 4" xfId="32941" xr:uid="{00000000-0005-0000-0000-00007F7F0000}"/>
    <cellStyle name="Normal 2 4 4 3 4 5" xfId="32942" xr:uid="{00000000-0005-0000-0000-0000807F0000}"/>
    <cellStyle name="Normal 2 4 4 3 4 6" xfId="32943" xr:uid="{00000000-0005-0000-0000-0000817F0000}"/>
    <cellStyle name="Normal 2 4 4 3 4 7" xfId="32944" xr:uid="{00000000-0005-0000-0000-0000827F0000}"/>
    <cellStyle name="Normal 2 4 4 3 4 8" xfId="32945" xr:uid="{00000000-0005-0000-0000-0000837F0000}"/>
    <cellStyle name="Normal 2 4 4 3 5" xfId="32946" xr:uid="{00000000-0005-0000-0000-0000847F0000}"/>
    <cellStyle name="Normal 2 4 4 3 5 2" xfId="32947" xr:uid="{00000000-0005-0000-0000-0000857F0000}"/>
    <cellStyle name="Normal 2 4 4 3 5 3" xfId="32948" xr:uid="{00000000-0005-0000-0000-0000867F0000}"/>
    <cellStyle name="Normal 2 4 4 3 5 4" xfId="32949" xr:uid="{00000000-0005-0000-0000-0000877F0000}"/>
    <cellStyle name="Normal 2 4 4 3 5 5" xfId="32950" xr:uid="{00000000-0005-0000-0000-0000887F0000}"/>
    <cellStyle name="Normal 2 4 4 3 6" xfId="32951" xr:uid="{00000000-0005-0000-0000-0000897F0000}"/>
    <cellStyle name="Normal 2 4 4 3 7" xfId="32952" xr:uid="{00000000-0005-0000-0000-00008A7F0000}"/>
    <cellStyle name="Normal 2 4 4 3 8" xfId="32953" xr:uid="{00000000-0005-0000-0000-00008B7F0000}"/>
    <cellStyle name="Normal 2 4 4 3 9" xfId="32954" xr:uid="{00000000-0005-0000-0000-00008C7F0000}"/>
    <cellStyle name="Normal 2 4 4 4" xfId="32955" xr:uid="{00000000-0005-0000-0000-00008D7F0000}"/>
    <cellStyle name="Normal 2 4 4 4 10" xfId="32956" xr:uid="{00000000-0005-0000-0000-00008E7F0000}"/>
    <cellStyle name="Normal 2 4 4 4 2" xfId="32957" xr:uid="{00000000-0005-0000-0000-00008F7F0000}"/>
    <cellStyle name="Normal 2 4 4 4 2 2" xfId="32958" xr:uid="{00000000-0005-0000-0000-0000907F0000}"/>
    <cellStyle name="Normal 2 4 4 4 2 2 2" xfId="32959" xr:uid="{00000000-0005-0000-0000-0000917F0000}"/>
    <cellStyle name="Normal 2 4 4 4 2 2 3" xfId="32960" xr:uid="{00000000-0005-0000-0000-0000927F0000}"/>
    <cellStyle name="Normal 2 4 4 4 2 2 4" xfId="32961" xr:uid="{00000000-0005-0000-0000-0000937F0000}"/>
    <cellStyle name="Normal 2 4 4 4 2 2 5" xfId="32962" xr:uid="{00000000-0005-0000-0000-0000947F0000}"/>
    <cellStyle name="Normal 2 4 4 4 2 3" xfId="32963" xr:uid="{00000000-0005-0000-0000-0000957F0000}"/>
    <cellStyle name="Normal 2 4 4 4 2 4" xfId="32964" xr:uid="{00000000-0005-0000-0000-0000967F0000}"/>
    <cellStyle name="Normal 2 4 4 4 2 5" xfId="32965" xr:uid="{00000000-0005-0000-0000-0000977F0000}"/>
    <cellStyle name="Normal 2 4 4 4 2 6" xfId="32966" xr:uid="{00000000-0005-0000-0000-0000987F0000}"/>
    <cellStyle name="Normal 2 4 4 4 2 7" xfId="32967" xr:uid="{00000000-0005-0000-0000-0000997F0000}"/>
    <cellStyle name="Normal 2 4 4 4 2 8" xfId="32968" xr:uid="{00000000-0005-0000-0000-00009A7F0000}"/>
    <cellStyle name="Normal 2 4 4 4 3" xfId="32969" xr:uid="{00000000-0005-0000-0000-00009B7F0000}"/>
    <cellStyle name="Normal 2 4 4 4 3 2" xfId="32970" xr:uid="{00000000-0005-0000-0000-00009C7F0000}"/>
    <cellStyle name="Normal 2 4 4 4 3 2 2" xfId="32971" xr:uid="{00000000-0005-0000-0000-00009D7F0000}"/>
    <cellStyle name="Normal 2 4 4 4 3 2 3" xfId="32972" xr:uid="{00000000-0005-0000-0000-00009E7F0000}"/>
    <cellStyle name="Normal 2 4 4 4 3 2 4" xfId="32973" xr:uid="{00000000-0005-0000-0000-00009F7F0000}"/>
    <cellStyle name="Normal 2 4 4 4 3 2 5" xfId="32974" xr:uid="{00000000-0005-0000-0000-0000A07F0000}"/>
    <cellStyle name="Normal 2 4 4 4 3 3" xfId="32975" xr:uid="{00000000-0005-0000-0000-0000A17F0000}"/>
    <cellStyle name="Normal 2 4 4 4 3 4" xfId="32976" xr:uid="{00000000-0005-0000-0000-0000A27F0000}"/>
    <cellStyle name="Normal 2 4 4 4 3 5" xfId="32977" xr:uid="{00000000-0005-0000-0000-0000A37F0000}"/>
    <cellStyle name="Normal 2 4 4 4 3 6" xfId="32978" xr:uid="{00000000-0005-0000-0000-0000A47F0000}"/>
    <cellStyle name="Normal 2 4 4 4 3 7" xfId="32979" xr:uid="{00000000-0005-0000-0000-0000A57F0000}"/>
    <cellStyle name="Normal 2 4 4 4 3 8" xfId="32980" xr:uid="{00000000-0005-0000-0000-0000A67F0000}"/>
    <cellStyle name="Normal 2 4 4 4 4" xfId="32981" xr:uid="{00000000-0005-0000-0000-0000A77F0000}"/>
    <cellStyle name="Normal 2 4 4 4 4 2" xfId="32982" xr:uid="{00000000-0005-0000-0000-0000A87F0000}"/>
    <cellStyle name="Normal 2 4 4 4 4 3" xfId="32983" xr:uid="{00000000-0005-0000-0000-0000A97F0000}"/>
    <cellStyle name="Normal 2 4 4 4 4 4" xfId="32984" xr:uid="{00000000-0005-0000-0000-0000AA7F0000}"/>
    <cellStyle name="Normal 2 4 4 4 4 5" xfId="32985" xr:uid="{00000000-0005-0000-0000-0000AB7F0000}"/>
    <cellStyle name="Normal 2 4 4 4 5" xfId="32986" xr:uid="{00000000-0005-0000-0000-0000AC7F0000}"/>
    <cellStyle name="Normal 2 4 4 4 6" xfId="32987" xr:uid="{00000000-0005-0000-0000-0000AD7F0000}"/>
    <cellStyle name="Normal 2 4 4 4 7" xfId="32988" xr:uid="{00000000-0005-0000-0000-0000AE7F0000}"/>
    <cellStyle name="Normal 2 4 4 4 8" xfId="32989" xr:uid="{00000000-0005-0000-0000-0000AF7F0000}"/>
    <cellStyle name="Normal 2 4 4 4 9" xfId="32990" xr:uid="{00000000-0005-0000-0000-0000B07F0000}"/>
    <cellStyle name="Normal 2 4 4 5" xfId="32991" xr:uid="{00000000-0005-0000-0000-0000B17F0000}"/>
    <cellStyle name="Normal 2 4 4 5 2" xfId="32992" xr:uid="{00000000-0005-0000-0000-0000B27F0000}"/>
    <cellStyle name="Normal 2 4 4 5 2 2" xfId="32993" xr:uid="{00000000-0005-0000-0000-0000B37F0000}"/>
    <cellStyle name="Normal 2 4 4 5 2 3" xfId="32994" xr:uid="{00000000-0005-0000-0000-0000B47F0000}"/>
    <cellStyle name="Normal 2 4 4 5 2 4" xfId="32995" xr:uid="{00000000-0005-0000-0000-0000B57F0000}"/>
    <cellStyle name="Normal 2 4 4 5 2 5" xfId="32996" xr:uid="{00000000-0005-0000-0000-0000B67F0000}"/>
    <cellStyle name="Normal 2 4 4 5 3" xfId="32997" xr:uid="{00000000-0005-0000-0000-0000B77F0000}"/>
    <cellStyle name="Normal 2 4 4 5 4" xfId="32998" xr:uid="{00000000-0005-0000-0000-0000B87F0000}"/>
    <cellStyle name="Normal 2 4 4 5 5" xfId="32999" xr:uid="{00000000-0005-0000-0000-0000B97F0000}"/>
    <cellStyle name="Normal 2 4 4 5 6" xfId="33000" xr:uid="{00000000-0005-0000-0000-0000BA7F0000}"/>
    <cellStyle name="Normal 2 4 4 5 7" xfId="33001" xr:uid="{00000000-0005-0000-0000-0000BB7F0000}"/>
    <cellStyle name="Normal 2 4 4 5 8" xfId="33002" xr:uid="{00000000-0005-0000-0000-0000BC7F0000}"/>
    <cellStyle name="Normal 2 4 4 6" xfId="33003" xr:uid="{00000000-0005-0000-0000-0000BD7F0000}"/>
    <cellStyle name="Normal 2 4 4 6 2" xfId="33004" xr:uid="{00000000-0005-0000-0000-0000BE7F0000}"/>
    <cellStyle name="Normal 2 4 4 6 2 2" xfId="33005" xr:uid="{00000000-0005-0000-0000-0000BF7F0000}"/>
    <cellStyle name="Normal 2 4 4 6 2 3" xfId="33006" xr:uid="{00000000-0005-0000-0000-0000C07F0000}"/>
    <cellStyle name="Normal 2 4 4 6 2 4" xfId="33007" xr:uid="{00000000-0005-0000-0000-0000C17F0000}"/>
    <cellStyle name="Normal 2 4 4 6 2 5" xfId="33008" xr:uid="{00000000-0005-0000-0000-0000C27F0000}"/>
    <cellStyle name="Normal 2 4 4 6 3" xfId="33009" xr:uid="{00000000-0005-0000-0000-0000C37F0000}"/>
    <cellStyle name="Normal 2 4 4 6 4" xfId="33010" xr:uid="{00000000-0005-0000-0000-0000C47F0000}"/>
    <cellStyle name="Normal 2 4 4 6 5" xfId="33011" xr:uid="{00000000-0005-0000-0000-0000C57F0000}"/>
    <cellStyle name="Normal 2 4 4 6 6" xfId="33012" xr:uid="{00000000-0005-0000-0000-0000C67F0000}"/>
    <cellStyle name="Normal 2 4 4 6 7" xfId="33013" xr:uid="{00000000-0005-0000-0000-0000C77F0000}"/>
    <cellStyle name="Normal 2 4 4 6 8" xfId="33014" xr:uid="{00000000-0005-0000-0000-0000C87F0000}"/>
    <cellStyle name="Normal 2 4 4 7" xfId="33015" xr:uid="{00000000-0005-0000-0000-0000C97F0000}"/>
    <cellStyle name="Normal 2 4 4 7 2" xfId="33016" xr:uid="{00000000-0005-0000-0000-0000CA7F0000}"/>
    <cellStyle name="Normal 2 4 4 7 3" xfId="33017" xr:uid="{00000000-0005-0000-0000-0000CB7F0000}"/>
    <cellStyle name="Normal 2 4 4 7 4" xfId="33018" xr:uid="{00000000-0005-0000-0000-0000CC7F0000}"/>
    <cellStyle name="Normal 2 4 4 7 5" xfId="33019" xr:uid="{00000000-0005-0000-0000-0000CD7F0000}"/>
    <cellStyle name="Normal 2 4 4 8" xfId="33020" xr:uid="{00000000-0005-0000-0000-0000CE7F0000}"/>
    <cellStyle name="Normal 2 4 4 9" xfId="33021" xr:uid="{00000000-0005-0000-0000-0000CF7F0000}"/>
    <cellStyle name="Normal 2 4 5" xfId="33022" xr:uid="{00000000-0005-0000-0000-0000D07F0000}"/>
    <cellStyle name="Normal 2 4 5 10" xfId="33023" xr:uid="{00000000-0005-0000-0000-0000D17F0000}"/>
    <cellStyle name="Normal 2 4 5 11" xfId="33024" xr:uid="{00000000-0005-0000-0000-0000D27F0000}"/>
    <cellStyle name="Normal 2 4 5 12" xfId="33025" xr:uid="{00000000-0005-0000-0000-0000D37F0000}"/>
    <cellStyle name="Normal 2 4 5 13" xfId="33026" xr:uid="{00000000-0005-0000-0000-0000D47F0000}"/>
    <cellStyle name="Normal 2 4 5 2" xfId="33027" xr:uid="{00000000-0005-0000-0000-0000D57F0000}"/>
    <cellStyle name="Normal 2 4 5 2 10" xfId="33028" xr:uid="{00000000-0005-0000-0000-0000D67F0000}"/>
    <cellStyle name="Normal 2 4 5 2 11" xfId="33029" xr:uid="{00000000-0005-0000-0000-0000D77F0000}"/>
    <cellStyle name="Normal 2 4 5 2 2" xfId="33030" xr:uid="{00000000-0005-0000-0000-0000D87F0000}"/>
    <cellStyle name="Normal 2 4 5 2 2 10" xfId="33031" xr:uid="{00000000-0005-0000-0000-0000D97F0000}"/>
    <cellStyle name="Normal 2 4 5 2 2 2" xfId="33032" xr:uid="{00000000-0005-0000-0000-0000DA7F0000}"/>
    <cellStyle name="Normal 2 4 5 2 2 2 2" xfId="33033" xr:uid="{00000000-0005-0000-0000-0000DB7F0000}"/>
    <cellStyle name="Normal 2 4 5 2 2 2 2 2" xfId="33034" xr:uid="{00000000-0005-0000-0000-0000DC7F0000}"/>
    <cellStyle name="Normal 2 4 5 2 2 2 2 3" xfId="33035" xr:uid="{00000000-0005-0000-0000-0000DD7F0000}"/>
    <cellStyle name="Normal 2 4 5 2 2 2 2 4" xfId="33036" xr:uid="{00000000-0005-0000-0000-0000DE7F0000}"/>
    <cellStyle name="Normal 2 4 5 2 2 2 2 5" xfId="33037" xr:uid="{00000000-0005-0000-0000-0000DF7F0000}"/>
    <cellStyle name="Normal 2 4 5 2 2 2 3" xfId="33038" xr:uid="{00000000-0005-0000-0000-0000E07F0000}"/>
    <cellStyle name="Normal 2 4 5 2 2 2 4" xfId="33039" xr:uid="{00000000-0005-0000-0000-0000E17F0000}"/>
    <cellStyle name="Normal 2 4 5 2 2 2 5" xfId="33040" xr:uid="{00000000-0005-0000-0000-0000E27F0000}"/>
    <cellStyle name="Normal 2 4 5 2 2 2 6" xfId="33041" xr:uid="{00000000-0005-0000-0000-0000E37F0000}"/>
    <cellStyle name="Normal 2 4 5 2 2 2 7" xfId="33042" xr:uid="{00000000-0005-0000-0000-0000E47F0000}"/>
    <cellStyle name="Normal 2 4 5 2 2 2 8" xfId="33043" xr:uid="{00000000-0005-0000-0000-0000E57F0000}"/>
    <cellStyle name="Normal 2 4 5 2 2 3" xfId="33044" xr:uid="{00000000-0005-0000-0000-0000E67F0000}"/>
    <cellStyle name="Normal 2 4 5 2 2 3 2" xfId="33045" xr:uid="{00000000-0005-0000-0000-0000E77F0000}"/>
    <cellStyle name="Normal 2 4 5 2 2 3 2 2" xfId="33046" xr:uid="{00000000-0005-0000-0000-0000E87F0000}"/>
    <cellStyle name="Normal 2 4 5 2 2 3 2 3" xfId="33047" xr:uid="{00000000-0005-0000-0000-0000E97F0000}"/>
    <cellStyle name="Normal 2 4 5 2 2 3 2 4" xfId="33048" xr:uid="{00000000-0005-0000-0000-0000EA7F0000}"/>
    <cellStyle name="Normal 2 4 5 2 2 3 2 5" xfId="33049" xr:uid="{00000000-0005-0000-0000-0000EB7F0000}"/>
    <cellStyle name="Normal 2 4 5 2 2 3 3" xfId="33050" xr:uid="{00000000-0005-0000-0000-0000EC7F0000}"/>
    <cellStyle name="Normal 2 4 5 2 2 3 4" xfId="33051" xr:uid="{00000000-0005-0000-0000-0000ED7F0000}"/>
    <cellStyle name="Normal 2 4 5 2 2 3 5" xfId="33052" xr:uid="{00000000-0005-0000-0000-0000EE7F0000}"/>
    <cellStyle name="Normal 2 4 5 2 2 3 6" xfId="33053" xr:uid="{00000000-0005-0000-0000-0000EF7F0000}"/>
    <cellStyle name="Normal 2 4 5 2 2 3 7" xfId="33054" xr:uid="{00000000-0005-0000-0000-0000F07F0000}"/>
    <cellStyle name="Normal 2 4 5 2 2 3 8" xfId="33055" xr:uid="{00000000-0005-0000-0000-0000F17F0000}"/>
    <cellStyle name="Normal 2 4 5 2 2 4" xfId="33056" xr:uid="{00000000-0005-0000-0000-0000F27F0000}"/>
    <cellStyle name="Normal 2 4 5 2 2 4 2" xfId="33057" xr:uid="{00000000-0005-0000-0000-0000F37F0000}"/>
    <cellStyle name="Normal 2 4 5 2 2 4 3" xfId="33058" xr:uid="{00000000-0005-0000-0000-0000F47F0000}"/>
    <cellStyle name="Normal 2 4 5 2 2 4 4" xfId="33059" xr:uid="{00000000-0005-0000-0000-0000F57F0000}"/>
    <cellStyle name="Normal 2 4 5 2 2 4 5" xfId="33060" xr:uid="{00000000-0005-0000-0000-0000F67F0000}"/>
    <cellStyle name="Normal 2 4 5 2 2 5" xfId="33061" xr:uid="{00000000-0005-0000-0000-0000F77F0000}"/>
    <cellStyle name="Normal 2 4 5 2 2 6" xfId="33062" xr:uid="{00000000-0005-0000-0000-0000F87F0000}"/>
    <cellStyle name="Normal 2 4 5 2 2 7" xfId="33063" xr:uid="{00000000-0005-0000-0000-0000F97F0000}"/>
    <cellStyle name="Normal 2 4 5 2 2 8" xfId="33064" xr:uid="{00000000-0005-0000-0000-0000FA7F0000}"/>
    <cellStyle name="Normal 2 4 5 2 2 9" xfId="33065" xr:uid="{00000000-0005-0000-0000-0000FB7F0000}"/>
    <cellStyle name="Normal 2 4 5 2 3" xfId="33066" xr:uid="{00000000-0005-0000-0000-0000FC7F0000}"/>
    <cellStyle name="Normal 2 4 5 2 3 2" xfId="33067" xr:uid="{00000000-0005-0000-0000-0000FD7F0000}"/>
    <cellStyle name="Normal 2 4 5 2 3 2 2" xfId="33068" xr:uid="{00000000-0005-0000-0000-0000FE7F0000}"/>
    <cellStyle name="Normal 2 4 5 2 3 2 3" xfId="33069" xr:uid="{00000000-0005-0000-0000-0000FF7F0000}"/>
    <cellStyle name="Normal 2 4 5 2 3 2 4" xfId="33070" xr:uid="{00000000-0005-0000-0000-000000800000}"/>
    <cellStyle name="Normal 2 4 5 2 3 2 5" xfId="33071" xr:uid="{00000000-0005-0000-0000-000001800000}"/>
    <cellStyle name="Normal 2 4 5 2 3 3" xfId="33072" xr:uid="{00000000-0005-0000-0000-000002800000}"/>
    <cellStyle name="Normal 2 4 5 2 3 4" xfId="33073" xr:uid="{00000000-0005-0000-0000-000003800000}"/>
    <cellStyle name="Normal 2 4 5 2 3 5" xfId="33074" xr:uid="{00000000-0005-0000-0000-000004800000}"/>
    <cellStyle name="Normal 2 4 5 2 3 6" xfId="33075" xr:uid="{00000000-0005-0000-0000-000005800000}"/>
    <cellStyle name="Normal 2 4 5 2 3 7" xfId="33076" xr:uid="{00000000-0005-0000-0000-000006800000}"/>
    <cellStyle name="Normal 2 4 5 2 3 8" xfId="33077" xr:uid="{00000000-0005-0000-0000-000007800000}"/>
    <cellStyle name="Normal 2 4 5 2 4" xfId="33078" xr:uid="{00000000-0005-0000-0000-000008800000}"/>
    <cellStyle name="Normal 2 4 5 2 4 2" xfId="33079" xr:uid="{00000000-0005-0000-0000-000009800000}"/>
    <cellStyle name="Normal 2 4 5 2 4 2 2" xfId="33080" xr:uid="{00000000-0005-0000-0000-00000A800000}"/>
    <cellStyle name="Normal 2 4 5 2 4 2 3" xfId="33081" xr:uid="{00000000-0005-0000-0000-00000B800000}"/>
    <cellStyle name="Normal 2 4 5 2 4 2 4" xfId="33082" xr:uid="{00000000-0005-0000-0000-00000C800000}"/>
    <cellStyle name="Normal 2 4 5 2 4 2 5" xfId="33083" xr:uid="{00000000-0005-0000-0000-00000D800000}"/>
    <cellStyle name="Normal 2 4 5 2 4 3" xfId="33084" xr:uid="{00000000-0005-0000-0000-00000E800000}"/>
    <cellStyle name="Normal 2 4 5 2 4 4" xfId="33085" xr:uid="{00000000-0005-0000-0000-00000F800000}"/>
    <cellStyle name="Normal 2 4 5 2 4 5" xfId="33086" xr:uid="{00000000-0005-0000-0000-000010800000}"/>
    <cellStyle name="Normal 2 4 5 2 4 6" xfId="33087" xr:uid="{00000000-0005-0000-0000-000011800000}"/>
    <cellStyle name="Normal 2 4 5 2 4 7" xfId="33088" xr:uid="{00000000-0005-0000-0000-000012800000}"/>
    <cellStyle name="Normal 2 4 5 2 4 8" xfId="33089" xr:uid="{00000000-0005-0000-0000-000013800000}"/>
    <cellStyle name="Normal 2 4 5 2 5" xfId="33090" xr:uid="{00000000-0005-0000-0000-000014800000}"/>
    <cellStyle name="Normal 2 4 5 2 5 2" xfId="33091" xr:uid="{00000000-0005-0000-0000-000015800000}"/>
    <cellStyle name="Normal 2 4 5 2 5 3" xfId="33092" xr:uid="{00000000-0005-0000-0000-000016800000}"/>
    <cellStyle name="Normal 2 4 5 2 5 4" xfId="33093" xr:uid="{00000000-0005-0000-0000-000017800000}"/>
    <cellStyle name="Normal 2 4 5 2 5 5" xfId="33094" xr:uid="{00000000-0005-0000-0000-000018800000}"/>
    <cellStyle name="Normal 2 4 5 2 6" xfId="33095" xr:uid="{00000000-0005-0000-0000-000019800000}"/>
    <cellStyle name="Normal 2 4 5 2 7" xfId="33096" xr:uid="{00000000-0005-0000-0000-00001A800000}"/>
    <cellStyle name="Normal 2 4 5 2 8" xfId="33097" xr:uid="{00000000-0005-0000-0000-00001B800000}"/>
    <cellStyle name="Normal 2 4 5 2 9" xfId="33098" xr:uid="{00000000-0005-0000-0000-00001C800000}"/>
    <cellStyle name="Normal 2 4 5 3" xfId="33099" xr:uid="{00000000-0005-0000-0000-00001D800000}"/>
    <cellStyle name="Normal 2 4 5 3 10" xfId="33100" xr:uid="{00000000-0005-0000-0000-00001E800000}"/>
    <cellStyle name="Normal 2 4 5 3 11" xfId="33101" xr:uid="{00000000-0005-0000-0000-00001F800000}"/>
    <cellStyle name="Normal 2 4 5 3 2" xfId="33102" xr:uid="{00000000-0005-0000-0000-000020800000}"/>
    <cellStyle name="Normal 2 4 5 3 2 10" xfId="33103" xr:uid="{00000000-0005-0000-0000-000021800000}"/>
    <cellStyle name="Normal 2 4 5 3 2 2" xfId="33104" xr:uid="{00000000-0005-0000-0000-000022800000}"/>
    <cellStyle name="Normal 2 4 5 3 2 2 2" xfId="33105" xr:uid="{00000000-0005-0000-0000-000023800000}"/>
    <cellStyle name="Normal 2 4 5 3 2 2 2 2" xfId="33106" xr:uid="{00000000-0005-0000-0000-000024800000}"/>
    <cellStyle name="Normal 2 4 5 3 2 2 2 3" xfId="33107" xr:uid="{00000000-0005-0000-0000-000025800000}"/>
    <cellStyle name="Normal 2 4 5 3 2 2 2 4" xfId="33108" xr:uid="{00000000-0005-0000-0000-000026800000}"/>
    <cellStyle name="Normal 2 4 5 3 2 2 2 5" xfId="33109" xr:uid="{00000000-0005-0000-0000-000027800000}"/>
    <cellStyle name="Normal 2 4 5 3 2 2 3" xfId="33110" xr:uid="{00000000-0005-0000-0000-000028800000}"/>
    <cellStyle name="Normal 2 4 5 3 2 2 4" xfId="33111" xr:uid="{00000000-0005-0000-0000-000029800000}"/>
    <cellStyle name="Normal 2 4 5 3 2 2 5" xfId="33112" xr:uid="{00000000-0005-0000-0000-00002A800000}"/>
    <cellStyle name="Normal 2 4 5 3 2 2 6" xfId="33113" xr:uid="{00000000-0005-0000-0000-00002B800000}"/>
    <cellStyle name="Normal 2 4 5 3 2 2 7" xfId="33114" xr:uid="{00000000-0005-0000-0000-00002C800000}"/>
    <cellStyle name="Normal 2 4 5 3 2 2 8" xfId="33115" xr:uid="{00000000-0005-0000-0000-00002D800000}"/>
    <cellStyle name="Normal 2 4 5 3 2 3" xfId="33116" xr:uid="{00000000-0005-0000-0000-00002E800000}"/>
    <cellStyle name="Normal 2 4 5 3 2 3 2" xfId="33117" xr:uid="{00000000-0005-0000-0000-00002F800000}"/>
    <cellStyle name="Normal 2 4 5 3 2 3 2 2" xfId="33118" xr:uid="{00000000-0005-0000-0000-000030800000}"/>
    <cellStyle name="Normal 2 4 5 3 2 3 2 3" xfId="33119" xr:uid="{00000000-0005-0000-0000-000031800000}"/>
    <cellStyle name="Normal 2 4 5 3 2 3 2 4" xfId="33120" xr:uid="{00000000-0005-0000-0000-000032800000}"/>
    <cellStyle name="Normal 2 4 5 3 2 3 2 5" xfId="33121" xr:uid="{00000000-0005-0000-0000-000033800000}"/>
    <cellStyle name="Normal 2 4 5 3 2 3 3" xfId="33122" xr:uid="{00000000-0005-0000-0000-000034800000}"/>
    <cellStyle name="Normal 2 4 5 3 2 3 4" xfId="33123" xr:uid="{00000000-0005-0000-0000-000035800000}"/>
    <cellStyle name="Normal 2 4 5 3 2 3 5" xfId="33124" xr:uid="{00000000-0005-0000-0000-000036800000}"/>
    <cellStyle name="Normal 2 4 5 3 2 3 6" xfId="33125" xr:uid="{00000000-0005-0000-0000-000037800000}"/>
    <cellStyle name="Normal 2 4 5 3 2 3 7" xfId="33126" xr:uid="{00000000-0005-0000-0000-000038800000}"/>
    <cellStyle name="Normal 2 4 5 3 2 3 8" xfId="33127" xr:uid="{00000000-0005-0000-0000-000039800000}"/>
    <cellStyle name="Normal 2 4 5 3 2 4" xfId="33128" xr:uid="{00000000-0005-0000-0000-00003A800000}"/>
    <cellStyle name="Normal 2 4 5 3 2 4 2" xfId="33129" xr:uid="{00000000-0005-0000-0000-00003B800000}"/>
    <cellStyle name="Normal 2 4 5 3 2 4 3" xfId="33130" xr:uid="{00000000-0005-0000-0000-00003C800000}"/>
    <cellStyle name="Normal 2 4 5 3 2 4 4" xfId="33131" xr:uid="{00000000-0005-0000-0000-00003D800000}"/>
    <cellStyle name="Normal 2 4 5 3 2 4 5" xfId="33132" xr:uid="{00000000-0005-0000-0000-00003E800000}"/>
    <cellStyle name="Normal 2 4 5 3 2 5" xfId="33133" xr:uid="{00000000-0005-0000-0000-00003F800000}"/>
    <cellStyle name="Normal 2 4 5 3 2 6" xfId="33134" xr:uid="{00000000-0005-0000-0000-000040800000}"/>
    <cellStyle name="Normal 2 4 5 3 2 7" xfId="33135" xr:uid="{00000000-0005-0000-0000-000041800000}"/>
    <cellStyle name="Normal 2 4 5 3 2 8" xfId="33136" xr:uid="{00000000-0005-0000-0000-000042800000}"/>
    <cellStyle name="Normal 2 4 5 3 2 9" xfId="33137" xr:uid="{00000000-0005-0000-0000-000043800000}"/>
    <cellStyle name="Normal 2 4 5 3 3" xfId="33138" xr:uid="{00000000-0005-0000-0000-000044800000}"/>
    <cellStyle name="Normal 2 4 5 3 3 2" xfId="33139" xr:uid="{00000000-0005-0000-0000-000045800000}"/>
    <cellStyle name="Normal 2 4 5 3 3 2 2" xfId="33140" xr:uid="{00000000-0005-0000-0000-000046800000}"/>
    <cellStyle name="Normal 2 4 5 3 3 2 3" xfId="33141" xr:uid="{00000000-0005-0000-0000-000047800000}"/>
    <cellStyle name="Normal 2 4 5 3 3 2 4" xfId="33142" xr:uid="{00000000-0005-0000-0000-000048800000}"/>
    <cellStyle name="Normal 2 4 5 3 3 2 5" xfId="33143" xr:uid="{00000000-0005-0000-0000-000049800000}"/>
    <cellStyle name="Normal 2 4 5 3 3 3" xfId="33144" xr:uid="{00000000-0005-0000-0000-00004A800000}"/>
    <cellStyle name="Normal 2 4 5 3 3 4" xfId="33145" xr:uid="{00000000-0005-0000-0000-00004B800000}"/>
    <cellStyle name="Normal 2 4 5 3 3 5" xfId="33146" xr:uid="{00000000-0005-0000-0000-00004C800000}"/>
    <cellStyle name="Normal 2 4 5 3 3 6" xfId="33147" xr:uid="{00000000-0005-0000-0000-00004D800000}"/>
    <cellStyle name="Normal 2 4 5 3 3 7" xfId="33148" xr:uid="{00000000-0005-0000-0000-00004E800000}"/>
    <cellStyle name="Normal 2 4 5 3 3 8" xfId="33149" xr:uid="{00000000-0005-0000-0000-00004F800000}"/>
    <cellStyle name="Normal 2 4 5 3 4" xfId="33150" xr:uid="{00000000-0005-0000-0000-000050800000}"/>
    <cellStyle name="Normal 2 4 5 3 4 2" xfId="33151" xr:uid="{00000000-0005-0000-0000-000051800000}"/>
    <cellStyle name="Normal 2 4 5 3 4 2 2" xfId="33152" xr:uid="{00000000-0005-0000-0000-000052800000}"/>
    <cellStyle name="Normal 2 4 5 3 4 2 3" xfId="33153" xr:uid="{00000000-0005-0000-0000-000053800000}"/>
    <cellStyle name="Normal 2 4 5 3 4 2 4" xfId="33154" xr:uid="{00000000-0005-0000-0000-000054800000}"/>
    <cellStyle name="Normal 2 4 5 3 4 2 5" xfId="33155" xr:uid="{00000000-0005-0000-0000-000055800000}"/>
    <cellStyle name="Normal 2 4 5 3 4 3" xfId="33156" xr:uid="{00000000-0005-0000-0000-000056800000}"/>
    <cellStyle name="Normal 2 4 5 3 4 4" xfId="33157" xr:uid="{00000000-0005-0000-0000-000057800000}"/>
    <cellStyle name="Normal 2 4 5 3 4 5" xfId="33158" xr:uid="{00000000-0005-0000-0000-000058800000}"/>
    <cellStyle name="Normal 2 4 5 3 4 6" xfId="33159" xr:uid="{00000000-0005-0000-0000-000059800000}"/>
    <cellStyle name="Normal 2 4 5 3 4 7" xfId="33160" xr:uid="{00000000-0005-0000-0000-00005A800000}"/>
    <cellStyle name="Normal 2 4 5 3 4 8" xfId="33161" xr:uid="{00000000-0005-0000-0000-00005B800000}"/>
    <cellStyle name="Normal 2 4 5 3 5" xfId="33162" xr:uid="{00000000-0005-0000-0000-00005C800000}"/>
    <cellStyle name="Normal 2 4 5 3 5 2" xfId="33163" xr:uid="{00000000-0005-0000-0000-00005D800000}"/>
    <cellStyle name="Normal 2 4 5 3 5 3" xfId="33164" xr:uid="{00000000-0005-0000-0000-00005E800000}"/>
    <cellStyle name="Normal 2 4 5 3 5 4" xfId="33165" xr:uid="{00000000-0005-0000-0000-00005F800000}"/>
    <cellStyle name="Normal 2 4 5 3 5 5" xfId="33166" xr:uid="{00000000-0005-0000-0000-000060800000}"/>
    <cellStyle name="Normal 2 4 5 3 6" xfId="33167" xr:uid="{00000000-0005-0000-0000-000061800000}"/>
    <cellStyle name="Normal 2 4 5 3 7" xfId="33168" xr:uid="{00000000-0005-0000-0000-000062800000}"/>
    <cellStyle name="Normal 2 4 5 3 8" xfId="33169" xr:uid="{00000000-0005-0000-0000-000063800000}"/>
    <cellStyle name="Normal 2 4 5 3 9" xfId="33170" xr:uid="{00000000-0005-0000-0000-000064800000}"/>
    <cellStyle name="Normal 2 4 5 4" xfId="33171" xr:uid="{00000000-0005-0000-0000-000065800000}"/>
    <cellStyle name="Normal 2 4 5 4 10" xfId="33172" xr:uid="{00000000-0005-0000-0000-000066800000}"/>
    <cellStyle name="Normal 2 4 5 4 2" xfId="33173" xr:uid="{00000000-0005-0000-0000-000067800000}"/>
    <cellStyle name="Normal 2 4 5 4 2 2" xfId="33174" xr:uid="{00000000-0005-0000-0000-000068800000}"/>
    <cellStyle name="Normal 2 4 5 4 2 2 2" xfId="33175" xr:uid="{00000000-0005-0000-0000-000069800000}"/>
    <cellStyle name="Normal 2 4 5 4 2 2 3" xfId="33176" xr:uid="{00000000-0005-0000-0000-00006A800000}"/>
    <cellStyle name="Normal 2 4 5 4 2 2 4" xfId="33177" xr:uid="{00000000-0005-0000-0000-00006B800000}"/>
    <cellStyle name="Normal 2 4 5 4 2 2 5" xfId="33178" xr:uid="{00000000-0005-0000-0000-00006C800000}"/>
    <cellStyle name="Normal 2 4 5 4 2 3" xfId="33179" xr:uid="{00000000-0005-0000-0000-00006D800000}"/>
    <cellStyle name="Normal 2 4 5 4 2 4" xfId="33180" xr:uid="{00000000-0005-0000-0000-00006E800000}"/>
    <cellStyle name="Normal 2 4 5 4 2 5" xfId="33181" xr:uid="{00000000-0005-0000-0000-00006F800000}"/>
    <cellStyle name="Normal 2 4 5 4 2 6" xfId="33182" xr:uid="{00000000-0005-0000-0000-000070800000}"/>
    <cellStyle name="Normal 2 4 5 4 2 7" xfId="33183" xr:uid="{00000000-0005-0000-0000-000071800000}"/>
    <cellStyle name="Normal 2 4 5 4 2 8" xfId="33184" xr:uid="{00000000-0005-0000-0000-000072800000}"/>
    <cellStyle name="Normal 2 4 5 4 3" xfId="33185" xr:uid="{00000000-0005-0000-0000-000073800000}"/>
    <cellStyle name="Normal 2 4 5 4 3 2" xfId="33186" xr:uid="{00000000-0005-0000-0000-000074800000}"/>
    <cellStyle name="Normal 2 4 5 4 3 2 2" xfId="33187" xr:uid="{00000000-0005-0000-0000-000075800000}"/>
    <cellStyle name="Normal 2 4 5 4 3 2 3" xfId="33188" xr:uid="{00000000-0005-0000-0000-000076800000}"/>
    <cellStyle name="Normal 2 4 5 4 3 2 4" xfId="33189" xr:uid="{00000000-0005-0000-0000-000077800000}"/>
    <cellStyle name="Normal 2 4 5 4 3 2 5" xfId="33190" xr:uid="{00000000-0005-0000-0000-000078800000}"/>
    <cellStyle name="Normal 2 4 5 4 3 3" xfId="33191" xr:uid="{00000000-0005-0000-0000-000079800000}"/>
    <cellStyle name="Normal 2 4 5 4 3 4" xfId="33192" xr:uid="{00000000-0005-0000-0000-00007A800000}"/>
    <cellStyle name="Normal 2 4 5 4 3 5" xfId="33193" xr:uid="{00000000-0005-0000-0000-00007B800000}"/>
    <cellStyle name="Normal 2 4 5 4 3 6" xfId="33194" xr:uid="{00000000-0005-0000-0000-00007C800000}"/>
    <cellStyle name="Normal 2 4 5 4 3 7" xfId="33195" xr:uid="{00000000-0005-0000-0000-00007D800000}"/>
    <cellStyle name="Normal 2 4 5 4 3 8" xfId="33196" xr:uid="{00000000-0005-0000-0000-00007E800000}"/>
    <cellStyle name="Normal 2 4 5 4 4" xfId="33197" xr:uid="{00000000-0005-0000-0000-00007F800000}"/>
    <cellStyle name="Normal 2 4 5 4 4 2" xfId="33198" xr:uid="{00000000-0005-0000-0000-000080800000}"/>
    <cellStyle name="Normal 2 4 5 4 4 3" xfId="33199" xr:uid="{00000000-0005-0000-0000-000081800000}"/>
    <cellStyle name="Normal 2 4 5 4 4 4" xfId="33200" xr:uid="{00000000-0005-0000-0000-000082800000}"/>
    <cellStyle name="Normal 2 4 5 4 4 5" xfId="33201" xr:uid="{00000000-0005-0000-0000-000083800000}"/>
    <cellStyle name="Normal 2 4 5 4 5" xfId="33202" xr:uid="{00000000-0005-0000-0000-000084800000}"/>
    <cellStyle name="Normal 2 4 5 4 6" xfId="33203" xr:uid="{00000000-0005-0000-0000-000085800000}"/>
    <cellStyle name="Normal 2 4 5 4 7" xfId="33204" xr:uid="{00000000-0005-0000-0000-000086800000}"/>
    <cellStyle name="Normal 2 4 5 4 8" xfId="33205" xr:uid="{00000000-0005-0000-0000-000087800000}"/>
    <cellStyle name="Normal 2 4 5 4 9" xfId="33206" xr:uid="{00000000-0005-0000-0000-000088800000}"/>
    <cellStyle name="Normal 2 4 5 5" xfId="33207" xr:uid="{00000000-0005-0000-0000-000089800000}"/>
    <cellStyle name="Normal 2 4 5 5 2" xfId="33208" xr:uid="{00000000-0005-0000-0000-00008A800000}"/>
    <cellStyle name="Normal 2 4 5 5 2 2" xfId="33209" xr:uid="{00000000-0005-0000-0000-00008B800000}"/>
    <cellStyle name="Normal 2 4 5 5 2 3" xfId="33210" xr:uid="{00000000-0005-0000-0000-00008C800000}"/>
    <cellStyle name="Normal 2 4 5 5 2 4" xfId="33211" xr:uid="{00000000-0005-0000-0000-00008D800000}"/>
    <cellStyle name="Normal 2 4 5 5 2 5" xfId="33212" xr:uid="{00000000-0005-0000-0000-00008E800000}"/>
    <cellStyle name="Normal 2 4 5 5 3" xfId="33213" xr:uid="{00000000-0005-0000-0000-00008F800000}"/>
    <cellStyle name="Normal 2 4 5 5 4" xfId="33214" xr:uid="{00000000-0005-0000-0000-000090800000}"/>
    <cellStyle name="Normal 2 4 5 5 5" xfId="33215" xr:uid="{00000000-0005-0000-0000-000091800000}"/>
    <cellStyle name="Normal 2 4 5 5 6" xfId="33216" xr:uid="{00000000-0005-0000-0000-000092800000}"/>
    <cellStyle name="Normal 2 4 5 5 7" xfId="33217" xr:uid="{00000000-0005-0000-0000-000093800000}"/>
    <cellStyle name="Normal 2 4 5 5 8" xfId="33218" xr:uid="{00000000-0005-0000-0000-000094800000}"/>
    <cellStyle name="Normal 2 4 5 6" xfId="33219" xr:uid="{00000000-0005-0000-0000-000095800000}"/>
    <cellStyle name="Normal 2 4 5 6 2" xfId="33220" xr:uid="{00000000-0005-0000-0000-000096800000}"/>
    <cellStyle name="Normal 2 4 5 6 2 2" xfId="33221" xr:uid="{00000000-0005-0000-0000-000097800000}"/>
    <cellStyle name="Normal 2 4 5 6 2 3" xfId="33222" xr:uid="{00000000-0005-0000-0000-000098800000}"/>
    <cellStyle name="Normal 2 4 5 6 2 4" xfId="33223" xr:uid="{00000000-0005-0000-0000-000099800000}"/>
    <cellStyle name="Normal 2 4 5 6 2 5" xfId="33224" xr:uid="{00000000-0005-0000-0000-00009A800000}"/>
    <cellStyle name="Normal 2 4 5 6 3" xfId="33225" xr:uid="{00000000-0005-0000-0000-00009B800000}"/>
    <cellStyle name="Normal 2 4 5 6 4" xfId="33226" xr:uid="{00000000-0005-0000-0000-00009C800000}"/>
    <cellStyle name="Normal 2 4 5 6 5" xfId="33227" xr:uid="{00000000-0005-0000-0000-00009D800000}"/>
    <cellStyle name="Normal 2 4 5 6 6" xfId="33228" xr:uid="{00000000-0005-0000-0000-00009E800000}"/>
    <cellStyle name="Normal 2 4 5 6 7" xfId="33229" xr:uid="{00000000-0005-0000-0000-00009F800000}"/>
    <cellStyle name="Normal 2 4 5 6 8" xfId="33230" xr:uid="{00000000-0005-0000-0000-0000A0800000}"/>
    <cellStyle name="Normal 2 4 5 7" xfId="33231" xr:uid="{00000000-0005-0000-0000-0000A1800000}"/>
    <cellStyle name="Normal 2 4 5 7 2" xfId="33232" xr:uid="{00000000-0005-0000-0000-0000A2800000}"/>
    <cellStyle name="Normal 2 4 5 7 3" xfId="33233" xr:uid="{00000000-0005-0000-0000-0000A3800000}"/>
    <cellStyle name="Normal 2 4 5 7 4" xfId="33234" xr:uid="{00000000-0005-0000-0000-0000A4800000}"/>
    <cellStyle name="Normal 2 4 5 7 5" xfId="33235" xr:uid="{00000000-0005-0000-0000-0000A5800000}"/>
    <cellStyle name="Normal 2 4 5 8" xfId="33236" xr:uid="{00000000-0005-0000-0000-0000A6800000}"/>
    <cellStyle name="Normal 2 4 5 9" xfId="33237" xr:uid="{00000000-0005-0000-0000-0000A7800000}"/>
    <cellStyle name="Normal 2 4 6" xfId="33238" xr:uid="{00000000-0005-0000-0000-0000A8800000}"/>
    <cellStyle name="Normal 2 4 6 10" xfId="33239" xr:uid="{00000000-0005-0000-0000-0000A9800000}"/>
    <cellStyle name="Normal 2 4 6 11" xfId="33240" xr:uid="{00000000-0005-0000-0000-0000AA800000}"/>
    <cellStyle name="Normal 2 4 6 12" xfId="33241" xr:uid="{00000000-0005-0000-0000-0000AB800000}"/>
    <cellStyle name="Normal 2 4 6 13" xfId="33242" xr:uid="{00000000-0005-0000-0000-0000AC800000}"/>
    <cellStyle name="Normal 2 4 6 2" xfId="33243" xr:uid="{00000000-0005-0000-0000-0000AD800000}"/>
    <cellStyle name="Normal 2 4 6 2 10" xfId="33244" xr:uid="{00000000-0005-0000-0000-0000AE800000}"/>
    <cellStyle name="Normal 2 4 6 2 11" xfId="33245" xr:uid="{00000000-0005-0000-0000-0000AF800000}"/>
    <cellStyle name="Normal 2 4 6 2 2" xfId="33246" xr:uid="{00000000-0005-0000-0000-0000B0800000}"/>
    <cellStyle name="Normal 2 4 6 2 2 10" xfId="33247" xr:uid="{00000000-0005-0000-0000-0000B1800000}"/>
    <cellStyle name="Normal 2 4 6 2 2 2" xfId="33248" xr:uid="{00000000-0005-0000-0000-0000B2800000}"/>
    <cellStyle name="Normal 2 4 6 2 2 2 2" xfId="33249" xr:uid="{00000000-0005-0000-0000-0000B3800000}"/>
    <cellStyle name="Normal 2 4 6 2 2 2 2 2" xfId="33250" xr:uid="{00000000-0005-0000-0000-0000B4800000}"/>
    <cellStyle name="Normal 2 4 6 2 2 2 2 3" xfId="33251" xr:uid="{00000000-0005-0000-0000-0000B5800000}"/>
    <cellStyle name="Normal 2 4 6 2 2 2 2 4" xfId="33252" xr:uid="{00000000-0005-0000-0000-0000B6800000}"/>
    <cellStyle name="Normal 2 4 6 2 2 2 2 5" xfId="33253" xr:uid="{00000000-0005-0000-0000-0000B7800000}"/>
    <cellStyle name="Normal 2 4 6 2 2 2 3" xfId="33254" xr:uid="{00000000-0005-0000-0000-0000B8800000}"/>
    <cellStyle name="Normal 2 4 6 2 2 2 4" xfId="33255" xr:uid="{00000000-0005-0000-0000-0000B9800000}"/>
    <cellStyle name="Normal 2 4 6 2 2 2 5" xfId="33256" xr:uid="{00000000-0005-0000-0000-0000BA800000}"/>
    <cellStyle name="Normal 2 4 6 2 2 2 6" xfId="33257" xr:uid="{00000000-0005-0000-0000-0000BB800000}"/>
    <cellStyle name="Normal 2 4 6 2 2 2 7" xfId="33258" xr:uid="{00000000-0005-0000-0000-0000BC800000}"/>
    <cellStyle name="Normal 2 4 6 2 2 2 8" xfId="33259" xr:uid="{00000000-0005-0000-0000-0000BD800000}"/>
    <cellStyle name="Normal 2 4 6 2 2 3" xfId="33260" xr:uid="{00000000-0005-0000-0000-0000BE800000}"/>
    <cellStyle name="Normal 2 4 6 2 2 3 2" xfId="33261" xr:uid="{00000000-0005-0000-0000-0000BF800000}"/>
    <cellStyle name="Normal 2 4 6 2 2 3 2 2" xfId="33262" xr:uid="{00000000-0005-0000-0000-0000C0800000}"/>
    <cellStyle name="Normal 2 4 6 2 2 3 2 3" xfId="33263" xr:uid="{00000000-0005-0000-0000-0000C1800000}"/>
    <cellStyle name="Normal 2 4 6 2 2 3 2 4" xfId="33264" xr:uid="{00000000-0005-0000-0000-0000C2800000}"/>
    <cellStyle name="Normal 2 4 6 2 2 3 2 5" xfId="33265" xr:uid="{00000000-0005-0000-0000-0000C3800000}"/>
    <cellStyle name="Normal 2 4 6 2 2 3 3" xfId="33266" xr:uid="{00000000-0005-0000-0000-0000C4800000}"/>
    <cellStyle name="Normal 2 4 6 2 2 3 4" xfId="33267" xr:uid="{00000000-0005-0000-0000-0000C5800000}"/>
    <cellStyle name="Normal 2 4 6 2 2 3 5" xfId="33268" xr:uid="{00000000-0005-0000-0000-0000C6800000}"/>
    <cellStyle name="Normal 2 4 6 2 2 3 6" xfId="33269" xr:uid="{00000000-0005-0000-0000-0000C7800000}"/>
    <cellStyle name="Normal 2 4 6 2 2 3 7" xfId="33270" xr:uid="{00000000-0005-0000-0000-0000C8800000}"/>
    <cellStyle name="Normal 2 4 6 2 2 3 8" xfId="33271" xr:uid="{00000000-0005-0000-0000-0000C9800000}"/>
    <cellStyle name="Normal 2 4 6 2 2 4" xfId="33272" xr:uid="{00000000-0005-0000-0000-0000CA800000}"/>
    <cellStyle name="Normal 2 4 6 2 2 4 2" xfId="33273" xr:uid="{00000000-0005-0000-0000-0000CB800000}"/>
    <cellStyle name="Normal 2 4 6 2 2 4 3" xfId="33274" xr:uid="{00000000-0005-0000-0000-0000CC800000}"/>
    <cellStyle name="Normal 2 4 6 2 2 4 4" xfId="33275" xr:uid="{00000000-0005-0000-0000-0000CD800000}"/>
    <cellStyle name="Normal 2 4 6 2 2 4 5" xfId="33276" xr:uid="{00000000-0005-0000-0000-0000CE800000}"/>
    <cellStyle name="Normal 2 4 6 2 2 5" xfId="33277" xr:uid="{00000000-0005-0000-0000-0000CF800000}"/>
    <cellStyle name="Normal 2 4 6 2 2 6" xfId="33278" xr:uid="{00000000-0005-0000-0000-0000D0800000}"/>
    <cellStyle name="Normal 2 4 6 2 2 7" xfId="33279" xr:uid="{00000000-0005-0000-0000-0000D1800000}"/>
    <cellStyle name="Normal 2 4 6 2 2 8" xfId="33280" xr:uid="{00000000-0005-0000-0000-0000D2800000}"/>
    <cellStyle name="Normal 2 4 6 2 2 9" xfId="33281" xr:uid="{00000000-0005-0000-0000-0000D3800000}"/>
    <cellStyle name="Normal 2 4 6 2 3" xfId="33282" xr:uid="{00000000-0005-0000-0000-0000D4800000}"/>
    <cellStyle name="Normal 2 4 6 2 3 2" xfId="33283" xr:uid="{00000000-0005-0000-0000-0000D5800000}"/>
    <cellStyle name="Normal 2 4 6 2 3 2 2" xfId="33284" xr:uid="{00000000-0005-0000-0000-0000D6800000}"/>
    <cellStyle name="Normal 2 4 6 2 3 2 3" xfId="33285" xr:uid="{00000000-0005-0000-0000-0000D7800000}"/>
    <cellStyle name="Normal 2 4 6 2 3 2 4" xfId="33286" xr:uid="{00000000-0005-0000-0000-0000D8800000}"/>
    <cellStyle name="Normal 2 4 6 2 3 2 5" xfId="33287" xr:uid="{00000000-0005-0000-0000-0000D9800000}"/>
    <cellStyle name="Normal 2 4 6 2 3 3" xfId="33288" xr:uid="{00000000-0005-0000-0000-0000DA800000}"/>
    <cellStyle name="Normal 2 4 6 2 3 4" xfId="33289" xr:uid="{00000000-0005-0000-0000-0000DB800000}"/>
    <cellStyle name="Normal 2 4 6 2 3 5" xfId="33290" xr:uid="{00000000-0005-0000-0000-0000DC800000}"/>
    <cellStyle name="Normal 2 4 6 2 3 6" xfId="33291" xr:uid="{00000000-0005-0000-0000-0000DD800000}"/>
    <cellStyle name="Normal 2 4 6 2 3 7" xfId="33292" xr:uid="{00000000-0005-0000-0000-0000DE800000}"/>
    <cellStyle name="Normal 2 4 6 2 3 8" xfId="33293" xr:uid="{00000000-0005-0000-0000-0000DF800000}"/>
    <cellStyle name="Normal 2 4 6 2 4" xfId="33294" xr:uid="{00000000-0005-0000-0000-0000E0800000}"/>
    <cellStyle name="Normal 2 4 6 2 4 2" xfId="33295" xr:uid="{00000000-0005-0000-0000-0000E1800000}"/>
    <cellStyle name="Normal 2 4 6 2 4 2 2" xfId="33296" xr:uid="{00000000-0005-0000-0000-0000E2800000}"/>
    <cellStyle name="Normal 2 4 6 2 4 2 3" xfId="33297" xr:uid="{00000000-0005-0000-0000-0000E3800000}"/>
    <cellStyle name="Normal 2 4 6 2 4 2 4" xfId="33298" xr:uid="{00000000-0005-0000-0000-0000E4800000}"/>
    <cellStyle name="Normal 2 4 6 2 4 2 5" xfId="33299" xr:uid="{00000000-0005-0000-0000-0000E5800000}"/>
    <cellStyle name="Normal 2 4 6 2 4 3" xfId="33300" xr:uid="{00000000-0005-0000-0000-0000E6800000}"/>
    <cellStyle name="Normal 2 4 6 2 4 4" xfId="33301" xr:uid="{00000000-0005-0000-0000-0000E7800000}"/>
    <cellStyle name="Normal 2 4 6 2 4 5" xfId="33302" xr:uid="{00000000-0005-0000-0000-0000E8800000}"/>
    <cellStyle name="Normal 2 4 6 2 4 6" xfId="33303" xr:uid="{00000000-0005-0000-0000-0000E9800000}"/>
    <cellStyle name="Normal 2 4 6 2 4 7" xfId="33304" xr:uid="{00000000-0005-0000-0000-0000EA800000}"/>
    <cellStyle name="Normal 2 4 6 2 4 8" xfId="33305" xr:uid="{00000000-0005-0000-0000-0000EB800000}"/>
    <cellStyle name="Normal 2 4 6 2 5" xfId="33306" xr:uid="{00000000-0005-0000-0000-0000EC800000}"/>
    <cellStyle name="Normal 2 4 6 2 5 2" xfId="33307" xr:uid="{00000000-0005-0000-0000-0000ED800000}"/>
    <cellStyle name="Normal 2 4 6 2 5 3" xfId="33308" xr:uid="{00000000-0005-0000-0000-0000EE800000}"/>
    <cellStyle name="Normal 2 4 6 2 5 4" xfId="33309" xr:uid="{00000000-0005-0000-0000-0000EF800000}"/>
    <cellStyle name="Normal 2 4 6 2 5 5" xfId="33310" xr:uid="{00000000-0005-0000-0000-0000F0800000}"/>
    <cellStyle name="Normal 2 4 6 2 6" xfId="33311" xr:uid="{00000000-0005-0000-0000-0000F1800000}"/>
    <cellStyle name="Normal 2 4 6 2 7" xfId="33312" xr:uid="{00000000-0005-0000-0000-0000F2800000}"/>
    <cellStyle name="Normal 2 4 6 2 8" xfId="33313" xr:uid="{00000000-0005-0000-0000-0000F3800000}"/>
    <cellStyle name="Normal 2 4 6 2 9" xfId="33314" xr:uid="{00000000-0005-0000-0000-0000F4800000}"/>
    <cellStyle name="Normal 2 4 6 3" xfId="33315" xr:uid="{00000000-0005-0000-0000-0000F5800000}"/>
    <cellStyle name="Normal 2 4 6 3 10" xfId="33316" xr:uid="{00000000-0005-0000-0000-0000F6800000}"/>
    <cellStyle name="Normal 2 4 6 3 11" xfId="33317" xr:uid="{00000000-0005-0000-0000-0000F7800000}"/>
    <cellStyle name="Normal 2 4 6 3 2" xfId="33318" xr:uid="{00000000-0005-0000-0000-0000F8800000}"/>
    <cellStyle name="Normal 2 4 6 3 2 10" xfId="33319" xr:uid="{00000000-0005-0000-0000-0000F9800000}"/>
    <cellStyle name="Normal 2 4 6 3 2 2" xfId="33320" xr:uid="{00000000-0005-0000-0000-0000FA800000}"/>
    <cellStyle name="Normal 2 4 6 3 2 2 2" xfId="33321" xr:uid="{00000000-0005-0000-0000-0000FB800000}"/>
    <cellStyle name="Normal 2 4 6 3 2 2 2 2" xfId="33322" xr:uid="{00000000-0005-0000-0000-0000FC800000}"/>
    <cellStyle name="Normal 2 4 6 3 2 2 2 3" xfId="33323" xr:uid="{00000000-0005-0000-0000-0000FD800000}"/>
    <cellStyle name="Normal 2 4 6 3 2 2 2 4" xfId="33324" xr:uid="{00000000-0005-0000-0000-0000FE800000}"/>
    <cellStyle name="Normal 2 4 6 3 2 2 2 5" xfId="33325" xr:uid="{00000000-0005-0000-0000-0000FF800000}"/>
    <cellStyle name="Normal 2 4 6 3 2 2 3" xfId="33326" xr:uid="{00000000-0005-0000-0000-000000810000}"/>
    <cellStyle name="Normal 2 4 6 3 2 2 4" xfId="33327" xr:uid="{00000000-0005-0000-0000-000001810000}"/>
    <cellStyle name="Normal 2 4 6 3 2 2 5" xfId="33328" xr:uid="{00000000-0005-0000-0000-000002810000}"/>
    <cellStyle name="Normal 2 4 6 3 2 2 6" xfId="33329" xr:uid="{00000000-0005-0000-0000-000003810000}"/>
    <cellStyle name="Normal 2 4 6 3 2 2 7" xfId="33330" xr:uid="{00000000-0005-0000-0000-000004810000}"/>
    <cellStyle name="Normal 2 4 6 3 2 2 8" xfId="33331" xr:uid="{00000000-0005-0000-0000-000005810000}"/>
    <cellStyle name="Normal 2 4 6 3 2 3" xfId="33332" xr:uid="{00000000-0005-0000-0000-000006810000}"/>
    <cellStyle name="Normal 2 4 6 3 2 3 2" xfId="33333" xr:uid="{00000000-0005-0000-0000-000007810000}"/>
    <cellStyle name="Normal 2 4 6 3 2 3 2 2" xfId="33334" xr:uid="{00000000-0005-0000-0000-000008810000}"/>
    <cellStyle name="Normal 2 4 6 3 2 3 2 3" xfId="33335" xr:uid="{00000000-0005-0000-0000-000009810000}"/>
    <cellStyle name="Normal 2 4 6 3 2 3 2 4" xfId="33336" xr:uid="{00000000-0005-0000-0000-00000A810000}"/>
    <cellStyle name="Normal 2 4 6 3 2 3 2 5" xfId="33337" xr:uid="{00000000-0005-0000-0000-00000B810000}"/>
    <cellStyle name="Normal 2 4 6 3 2 3 3" xfId="33338" xr:uid="{00000000-0005-0000-0000-00000C810000}"/>
    <cellStyle name="Normal 2 4 6 3 2 3 4" xfId="33339" xr:uid="{00000000-0005-0000-0000-00000D810000}"/>
    <cellStyle name="Normal 2 4 6 3 2 3 5" xfId="33340" xr:uid="{00000000-0005-0000-0000-00000E810000}"/>
    <cellStyle name="Normal 2 4 6 3 2 3 6" xfId="33341" xr:uid="{00000000-0005-0000-0000-00000F810000}"/>
    <cellStyle name="Normal 2 4 6 3 2 3 7" xfId="33342" xr:uid="{00000000-0005-0000-0000-000010810000}"/>
    <cellStyle name="Normal 2 4 6 3 2 3 8" xfId="33343" xr:uid="{00000000-0005-0000-0000-000011810000}"/>
    <cellStyle name="Normal 2 4 6 3 2 4" xfId="33344" xr:uid="{00000000-0005-0000-0000-000012810000}"/>
    <cellStyle name="Normal 2 4 6 3 2 4 2" xfId="33345" xr:uid="{00000000-0005-0000-0000-000013810000}"/>
    <cellStyle name="Normal 2 4 6 3 2 4 3" xfId="33346" xr:uid="{00000000-0005-0000-0000-000014810000}"/>
    <cellStyle name="Normal 2 4 6 3 2 4 4" xfId="33347" xr:uid="{00000000-0005-0000-0000-000015810000}"/>
    <cellStyle name="Normal 2 4 6 3 2 4 5" xfId="33348" xr:uid="{00000000-0005-0000-0000-000016810000}"/>
    <cellStyle name="Normal 2 4 6 3 2 5" xfId="33349" xr:uid="{00000000-0005-0000-0000-000017810000}"/>
    <cellStyle name="Normal 2 4 6 3 2 6" xfId="33350" xr:uid="{00000000-0005-0000-0000-000018810000}"/>
    <cellStyle name="Normal 2 4 6 3 2 7" xfId="33351" xr:uid="{00000000-0005-0000-0000-000019810000}"/>
    <cellStyle name="Normal 2 4 6 3 2 8" xfId="33352" xr:uid="{00000000-0005-0000-0000-00001A810000}"/>
    <cellStyle name="Normal 2 4 6 3 2 9" xfId="33353" xr:uid="{00000000-0005-0000-0000-00001B810000}"/>
    <cellStyle name="Normal 2 4 6 3 3" xfId="33354" xr:uid="{00000000-0005-0000-0000-00001C810000}"/>
    <cellStyle name="Normal 2 4 6 3 3 2" xfId="33355" xr:uid="{00000000-0005-0000-0000-00001D810000}"/>
    <cellStyle name="Normal 2 4 6 3 3 2 2" xfId="33356" xr:uid="{00000000-0005-0000-0000-00001E810000}"/>
    <cellStyle name="Normal 2 4 6 3 3 2 3" xfId="33357" xr:uid="{00000000-0005-0000-0000-00001F810000}"/>
    <cellStyle name="Normal 2 4 6 3 3 2 4" xfId="33358" xr:uid="{00000000-0005-0000-0000-000020810000}"/>
    <cellStyle name="Normal 2 4 6 3 3 2 5" xfId="33359" xr:uid="{00000000-0005-0000-0000-000021810000}"/>
    <cellStyle name="Normal 2 4 6 3 3 3" xfId="33360" xr:uid="{00000000-0005-0000-0000-000022810000}"/>
    <cellStyle name="Normal 2 4 6 3 3 4" xfId="33361" xr:uid="{00000000-0005-0000-0000-000023810000}"/>
    <cellStyle name="Normal 2 4 6 3 3 5" xfId="33362" xr:uid="{00000000-0005-0000-0000-000024810000}"/>
    <cellStyle name="Normal 2 4 6 3 3 6" xfId="33363" xr:uid="{00000000-0005-0000-0000-000025810000}"/>
    <cellStyle name="Normal 2 4 6 3 3 7" xfId="33364" xr:uid="{00000000-0005-0000-0000-000026810000}"/>
    <cellStyle name="Normal 2 4 6 3 3 8" xfId="33365" xr:uid="{00000000-0005-0000-0000-000027810000}"/>
    <cellStyle name="Normal 2 4 6 3 4" xfId="33366" xr:uid="{00000000-0005-0000-0000-000028810000}"/>
    <cellStyle name="Normal 2 4 6 3 4 2" xfId="33367" xr:uid="{00000000-0005-0000-0000-000029810000}"/>
    <cellStyle name="Normal 2 4 6 3 4 2 2" xfId="33368" xr:uid="{00000000-0005-0000-0000-00002A810000}"/>
    <cellStyle name="Normal 2 4 6 3 4 2 3" xfId="33369" xr:uid="{00000000-0005-0000-0000-00002B810000}"/>
    <cellStyle name="Normal 2 4 6 3 4 2 4" xfId="33370" xr:uid="{00000000-0005-0000-0000-00002C810000}"/>
    <cellStyle name="Normal 2 4 6 3 4 2 5" xfId="33371" xr:uid="{00000000-0005-0000-0000-00002D810000}"/>
    <cellStyle name="Normal 2 4 6 3 4 3" xfId="33372" xr:uid="{00000000-0005-0000-0000-00002E810000}"/>
    <cellStyle name="Normal 2 4 6 3 4 4" xfId="33373" xr:uid="{00000000-0005-0000-0000-00002F810000}"/>
    <cellStyle name="Normal 2 4 6 3 4 5" xfId="33374" xr:uid="{00000000-0005-0000-0000-000030810000}"/>
    <cellStyle name="Normal 2 4 6 3 4 6" xfId="33375" xr:uid="{00000000-0005-0000-0000-000031810000}"/>
    <cellStyle name="Normal 2 4 6 3 4 7" xfId="33376" xr:uid="{00000000-0005-0000-0000-000032810000}"/>
    <cellStyle name="Normal 2 4 6 3 4 8" xfId="33377" xr:uid="{00000000-0005-0000-0000-000033810000}"/>
    <cellStyle name="Normal 2 4 6 3 5" xfId="33378" xr:uid="{00000000-0005-0000-0000-000034810000}"/>
    <cellStyle name="Normal 2 4 6 3 5 2" xfId="33379" xr:uid="{00000000-0005-0000-0000-000035810000}"/>
    <cellStyle name="Normal 2 4 6 3 5 3" xfId="33380" xr:uid="{00000000-0005-0000-0000-000036810000}"/>
    <cellStyle name="Normal 2 4 6 3 5 4" xfId="33381" xr:uid="{00000000-0005-0000-0000-000037810000}"/>
    <cellStyle name="Normal 2 4 6 3 5 5" xfId="33382" xr:uid="{00000000-0005-0000-0000-000038810000}"/>
    <cellStyle name="Normal 2 4 6 3 6" xfId="33383" xr:uid="{00000000-0005-0000-0000-000039810000}"/>
    <cellStyle name="Normal 2 4 6 3 7" xfId="33384" xr:uid="{00000000-0005-0000-0000-00003A810000}"/>
    <cellStyle name="Normal 2 4 6 3 8" xfId="33385" xr:uid="{00000000-0005-0000-0000-00003B810000}"/>
    <cellStyle name="Normal 2 4 6 3 9" xfId="33386" xr:uid="{00000000-0005-0000-0000-00003C810000}"/>
    <cellStyle name="Normal 2 4 6 4" xfId="33387" xr:uid="{00000000-0005-0000-0000-00003D810000}"/>
    <cellStyle name="Normal 2 4 6 4 10" xfId="33388" xr:uid="{00000000-0005-0000-0000-00003E810000}"/>
    <cellStyle name="Normal 2 4 6 4 2" xfId="33389" xr:uid="{00000000-0005-0000-0000-00003F810000}"/>
    <cellStyle name="Normal 2 4 6 4 2 2" xfId="33390" xr:uid="{00000000-0005-0000-0000-000040810000}"/>
    <cellStyle name="Normal 2 4 6 4 2 2 2" xfId="33391" xr:uid="{00000000-0005-0000-0000-000041810000}"/>
    <cellStyle name="Normal 2 4 6 4 2 2 3" xfId="33392" xr:uid="{00000000-0005-0000-0000-000042810000}"/>
    <cellStyle name="Normal 2 4 6 4 2 2 4" xfId="33393" xr:uid="{00000000-0005-0000-0000-000043810000}"/>
    <cellStyle name="Normal 2 4 6 4 2 2 5" xfId="33394" xr:uid="{00000000-0005-0000-0000-000044810000}"/>
    <cellStyle name="Normal 2 4 6 4 2 3" xfId="33395" xr:uid="{00000000-0005-0000-0000-000045810000}"/>
    <cellStyle name="Normal 2 4 6 4 2 4" xfId="33396" xr:uid="{00000000-0005-0000-0000-000046810000}"/>
    <cellStyle name="Normal 2 4 6 4 2 5" xfId="33397" xr:uid="{00000000-0005-0000-0000-000047810000}"/>
    <cellStyle name="Normal 2 4 6 4 2 6" xfId="33398" xr:uid="{00000000-0005-0000-0000-000048810000}"/>
    <cellStyle name="Normal 2 4 6 4 2 7" xfId="33399" xr:uid="{00000000-0005-0000-0000-000049810000}"/>
    <cellStyle name="Normal 2 4 6 4 2 8" xfId="33400" xr:uid="{00000000-0005-0000-0000-00004A810000}"/>
    <cellStyle name="Normal 2 4 6 4 3" xfId="33401" xr:uid="{00000000-0005-0000-0000-00004B810000}"/>
    <cellStyle name="Normal 2 4 6 4 3 2" xfId="33402" xr:uid="{00000000-0005-0000-0000-00004C810000}"/>
    <cellStyle name="Normal 2 4 6 4 3 2 2" xfId="33403" xr:uid="{00000000-0005-0000-0000-00004D810000}"/>
    <cellStyle name="Normal 2 4 6 4 3 2 3" xfId="33404" xr:uid="{00000000-0005-0000-0000-00004E810000}"/>
    <cellStyle name="Normal 2 4 6 4 3 2 4" xfId="33405" xr:uid="{00000000-0005-0000-0000-00004F810000}"/>
    <cellStyle name="Normal 2 4 6 4 3 2 5" xfId="33406" xr:uid="{00000000-0005-0000-0000-000050810000}"/>
    <cellStyle name="Normal 2 4 6 4 3 3" xfId="33407" xr:uid="{00000000-0005-0000-0000-000051810000}"/>
    <cellStyle name="Normal 2 4 6 4 3 4" xfId="33408" xr:uid="{00000000-0005-0000-0000-000052810000}"/>
    <cellStyle name="Normal 2 4 6 4 3 5" xfId="33409" xr:uid="{00000000-0005-0000-0000-000053810000}"/>
    <cellStyle name="Normal 2 4 6 4 3 6" xfId="33410" xr:uid="{00000000-0005-0000-0000-000054810000}"/>
    <cellStyle name="Normal 2 4 6 4 3 7" xfId="33411" xr:uid="{00000000-0005-0000-0000-000055810000}"/>
    <cellStyle name="Normal 2 4 6 4 3 8" xfId="33412" xr:uid="{00000000-0005-0000-0000-000056810000}"/>
    <cellStyle name="Normal 2 4 6 4 4" xfId="33413" xr:uid="{00000000-0005-0000-0000-000057810000}"/>
    <cellStyle name="Normal 2 4 6 4 4 2" xfId="33414" xr:uid="{00000000-0005-0000-0000-000058810000}"/>
    <cellStyle name="Normal 2 4 6 4 4 3" xfId="33415" xr:uid="{00000000-0005-0000-0000-000059810000}"/>
    <cellStyle name="Normal 2 4 6 4 4 4" xfId="33416" xr:uid="{00000000-0005-0000-0000-00005A810000}"/>
    <cellStyle name="Normal 2 4 6 4 4 5" xfId="33417" xr:uid="{00000000-0005-0000-0000-00005B810000}"/>
    <cellStyle name="Normal 2 4 6 4 5" xfId="33418" xr:uid="{00000000-0005-0000-0000-00005C810000}"/>
    <cellStyle name="Normal 2 4 6 4 6" xfId="33419" xr:uid="{00000000-0005-0000-0000-00005D810000}"/>
    <cellStyle name="Normal 2 4 6 4 7" xfId="33420" xr:uid="{00000000-0005-0000-0000-00005E810000}"/>
    <cellStyle name="Normal 2 4 6 4 8" xfId="33421" xr:uid="{00000000-0005-0000-0000-00005F810000}"/>
    <cellStyle name="Normal 2 4 6 4 9" xfId="33422" xr:uid="{00000000-0005-0000-0000-000060810000}"/>
    <cellStyle name="Normal 2 4 6 5" xfId="33423" xr:uid="{00000000-0005-0000-0000-000061810000}"/>
    <cellStyle name="Normal 2 4 6 5 2" xfId="33424" xr:uid="{00000000-0005-0000-0000-000062810000}"/>
    <cellStyle name="Normal 2 4 6 5 2 2" xfId="33425" xr:uid="{00000000-0005-0000-0000-000063810000}"/>
    <cellStyle name="Normal 2 4 6 5 2 3" xfId="33426" xr:uid="{00000000-0005-0000-0000-000064810000}"/>
    <cellStyle name="Normal 2 4 6 5 2 4" xfId="33427" xr:uid="{00000000-0005-0000-0000-000065810000}"/>
    <cellStyle name="Normal 2 4 6 5 2 5" xfId="33428" xr:uid="{00000000-0005-0000-0000-000066810000}"/>
    <cellStyle name="Normal 2 4 6 5 3" xfId="33429" xr:uid="{00000000-0005-0000-0000-000067810000}"/>
    <cellStyle name="Normal 2 4 6 5 4" xfId="33430" xr:uid="{00000000-0005-0000-0000-000068810000}"/>
    <cellStyle name="Normal 2 4 6 5 5" xfId="33431" xr:uid="{00000000-0005-0000-0000-000069810000}"/>
    <cellStyle name="Normal 2 4 6 5 6" xfId="33432" xr:uid="{00000000-0005-0000-0000-00006A810000}"/>
    <cellStyle name="Normal 2 4 6 5 7" xfId="33433" xr:uid="{00000000-0005-0000-0000-00006B810000}"/>
    <cellStyle name="Normal 2 4 6 5 8" xfId="33434" xr:uid="{00000000-0005-0000-0000-00006C810000}"/>
    <cellStyle name="Normal 2 4 6 6" xfId="33435" xr:uid="{00000000-0005-0000-0000-00006D810000}"/>
    <cellStyle name="Normal 2 4 6 6 2" xfId="33436" xr:uid="{00000000-0005-0000-0000-00006E810000}"/>
    <cellStyle name="Normal 2 4 6 6 2 2" xfId="33437" xr:uid="{00000000-0005-0000-0000-00006F810000}"/>
    <cellStyle name="Normal 2 4 6 6 2 3" xfId="33438" xr:uid="{00000000-0005-0000-0000-000070810000}"/>
    <cellStyle name="Normal 2 4 6 6 2 4" xfId="33439" xr:uid="{00000000-0005-0000-0000-000071810000}"/>
    <cellStyle name="Normal 2 4 6 6 2 5" xfId="33440" xr:uid="{00000000-0005-0000-0000-000072810000}"/>
    <cellStyle name="Normal 2 4 6 6 3" xfId="33441" xr:uid="{00000000-0005-0000-0000-000073810000}"/>
    <cellStyle name="Normal 2 4 6 6 4" xfId="33442" xr:uid="{00000000-0005-0000-0000-000074810000}"/>
    <cellStyle name="Normal 2 4 6 6 5" xfId="33443" xr:uid="{00000000-0005-0000-0000-000075810000}"/>
    <cellStyle name="Normal 2 4 6 6 6" xfId="33444" xr:uid="{00000000-0005-0000-0000-000076810000}"/>
    <cellStyle name="Normal 2 4 6 6 7" xfId="33445" xr:uid="{00000000-0005-0000-0000-000077810000}"/>
    <cellStyle name="Normal 2 4 6 6 8" xfId="33446" xr:uid="{00000000-0005-0000-0000-000078810000}"/>
    <cellStyle name="Normal 2 4 6 7" xfId="33447" xr:uid="{00000000-0005-0000-0000-000079810000}"/>
    <cellStyle name="Normal 2 4 6 7 2" xfId="33448" xr:uid="{00000000-0005-0000-0000-00007A810000}"/>
    <cellStyle name="Normal 2 4 6 7 3" xfId="33449" xr:uid="{00000000-0005-0000-0000-00007B810000}"/>
    <cellStyle name="Normal 2 4 6 7 4" xfId="33450" xr:uid="{00000000-0005-0000-0000-00007C810000}"/>
    <cellStyle name="Normal 2 4 6 7 5" xfId="33451" xr:uid="{00000000-0005-0000-0000-00007D810000}"/>
    <cellStyle name="Normal 2 4 6 8" xfId="33452" xr:uid="{00000000-0005-0000-0000-00007E810000}"/>
    <cellStyle name="Normal 2 4 6 9" xfId="33453" xr:uid="{00000000-0005-0000-0000-00007F810000}"/>
    <cellStyle name="Normal 2 4 7" xfId="33454" xr:uid="{00000000-0005-0000-0000-000080810000}"/>
    <cellStyle name="Normal 2 4 7 10" xfId="33455" xr:uid="{00000000-0005-0000-0000-000081810000}"/>
    <cellStyle name="Normal 2 4 7 11" xfId="33456" xr:uid="{00000000-0005-0000-0000-000082810000}"/>
    <cellStyle name="Normal 2 4 7 12" xfId="33457" xr:uid="{00000000-0005-0000-0000-000083810000}"/>
    <cellStyle name="Normal 2 4 7 13" xfId="33458" xr:uid="{00000000-0005-0000-0000-000084810000}"/>
    <cellStyle name="Normal 2 4 7 2" xfId="33459" xr:uid="{00000000-0005-0000-0000-000085810000}"/>
    <cellStyle name="Normal 2 4 7 2 10" xfId="33460" xr:uid="{00000000-0005-0000-0000-000086810000}"/>
    <cellStyle name="Normal 2 4 7 2 11" xfId="33461" xr:uid="{00000000-0005-0000-0000-000087810000}"/>
    <cellStyle name="Normal 2 4 7 2 2" xfId="33462" xr:uid="{00000000-0005-0000-0000-000088810000}"/>
    <cellStyle name="Normal 2 4 7 2 2 10" xfId="33463" xr:uid="{00000000-0005-0000-0000-000089810000}"/>
    <cellStyle name="Normal 2 4 7 2 2 2" xfId="33464" xr:uid="{00000000-0005-0000-0000-00008A810000}"/>
    <cellStyle name="Normal 2 4 7 2 2 2 2" xfId="33465" xr:uid="{00000000-0005-0000-0000-00008B810000}"/>
    <cellStyle name="Normal 2 4 7 2 2 2 2 2" xfId="33466" xr:uid="{00000000-0005-0000-0000-00008C810000}"/>
    <cellStyle name="Normal 2 4 7 2 2 2 2 3" xfId="33467" xr:uid="{00000000-0005-0000-0000-00008D810000}"/>
    <cellStyle name="Normal 2 4 7 2 2 2 2 4" xfId="33468" xr:uid="{00000000-0005-0000-0000-00008E810000}"/>
    <cellStyle name="Normal 2 4 7 2 2 2 2 5" xfId="33469" xr:uid="{00000000-0005-0000-0000-00008F810000}"/>
    <cellStyle name="Normal 2 4 7 2 2 2 3" xfId="33470" xr:uid="{00000000-0005-0000-0000-000090810000}"/>
    <cellStyle name="Normal 2 4 7 2 2 2 4" xfId="33471" xr:uid="{00000000-0005-0000-0000-000091810000}"/>
    <cellStyle name="Normal 2 4 7 2 2 2 5" xfId="33472" xr:uid="{00000000-0005-0000-0000-000092810000}"/>
    <cellStyle name="Normal 2 4 7 2 2 2 6" xfId="33473" xr:uid="{00000000-0005-0000-0000-000093810000}"/>
    <cellStyle name="Normal 2 4 7 2 2 2 7" xfId="33474" xr:uid="{00000000-0005-0000-0000-000094810000}"/>
    <cellStyle name="Normal 2 4 7 2 2 2 8" xfId="33475" xr:uid="{00000000-0005-0000-0000-000095810000}"/>
    <cellStyle name="Normal 2 4 7 2 2 3" xfId="33476" xr:uid="{00000000-0005-0000-0000-000096810000}"/>
    <cellStyle name="Normal 2 4 7 2 2 3 2" xfId="33477" xr:uid="{00000000-0005-0000-0000-000097810000}"/>
    <cellStyle name="Normal 2 4 7 2 2 3 2 2" xfId="33478" xr:uid="{00000000-0005-0000-0000-000098810000}"/>
    <cellStyle name="Normal 2 4 7 2 2 3 2 3" xfId="33479" xr:uid="{00000000-0005-0000-0000-000099810000}"/>
    <cellStyle name="Normal 2 4 7 2 2 3 2 4" xfId="33480" xr:uid="{00000000-0005-0000-0000-00009A810000}"/>
    <cellStyle name="Normal 2 4 7 2 2 3 2 5" xfId="33481" xr:uid="{00000000-0005-0000-0000-00009B810000}"/>
    <cellStyle name="Normal 2 4 7 2 2 3 3" xfId="33482" xr:uid="{00000000-0005-0000-0000-00009C810000}"/>
    <cellStyle name="Normal 2 4 7 2 2 3 4" xfId="33483" xr:uid="{00000000-0005-0000-0000-00009D810000}"/>
    <cellStyle name="Normal 2 4 7 2 2 3 5" xfId="33484" xr:uid="{00000000-0005-0000-0000-00009E810000}"/>
    <cellStyle name="Normal 2 4 7 2 2 3 6" xfId="33485" xr:uid="{00000000-0005-0000-0000-00009F810000}"/>
    <cellStyle name="Normal 2 4 7 2 2 3 7" xfId="33486" xr:uid="{00000000-0005-0000-0000-0000A0810000}"/>
    <cellStyle name="Normal 2 4 7 2 2 3 8" xfId="33487" xr:uid="{00000000-0005-0000-0000-0000A1810000}"/>
    <cellStyle name="Normal 2 4 7 2 2 4" xfId="33488" xr:uid="{00000000-0005-0000-0000-0000A2810000}"/>
    <cellStyle name="Normal 2 4 7 2 2 4 2" xfId="33489" xr:uid="{00000000-0005-0000-0000-0000A3810000}"/>
    <cellStyle name="Normal 2 4 7 2 2 4 3" xfId="33490" xr:uid="{00000000-0005-0000-0000-0000A4810000}"/>
    <cellStyle name="Normal 2 4 7 2 2 4 4" xfId="33491" xr:uid="{00000000-0005-0000-0000-0000A5810000}"/>
    <cellStyle name="Normal 2 4 7 2 2 4 5" xfId="33492" xr:uid="{00000000-0005-0000-0000-0000A6810000}"/>
    <cellStyle name="Normal 2 4 7 2 2 5" xfId="33493" xr:uid="{00000000-0005-0000-0000-0000A7810000}"/>
    <cellStyle name="Normal 2 4 7 2 2 6" xfId="33494" xr:uid="{00000000-0005-0000-0000-0000A8810000}"/>
    <cellStyle name="Normal 2 4 7 2 2 7" xfId="33495" xr:uid="{00000000-0005-0000-0000-0000A9810000}"/>
    <cellStyle name="Normal 2 4 7 2 2 8" xfId="33496" xr:uid="{00000000-0005-0000-0000-0000AA810000}"/>
    <cellStyle name="Normal 2 4 7 2 2 9" xfId="33497" xr:uid="{00000000-0005-0000-0000-0000AB810000}"/>
    <cellStyle name="Normal 2 4 7 2 3" xfId="33498" xr:uid="{00000000-0005-0000-0000-0000AC810000}"/>
    <cellStyle name="Normal 2 4 7 2 3 2" xfId="33499" xr:uid="{00000000-0005-0000-0000-0000AD810000}"/>
    <cellStyle name="Normal 2 4 7 2 3 2 2" xfId="33500" xr:uid="{00000000-0005-0000-0000-0000AE810000}"/>
    <cellStyle name="Normal 2 4 7 2 3 2 3" xfId="33501" xr:uid="{00000000-0005-0000-0000-0000AF810000}"/>
    <cellStyle name="Normal 2 4 7 2 3 2 4" xfId="33502" xr:uid="{00000000-0005-0000-0000-0000B0810000}"/>
    <cellStyle name="Normal 2 4 7 2 3 2 5" xfId="33503" xr:uid="{00000000-0005-0000-0000-0000B1810000}"/>
    <cellStyle name="Normal 2 4 7 2 3 3" xfId="33504" xr:uid="{00000000-0005-0000-0000-0000B2810000}"/>
    <cellStyle name="Normal 2 4 7 2 3 4" xfId="33505" xr:uid="{00000000-0005-0000-0000-0000B3810000}"/>
    <cellStyle name="Normal 2 4 7 2 3 5" xfId="33506" xr:uid="{00000000-0005-0000-0000-0000B4810000}"/>
    <cellStyle name="Normal 2 4 7 2 3 6" xfId="33507" xr:uid="{00000000-0005-0000-0000-0000B5810000}"/>
    <cellStyle name="Normal 2 4 7 2 3 7" xfId="33508" xr:uid="{00000000-0005-0000-0000-0000B6810000}"/>
    <cellStyle name="Normal 2 4 7 2 3 8" xfId="33509" xr:uid="{00000000-0005-0000-0000-0000B7810000}"/>
    <cellStyle name="Normal 2 4 7 2 4" xfId="33510" xr:uid="{00000000-0005-0000-0000-0000B8810000}"/>
    <cellStyle name="Normal 2 4 7 2 4 2" xfId="33511" xr:uid="{00000000-0005-0000-0000-0000B9810000}"/>
    <cellStyle name="Normal 2 4 7 2 4 2 2" xfId="33512" xr:uid="{00000000-0005-0000-0000-0000BA810000}"/>
    <cellStyle name="Normal 2 4 7 2 4 2 3" xfId="33513" xr:uid="{00000000-0005-0000-0000-0000BB810000}"/>
    <cellStyle name="Normal 2 4 7 2 4 2 4" xfId="33514" xr:uid="{00000000-0005-0000-0000-0000BC810000}"/>
    <cellStyle name="Normal 2 4 7 2 4 2 5" xfId="33515" xr:uid="{00000000-0005-0000-0000-0000BD810000}"/>
    <cellStyle name="Normal 2 4 7 2 4 3" xfId="33516" xr:uid="{00000000-0005-0000-0000-0000BE810000}"/>
    <cellStyle name="Normal 2 4 7 2 4 4" xfId="33517" xr:uid="{00000000-0005-0000-0000-0000BF810000}"/>
    <cellStyle name="Normal 2 4 7 2 4 5" xfId="33518" xr:uid="{00000000-0005-0000-0000-0000C0810000}"/>
    <cellStyle name="Normal 2 4 7 2 4 6" xfId="33519" xr:uid="{00000000-0005-0000-0000-0000C1810000}"/>
    <cellStyle name="Normal 2 4 7 2 4 7" xfId="33520" xr:uid="{00000000-0005-0000-0000-0000C2810000}"/>
    <cellStyle name="Normal 2 4 7 2 4 8" xfId="33521" xr:uid="{00000000-0005-0000-0000-0000C3810000}"/>
    <cellStyle name="Normal 2 4 7 2 5" xfId="33522" xr:uid="{00000000-0005-0000-0000-0000C4810000}"/>
    <cellStyle name="Normal 2 4 7 2 5 2" xfId="33523" xr:uid="{00000000-0005-0000-0000-0000C5810000}"/>
    <cellStyle name="Normal 2 4 7 2 5 3" xfId="33524" xr:uid="{00000000-0005-0000-0000-0000C6810000}"/>
    <cellStyle name="Normal 2 4 7 2 5 4" xfId="33525" xr:uid="{00000000-0005-0000-0000-0000C7810000}"/>
    <cellStyle name="Normal 2 4 7 2 5 5" xfId="33526" xr:uid="{00000000-0005-0000-0000-0000C8810000}"/>
    <cellStyle name="Normal 2 4 7 2 6" xfId="33527" xr:uid="{00000000-0005-0000-0000-0000C9810000}"/>
    <cellStyle name="Normal 2 4 7 2 7" xfId="33528" xr:uid="{00000000-0005-0000-0000-0000CA810000}"/>
    <cellStyle name="Normal 2 4 7 2 8" xfId="33529" xr:uid="{00000000-0005-0000-0000-0000CB810000}"/>
    <cellStyle name="Normal 2 4 7 2 9" xfId="33530" xr:uid="{00000000-0005-0000-0000-0000CC810000}"/>
    <cellStyle name="Normal 2 4 7 3" xfId="33531" xr:uid="{00000000-0005-0000-0000-0000CD810000}"/>
    <cellStyle name="Normal 2 4 7 3 10" xfId="33532" xr:uid="{00000000-0005-0000-0000-0000CE810000}"/>
    <cellStyle name="Normal 2 4 7 3 11" xfId="33533" xr:uid="{00000000-0005-0000-0000-0000CF810000}"/>
    <cellStyle name="Normal 2 4 7 3 2" xfId="33534" xr:uid="{00000000-0005-0000-0000-0000D0810000}"/>
    <cellStyle name="Normal 2 4 7 3 2 10" xfId="33535" xr:uid="{00000000-0005-0000-0000-0000D1810000}"/>
    <cellStyle name="Normal 2 4 7 3 2 2" xfId="33536" xr:uid="{00000000-0005-0000-0000-0000D2810000}"/>
    <cellStyle name="Normal 2 4 7 3 2 2 2" xfId="33537" xr:uid="{00000000-0005-0000-0000-0000D3810000}"/>
    <cellStyle name="Normal 2 4 7 3 2 2 2 2" xfId="33538" xr:uid="{00000000-0005-0000-0000-0000D4810000}"/>
    <cellStyle name="Normal 2 4 7 3 2 2 2 3" xfId="33539" xr:uid="{00000000-0005-0000-0000-0000D5810000}"/>
    <cellStyle name="Normal 2 4 7 3 2 2 2 4" xfId="33540" xr:uid="{00000000-0005-0000-0000-0000D6810000}"/>
    <cellStyle name="Normal 2 4 7 3 2 2 2 5" xfId="33541" xr:uid="{00000000-0005-0000-0000-0000D7810000}"/>
    <cellStyle name="Normal 2 4 7 3 2 2 3" xfId="33542" xr:uid="{00000000-0005-0000-0000-0000D8810000}"/>
    <cellStyle name="Normal 2 4 7 3 2 2 4" xfId="33543" xr:uid="{00000000-0005-0000-0000-0000D9810000}"/>
    <cellStyle name="Normal 2 4 7 3 2 2 5" xfId="33544" xr:uid="{00000000-0005-0000-0000-0000DA810000}"/>
    <cellStyle name="Normal 2 4 7 3 2 2 6" xfId="33545" xr:uid="{00000000-0005-0000-0000-0000DB810000}"/>
    <cellStyle name="Normal 2 4 7 3 2 2 7" xfId="33546" xr:uid="{00000000-0005-0000-0000-0000DC810000}"/>
    <cellStyle name="Normal 2 4 7 3 2 2 8" xfId="33547" xr:uid="{00000000-0005-0000-0000-0000DD810000}"/>
    <cellStyle name="Normal 2 4 7 3 2 3" xfId="33548" xr:uid="{00000000-0005-0000-0000-0000DE810000}"/>
    <cellStyle name="Normal 2 4 7 3 2 3 2" xfId="33549" xr:uid="{00000000-0005-0000-0000-0000DF810000}"/>
    <cellStyle name="Normal 2 4 7 3 2 3 2 2" xfId="33550" xr:uid="{00000000-0005-0000-0000-0000E0810000}"/>
    <cellStyle name="Normal 2 4 7 3 2 3 2 3" xfId="33551" xr:uid="{00000000-0005-0000-0000-0000E1810000}"/>
    <cellStyle name="Normal 2 4 7 3 2 3 2 4" xfId="33552" xr:uid="{00000000-0005-0000-0000-0000E2810000}"/>
    <cellStyle name="Normal 2 4 7 3 2 3 2 5" xfId="33553" xr:uid="{00000000-0005-0000-0000-0000E3810000}"/>
    <cellStyle name="Normal 2 4 7 3 2 3 3" xfId="33554" xr:uid="{00000000-0005-0000-0000-0000E4810000}"/>
    <cellStyle name="Normal 2 4 7 3 2 3 4" xfId="33555" xr:uid="{00000000-0005-0000-0000-0000E5810000}"/>
    <cellStyle name="Normal 2 4 7 3 2 3 5" xfId="33556" xr:uid="{00000000-0005-0000-0000-0000E6810000}"/>
    <cellStyle name="Normal 2 4 7 3 2 3 6" xfId="33557" xr:uid="{00000000-0005-0000-0000-0000E7810000}"/>
    <cellStyle name="Normal 2 4 7 3 2 3 7" xfId="33558" xr:uid="{00000000-0005-0000-0000-0000E8810000}"/>
    <cellStyle name="Normal 2 4 7 3 2 3 8" xfId="33559" xr:uid="{00000000-0005-0000-0000-0000E9810000}"/>
    <cellStyle name="Normal 2 4 7 3 2 4" xfId="33560" xr:uid="{00000000-0005-0000-0000-0000EA810000}"/>
    <cellStyle name="Normal 2 4 7 3 2 4 2" xfId="33561" xr:uid="{00000000-0005-0000-0000-0000EB810000}"/>
    <cellStyle name="Normal 2 4 7 3 2 4 3" xfId="33562" xr:uid="{00000000-0005-0000-0000-0000EC810000}"/>
    <cellStyle name="Normal 2 4 7 3 2 4 4" xfId="33563" xr:uid="{00000000-0005-0000-0000-0000ED810000}"/>
    <cellStyle name="Normal 2 4 7 3 2 4 5" xfId="33564" xr:uid="{00000000-0005-0000-0000-0000EE810000}"/>
    <cellStyle name="Normal 2 4 7 3 2 5" xfId="33565" xr:uid="{00000000-0005-0000-0000-0000EF810000}"/>
    <cellStyle name="Normal 2 4 7 3 2 6" xfId="33566" xr:uid="{00000000-0005-0000-0000-0000F0810000}"/>
    <cellStyle name="Normal 2 4 7 3 2 7" xfId="33567" xr:uid="{00000000-0005-0000-0000-0000F1810000}"/>
    <cellStyle name="Normal 2 4 7 3 2 8" xfId="33568" xr:uid="{00000000-0005-0000-0000-0000F2810000}"/>
    <cellStyle name="Normal 2 4 7 3 2 9" xfId="33569" xr:uid="{00000000-0005-0000-0000-0000F3810000}"/>
    <cellStyle name="Normal 2 4 7 3 3" xfId="33570" xr:uid="{00000000-0005-0000-0000-0000F4810000}"/>
    <cellStyle name="Normal 2 4 7 3 3 2" xfId="33571" xr:uid="{00000000-0005-0000-0000-0000F5810000}"/>
    <cellStyle name="Normal 2 4 7 3 3 2 2" xfId="33572" xr:uid="{00000000-0005-0000-0000-0000F6810000}"/>
    <cellStyle name="Normal 2 4 7 3 3 2 3" xfId="33573" xr:uid="{00000000-0005-0000-0000-0000F7810000}"/>
    <cellStyle name="Normal 2 4 7 3 3 2 4" xfId="33574" xr:uid="{00000000-0005-0000-0000-0000F8810000}"/>
    <cellStyle name="Normal 2 4 7 3 3 2 5" xfId="33575" xr:uid="{00000000-0005-0000-0000-0000F9810000}"/>
    <cellStyle name="Normal 2 4 7 3 3 3" xfId="33576" xr:uid="{00000000-0005-0000-0000-0000FA810000}"/>
    <cellStyle name="Normal 2 4 7 3 3 4" xfId="33577" xr:uid="{00000000-0005-0000-0000-0000FB810000}"/>
    <cellStyle name="Normal 2 4 7 3 3 5" xfId="33578" xr:uid="{00000000-0005-0000-0000-0000FC810000}"/>
    <cellStyle name="Normal 2 4 7 3 3 6" xfId="33579" xr:uid="{00000000-0005-0000-0000-0000FD810000}"/>
    <cellStyle name="Normal 2 4 7 3 3 7" xfId="33580" xr:uid="{00000000-0005-0000-0000-0000FE810000}"/>
    <cellStyle name="Normal 2 4 7 3 3 8" xfId="33581" xr:uid="{00000000-0005-0000-0000-0000FF810000}"/>
    <cellStyle name="Normal 2 4 7 3 4" xfId="33582" xr:uid="{00000000-0005-0000-0000-000000820000}"/>
    <cellStyle name="Normal 2 4 7 3 4 2" xfId="33583" xr:uid="{00000000-0005-0000-0000-000001820000}"/>
    <cellStyle name="Normal 2 4 7 3 4 2 2" xfId="33584" xr:uid="{00000000-0005-0000-0000-000002820000}"/>
    <cellStyle name="Normal 2 4 7 3 4 2 3" xfId="33585" xr:uid="{00000000-0005-0000-0000-000003820000}"/>
    <cellStyle name="Normal 2 4 7 3 4 2 4" xfId="33586" xr:uid="{00000000-0005-0000-0000-000004820000}"/>
    <cellStyle name="Normal 2 4 7 3 4 2 5" xfId="33587" xr:uid="{00000000-0005-0000-0000-000005820000}"/>
    <cellStyle name="Normal 2 4 7 3 4 3" xfId="33588" xr:uid="{00000000-0005-0000-0000-000006820000}"/>
    <cellStyle name="Normal 2 4 7 3 4 4" xfId="33589" xr:uid="{00000000-0005-0000-0000-000007820000}"/>
    <cellStyle name="Normal 2 4 7 3 4 5" xfId="33590" xr:uid="{00000000-0005-0000-0000-000008820000}"/>
    <cellStyle name="Normal 2 4 7 3 4 6" xfId="33591" xr:uid="{00000000-0005-0000-0000-000009820000}"/>
    <cellStyle name="Normal 2 4 7 3 4 7" xfId="33592" xr:uid="{00000000-0005-0000-0000-00000A820000}"/>
    <cellStyle name="Normal 2 4 7 3 4 8" xfId="33593" xr:uid="{00000000-0005-0000-0000-00000B820000}"/>
    <cellStyle name="Normal 2 4 7 3 5" xfId="33594" xr:uid="{00000000-0005-0000-0000-00000C820000}"/>
    <cellStyle name="Normal 2 4 7 3 5 2" xfId="33595" xr:uid="{00000000-0005-0000-0000-00000D820000}"/>
    <cellStyle name="Normal 2 4 7 3 5 3" xfId="33596" xr:uid="{00000000-0005-0000-0000-00000E820000}"/>
    <cellStyle name="Normal 2 4 7 3 5 4" xfId="33597" xr:uid="{00000000-0005-0000-0000-00000F820000}"/>
    <cellStyle name="Normal 2 4 7 3 5 5" xfId="33598" xr:uid="{00000000-0005-0000-0000-000010820000}"/>
    <cellStyle name="Normal 2 4 7 3 6" xfId="33599" xr:uid="{00000000-0005-0000-0000-000011820000}"/>
    <cellStyle name="Normal 2 4 7 3 7" xfId="33600" xr:uid="{00000000-0005-0000-0000-000012820000}"/>
    <cellStyle name="Normal 2 4 7 3 8" xfId="33601" xr:uid="{00000000-0005-0000-0000-000013820000}"/>
    <cellStyle name="Normal 2 4 7 3 9" xfId="33602" xr:uid="{00000000-0005-0000-0000-000014820000}"/>
    <cellStyle name="Normal 2 4 7 4" xfId="33603" xr:uid="{00000000-0005-0000-0000-000015820000}"/>
    <cellStyle name="Normal 2 4 7 4 10" xfId="33604" xr:uid="{00000000-0005-0000-0000-000016820000}"/>
    <cellStyle name="Normal 2 4 7 4 2" xfId="33605" xr:uid="{00000000-0005-0000-0000-000017820000}"/>
    <cellStyle name="Normal 2 4 7 4 2 2" xfId="33606" xr:uid="{00000000-0005-0000-0000-000018820000}"/>
    <cellStyle name="Normal 2 4 7 4 2 2 2" xfId="33607" xr:uid="{00000000-0005-0000-0000-000019820000}"/>
    <cellStyle name="Normal 2 4 7 4 2 2 3" xfId="33608" xr:uid="{00000000-0005-0000-0000-00001A820000}"/>
    <cellStyle name="Normal 2 4 7 4 2 2 4" xfId="33609" xr:uid="{00000000-0005-0000-0000-00001B820000}"/>
    <cellStyle name="Normal 2 4 7 4 2 2 5" xfId="33610" xr:uid="{00000000-0005-0000-0000-00001C820000}"/>
    <cellStyle name="Normal 2 4 7 4 2 3" xfId="33611" xr:uid="{00000000-0005-0000-0000-00001D820000}"/>
    <cellStyle name="Normal 2 4 7 4 2 4" xfId="33612" xr:uid="{00000000-0005-0000-0000-00001E820000}"/>
    <cellStyle name="Normal 2 4 7 4 2 5" xfId="33613" xr:uid="{00000000-0005-0000-0000-00001F820000}"/>
    <cellStyle name="Normal 2 4 7 4 2 6" xfId="33614" xr:uid="{00000000-0005-0000-0000-000020820000}"/>
    <cellStyle name="Normal 2 4 7 4 2 7" xfId="33615" xr:uid="{00000000-0005-0000-0000-000021820000}"/>
    <cellStyle name="Normal 2 4 7 4 2 8" xfId="33616" xr:uid="{00000000-0005-0000-0000-000022820000}"/>
    <cellStyle name="Normal 2 4 7 4 3" xfId="33617" xr:uid="{00000000-0005-0000-0000-000023820000}"/>
    <cellStyle name="Normal 2 4 7 4 3 2" xfId="33618" xr:uid="{00000000-0005-0000-0000-000024820000}"/>
    <cellStyle name="Normal 2 4 7 4 3 2 2" xfId="33619" xr:uid="{00000000-0005-0000-0000-000025820000}"/>
    <cellStyle name="Normal 2 4 7 4 3 2 3" xfId="33620" xr:uid="{00000000-0005-0000-0000-000026820000}"/>
    <cellStyle name="Normal 2 4 7 4 3 2 4" xfId="33621" xr:uid="{00000000-0005-0000-0000-000027820000}"/>
    <cellStyle name="Normal 2 4 7 4 3 2 5" xfId="33622" xr:uid="{00000000-0005-0000-0000-000028820000}"/>
    <cellStyle name="Normal 2 4 7 4 3 3" xfId="33623" xr:uid="{00000000-0005-0000-0000-000029820000}"/>
    <cellStyle name="Normal 2 4 7 4 3 4" xfId="33624" xr:uid="{00000000-0005-0000-0000-00002A820000}"/>
    <cellStyle name="Normal 2 4 7 4 3 5" xfId="33625" xr:uid="{00000000-0005-0000-0000-00002B820000}"/>
    <cellStyle name="Normal 2 4 7 4 3 6" xfId="33626" xr:uid="{00000000-0005-0000-0000-00002C820000}"/>
    <cellStyle name="Normal 2 4 7 4 3 7" xfId="33627" xr:uid="{00000000-0005-0000-0000-00002D820000}"/>
    <cellStyle name="Normal 2 4 7 4 3 8" xfId="33628" xr:uid="{00000000-0005-0000-0000-00002E820000}"/>
    <cellStyle name="Normal 2 4 7 4 4" xfId="33629" xr:uid="{00000000-0005-0000-0000-00002F820000}"/>
    <cellStyle name="Normal 2 4 7 4 4 2" xfId="33630" xr:uid="{00000000-0005-0000-0000-000030820000}"/>
    <cellStyle name="Normal 2 4 7 4 4 3" xfId="33631" xr:uid="{00000000-0005-0000-0000-000031820000}"/>
    <cellStyle name="Normal 2 4 7 4 4 4" xfId="33632" xr:uid="{00000000-0005-0000-0000-000032820000}"/>
    <cellStyle name="Normal 2 4 7 4 4 5" xfId="33633" xr:uid="{00000000-0005-0000-0000-000033820000}"/>
    <cellStyle name="Normal 2 4 7 4 5" xfId="33634" xr:uid="{00000000-0005-0000-0000-000034820000}"/>
    <cellStyle name="Normal 2 4 7 4 6" xfId="33635" xr:uid="{00000000-0005-0000-0000-000035820000}"/>
    <cellStyle name="Normal 2 4 7 4 7" xfId="33636" xr:uid="{00000000-0005-0000-0000-000036820000}"/>
    <cellStyle name="Normal 2 4 7 4 8" xfId="33637" xr:uid="{00000000-0005-0000-0000-000037820000}"/>
    <cellStyle name="Normal 2 4 7 4 9" xfId="33638" xr:uid="{00000000-0005-0000-0000-000038820000}"/>
    <cellStyle name="Normal 2 4 7 5" xfId="33639" xr:uid="{00000000-0005-0000-0000-000039820000}"/>
    <cellStyle name="Normal 2 4 7 5 2" xfId="33640" xr:uid="{00000000-0005-0000-0000-00003A820000}"/>
    <cellStyle name="Normal 2 4 7 5 2 2" xfId="33641" xr:uid="{00000000-0005-0000-0000-00003B820000}"/>
    <cellStyle name="Normal 2 4 7 5 2 3" xfId="33642" xr:uid="{00000000-0005-0000-0000-00003C820000}"/>
    <cellStyle name="Normal 2 4 7 5 2 4" xfId="33643" xr:uid="{00000000-0005-0000-0000-00003D820000}"/>
    <cellStyle name="Normal 2 4 7 5 2 5" xfId="33644" xr:uid="{00000000-0005-0000-0000-00003E820000}"/>
    <cellStyle name="Normal 2 4 7 5 3" xfId="33645" xr:uid="{00000000-0005-0000-0000-00003F820000}"/>
    <cellStyle name="Normal 2 4 7 5 4" xfId="33646" xr:uid="{00000000-0005-0000-0000-000040820000}"/>
    <cellStyle name="Normal 2 4 7 5 5" xfId="33647" xr:uid="{00000000-0005-0000-0000-000041820000}"/>
    <cellStyle name="Normal 2 4 7 5 6" xfId="33648" xr:uid="{00000000-0005-0000-0000-000042820000}"/>
    <cellStyle name="Normal 2 4 7 5 7" xfId="33649" xr:uid="{00000000-0005-0000-0000-000043820000}"/>
    <cellStyle name="Normal 2 4 7 5 8" xfId="33650" xr:uid="{00000000-0005-0000-0000-000044820000}"/>
    <cellStyle name="Normal 2 4 7 6" xfId="33651" xr:uid="{00000000-0005-0000-0000-000045820000}"/>
    <cellStyle name="Normal 2 4 7 6 2" xfId="33652" xr:uid="{00000000-0005-0000-0000-000046820000}"/>
    <cellStyle name="Normal 2 4 7 6 2 2" xfId="33653" xr:uid="{00000000-0005-0000-0000-000047820000}"/>
    <cellStyle name="Normal 2 4 7 6 2 3" xfId="33654" xr:uid="{00000000-0005-0000-0000-000048820000}"/>
    <cellStyle name="Normal 2 4 7 6 2 4" xfId="33655" xr:uid="{00000000-0005-0000-0000-000049820000}"/>
    <cellStyle name="Normal 2 4 7 6 2 5" xfId="33656" xr:uid="{00000000-0005-0000-0000-00004A820000}"/>
    <cellStyle name="Normal 2 4 7 6 3" xfId="33657" xr:uid="{00000000-0005-0000-0000-00004B820000}"/>
    <cellStyle name="Normal 2 4 7 6 4" xfId="33658" xr:uid="{00000000-0005-0000-0000-00004C820000}"/>
    <cellStyle name="Normal 2 4 7 6 5" xfId="33659" xr:uid="{00000000-0005-0000-0000-00004D820000}"/>
    <cellStyle name="Normal 2 4 7 6 6" xfId="33660" xr:uid="{00000000-0005-0000-0000-00004E820000}"/>
    <cellStyle name="Normal 2 4 7 6 7" xfId="33661" xr:uid="{00000000-0005-0000-0000-00004F820000}"/>
    <cellStyle name="Normal 2 4 7 6 8" xfId="33662" xr:uid="{00000000-0005-0000-0000-000050820000}"/>
    <cellStyle name="Normal 2 4 7 7" xfId="33663" xr:uid="{00000000-0005-0000-0000-000051820000}"/>
    <cellStyle name="Normal 2 4 7 7 2" xfId="33664" xr:uid="{00000000-0005-0000-0000-000052820000}"/>
    <cellStyle name="Normal 2 4 7 7 3" xfId="33665" xr:uid="{00000000-0005-0000-0000-000053820000}"/>
    <cellStyle name="Normal 2 4 7 7 4" xfId="33666" xr:uid="{00000000-0005-0000-0000-000054820000}"/>
    <cellStyle name="Normal 2 4 7 7 5" xfId="33667" xr:uid="{00000000-0005-0000-0000-000055820000}"/>
    <cellStyle name="Normal 2 4 7 8" xfId="33668" xr:uid="{00000000-0005-0000-0000-000056820000}"/>
    <cellStyle name="Normal 2 4 7 9" xfId="33669" xr:uid="{00000000-0005-0000-0000-000057820000}"/>
    <cellStyle name="Normal 2 4 8" xfId="33670" xr:uid="{00000000-0005-0000-0000-000058820000}"/>
    <cellStyle name="Normal 2 4 8 10" xfId="33671" xr:uid="{00000000-0005-0000-0000-000059820000}"/>
    <cellStyle name="Normal 2 4 8 11" xfId="33672" xr:uid="{00000000-0005-0000-0000-00005A820000}"/>
    <cellStyle name="Normal 2 4 8 12" xfId="33673" xr:uid="{00000000-0005-0000-0000-00005B820000}"/>
    <cellStyle name="Normal 2 4 8 13" xfId="33674" xr:uid="{00000000-0005-0000-0000-00005C820000}"/>
    <cellStyle name="Normal 2 4 8 2" xfId="33675" xr:uid="{00000000-0005-0000-0000-00005D820000}"/>
    <cellStyle name="Normal 2 4 8 2 10" xfId="33676" xr:uid="{00000000-0005-0000-0000-00005E820000}"/>
    <cellStyle name="Normal 2 4 8 2 11" xfId="33677" xr:uid="{00000000-0005-0000-0000-00005F820000}"/>
    <cellStyle name="Normal 2 4 8 2 2" xfId="33678" xr:uid="{00000000-0005-0000-0000-000060820000}"/>
    <cellStyle name="Normal 2 4 8 2 2 10" xfId="33679" xr:uid="{00000000-0005-0000-0000-000061820000}"/>
    <cellStyle name="Normal 2 4 8 2 2 2" xfId="33680" xr:uid="{00000000-0005-0000-0000-000062820000}"/>
    <cellStyle name="Normal 2 4 8 2 2 2 2" xfId="33681" xr:uid="{00000000-0005-0000-0000-000063820000}"/>
    <cellStyle name="Normal 2 4 8 2 2 2 2 2" xfId="33682" xr:uid="{00000000-0005-0000-0000-000064820000}"/>
    <cellStyle name="Normal 2 4 8 2 2 2 2 3" xfId="33683" xr:uid="{00000000-0005-0000-0000-000065820000}"/>
    <cellStyle name="Normal 2 4 8 2 2 2 2 4" xfId="33684" xr:uid="{00000000-0005-0000-0000-000066820000}"/>
    <cellStyle name="Normal 2 4 8 2 2 2 2 5" xfId="33685" xr:uid="{00000000-0005-0000-0000-000067820000}"/>
    <cellStyle name="Normal 2 4 8 2 2 2 3" xfId="33686" xr:uid="{00000000-0005-0000-0000-000068820000}"/>
    <cellStyle name="Normal 2 4 8 2 2 2 4" xfId="33687" xr:uid="{00000000-0005-0000-0000-000069820000}"/>
    <cellStyle name="Normal 2 4 8 2 2 2 5" xfId="33688" xr:uid="{00000000-0005-0000-0000-00006A820000}"/>
    <cellStyle name="Normal 2 4 8 2 2 2 6" xfId="33689" xr:uid="{00000000-0005-0000-0000-00006B820000}"/>
    <cellStyle name="Normal 2 4 8 2 2 2 7" xfId="33690" xr:uid="{00000000-0005-0000-0000-00006C820000}"/>
    <cellStyle name="Normal 2 4 8 2 2 2 8" xfId="33691" xr:uid="{00000000-0005-0000-0000-00006D820000}"/>
    <cellStyle name="Normal 2 4 8 2 2 3" xfId="33692" xr:uid="{00000000-0005-0000-0000-00006E820000}"/>
    <cellStyle name="Normal 2 4 8 2 2 3 2" xfId="33693" xr:uid="{00000000-0005-0000-0000-00006F820000}"/>
    <cellStyle name="Normal 2 4 8 2 2 3 2 2" xfId="33694" xr:uid="{00000000-0005-0000-0000-000070820000}"/>
    <cellStyle name="Normal 2 4 8 2 2 3 2 3" xfId="33695" xr:uid="{00000000-0005-0000-0000-000071820000}"/>
    <cellStyle name="Normal 2 4 8 2 2 3 2 4" xfId="33696" xr:uid="{00000000-0005-0000-0000-000072820000}"/>
    <cellStyle name="Normal 2 4 8 2 2 3 2 5" xfId="33697" xr:uid="{00000000-0005-0000-0000-000073820000}"/>
    <cellStyle name="Normal 2 4 8 2 2 3 3" xfId="33698" xr:uid="{00000000-0005-0000-0000-000074820000}"/>
    <cellStyle name="Normal 2 4 8 2 2 3 4" xfId="33699" xr:uid="{00000000-0005-0000-0000-000075820000}"/>
    <cellStyle name="Normal 2 4 8 2 2 3 5" xfId="33700" xr:uid="{00000000-0005-0000-0000-000076820000}"/>
    <cellStyle name="Normal 2 4 8 2 2 3 6" xfId="33701" xr:uid="{00000000-0005-0000-0000-000077820000}"/>
    <cellStyle name="Normal 2 4 8 2 2 3 7" xfId="33702" xr:uid="{00000000-0005-0000-0000-000078820000}"/>
    <cellStyle name="Normal 2 4 8 2 2 3 8" xfId="33703" xr:uid="{00000000-0005-0000-0000-000079820000}"/>
    <cellStyle name="Normal 2 4 8 2 2 4" xfId="33704" xr:uid="{00000000-0005-0000-0000-00007A820000}"/>
    <cellStyle name="Normal 2 4 8 2 2 4 2" xfId="33705" xr:uid="{00000000-0005-0000-0000-00007B820000}"/>
    <cellStyle name="Normal 2 4 8 2 2 4 3" xfId="33706" xr:uid="{00000000-0005-0000-0000-00007C820000}"/>
    <cellStyle name="Normal 2 4 8 2 2 4 4" xfId="33707" xr:uid="{00000000-0005-0000-0000-00007D820000}"/>
    <cellStyle name="Normal 2 4 8 2 2 4 5" xfId="33708" xr:uid="{00000000-0005-0000-0000-00007E820000}"/>
    <cellStyle name="Normal 2 4 8 2 2 5" xfId="33709" xr:uid="{00000000-0005-0000-0000-00007F820000}"/>
    <cellStyle name="Normal 2 4 8 2 2 6" xfId="33710" xr:uid="{00000000-0005-0000-0000-000080820000}"/>
    <cellStyle name="Normal 2 4 8 2 2 7" xfId="33711" xr:uid="{00000000-0005-0000-0000-000081820000}"/>
    <cellStyle name="Normal 2 4 8 2 2 8" xfId="33712" xr:uid="{00000000-0005-0000-0000-000082820000}"/>
    <cellStyle name="Normal 2 4 8 2 2 9" xfId="33713" xr:uid="{00000000-0005-0000-0000-000083820000}"/>
    <cellStyle name="Normal 2 4 8 2 3" xfId="33714" xr:uid="{00000000-0005-0000-0000-000084820000}"/>
    <cellStyle name="Normal 2 4 8 2 3 2" xfId="33715" xr:uid="{00000000-0005-0000-0000-000085820000}"/>
    <cellStyle name="Normal 2 4 8 2 3 2 2" xfId="33716" xr:uid="{00000000-0005-0000-0000-000086820000}"/>
    <cellStyle name="Normal 2 4 8 2 3 2 3" xfId="33717" xr:uid="{00000000-0005-0000-0000-000087820000}"/>
    <cellStyle name="Normal 2 4 8 2 3 2 4" xfId="33718" xr:uid="{00000000-0005-0000-0000-000088820000}"/>
    <cellStyle name="Normal 2 4 8 2 3 2 5" xfId="33719" xr:uid="{00000000-0005-0000-0000-000089820000}"/>
    <cellStyle name="Normal 2 4 8 2 3 3" xfId="33720" xr:uid="{00000000-0005-0000-0000-00008A820000}"/>
    <cellStyle name="Normal 2 4 8 2 3 4" xfId="33721" xr:uid="{00000000-0005-0000-0000-00008B820000}"/>
    <cellStyle name="Normal 2 4 8 2 3 5" xfId="33722" xr:uid="{00000000-0005-0000-0000-00008C820000}"/>
    <cellStyle name="Normal 2 4 8 2 3 6" xfId="33723" xr:uid="{00000000-0005-0000-0000-00008D820000}"/>
    <cellStyle name="Normal 2 4 8 2 3 7" xfId="33724" xr:uid="{00000000-0005-0000-0000-00008E820000}"/>
    <cellStyle name="Normal 2 4 8 2 3 8" xfId="33725" xr:uid="{00000000-0005-0000-0000-00008F820000}"/>
    <cellStyle name="Normal 2 4 8 2 4" xfId="33726" xr:uid="{00000000-0005-0000-0000-000090820000}"/>
    <cellStyle name="Normal 2 4 8 2 4 2" xfId="33727" xr:uid="{00000000-0005-0000-0000-000091820000}"/>
    <cellStyle name="Normal 2 4 8 2 4 2 2" xfId="33728" xr:uid="{00000000-0005-0000-0000-000092820000}"/>
    <cellStyle name="Normal 2 4 8 2 4 2 3" xfId="33729" xr:uid="{00000000-0005-0000-0000-000093820000}"/>
    <cellStyle name="Normal 2 4 8 2 4 2 4" xfId="33730" xr:uid="{00000000-0005-0000-0000-000094820000}"/>
    <cellStyle name="Normal 2 4 8 2 4 2 5" xfId="33731" xr:uid="{00000000-0005-0000-0000-000095820000}"/>
    <cellStyle name="Normal 2 4 8 2 4 3" xfId="33732" xr:uid="{00000000-0005-0000-0000-000096820000}"/>
    <cellStyle name="Normal 2 4 8 2 4 4" xfId="33733" xr:uid="{00000000-0005-0000-0000-000097820000}"/>
    <cellStyle name="Normal 2 4 8 2 4 5" xfId="33734" xr:uid="{00000000-0005-0000-0000-000098820000}"/>
    <cellStyle name="Normal 2 4 8 2 4 6" xfId="33735" xr:uid="{00000000-0005-0000-0000-000099820000}"/>
    <cellStyle name="Normal 2 4 8 2 4 7" xfId="33736" xr:uid="{00000000-0005-0000-0000-00009A820000}"/>
    <cellStyle name="Normal 2 4 8 2 4 8" xfId="33737" xr:uid="{00000000-0005-0000-0000-00009B820000}"/>
    <cellStyle name="Normal 2 4 8 2 5" xfId="33738" xr:uid="{00000000-0005-0000-0000-00009C820000}"/>
    <cellStyle name="Normal 2 4 8 2 5 2" xfId="33739" xr:uid="{00000000-0005-0000-0000-00009D820000}"/>
    <cellStyle name="Normal 2 4 8 2 5 3" xfId="33740" xr:uid="{00000000-0005-0000-0000-00009E820000}"/>
    <cellStyle name="Normal 2 4 8 2 5 4" xfId="33741" xr:uid="{00000000-0005-0000-0000-00009F820000}"/>
    <cellStyle name="Normal 2 4 8 2 5 5" xfId="33742" xr:uid="{00000000-0005-0000-0000-0000A0820000}"/>
    <cellStyle name="Normal 2 4 8 2 6" xfId="33743" xr:uid="{00000000-0005-0000-0000-0000A1820000}"/>
    <cellStyle name="Normal 2 4 8 2 7" xfId="33744" xr:uid="{00000000-0005-0000-0000-0000A2820000}"/>
    <cellStyle name="Normal 2 4 8 2 8" xfId="33745" xr:uid="{00000000-0005-0000-0000-0000A3820000}"/>
    <cellStyle name="Normal 2 4 8 2 9" xfId="33746" xr:uid="{00000000-0005-0000-0000-0000A4820000}"/>
    <cellStyle name="Normal 2 4 8 3" xfId="33747" xr:uid="{00000000-0005-0000-0000-0000A5820000}"/>
    <cellStyle name="Normal 2 4 8 3 10" xfId="33748" xr:uid="{00000000-0005-0000-0000-0000A6820000}"/>
    <cellStyle name="Normal 2 4 8 3 11" xfId="33749" xr:uid="{00000000-0005-0000-0000-0000A7820000}"/>
    <cellStyle name="Normal 2 4 8 3 2" xfId="33750" xr:uid="{00000000-0005-0000-0000-0000A8820000}"/>
    <cellStyle name="Normal 2 4 8 3 2 10" xfId="33751" xr:uid="{00000000-0005-0000-0000-0000A9820000}"/>
    <cellStyle name="Normal 2 4 8 3 2 2" xfId="33752" xr:uid="{00000000-0005-0000-0000-0000AA820000}"/>
    <cellStyle name="Normal 2 4 8 3 2 2 2" xfId="33753" xr:uid="{00000000-0005-0000-0000-0000AB820000}"/>
    <cellStyle name="Normal 2 4 8 3 2 2 2 2" xfId="33754" xr:uid="{00000000-0005-0000-0000-0000AC820000}"/>
    <cellStyle name="Normal 2 4 8 3 2 2 2 3" xfId="33755" xr:uid="{00000000-0005-0000-0000-0000AD820000}"/>
    <cellStyle name="Normal 2 4 8 3 2 2 2 4" xfId="33756" xr:uid="{00000000-0005-0000-0000-0000AE820000}"/>
    <cellStyle name="Normal 2 4 8 3 2 2 2 5" xfId="33757" xr:uid="{00000000-0005-0000-0000-0000AF820000}"/>
    <cellStyle name="Normal 2 4 8 3 2 2 3" xfId="33758" xr:uid="{00000000-0005-0000-0000-0000B0820000}"/>
    <cellStyle name="Normal 2 4 8 3 2 2 4" xfId="33759" xr:uid="{00000000-0005-0000-0000-0000B1820000}"/>
    <cellStyle name="Normal 2 4 8 3 2 2 5" xfId="33760" xr:uid="{00000000-0005-0000-0000-0000B2820000}"/>
    <cellStyle name="Normal 2 4 8 3 2 2 6" xfId="33761" xr:uid="{00000000-0005-0000-0000-0000B3820000}"/>
    <cellStyle name="Normal 2 4 8 3 2 2 7" xfId="33762" xr:uid="{00000000-0005-0000-0000-0000B4820000}"/>
    <cellStyle name="Normal 2 4 8 3 2 2 8" xfId="33763" xr:uid="{00000000-0005-0000-0000-0000B5820000}"/>
    <cellStyle name="Normal 2 4 8 3 2 3" xfId="33764" xr:uid="{00000000-0005-0000-0000-0000B6820000}"/>
    <cellStyle name="Normal 2 4 8 3 2 3 2" xfId="33765" xr:uid="{00000000-0005-0000-0000-0000B7820000}"/>
    <cellStyle name="Normal 2 4 8 3 2 3 2 2" xfId="33766" xr:uid="{00000000-0005-0000-0000-0000B8820000}"/>
    <cellStyle name="Normal 2 4 8 3 2 3 2 3" xfId="33767" xr:uid="{00000000-0005-0000-0000-0000B9820000}"/>
    <cellStyle name="Normal 2 4 8 3 2 3 2 4" xfId="33768" xr:uid="{00000000-0005-0000-0000-0000BA820000}"/>
    <cellStyle name="Normal 2 4 8 3 2 3 2 5" xfId="33769" xr:uid="{00000000-0005-0000-0000-0000BB820000}"/>
    <cellStyle name="Normal 2 4 8 3 2 3 3" xfId="33770" xr:uid="{00000000-0005-0000-0000-0000BC820000}"/>
    <cellStyle name="Normal 2 4 8 3 2 3 4" xfId="33771" xr:uid="{00000000-0005-0000-0000-0000BD820000}"/>
    <cellStyle name="Normal 2 4 8 3 2 3 5" xfId="33772" xr:uid="{00000000-0005-0000-0000-0000BE820000}"/>
    <cellStyle name="Normal 2 4 8 3 2 3 6" xfId="33773" xr:uid="{00000000-0005-0000-0000-0000BF820000}"/>
    <cellStyle name="Normal 2 4 8 3 2 3 7" xfId="33774" xr:uid="{00000000-0005-0000-0000-0000C0820000}"/>
    <cellStyle name="Normal 2 4 8 3 2 3 8" xfId="33775" xr:uid="{00000000-0005-0000-0000-0000C1820000}"/>
    <cellStyle name="Normal 2 4 8 3 2 4" xfId="33776" xr:uid="{00000000-0005-0000-0000-0000C2820000}"/>
    <cellStyle name="Normal 2 4 8 3 2 4 2" xfId="33777" xr:uid="{00000000-0005-0000-0000-0000C3820000}"/>
    <cellStyle name="Normal 2 4 8 3 2 4 3" xfId="33778" xr:uid="{00000000-0005-0000-0000-0000C4820000}"/>
    <cellStyle name="Normal 2 4 8 3 2 4 4" xfId="33779" xr:uid="{00000000-0005-0000-0000-0000C5820000}"/>
    <cellStyle name="Normal 2 4 8 3 2 4 5" xfId="33780" xr:uid="{00000000-0005-0000-0000-0000C6820000}"/>
    <cellStyle name="Normal 2 4 8 3 2 5" xfId="33781" xr:uid="{00000000-0005-0000-0000-0000C7820000}"/>
    <cellStyle name="Normal 2 4 8 3 2 6" xfId="33782" xr:uid="{00000000-0005-0000-0000-0000C8820000}"/>
    <cellStyle name="Normal 2 4 8 3 2 7" xfId="33783" xr:uid="{00000000-0005-0000-0000-0000C9820000}"/>
    <cellStyle name="Normal 2 4 8 3 2 8" xfId="33784" xr:uid="{00000000-0005-0000-0000-0000CA820000}"/>
    <cellStyle name="Normal 2 4 8 3 2 9" xfId="33785" xr:uid="{00000000-0005-0000-0000-0000CB820000}"/>
    <cellStyle name="Normal 2 4 8 3 3" xfId="33786" xr:uid="{00000000-0005-0000-0000-0000CC820000}"/>
    <cellStyle name="Normal 2 4 8 3 3 2" xfId="33787" xr:uid="{00000000-0005-0000-0000-0000CD820000}"/>
    <cellStyle name="Normal 2 4 8 3 3 2 2" xfId="33788" xr:uid="{00000000-0005-0000-0000-0000CE820000}"/>
    <cellStyle name="Normal 2 4 8 3 3 2 3" xfId="33789" xr:uid="{00000000-0005-0000-0000-0000CF820000}"/>
    <cellStyle name="Normal 2 4 8 3 3 2 4" xfId="33790" xr:uid="{00000000-0005-0000-0000-0000D0820000}"/>
    <cellStyle name="Normal 2 4 8 3 3 2 5" xfId="33791" xr:uid="{00000000-0005-0000-0000-0000D1820000}"/>
    <cellStyle name="Normal 2 4 8 3 3 3" xfId="33792" xr:uid="{00000000-0005-0000-0000-0000D2820000}"/>
    <cellStyle name="Normal 2 4 8 3 3 4" xfId="33793" xr:uid="{00000000-0005-0000-0000-0000D3820000}"/>
    <cellStyle name="Normal 2 4 8 3 3 5" xfId="33794" xr:uid="{00000000-0005-0000-0000-0000D4820000}"/>
    <cellStyle name="Normal 2 4 8 3 3 6" xfId="33795" xr:uid="{00000000-0005-0000-0000-0000D5820000}"/>
    <cellStyle name="Normal 2 4 8 3 3 7" xfId="33796" xr:uid="{00000000-0005-0000-0000-0000D6820000}"/>
    <cellStyle name="Normal 2 4 8 3 3 8" xfId="33797" xr:uid="{00000000-0005-0000-0000-0000D7820000}"/>
    <cellStyle name="Normal 2 4 8 3 4" xfId="33798" xr:uid="{00000000-0005-0000-0000-0000D8820000}"/>
    <cellStyle name="Normal 2 4 8 3 4 2" xfId="33799" xr:uid="{00000000-0005-0000-0000-0000D9820000}"/>
    <cellStyle name="Normal 2 4 8 3 4 2 2" xfId="33800" xr:uid="{00000000-0005-0000-0000-0000DA820000}"/>
    <cellStyle name="Normal 2 4 8 3 4 2 3" xfId="33801" xr:uid="{00000000-0005-0000-0000-0000DB820000}"/>
    <cellStyle name="Normal 2 4 8 3 4 2 4" xfId="33802" xr:uid="{00000000-0005-0000-0000-0000DC820000}"/>
    <cellStyle name="Normal 2 4 8 3 4 2 5" xfId="33803" xr:uid="{00000000-0005-0000-0000-0000DD820000}"/>
    <cellStyle name="Normal 2 4 8 3 4 3" xfId="33804" xr:uid="{00000000-0005-0000-0000-0000DE820000}"/>
    <cellStyle name="Normal 2 4 8 3 4 4" xfId="33805" xr:uid="{00000000-0005-0000-0000-0000DF820000}"/>
    <cellStyle name="Normal 2 4 8 3 4 5" xfId="33806" xr:uid="{00000000-0005-0000-0000-0000E0820000}"/>
    <cellStyle name="Normal 2 4 8 3 4 6" xfId="33807" xr:uid="{00000000-0005-0000-0000-0000E1820000}"/>
    <cellStyle name="Normal 2 4 8 3 4 7" xfId="33808" xr:uid="{00000000-0005-0000-0000-0000E2820000}"/>
    <cellStyle name="Normal 2 4 8 3 4 8" xfId="33809" xr:uid="{00000000-0005-0000-0000-0000E3820000}"/>
    <cellStyle name="Normal 2 4 8 3 5" xfId="33810" xr:uid="{00000000-0005-0000-0000-0000E4820000}"/>
    <cellStyle name="Normal 2 4 8 3 5 2" xfId="33811" xr:uid="{00000000-0005-0000-0000-0000E5820000}"/>
    <cellStyle name="Normal 2 4 8 3 5 3" xfId="33812" xr:uid="{00000000-0005-0000-0000-0000E6820000}"/>
    <cellStyle name="Normal 2 4 8 3 5 4" xfId="33813" xr:uid="{00000000-0005-0000-0000-0000E7820000}"/>
    <cellStyle name="Normal 2 4 8 3 5 5" xfId="33814" xr:uid="{00000000-0005-0000-0000-0000E8820000}"/>
    <cellStyle name="Normal 2 4 8 3 6" xfId="33815" xr:uid="{00000000-0005-0000-0000-0000E9820000}"/>
    <cellStyle name="Normal 2 4 8 3 7" xfId="33816" xr:uid="{00000000-0005-0000-0000-0000EA820000}"/>
    <cellStyle name="Normal 2 4 8 3 8" xfId="33817" xr:uid="{00000000-0005-0000-0000-0000EB820000}"/>
    <cellStyle name="Normal 2 4 8 3 9" xfId="33818" xr:uid="{00000000-0005-0000-0000-0000EC820000}"/>
    <cellStyle name="Normal 2 4 8 4" xfId="33819" xr:uid="{00000000-0005-0000-0000-0000ED820000}"/>
    <cellStyle name="Normal 2 4 8 4 10" xfId="33820" xr:uid="{00000000-0005-0000-0000-0000EE820000}"/>
    <cellStyle name="Normal 2 4 8 4 2" xfId="33821" xr:uid="{00000000-0005-0000-0000-0000EF820000}"/>
    <cellStyle name="Normal 2 4 8 4 2 2" xfId="33822" xr:uid="{00000000-0005-0000-0000-0000F0820000}"/>
    <cellStyle name="Normal 2 4 8 4 2 2 2" xfId="33823" xr:uid="{00000000-0005-0000-0000-0000F1820000}"/>
    <cellStyle name="Normal 2 4 8 4 2 2 3" xfId="33824" xr:uid="{00000000-0005-0000-0000-0000F2820000}"/>
    <cellStyle name="Normal 2 4 8 4 2 2 4" xfId="33825" xr:uid="{00000000-0005-0000-0000-0000F3820000}"/>
    <cellStyle name="Normal 2 4 8 4 2 2 5" xfId="33826" xr:uid="{00000000-0005-0000-0000-0000F4820000}"/>
    <cellStyle name="Normal 2 4 8 4 2 3" xfId="33827" xr:uid="{00000000-0005-0000-0000-0000F5820000}"/>
    <cellStyle name="Normal 2 4 8 4 2 4" xfId="33828" xr:uid="{00000000-0005-0000-0000-0000F6820000}"/>
    <cellStyle name="Normal 2 4 8 4 2 5" xfId="33829" xr:uid="{00000000-0005-0000-0000-0000F7820000}"/>
    <cellStyle name="Normal 2 4 8 4 2 6" xfId="33830" xr:uid="{00000000-0005-0000-0000-0000F8820000}"/>
    <cellStyle name="Normal 2 4 8 4 2 7" xfId="33831" xr:uid="{00000000-0005-0000-0000-0000F9820000}"/>
    <cellStyle name="Normal 2 4 8 4 2 8" xfId="33832" xr:uid="{00000000-0005-0000-0000-0000FA820000}"/>
    <cellStyle name="Normal 2 4 8 4 3" xfId="33833" xr:uid="{00000000-0005-0000-0000-0000FB820000}"/>
    <cellStyle name="Normal 2 4 8 4 3 2" xfId="33834" xr:uid="{00000000-0005-0000-0000-0000FC820000}"/>
    <cellStyle name="Normal 2 4 8 4 3 2 2" xfId="33835" xr:uid="{00000000-0005-0000-0000-0000FD820000}"/>
    <cellStyle name="Normal 2 4 8 4 3 2 3" xfId="33836" xr:uid="{00000000-0005-0000-0000-0000FE820000}"/>
    <cellStyle name="Normal 2 4 8 4 3 2 4" xfId="33837" xr:uid="{00000000-0005-0000-0000-0000FF820000}"/>
    <cellStyle name="Normal 2 4 8 4 3 2 5" xfId="33838" xr:uid="{00000000-0005-0000-0000-000000830000}"/>
    <cellStyle name="Normal 2 4 8 4 3 3" xfId="33839" xr:uid="{00000000-0005-0000-0000-000001830000}"/>
    <cellStyle name="Normal 2 4 8 4 3 4" xfId="33840" xr:uid="{00000000-0005-0000-0000-000002830000}"/>
    <cellStyle name="Normal 2 4 8 4 3 5" xfId="33841" xr:uid="{00000000-0005-0000-0000-000003830000}"/>
    <cellStyle name="Normal 2 4 8 4 3 6" xfId="33842" xr:uid="{00000000-0005-0000-0000-000004830000}"/>
    <cellStyle name="Normal 2 4 8 4 3 7" xfId="33843" xr:uid="{00000000-0005-0000-0000-000005830000}"/>
    <cellStyle name="Normal 2 4 8 4 3 8" xfId="33844" xr:uid="{00000000-0005-0000-0000-000006830000}"/>
    <cellStyle name="Normal 2 4 8 4 4" xfId="33845" xr:uid="{00000000-0005-0000-0000-000007830000}"/>
    <cellStyle name="Normal 2 4 8 4 4 2" xfId="33846" xr:uid="{00000000-0005-0000-0000-000008830000}"/>
    <cellStyle name="Normal 2 4 8 4 4 3" xfId="33847" xr:uid="{00000000-0005-0000-0000-000009830000}"/>
    <cellStyle name="Normal 2 4 8 4 4 4" xfId="33848" xr:uid="{00000000-0005-0000-0000-00000A830000}"/>
    <cellStyle name="Normal 2 4 8 4 4 5" xfId="33849" xr:uid="{00000000-0005-0000-0000-00000B830000}"/>
    <cellStyle name="Normal 2 4 8 4 5" xfId="33850" xr:uid="{00000000-0005-0000-0000-00000C830000}"/>
    <cellStyle name="Normal 2 4 8 4 6" xfId="33851" xr:uid="{00000000-0005-0000-0000-00000D830000}"/>
    <cellStyle name="Normal 2 4 8 4 7" xfId="33852" xr:uid="{00000000-0005-0000-0000-00000E830000}"/>
    <cellStyle name="Normal 2 4 8 4 8" xfId="33853" xr:uid="{00000000-0005-0000-0000-00000F830000}"/>
    <cellStyle name="Normal 2 4 8 4 9" xfId="33854" xr:uid="{00000000-0005-0000-0000-000010830000}"/>
    <cellStyle name="Normal 2 4 8 5" xfId="33855" xr:uid="{00000000-0005-0000-0000-000011830000}"/>
    <cellStyle name="Normal 2 4 8 5 2" xfId="33856" xr:uid="{00000000-0005-0000-0000-000012830000}"/>
    <cellStyle name="Normal 2 4 8 5 2 2" xfId="33857" xr:uid="{00000000-0005-0000-0000-000013830000}"/>
    <cellStyle name="Normal 2 4 8 5 2 3" xfId="33858" xr:uid="{00000000-0005-0000-0000-000014830000}"/>
    <cellStyle name="Normal 2 4 8 5 2 4" xfId="33859" xr:uid="{00000000-0005-0000-0000-000015830000}"/>
    <cellStyle name="Normal 2 4 8 5 2 5" xfId="33860" xr:uid="{00000000-0005-0000-0000-000016830000}"/>
    <cellStyle name="Normal 2 4 8 5 3" xfId="33861" xr:uid="{00000000-0005-0000-0000-000017830000}"/>
    <cellStyle name="Normal 2 4 8 5 4" xfId="33862" xr:uid="{00000000-0005-0000-0000-000018830000}"/>
    <cellStyle name="Normal 2 4 8 5 5" xfId="33863" xr:uid="{00000000-0005-0000-0000-000019830000}"/>
    <cellStyle name="Normal 2 4 8 5 6" xfId="33864" xr:uid="{00000000-0005-0000-0000-00001A830000}"/>
    <cellStyle name="Normal 2 4 8 5 7" xfId="33865" xr:uid="{00000000-0005-0000-0000-00001B830000}"/>
    <cellStyle name="Normal 2 4 8 5 8" xfId="33866" xr:uid="{00000000-0005-0000-0000-00001C830000}"/>
    <cellStyle name="Normal 2 4 8 6" xfId="33867" xr:uid="{00000000-0005-0000-0000-00001D830000}"/>
    <cellStyle name="Normal 2 4 8 6 2" xfId="33868" xr:uid="{00000000-0005-0000-0000-00001E830000}"/>
    <cellStyle name="Normal 2 4 8 6 2 2" xfId="33869" xr:uid="{00000000-0005-0000-0000-00001F830000}"/>
    <cellStyle name="Normal 2 4 8 6 2 3" xfId="33870" xr:uid="{00000000-0005-0000-0000-000020830000}"/>
    <cellStyle name="Normal 2 4 8 6 2 4" xfId="33871" xr:uid="{00000000-0005-0000-0000-000021830000}"/>
    <cellStyle name="Normal 2 4 8 6 2 5" xfId="33872" xr:uid="{00000000-0005-0000-0000-000022830000}"/>
    <cellStyle name="Normal 2 4 8 6 3" xfId="33873" xr:uid="{00000000-0005-0000-0000-000023830000}"/>
    <cellStyle name="Normal 2 4 8 6 4" xfId="33874" xr:uid="{00000000-0005-0000-0000-000024830000}"/>
    <cellStyle name="Normal 2 4 8 6 5" xfId="33875" xr:uid="{00000000-0005-0000-0000-000025830000}"/>
    <cellStyle name="Normal 2 4 8 6 6" xfId="33876" xr:uid="{00000000-0005-0000-0000-000026830000}"/>
    <cellStyle name="Normal 2 4 8 6 7" xfId="33877" xr:uid="{00000000-0005-0000-0000-000027830000}"/>
    <cellStyle name="Normal 2 4 8 6 8" xfId="33878" xr:uid="{00000000-0005-0000-0000-000028830000}"/>
    <cellStyle name="Normal 2 4 8 7" xfId="33879" xr:uid="{00000000-0005-0000-0000-000029830000}"/>
    <cellStyle name="Normal 2 4 8 7 2" xfId="33880" xr:uid="{00000000-0005-0000-0000-00002A830000}"/>
    <cellStyle name="Normal 2 4 8 7 3" xfId="33881" xr:uid="{00000000-0005-0000-0000-00002B830000}"/>
    <cellStyle name="Normal 2 4 8 7 4" xfId="33882" xr:uid="{00000000-0005-0000-0000-00002C830000}"/>
    <cellStyle name="Normal 2 4 8 7 5" xfId="33883" xr:uid="{00000000-0005-0000-0000-00002D830000}"/>
    <cellStyle name="Normal 2 4 8 8" xfId="33884" xr:uid="{00000000-0005-0000-0000-00002E830000}"/>
    <cellStyle name="Normal 2 4 8 9" xfId="33885" xr:uid="{00000000-0005-0000-0000-00002F830000}"/>
    <cellStyle name="Normal 2 4 9" xfId="33886" xr:uid="{00000000-0005-0000-0000-000030830000}"/>
    <cellStyle name="Normal 2 4 9 10" xfId="33887" xr:uid="{00000000-0005-0000-0000-000031830000}"/>
    <cellStyle name="Normal 2 4 9 11" xfId="33888" xr:uid="{00000000-0005-0000-0000-000032830000}"/>
    <cellStyle name="Normal 2 4 9 2" xfId="33889" xr:uid="{00000000-0005-0000-0000-000033830000}"/>
    <cellStyle name="Normal 2 4 9 2 10" xfId="33890" xr:uid="{00000000-0005-0000-0000-000034830000}"/>
    <cellStyle name="Normal 2 4 9 2 2" xfId="33891" xr:uid="{00000000-0005-0000-0000-000035830000}"/>
    <cellStyle name="Normal 2 4 9 2 2 2" xfId="33892" xr:uid="{00000000-0005-0000-0000-000036830000}"/>
    <cellStyle name="Normal 2 4 9 2 2 2 2" xfId="33893" xr:uid="{00000000-0005-0000-0000-000037830000}"/>
    <cellStyle name="Normal 2 4 9 2 2 2 3" xfId="33894" xr:uid="{00000000-0005-0000-0000-000038830000}"/>
    <cellStyle name="Normal 2 4 9 2 2 2 4" xfId="33895" xr:uid="{00000000-0005-0000-0000-000039830000}"/>
    <cellStyle name="Normal 2 4 9 2 2 2 5" xfId="33896" xr:uid="{00000000-0005-0000-0000-00003A830000}"/>
    <cellStyle name="Normal 2 4 9 2 2 3" xfId="33897" xr:uid="{00000000-0005-0000-0000-00003B830000}"/>
    <cellStyle name="Normal 2 4 9 2 2 4" xfId="33898" xr:uid="{00000000-0005-0000-0000-00003C830000}"/>
    <cellStyle name="Normal 2 4 9 2 2 5" xfId="33899" xr:uid="{00000000-0005-0000-0000-00003D830000}"/>
    <cellStyle name="Normal 2 4 9 2 2 6" xfId="33900" xr:uid="{00000000-0005-0000-0000-00003E830000}"/>
    <cellStyle name="Normal 2 4 9 2 2 7" xfId="33901" xr:uid="{00000000-0005-0000-0000-00003F830000}"/>
    <cellStyle name="Normal 2 4 9 2 2 8" xfId="33902" xr:uid="{00000000-0005-0000-0000-000040830000}"/>
    <cellStyle name="Normal 2 4 9 2 3" xfId="33903" xr:uid="{00000000-0005-0000-0000-000041830000}"/>
    <cellStyle name="Normal 2 4 9 2 3 2" xfId="33904" xr:uid="{00000000-0005-0000-0000-000042830000}"/>
    <cellStyle name="Normal 2 4 9 2 3 2 2" xfId="33905" xr:uid="{00000000-0005-0000-0000-000043830000}"/>
    <cellStyle name="Normal 2 4 9 2 3 2 3" xfId="33906" xr:uid="{00000000-0005-0000-0000-000044830000}"/>
    <cellStyle name="Normal 2 4 9 2 3 2 4" xfId="33907" xr:uid="{00000000-0005-0000-0000-000045830000}"/>
    <cellStyle name="Normal 2 4 9 2 3 2 5" xfId="33908" xr:uid="{00000000-0005-0000-0000-000046830000}"/>
    <cellStyle name="Normal 2 4 9 2 3 3" xfId="33909" xr:uid="{00000000-0005-0000-0000-000047830000}"/>
    <cellStyle name="Normal 2 4 9 2 3 4" xfId="33910" xr:uid="{00000000-0005-0000-0000-000048830000}"/>
    <cellStyle name="Normal 2 4 9 2 3 5" xfId="33911" xr:uid="{00000000-0005-0000-0000-000049830000}"/>
    <cellStyle name="Normal 2 4 9 2 3 6" xfId="33912" xr:uid="{00000000-0005-0000-0000-00004A830000}"/>
    <cellStyle name="Normal 2 4 9 2 3 7" xfId="33913" xr:uid="{00000000-0005-0000-0000-00004B830000}"/>
    <cellStyle name="Normal 2 4 9 2 3 8" xfId="33914" xr:uid="{00000000-0005-0000-0000-00004C830000}"/>
    <cellStyle name="Normal 2 4 9 2 4" xfId="33915" xr:uid="{00000000-0005-0000-0000-00004D830000}"/>
    <cellStyle name="Normal 2 4 9 2 4 2" xfId="33916" xr:uid="{00000000-0005-0000-0000-00004E830000}"/>
    <cellStyle name="Normal 2 4 9 2 4 3" xfId="33917" xr:uid="{00000000-0005-0000-0000-00004F830000}"/>
    <cellStyle name="Normal 2 4 9 2 4 4" xfId="33918" xr:uid="{00000000-0005-0000-0000-000050830000}"/>
    <cellStyle name="Normal 2 4 9 2 4 5" xfId="33919" xr:uid="{00000000-0005-0000-0000-000051830000}"/>
    <cellStyle name="Normal 2 4 9 2 5" xfId="33920" xr:uid="{00000000-0005-0000-0000-000052830000}"/>
    <cellStyle name="Normal 2 4 9 2 6" xfId="33921" xr:uid="{00000000-0005-0000-0000-000053830000}"/>
    <cellStyle name="Normal 2 4 9 2 7" xfId="33922" xr:uid="{00000000-0005-0000-0000-000054830000}"/>
    <cellStyle name="Normal 2 4 9 2 8" xfId="33923" xr:uid="{00000000-0005-0000-0000-000055830000}"/>
    <cellStyle name="Normal 2 4 9 2 9" xfId="33924" xr:uid="{00000000-0005-0000-0000-000056830000}"/>
    <cellStyle name="Normal 2 4 9 3" xfId="33925" xr:uid="{00000000-0005-0000-0000-000057830000}"/>
    <cellStyle name="Normal 2 4 9 3 2" xfId="33926" xr:uid="{00000000-0005-0000-0000-000058830000}"/>
    <cellStyle name="Normal 2 4 9 3 2 2" xfId="33927" xr:uid="{00000000-0005-0000-0000-000059830000}"/>
    <cellStyle name="Normal 2 4 9 3 2 3" xfId="33928" xr:uid="{00000000-0005-0000-0000-00005A830000}"/>
    <cellStyle name="Normal 2 4 9 3 2 4" xfId="33929" xr:uid="{00000000-0005-0000-0000-00005B830000}"/>
    <cellStyle name="Normal 2 4 9 3 2 5" xfId="33930" xr:uid="{00000000-0005-0000-0000-00005C830000}"/>
    <cellStyle name="Normal 2 4 9 3 3" xfId="33931" xr:uid="{00000000-0005-0000-0000-00005D830000}"/>
    <cellStyle name="Normal 2 4 9 3 4" xfId="33932" xr:uid="{00000000-0005-0000-0000-00005E830000}"/>
    <cellStyle name="Normal 2 4 9 3 5" xfId="33933" xr:uid="{00000000-0005-0000-0000-00005F830000}"/>
    <cellStyle name="Normal 2 4 9 3 6" xfId="33934" xr:uid="{00000000-0005-0000-0000-000060830000}"/>
    <cellStyle name="Normal 2 4 9 3 7" xfId="33935" xr:uid="{00000000-0005-0000-0000-000061830000}"/>
    <cellStyle name="Normal 2 4 9 3 8" xfId="33936" xr:uid="{00000000-0005-0000-0000-000062830000}"/>
    <cellStyle name="Normal 2 4 9 4" xfId="33937" xr:uid="{00000000-0005-0000-0000-000063830000}"/>
    <cellStyle name="Normal 2 4 9 4 2" xfId="33938" xr:uid="{00000000-0005-0000-0000-000064830000}"/>
    <cellStyle name="Normal 2 4 9 4 2 2" xfId="33939" xr:uid="{00000000-0005-0000-0000-000065830000}"/>
    <cellStyle name="Normal 2 4 9 4 2 3" xfId="33940" xr:uid="{00000000-0005-0000-0000-000066830000}"/>
    <cellStyle name="Normal 2 4 9 4 2 4" xfId="33941" xr:uid="{00000000-0005-0000-0000-000067830000}"/>
    <cellStyle name="Normal 2 4 9 4 2 5" xfId="33942" xr:uid="{00000000-0005-0000-0000-000068830000}"/>
    <cellStyle name="Normal 2 4 9 4 3" xfId="33943" xr:uid="{00000000-0005-0000-0000-000069830000}"/>
    <cellStyle name="Normal 2 4 9 4 4" xfId="33944" xr:uid="{00000000-0005-0000-0000-00006A830000}"/>
    <cellStyle name="Normal 2 4 9 4 5" xfId="33945" xr:uid="{00000000-0005-0000-0000-00006B830000}"/>
    <cellStyle name="Normal 2 4 9 4 6" xfId="33946" xr:uid="{00000000-0005-0000-0000-00006C830000}"/>
    <cellStyle name="Normal 2 4 9 4 7" xfId="33947" xr:uid="{00000000-0005-0000-0000-00006D830000}"/>
    <cellStyle name="Normal 2 4 9 4 8" xfId="33948" xr:uid="{00000000-0005-0000-0000-00006E830000}"/>
    <cellStyle name="Normal 2 4 9 5" xfId="33949" xr:uid="{00000000-0005-0000-0000-00006F830000}"/>
    <cellStyle name="Normal 2 4 9 5 2" xfId="33950" xr:uid="{00000000-0005-0000-0000-000070830000}"/>
    <cellStyle name="Normal 2 4 9 5 3" xfId="33951" xr:uid="{00000000-0005-0000-0000-000071830000}"/>
    <cellStyle name="Normal 2 4 9 5 4" xfId="33952" xr:uid="{00000000-0005-0000-0000-000072830000}"/>
    <cellStyle name="Normal 2 4 9 5 5" xfId="33953" xr:uid="{00000000-0005-0000-0000-000073830000}"/>
    <cellStyle name="Normal 2 4 9 6" xfId="33954" xr:uid="{00000000-0005-0000-0000-000074830000}"/>
    <cellStyle name="Normal 2 4 9 7" xfId="33955" xr:uid="{00000000-0005-0000-0000-000075830000}"/>
    <cellStyle name="Normal 2 4 9 8" xfId="33956" xr:uid="{00000000-0005-0000-0000-000076830000}"/>
    <cellStyle name="Normal 2 4 9 9" xfId="33957" xr:uid="{00000000-0005-0000-0000-000077830000}"/>
    <cellStyle name="Normal 2 40" xfId="33958" xr:uid="{00000000-0005-0000-0000-000078830000}"/>
    <cellStyle name="Normal 2 41" xfId="33959" xr:uid="{00000000-0005-0000-0000-000079830000}"/>
    <cellStyle name="Normal 2 42" xfId="33960" xr:uid="{00000000-0005-0000-0000-00007A830000}"/>
    <cellStyle name="Normal 2 43" xfId="33961" xr:uid="{00000000-0005-0000-0000-00007B830000}"/>
    <cellStyle name="Normal 2 44" xfId="33962" xr:uid="{00000000-0005-0000-0000-00007C830000}"/>
    <cellStyle name="Normal 2 45" xfId="33963" xr:uid="{00000000-0005-0000-0000-00007D830000}"/>
    <cellStyle name="Normal 2 46" xfId="33964" xr:uid="{00000000-0005-0000-0000-00007E830000}"/>
    <cellStyle name="Normal 2 47" xfId="33965" xr:uid="{00000000-0005-0000-0000-00007F830000}"/>
    <cellStyle name="Normal 2 48" xfId="33966" xr:uid="{00000000-0005-0000-0000-000080830000}"/>
    <cellStyle name="Normal 2 49" xfId="33967" xr:uid="{00000000-0005-0000-0000-000081830000}"/>
    <cellStyle name="Normal 2 5" xfId="875" xr:uid="{00000000-0005-0000-0000-000082830000}"/>
    <cellStyle name="Normal 2 5 10" xfId="33968" xr:uid="{00000000-0005-0000-0000-000083830000}"/>
    <cellStyle name="Normal 2 5 10 10" xfId="33969" xr:uid="{00000000-0005-0000-0000-000084830000}"/>
    <cellStyle name="Normal 2 5 10 11" xfId="33970" xr:uid="{00000000-0005-0000-0000-000085830000}"/>
    <cellStyle name="Normal 2 5 10 2" xfId="33971" xr:uid="{00000000-0005-0000-0000-000086830000}"/>
    <cellStyle name="Normal 2 5 10 2 10" xfId="33972" xr:uid="{00000000-0005-0000-0000-000087830000}"/>
    <cellStyle name="Normal 2 5 10 2 2" xfId="33973" xr:uid="{00000000-0005-0000-0000-000088830000}"/>
    <cellStyle name="Normal 2 5 10 2 2 2" xfId="33974" xr:uid="{00000000-0005-0000-0000-000089830000}"/>
    <cellStyle name="Normal 2 5 10 2 2 2 2" xfId="33975" xr:uid="{00000000-0005-0000-0000-00008A830000}"/>
    <cellStyle name="Normal 2 5 10 2 2 2 3" xfId="33976" xr:uid="{00000000-0005-0000-0000-00008B830000}"/>
    <cellStyle name="Normal 2 5 10 2 2 2 4" xfId="33977" xr:uid="{00000000-0005-0000-0000-00008C830000}"/>
    <cellStyle name="Normal 2 5 10 2 2 2 5" xfId="33978" xr:uid="{00000000-0005-0000-0000-00008D830000}"/>
    <cellStyle name="Normal 2 5 10 2 2 3" xfId="33979" xr:uid="{00000000-0005-0000-0000-00008E830000}"/>
    <cellStyle name="Normal 2 5 10 2 2 4" xfId="33980" xr:uid="{00000000-0005-0000-0000-00008F830000}"/>
    <cellStyle name="Normal 2 5 10 2 2 5" xfId="33981" xr:uid="{00000000-0005-0000-0000-000090830000}"/>
    <cellStyle name="Normal 2 5 10 2 2 6" xfId="33982" xr:uid="{00000000-0005-0000-0000-000091830000}"/>
    <cellStyle name="Normal 2 5 10 2 2 7" xfId="33983" xr:uid="{00000000-0005-0000-0000-000092830000}"/>
    <cellStyle name="Normal 2 5 10 2 2 8" xfId="33984" xr:uid="{00000000-0005-0000-0000-000093830000}"/>
    <cellStyle name="Normal 2 5 10 2 3" xfId="33985" xr:uid="{00000000-0005-0000-0000-000094830000}"/>
    <cellStyle name="Normal 2 5 10 2 3 2" xfId="33986" xr:uid="{00000000-0005-0000-0000-000095830000}"/>
    <cellStyle name="Normal 2 5 10 2 3 2 2" xfId="33987" xr:uid="{00000000-0005-0000-0000-000096830000}"/>
    <cellStyle name="Normal 2 5 10 2 3 2 3" xfId="33988" xr:uid="{00000000-0005-0000-0000-000097830000}"/>
    <cellStyle name="Normal 2 5 10 2 3 2 4" xfId="33989" xr:uid="{00000000-0005-0000-0000-000098830000}"/>
    <cellStyle name="Normal 2 5 10 2 3 2 5" xfId="33990" xr:uid="{00000000-0005-0000-0000-000099830000}"/>
    <cellStyle name="Normal 2 5 10 2 3 3" xfId="33991" xr:uid="{00000000-0005-0000-0000-00009A830000}"/>
    <cellStyle name="Normal 2 5 10 2 3 4" xfId="33992" xr:uid="{00000000-0005-0000-0000-00009B830000}"/>
    <cellStyle name="Normal 2 5 10 2 3 5" xfId="33993" xr:uid="{00000000-0005-0000-0000-00009C830000}"/>
    <cellStyle name="Normal 2 5 10 2 3 6" xfId="33994" xr:uid="{00000000-0005-0000-0000-00009D830000}"/>
    <cellStyle name="Normal 2 5 10 2 3 7" xfId="33995" xr:uid="{00000000-0005-0000-0000-00009E830000}"/>
    <cellStyle name="Normal 2 5 10 2 3 8" xfId="33996" xr:uid="{00000000-0005-0000-0000-00009F830000}"/>
    <cellStyle name="Normal 2 5 10 2 4" xfId="33997" xr:uid="{00000000-0005-0000-0000-0000A0830000}"/>
    <cellStyle name="Normal 2 5 10 2 4 2" xfId="33998" xr:uid="{00000000-0005-0000-0000-0000A1830000}"/>
    <cellStyle name="Normal 2 5 10 2 4 3" xfId="33999" xr:uid="{00000000-0005-0000-0000-0000A2830000}"/>
    <cellStyle name="Normal 2 5 10 2 4 4" xfId="34000" xr:uid="{00000000-0005-0000-0000-0000A3830000}"/>
    <cellStyle name="Normal 2 5 10 2 4 5" xfId="34001" xr:uid="{00000000-0005-0000-0000-0000A4830000}"/>
    <cellStyle name="Normal 2 5 10 2 5" xfId="34002" xr:uid="{00000000-0005-0000-0000-0000A5830000}"/>
    <cellStyle name="Normal 2 5 10 2 6" xfId="34003" xr:uid="{00000000-0005-0000-0000-0000A6830000}"/>
    <cellStyle name="Normal 2 5 10 2 7" xfId="34004" xr:uid="{00000000-0005-0000-0000-0000A7830000}"/>
    <cellStyle name="Normal 2 5 10 2 8" xfId="34005" xr:uid="{00000000-0005-0000-0000-0000A8830000}"/>
    <cellStyle name="Normal 2 5 10 2 9" xfId="34006" xr:uid="{00000000-0005-0000-0000-0000A9830000}"/>
    <cellStyle name="Normal 2 5 10 3" xfId="34007" xr:uid="{00000000-0005-0000-0000-0000AA830000}"/>
    <cellStyle name="Normal 2 5 10 3 2" xfId="34008" xr:uid="{00000000-0005-0000-0000-0000AB830000}"/>
    <cellStyle name="Normal 2 5 10 3 2 2" xfId="34009" xr:uid="{00000000-0005-0000-0000-0000AC830000}"/>
    <cellStyle name="Normal 2 5 10 3 2 3" xfId="34010" xr:uid="{00000000-0005-0000-0000-0000AD830000}"/>
    <cellStyle name="Normal 2 5 10 3 2 4" xfId="34011" xr:uid="{00000000-0005-0000-0000-0000AE830000}"/>
    <cellStyle name="Normal 2 5 10 3 2 5" xfId="34012" xr:uid="{00000000-0005-0000-0000-0000AF830000}"/>
    <cellStyle name="Normal 2 5 10 3 3" xfId="34013" xr:uid="{00000000-0005-0000-0000-0000B0830000}"/>
    <cellStyle name="Normal 2 5 10 3 4" xfId="34014" xr:uid="{00000000-0005-0000-0000-0000B1830000}"/>
    <cellStyle name="Normal 2 5 10 3 5" xfId="34015" xr:uid="{00000000-0005-0000-0000-0000B2830000}"/>
    <cellStyle name="Normal 2 5 10 3 6" xfId="34016" xr:uid="{00000000-0005-0000-0000-0000B3830000}"/>
    <cellStyle name="Normal 2 5 10 3 7" xfId="34017" xr:uid="{00000000-0005-0000-0000-0000B4830000}"/>
    <cellStyle name="Normal 2 5 10 3 8" xfId="34018" xr:uid="{00000000-0005-0000-0000-0000B5830000}"/>
    <cellStyle name="Normal 2 5 10 4" xfId="34019" xr:uid="{00000000-0005-0000-0000-0000B6830000}"/>
    <cellStyle name="Normal 2 5 10 4 2" xfId="34020" xr:uid="{00000000-0005-0000-0000-0000B7830000}"/>
    <cellStyle name="Normal 2 5 10 4 2 2" xfId="34021" xr:uid="{00000000-0005-0000-0000-0000B8830000}"/>
    <cellStyle name="Normal 2 5 10 4 2 3" xfId="34022" xr:uid="{00000000-0005-0000-0000-0000B9830000}"/>
    <cellStyle name="Normal 2 5 10 4 2 4" xfId="34023" xr:uid="{00000000-0005-0000-0000-0000BA830000}"/>
    <cellStyle name="Normal 2 5 10 4 2 5" xfId="34024" xr:uid="{00000000-0005-0000-0000-0000BB830000}"/>
    <cellStyle name="Normal 2 5 10 4 3" xfId="34025" xr:uid="{00000000-0005-0000-0000-0000BC830000}"/>
    <cellStyle name="Normal 2 5 10 4 4" xfId="34026" xr:uid="{00000000-0005-0000-0000-0000BD830000}"/>
    <cellStyle name="Normal 2 5 10 4 5" xfId="34027" xr:uid="{00000000-0005-0000-0000-0000BE830000}"/>
    <cellStyle name="Normal 2 5 10 4 6" xfId="34028" xr:uid="{00000000-0005-0000-0000-0000BF830000}"/>
    <cellStyle name="Normal 2 5 10 4 7" xfId="34029" xr:uid="{00000000-0005-0000-0000-0000C0830000}"/>
    <cellStyle name="Normal 2 5 10 4 8" xfId="34030" xr:uid="{00000000-0005-0000-0000-0000C1830000}"/>
    <cellStyle name="Normal 2 5 10 5" xfId="34031" xr:uid="{00000000-0005-0000-0000-0000C2830000}"/>
    <cellStyle name="Normal 2 5 10 5 2" xfId="34032" xr:uid="{00000000-0005-0000-0000-0000C3830000}"/>
    <cellStyle name="Normal 2 5 10 5 3" xfId="34033" xr:uid="{00000000-0005-0000-0000-0000C4830000}"/>
    <cellStyle name="Normal 2 5 10 5 4" xfId="34034" xr:uid="{00000000-0005-0000-0000-0000C5830000}"/>
    <cellStyle name="Normal 2 5 10 5 5" xfId="34035" xr:uid="{00000000-0005-0000-0000-0000C6830000}"/>
    <cellStyle name="Normal 2 5 10 6" xfId="34036" xr:uid="{00000000-0005-0000-0000-0000C7830000}"/>
    <cellStyle name="Normal 2 5 10 7" xfId="34037" xr:uid="{00000000-0005-0000-0000-0000C8830000}"/>
    <cellStyle name="Normal 2 5 10 8" xfId="34038" xr:uid="{00000000-0005-0000-0000-0000C9830000}"/>
    <cellStyle name="Normal 2 5 10 9" xfId="34039" xr:uid="{00000000-0005-0000-0000-0000CA830000}"/>
    <cellStyle name="Normal 2 5 11" xfId="34040" xr:uid="{00000000-0005-0000-0000-0000CB830000}"/>
    <cellStyle name="Normal 2 5 11 10" xfId="34041" xr:uid="{00000000-0005-0000-0000-0000CC830000}"/>
    <cellStyle name="Normal 2 5 11 2" xfId="34042" xr:uid="{00000000-0005-0000-0000-0000CD830000}"/>
    <cellStyle name="Normal 2 5 11 2 2" xfId="34043" xr:uid="{00000000-0005-0000-0000-0000CE830000}"/>
    <cellStyle name="Normal 2 5 11 2 2 2" xfId="34044" xr:uid="{00000000-0005-0000-0000-0000CF830000}"/>
    <cellStyle name="Normal 2 5 11 2 2 3" xfId="34045" xr:uid="{00000000-0005-0000-0000-0000D0830000}"/>
    <cellStyle name="Normal 2 5 11 2 2 4" xfId="34046" xr:uid="{00000000-0005-0000-0000-0000D1830000}"/>
    <cellStyle name="Normal 2 5 11 2 2 5" xfId="34047" xr:uid="{00000000-0005-0000-0000-0000D2830000}"/>
    <cellStyle name="Normal 2 5 11 2 3" xfId="34048" xr:uid="{00000000-0005-0000-0000-0000D3830000}"/>
    <cellStyle name="Normal 2 5 11 2 4" xfId="34049" xr:uid="{00000000-0005-0000-0000-0000D4830000}"/>
    <cellStyle name="Normal 2 5 11 2 5" xfId="34050" xr:uid="{00000000-0005-0000-0000-0000D5830000}"/>
    <cellStyle name="Normal 2 5 11 2 6" xfId="34051" xr:uid="{00000000-0005-0000-0000-0000D6830000}"/>
    <cellStyle name="Normal 2 5 11 2 7" xfId="34052" xr:uid="{00000000-0005-0000-0000-0000D7830000}"/>
    <cellStyle name="Normal 2 5 11 2 8" xfId="34053" xr:uid="{00000000-0005-0000-0000-0000D8830000}"/>
    <cellStyle name="Normal 2 5 11 3" xfId="34054" xr:uid="{00000000-0005-0000-0000-0000D9830000}"/>
    <cellStyle name="Normal 2 5 11 3 2" xfId="34055" xr:uid="{00000000-0005-0000-0000-0000DA830000}"/>
    <cellStyle name="Normal 2 5 11 3 2 2" xfId="34056" xr:uid="{00000000-0005-0000-0000-0000DB830000}"/>
    <cellStyle name="Normal 2 5 11 3 2 3" xfId="34057" xr:uid="{00000000-0005-0000-0000-0000DC830000}"/>
    <cellStyle name="Normal 2 5 11 3 2 4" xfId="34058" xr:uid="{00000000-0005-0000-0000-0000DD830000}"/>
    <cellStyle name="Normal 2 5 11 3 2 5" xfId="34059" xr:uid="{00000000-0005-0000-0000-0000DE830000}"/>
    <cellStyle name="Normal 2 5 11 3 3" xfId="34060" xr:uid="{00000000-0005-0000-0000-0000DF830000}"/>
    <cellStyle name="Normal 2 5 11 3 4" xfId="34061" xr:uid="{00000000-0005-0000-0000-0000E0830000}"/>
    <cellStyle name="Normal 2 5 11 3 5" xfId="34062" xr:uid="{00000000-0005-0000-0000-0000E1830000}"/>
    <cellStyle name="Normal 2 5 11 3 6" xfId="34063" xr:uid="{00000000-0005-0000-0000-0000E2830000}"/>
    <cellStyle name="Normal 2 5 11 3 7" xfId="34064" xr:uid="{00000000-0005-0000-0000-0000E3830000}"/>
    <cellStyle name="Normal 2 5 11 3 8" xfId="34065" xr:uid="{00000000-0005-0000-0000-0000E4830000}"/>
    <cellStyle name="Normal 2 5 11 4" xfId="34066" xr:uid="{00000000-0005-0000-0000-0000E5830000}"/>
    <cellStyle name="Normal 2 5 11 4 2" xfId="34067" xr:uid="{00000000-0005-0000-0000-0000E6830000}"/>
    <cellStyle name="Normal 2 5 11 4 3" xfId="34068" xr:uid="{00000000-0005-0000-0000-0000E7830000}"/>
    <cellStyle name="Normal 2 5 11 4 4" xfId="34069" xr:uid="{00000000-0005-0000-0000-0000E8830000}"/>
    <cellStyle name="Normal 2 5 11 4 5" xfId="34070" xr:uid="{00000000-0005-0000-0000-0000E9830000}"/>
    <cellStyle name="Normal 2 5 11 5" xfId="34071" xr:uid="{00000000-0005-0000-0000-0000EA830000}"/>
    <cellStyle name="Normal 2 5 11 6" xfId="34072" xr:uid="{00000000-0005-0000-0000-0000EB830000}"/>
    <cellStyle name="Normal 2 5 11 7" xfId="34073" xr:uid="{00000000-0005-0000-0000-0000EC830000}"/>
    <cellStyle name="Normal 2 5 11 8" xfId="34074" xr:uid="{00000000-0005-0000-0000-0000ED830000}"/>
    <cellStyle name="Normal 2 5 11 9" xfId="34075" xr:uid="{00000000-0005-0000-0000-0000EE830000}"/>
    <cellStyle name="Normal 2 5 12" xfId="34076" xr:uid="{00000000-0005-0000-0000-0000EF830000}"/>
    <cellStyle name="Normal 2 5 12 2" xfId="34077" xr:uid="{00000000-0005-0000-0000-0000F0830000}"/>
    <cellStyle name="Normal 2 5 12 2 2" xfId="34078" xr:uid="{00000000-0005-0000-0000-0000F1830000}"/>
    <cellStyle name="Normal 2 5 12 2 3" xfId="34079" xr:uid="{00000000-0005-0000-0000-0000F2830000}"/>
    <cellStyle name="Normal 2 5 12 2 4" xfId="34080" xr:uid="{00000000-0005-0000-0000-0000F3830000}"/>
    <cellStyle name="Normal 2 5 12 2 5" xfId="34081" xr:uid="{00000000-0005-0000-0000-0000F4830000}"/>
    <cellStyle name="Normal 2 5 12 3" xfId="34082" xr:uid="{00000000-0005-0000-0000-0000F5830000}"/>
    <cellStyle name="Normal 2 5 12 4" xfId="34083" xr:uid="{00000000-0005-0000-0000-0000F6830000}"/>
    <cellStyle name="Normal 2 5 12 5" xfId="34084" xr:uid="{00000000-0005-0000-0000-0000F7830000}"/>
    <cellStyle name="Normal 2 5 12 6" xfId="34085" xr:uid="{00000000-0005-0000-0000-0000F8830000}"/>
    <cellStyle name="Normal 2 5 12 7" xfId="34086" xr:uid="{00000000-0005-0000-0000-0000F9830000}"/>
    <cellStyle name="Normal 2 5 12 8" xfId="34087" xr:uid="{00000000-0005-0000-0000-0000FA830000}"/>
    <cellStyle name="Normal 2 5 13" xfId="34088" xr:uid="{00000000-0005-0000-0000-0000FB830000}"/>
    <cellStyle name="Normal 2 5 13 2" xfId="34089" xr:uid="{00000000-0005-0000-0000-0000FC830000}"/>
    <cellStyle name="Normal 2 5 13 2 2" xfId="34090" xr:uid="{00000000-0005-0000-0000-0000FD830000}"/>
    <cellStyle name="Normal 2 5 13 2 3" xfId="34091" xr:uid="{00000000-0005-0000-0000-0000FE830000}"/>
    <cellStyle name="Normal 2 5 13 2 4" xfId="34092" xr:uid="{00000000-0005-0000-0000-0000FF830000}"/>
    <cellStyle name="Normal 2 5 13 2 5" xfId="34093" xr:uid="{00000000-0005-0000-0000-000000840000}"/>
    <cellStyle name="Normal 2 5 13 3" xfId="34094" xr:uid="{00000000-0005-0000-0000-000001840000}"/>
    <cellStyle name="Normal 2 5 13 4" xfId="34095" xr:uid="{00000000-0005-0000-0000-000002840000}"/>
    <cellStyle name="Normal 2 5 13 5" xfId="34096" xr:uid="{00000000-0005-0000-0000-000003840000}"/>
    <cellStyle name="Normal 2 5 13 6" xfId="34097" xr:uid="{00000000-0005-0000-0000-000004840000}"/>
    <cellStyle name="Normal 2 5 13 7" xfId="34098" xr:uid="{00000000-0005-0000-0000-000005840000}"/>
    <cellStyle name="Normal 2 5 13 8" xfId="34099" xr:uid="{00000000-0005-0000-0000-000006840000}"/>
    <cellStyle name="Normal 2 5 14" xfId="34100" xr:uid="{00000000-0005-0000-0000-000007840000}"/>
    <cellStyle name="Normal 2 5 14 2" xfId="34101" xr:uid="{00000000-0005-0000-0000-000008840000}"/>
    <cellStyle name="Normal 2 5 14 3" xfId="34102" xr:uid="{00000000-0005-0000-0000-000009840000}"/>
    <cellStyle name="Normal 2 5 14 4" xfId="34103" xr:uid="{00000000-0005-0000-0000-00000A840000}"/>
    <cellStyle name="Normal 2 5 14 5" xfId="34104" xr:uid="{00000000-0005-0000-0000-00000B840000}"/>
    <cellStyle name="Normal 2 5 15" xfId="34105" xr:uid="{00000000-0005-0000-0000-00000C840000}"/>
    <cellStyle name="Normal 2 5 16" xfId="34106" xr:uid="{00000000-0005-0000-0000-00000D840000}"/>
    <cellStyle name="Normal 2 5 17" xfId="34107" xr:uid="{00000000-0005-0000-0000-00000E840000}"/>
    <cellStyle name="Normal 2 5 18" xfId="34108" xr:uid="{00000000-0005-0000-0000-00000F840000}"/>
    <cellStyle name="Normal 2 5 19" xfId="34109" xr:uid="{00000000-0005-0000-0000-000010840000}"/>
    <cellStyle name="Normal 2 5 2" xfId="876" xr:uid="{00000000-0005-0000-0000-000011840000}"/>
    <cellStyle name="Normal 2 5 2 10" xfId="34110" xr:uid="{00000000-0005-0000-0000-000012840000}"/>
    <cellStyle name="Normal 2 5 2 11" xfId="34111" xr:uid="{00000000-0005-0000-0000-000013840000}"/>
    <cellStyle name="Normal 2 5 2 12" xfId="34112" xr:uid="{00000000-0005-0000-0000-000014840000}"/>
    <cellStyle name="Normal 2 5 2 13" xfId="34113" xr:uid="{00000000-0005-0000-0000-000015840000}"/>
    <cellStyle name="Normal 2 5 2 2" xfId="34114" xr:uid="{00000000-0005-0000-0000-000016840000}"/>
    <cellStyle name="Normal 2 5 2 2 10" xfId="34115" xr:uid="{00000000-0005-0000-0000-000017840000}"/>
    <cellStyle name="Normal 2 5 2 2 11" xfId="34116" xr:uid="{00000000-0005-0000-0000-000018840000}"/>
    <cellStyle name="Normal 2 5 2 2 2" xfId="34117" xr:uid="{00000000-0005-0000-0000-000019840000}"/>
    <cellStyle name="Normal 2 5 2 2 2 10" xfId="34118" xr:uid="{00000000-0005-0000-0000-00001A840000}"/>
    <cellStyle name="Normal 2 5 2 2 2 2" xfId="34119" xr:uid="{00000000-0005-0000-0000-00001B840000}"/>
    <cellStyle name="Normal 2 5 2 2 2 2 2" xfId="34120" xr:uid="{00000000-0005-0000-0000-00001C840000}"/>
    <cellStyle name="Normal 2 5 2 2 2 2 2 2" xfId="34121" xr:uid="{00000000-0005-0000-0000-00001D840000}"/>
    <cellStyle name="Normal 2 5 2 2 2 2 2 3" xfId="34122" xr:uid="{00000000-0005-0000-0000-00001E840000}"/>
    <cellStyle name="Normal 2 5 2 2 2 2 2 4" xfId="34123" xr:uid="{00000000-0005-0000-0000-00001F840000}"/>
    <cellStyle name="Normal 2 5 2 2 2 2 2 5" xfId="34124" xr:uid="{00000000-0005-0000-0000-000020840000}"/>
    <cellStyle name="Normal 2 5 2 2 2 2 3" xfId="34125" xr:uid="{00000000-0005-0000-0000-000021840000}"/>
    <cellStyle name="Normal 2 5 2 2 2 2 4" xfId="34126" xr:uid="{00000000-0005-0000-0000-000022840000}"/>
    <cellStyle name="Normal 2 5 2 2 2 2 5" xfId="34127" xr:uid="{00000000-0005-0000-0000-000023840000}"/>
    <cellStyle name="Normal 2 5 2 2 2 2 6" xfId="34128" xr:uid="{00000000-0005-0000-0000-000024840000}"/>
    <cellStyle name="Normal 2 5 2 2 2 2 7" xfId="34129" xr:uid="{00000000-0005-0000-0000-000025840000}"/>
    <cellStyle name="Normal 2 5 2 2 2 2 8" xfId="34130" xr:uid="{00000000-0005-0000-0000-000026840000}"/>
    <cellStyle name="Normal 2 5 2 2 2 3" xfId="34131" xr:uid="{00000000-0005-0000-0000-000027840000}"/>
    <cellStyle name="Normal 2 5 2 2 2 3 2" xfId="34132" xr:uid="{00000000-0005-0000-0000-000028840000}"/>
    <cellStyle name="Normal 2 5 2 2 2 3 2 2" xfId="34133" xr:uid="{00000000-0005-0000-0000-000029840000}"/>
    <cellStyle name="Normal 2 5 2 2 2 3 2 3" xfId="34134" xr:uid="{00000000-0005-0000-0000-00002A840000}"/>
    <cellStyle name="Normal 2 5 2 2 2 3 2 4" xfId="34135" xr:uid="{00000000-0005-0000-0000-00002B840000}"/>
    <cellStyle name="Normal 2 5 2 2 2 3 2 5" xfId="34136" xr:uid="{00000000-0005-0000-0000-00002C840000}"/>
    <cellStyle name="Normal 2 5 2 2 2 3 3" xfId="34137" xr:uid="{00000000-0005-0000-0000-00002D840000}"/>
    <cellStyle name="Normal 2 5 2 2 2 3 4" xfId="34138" xr:uid="{00000000-0005-0000-0000-00002E840000}"/>
    <cellStyle name="Normal 2 5 2 2 2 3 5" xfId="34139" xr:uid="{00000000-0005-0000-0000-00002F840000}"/>
    <cellStyle name="Normal 2 5 2 2 2 3 6" xfId="34140" xr:uid="{00000000-0005-0000-0000-000030840000}"/>
    <cellStyle name="Normal 2 5 2 2 2 3 7" xfId="34141" xr:uid="{00000000-0005-0000-0000-000031840000}"/>
    <cellStyle name="Normal 2 5 2 2 2 3 8" xfId="34142" xr:uid="{00000000-0005-0000-0000-000032840000}"/>
    <cellStyle name="Normal 2 5 2 2 2 4" xfId="34143" xr:uid="{00000000-0005-0000-0000-000033840000}"/>
    <cellStyle name="Normal 2 5 2 2 2 4 2" xfId="34144" xr:uid="{00000000-0005-0000-0000-000034840000}"/>
    <cellStyle name="Normal 2 5 2 2 2 4 3" xfId="34145" xr:uid="{00000000-0005-0000-0000-000035840000}"/>
    <cellStyle name="Normal 2 5 2 2 2 4 4" xfId="34146" xr:uid="{00000000-0005-0000-0000-000036840000}"/>
    <cellStyle name="Normal 2 5 2 2 2 4 5" xfId="34147" xr:uid="{00000000-0005-0000-0000-000037840000}"/>
    <cellStyle name="Normal 2 5 2 2 2 5" xfId="34148" xr:uid="{00000000-0005-0000-0000-000038840000}"/>
    <cellStyle name="Normal 2 5 2 2 2 6" xfId="34149" xr:uid="{00000000-0005-0000-0000-000039840000}"/>
    <cellStyle name="Normal 2 5 2 2 2 7" xfId="34150" xr:uid="{00000000-0005-0000-0000-00003A840000}"/>
    <cellStyle name="Normal 2 5 2 2 2 8" xfId="34151" xr:uid="{00000000-0005-0000-0000-00003B840000}"/>
    <cellStyle name="Normal 2 5 2 2 2 9" xfId="34152" xr:uid="{00000000-0005-0000-0000-00003C840000}"/>
    <cellStyle name="Normal 2 5 2 2 3" xfId="34153" xr:uid="{00000000-0005-0000-0000-00003D840000}"/>
    <cellStyle name="Normal 2 5 2 2 3 2" xfId="34154" xr:uid="{00000000-0005-0000-0000-00003E840000}"/>
    <cellStyle name="Normal 2 5 2 2 3 2 2" xfId="34155" xr:uid="{00000000-0005-0000-0000-00003F840000}"/>
    <cellStyle name="Normal 2 5 2 2 3 2 3" xfId="34156" xr:uid="{00000000-0005-0000-0000-000040840000}"/>
    <cellStyle name="Normal 2 5 2 2 3 2 4" xfId="34157" xr:uid="{00000000-0005-0000-0000-000041840000}"/>
    <cellStyle name="Normal 2 5 2 2 3 2 5" xfId="34158" xr:uid="{00000000-0005-0000-0000-000042840000}"/>
    <cellStyle name="Normal 2 5 2 2 3 3" xfId="34159" xr:uid="{00000000-0005-0000-0000-000043840000}"/>
    <cellStyle name="Normal 2 5 2 2 3 4" xfId="34160" xr:uid="{00000000-0005-0000-0000-000044840000}"/>
    <cellStyle name="Normal 2 5 2 2 3 5" xfId="34161" xr:uid="{00000000-0005-0000-0000-000045840000}"/>
    <cellStyle name="Normal 2 5 2 2 3 6" xfId="34162" xr:uid="{00000000-0005-0000-0000-000046840000}"/>
    <cellStyle name="Normal 2 5 2 2 3 7" xfId="34163" xr:uid="{00000000-0005-0000-0000-000047840000}"/>
    <cellStyle name="Normal 2 5 2 2 3 8" xfId="34164" xr:uid="{00000000-0005-0000-0000-000048840000}"/>
    <cellStyle name="Normal 2 5 2 2 4" xfId="34165" xr:uid="{00000000-0005-0000-0000-000049840000}"/>
    <cellStyle name="Normal 2 5 2 2 4 2" xfId="34166" xr:uid="{00000000-0005-0000-0000-00004A840000}"/>
    <cellStyle name="Normal 2 5 2 2 4 2 2" xfId="34167" xr:uid="{00000000-0005-0000-0000-00004B840000}"/>
    <cellStyle name="Normal 2 5 2 2 4 2 3" xfId="34168" xr:uid="{00000000-0005-0000-0000-00004C840000}"/>
    <cellStyle name="Normal 2 5 2 2 4 2 4" xfId="34169" xr:uid="{00000000-0005-0000-0000-00004D840000}"/>
    <cellStyle name="Normal 2 5 2 2 4 2 5" xfId="34170" xr:uid="{00000000-0005-0000-0000-00004E840000}"/>
    <cellStyle name="Normal 2 5 2 2 4 3" xfId="34171" xr:uid="{00000000-0005-0000-0000-00004F840000}"/>
    <cellStyle name="Normal 2 5 2 2 4 4" xfId="34172" xr:uid="{00000000-0005-0000-0000-000050840000}"/>
    <cellStyle name="Normal 2 5 2 2 4 5" xfId="34173" xr:uid="{00000000-0005-0000-0000-000051840000}"/>
    <cellStyle name="Normal 2 5 2 2 4 6" xfId="34174" xr:uid="{00000000-0005-0000-0000-000052840000}"/>
    <cellStyle name="Normal 2 5 2 2 4 7" xfId="34175" xr:uid="{00000000-0005-0000-0000-000053840000}"/>
    <cellStyle name="Normal 2 5 2 2 4 8" xfId="34176" xr:uid="{00000000-0005-0000-0000-000054840000}"/>
    <cellStyle name="Normal 2 5 2 2 5" xfId="34177" xr:uid="{00000000-0005-0000-0000-000055840000}"/>
    <cellStyle name="Normal 2 5 2 2 5 2" xfId="34178" xr:uid="{00000000-0005-0000-0000-000056840000}"/>
    <cellStyle name="Normal 2 5 2 2 5 3" xfId="34179" xr:uid="{00000000-0005-0000-0000-000057840000}"/>
    <cellStyle name="Normal 2 5 2 2 5 4" xfId="34180" xr:uid="{00000000-0005-0000-0000-000058840000}"/>
    <cellStyle name="Normal 2 5 2 2 5 5" xfId="34181" xr:uid="{00000000-0005-0000-0000-000059840000}"/>
    <cellStyle name="Normal 2 5 2 2 6" xfId="34182" xr:uid="{00000000-0005-0000-0000-00005A840000}"/>
    <cellStyle name="Normal 2 5 2 2 7" xfId="34183" xr:uid="{00000000-0005-0000-0000-00005B840000}"/>
    <cellStyle name="Normal 2 5 2 2 8" xfId="34184" xr:uid="{00000000-0005-0000-0000-00005C840000}"/>
    <cellStyle name="Normal 2 5 2 2 9" xfId="34185" xr:uid="{00000000-0005-0000-0000-00005D840000}"/>
    <cellStyle name="Normal 2 5 2 3" xfId="34186" xr:uid="{00000000-0005-0000-0000-00005E840000}"/>
    <cellStyle name="Normal 2 5 2 3 10" xfId="34187" xr:uid="{00000000-0005-0000-0000-00005F840000}"/>
    <cellStyle name="Normal 2 5 2 3 11" xfId="34188" xr:uid="{00000000-0005-0000-0000-000060840000}"/>
    <cellStyle name="Normal 2 5 2 3 2" xfId="34189" xr:uid="{00000000-0005-0000-0000-000061840000}"/>
    <cellStyle name="Normal 2 5 2 3 2 10" xfId="34190" xr:uid="{00000000-0005-0000-0000-000062840000}"/>
    <cellStyle name="Normal 2 5 2 3 2 2" xfId="34191" xr:uid="{00000000-0005-0000-0000-000063840000}"/>
    <cellStyle name="Normal 2 5 2 3 2 2 2" xfId="34192" xr:uid="{00000000-0005-0000-0000-000064840000}"/>
    <cellStyle name="Normal 2 5 2 3 2 2 2 2" xfId="34193" xr:uid="{00000000-0005-0000-0000-000065840000}"/>
    <cellStyle name="Normal 2 5 2 3 2 2 2 3" xfId="34194" xr:uid="{00000000-0005-0000-0000-000066840000}"/>
    <cellStyle name="Normal 2 5 2 3 2 2 2 4" xfId="34195" xr:uid="{00000000-0005-0000-0000-000067840000}"/>
    <cellStyle name="Normal 2 5 2 3 2 2 2 5" xfId="34196" xr:uid="{00000000-0005-0000-0000-000068840000}"/>
    <cellStyle name="Normal 2 5 2 3 2 2 3" xfId="34197" xr:uid="{00000000-0005-0000-0000-000069840000}"/>
    <cellStyle name="Normal 2 5 2 3 2 2 4" xfId="34198" xr:uid="{00000000-0005-0000-0000-00006A840000}"/>
    <cellStyle name="Normal 2 5 2 3 2 2 5" xfId="34199" xr:uid="{00000000-0005-0000-0000-00006B840000}"/>
    <cellStyle name="Normal 2 5 2 3 2 2 6" xfId="34200" xr:uid="{00000000-0005-0000-0000-00006C840000}"/>
    <cellStyle name="Normal 2 5 2 3 2 2 7" xfId="34201" xr:uid="{00000000-0005-0000-0000-00006D840000}"/>
    <cellStyle name="Normal 2 5 2 3 2 2 8" xfId="34202" xr:uid="{00000000-0005-0000-0000-00006E840000}"/>
    <cellStyle name="Normal 2 5 2 3 2 3" xfId="34203" xr:uid="{00000000-0005-0000-0000-00006F840000}"/>
    <cellStyle name="Normal 2 5 2 3 2 3 2" xfId="34204" xr:uid="{00000000-0005-0000-0000-000070840000}"/>
    <cellStyle name="Normal 2 5 2 3 2 3 2 2" xfId="34205" xr:uid="{00000000-0005-0000-0000-000071840000}"/>
    <cellStyle name="Normal 2 5 2 3 2 3 2 3" xfId="34206" xr:uid="{00000000-0005-0000-0000-000072840000}"/>
    <cellStyle name="Normal 2 5 2 3 2 3 2 4" xfId="34207" xr:uid="{00000000-0005-0000-0000-000073840000}"/>
    <cellStyle name="Normal 2 5 2 3 2 3 2 5" xfId="34208" xr:uid="{00000000-0005-0000-0000-000074840000}"/>
    <cellStyle name="Normal 2 5 2 3 2 3 3" xfId="34209" xr:uid="{00000000-0005-0000-0000-000075840000}"/>
    <cellStyle name="Normal 2 5 2 3 2 3 4" xfId="34210" xr:uid="{00000000-0005-0000-0000-000076840000}"/>
    <cellStyle name="Normal 2 5 2 3 2 3 5" xfId="34211" xr:uid="{00000000-0005-0000-0000-000077840000}"/>
    <cellStyle name="Normal 2 5 2 3 2 3 6" xfId="34212" xr:uid="{00000000-0005-0000-0000-000078840000}"/>
    <cellStyle name="Normal 2 5 2 3 2 3 7" xfId="34213" xr:uid="{00000000-0005-0000-0000-000079840000}"/>
    <cellStyle name="Normal 2 5 2 3 2 3 8" xfId="34214" xr:uid="{00000000-0005-0000-0000-00007A840000}"/>
    <cellStyle name="Normal 2 5 2 3 2 4" xfId="34215" xr:uid="{00000000-0005-0000-0000-00007B840000}"/>
    <cellStyle name="Normal 2 5 2 3 2 4 2" xfId="34216" xr:uid="{00000000-0005-0000-0000-00007C840000}"/>
    <cellStyle name="Normal 2 5 2 3 2 4 3" xfId="34217" xr:uid="{00000000-0005-0000-0000-00007D840000}"/>
    <cellStyle name="Normal 2 5 2 3 2 4 4" xfId="34218" xr:uid="{00000000-0005-0000-0000-00007E840000}"/>
    <cellStyle name="Normal 2 5 2 3 2 4 5" xfId="34219" xr:uid="{00000000-0005-0000-0000-00007F840000}"/>
    <cellStyle name="Normal 2 5 2 3 2 5" xfId="34220" xr:uid="{00000000-0005-0000-0000-000080840000}"/>
    <cellStyle name="Normal 2 5 2 3 2 6" xfId="34221" xr:uid="{00000000-0005-0000-0000-000081840000}"/>
    <cellStyle name="Normal 2 5 2 3 2 7" xfId="34222" xr:uid="{00000000-0005-0000-0000-000082840000}"/>
    <cellStyle name="Normal 2 5 2 3 2 8" xfId="34223" xr:uid="{00000000-0005-0000-0000-000083840000}"/>
    <cellStyle name="Normal 2 5 2 3 2 9" xfId="34224" xr:uid="{00000000-0005-0000-0000-000084840000}"/>
    <cellStyle name="Normal 2 5 2 3 3" xfId="34225" xr:uid="{00000000-0005-0000-0000-000085840000}"/>
    <cellStyle name="Normal 2 5 2 3 3 2" xfId="34226" xr:uid="{00000000-0005-0000-0000-000086840000}"/>
    <cellStyle name="Normal 2 5 2 3 3 2 2" xfId="34227" xr:uid="{00000000-0005-0000-0000-000087840000}"/>
    <cellStyle name="Normal 2 5 2 3 3 2 3" xfId="34228" xr:uid="{00000000-0005-0000-0000-000088840000}"/>
    <cellStyle name="Normal 2 5 2 3 3 2 4" xfId="34229" xr:uid="{00000000-0005-0000-0000-000089840000}"/>
    <cellStyle name="Normal 2 5 2 3 3 2 5" xfId="34230" xr:uid="{00000000-0005-0000-0000-00008A840000}"/>
    <cellStyle name="Normal 2 5 2 3 3 3" xfId="34231" xr:uid="{00000000-0005-0000-0000-00008B840000}"/>
    <cellStyle name="Normal 2 5 2 3 3 4" xfId="34232" xr:uid="{00000000-0005-0000-0000-00008C840000}"/>
    <cellStyle name="Normal 2 5 2 3 3 5" xfId="34233" xr:uid="{00000000-0005-0000-0000-00008D840000}"/>
    <cellStyle name="Normal 2 5 2 3 3 6" xfId="34234" xr:uid="{00000000-0005-0000-0000-00008E840000}"/>
    <cellStyle name="Normal 2 5 2 3 3 7" xfId="34235" xr:uid="{00000000-0005-0000-0000-00008F840000}"/>
    <cellStyle name="Normal 2 5 2 3 3 8" xfId="34236" xr:uid="{00000000-0005-0000-0000-000090840000}"/>
    <cellStyle name="Normal 2 5 2 3 4" xfId="34237" xr:uid="{00000000-0005-0000-0000-000091840000}"/>
    <cellStyle name="Normal 2 5 2 3 4 2" xfId="34238" xr:uid="{00000000-0005-0000-0000-000092840000}"/>
    <cellStyle name="Normal 2 5 2 3 4 2 2" xfId="34239" xr:uid="{00000000-0005-0000-0000-000093840000}"/>
    <cellStyle name="Normal 2 5 2 3 4 2 3" xfId="34240" xr:uid="{00000000-0005-0000-0000-000094840000}"/>
    <cellStyle name="Normal 2 5 2 3 4 2 4" xfId="34241" xr:uid="{00000000-0005-0000-0000-000095840000}"/>
    <cellStyle name="Normal 2 5 2 3 4 2 5" xfId="34242" xr:uid="{00000000-0005-0000-0000-000096840000}"/>
    <cellStyle name="Normal 2 5 2 3 4 3" xfId="34243" xr:uid="{00000000-0005-0000-0000-000097840000}"/>
    <cellStyle name="Normal 2 5 2 3 4 4" xfId="34244" xr:uid="{00000000-0005-0000-0000-000098840000}"/>
    <cellStyle name="Normal 2 5 2 3 4 5" xfId="34245" xr:uid="{00000000-0005-0000-0000-000099840000}"/>
    <cellStyle name="Normal 2 5 2 3 4 6" xfId="34246" xr:uid="{00000000-0005-0000-0000-00009A840000}"/>
    <cellStyle name="Normal 2 5 2 3 4 7" xfId="34247" xr:uid="{00000000-0005-0000-0000-00009B840000}"/>
    <cellStyle name="Normal 2 5 2 3 4 8" xfId="34248" xr:uid="{00000000-0005-0000-0000-00009C840000}"/>
    <cellStyle name="Normal 2 5 2 3 5" xfId="34249" xr:uid="{00000000-0005-0000-0000-00009D840000}"/>
    <cellStyle name="Normal 2 5 2 3 5 2" xfId="34250" xr:uid="{00000000-0005-0000-0000-00009E840000}"/>
    <cellStyle name="Normal 2 5 2 3 5 3" xfId="34251" xr:uid="{00000000-0005-0000-0000-00009F840000}"/>
    <cellStyle name="Normal 2 5 2 3 5 4" xfId="34252" xr:uid="{00000000-0005-0000-0000-0000A0840000}"/>
    <cellStyle name="Normal 2 5 2 3 5 5" xfId="34253" xr:uid="{00000000-0005-0000-0000-0000A1840000}"/>
    <cellStyle name="Normal 2 5 2 3 6" xfId="34254" xr:uid="{00000000-0005-0000-0000-0000A2840000}"/>
    <cellStyle name="Normal 2 5 2 3 7" xfId="34255" xr:uid="{00000000-0005-0000-0000-0000A3840000}"/>
    <cellStyle name="Normal 2 5 2 3 8" xfId="34256" xr:uid="{00000000-0005-0000-0000-0000A4840000}"/>
    <cellStyle name="Normal 2 5 2 3 9" xfId="34257" xr:uid="{00000000-0005-0000-0000-0000A5840000}"/>
    <cellStyle name="Normal 2 5 2 4" xfId="34258" xr:uid="{00000000-0005-0000-0000-0000A6840000}"/>
    <cellStyle name="Normal 2 5 2 4 10" xfId="34259" xr:uid="{00000000-0005-0000-0000-0000A7840000}"/>
    <cellStyle name="Normal 2 5 2 4 2" xfId="34260" xr:uid="{00000000-0005-0000-0000-0000A8840000}"/>
    <cellStyle name="Normal 2 5 2 4 2 2" xfId="34261" xr:uid="{00000000-0005-0000-0000-0000A9840000}"/>
    <cellStyle name="Normal 2 5 2 4 2 2 2" xfId="34262" xr:uid="{00000000-0005-0000-0000-0000AA840000}"/>
    <cellStyle name="Normal 2 5 2 4 2 2 3" xfId="34263" xr:uid="{00000000-0005-0000-0000-0000AB840000}"/>
    <cellStyle name="Normal 2 5 2 4 2 2 4" xfId="34264" xr:uid="{00000000-0005-0000-0000-0000AC840000}"/>
    <cellStyle name="Normal 2 5 2 4 2 2 5" xfId="34265" xr:uid="{00000000-0005-0000-0000-0000AD840000}"/>
    <cellStyle name="Normal 2 5 2 4 2 3" xfId="34266" xr:uid="{00000000-0005-0000-0000-0000AE840000}"/>
    <cellStyle name="Normal 2 5 2 4 2 4" xfId="34267" xr:uid="{00000000-0005-0000-0000-0000AF840000}"/>
    <cellStyle name="Normal 2 5 2 4 2 5" xfId="34268" xr:uid="{00000000-0005-0000-0000-0000B0840000}"/>
    <cellStyle name="Normal 2 5 2 4 2 6" xfId="34269" xr:uid="{00000000-0005-0000-0000-0000B1840000}"/>
    <cellStyle name="Normal 2 5 2 4 2 7" xfId="34270" xr:uid="{00000000-0005-0000-0000-0000B2840000}"/>
    <cellStyle name="Normal 2 5 2 4 2 8" xfId="34271" xr:uid="{00000000-0005-0000-0000-0000B3840000}"/>
    <cellStyle name="Normal 2 5 2 4 3" xfId="34272" xr:uid="{00000000-0005-0000-0000-0000B4840000}"/>
    <cellStyle name="Normal 2 5 2 4 3 2" xfId="34273" xr:uid="{00000000-0005-0000-0000-0000B5840000}"/>
    <cellStyle name="Normal 2 5 2 4 3 2 2" xfId="34274" xr:uid="{00000000-0005-0000-0000-0000B6840000}"/>
    <cellStyle name="Normal 2 5 2 4 3 2 3" xfId="34275" xr:uid="{00000000-0005-0000-0000-0000B7840000}"/>
    <cellStyle name="Normal 2 5 2 4 3 2 4" xfId="34276" xr:uid="{00000000-0005-0000-0000-0000B8840000}"/>
    <cellStyle name="Normal 2 5 2 4 3 2 5" xfId="34277" xr:uid="{00000000-0005-0000-0000-0000B9840000}"/>
    <cellStyle name="Normal 2 5 2 4 3 3" xfId="34278" xr:uid="{00000000-0005-0000-0000-0000BA840000}"/>
    <cellStyle name="Normal 2 5 2 4 3 4" xfId="34279" xr:uid="{00000000-0005-0000-0000-0000BB840000}"/>
    <cellStyle name="Normal 2 5 2 4 3 5" xfId="34280" xr:uid="{00000000-0005-0000-0000-0000BC840000}"/>
    <cellStyle name="Normal 2 5 2 4 3 6" xfId="34281" xr:uid="{00000000-0005-0000-0000-0000BD840000}"/>
    <cellStyle name="Normal 2 5 2 4 3 7" xfId="34282" xr:uid="{00000000-0005-0000-0000-0000BE840000}"/>
    <cellStyle name="Normal 2 5 2 4 3 8" xfId="34283" xr:uid="{00000000-0005-0000-0000-0000BF840000}"/>
    <cellStyle name="Normal 2 5 2 4 4" xfId="34284" xr:uid="{00000000-0005-0000-0000-0000C0840000}"/>
    <cellStyle name="Normal 2 5 2 4 4 2" xfId="34285" xr:uid="{00000000-0005-0000-0000-0000C1840000}"/>
    <cellStyle name="Normal 2 5 2 4 4 3" xfId="34286" xr:uid="{00000000-0005-0000-0000-0000C2840000}"/>
    <cellStyle name="Normal 2 5 2 4 4 4" xfId="34287" xr:uid="{00000000-0005-0000-0000-0000C3840000}"/>
    <cellStyle name="Normal 2 5 2 4 4 5" xfId="34288" xr:uid="{00000000-0005-0000-0000-0000C4840000}"/>
    <cellStyle name="Normal 2 5 2 4 5" xfId="34289" xr:uid="{00000000-0005-0000-0000-0000C5840000}"/>
    <cellStyle name="Normal 2 5 2 4 6" xfId="34290" xr:uid="{00000000-0005-0000-0000-0000C6840000}"/>
    <cellStyle name="Normal 2 5 2 4 7" xfId="34291" xr:uid="{00000000-0005-0000-0000-0000C7840000}"/>
    <cellStyle name="Normal 2 5 2 4 8" xfId="34292" xr:uid="{00000000-0005-0000-0000-0000C8840000}"/>
    <cellStyle name="Normal 2 5 2 4 9" xfId="34293" xr:uid="{00000000-0005-0000-0000-0000C9840000}"/>
    <cellStyle name="Normal 2 5 2 5" xfId="34294" xr:uid="{00000000-0005-0000-0000-0000CA840000}"/>
    <cellStyle name="Normal 2 5 2 5 2" xfId="34295" xr:uid="{00000000-0005-0000-0000-0000CB840000}"/>
    <cellStyle name="Normal 2 5 2 5 2 2" xfId="34296" xr:uid="{00000000-0005-0000-0000-0000CC840000}"/>
    <cellStyle name="Normal 2 5 2 5 2 3" xfId="34297" xr:uid="{00000000-0005-0000-0000-0000CD840000}"/>
    <cellStyle name="Normal 2 5 2 5 2 4" xfId="34298" xr:uid="{00000000-0005-0000-0000-0000CE840000}"/>
    <cellStyle name="Normal 2 5 2 5 2 5" xfId="34299" xr:uid="{00000000-0005-0000-0000-0000CF840000}"/>
    <cellStyle name="Normal 2 5 2 5 3" xfId="34300" xr:uid="{00000000-0005-0000-0000-0000D0840000}"/>
    <cellStyle name="Normal 2 5 2 5 4" xfId="34301" xr:uid="{00000000-0005-0000-0000-0000D1840000}"/>
    <cellStyle name="Normal 2 5 2 5 5" xfId="34302" xr:uid="{00000000-0005-0000-0000-0000D2840000}"/>
    <cellStyle name="Normal 2 5 2 5 6" xfId="34303" xr:uid="{00000000-0005-0000-0000-0000D3840000}"/>
    <cellStyle name="Normal 2 5 2 5 7" xfId="34304" xr:uid="{00000000-0005-0000-0000-0000D4840000}"/>
    <cellStyle name="Normal 2 5 2 5 8" xfId="34305" xr:uid="{00000000-0005-0000-0000-0000D5840000}"/>
    <cellStyle name="Normal 2 5 2 6" xfId="34306" xr:uid="{00000000-0005-0000-0000-0000D6840000}"/>
    <cellStyle name="Normal 2 5 2 6 2" xfId="34307" xr:uid="{00000000-0005-0000-0000-0000D7840000}"/>
    <cellStyle name="Normal 2 5 2 6 2 2" xfId="34308" xr:uid="{00000000-0005-0000-0000-0000D8840000}"/>
    <cellStyle name="Normal 2 5 2 6 2 3" xfId="34309" xr:uid="{00000000-0005-0000-0000-0000D9840000}"/>
    <cellStyle name="Normal 2 5 2 6 2 4" xfId="34310" xr:uid="{00000000-0005-0000-0000-0000DA840000}"/>
    <cellStyle name="Normal 2 5 2 6 2 5" xfId="34311" xr:uid="{00000000-0005-0000-0000-0000DB840000}"/>
    <cellStyle name="Normal 2 5 2 6 3" xfId="34312" xr:uid="{00000000-0005-0000-0000-0000DC840000}"/>
    <cellStyle name="Normal 2 5 2 6 4" xfId="34313" xr:uid="{00000000-0005-0000-0000-0000DD840000}"/>
    <cellStyle name="Normal 2 5 2 6 5" xfId="34314" xr:uid="{00000000-0005-0000-0000-0000DE840000}"/>
    <cellStyle name="Normal 2 5 2 6 6" xfId="34315" xr:uid="{00000000-0005-0000-0000-0000DF840000}"/>
    <cellStyle name="Normal 2 5 2 6 7" xfId="34316" xr:uid="{00000000-0005-0000-0000-0000E0840000}"/>
    <cellStyle name="Normal 2 5 2 6 8" xfId="34317" xr:uid="{00000000-0005-0000-0000-0000E1840000}"/>
    <cellStyle name="Normal 2 5 2 7" xfId="34318" xr:uid="{00000000-0005-0000-0000-0000E2840000}"/>
    <cellStyle name="Normal 2 5 2 7 2" xfId="34319" xr:uid="{00000000-0005-0000-0000-0000E3840000}"/>
    <cellStyle name="Normal 2 5 2 7 3" xfId="34320" xr:uid="{00000000-0005-0000-0000-0000E4840000}"/>
    <cellStyle name="Normal 2 5 2 7 4" xfId="34321" xr:uid="{00000000-0005-0000-0000-0000E5840000}"/>
    <cellStyle name="Normal 2 5 2 7 5" xfId="34322" xr:uid="{00000000-0005-0000-0000-0000E6840000}"/>
    <cellStyle name="Normal 2 5 2 8" xfId="34323" xr:uid="{00000000-0005-0000-0000-0000E7840000}"/>
    <cellStyle name="Normal 2 5 2 9" xfId="34324" xr:uid="{00000000-0005-0000-0000-0000E8840000}"/>
    <cellStyle name="Normal 2 5 20" xfId="34325" xr:uid="{00000000-0005-0000-0000-0000E9840000}"/>
    <cellStyle name="Normal 2 5 21" xfId="42642" xr:uid="{00000000-0005-0000-0000-0000EA840000}"/>
    <cellStyle name="Normal 2 5 3" xfId="877" xr:uid="{00000000-0005-0000-0000-0000EB840000}"/>
    <cellStyle name="Normal 2 5 3 10" xfId="34326" xr:uid="{00000000-0005-0000-0000-0000EC840000}"/>
    <cellStyle name="Normal 2 5 3 11" xfId="34327" xr:uid="{00000000-0005-0000-0000-0000ED840000}"/>
    <cellStyle name="Normal 2 5 3 12" xfId="34328" xr:uid="{00000000-0005-0000-0000-0000EE840000}"/>
    <cellStyle name="Normal 2 5 3 13" xfId="34329" xr:uid="{00000000-0005-0000-0000-0000EF840000}"/>
    <cellStyle name="Normal 2 5 3 2" xfId="34330" xr:uid="{00000000-0005-0000-0000-0000F0840000}"/>
    <cellStyle name="Normal 2 5 3 2 10" xfId="34331" xr:uid="{00000000-0005-0000-0000-0000F1840000}"/>
    <cellStyle name="Normal 2 5 3 2 11" xfId="34332" xr:uid="{00000000-0005-0000-0000-0000F2840000}"/>
    <cellStyle name="Normal 2 5 3 2 2" xfId="34333" xr:uid="{00000000-0005-0000-0000-0000F3840000}"/>
    <cellStyle name="Normal 2 5 3 2 2 10" xfId="34334" xr:uid="{00000000-0005-0000-0000-0000F4840000}"/>
    <cellStyle name="Normal 2 5 3 2 2 2" xfId="34335" xr:uid="{00000000-0005-0000-0000-0000F5840000}"/>
    <cellStyle name="Normal 2 5 3 2 2 2 2" xfId="34336" xr:uid="{00000000-0005-0000-0000-0000F6840000}"/>
    <cellStyle name="Normal 2 5 3 2 2 2 2 2" xfId="34337" xr:uid="{00000000-0005-0000-0000-0000F7840000}"/>
    <cellStyle name="Normal 2 5 3 2 2 2 2 3" xfId="34338" xr:uid="{00000000-0005-0000-0000-0000F8840000}"/>
    <cellStyle name="Normal 2 5 3 2 2 2 2 4" xfId="34339" xr:uid="{00000000-0005-0000-0000-0000F9840000}"/>
    <cellStyle name="Normal 2 5 3 2 2 2 2 5" xfId="34340" xr:uid="{00000000-0005-0000-0000-0000FA840000}"/>
    <cellStyle name="Normal 2 5 3 2 2 2 3" xfId="34341" xr:uid="{00000000-0005-0000-0000-0000FB840000}"/>
    <cellStyle name="Normal 2 5 3 2 2 2 4" xfId="34342" xr:uid="{00000000-0005-0000-0000-0000FC840000}"/>
    <cellStyle name="Normal 2 5 3 2 2 2 5" xfId="34343" xr:uid="{00000000-0005-0000-0000-0000FD840000}"/>
    <cellStyle name="Normal 2 5 3 2 2 2 6" xfId="34344" xr:uid="{00000000-0005-0000-0000-0000FE840000}"/>
    <cellStyle name="Normal 2 5 3 2 2 2 7" xfId="34345" xr:uid="{00000000-0005-0000-0000-0000FF840000}"/>
    <cellStyle name="Normal 2 5 3 2 2 2 8" xfId="34346" xr:uid="{00000000-0005-0000-0000-000000850000}"/>
    <cellStyle name="Normal 2 5 3 2 2 3" xfId="34347" xr:uid="{00000000-0005-0000-0000-000001850000}"/>
    <cellStyle name="Normal 2 5 3 2 2 3 2" xfId="34348" xr:uid="{00000000-0005-0000-0000-000002850000}"/>
    <cellStyle name="Normal 2 5 3 2 2 3 2 2" xfId="34349" xr:uid="{00000000-0005-0000-0000-000003850000}"/>
    <cellStyle name="Normal 2 5 3 2 2 3 2 3" xfId="34350" xr:uid="{00000000-0005-0000-0000-000004850000}"/>
    <cellStyle name="Normal 2 5 3 2 2 3 2 4" xfId="34351" xr:uid="{00000000-0005-0000-0000-000005850000}"/>
    <cellStyle name="Normal 2 5 3 2 2 3 2 5" xfId="34352" xr:uid="{00000000-0005-0000-0000-000006850000}"/>
    <cellStyle name="Normal 2 5 3 2 2 3 3" xfId="34353" xr:uid="{00000000-0005-0000-0000-000007850000}"/>
    <cellStyle name="Normal 2 5 3 2 2 3 4" xfId="34354" xr:uid="{00000000-0005-0000-0000-000008850000}"/>
    <cellStyle name="Normal 2 5 3 2 2 3 5" xfId="34355" xr:uid="{00000000-0005-0000-0000-000009850000}"/>
    <cellStyle name="Normal 2 5 3 2 2 3 6" xfId="34356" xr:uid="{00000000-0005-0000-0000-00000A850000}"/>
    <cellStyle name="Normal 2 5 3 2 2 3 7" xfId="34357" xr:uid="{00000000-0005-0000-0000-00000B850000}"/>
    <cellStyle name="Normal 2 5 3 2 2 3 8" xfId="34358" xr:uid="{00000000-0005-0000-0000-00000C850000}"/>
    <cellStyle name="Normal 2 5 3 2 2 4" xfId="34359" xr:uid="{00000000-0005-0000-0000-00000D850000}"/>
    <cellStyle name="Normal 2 5 3 2 2 4 2" xfId="34360" xr:uid="{00000000-0005-0000-0000-00000E850000}"/>
    <cellStyle name="Normal 2 5 3 2 2 4 3" xfId="34361" xr:uid="{00000000-0005-0000-0000-00000F850000}"/>
    <cellStyle name="Normal 2 5 3 2 2 4 4" xfId="34362" xr:uid="{00000000-0005-0000-0000-000010850000}"/>
    <cellStyle name="Normal 2 5 3 2 2 4 5" xfId="34363" xr:uid="{00000000-0005-0000-0000-000011850000}"/>
    <cellStyle name="Normal 2 5 3 2 2 5" xfId="34364" xr:uid="{00000000-0005-0000-0000-000012850000}"/>
    <cellStyle name="Normal 2 5 3 2 2 6" xfId="34365" xr:uid="{00000000-0005-0000-0000-000013850000}"/>
    <cellStyle name="Normal 2 5 3 2 2 7" xfId="34366" xr:uid="{00000000-0005-0000-0000-000014850000}"/>
    <cellStyle name="Normal 2 5 3 2 2 8" xfId="34367" xr:uid="{00000000-0005-0000-0000-000015850000}"/>
    <cellStyle name="Normal 2 5 3 2 2 9" xfId="34368" xr:uid="{00000000-0005-0000-0000-000016850000}"/>
    <cellStyle name="Normal 2 5 3 2 3" xfId="34369" xr:uid="{00000000-0005-0000-0000-000017850000}"/>
    <cellStyle name="Normal 2 5 3 2 3 2" xfId="34370" xr:uid="{00000000-0005-0000-0000-000018850000}"/>
    <cellStyle name="Normal 2 5 3 2 3 2 2" xfId="34371" xr:uid="{00000000-0005-0000-0000-000019850000}"/>
    <cellStyle name="Normal 2 5 3 2 3 2 3" xfId="34372" xr:uid="{00000000-0005-0000-0000-00001A850000}"/>
    <cellStyle name="Normal 2 5 3 2 3 2 4" xfId="34373" xr:uid="{00000000-0005-0000-0000-00001B850000}"/>
    <cellStyle name="Normal 2 5 3 2 3 2 5" xfId="34374" xr:uid="{00000000-0005-0000-0000-00001C850000}"/>
    <cellStyle name="Normal 2 5 3 2 3 3" xfId="34375" xr:uid="{00000000-0005-0000-0000-00001D850000}"/>
    <cellStyle name="Normal 2 5 3 2 3 4" xfId="34376" xr:uid="{00000000-0005-0000-0000-00001E850000}"/>
    <cellStyle name="Normal 2 5 3 2 3 5" xfId="34377" xr:uid="{00000000-0005-0000-0000-00001F850000}"/>
    <cellStyle name="Normal 2 5 3 2 3 6" xfId="34378" xr:uid="{00000000-0005-0000-0000-000020850000}"/>
    <cellStyle name="Normal 2 5 3 2 3 7" xfId="34379" xr:uid="{00000000-0005-0000-0000-000021850000}"/>
    <cellStyle name="Normal 2 5 3 2 3 8" xfId="34380" xr:uid="{00000000-0005-0000-0000-000022850000}"/>
    <cellStyle name="Normal 2 5 3 2 4" xfId="34381" xr:uid="{00000000-0005-0000-0000-000023850000}"/>
    <cellStyle name="Normal 2 5 3 2 4 2" xfId="34382" xr:uid="{00000000-0005-0000-0000-000024850000}"/>
    <cellStyle name="Normal 2 5 3 2 4 2 2" xfId="34383" xr:uid="{00000000-0005-0000-0000-000025850000}"/>
    <cellStyle name="Normal 2 5 3 2 4 2 3" xfId="34384" xr:uid="{00000000-0005-0000-0000-000026850000}"/>
    <cellStyle name="Normal 2 5 3 2 4 2 4" xfId="34385" xr:uid="{00000000-0005-0000-0000-000027850000}"/>
    <cellStyle name="Normal 2 5 3 2 4 2 5" xfId="34386" xr:uid="{00000000-0005-0000-0000-000028850000}"/>
    <cellStyle name="Normal 2 5 3 2 4 3" xfId="34387" xr:uid="{00000000-0005-0000-0000-000029850000}"/>
    <cellStyle name="Normal 2 5 3 2 4 4" xfId="34388" xr:uid="{00000000-0005-0000-0000-00002A850000}"/>
    <cellStyle name="Normal 2 5 3 2 4 5" xfId="34389" xr:uid="{00000000-0005-0000-0000-00002B850000}"/>
    <cellStyle name="Normal 2 5 3 2 4 6" xfId="34390" xr:uid="{00000000-0005-0000-0000-00002C850000}"/>
    <cellStyle name="Normal 2 5 3 2 4 7" xfId="34391" xr:uid="{00000000-0005-0000-0000-00002D850000}"/>
    <cellStyle name="Normal 2 5 3 2 4 8" xfId="34392" xr:uid="{00000000-0005-0000-0000-00002E850000}"/>
    <cellStyle name="Normal 2 5 3 2 5" xfId="34393" xr:uid="{00000000-0005-0000-0000-00002F850000}"/>
    <cellStyle name="Normal 2 5 3 2 5 2" xfId="34394" xr:uid="{00000000-0005-0000-0000-000030850000}"/>
    <cellStyle name="Normal 2 5 3 2 5 3" xfId="34395" xr:uid="{00000000-0005-0000-0000-000031850000}"/>
    <cellStyle name="Normal 2 5 3 2 5 4" xfId="34396" xr:uid="{00000000-0005-0000-0000-000032850000}"/>
    <cellStyle name="Normal 2 5 3 2 5 5" xfId="34397" xr:uid="{00000000-0005-0000-0000-000033850000}"/>
    <cellStyle name="Normal 2 5 3 2 6" xfId="34398" xr:uid="{00000000-0005-0000-0000-000034850000}"/>
    <cellStyle name="Normal 2 5 3 2 7" xfId="34399" xr:uid="{00000000-0005-0000-0000-000035850000}"/>
    <cellStyle name="Normal 2 5 3 2 8" xfId="34400" xr:uid="{00000000-0005-0000-0000-000036850000}"/>
    <cellStyle name="Normal 2 5 3 2 9" xfId="34401" xr:uid="{00000000-0005-0000-0000-000037850000}"/>
    <cellStyle name="Normal 2 5 3 3" xfId="34402" xr:uid="{00000000-0005-0000-0000-000038850000}"/>
    <cellStyle name="Normal 2 5 3 3 10" xfId="34403" xr:uid="{00000000-0005-0000-0000-000039850000}"/>
    <cellStyle name="Normal 2 5 3 3 11" xfId="34404" xr:uid="{00000000-0005-0000-0000-00003A850000}"/>
    <cellStyle name="Normal 2 5 3 3 2" xfId="34405" xr:uid="{00000000-0005-0000-0000-00003B850000}"/>
    <cellStyle name="Normal 2 5 3 3 2 10" xfId="34406" xr:uid="{00000000-0005-0000-0000-00003C850000}"/>
    <cellStyle name="Normal 2 5 3 3 2 2" xfId="34407" xr:uid="{00000000-0005-0000-0000-00003D850000}"/>
    <cellStyle name="Normal 2 5 3 3 2 2 2" xfId="34408" xr:uid="{00000000-0005-0000-0000-00003E850000}"/>
    <cellStyle name="Normal 2 5 3 3 2 2 2 2" xfId="34409" xr:uid="{00000000-0005-0000-0000-00003F850000}"/>
    <cellStyle name="Normal 2 5 3 3 2 2 2 3" xfId="34410" xr:uid="{00000000-0005-0000-0000-000040850000}"/>
    <cellStyle name="Normal 2 5 3 3 2 2 2 4" xfId="34411" xr:uid="{00000000-0005-0000-0000-000041850000}"/>
    <cellStyle name="Normal 2 5 3 3 2 2 2 5" xfId="34412" xr:uid="{00000000-0005-0000-0000-000042850000}"/>
    <cellStyle name="Normal 2 5 3 3 2 2 3" xfId="34413" xr:uid="{00000000-0005-0000-0000-000043850000}"/>
    <cellStyle name="Normal 2 5 3 3 2 2 4" xfId="34414" xr:uid="{00000000-0005-0000-0000-000044850000}"/>
    <cellStyle name="Normal 2 5 3 3 2 2 5" xfId="34415" xr:uid="{00000000-0005-0000-0000-000045850000}"/>
    <cellStyle name="Normal 2 5 3 3 2 2 6" xfId="34416" xr:uid="{00000000-0005-0000-0000-000046850000}"/>
    <cellStyle name="Normal 2 5 3 3 2 2 7" xfId="34417" xr:uid="{00000000-0005-0000-0000-000047850000}"/>
    <cellStyle name="Normal 2 5 3 3 2 2 8" xfId="34418" xr:uid="{00000000-0005-0000-0000-000048850000}"/>
    <cellStyle name="Normal 2 5 3 3 2 3" xfId="34419" xr:uid="{00000000-0005-0000-0000-000049850000}"/>
    <cellStyle name="Normal 2 5 3 3 2 3 2" xfId="34420" xr:uid="{00000000-0005-0000-0000-00004A850000}"/>
    <cellStyle name="Normal 2 5 3 3 2 3 2 2" xfId="34421" xr:uid="{00000000-0005-0000-0000-00004B850000}"/>
    <cellStyle name="Normal 2 5 3 3 2 3 2 3" xfId="34422" xr:uid="{00000000-0005-0000-0000-00004C850000}"/>
    <cellStyle name="Normal 2 5 3 3 2 3 2 4" xfId="34423" xr:uid="{00000000-0005-0000-0000-00004D850000}"/>
    <cellStyle name="Normal 2 5 3 3 2 3 2 5" xfId="34424" xr:uid="{00000000-0005-0000-0000-00004E850000}"/>
    <cellStyle name="Normal 2 5 3 3 2 3 3" xfId="34425" xr:uid="{00000000-0005-0000-0000-00004F850000}"/>
    <cellStyle name="Normal 2 5 3 3 2 3 4" xfId="34426" xr:uid="{00000000-0005-0000-0000-000050850000}"/>
    <cellStyle name="Normal 2 5 3 3 2 3 5" xfId="34427" xr:uid="{00000000-0005-0000-0000-000051850000}"/>
    <cellStyle name="Normal 2 5 3 3 2 3 6" xfId="34428" xr:uid="{00000000-0005-0000-0000-000052850000}"/>
    <cellStyle name="Normal 2 5 3 3 2 3 7" xfId="34429" xr:uid="{00000000-0005-0000-0000-000053850000}"/>
    <cellStyle name="Normal 2 5 3 3 2 3 8" xfId="34430" xr:uid="{00000000-0005-0000-0000-000054850000}"/>
    <cellStyle name="Normal 2 5 3 3 2 4" xfId="34431" xr:uid="{00000000-0005-0000-0000-000055850000}"/>
    <cellStyle name="Normal 2 5 3 3 2 4 2" xfId="34432" xr:uid="{00000000-0005-0000-0000-000056850000}"/>
    <cellStyle name="Normal 2 5 3 3 2 4 3" xfId="34433" xr:uid="{00000000-0005-0000-0000-000057850000}"/>
    <cellStyle name="Normal 2 5 3 3 2 4 4" xfId="34434" xr:uid="{00000000-0005-0000-0000-000058850000}"/>
    <cellStyle name="Normal 2 5 3 3 2 4 5" xfId="34435" xr:uid="{00000000-0005-0000-0000-000059850000}"/>
    <cellStyle name="Normal 2 5 3 3 2 5" xfId="34436" xr:uid="{00000000-0005-0000-0000-00005A850000}"/>
    <cellStyle name="Normal 2 5 3 3 2 6" xfId="34437" xr:uid="{00000000-0005-0000-0000-00005B850000}"/>
    <cellStyle name="Normal 2 5 3 3 2 7" xfId="34438" xr:uid="{00000000-0005-0000-0000-00005C850000}"/>
    <cellStyle name="Normal 2 5 3 3 2 8" xfId="34439" xr:uid="{00000000-0005-0000-0000-00005D850000}"/>
    <cellStyle name="Normal 2 5 3 3 2 9" xfId="34440" xr:uid="{00000000-0005-0000-0000-00005E850000}"/>
    <cellStyle name="Normal 2 5 3 3 3" xfId="34441" xr:uid="{00000000-0005-0000-0000-00005F850000}"/>
    <cellStyle name="Normal 2 5 3 3 3 2" xfId="34442" xr:uid="{00000000-0005-0000-0000-000060850000}"/>
    <cellStyle name="Normal 2 5 3 3 3 2 2" xfId="34443" xr:uid="{00000000-0005-0000-0000-000061850000}"/>
    <cellStyle name="Normal 2 5 3 3 3 2 3" xfId="34444" xr:uid="{00000000-0005-0000-0000-000062850000}"/>
    <cellStyle name="Normal 2 5 3 3 3 2 4" xfId="34445" xr:uid="{00000000-0005-0000-0000-000063850000}"/>
    <cellStyle name="Normal 2 5 3 3 3 2 5" xfId="34446" xr:uid="{00000000-0005-0000-0000-000064850000}"/>
    <cellStyle name="Normal 2 5 3 3 3 3" xfId="34447" xr:uid="{00000000-0005-0000-0000-000065850000}"/>
    <cellStyle name="Normal 2 5 3 3 3 4" xfId="34448" xr:uid="{00000000-0005-0000-0000-000066850000}"/>
    <cellStyle name="Normal 2 5 3 3 3 5" xfId="34449" xr:uid="{00000000-0005-0000-0000-000067850000}"/>
    <cellStyle name="Normal 2 5 3 3 3 6" xfId="34450" xr:uid="{00000000-0005-0000-0000-000068850000}"/>
    <cellStyle name="Normal 2 5 3 3 3 7" xfId="34451" xr:uid="{00000000-0005-0000-0000-000069850000}"/>
    <cellStyle name="Normal 2 5 3 3 3 8" xfId="34452" xr:uid="{00000000-0005-0000-0000-00006A850000}"/>
    <cellStyle name="Normal 2 5 3 3 4" xfId="34453" xr:uid="{00000000-0005-0000-0000-00006B850000}"/>
    <cellStyle name="Normal 2 5 3 3 4 2" xfId="34454" xr:uid="{00000000-0005-0000-0000-00006C850000}"/>
    <cellStyle name="Normal 2 5 3 3 4 2 2" xfId="34455" xr:uid="{00000000-0005-0000-0000-00006D850000}"/>
    <cellStyle name="Normal 2 5 3 3 4 2 3" xfId="34456" xr:uid="{00000000-0005-0000-0000-00006E850000}"/>
    <cellStyle name="Normal 2 5 3 3 4 2 4" xfId="34457" xr:uid="{00000000-0005-0000-0000-00006F850000}"/>
    <cellStyle name="Normal 2 5 3 3 4 2 5" xfId="34458" xr:uid="{00000000-0005-0000-0000-000070850000}"/>
    <cellStyle name="Normal 2 5 3 3 4 3" xfId="34459" xr:uid="{00000000-0005-0000-0000-000071850000}"/>
    <cellStyle name="Normal 2 5 3 3 4 4" xfId="34460" xr:uid="{00000000-0005-0000-0000-000072850000}"/>
    <cellStyle name="Normal 2 5 3 3 4 5" xfId="34461" xr:uid="{00000000-0005-0000-0000-000073850000}"/>
    <cellStyle name="Normal 2 5 3 3 4 6" xfId="34462" xr:uid="{00000000-0005-0000-0000-000074850000}"/>
    <cellStyle name="Normal 2 5 3 3 4 7" xfId="34463" xr:uid="{00000000-0005-0000-0000-000075850000}"/>
    <cellStyle name="Normal 2 5 3 3 4 8" xfId="34464" xr:uid="{00000000-0005-0000-0000-000076850000}"/>
    <cellStyle name="Normal 2 5 3 3 5" xfId="34465" xr:uid="{00000000-0005-0000-0000-000077850000}"/>
    <cellStyle name="Normal 2 5 3 3 5 2" xfId="34466" xr:uid="{00000000-0005-0000-0000-000078850000}"/>
    <cellStyle name="Normal 2 5 3 3 5 3" xfId="34467" xr:uid="{00000000-0005-0000-0000-000079850000}"/>
    <cellStyle name="Normal 2 5 3 3 5 4" xfId="34468" xr:uid="{00000000-0005-0000-0000-00007A850000}"/>
    <cellStyle name="Normal 2 5 3 3 5 5" xfId="34469" xr:uid="{00000000-0005-0000-0000-00007B850000}"/>
    <cellStyle name="Normal 2 5 3 3 6" xfId="34470" xr:uid="{00000000-0005-0000-0000-00007C850000}"/>
    <cellStyle name="Normal 2 5 3 3 7" xfId="34471" xr:uid="{00000000-0005-0000-0000-00007D850000}"/>
    <cellStyle name="Normal 2 5 3 3 8" xfId="34472" xr:uid="{00000000-0005-0000-0000-00007E850000}"/>
    <cellStyle name="Normal 2 5 3 3 9" xfId="34473" xr:uid="{00000000-0005-0000-0000-00007F850000}"/>
    <cellStyle name="Normal 2 5 3 4" xfId="34474" xr:uid="{00000000-0005-0000-0000-000080850000}"/>
    <cellStyle name="Normal 2 5 3 4 10" xfId="34475" xr:uid="{00000000-0005-0000-0000-000081850000}"/>
    <cellStyle name="Normal 2 5 3 4 2" xfId="34476" xr:uid="{00000000-0005-0000-0000-000082850000}"/>
    <cellStyle name="Normal 2 5 3 4 2 2" xfId="34477" xr:uid="{00000000-0005-0000-0000-000083850000}"/>
    <cellStyle name="Normal 2 5 3 4 2 2 2" xfId="34478" xr:uid="{00000000-0005-0000-0000-000084850000}"/>
    <cellStyle name="Normal 2 5 3 4 2 2 3" xfId="34479" xr:uid="{00000000-0005-0000-0000-000085850000}"/>
    <cellStyle name="Normal 2 5 3 4 2 2 4" xfId="34480" xr:uid="{00000000-0005-0000-0000-000086850000}"/>
    <cellStyle name="Normal 2 5 3 4 2 2 5" xfId="34481" xr:uid="{00000000-0005-0000-0000-000087850000}"/>
    <cellStyle name="Normal 2 5 3 4 2 3" xfId="34482" xr:uid="{00000000-0005-0000-0000-000088850000}"/>
    <cellStyle name="Normal 2 5 3 4 2 4" xfId="34483" xr:uid="{00000000-0005-0000-0000-000089850000}"/>
    <cellStyle name="Normal 2 5 3 4 2 5" xfId="34484" xr:uid="{00000000-0005-0000-0000-00008A850000}"/>
    <cellStyle name="Normal 2 5 3 4 2 6" xfId="34485" xr:uid="{00000000-0005-0000-0000-00008B850000}"/>
    <cellStyle name="Normal 2 5 3 4 2 7" xfId="34486" xr:uid="{00000000-0005-0000-0000-00008C850000}"/>
    <cellStyle name="Normal 2 5 3 4 2 8" xfId="34487" xr:uid="{00000000-0005-0000-0000-00008D850000}"/>
    <cellStyle name="Normal 2 5 3 4 3" xfId="34488" xr:uid="{00000000-0005-0000-0000-00008E850000}"/>
    <cellStyle name="Normal 2 5 3 4 3 2" xfId="34489" xr:uid="{00000000-0005-0000-0000-00008F850000}"/>
    <cellStyle name="Normal 2 5 3 4 3 2 2" xfId="34490" xr:uid="{00000000-0005-0000-0000-000090850000}"/>
    <cellStyle name="Normal 2 5 3 4 3 2 3" xfId="34491" xr:uid="{00000000-0005-0000-0000-000091850000}"/>
    <cellStyle name="Normal 2 5 3 4 3 2 4" xfId="34492" xr:uid="{00000000-0005-0000-0000-000092850000}"/>
    <cellStyle name="Normal 2 5 3 4 3 2 5" xfId="34493" xr:uid="{00000000-0005-0000-0000-000093850000}"/>
    <cellStyle name="Normal 2 5 3 4 3 3" xfId="34494" xr:uid="{00000000-0005-0000-0000-000094850000}"/>
    <cellStyle name="Normal 2 5 3 4 3 4" xfId="34495" xr:uid="{00000000-0005-0000-0000-000095850000}"/>
    <cellStyle name="Normal 2 5 3 4 3 5" xfId="34496" xr:uid="{00000000-0005-0000-0000-000096850000}"/>
    <cellStyle name="Normal 2 5 3 4 3 6" xfId="34497" xr:uid="{00000000-0005-0000-0000-000097850000}"/>
    <cellStyle name="Normal 2 5 3 4 3 7" xfId="34498" xr:uid="{00000000-0005-0000-0000-000098850000}"/>
    <cellStyle name="Normal 2 5 3 4 3 8" xfId="34499" xr:uid="{00000000-0005-0000-0000-000099850000}"/>
    <cellStyle name="Normal 2 5 3 4 4" xfId="34500" xr:uid="{00000000-0005-0000-0000-00009A850000}"/>
    <cellStyle name="Normal 2 5 3 4 4 2" xfId="34501" xr:uid="{00000000-0005-0000-0000-00009B850000}"/>
    <cellStyle name="Normal 2 5 3 4 4 3" xfId="34502" xr:uid="{00000000-0005-0000-0000-00009C850000}"/>
    <cellStyle name="Normal 2 5 3 4 4 4" xfId="34503" xr:uid="{00000000-0005-0000-0000-00009D850000}"/>
    <cellStyle name="Normal 2 5 3 4 4 5" xfId="34504" xr:uid="{00000000-0005-0000-0000-00009E850000}"/>
    <cellStyle name="Normal 2 5 3 4 5" xfId="34505" xr:uid="{00000000-0005-0000-0000-00009F850000}"/>
    <cellStyle name="Normal 2 5 3 4 6" xfId="34506" xr:uid="{00000000-0005-0000-0000-0000A0850000}"/>
    <cellStyle name="Normal 2 5 3 4 7" xfId="34507" xr:uid="{00000000-0005-0000-0000-0000A1850000}"/>
    <cellStyle name="Normal 2 5 3 4 8" xfId="34508" xr:uid="{00000000-0005-0000-0000-0000A2850000}"/>
    <cellStyle name="Normal 2 5 3 4 9" xfId="34509" xr:uid="{00000000-0005-0000-0000-0000A3850000}"/>
    <cellStyle name="Normal 2 5 3 5" xfId="34510" xr:uid="{00000000-0005-0000-0000-0000A4850000}"/>
    <cellStyle name="Normal 2 5 3 5 2" xfId="34511" xr:uid="{00000000-0005-0000-0000-0000A5850000}"/>
    <cellStyle name="Normal 2 5 3 5 2 2" xfId="34512" xr:uid="{00000000-0005-0000-0000-0000A6850000}"/>
    <cellStyle name="Normal 2 5 3 5 2 3" xfId="34513" xr:uid="{00000000-0005-0000-0000-0000A7850000}"/>
    <cellStyle name="Normal 2 5 3 5 2 4" xfId="34514" xr:uid="{00000000-0005-0000-0000-0000A8850000}"/>
    <cellStyle name="Normal 2 5 3 5 2 5" xfId="34515" xr:uid="{00000000-0005-0000-0000-0000A9850000}"/>
    <cellStyle name="Normal 2 5 3 5 3" xfId="34516" xr:uid="{00000000-0005-0000-0000-0000AA850000}"/>
    <cellStyle name="Normal 2 5 3 5 4" xfId="34517" xr:uid="{00000000-0005-0000-0000-0000AB850000}"/>
    <cellStyle name="Normal 2 5 3 5 5" xfId="34518" xr:uid="{00000000-0005-0000-0000-0000AC850000}"/>
    <cellStyle name="Normal 2 5 3 5 6" xfId="34519" xr:uid="{00000000-0005-0000-0000-0000AD850000}"/>
    <cellStyle name="Normal 2 5 3 5 7" xfId="34520" xr:uid="{00000000-0005-0000-0000-0000AE850000}"/>
    <cellStyle name="Normal 2 5 3 5 8" xfId="34521" xr:uid="{00000000-0005-0000-0000-0000AF850000}"/>
    <cellStyle name="Normal 2 5 3 6" xfId="34522" xr:uid="{00000000-0005-0000-0000-0000B0850000}"/>
    <cellStyle name="Normal 2 5 3 6 2" xfId="34523" xr:uid="{00000000-0005-0000-0000-0000B1850000}"/>
    <cellStyle name="Normal 2 5 3 6 2 2" xfId="34524" xr:uid="{00000000-0005-0000-0000-0000B2850000}"/>
    <cellStyle name="Normal 2 5 3 6 2 3" xfId="34525" xr:uid="{00000000-0005-0000-0000-0000B3850000}"/>
    <cellStyle name="Normal 2 5 3 6 2 4" xfId="34526" xr:uid="{00000000-0005-0000-0000-0000B4850000}"/>
    <cellStyle name="Normal 2 5 3 6 2 5" xfId="34527" xr:uid="{00000000-0005-0000-0000-0000B5850000}"/>
    <cellStyle name="Normal 2 5 3 6 3" xfId="34528" xr:uid="{00000000-0005-0000-0000-0000B6850000}"/>
    <cellStyle name="Normal 2 5 3 6 4" xfId="34529" xr:uid="{00000000-0005-0000-0000-0000B7850000}"/>
    <cellStyle name="Normal 2 5 3 6 5" xfId="34530" xr:uid="{00000000-0005-0000-0000-0000B8850000}"/>
    <cellStyle name="Normal 2 5 3 6 6" xfId="34531" xr:uid="{00000000-0005-0000-0000-0000B9850000}"/>
    <cellStyle name="Normal 2 5 3 6 7" xfId="34532" xr:uid="{00000000-0005-0000-0000-0000BA850000}"/>
    <cellStyle name="Normal 2 5 3 6 8" xfId="34533" xr:uid="{00000000-0005-0000-0000-0000BB850000}"/>
    <cellStyle name="Normal 2 5 3 7" xfId="34534" xr:uid="{00000000-0005-0000-0000-0000BC850000}"/>
    <cellStyle name="Normal 2 5 3 7 2" xfId="34535" xr:uid="{00000000-0005-0000-0000-0000BD850000}"/>
    <cellStyle name="Normal 2 5 3 7 3" xfId="34536" xr:uid="{00000000-0005-0000-0000-0000BE850000}"/>
    <cellStyle name="Normal 2 5 3 7 4" xfId="34537" xr:uid="{00000000-0005-0000-0000-0000BF850000}"/>
    <cellStyle name="Normal 2 5 3 7 5" xfId="34538" xr:uid="{00000000-0005-0000-0000-0000C0850000}"/>
    <cellStyle name="Normal 2 5 3 8" xfId="34539" xr:uid="{00000000-0005-0000-0000-0000C1850000}"/>
    <cellStyle name="Normal 2 5 3 9" xfId="34540" xr:uid="{00000000-0005-0000-0000-0000C2850000}"/>
    <cellStyle name="Normal 2 5 4" xfId="878" xr:uid="{00000000-0005-0000-0000-0000C3850000}"/>
    <cellStyle name="Normal 2 5 4 10" xfId="34541" xr:uid="{00000000-0005-0000-0000-0000C4850000}"/>
    <cellStyle name="Normal 2 5 4 11" xfId="34542" xr:uid="{00000000-0005-0000-0000-0000C5850000}"/>
    <cellStyle name="Normal 2 5 4 12" xfId="34543" xr:uid="{00000000-0005-0000-0000-0000C6850000}"/>
    <cellStyle name="Normal 2 5 4 13" xfId="34544" xr:uid="{00000000-0005-0000-0000-0000C7850000}"/>
    <cellStyle name="Normal 2 5 4 2" xfId="34545" xr:uid="{00000000-0005-0000-0000-0000C8850000}"/>
    <cellStyle name="Normal 2 5 4 2 10" xfId="34546" xr:uid="{00000000-0005-0000-0000-0000C9850000}"/>
    <cellStyle name="Normal 2 5 4 2 11" xfId="34547" xr:uid="{00000000-0005-0000-0000-0000CA850000}"/>
    <cellStyle name="Normal 2 5 4 2 2" xfId="34548" xr:uid="{00000000-0005-0000-0000-0000CB850000}"/>
    <cellStyle name="Normal 2 5 4 2 2 10" xfId="34549" xr:uid="{00000000-0005-0000-0000-0000CC850000}"/>
    <cellStyle name="Normal 2 5 4 2 2 2" xfId="34550" xr:uid="{00000000-0005-0000-0000-0000CD850000}"/>
    <cellStyle name="Normal 2 5 4 2 2 2 2" xfId="34551" xr:uid="{00000000-0005-0000-0000-0000CE850000}"/>
    <cellStyle name="Normal 2 5 4 2 2 2 2 2" xfId="34552" xr:uid="{00000000-0005-0000-0000-0000CF850000}"/>
    <cellStyle name="Normal 2 5 4 2 2 2 2 3" xfId="34553" xr:uid="{00000000-0005-0000-0000-0000D0850000}"/>
    <cellStyle name="Normal 2 5 4 2 2 2 2 4" xfId="34554" xr:uid="{00000000-0005-0000-0000-0000D1850000}"/>
    <cellStyle name="Normal 2 5 4 2 2 2 2 5" xfId="34555" xr:uid="{00000000-0005-0000-0000-0000D2850000}"/>
    <cellStyle name="Normal 2 5 4 2 2 2 3" xfId="34556" xr:uid="{00000000-0005-0000-0000-0000D3850000}"/>
    <cellStyle name="Normal 2 5 4 2 2 2 4" xfId="34557" xr:uid="{00000000-0005-0000-0000-0000D4850000}"/>
    <cellStyle name="Normal 2 5 4 2 2 2 5" xfId="34558" xr:uid="{00000000-0005-0000-0000-0000D5850000}"/>
    <cellStyle name="Normal 2 5 4 2 2 2 6" xfId="34559" xr:uid="{00000000-0005-0000-0000-0000D6850000}"/>
    <cellStyle name="Normal 2 5 4 2 2 2 7" xfId="34560" xr:uid="{00000000-0005-0000-0000-0000D7850000}"/>
    <cellStyle name="Normal 2 5 4 2 2 2 8" xfId="34561" xr:uid="{00000000-0005-0000-0000-0000D8850000}"/>
    <cellStyle name="Normal 2 5 4 2 2 3" xfId="34562" xr:uid="{00000000-0005-0000-0000-0000D9850000}"/>
    <cellStyle name="Normal 2 5 4 2 2 3 2" xfId="34563" xr:uid="{00000000-0005-0000-0000-0000DA850000}"/>
    <cellStyle name="Normal 2 5 4 2 2 3 2 2" xfId="34564" xr:uid="{00000000-0005-0000-0000-0000DB850000}"/>
    <cellStyle name="Normal 2 5 4 2 2 3 2 3" xfId="34565" xr:uid="{00000000-0005-0000-0000-0000DC850000}"/>
    <cellStyle name="Normal 2 5 4 2 2 3 2 4" xfId="34566" xr:uid="{00000000-0005-0000-0000-0000DD850000}"/>
    <cellStyle name="Normal 2 5 4 2 2 3 2 5" xfId="34567" xr:uid="{00000000-0005-0000-0000-0000DE850000}"/>
    <cellStyle name="Normal 2 5 4 2 2 3 3" xfId="34568" xr:uid="{00000000-0005-0000-0000-0000DF850000}"/>
    <cellStyle name="Normal 2 5 4 2 2 3 4" xfId="34569" xr:uid="{00000000-0005-0000-0000-0000E0850000}"/>
    <cellStyle name="Normal 2 5 4 2 2 3 5" xfId="34570" xr:uid="{00000000-0005-0000-0000-0000E1850000}"/>
    <cellStyle name="Normal 2 5 4 2 2 3 6" xfId="34571" xr:uid="{00000000-0005-0000-0000-0000E2850000}"/>
    <cellStyle name="Normal 2 5 4 2 2 3 7" xfId="34572" xr:uid="{00000000-0005-0000-0000-0000E3850000}"/>
    <cellStyle name="Normal 2 5 4 2 2 3 8" xfId="34573" xr:uid="{00000000-0005-0000-0000-0000E4850000}"/>
    <cellStyle name="Normal 2 5 4 2 2 4" xfId="34574" xr:uid="{00000000-0005-0000-0000-0000E5850000}"/>
    <cellStyle name="Normal 2 5 4 2 2 4 2" xfId="34575" xr:uid="{00000000-0005-0000-0000-0000E6850000}"/>
    <cellStyle name="Normal 2 5 4 2 2 4 3" xfId="34576" xr:uid="{00000000-0005-0000-0000-0000E7850000}"/>
    <cellStyle name="Normal 2 5 4 2 2 4 4" xfId="34577" xr:uid="{00000000-0005-0000-0000-0000E8850000}"/>
    <cellStyle name="Normal 2 5 4 2 2 4 5" xfId="34578" xr:uid="{00000000-0005-0000-0000-0000E9850000}"/>
    <cellStyle name="Normal 2 5 4 2 2 5" xfId="34579" xr:uid="{00000000-0005-0000-0000-0000EA850000}"/>
    <cellStyle name="Normal 2 5 4 2 2 6" xfId="34580" xr:uid="{00000000-0005-0000-0000-0000EB850000}"/>
    <cellStyle name="Normal 2 5 4 2 2 7" xfId="34581" xr:uid="{00000000-0005-0000-0000-0000EC850000}"/>
    <cellStyle name="Normal 2 5 4 2 2 8" xfId="34582" xr:uid="{00000000-0005-0000-0000-0000ED850000}"/>
    <cellStyle name="Normal 2 5 4 2 2 9" xfId="34583" xr:uid="{00000000-0005-0000-0000-0000EE850000}"/>
    <cellStyle name="Normal 2 5 4 2 3" xfId="34584" xr:uid="{00000000-0005-0000-0000-0000EF850000}"/>
    <cellStyle name="Normal 2 5 4 2 3 2" xfId="34585" xr:uid="{00000000-0005-0000-0000-0000F0850000}"/>
    <cellStyle name="Normal 2 5 4 2 3 2 2" xfId="34586" xr:uid="{00000000-0005-0000-0000-0000F1850000}"/>
    <cellStyle name="Normal 2 5 4 2 3 2 3" xfId="34587" xr:uid="{00000000-0005-0000-0000-0000F2850000}"/>
    <cellStyle name="Normal 2 5 4 2 3 2 4" xfId="34588" xr:uid="{00000000-0005-0000-0000-0000F3850000}"/>
    <cellStyle name="Normal 2 5 4 2 3 2 5" xfId="34589" xr:uid="{00000000-0005-0000-0000-0000F4850000}"/>
    <cellStyle name="Normal 2 5 4 2 3 3" xfId="34590" xr:uid="{00000000-0005-0000-0000-0000F5850000}"/>
    <cellStyle name="Normal 2 5 4 2 3 4" xfId="34591" xr:uid="{00000000-0005-0000-0000-0000F6850000}"/>
    <cellStyle name="Normal 2 5 4 2 3 5" xfId="34592" xr:uid="{00000000-0005-0000-0000-0000F7850000}"/>
    <cellStyle name="Normal 2 5 4 2 3 6" xfId="34593" xr:uid="{00000000-0005-0000-0000-0000F8850000}"/>
    <cellStyle name="Normal 2 5 4 2 3 7" xfId="34594" xr:uid="{00000000-0005-0000-0000-0000F9850000}"/>
    <cellStyle name="Normal 2 5 4 2 3 8" xfId="34595" xr:uid="{00000000-0005-0000-0000-0000FA850000}"/>
    <cellStyle name="Normal 2 5 4 2 4" xfId="34596" xr:uid="{00000000-0005-0000-0000-0000FB850000}"/>
    <cellStyle name="Normal 2 5 4 2 4 2" xfId="34597" xr:uid="{00000000-0005-0000-0000-0000FC850000}"/>
    <cellStyle name="Normal 2 5 4 2 4 2 2" xfId="34598" xr:uid="{00000000-0005-0000-0000-0000FD850000}"/>
    <cellStyle name="Normal 2 5 4 2 4 2 3" xfId="34599" xr:uid="{00000000-0005-0000-0000-0000FE850000}"/>
    <cellStyle name="Normal 2 5 4 2 4 2 4" xfId="34600" xr:uid="{00000000-0005-0000-0000-0000FF850000}"/>
    <cellStyle name="Normal 2 5 4 2 4 2 5" xfId="34601" xr:uid="{00000000-0005-0000-0000-000000860000}"/>
    <cellStyle name="Normal 2 5 4 2 4 3" xfId="34602" xr:uid="{00000000-0005-0000-0000-000001860000}"/>
    <cellStyle name="Normal 2 5 4 2 4 4" xfId="34603" xr:uid="{00000000-0005-0000-0000-000002860000}"/>
    <cellStyle name="Normal 2 5 4 2 4 5" xfId="34604" xr:uid="{00000000-0005-0000-0000-000003860000}"/>
    <cellStyle name="Normal 2 5 4 2 4 6" xfId="34605" xr:uid="{00000000-0005-0000-0000-000004860000}"/>
    <cellStyle name="Normal 2 5 4 2 4 7" xfId="34606" xr:uid="{00000000-0005-0000-0000-000005860000}"/>
    <cellStyle name="Normal 2 5 4 2 4 8" xfId="34607" xr:uid="{00000000-0005-0000-0000-000006860000}"/>
    <cellStyle name="Normal 2 5 4 2 5" xfId="34608" xr:uid="{00000000-0005-0000-0000-000007860000}"/>
    <cellStyle name="Normal 2 5 4 2 5 2" xfId="34609" xr:uid="{00000000-0005-0000-0000-000008860000}"/>
    <cellStyle name="Normal 2 5 4 2 5 3" xfId="34610" xr:uid="{00000000-0005-0000-0000-000009860000}"/>
    <cellStyle name="Normal 2 5 4 2 5 4" xfId="34611" xr:uid="{00000000-0005-0000-0000-00000A860000}"/>
    <cellStyle name="Normal 2 5 4 2 5 5" xfId="34612" xr:uid="{00000000-0005-0000-0000-00000B860000}"/>
    <cellStyle name="Normal 2 5 4 2 6" xfId="34613" xr:uid="{00000000-0005-0000-0000-00000C860000}"/>
    <cellStyle name="Normal 2 5 4 2 7" xfId="34614" xr:uid="{00000000-0005-0000-0000-00000D860000}"/>
    <cellStyle name="Normal 2 5 4 2 8" xfId="34615" xr:uid="{00000000-0005-0000-0000-00000E860000}"/>
    <cellStyle name="Normal 2 5 4 2 9" xfId="34616" xr:uid="{00000000-0005-0000-0000-00000F860000}"/>
    <cellStyle name="Normal 2 5 4 3" xfId="34617" xr:uid="{00000000-0005-0000-0000-000010860000}"/>
    <cellStyle name="Normal 2 5 4 3 10" xfId="34618" xr:uid="{00000000-0005-0000-0000-000011860000}"/>
    <cellStyle name="Normal 2 5 4 3 11" xfId="34619" xr:uid="{00000000-0005-0000-0000-000012860000}"/>
    <cellStyle name="Normal 2 5 4 3 2" xfId="34620" xr:uid="{00000000-0005-0000-0000-000013860000}"/>
    <cellStyle name="Normal 2 5 4 3 2 10" xfId="34621" xr:uid="{00000000-0005-0000-0000-000014860000}"/>
    <cellStyle name="Normal 2 5 4 3 2 2" xfId="34622" xr:uid="{00000000-0005-0000-0000-000015860000}"/>
    <cellStyle name="Normal 2 5 4 3 2 2 2" xfId="34623" xr:uid="{00000000-0005-0000-0000-000016860000}"/>
    <cellStyle name="Normal 2 5 4 3 2 2 2 2" xfId="34624" xr:uid="{00000000-0005-0000-0000-000017860000}"/>
    <cellStyle name="Normal 2 5 4 3 2 2 2 3" xfId="34625" xr:uid="{00000000-0005-0000-0000-000018860000}"/>
    <cellStyle name="Normal 2 5 4 3 2 2 2 4" xfId="34626" xr:uid="{00000000-0005-0000-0000-000019860000}"/>
    <cellStyle name="Normal 2 5 4 3 2 2 2 5" xfId="34627" xr:uid="{00000000-0005-0000-0000-00001A860000}"/>
    <cellStyle name="Normal 2 5 4 3 2 2 3" xfId="34628" xr:uid="{00000000-0005-0000-0000-00001B860000}"/>
    <cellStyle name="Normal 2 5 4 3 2 2 4" xfId="34629" xr:uid="{00000000-0005-0000-0000-00001C860000}"/>
    <cellStyle name="Normal 2 5 4 3 2 2 5" xfId="34630" xr:uid="{00000000-0005-0000-0000-00001D860000}"/>
    <cellStyle name="Normal 2 5 4 3 2 2 6" xfId="34631" xr:uid="{00000000-0005-0000-0000-00001E860000}"/>
    <cellStyle name="Normal 2 5 4 3 2 2 7" xfId="34632" xr:uid="{00000000-0005-0000-0000-00001F860000}"/>
    <cellStyle name="Normal 2 5 4 3 2 2 8" xfId="34633" xr:uid="{00000000-0005-0000-0000-000020860000}"/>
    <cellStyle name="Normal 2 5 4 3 2 3" xfId="34634" xr:uid="{00000000-0005-0000-0000-000021860000}"/>
    <cellStyle name="Normal 2 5 4 3 2 3 2" xfId="34635" xr:uid="{00000000-0005-0000-0000-000022860000}"/>
    <cellStyle name="Normal 2 5 4 3 2 3 2 2" xfId="34636" xr:uid="{00000000-0005-0000-0000-000023860000}"/>
    <cellStyle name="Normal 2 5 4 3 2 3 2 3" xfId="34637" xr:uid="{00000000-0005-0000-0000-000024860000}"/>
    <cellStyle name="Normal 2 5 4 3 2 3 2 4" xfId="34638" xr:uid="{00000000-0005-0000-0000-000025860000}"/>
    <cellStyle name="Normal 2 5 4 3 2 3 2 5" xfId="34639" xr:uid="{00000000-0005-0000-0000-000026860000}"/>
    <cellStyle name="Normal 2 5 4 3 2 3 3" xfId="34640" xr:uid="{00000000-0005-0000-0000-000027860000}"/>
    <cellStyle name="Normal 2 5 4 3 2 3 4" xfId="34641" xr:uid="{00000000-0005-0000-0000-000028860000}"/>
    <cellStyle name="Normal 2 5 4 3 2 3 5" xfId="34642" xr:uid="{00000000-0005-0000-0000-000029860000}"/>
    <cellStyle name="Normal 2 5 4 3 2 3 6" xfId="34643" xr:uid="{00000000-0005-0000-0000-00002A860000}"/>
    <cellStyle name="Normal 2 5 4 3 2 3 7" xfId="34644" xr:uid="{00000000-0005-0000-0000-00002B860000}"/>
    <cellStyle name="Normal 2 5 4 3 2 3 8" xfId="34645" xr:uid="{00000000-0005-0000-0000-00002C860000}"/>
    <cellStyle name="Normal 2 5 4 3 2 4" xfId="34646" xr:uid="{00000000-0005-0000-0000-00002D860000}"/>
    <cellStyle name="Normal 2 5 4 3 2 4 2" xfId="34647" xr:uid="{00000000-0005-0000-0000-00002E860000}"/>
    <cellStyle name="Normal 2 5 4 3 2 4 3" xfId="34648" xr:uid="{00000000-0005-0000-0000-00002F860000}"/>
    <cellStyle name="Normal 2 5 4 3 2 4 4" xfId="34649" xr:uid="{00000000-0005-0000-0000-000030860000}"/>
    <cellStyle name="Normal 2 5 4 3 2 4 5" xfId="34650" xr:uid="{00000000-0005-0000-0000-000031860000}"/>
    <cellStyle name="Normal 2 5 4 3 2 5" xfId="34651" xr:uid="{00000000-0005-0000-0000-000032860000}"/>
    <cellStyle name="Normal 2 5 4 3 2 6" xfId="34652" xr:uid="{00000000-0005-0000-0000-000033860000}"/>
    <cellStyle name="Normal 2 5 4 3 2 7" xfId="34653" xr:uid="{00000000-0005-0000-0000-000034860000}"/>
    <cellStyle name="Normal 2 5 4 3 2 8" xfId="34654" xr:uid="{00000000-0005-0000-0000-000035860000}"/>
    <cellStyle name="Normal 2 5 4 3 2 9" xfId="34655" xr:uid="{00000000-0005-0000-0000-000036860000}"/>
    <cellStyle name="Normal 2 5 4 3 3" xfId="34656" xr:uid="{00000000-0005-0000-0000-000037860000}"/>
    <cellStyle name="Normal 2 5 4 3 3 2" xfId="34657" xr:uid="{00000000-0005-0000-0000-000038860000}"/>
    <cellStyle name="Normal 2 5 4 3 3 2 2" xfId="34658" xr:uid="{00000000-0005-0000-0000-000039860000}"/>
    <cellStyle name="Normal 2 5 4 3 3 2 3" xfId="34659" xr:uid="{00000000-0005-0000-0000-00003A860000}"/>
    <cellStyle name="Normal 2 5 4 3 3 2 4" xfId="34660" xr:uid="{00000000-0005-0000-0000-00003B860000}"/>
    <cellStyle name="Normal 2 5 4 3 3 2 5" xfId="34661" xr:uid="{00000000-0005-0000-0000-00003C860000}"/>
    <cellStyle name="Normal 2 5 4 3 3 3" xfId="34662" xr:uid="{00000000-0005-0000-0000-00003D860000}"/>
    <cellStyle name="Normal 2 5 4 3 3 4" xfId="34663" xr:uid="{00000000-0005-0000-0000-00003E860000}"/>
    <cellStyle name="Normal 2 5 4 3 3 5" xfId="34664" xr:uid="{00000000-0005-0000-0000-00003F860000}"/>
    <cellStyle name="Normal 2 5 4 3 3 6" xfId="34665" xr:uid="{00000000-0005-0000-0000-000040860000}"/>
    <cellStyle name="Normal 2 5 4 3 3 7" xfId="34666" xr:uid="{00000000-0005-0000-0000-000041860000}"/>
    <cellStyle name="Normal 2 5 4 3 3 8" xfId="34667" xr:uid="{00000000-0005-0000-0000-000042860000}"/>
    <cellStyle name="Normal 2 5 4 3 4" xfId="34668" xr:uid="{00000000-0005-0000-0000-000043860000}"/>
    <cellStyle name="Normal 2 5 4 3 4 2" xfId="34669" xr:uid="{00000000-0005-0000-0000-000044860000}"/>
    <cellStyle name="Normal 2 5 4 3 4 2 2" xfId="34670" xr:uid="{00000000-0005-0000-0000-000045860000}"/>
    <cellStyle name="Normal 2 5 4 3 4 2 3" xfId="34671" xr:uid="{00000000-0005-0000-0000-000046860000}"/>
    <cellStyle name="Normal 2 5 4 3 4 2 4" xfId="34672" xr:uid="{00000000-0005-0000-0000-000047860000}"/>
    <cellStyle name="Normal 2 5 4 3 4 2 5" xfId="34673" xr:uid="{00000000-0005-0000-0000-000048860000}"/>
    <cellStyle name="Normal 2 5 4 3 4 3" xfId="34674" xr:uid="{00000000-0005-0000-0000-000049860000}"/>
    <cellStyle name="Normal 2 5 4 3 4 4" xfId="34675" xr:uid="{00000000-0005-0000-0000-00004A860000}"/>
    <cellStyle name="Normal 2 5 4 3 4 5" xfId="34676" xr:uid="{00000000-0005-0000-0000-00004B860000}"/>
    <cellStyle name="Normal 2 5 4 3 4 6" xfId="34677" xr:uid="{00000000-0005-0000-0000-00004C860000}"/>
    <cellStyle name="Normal 2 5 4 3 4 7" xfId="34678" xr:uid="{00000000-0005-0000-0000-00004D860000}"/>
    <cellStyle name="Normal 2 5 4 3 4 8" xfId="34679" xr:uid="{00000000-0005-0000-0000-00004E860000}"/>
    <cellStyle name="Normal 2 5 4 3 5" xfId="34680" xr:uid="{00000000-0005-0000-0000-00004F860000}"/>
    <cellStyle name="Normal 2 5 4 3 5 2" xfId="34681" xr:uid="{00000000-0005-0000-0000-000050860000}"/>
    <cellStyle name="Normal 2 5 4 3 5 3" xfId="34682" xr:uid="{00000000-0005-0000-0000-000051860000}"/>
    <cellStyle name="Normal 2 5 4 3 5 4" xfId="34683" xr:uid="{00000000-0005-0000-0000-000052860000}"/>
    <cellStyle name="Normal 2 5 4 3 5 5" xfId="34684" xr:uid="{00000000-0005-0000-0000-000053860000}"/>
    <cellStyle name="Normal 2 5 4 3 6" xfId="34685" xr:uid="{00000000-0005-0000-0000-000054860000}"/>
    <cellStyle name="Normal 2 5 4 3 7" xfId="34686" xr:uid="{00000000-0005-0000-0000-000055860000}"/>
    <cellStyle name="Normal 2 5 4 3 8" xfId="34687" xr:uid="{00000000-0005-0000-0000-000056860000}"/>
    <cellStyle name="Normal 2 5 4 3 9" xfId="34688" xr:uid="{00000000-0005-0000-0000-000057860000}"/>
    <cellStyle name="Normal 2 5 4 4" xfId="34689" xr:uid="{00000000-0005-0000-0000-000058860000}"/>
    <cellStyle name="Normal 2 5 4 4 10" xfId="34690" xr:uid="{00000000-0005-0000-0000-000059860000}"/>
    <cellStyle name="Normal 2 5 4 4 2" xfId="34691" xr:uid="{00000000-0005-0000-0000-00005A860000}"/>
    <cellStyle name="Normal 2 5 4 4 2 2" xfId="34692" xr:uid="{00000000-0005-0000-0000-00005B860000}"/>
    <cellStyle name="Normal 2 5 4 4 2 2 2" xfId="34693" xr:uid="{00000000-0005-0000-0000-00005C860000}"/>
    <cellStyle name="Normal 2 5 4 4 2 2 3" xfId="34694" xr:uid="{00000000-0005-0000-0000-00005D860000}"/>
    <cellStyle name="Normal 2 5 4 4 2 2 4" xfId="34695" xr:uid="{00000000-0005-0000-0000-00005E860000}"/>
    <cellStyle name="Normal 2 5 4 4 2 2 5" xfId="34696" xr:uid="{00000000-0005-0000-0000-00005F860000}"/>
    <cellStyle name="Normal 2 5 4 4 2 3" xfId="34697" xr:uid="{00000000-0005-0000-0000-000060860000}"/>
    <cellStyle name="Normal 2 5 4 4 2 4" xfId="34698" xr:uid="{00000000-0005-0000-0000-000061860000}"/>
    <cellStyle name="Normal 2 5 4 4 2 5" xfId="34699" xr:uid="{00000000-0005-0000-0000-000062860000}"/>
    <cellStyle name="Normal 2 5 4 4 2 6" xfId="34700" xr:uid="{00000000-0005-0000-0000-000063860000}"/>
    <cellStyle name="Normal 2 5 4 4 2 7" xfId="34701" xr:uid="{00000000-0005-0000-0000-000064860000}"/>
    <cellStyle name="Normal 2 5 4 4 2 8" xfId="34702" xr:uid="{00000000-0005-0000-0000-000065860000}"/>
    <cellStyle name="Normal 2 5 4 4 3" xfId="34703" xr:uid="{00000000-0005-0000-0000-000066860000}"/>
    <cellStyle name="Normal 2 5 4 4 3 2" xfId="34704" xr:uid="{00000000-0005-0000-0000-000067860000}"/>
    <cellStyle name="Normal 2 5 4 4 3 2 2" xfId="34705" xr:uid="{00000000-0005-0000-0000-000068860000}"/>
    <cellStyle name="Normal 2 5 4 4 3 2 3" xfId="34706" xr:uid="{00000000-0005-0000-0000-000069860000}"/>
    <cellStyle name="Normal 2 5 4 4 3 2 4" xfId="34707" xr:uid="{00000000-0005-0000-0000-00006A860000}"/>
    <cellStyle name="Normal 2 5 4 4 3 2 5" xfId="34708" xr:uid="{00000000-0005-0000-0000-00006B860000}"/>
    <cellStyle name="Normal 2 5 4 4 3 3" xfId="34709" xr:uid="{00000000-0005-0000-0000-00006C860000}"/>
    <cellStyle name="Normal 2 5 4 4 3 4" xfId="34710" xr:uid="{00000000-0005-0000-0000-00006D860000}"/>
    <cellStyle name="Normal 2 5 4 4 3 5" xfId="34711" xr:uid="{00000000-0005-0000-0000-00006E860000}"/>
    <cellStyle name="Normal 2 5 4 4 3 6" xfId="34712" xr:uid="{00000000-0005-0000-0000-00006F860000}"/>
    <cellStyle name="Normal 2 5 4 4 3 7" xfId="34713" xr:uid="{00000000-0005-0000-0000-000070860000}"/>
    <cellStyle name="Normal 2 5 4 4 3 8" xfId="34714" xr:uid="{00000000-0005-0000-0000-000071860000}"/>
    <cellStyle name="Normal 2 5 4 4 4" xfId="34715" xr:uid="{00000000-0005-0000-0000-000072860000}"/>
    <cellStyle name="Normal 2 5 4 4 4 2" xfId="34716" xr:uid="{00000000-0005-0000-0000-000073860000}"/>
    <cellStyle name="Normal 2 5 4 4 4 3" xfId="34717" xr:uid="{00000000-0005-0000-0000-000074860000}"/>
    <cellStyle name="Normal 2 5 4 4 4 4" xfId="34718" xr:uid="{00000000-0005-0000-0000-000075860000}"/>
    <cellStyle name="Normal 2 5 4 4 4 5" xfId="34719" xr:uid="{00000000-0005-0000-0000-000076860000}"/>
    <cellStyle name="Normal 2 5 4 4 5" xfId="34720" xr:uid="{00000000-0005-0000-0000-000077860000}"/>
    <cellStyle name="Normal 2 5 4 4 6" xfId="34721" xr:uid="{00000000-0005-0000-0000-000078860000}"/>
    <cellStyle name="Normal 2 5 4 4 7" xfId="34722" xr:uid="{00000000-0005-0000-0000-000079860000}"/>
    <cellStyle name="Normal 2 5 4 4 8" xfId="34723" xr:uid="{00000000-0005-0000-0000-00007A860000}"/>
    <cellStyle name="Normal 2 5 4 4 9" xfId="34724" xr:uid="{00000000-0005-0000-0000-00007B860000}"/>
    <cellStyle name="Normal 2 5 4 5" xfId="34725" xr:uid="{00000000-0005-0000-0000-00007C860000}"/>
    <cellStyle name="Normal 2 5 4 5 2" xfId="34726" xr:uid="{00000000-0005-0000-0000-00007D860000}"/>
    <cellStyle name="Normal 2 5 4 5 2 2" xfId="34727" xr:uid="{00000000-0005-0000-0000-00007E860000}"/>
    <cellStyle name="Normal 2 5 4 5 2 3" xfId="34728" xr:uid="{00000000-0005-0000-0000-00007F860000}"/>
    <cellStyle name="Normal 2 5 4 5 2 4" xfId="34729" xr:uid="{00000000-0005-0000-0000-000080860000}"/>
    <cellStyle name="Normal 2 5 4 5 2 5" xfId="34730" xr:uid="{00000000-0005-0000-0000-000081860000}"/>
    <cellStyle name="Normal 2 5 4 5 3" xfId="34731" xr:uid="{00000000-0005-0000-0000-000082860000}"/>
    <cellStyle name="Normal 2 5 4 5 4" xfId="34732" xr:uid="{00000000-0005-0000-0000-000083860000}"/>
    <cellStyle name="Normal 2 5 4 5 5" xfId="34733" xr:uid="{00000000-0005-0000-0000-000084860000}"/>
    <cellStyle name="Normal 2 5 4 5 6" xfId="34734" xr:uid="{00000000-0005-0000-0000-000085860000}"/>
    <cellStyle name="Normal 2 5 4 5 7" xfId="34735" xr:uid="{00000000-0005-0000-0000-000086860000}"/>
    <cellStyle name="Normal 2 5 4 5 8" xfId="34736" xr:uid="{00000000-0005-0000-0000-000087860000}"/>
    <cellStyle name="Normal 2 5 4 6" xfId="34737" xr:uid="{00000000-0005-0000-0000-000088860000}"/>
    <cellStyle name="Normal 2 5 4 6 2" xfId="34738" xr:uid="{00000000-0005-0000-0000-000089860000}"/>
    <cellStyle name="Normal 2 5 4 6 2 2" xfId="34739" xr:uid="{00000000-0005-0000-0000-00008A860000}"/>
    <cellStyle name="Normal 2 5 4 6 2 3" xfId="34740" xr:uid="{00000000-0005-0000-0000-00008B860000}"/>
    <cellStyle name="Normal 2 5 4 6 2 4" xfId="34741" xr:uid="{00000000-0005-0000-0000-00008C860000}"/>
    <cellStyle name="Normal 2 5 4 6 2 5" xfId="34742" xr:uid="{00000000-0005-0000-0000-00008D860000}"/>
    <cellStyle name="Normal 2 5 4 6 3" xfId="34743" xr:uid="{00000000-0005-0000-0000-00008E860000}"/>
    <cellStyle name="Normal 2 5 4 6 4" xfId="34744" xr:uid="{00000000-0005-0000-0000-00008F860000}"/>
    <cellStyle name="Normal 2 5 4 6 5" xfId="34745" xr:uid="{00000000-0005-0000-0000-000090860000}"/>
    <cellStyle name="Normal 2 5 4 6 6" xfId="34746" xr:uid="{00000000-0005-0000-0000-000091860000}"/>
    <cellStyle name="Normal 2 5 4 6 7" xfId="34747" xr:uid="{00000000-0005-0000-0000-000092860000}"/>
    <cellStyle name="Normal 2 5 4 6 8" xfId="34748" xr:uid="{00000000-0005-0000-0000-000093860000}"/>
    <cellStyle name="Normal 2 5 4 7" xfId="34749" xr:uid="{00000000-0005-0000-0000-000094860000}"/>
    <cellStyle name="Normal 2 5 4 7 2" xfId="34750" xr:uid="{00000000-0005-0000-0000-000095860000}"/>
    <cellStyle name="Normal 2 5 4 7 3" xfId="34751" xr:uid="{00000000-0005-0000-0000-000096860000}"/>
    <cellStyle name="Normal 2 5 4 7 4" xfId="34752" xr:uid="{00000000-0005-0000-0000-000097860000}"/>
    <cellStyle name="Normal 2 5 4 7 5" xfId="34753" xr:uid="{00000000-0005-0000-0000-000098860000}"/>
    <cellStyle name="Normal 2 5 4 8" xfId="34754" xr:uid="{00000000-0005-0000-0000-000099860000}"/>
    <cellStyle name="Normal 2 5 4 9" xfId="34755" xr:uid="{00000000-0005-0000-0000-00009A860000}"/>
    <cellStyle name="Normal 2 5 5" xfId="34756" xr:uid="{00000000-0005-0000-0000-00009B860000}"/>
    <cellStyle name="Normal 2 5 5 10" xfId="34757" xr:uid="{00000000-0005-0000-0000-00009C860000}"/>
    <cellStyle name="Normal 2 5 5 11" xfId="34758" xr:uid="{00000000-0005-0000-0000-00009D860000}"/>
    <cellStyle name="Normal 2 5 5 12" xfId="34759" xr:uid="{00000000-0005-0000-0000-00009E860000}"/>
    <cellStyle name="Normal 2 5 5 13" xfId="34760" xr:uid="{00000000-0005-0000-0000-00009F860000}"/>
    <cellStyle name="Normal 2 5 5 2" xfId="34761" xr:uid="{00000000-0005-0000-0000-0000A0860000}"/>
    <cellStyle name="Normal 2 5 5 2 10" xfId="34762" xr:uid="{00000000-0005-0000-0000-0000A1860000}"/>
    <cellStyle name="Normal 2 5 5 2 11" xfId="34763" xr:uid="{00000000-0005-0000-0000-0000A2860000}"/>
    <cellStyle name="Normal 2 5 5 2 2" xfId="34764" xr:uid="{00000000-0005-0000-0000-0000A3860000}"/>
    <cellStyle name="Normal 2 5 5 2 2 10" xfId="34765" xr:uid="{00000000-0005-0000-0000-0000A4860000}"/>
    <cellStyle name="Normal 2 5 5 2 2 2" xfId="34766" xr:uid="{00000000-0005-0000-0000-0000A5860000}"/>
    <cellStyle name="Normal 2 5 5 2 2 2 2" xfId="34767" xr:uid="{00000000-0005-0000-0000-0000A6860000}"/>
    <cellStyle name="Normal 2 5 5 2 2 2 2 2" xfId="34768" xr:uid="{00000000-0005-0000-0000-0000A7860000}"/>
    <cellStyle name="Normal 2 5 5 2 2 2 2 3" xfId="34769" xr:uid="{00000000-0005-0000-0000-0000A8860000}"/>
    <cellStyle name="Normal 2 5 5 2 2 2 2 4" xfId="34770" xr:uid="{00000000-0005-0000-0000-0000A9860000}"/>
    <cellStyle name="Normal 2 5 5 2 2 2 2 5" xfId="34771" xr:uid="{00000000-0005-0000-0000-0000AA860000}"/>
    <cellStyle name="Normal 2 5 5 2 2 2 3" xfId="34772" xr:uid="{00000000-0005-0000-0000-0000AB860000}"/>
    <cellStyle name="Normal 2 5 5 2 2 2 4" xfId="34773" xr:uid="{00000000-0005-0000-0000-0000AC860000}"/>
    <cellStyle name="Normal 2 5 5 2 2 2 5" xfId="34774" xr:uid="{00000000-0005-0000-0000-0000AD860000}"/>
    <cellStyle name="Normal 2 5 5 2 2 2 6" xfId="34775" xr:uid="{00000000-0005-0000-0000-0000AE860000}"/>
    <cellStyle name="Normal 2 5 5 2 2 2 7" xfId="34776" xr:uid="{00000000-0005-0000-0000-0000AF860000}"/>
    <cellStyle name="Normal 2 5 5 2 2 2 8" xfId="34777" xr:uid="{00000000-0005-0000-0000-0000B0860000}"/>
    <cellStyle name="Normal 2 5 5 2 2 3" xfId="34778" xr:uid="{00000000-0005-0000-0000-0000B1860000}"/>
    <cellStyle name="Normal 2 5 5 2 2 3 2" xfId="34779" xr:uid="{00000000-0005-0000-0000-0000B2860000}"/>
    <cellStyle name="Normal 2 5 5 2 2 3 2 2" xfId="34780" xr:uid="{00000000-0005-0000-0000-0000B3860000}"/>
    <cellStyle name="Normal 2 5 5 2 2 3 2 3" xfId="34781" xr:uid="{00000000-0005-0000-0000-0000B4860000}"/>
    <cellStyle name="Normal 2 5 5 2 2 3 2 4" xfId="34782" xr:uid="{00000000-0005-0000-0000-0000B5860000}"/>
    <cellStyle name="Normal 2 5 5 2 2 3 2 5" xfId="34783" xr:uid="{00000000-0005-0000-0000-0000B6860000}"/>
    <cellStyle name="Normal 2 5 5 2 2 3 3" xfId="34784" xr:uid="{00000000-0005-0000-0000-0000B7860000}"/>
    <cellStyle name="Normal 2 5 5 2 2 3 4" xfId="34785" xr:uid="{00000000-0005-0000-0000-0000B8860000}"/>
    <cellStyle name="Normal 2 5 5 2 2 3 5" xfId="34786" xr:uid="{00000000-0005-0000-0000-0000B9860000}"/>
    <cellStyle name="Normal 2 5 5 2 2 3 6" xfId="34787" xr:uid="{00000000-0005-0000-0000-0000BA860000}"/>
    <cellStyle name="Normal 2 5 5 2 2 3 7" xfId="34788" xr:uid="{00000000-0005-0000-0000-0000BB860000}"/>
    <cellStyle name="Normal 2 5 5 2 2 3 8" xfId="34789" xr:uid="{00000000-0005-0000-0000-0000BC860000}"/>
    <cellStyle name="Normal 2 5 5 2 2 4" xfId="34790" xr:uid="{00000000-0005-0000-0000-0000BD860000}"/>
    <cellStyle name="Normal 2 5 5 2 2 4 2" xfId="34791" xr:uid="{00000000-0005-0000-0000-0000BE860000}"/>
    <cellStyle name="Normal 2 5 5 2 2 4 3" xfId="34792" xr:uid="{00000000-0005-0000-0000-0000BF860000}"/>
    <cellStyle name="Normal 2 5 5 2 2 4 4" xfId="34793" xr:uid="{00000000-0005-0000-0000-0000C0860000}"/>
    <cellStyle name="Normal 2 5 5 2 2 4 5" xfId="34794" xr:uid="{00000000-0005-0000-0000-0000C1860000}"/>
    <cellStyle name="Normal 2 5 5 2 2 5" xfId="34795" xr:uid="{00000000-0005-0000-0000-0000C2860000}"/>
    <cellStyle name="Normal 2 5 5 2 2 6" xfId="34796" xr:uid="{00000000-0005-0000-0000-0000C3860000}"/>
    <cellStyle name="Normal 2 5 5 2 2 7" xfId="34797" xr:uid="{00000000-0005-0000-0000-0000C4860000}"/>
    <cellStyle name="Normal 2 5 5 2 2 8" xfId="34798" xr:uid="{00000000-0005-0000-0000-0000C5860000}"/>
    <cellStyle name="Normal 2 5 5 2 2 9" xfId="34799" xr:uid="{00000000-0005-0000-0000-0000C6860000}"/>
    <cellStyle name="Normal 2 5 5 2 3" xfId="34800" xr:uid="{00000000-0005-0000-0000-0000C7860000}"/>
    <cellStyle name="Normal 2 5 5 2 3 2" xfId="34801" xr:uid="{00000000-0005-0000-0000-0000C8860000}"/>
    <cellStyle name="Normal 2 5 5 2 3 2 2" xfId="34802" xr:uid="{00000000-0005-0000-0000-0000C9860000}"/>
    <cellStyle name="Normal 2 5 5 2 3 2 3" xfId="34803" xr:uid="{00000000-0005-0000-0000-0000CA860000}"/>
    <cellStyle name="Normal 2 5 5 2 3 2 4" xfId="34804" xr:uid="{00000000-0005-0000-0000-0000CB860000}"/>
    <cellStyle name="Normal 2 5 5 2 3 2 5" xfId="34805" xr:uid="{00000000-0005-0000-0000-0000CC860000}"/>
    <cellStyle name="Normal 2 5 5 2 3 3" xfId="34806" xr:uid="{00000000-0005-0000-0000-0000CD860000}"/>
    <cellStyle name="Normal 2 5 5 2 3 4" xfId="34807" xr:uid="{00000000-0005-0000-0000-0000CE860000}"/>
    <cellStyle name="Normal 2 5 5 2 3 5" xfId="34808" xr:uid="{00000000-0005-0000-0000-0000CF860000}"/>
    <cellStyle name="Normal 2 5 5 2 3 6" xfId="34809" xr:uid="{00000000-0005-0000-0000-0000D0860000}"/>
    <cellStyle name="Normal 2 5 5 2 3 7" xfId="34810" xr:uid="{00000000-0005-0000-0000-0000D1860000}"/>
    <cellStyle name="Normal 2 5 5 2 3 8" xfId="34811" xr:uid="{00000000-0005-0000-0000-0000D2860000}"/>
    <cellStyle name="Normal 2 5 5 2 4" xfId="34812" xr:uid="{00000000-0005-0000-0000-0000D3860000}"/>
    <cellStyle name="Normal 2 5 5 2 4 2" xfId="34813" xr:uid="{00000000-0005-0000-0000-0000D4860000}"/>
    <cellStyle name="Normal 2 5 5 2 4 2 2" xfId="34814" xr:uid="{00000000-0005-0000-0000-0000D5860000}"/>
    <cellStyle name="Normal 2 5 5 2 4 2 3" xfId="34815" xr:uid="{00000000-0005-0000-0000-0000D6860000}"/>
    <cellStyle name="Normal 2 5 5 2 4 2 4" xfId="34816" xr:uid="{00000000-0005-0000-0000-0000D7860000}"/>
    <cellStyle name="Normal 2 5 5 2 4 2 5" xfId="34817" xr:uid="{00000000-0005-0000-0000-0000D8860000}"/>
    <cellStyle name="Normal 2 5 5 2 4 3" xfId="34818" xr:uid="{00000000-0005-0000-0000-0000D9860000}"/>
    <cellStyle name="Normal 2 5 5 2 4 4" xfId="34819" xr:uid="{00000000-0005-0000-0000-0000DA860000}"/>
    <cellStyle name="Normal 2 5 5 2 4 5" xfId="34820" xr:uid="{00000000-0005-0000-0000-0000DB860000}"/>
    <cellStyle name="Normal 2 5 5 2 4 6" xfId="34821" xr:uid="{00000000-0005-0000-0000-0000DC860000}"/>
    <cellStyle name="Normal 2 5 5 2 4 7" xfId="34822" xr:uid="{00000000-0005-0000-0000-0000DD860000}"/>
    <cellStyle name="Normal 2 5 5 2 4 8" xfId="34823" xr:uid="{00000000-0005-0000-0000-0000DE860000}"/>
    <cellStyle name="Normal 2 5 5 2 5" xfId="34824" xr:uid="{00000000-0005-0000-0000-0000DF860000}"/>
    <cellStyle name="Normal 2 5 5 2 5 2" xfId="34825" xr:uid="{00000000-0005-0000-0000-0000E0860000}"/>
    <cellStyle name="Normal 2 5 5 2 5 3" xfId="34826" xr:uid="{00000000-0005-0000-0000-0000E1860000}"/>
    <cellStyle name="Normal 2 5 5 2 5 4" xfId="34827" xr:uid="{00000000-0005-0000-0000-0000E2860000}"/>
    <cellStyle name="Normal 2 5 5 2 5 5" xfId="34828" xr:uid="{00000000-0005-0000-0000-0000E3860000}"/>
    <cellStyle name="Normal 2 5 5 2 6" xfId="34829" xr:uid="{00000000-0005-0000-0000-0000E4860000}"/>
    <cellStyle name="Normal 2 5 5 2 7" xfId="34830" xr:uid="{00000000-0005-0000-0000-0000E5860000}"/>
    <cellStyle name="Normal 2 5 5 2 8" xfId="34831" xr:uid="{00000000-0005-0000-0000-0000E6860000}"/>
    <cellStyle name="Normal 2 5 5 2 9" xfId="34832" xr:uid="{00000000-0005-0000-0000-0000E7860000}"/>
    <cellStyle name="Normal 2 5 5 3" xfId="34833" xr:uid="{00000000-0005-0000-0000-0000E8860000}"/>
    <cellStyle name="Normal 2 5 5 3 10" xfId="34834" xr:uid="{00000000-0005-0000-0000-0000E9860000}"/>
    <cellStyle name="Normal 2 5 5 3 11" xfId="34835" xr:uid="{00000000-0005-0000-0000-0000EA860000}"/>
    <cellStyle name="Normal 2 5 5 3 2" xfId="34836" xr:uid="{00000000-0005-0000-0000-0000EB860000}"/>
    <cellStyle name="Normal 2 5 5 3 2 10" xfId="34837" xr:uid="{00000000-0005-0000-0000-0000EC860000}"/>
    <cellStyle name="Normal 2 5 5 3 2 2" xfId="34838" xr:uid="{00000000-0005-0000-0000-0000ED860000}"/>
    <cellStyle name="Normal 2 5 5 3 2 2 2" xfId="34839" xr:uid="{00000000-0005-0000-0000-0000EE860000}"/>
    <cellStyle name="Normal 2 5 5 3 2 2 2 2" xfId="34840" xr:uid="{00000000-0005-0000-0000-0000EF860000}"/>
    <cellStyle name="Normal 2 5 5 3 2 2 2 3" xfId="34841" xr:uid="{00000000-0005-0000-0000-0000F0860000}"/>
    <cellStyle name="Normal 2 5 5 3 2 2 2 4" xfId="34842" xr:uid="{00000000-0005-0000-0000-0000F1860000}"/>
    <cellStyle name="Normal 2 5 5 3 2 2 2 5" xfId="34843" xr:uid="{00000000-0005-0000-0000-0000F2860000}"/>
    <cellStyle name="Normal 2 5 5 3 2 2 3" xfId="34844" xr:uid="{00000000-0005-0000-0000-0000F3860000}"/>
    <cellStyle name="Normal 2 5 5 3 2 2 4" xfId="34845" xr:uid="{00000000-0005-0000-0000-0000F4860000}"/>
    <cellStyle name="Normal 2 5 5 3 2 2 5" xfId="34846" xr:uid="{00000000-0005-0000-0000-0000F5860000}"/>
    <cellStyle name="Normal 2 5 5 3 2 2 6" xfId="34847" xr:uid="{00000000-0005-0000-0000-0000F6860000}"/>
    <cellStyle name="Normal 2 5 5 3 2 2 7" xfId="34848" xr:uid="{00000000-0005-0000-0000-0000F7860000}"/>
    <cellStyle name="Normal 2 5 5 3 2 2 8" xfId="34849" xr:uid="{00000000-0005-0000-0000-0000F8860000}"/>
    <cellStyle name="Normal 2 5 5 3 2 3" xfId="34850" xr:uid="{00000000-0005-0000-0000-0000F9860000}"/>
    <cellStyle name="Normal 2 5 5 3 2 3 2" xfId="34851" xr:uid="{00000000-0005-0000-0000-0000FA860000}"/>
    <cellStyle name="Normal 2 5 5 3 2 3 2 2" xfId="34852" xr:uid="{00000000-0005-0000-0000-0000FB860000}"/>
    <cellStyle name="Normal 2 5 5 3 2 3 2 3" xfId="34853" xr:uid="{00000000-0005-0000-0000-0000FC860000}"/>
    <cellStyle name="Normal 2 5 5 3 2 3 2 4" xfId="34854" xr:uid="{00000000-0005-0000-0000-0000FD860000}"/>
    <cellStyle name="Normal 2 5 5 3 2 3 2 5" xfId="34855" xr:uid="{00000000-0005-0000-0000-0000FE860000}"/>
    <cellStyle name="Normal 2 5 5 3 2 3 3" xfId="34856" xr:uid="{00000000-0005-0000-0000-0000FF860000}"/>
    <cellStyle name="Normal 2 5 5 3 2 3 4" xfId="34857" xr:uid="{00000000-0005-0000-0000-000000870000}"/>
    <cellStyle name="Normal 2 5 5 3 2 3 5" xfId="34858" xr:uid="{00000000-0005-0000-0000-000001870000}"/>
    <cellStyle name="Normal 2 5 5 3 2 3 6" xfId="34859" xr:uid="{00000000-0005-0000-0000-000002870000}"/>
    <cellStyle name="Normal 2 5 5 3 2 3 7" xfId="34860" xr:uid="{00000000-0005-0000-0000-000003870000}"/>
    <cellStyle name="Normal 2 5 5 3 2 3 8" xfId="34861" xr:uid="{00000000-0005-0000-0000-000004870000}"/>
    <cellStyle name="Normal 2 5 5 3 2 4" xfId="34862" xr:uid="{00000000-0005-0000-0000-000005870000}"/>
    <cellStyle name="Normal 2 5 5 3 2 4 2" xfId="34863" xr:uid="{00000000-0005-0000-0000-000006870000}"/>
    <cellStyle name="Normal 2 5 5 3 2 4 3" xfId="34864" xr:uid="{00000000-0005-0000-0000-000007870000}"/>
    <cellStyle name="Normal 2 5 5 3 2 4 4" xfId="34865" xr:uid="{00000000-0005-0000-0000-000008870000}"/>
    <cellStyle name="Normal 2 5 5 3 2 4 5" xfId="34866" xr:uid="{00000000-0005-0000-0000-000009870000}"/>
    <cellStyle name="Normal 2 5 5 3 2 5" xfId="34867" xr:uid="{00000000-0005-0000-0000-00000A870000}"/>
    <cellStyle name="Normal 2 5 5 3 2 6" xfId="34868" xr:uid="{00000000-0005-0000-0000-00000B870000}"/>
    <cellStyle name="Normal 2 5 5 3 2 7" xfId="34869" xr:uid="{00000000-0005-0000-0000-00000C870000}"/>
    <cellStyle name="Normal 2 5 5 3 2 8" xfId="34870" xr:uid="{00000000-0005-0000-0000-00000D870000}"/>
    <cellStyle name="Normal 2 5 5 3 2 9" xfId="34871" xr:uid="{00000000-0005-0000-0000-00000E870000}"/>
    <cellStyle name="Normal 2 5 5 3 3" xfId="34872" xr:uid="{00000000-0005-0000-0000-00000F870000}"/>
    <cellStyle name="Normal 2 5 5 3 3 2" xfId="34873" xr:uid="{00000000-0005-0000-0000-000010870000}"/>
    <cellStyle name="Normal 2 5 5 3 3 2 2" xfId="34874" xr:uid="{00000000-0005-0000-0000-000011870000}"/>
    <cellStyle name="Normal 2 5 5 3 3 2 3" xfId="34875" xr:uid="{00000000-0005-0000-0000-000012870000}"/>
    <cellStyle name="Normal 2 5 5 3 3 2 4" xfId="34876" xr:uid="{00000000-0005-0000-0000-000013870000}"/>
    <cellStyle name="Normal 2 5 5 3 3 2 5" xfId="34877" xr:uid="{00000000-0005-0000-0000-000014870000}"/>
    <cellStyle name="Normal 2 5 5 3 3 3" xfId="34878" xr:uid="{00000000-0005-0000-0000-000015870000}"/>
    <cellStyle name="Normal 2 5 5 3 3 4" xfId="34879" xr:uid="{00000000-0005-0000-0000-000016870000}"/>
    <cellStyle name="Normal 2 5 5 3 3 5" xfId="34880" xr:uid="{00000000-0005-0000-0000-000017870000}"/>
    <cellStyle name="Normal 2 5 5 3 3 6" xfId="34881" xr:uid="{00000000-0005-0000-0000-000018870000}"/>
    <cellStyle name="Normal 2 5 5 3 3 7" xfId="34882" xr:uid="{00000000-0005-0000-0000-000019870000}"/>
    <cellStyle name="Normal 2 5 5 3 3 8" xfId="34883" xr:uid="{00000000-0005-0000-0000-00001A870000}"/>
    <cellStyle name="Normal 2 5 5 3 4" xfId="34884" xr:uid="{00000000-0005-0000-0000-00001B870000}"/>
    <cellStyle name="Normal 2 5 5 3 4 2" xfId="34885" xr:uid="{00000000-0005-0000-0000-00001C870000}"/>
    <cellStyle name="Normal 2 5 5 3 4 2 2" xfId="34886" xr:uid="{00000000-0005-0000-0000-00001D870000}"/>
    <cellStyle name="Normal 2 5 5 3 4 2 3" xfId="34887" xr:uid="{00000000-0005-0000-0000-00001E870000}"/>
    <cellStyle name="Normal 2 5 5 3 4 2 4" xfId="34888" xr:uid="{00000000-0005-0000-0000-00001F870000}"/>
    <cellStyle name="Normal 2 5 5 3 4 2 5" xfId="34889" xr:uid="{00000000-0005-0000-0000-000020870000}"/>
    <cellStyle name="Normal 2 5 5 3 4 3" xfId="34890" xr:uid="{00000000-0005-0000-0000-000021870000}"/>
    <cellStyle name="Normal 2 5 5 3 4 4" xfId="34891" xr:uid="{00000000-0005-0000-0000-000022870000}"/>
    <cellStyle name="Normal 2 5 5 3 4 5" xfId="34892" xr:uid="{00000000-0005-0000-0000-000023870000}"/>
    <cellStyle name="Normal 2 5 5 3 4 6" xfId="34893" xr:uid="{00000000-0005-0000-0000-000024870000}"/>
    <cellStyle name="Normal 2 5 5 3 4 7" xfId="34894" xr:uid="{00000000-0005-0000-0000-000025870000}"/>
    <cellStyle name="Normal 2 5 5 3 4 8" xfId="34895" xr:uid="{00000000-0005-0000-0000-000026870000}"/>
    <cellStyle name="Normal 2 5 5 3 5" xfId="34896" xr:uid="{00000000-0005-0000-0000-000027870000}"/>
    <cellStyle name="Normal 2 5 5 3 5 2" xfId="34897" xr:uid="{00000000-0005-0000-0000-000028870000}"/>
    <cellStyle name="Normal 2 5 5 3 5 3" xfId="34898" xr:uid="{00000000-0005-0000-0000-000029870000}"/>
    <cellStyle name="Normal 2 5 5 3 5 4" xfId="34899" xr:uid="{00000000-0005-0000-0000-00002A870000}"/>
    <cellStyle name="Normal 2 5 5 3 5 5" xfId="34900" xr:uid="{00000000-0005-0000-0000-00002B870000}"/>
    <cellStyle name="Normal 2 5 5 3 6" xfId="34901" xr:uid="{00000000-0005-0000-0000-00002C870000}"/>
    <cellStyle name="Normal 2 5 5 3 7" xfId="34902" xr:uid="{00000000-0005-0000-0000-00002D870000}"/>
    <cellStyle name="Normal 2 5 5 3 8" xfId="34903" xr:uid="{00000000-0005-0000-0000-00002E870000}"/>
    <cellStyle name="Normal 2 5 5 3 9" xfId="34904" xr:uid="{00000000-0005-0000-0000-00002F870000}"/>
    <cellStyle name="Normal 2 5 5 4" xfId="34905" xr:uid="{00000000-0005-0000-0000-000030870000}"/>
    <cellStyle name="Normal 2 5 5 4 10" xfId="34906" xr:uid="{00000000-0005-0000-0000-000031870000}"/>
    <cellStyle name="Normal 2 5 5 4 2" xfId="34907" xr:uid="{00000000-0005-0000-0000-000032870000}"/>
    <cellStyle name="Normal 2 5 5 4 2 2" xfId="34908" xr:uid="{00000000-0005-0000-0000-000033870000}"/>
    <cellStyle name="Normal 2 5 5 4 2 2 2" xfId="34909" xr:uid="{00000000-0005-0000-0000-000034870000}"/>
    <cellStyle name="Normal 2 5 5 4 2 2 3" xfId="34910" xr:uid="{00000000-0005-0000-0000-000035870000}"/>
    <cellStyle name="Normal 2 5 5 4 2 2 4" xfId="34911" xr:uid="{00000000-0005-0000-0000-000036870000}"/>
    <cellStyle name="Normal 2 5 5 4 2 2 5" xfId="34912" xr:uid="{00000000-0005-0000-0000-000037870000}"/>
    <cellStyle name="Normal 2 5 5 4 2 3" xfId="34913" xr:uid="{00000000-0005-0000-0000-000038870000}"/>
    <cellStyle name="Normal 2 5 5 4 2 4" xfId="34914" xr:uid="{00000000-0005-0000-0000-000039870000}"/>
    <cellStyle name="Normal 2 5 5 4 2 5" xfId="34915" xr:uid="{00000000-0005-0000-0000-00003A870000}"/>
    <cellStyle name="Normal 2 5 5 4 2 6" xfId="34916" xr:uid="{00000000-0005-0000-0000-00003B870000}"/>
    <cellStyle name="Normal 2 5 5 4 2 7" xfId="34917" xr:uid="{00000000-0005-0000-0000-00003C870000}"/>
    <cellStyle name="Normal 2 5 5 4 2 8" xfId="34918" xr:uid="{00000000-0005-0000-0000-00003D870000}"/>
    <cellStyle name="Normal 2 5 5 4 3" xfId="34919" xr:uid="{00000000-0005-0000-0000-00003E870000}"/>
    <cellStyle name="Normal 2 5 5 4 3 2" xfId="34920" xr:uid="{00000000-0005-0000-0000-00003F870000}"/>
    <cellStyle name="Normal 2 5 5 4 3 2 2" xfId="34921" xr:uid="{00000000-0005-0000-0000-000040870000}"/>
    <cellStyle name="Normal 2 5 5 4 3 2 3" xfId="34922" xr:uid="{00000000-0005-0000-0000-000041870000}"/>
    <cellStyle name="Normal 2 5 5 4 3 2 4" xfId="34923" xr:uid="{00000000-0005-0000-0000-000042870000}"/>
    <cellStyle name="Normal 2 5 5 4 3 2 5" xfId="34924" xr:uid="{00000000-0005-0000-0000-000043870000}"/>
    <cellStyle name="Normal 2 5 5 4 3 3" xfId="34925" xr:uid="{00000000-0005-0000-0000-000044870000}"/>
    <cellStyle name="Normal 2 5 5 4 3 4" xfId="34926" xr:uid="{00000000-0005-0000-0000-000045870000}"/>
    <cellStyle name="Normal 2 5 5 4 3 5" xfId="34927" xr:uid="{00000000-0005-0000-0000-000046870000}"/>
    <cellStyle name="Normal 2 5 5 4 3 6" xfId="34928" xr:uid="{00000000-0005-0000-0000-000047870000}"/>
    <cellStyle name="Normal 2 5 5 4 3 7" xfId="34929" xr:uid="{00000000-0005-0000-0000-000048870000}"/>
    <cellStyle name="Normal 2 5 5 4 3 8" xfId="34930" xr:uid="{00000000-0005-0000-0000-000049870000}"/>
    <cellStyle name="Normal 2 5 5 4 4" xfId="34931" xr:uid="{00000000-0005-0000-0000-00004A870000}"/>
    <cellStyle name="Normal 2 5 5 4 4 2" xfId="34932" xr:uid="{00000000-0005-0000-0000-00004B870000}"/>
    <cellStyle name="Normal 2 5 5 4 4 3" xfId="34933" xr:uid="{00000000-0005-0000-0000-00004C870000}"/>
    <cellStyle name="Normal 2 5 5 4 4 4" xfId="34934" xr:uid="{00000000-0005-0000-0000-00004D870000}"/>
    <cellStyle name="Normal 2 5 5 4 4 5" xfId="34935" xr:uid="{00000000-0005-0000-0000-00004E870000}"/>
    <cellStyle name="Normal 2 5 5 4 5" xfId="34936" xr:uid="{00000000-0005-0000-0000-00004F870000}"/>
    <cellStyle name="Normal 2 5 5 4 6" xfId="34937" xr:uid="{00000000-0005-0000-0000-000050870000}"/>
    <cellStyle name="Normal 2 5 5 4 7" xfId="34938" xr:uid="{00000000-0005-0000-0000-000051870000}"/>
    <cellStyle name="Normal 2 5 5 4 8" xfId="34939" xr:uid="{00000000-0005-0000-0000-000052870000}"/>
    <cellStyle name="Normal 2 5 5 4 9" xfId="34940" xr:uid="{00000000-0005-0000-0000-000053870000}"/>
    <cellStyle name="Normal 2 5 5 5" xfId="34941" xr:uid="{00000000-0005-0000-0000-000054870000}"/>
    <cellStyle name="Normal 2 5 5 5 2" xfId="34942" xr:uid="{00000000-0005-0000-0000-000055870000}"/>
    <cellStyle name="Normal 2 5 5 5 2 2" xfId="34943" xr:uid="{00000000-0005-0000-0000-000056870000}"/>
    <cellStyle name="Normal 2 5 5 5 2 3" xfId="34944" xr:uid="{00000000-0005-0000-0000-000057870000}"/>
    <cellStyle name="Normal 2 5 5 5 2 4" xfId="34945" xr:uid="{00000000-0005-0000-0000-000058870000}"/>
    <cellStyle name="Normal 2 5 5 5 2 5" xfId="34946" xr:uid="{00000000-0005-0000-0000-000059870000}"/>
    <cellStyle name="Normal 2 5 5 5 3" xfId="34947" xr:uid="{00000000-0005-0000-0000-00005A870000}"/>
    <cellStyle name="Normal 2 5 5 5 4" xfId="34948" xr:uid="{00000000-0005-0000-0000-00005B870000}"/>
    <cellStyle name="Normal 2 5 5 5 5" xfId="34949" xr:uid="{00000000-0005-0000-0000-00005C870000}"/>
    <cellStyle name="Normal 2 5 5 5 6" xfId="34950" xr:uid="{00000000-0005-0000-0000-00005D870000}"/>
    <cellStyle name="Normal 2 5 5 5 7" xfId="34951" xr:uid="{00000000-0005-0000-0000-00005E870000}"/>
    <cellStyle name="Normal 2 5 5 5 8" xfId="34952" xr:uid="{00000000-0005-0000-0000-00005F870000}"/>
    <cellStyle name="Normal 2 5 5 6" xfId="34953" xr:uid="{00000000-0005-0000-0000-000060870000}"/>
    <cellStyle name="Normal 2 5 5 6 2" xfId="34954" xr:uid="{00000000-0005-0000-0000-000061870000}"/>
    <cellStyle name="Normal 2 5 5 6 2 2" xfId="34955" xr:uid="{00000000-0005-0000-0000-000062870000}"/>
    <cellStyle name="Normal 2 5 5 6 2 3" xfId="34956" xr:uid="{00000000-0005-0000-0000-000063870000}"/>
    <cellStyle name="Normal 2 5 5 6 2 4" xfId="34957" xr:uid="{00000000-0005-0000-0000-000064870000}"/>
    <cellStyle name="Normal 2 5 5 6 2 5" xfId="34958" xr:uid="{00000000-0005-0000-0000-000065870000}"/>
    <cellStyle name="Normal 2 5 5 6 3" xfId="34959" xr:uid="{00000000-0005-0000-0000-000066870000}"/>
    <cellStyle name="Normal 2 5 5 6 4" xfId="34960" xr:uid="{00000000-0005-0000-0000-000067870000}"/>
    <cellStyle name="Normal 2 5 5 6 5" xfId="34961" xr:uid="{00000000-0005-0000-0000-000068870000}"/>
    <cellStyle name="Normal 2 5 5 6 6" xfId="34962" xr:uid="{00000000-0005-0000-0000-000069870000}"/>
    <cellStyle name="Normal 2 5 5 6 7" xfId="34963" xr:uid="{00000000-0005-0000-0000-00006A870000}"/>
    <cellStyle name="Normal 2 5 5 6 8" xfId="34964" xr:uid="{00000000-0005-0000-0000-00006B870000}"/>
    <cellStyle name="Normal 2 5 5 7" xfId="34965" xr:uid="{00000000-0005-0000-0000-00006C870000}"/>
    <cellStyle name="Normal 2 5 5 7 2" xfId="34966" xr:uid="{00000000-0005-0000-0000-00006D870000}"/>
    <cellStyle name="Normal 2 5 5 7 3" xfId="34967" xr:uid="{00000000-0005-0000-0000-00006E870000}"/>
    <cellStyle name="Normal 2 5 5 7 4" xfId="34968" xr:uid="{00000000-0005-0000-0000-00006F870000}"/>
    <cellStyle name="Normal 2 5 5 7 5" xfId="34969" xr:uid="{00000000-0005-0000-0000-000070870000}"/>
    <cellStyle name="Normal 2 5 5 8" xfId="34970" xr:uid="{00000000-0005-0000-0000-000071870000}"/>
    <cellStyle name="Normal 2 5 5 9" xfId="34971" xr:uid="{00000000-0005-0000-0000-000072870000}"/>
    <cellStyle name="Normal 2 5 6" xfId="34972" xr:uid="{00000000-0005-0000-0000-000073870000}"/>
    <cellStyle name="Normal 2 5 6 10" xfId="34973" xr:uid="{00000000-0005-0000-0000-000074870000}"/>
    <cellStyle name="Normal 2 5 6 11" xfId="34974" xr:uid="{00000000-0005-0000-0000-000075870000}"/>
    <cellStyle name="Normal 2 5 6 12" xfId="34975" xr:uid="{00000000-0005-0000-0000-000076870000}"/>
    <cellStyle name="Normal 2 5 6 13" xfId="34976" xr:uid="{00000000-0005-0000-0000-000077870000}"/>
    <cellStyle name="Normal 2 5 6 2" xfId="34977" xr:uid="{00000000-0005-0000-0000-000078870000}"/>
    <cellStyle name="Normal 2 5 6 2 10" xfId="34978" xr:uid="{00000000-0005-0000-0000-000079870000}"/>
    <cellStyle name="Normal 2 5 6 2 11" xfId="34979" xr:uid="{00000000-0005-0000-0000-00007A870000}"/>
    <cellStyle name="Normal 2 5 6 2 2" xfId="34980" xr:uid="{00000000-0005-0000-0000-00007B870000}"/>
    <cellStyle name="Normal 2 5 6 2 2 10" xfId="34981" xr:uid="{00000000-0005-0000-0000-00007C870000}"/>
    <cellStyle name="Normal 2 5 6 2 2 2" xfId="34982" xr:uid="{00000000-0005-0000-0000-00007D870000}"/>
    <cellStyle name="Normal 2 5 6 2 2 2 2" xfId="34983" xr:uid="{00000000-0005-0000-0000-00007E870000}"/>
    <cellStyle name="Normal 2 5 6 2 2 2 2 2" xfId="34984" xr:uid="{00000000-0005-0000-0000-00007F870000}"/>
    <cellStyle name="Normal 2 5 6 2 2 2 2 3" xfId="34985" xr:uid="{00000000-0005-0000-0000-000080870000}"/>
    <cellStyle name="Normal 2 5 6 2 2 2 2 4" xfId="34986" xr:uid="{00000000-0005-0000-0000-000081870000}"/>
    <cellStyle name="Normal 2 5 6 2 2 2 2 5" xfId="34987" xr:uid="{00000000-0005-0000-0000-000082870000}"/>
    <cellStyle name="Normal 2 5 6 2 2 2 3" xfId="34988" xr:uid="{00000000-0005-0000-0000-000083870000}"/>
    <cellStyle name="Normal 2 5 6 2 2 2 4" xfId="34989" xr:uid="{00000000-0005-0000-0000-000084870000}"/>
    <cellStyle name="Normal 2 5 6 2 2 2 5" xfId="34990" xr:uid="{00000000-0005-0000-0000-000085870000}"/>
    <cellStyle name="Normal 2 5 6 2 2 2 6" xfId="34991" xr:uid="{00000000-0005-0000-0000-000086870000}"/>
    <cellStyle name="Normal 2 5 6 2 2 2 7" xfId="34992" xr:uid="{00000000-0005-0000-0000-000087870000}"/>
    <cellStyle name="Normal 2 5 6 2 2 2 8" xfId="34993" xr:uid="{00000000-0005-0000-0000-000088870000}"/>
    <cellStyle name="Normal 2 5 6 2 2 3" xfId="34994" xr:uid="{00000000-0005-0000-0000-000089870000}"/>
    <cellStyle name="Normal 2 5 6 2 2 3 2" xfId="34995" xr:uid="{00000000-0005-0000-0000-00008A870000}"/>
    <cellStyle name="Normal 2 5 6 2 2 3 2 2" xfId="34996" xr:uid="{00000000-0005-0000-0000-00008B870000}"/>
    <cellStyle name="Normal 2 5 6 2 2 3 2 3" xfId="34997" xr:uid="{00000000-0005-0000-0000-00008C870000}"/>
    <cellStyle name="Normal 2 5 6 2 2 3 2 4" xfId="34998" xr:uid="{00000000-0005-0000-0000-00008D870000}"/>
    <cellStyle name="Normal 2 5 6 2 2 3 2 5" xfId="34999" xr:uid="{00000000-0005-0000-0000-00008E870000}"/>
    <cellStyle name="Normal 2 5 6 2 2 3 3" xfId="35000" xr:uid="{00000000-0005-0000-0000-00008F870000}"/>
    <cellStyle name="Normal 2 5 6 2 2 3 4" xfId="35001" xr:uid="{00000000-0005-0000-0000-000090870000}"/>
    <cellStyle name="Normal 2 5 6 2 2 3 5" xfId="35002" xr:uid="{00000000-0005-0000-0000-000091870000}"/>
    <cellStyle name="Normal 2 5 6 2 2 3 6" xfId="35003" xr:uid="{00000000-0005-0000-0000-000092870000}"/>
    <cellStyle name="Normal 2 5 6 2 2 3 7" xfId="35004" xr:uid="{00000000-0005-0000-0000-000093870000}"/>
    <cellStyle name="Normal 2 5 6 2 2 3 8" xfId="35005" xr:uid="{00000000-0005-0000-0000-000094870000}"/>
    <cellStyle name="Normal 2 5 6 2 2 4" xfId="35006" xr:uid="{00000000-0005-0000-0000-000095870000}"/>
    <cellStyle name="Normal 2 5 6 2 2 4 2" xfId="35007" xr:uid="{00000000-0005-0000-0000-000096870000}"/>
    <cellStyle name="Normal 2 5 6 2 2 4 3" xfId="35008" xr:uid="{00000000-0005-0000-0000-000097870000}"/>
    <cellStyle name="Normal 2 5 6 2 2 4 4" xfId="35009" xr:uid="{00000000-0005-0000-0000-000098870000}"/>
    <cellStyle name="Normal 2 5 6 2 2 4 5" xfId="35010" xr:uid="{00000000-0005-0000-0000-000099870000}"/>
    <cellStyle name="Normal 2 5 6 2 2 5" xfId="35011" xr:uid="{00000000-0005-0000-0000-00009A870000}"/>
    <cellStyle name="Normal 2 5 6 2 2 6" xfId="35012" xr:uid="{00000000-0005-0000-0000-00009B870000}"/>
    <cellStyle name="Normal 2 5 6 2 2 7" xfId="35013" xr:uid="{00000000-0005-0000-0000-00009C870000}"/>
    <cellStyle name="Normal 2 5 6 2 2 8" xfId="35014" xr:uid="{00000000-0005-0000-0000-00009D870000}"/>
    <cellStyle name="Normal 2 5 6 2 2 9" xfId="35015" xr:uid="{00000000-0005-0000-0000-00009E870000}"/>
    <cellStyle name="Normal 2 5 6 2 3" xfId="35016" xr:uid="{00000000-0005-0000-0000-00009F870000}"/>
    <cellStyle name="Normal 2 5 6 2 3 2" xfId="35017" xr:uid="{00000000-0005-0000-0000-0000A0870000}"/>
    <cellStyle name="Normal 2 5 6 2 3 2 2" xfId="35018" xr:uid="{00000000-0005-0000-0000-0000A1870000}"/>
    <cellStyle name="Normal 2 5 6 2 3 2 3" xfId="35019" xr:uid="{00000000-0005-0000-0000-0000A2870000}"/>
    <cellStyle name="Normal 2 5 6 2 3 2 4" xfId="35020" xr:uid="{00000000-0005-0000-0000-0000A3870000}"/>
    <cellStyle name="Normal 2 5 6 2 3 2 5" xfId="35021" xr:uid="{00000000-0005-0000-0000-0000A4870000}"/>
    <cellStyle name="Normal 2 5 6 2 3 3" xfId="35022" xr:uid="{00000000-0005-0000-0000-0000A5870000}"/>
    <cellStyle name="Normal 2 5 6 2 3 4" xfId="35023" xr:uid="{00000000-0005-0000-0000-0000A6870000}"/>
    <cellStyle name="Normal 2 5 6 2 3 5" xfId="35024" xr:uid="{00000000-0005-0000-0000-0000A7870000}"/>
    <cellStyle name="Normal 2 5 6 2 3 6" xfId="35025" xr:uid="{00000000-0005-0000-0000-0000A8870000}"/>
    <cellStyle name="Normal 2 5 6 2 3 7" xfId="35026" xr:uid="{00000000-0005-0000-0000-0000A9870000}"/>
    <cellStyle name="Normal 2 5 6 2 3 8" xfId="35027" xr:uid="{00000000-0005-0000-0000-0000AA870000}"/>
    <cellStyle name="Normal 2 5 6 2 4" xfId="35028" xr:uid="{00000000-0005-0000-0000-0000AB870000}"/>
    <cellStyle name="Normal 2 5 6 2 4 2" xfId="35029" xr:uid="{00000000-0005-0000-0000-0000AC870000}"/>
    <cellStyle name="Normal 2 5 6 2 4 2 2" xfId="35030" xr:uid="{00000000-0005-0000-0000-0000AD870000}"/>
    <cellStyle name="Normal 2 5 6 2 4 2 3" xfId="35031" xr:uid="{00000000-0005-0000-0000-0000AE870000}"/>
    <cellStyle name="Normal 2 5 6 2 4 2 4" xfId="35032" xr:uid="{00000000-0005-0000-0000-0000AF870000}"/>
    <cellStyle name="Normal 2 5 6 2 4 2 5" xfId="35033" xr:uid="{00000000-0005-0000-0000-0000B0870000}"/>
    <cellStyle name="Normal 2 5 6 2 4 3" xfId="35034" xr:uid="{00000000-0005-0000-0000-0000B1870000}"/>
    <cellStyle name="Normal 2 5 6 2 4 4" xfId="35035" xr:uid="{00000000-0005-0000-0000-0000B2870000}"/>
    <cellStyle name="Normal 2 5 6 2 4 5" xfId="35036" xr:uid="{00000000-0005-0000-0000-0000B3870000}"/>
    <cellStyle name="Normal 2 5 6 2 4 6" xfId="35037" xr:uid="{00000000-0005-0000-0000-0000B4870000}"/>
    <cellStyle name="Normal 2 5 6 2 4 7" xfId="35038" xr:uid="{00000000-0005-0000-0000-0000B5870000}"/>
    <cellStyle name="Normal 2 5 6 2 4 8" xfId="35039" xr:uid="{00000000-0005-0000-0000-0000B6870000}"/>
    <cellStyle name="Normal 2 5 6 2 5" xfId="35040" xr:uid="{00000000-0005-0000-0000-0000B7870000}"/>
    <cellStyle name="Normal 2 5 6 2 5 2" xfId="35041" xr:uid="{00000000-0005-0000-0000-0000B8870000}"/>
    <cellStyle name="Normal 2 5 6 2 5 3" xfId="35042" xr:uid="{00000000-0005-0000-0000-0000B9870000}"/>
    <cellStyle name="Normal 2 5 6 2 5 4" xfId="35043" xr:uid="{00000000-0005-0000-0000-0000BA870000}"/>
    <cellStyle name="Normal 2 5 6 2 5 5" xfId="35044" xr:uid="{00000000-0005-0000-0000-0000BB870000}"/>
    <cellStyle name="Normal 2 5 6 2 6" xfId="35045" xr:uid="{00000000-0005-0000-0000-0000BC870000}"/>
    <cellStyle name="Normal 2 5 6 2 7" xfId="35046" xr:uid="{00000000-0005-0000-0000-0000BD870000}"/>
    <cellStyle name="Normal 2 5 6 2 8" xfId="35047" xr:uid="{00000000-0005-0000-0000-0000BE870000}"/>
    <cellStyle name="Normal 2 5 6 2 9" xfId="35048" xr:uid="{00000000-0005-0000-0000-0000BF870000}"/>
    <cellStyle name="Normal 2 5 6 3" xfId="35049" xr:uid="{00000000-0005-0000-0000-0000C0870000}"/>
    <cellStyle name="Normal 2 5 6 3 10" xfId="35050" xr:uid="{00000000-0005-0000-0000-0000C1870000}"/>
    <cellStyle name="Normal 2 5 6 3 11" xfId="35051" xr:uid="{00000000-0005-0000-0000-0000C2870000}"/>
    <cellStyle name="Normal 2 5 6 3 2" xfId="35052" xr:uid="{00000000-0005-0000-0000-0000C3870000}"/>
    <cellStyle name="Normal 2 5 6 3 2 10" xfId="35053" xr:uid="{00000000-0005-0000-0000-0000C4870000}"/>
    <cellStyle name="Normal 2 5 6 3 2 2" xfId="35054" xr:uid="{00000000-0005-0000-0000-0000C5870000}"/>
    <cellStyle name="Normal 2 5 6 3 2 2 2" xfId="35055" xr:uid="{00000000-0005-0000-0000-0000C6870000}"/>
    <cellStyle name="Normal 2 5 6 3 2 2 2 2" xfId="35056" xr:uid="{00000000-0005-0000-0000-0000C7870000}"/>
    <cellStyle name="Normal 2 5 6 3 2 2 2 3" xfId="35057" xr:uid="{00000000-0005-0000-0000-0000C8870000}"/>
    <cellStyle name="Normal 2 5 6 3 2 2 2 4" xfId="35058" xr:uid="{00000000-0005-0000-0000-0000C9870000}"/>
    <cellStyle name="Normal 2 5 6 3 2 2 2 5" xfId="35059" xr:uid="{00000000-0005-0000-0000-0000CA870000}"/>
    <cellStyle name="Normal 2 5 6 3 2 2 3" xfId="35060" xr:uid="{00000000-0005-0000-0000-0000CB870000}"/>
    <cellStyle name="Normal 2 5 6 3 2 2 4" xfId="35061" xr:uid="{00000000-0005-0000-0000-0000CC870000}"/>
    <cellStyle name="Normal 2 5 6 3 2 2 5" xfId="35062" xr:uid="{00000000-0005-0000-0000-0000CD870000}"/>
    <cellStyle name="Normal 2 5 6 3 2 2 6" xfId="35063" xr:uid="{00000000-0005-0000-0000-0000CE870000}"/>
    <cellStyle name="Normal 2 5 6 3 2 2 7" xfId="35064" xr:uid="{00000000-0005-0000-0000-0000CF870000}"/>
    <cellStyle name="Normal 2 5 6 3 2 2 8" xfId="35065" xr:uid="{00000000-0005-0000-0000-0000D0870000}"/>
    <cellStyle name="Normal 2 5 6 3 2 3" xfId="35066" xr:uid="{00000000-0005-0000-0000-0000D1870000}"/>
    <cellStyle name="Normal 2 5 6 3 2 3 2" xfId="35067" xr:uid="{00000000-0005-0000-0000-0000D2870000}"/>
    <cellStyle name="Normal 2 5 6 3 2 3 2 2" xfId="35068" xr:uid="{00000000-0005-0000-0000-0000D3870000}"/>
    <cellStyle name="Normal 2 5 6 3 2 3 2 3" xfId="35069" xr:uid="{00000000-0005-0000-0000-0000D4870000}"/>
    <cellStyle name="Normal 2 5 6 3 2 3 2 4" xfId="35070" xr:uid="{00000000-0005-0000-0000-0000D5870000}"/>
    <cellStyle name="Normal 2 5 6 3 2 3 2 5" xfId="35071" xr:uid="{00000000-0005-0000-0000-0000D6870000}"/>
    <cellStyle name="Normal 2 5 6 3 2 3 3" xfId="35072" xr:uid="{00000000-0005-0000-0000-0000D7870000}"/>
    <cellStyle name="Normal 2 5 6 3 2 3 4" xfId="35073" xr:uid="{00000000-0005-0000-0000-0000D8870000}"/>
    <cellStyle name="Normal 2 5 6 3 2 3 5" xfId="35074" xr:uid="{00000000-0005-0000-0000-0000D9870000}"/>
    <cellStyle name="Normal 2 5 6 3 2 3 6" xfId="35075" xr:uid="{00000000-0005-0000-0000-0000DA870000}"/>
    <cellStyle name="Normal 2 5 6 3 2 3 7" xfId="35076" xr:uid="{00000000-0005-0000-0000-0000DB870000}"/>
    <cellStyle name="Normal 2 5 6 3 2 3 8" xfId="35077" xr:uid="{00000000-0005-0000-0000-0000DC870000}"/>
    <cellStyle name="Normal 2 5 6 3 2 4" xfId="35078" xr:uid="{00000000-0005-0000-0000-0000DD870000}"/>
    <cellStyle name="Normal 2 5 6 3 2 4 2" xfId="35079" xr:uid="{00000000-0005-0000-0000-0000DE870000}"/>
    <cellStyle name="Normal 2 5 6 3 2 4 3" xfId="35080" xr:uid="{00000000-0005-0000-0000-0000DF870000}"/>
    <cellStyle name="Normal 2 5 6 3 2 4 4" xfId="35081" xr:uid="{00000000-0005-0000-0000-0000E0870000}"/>
    <cellStyle name="Normal 2 5 6 3 2 4 5" xfId="35082" xr:uid="{00000000-0005-0000-0000-0000E1870000}"/>
    <cellStyle name="Normal 2 5 6 3 2 5" xfId="35083" xr:uid="{00000000-0005-0000-0000-0000E2870000}"/>
    <cellStyle name="Normal 2 5 6 3 2 6" xfId="35084" xr:uid="{00000000-0005-0000-0000-0000E3870000}"/>
    <cellStyle name="Normal 2 5 6 3 2 7" xfId="35085" xr:uid="{00000000-0005-0000-0000-0000E4870000}"/>
    <cellStyle name="Normal 2 5 6 3 2 8" xfId="35086" xr:uid="{00000000-0005-0000-0000-0000E5870000}"/>
    <cellStyle name="Normal 2 5 6 3 2 9" xfId="35087" xr:uid="{00000000-0005-0000-0000-0000E6870000}"/>
    <cellStyle name="Normal 2 5 6 3 3" xfId="35088" xr:uid="{00000000-0005-0000-0000-0000E7870000}"/>
    <cellStyle name="Normal 2 5 6 3 3 2" xfId="35089" xr:uid="{00000000-0005-0000-0000-0000E8870000}"/>
    <cellStyle name="Normal 2 5 6 3 3 2 2" xfId="35090" xr:uid="{00000000-0005-0000-0000-0000E9870000}"/>
    <cellStyle name="Normal 2 5 6 3 3 2 3" xfId="35091" xr:uid="{00000000-0005-0000-0000-0000EA870000}"/>
    <cellStyle name="Normal 2 5 6 3 3 2 4" xfId="35092" xr:uid="{00000000-0005-0000-0000-0000EB870000}"/>
    <cellStyle name="Normal 2 5 6 3 3 2 5" xfId="35093" xr:uid="{00000000-0005-0000-0000-0000EC870000}"/>
    <cellStyle name="Normal 2 5 6 3 3 3" xfId="35094" xr:uid="{00000000-0005-0000-0000-0000ED870000}"/>
    <cellStyle name="Normal 2 5 6 3 3 4" xfId="35095" xr:uid="{00000000-0005-0000-0000-0000EE870000}"/>
    <cellStyle name="Normal 2 5 6 3 3 5" xfId="35096" xr:uid="{00000000-0005-0000-0000-0000EF870000}"/>
    <cellStyle name="Normal 2 5 6 3 3 6" xfId="35097" xr:uid="{00000000-0005-0000-0000-0000F0870000}"/>
    <cellStyle name="Normal 2 5 6 3 3 7" xfId="35098" xr:uid="{00000000-0005-0000-0000-0000F1870000}"/>
    <cellStyle name="Normal 2 5 6 3 3 8" xfId="35099" xr:uid="{00000000-0005-0000-0000-0000F2870000}"/>
    <cellStyle name="Normal 2 5 6 3 4" xfId="35100" xr:uid="{00000000-0005-0000-0000-0000F3870000}"/>
    <cellStyle name="Normal 2 5 6 3 4 2" xfId="35101" xr:uid="{00000000-0005-0000-0000-0000F4870000}"/>
    <cellStyle name="Normal 2 5 6 3 4 2 2" xfId="35102" xr:uid="{00000000-0005-0000-0000-0000F5870000}"/>
    <cellStyle name="Normal 2 5 6 3 4 2 3" xfId="35103" xr:uid="{00000000-0005-0000-0000-0000F6870000}"/>
    <cellStyle name="Normal 2 5 6 3 4 2 4" xfId="35104" xr:uid="{00000000-0005-0000-0000-0000F7870000}"/>
    <cellStyle name="Normal 2 5 6 3 4 2 5" xfId="35105" xr:uid="{00000000-0005-0000-0000-0000F8870000}"/>
    <cellStyle name="Normal 2 5 6 3 4 3" xfId="35106" xr:uid="{00000000-0005-0000-0000-0000F9870000}"/>
    <cellStyle name="Normal 2 5 6 3 4 4" xfId="35107" xr:uid="{00000000-0005-0000-0000-0000FA870000}"/>
    <cellStyle name="Normal 2 5 6 3 4 5" xfId="35108" xr:uid="{00000000-0005-0000-0000-0000FB870000}"/>
    <cellStyle name="Normal 2 5 6 3 4 6" xfId="35109" xr:uid="{00000000-0005-0000-0000-0000FC870000}"/>
    <cellStyle name="Normal 2 5 6 3 4 7" xfId="35110" xr:uid="{00000000-0005-0000-0000-0000FD870000}"/>
    <cellStyle name="Normal 2 5 6 3 4 8" xfId="35111" xr:uid="{00000000-0005-0000-0000-0000FE870000}"/>
    <cellStyle name="Normal 2 5 6 3 5" xfId="35112" xr:uid="{00000000-0005-0000-0000-0000FF870000}"/>
    <cellStyle name="Normal 2 5 6 3 5 2" xfId="35113" xr:uid="{00000000-0005-0000-0000-000000880000}"/>
    <cellStyle name="Normal 2 5 6 3 5 3" xfId="35114" xr:uid="{00000000-0005-0000-0000-000001880000}"/>
    <cellStyle name="Normal 2 5 6 3 5 4" xfId="35115" xr:uid="{00000000-0005-0000-0000-000002880000}"/>
    <cellStyle name="Normal 2 5 6 3 5 5" xfId="35116" xr:uid="{00000000-0005-0000-0000-000003880000}"/>
    <cellStyle name="Normal 2 5 6 3 6" xfId="35117" xr:uid="{00000000-0005-0000-0000-000004880000}"/>
    <cellStyle name="Normal 2 5 6 3 7" xfId="35118" xr:uid="{00000000-0005-0000-0000-000005880000}"/>
    <cellStyle name="Normal 2 5 6 3 8" xfId="35119" xr:uid="{00000000-0005-0000-0000-000006880000}"/>
    <cellStyle name="Normal 2 5 6 3 9" xfId="35120" xr:uid="{00000000-0005-0000-0000-000007880000}"/>
    <cellStyle name="Normal 2 5 6 4" xfId="35121" xr:uid="{00000000-0005-0000-0000-000008880000}"/>
    <cellStyle name="Normal 2 5 6 4 10" xfId="35122" xr:uid="{00000000-0005-0000-0000-000009880000}"/>
    <cellStyle name="Normal 2 5 6 4 2" xfId="35123" xr:uid="{00000000-0005-0000-0000-00000A880000}"/>
    <cellStyle name="Normal 2 5 6 4 2 2" xfId="35124" xr:uid="{00000000-0005-0000-0000-00000B880000}"/>
    <cellStyle name="Normal 2 5 6 4 2 2 2" xfId="35125" xr:uid="{00000000-0005-0000-0000-00000C880000}"/>
    <cellStyle name="Normal 2 5 6 4 2 2 3" xfId="35126" xr:uid="{00000000-0005-0000-0000-00000D880000}"/>
    <cellStyle name="Normal 2 5 6 4 2 2 4" xfId="35127" xr:uid="{00000000-0005-0000-0000-00000E880000}"/>
    <cellStyle name="Normal 2 5 6 4 2 2 5" xfId="35128" xr:uid="{00000000-0005-0000-0000-00000F880000}"/>
    <cellStyle name="Normal 2 5 6 4 2 3" xfId="35129" xr:uid="{00000000-0005-0000-0000-000010880000}"/>
    <cellStyle name="Normal 2 5 6 4 2 4" xfId="35130" xr:uid="{00000000-0005-0000-0000-000011880000}"/>
    <cellStyle name="Normal 2 5 6 4 2 5" xfId="35131" xr:uid="{00000000-0005-0000-0000-000012880000}"/>
    <cellStyle name="Normal 2 5 6 4 2 6" xfId="35132" xr:uid="{00000000-0005-0000-0000-000013880000}"/>
    <cellStyle name="Normal 2 5 6 4 2 7" xfId="35133" xr:uid="{00000000-0005-0000-0000-000014880000}"/>
    <cellStyle name="Normal 2 5 6 4 2 8" xfId="35134" xr:uid="{00000000-0005-0000-0000-000015880000}"/>
    <cellStyle name="Normal 2 5 6 4 3" xfId="35135" xr:uid="{00000000-0005-0000-0000-000016880000}"/>
    <cellStyle name="Normal 2 5 6 4 3 2" xfId="35136" xr:uid="{00000000-0005-0000-0000-000017880000}"/>
    <cellStyle name="Normal 2 5 6 4 3 2 2" xfId="35137" xr:uid="{00000000-0005-0000-0000-000018880000}"/>
    <cellStyle name="Normal 2 5 6 4 3 2 3" xfId="35138" xr:uid="{00000000-0005-0000-0000-000019880000}"/>
    <cellStyle name="Normal 2 5 6 4 3 2 4" xfId="35139" xr:uid="{00000000-0005-0000-0000-00001A880000}"/>
    <cellStyle name="Normal 2 5 6 4 3 2 5" xfId="35140" xr:uid="{00000000-0005-0000-0000-00001B880000}"/>
    <cellStyle name="Normal 2 5 6 4 3 3" xfId="35141" xr:uid="{00000000-0005-0000-0000-00001C880000}"/>
    <cellStyle name="Normal 2 5 6 4 3 4" xfId="35142" xr:uid="{00000000-0005-0000-0000-00001D880000}"/>
    <cellStyle name="Normal 2 5 6 4 3 5" xfId="35143" xr:uid="{00000000-0005-0000-0000-00001E880000}"/>
    <cellStyle name="Normal 2 5 6 4 3 6" xfId="35144" xr:uid="{00000000-0005-0000-0000-00001F880000}"/>
    <cellStyle name="Normal 2 5 6 4 3 7" xfId="35145" xr:uid="{00000000-0005-0000-0000-000020880000}"/>
    <cellStyle name="Normal 2 5 6 4 3 8" xfId="35146" xr:uid="{00000000-0005-0000-0000-000021880000}"/>
    <cellStyle name="Normal 2 5 6 4 4" xfId="35147" xr:uid="{00000000-0005-0000-0000-000022880000}"/>
    <cellStyle name="Normal 2 5 6 4 4 2" xfId="35148" xr:uid="{00000000-0005-0000-0000-000023880000}"/>
    <cellStyle name="Normal 2 5 6 4 4 3" xfId="35149" xr:uid="{00000000-0005-0000-0000-000024880000}"/>
    <cellStyle name="Normal 2 5 6 4 4 4" xfId="35150" xr:uid="{00000000-0005-0000-0000-000025880000}"/>
    <cellStyle name="Normal 2 5 6 4 4 5" xfId="35151" xr:uid="{00000000-0005-0000-0000-000026880000}"/>
    <cellStyle name="Normal 2 5 6 4 5" xfId="35152" xr:uid="{00000000-0005-0000-0000-000027880000}"/>
    <cellStyle name="Normal 2 5 6 4 6" xfId="35153" xr:uid="{00000000-0005-0000-0000-000028880000}"/>
    <cellStyle name="Normal 2 5 6 4 7" xfId="35154" xr:uid="{00000000-0005-0000-0000-000029880000}"/>
    <cellStyle name="Normal 2 5 6 4 8" xfId="35155" xr:uid="{00000000-0005-0000-0000-00002A880000}"/>
    <cellStyle name="Normal 2 5 6 4 9" xfId="35156" xr:uid="{00000000-0005-0000-0000-00002B880000}"/>
    <cellStyle name="Normal 2 5 6 5" xfId="35157" xr:uid="{00000000-0005-0000-0000-00002C880000}"/>
    <cellStyle name="Normal 2 5 6 5 2" xfId="35158" xr:uid="{00000000-0005-0000-0000-00002D880000}"/>
    <cellStyle name="Normal 2 5 6 5 2 2" xfId="35159" xr:uid="{00000000-0005-0000-0000-00002E880000}"/>
    <cellStyle name="Normal 2 5 6 5 2 3" xfId="35160" xr:uid="{00000000-0005-0000-0000-00002F880000}"/>
    <cellStyle name="Normal 2 5 6 5 2 4" xfId="35161" xr:uid="{00000000-0005-0000-0000-000030880000}"/>
    <cellStyle name="Normal 2 5 6 5 2 5" xfId="35162" xr:uid="{00000000-0005-0000-0000-000031880000}"/>
    <cellStyle name="Normal 2 5 6 5 3" xfId="35163" xr:uid="{00000000-0005-0000-0000-000032880000}"/>
    <cellStyle name="Normal 2 5 6 5 4" xfId="35164" xr:uid="{00000000-0005-0000-0000-000033880000}"/>
    <cellStyle name="Normal 2 5 6 5 5" xfId="35165" xr:uid="{00000000-0005-0000-0000-000034880000}"/>
    <cellStyle name="Normal 2 5 6 5 6" xfId="35166" xr:uid="{00000000-0005-0000-0000-000035880000}"/>
    <cellStyle name="Normal 2 5 6 5 7" xfId="35167" xr:uid="{00000000-0005-0000-0000-000036880000}"/>
    <cellStyle name="Normal 2 5 6 5 8" xfId="35168" xr:uid="{00000000-0005-0000-0000-000037880000}"/>
    <cellStyle name="Normal 2 5 6 6" xfId="35169" xr:uid="{00000000-0005-0000-0000-000038880000}"/>
    <cellStyle name="Normal 2 5 6 6 2" xfId="35170" xr:uid="{00000000-0005-0000-0000-000039880000}"/>
    <cellStyle name="Normal 2 5 6 6 2 2" xfId="35171" xr:uid="{00000000-0005-0000-0000-00003A880000}"/>
    <cellStyle name="Normal 2 5 6 6 2 3" xfId="35172" xr:uid="{00000000-0005-0000-0000-00003B880000}"/>
    <cellStyle name="Normal 2 5 6 6 2 4" xfId="35173" xr:uid="{00000000-0005-0000-0000-00003C880000}"/>
    <cellStyle name="Normal 2 5 6 6 2 5" xfId="35174" xr:uid="{00000000-0005-0000-0000-00003D880000}"/>
    <cellStyle name="Normal 2 5 6 6 3" xfId="35175" xr:uid="{00000000-0005-0000-0000-00003E880000}"/>
    <cellStyle name="Normal 2 5 6 6 4" xfId="35176" xr:uid="{00000000-0005-0000-0000-00003F880000}"/>
    <cellStyle name="Normal 2 5 6 6 5" xfId="35177" xr:uid="{00000000-0005-0000-0000-000040880000}"/>
    <cellStyle name="Normal 2 5 6 6 6" xfId="35178" xr:uid="{00000000-0005-0000-0000-000041880000}"/>
    <cellStyle name="Normal 2 5 6 6 7" xfId="35179" xr:uid="{00000000-0005-0000-0000-000042880000}"/>
    <cellStyle name="Normal 2 5 6 6 8" xfId="35180" xr:uid="{00000000-0005-0000-0000-000043880000}"/>
    <cellStyle name="Normal 2 5 6 7" xfId="35181" xr:uid="{00000000-0005-0000-0000-000044880000}"/>
    <cellStyle name="Normal 2 5 6 7 2" xfId="35182" xr:uid="{00000000-0005-0000-0000-000045880000}"/>
    <cellStyle name="Normal 2 5 6 7 3" xfId="35183" xr:uid="{00000000-0005-0000-0000-000046880000}"/>
    <cellStyle name="Normal 2 5 6 7 4" xfId="35184" xr:uid="{00000000-0005-0000-0000-000047880000}"/>
    <cellStyle name="Normal 2 5 6 7 5" xfId="35185" xr:uid="{00000000-0005-0000-0000-000048880000}"/>
    <cellStyle name="Normal 2 5 6 8" xfId="35186" xr:uid="{00000000-0005-0000-0000-000049880000}"/>
    <cellStyle name="Normal 2 5 6 9" xfId="35187" xr:uid="{00000000-0005-0000-0000-00004A880000}"/>
    <cellStyle name="Normal 2 5 7" xfId="35188" xr:uid="{00000000-0005-0000-0000-00004B880000}"/>
    <cellStyle name="Normal 2 5 7 10" xfId="35189" xr:uid="{00000000-0005-0000-0000-00004C880000}"/>
    <cellStyle name="Normal 2 5 7 11" xfId="35190" xr:uid="{00000000-0005-0000-0000-00004D880000}"/>
    <cellStyle name="Normal 2 5 7 12" xfId="35191" xr:uid="{00000000-0005-0000-0000-00004E880000}"/>
    <cellStyle name="Normal 2 5 7 13" xfId="35192" xr:uid="{00000000-0005-0000-0000-00004F880000}"/>
    <cellStyle name="Normal 2 5 7 2" xfId="35193" xr:uid="{00000000-0005-0000-0000-000050880000}"/>
    <cellStyle name="Normal 2 5 7 2 10" xfId="35194" xr:uid="{00000000-0005-0000-0000-000051880000}"/>
    <cellStyle name="Normal 2 5 7 2 11" xfId="35195" xr:uid="{00000000-0005-0000-0000-000052880000}"/>
    <cellStyle name="Normal 2 5 7 2 2" xfId="35196" xr:uid="{00000000-0005-0000-0000-000053880000}"/>
    <cellStyle name="Normal 2 5 7 2 2 10" xfId="35197" xr:uid="{00000000-0005-0000-0000-000054880000}"/>
    <cellStyle name="Normal 2 5 7 2 2 2" xfId="35198" xr:uid="{00000000-0005-0000-0000-000055880000}"/>
    <cellStyle name="Normal 2 5 7 2 2 2 2" xfId="35199" xr:uid="{00000000-0005-0000-0000-000056880000}"/>
    <cellStyle name="Normal 2 5 7 2 2 2 2 2" xfId="35200" xr:uid="{00000000-0005-0000-0000-000057880000}"/>
    <cellStyle name="Normal 2 5 7 2 2 2 2 3" xfId="35201" xr:uid="{00000000-0005-0000-0000-000058880000}"/>
    <cellStyle name="Normal 2 5 7 2 2 2 2 4" xfId="35202" xr:uid="{00000000-0005-0000-0000-000059880000}"/>
    <cellStyle name="Normal 2 5 7 2 2 2 2 5" xfId="35203" xr:uid="{00000000-0005-0000-0000-00005A880000}"/>
    <cellStyle name="Normal 2 5 7 2 2 2 3" xfId="35204" xr:uid="{00000000-0005-0000-0000-00005B880000}"/>
    <cellStyle name="Normal 2 5 7 2 2 2 4" xfId="35205" xr:uid="{00000000-0005-0000-0000-00005C880000}"/>
    <cellStyle name="Normal 2 5 7 2 2 2 5" xfId="35206" xr:uid="{00000000-0005-0000-0000-00005D880000}"/>
    <cellStyle name="Normal 2 5 7 2 2 2 6" xfId="35207" xr:uid="{00000000-0005-0000-0000-00005E880000}"/>
    <cellStyle name="Normal 2 5 7 2 2 2 7" xfId="35208" xr:uid="{00000000-0005-0000-0000-00005F880000}"/>
    <cellStyle name="Normal 2 5 7 2 2 2 8" xfId="35209" xr:uid="{00000000-0005-0000-0000-000060880000}"/>
    <cellStyle name="Normal 2 5 7 2 2 3" xfId="35210" xr:uid="{00000000-0005-0000-0000-000061880000}"/>
    <cellStyle name="Normal 2 5 7 2 2 3 2" xfId="35211" xr:uid="{00000000-0005-0000-0000-000062880000}"/>
    <cellStyle name="Normal 2 5 7 2 2 3 2 2" xfId="35212" xr:uid="{00000000-0005-0000-0000-000063880000}"/>
    <cellStyle name="Normal 2 5 7 2 2 3 2 3" xfId="35213" xr:uid="{00000000-0005-0000-0000-000064880000}"/>
    <cellStyle name="Normal 2 5 7 2 2 3 2 4" xfId="35214" xr:uid="{00000000-0005-0000-0000-000065880000}"/>
    <cellStyle name="Normal 2 5 7 2 2 3 2 5" xfId="35215" xr:uid="{00000000-0005-0000-0000-000066880000}"/>
    <cellStyle name="Normal 2 5 7 2 2 3 3" xfId="35216" xr:uid="{00000000-0005-0000-0000-000067880000}"/>
    <cellStyle name="Normal 2 5 7 2 2 3 4" xfId="35217" xr:uid="{00000000-0005-0000-0000-000068880000}"/>
    <cellStyle name="Normal 2 5 7 2 2 3 5" xfId="35218" xr:uid="{00000000-0005-0000-0000-000069880000}"/>
    <cellStyle name="Normal 2 5 7 2 2 3 6" xfId="35219" xr:uid="{00000000-0005-0000-0000-00006A880000}"/>
    <cellStyle name="Normal 2 5 7 2 2 3 7" xfId="35220" xr:uid="{00000000-0005-0000-0000-00006B880000}"/>
    <cellStyle name="Normal 2 5 7 2 2 3 8" xfId="35221" xr:uid="{00000000-0005-0000-0000-00006C880000}"/>
    <cellStyle name="Normal 2 5 7 2 2 4" xfId="35222" xr:uid="{00000000-0005-0000-0000-00006D880000}"/>
    <cellStyle name="Normal 2 5 7 2 2 4 2" xfId="35223" xr:uid="{00000000-0005-0000-0000-00006E880000}"/>
    <cellStyle name="Normal 2 5 7 2 2 4 3" xfId="35224" xr:uid="{00000000-0005-0000-0000-00006F880000}"/>
    <cellStyle name="Normal 2 5 7 2 2 4 4" xfId="35225" xr:uid="{00000000-0005-0000-0000-000070880000}"/>
    <cellStyle name="Normal 2 5 7 2 2 4 5" xfId="35226" xr:uid="{00000000-0005-0000-0000-000071880000}"/>
    <cellStyle name="Normal 2 5 7 2 2 5" xfId="35227" xr:uid="{00000000-0005-0000-0000-000072880000}"/>
    <cellStyle name="Normal 2 5 7 2 2 6" xfId="35228" xr:uid="{00000000-0005-0000-0000-000073880000}"/>
    <cellStyle name="Normal 2 5 7 2 2 7" xfId="35229" xr:uid="{00000000-0005-0000-0000-000074880000}"/>
    <cellStyle name="Normal 2 5 7 2 2 8" xfId="35230" xr:uid="{00000000-0005-0000-0000-000075880000}"/>
    <cellStyle name="Normal 2 5 7 2 2 9" xfId="35231" xr:uid="{00000000-0005-0000-0000-000076880000}"/>
    <cellStyle name="Normal 2 5 7 2 3" xfId="35232" xr:uid="{00000000-0005-0000-0000-000077880000}"/>
    <cellStyle name="Normal 2 5 7 2 3 2" xfId="35233" xr:uid="{00000000-0005-0000-0000-000078880000}"/>
    <cellStyle name="Normal 2 5 7 2 3 2 2" xfId="35234" xr:uid="{00000000-0005-0000-0000-000079880000}"/>
    <cellStyle name="Normal 2 5 7 2 3 2 3" xfId="35235" xr:uid="{00000000-0005-0000-0000-00007A880000}"/>
    <cellStyle name="Normal 2 5 7 2 3 2 4" xfId="35236" xr:uid="{00000000-0005-0000-0000-00007B880000}"/>
    <cellStyle name="Normal 2 5 7 2 3 2 5" xfId="35237" xr:uid="{00000000-0005-0000-0000-00007C880000}"/>
    <cellStyle name="Normal 2 5 7 2 3 3" xfId="35238" xr:uid="{00000000-0005-0000-0000-00007D880000}"/>
    <cellStyle name="Normal 2 5 7 2 3 4" xfId="35239" xr:uid="{00000000-0005-0000-0000-00007E880000}"/>
    <cellStyle name="Normal 2 5 7 2 3 5" xfId="35240" xr:uid="{00000000-0005-0000-0000-00007F880000}"/>
    <cellStyle name="Normal 2 5 7 2 3 6" xfId="35241" xr:uid="{00000000-0005-0000-0000-000080880000}"/>
    <cellStyle name="Normal 2 5 7 2 3 7" xfId="35242" xr:uid="{00000000-0005-0000-0000-000081880000}"/>
    <cellStyle name="Normal 2 5 7 2 3 8" xfId="35243" xr:uid="{00000000-0005-0000-0000-000082880000}"/>
    <cellStyle name="Normal 2 5 7 2 4" xfId="35244" xr:uid="{00000000-0005-0000-0000-000083880000}"/>
    <cellStyle name="Normal 2 5 7 2 4 2" xfId="35245" xr:uid="{00000000-0005-0000-0000-000084880000}"/>
    <cellStyle name="Normal 2 5 7 2 4 2 2" xfId="35246" xr:uid="{00000000-0005-0000-0000-000085880000}"/>
    <cellStyle name="Normal 2 5 7 2 4 2 3" xfId="35247" xr:uid="{00000000-0005-0000-0000-000086880000}"/>
    <cellStyle name="Normal 2 5 7 2 4 2 4" xfId="35248" xr:uid="{00000000-0005-0000-0000-000087880000}"/>
    <cellStyle name="Normal 2 5 7 2 4 2 5" xfId="35249" xr:uid="{00000000-0005-0000-0000-000088880000}"/>
    <cellStyle name="Normal 2 5 7 2 4 3" xfId="35250" xr:uid="{00000000-0005-0000-0000-000089880000}"/>
    <cellStyle name="Normal 2 5 7 2 4 4" xfId="35251" xr:uid="{00000000-0005-0000-0000-00008A880000}"/>
    <cellStyle name="Normal 2 5 7 2 4 5" xfId="35252" xr:uid="{00000000-0005-0000-0000-00008B880000}"/>
    <cellStyle name="Normal 2 5 7 2 4 6" xfId="35253" xr:uid="{00000000-0005-0000-0000-00008C880000}"/>
    <cellStyle name="Normal 2 5 7 2 4 7" xfId="35254" xr:uid="{00000000-0005-0000-0000-00008D880000}"/>
    <cellStyle name="Normal 2 5 7 2 4 8" xfId="35255" xr:uid="{00000000-0005-0000-0000-00008E880000}"/>
    <cellStyle name="Normal 2 5 7 2 5" xfId="35256" xr:uid="{00000000-0005-0000-0000-00008F880000}"/>
    <cellStyle name="Normal 2 5 7 2 5 2" xfId="35257" xr:uid="{00000000-0005-0000-0000-000090880000}"/>
    <cellStyle name="Normal 2 5 7 2 5 3" xfId="35258" xr:uid="{00000000-0005-0000-0000-000091880000}"/>
    <cellStyle name="Normal 2 5 7 2 5 4" xfId="35259" xr:uid="{00000000-0005-0000-0000-000092880000}"/>
    <cellStyle name="Normal 2 5 7 2 5 5" xfId="35260" xr:uid="{00000000-0005-0000-0000-000093880000}"/>
    <cellStyle name="Normal 2 5 7 2 6" xfId="35261" xr:uid="{00000000-0005-0000-0000-000094880000}"/>
    <cellStyle name="Normal 2 5 7 2 7" xfId="35262" xr:uid="{00000000-0005-0000-0000-000095880000}"/>
    <cellStyle name="Normal 2 5 7 2 8" xfId="35263" xr:uid="{00000000-0005-0000-0000-000096880000}"/>
    <cellStyle name="Normal 2 5 7 2 9" xfId="35264" xr:uid="{00000000-0005-0000-0000-000097880000}"/>
    <cellStyle name="Normal 2 5 7 3" xfId="35265" xr:uid="{00000000-0005-0000-0000-000098880000}"/>
    <cellStyle name="Normal 2 5 7 3 10" xfId="35266" xr:uid="{00000000-0005-0000-0000-000099880000}"/>
    <cellStyle name="Normal 2 5 7 3 11" xfId="35267" xr:uid="{00000000-0005-0000-0000-00009A880000}"/>
    <cellStyle name="Normal 2 5 7 3 2" xfId="35268" xr:uid="{00000000-0005-0000-0000-00009B880000}"/>
    <cellStyle name="Normal 2 5 7 3 2 10" xfId="35269" xr:uid="{00000000-0005-0000-0000-00009C880000}"/>
    <cellStyle name="Normal 2 5 7 3 2 2" xfId="35270" xr:uid="{00000000-0005-0000-0000-00009D880000}"/>
    <cellStyle name="Normal 2 5 7 3 2 2 2" xfId="35271" xr:uid="{00000000-0005-0000-0000-00009E880000}"/>
    <cellStyle name="Normal 2 5 7 3 2 2 2 2" xfId="35272" xr:uid="{00000000-0005-0000-0000-00009F880000}"/>
    <cellStyle name="Normal 2 5 7 3 2 2 2 3" xfId="35273" xr:uid="{00000000-0005-0000-0000-0000A0880000}"/>
    <cellStyle name="Normal 2 5 7 3 2 2 2 4" xfId="35274" xr:uid="{00000000-0005-0000-0000-0000A1880000}"/>
    <cellStyle name="Normal 2 5 7 3 2 2 2 5" xfId="35275" xr:uid="{00000000-0005-0000-0000-0000A2880000}"/>
    <cellStyle name="Normal 2 5 7 3 2 2 3" xfId="35276" xr:uid="{00000000-0005-0000-0000-0000A3880000}"/>
    <cellStyle name="Normal 2 5 7 3 2 2 4" xfId="35277" xr:uid="{00000000-0005-0000-0000-0000A4880000}"/>
    <cellStyle name="Normal 2 5 7 3 2 2 5" xfId="35278" xr:uid="{00000000-0005-0000-0000-0000A5880000}"/>
    <cellStyle name="Normal 2 5 7 3 2 2 6" xfId="35279" xr:uid="{00000000-0005-0000-0000-0000A6880000}"/>
    <cellStyle name="Normal 2 5 7 3 2 2 7" xfId="35280" xr:uid="{00000000-0005-0000-0000-0000A7880000}"/>
    <cellStyle name="Normal 2 5 7 3 2 2 8" xfId="35281" xr:uid="{00000000-0005-0000-0000-0000A8880000}"/>
    <cellStyle name="Normal 2 5 7 3 2 3" xfId="35282" xr:uid="{00000000-0005-0000-0000-0000A9880000}"/>
    <cellStyle name="Normal 2 5 7 3 2 3 2" xfId="35283" xr:uid="{00000000-0005-0000-0000-0000AA880000}"/>
    <cellStyle name="Normal 2 5 7 3 2 3 2 2" xfId="35284" xr:uid="{00000000-0005-0000-0000-0000AB880000}"/>
    <cellStyle name="Normal 2 5 7 3 2 3 2 3" xfId="35285" xr:uid="{00000000-0005-0000-0000-0000AC880000}"/>
    <cellStyle name="Normal 2 5 7 3 2 3 2 4" xfId="35286" xr:uid="{00000000-0005-0000-0000-0000AD880000}"/>
    <cellStyle name="Normal 2 5 7 3 2 3 2 5" xfId="35287" xr:uid="{00000000-0005-0000-0000-0000AE880000}"/>
    <cellStyle name="Normal 2 5 7 3 2 3 3" xfId="35288" xr:uid="{00000000-0005-0000-0000-0000AF880000}"/>
    <cellStyle name="Normal 2 5 7 3 2 3 4" xfId="35289" xr:uid="{00000000-0005-0000-0000-0000B0880000}"/>
    <cellStyle name="Normal 2 5 7 3 2 3 5" xfId="35290" xr:uid="{00000000-0005-0000-0000-0000B1880000}"/>
    <cellStyle name="Normal 2 5 7 3 2 3 6" xfId="35291" xr:uid="{00000000-0005-0000-0000-0000B2880000}"/>
    <cellStyle name="Normal 2 5 7 3 2 3 7" xfId="35292" xr:uid="{00000000-0005-0000-0000-0000B3880000}"/>
    <cellStyle name="Normal 2 5 7 3 2 3 8" xfId="35293" xr:uid="{00000000-0005-0000-0000-0000B4880000}"/>
    <cellStyle name="Normal 2 5 7 3 2 4" xfId="35294" xr:uid="{00000000-0005-0000-0000-0000B5880000}"/>
    <cellStyle name="Normal 2 5 7 3 2 4 2" xfId="35295" xr:uid="{00000000-0005-0000-0000-0000B6880000}"/>
    <cellStyle name="Normal 2 5 7 3 2 4 3" xfId="35296" xr:uid="{00000000-0005-0000-0000-0000B7880000}"/>
    <cellStyle name="Normal 2 5 7 3 2 4 4" xfId="35297" xr:uid="{00000000-0005-0000-0000-0000B8880000}"/>
    <cellStyle name="Normal 2 5 7 3 2 4 5" xfId="35298" xr:uid="{00000000-0005-0000-0000-0000B9880000}"/>
    <cellStyle name="Normal 2 5 7 3 2 5" xfId="35299" xr:uid="{00000000-0005-0000-0000-0000BA880000}"/>
    <cellStyle name="Normal 2 5 7 3 2 6" xfId="35300" xr:uid="{00000000-0005-0000-0000-0000BB880000}"/>
    <cellStyle name="Normal 2 5 7 3 2 7" xfId="35301" xr:uid="{00000000-0005-0000-0000-0000BC880000}"/>
    <cellStyle name="Normal 2 5 7 3 2 8" xfId="35302" xr:uid="{00000000-0005-0000-0000-0000BD880000}"/>
    <cellStyle name="Normal 2 5 7 3 2 9" xfId="35303" xr:uid="{00000000-0005-0000-0000-0000BE880000}"/>
    <cellStyle name="Normal 2 5 7 3 3" xfId="35304" xr:uid="{00000000-0005-0000-0000-0000BF880000}"/>
    <cellStyle name="Normal 2 5 7 3 3 2" xfId="35305" xr:uid="{00000000-0005-0000-0000-0000C0880000}"/>
    <cellStyle name="Normal 2 5 7 3 3 2 2" xfId="35306" xr:uid="{00000000-0005-0000-0000-0000C1880000}"/>
    <cellStyle name="Normal 2 5 7 3 3 2 3" xfId="35307" xr:uid="{00000000-0005-0000-0000-0000C2880000}"/>
    <cellStyle name="Normal 2 5 7 3 3 2 4" xfId="35308" xr:uid="{00000000-0005-0000-0000-0000C3880000}"/>
    <cellStyle name="Normal 2 5 7 3 3 2 5" xfId="35309" xr:uid="{00000000-0005-0000-0000-0000C4880000}"/>
    <cellStyle name="Normal 2 5 7 3 3 3" xfId="35310" xr:uid="{00000000-0005-0000-0000-0000C5880000}"/>
    <cellStyle name="Normal 2 5 7 3 3 4" xfId="35311" xr:uid="{00000000-0005-0000-0000-0000C6880000}"/>
    <cellStyle name="Normal 2 5 7 3 3 5" xfId="35312" xr:uid="{00000000-0005-0000-0000-0000C7880000}"/>
    <cellStyle name="Normal 2 5 7 3 3 6" xfId="35313" xr:uid="{00000000-0005-0000-0000-0000C8880000}"/>
    <cellStyle name="Normal 2 5 7 3 3 7" xfId="35314" xr:uid="{00000000-0005-0000-0000-0000C9880000}"/>
    <cellStyle name="Normal 2 5 7 3 3 8" xfId="35315" xr:uid="{00000000-0005-0000-0000-0000CA880000}"/>
    <cellStyle name="Normal 2 5 7 3 4" xfId="35316" xr:uid="{00000000-0005-0000-0000-0000CB880000}"/>
    <cellStyle name="Normal 2 5 7 3 4 2" xfId="35317" xr:uid="{00000000-0005-0000-0000-0000CC880000}"/>
    <cellStyle name="Normal 2 5 7 3 4 2 2" xfId="35318" xr:uid="{00000000-0005-0000-0000-0000CD880000}"/>
    <cellStyle name="Normal 2 5 7 3 4 2 3" xfId="35319" xr:uid="{00000000-0005-0000-0000-0000CE880000}"/>
    <cellStyle name="Normal 2 5 7 3 4 2 4" xfId="35320" xr:uid="{00000000-0005-0000-0000-0000CF880000}"/>
    <cellStyle name="Normal 2 5 7 3 4 2 5" xfId="35321" xr:uid="{00000000-0005-0000-0000-0000D0880000}"/>
    <cellStyle name="Normal 2 5 7 3 4 3" xfId="35322" xr:uid="{00000000-0005-0000-0000-0000D1880000}"/>
    <cellStyle name="Normal 2 5 7 3 4 4" xfId="35323" xr:uid="{00000000-0005-0000-0000-0000D2880000}"/>
    <cellStyle name="Normal 2 5 7 3 4 5" xfId="35324" xr:uid="{00000000-0005-0000-0000-0000D3880000}"/>
    <cellStyle name="Normal 2 5 7 3 4 6" xfId="35325" xr:uid="{00000000-0005-0000-0000-0000D4880000}"/>
    <cellStyle name="Normal 2 5 7 3 4 7" xfId="35326" xr:uid="{00000000-0005-0000-0000-0000D5880000}"/>
    <cellStyle name="Normal 2 5 7 3 4 8" xfId="35327" xr:uid="{00000000-0005-0000-0000-0000D6880000}"/>
    <cellStyle name="Normal 2 5 7 3 5" xfId="35328" xr:uid="{00000000-0005-0000-0000-0000D7880000}"/>
    <cellStyle name="Normal 2 5 7 3 5 2" xfId="35329" xr:uid="{00000000-0005-0000-0000-0000D8880000}"/>
    <cellStyle name="Normal 2 5 7 3 5 3" xfId="35330" xr:uid="{00000000-0005-0000-0000-0000D9880000}"/>
    <cellStyle name="Normal 2 5 7 3 5 4" xfId="35331" xr:uid="{00000000-0005-0000-0000-0000DA880000}"/>
    <cellStyle name="Normal 2 5 7 3 5 5" xfId="35332" xr:uid="{00000000-0005-0000-0000-0000DB880000}"/>
    <cellStyle name="Normal 2 5 7 3 6" xfId="35333" xr:uid="{00000000-0005-0000-0000-0000DC880000}"/>
    <cellStyle name="Normal 2 5 7 3 7" xfId="35334" xr:uid="{00000000-0005-0000-0000-0000DD880000}"/>
    <cellStyle name="Normal 2 5 7 3 8" xfId="35335" xr:uid="{00000000-0005-0000-0000-0000DE880000}"/>
    <cellStyle name="Normal 2 5 7 3 9" xfId="35336" xr:uid="{00000000-0005-0000-0000-0000DF880000}"/>
    <cellStyle name="Normal 2 5 7 4" xfId="35337" xr:uid="{00000000-0005-0000-0000-0000E0880000}"/>
    <cellStyle name="Normal 2 5 7 4 10" xfId="35338" xr:uid="{00000000-0005-0000-0000-0000E1880000}"/>
    <cellStyle name="Normal 2 5 7 4 2" xfId="35339" xr:uid="{00000000-0005-0000-0000-0000E2880000}"/>
    <cellStyle name="Normal 2 5 7 4 2 2" xfId="35340" xr:uid="{00000000-0005-0000-0000-0000E3880000}"/>
    <cellStyle name="Normal 2 5 7 4 2 2 2" xfId="35341" xr:uid="{00000000-0005-0000-0000-0000E4880000}"/>
    <cellStyle name="Normal 2 5 7 4 2 2 3" xfId="35342" xr:uid="{00000000-0005-0000-0000-0000E5880000}"/>
    <cellStyle name="Normal 2 5 7 4 2 2 4" xfId="35343" xr:uid="{00000000-0005-0000-0000-0000E6880000}"/>
    <cellStyle name="Normal 2 5 7 4 2 2 5" xfId="35344" xr:uid="{00000000-0005-0000-0000-0000E7880000}"/>
    <cellStyle name="Normal 2 5 7 4 2 3" xfId="35345" xr:uid="{00000000-0005-0000-0000-0000E8880000}"/>
    <cellStyle name="Normal 2 5 7 4 2 4" xfId="35346" xr:uid="{00000000-0005-0000-0000-0000E9880000}"/>
    <cellStyle name="Normal 2 5 7 4 2 5" xfId="35347" xr:uid="{00000000-0005-0000-0000-0000EA880000}"/>
    <cellStyle name="Normal 2 5 7 4 2 6" xfId="35348" xr:uid="{00000000-0005-0000-0000-0000EB880000}"/>
    <cellStyle name="Normal 2 5 7 4 2 7" xfId="35349" xr:uid="{00000000-0005-0000-0000-0000EC880000}"/>
    <cellStyle name="Normal 2 5 7 4 2 8" xfId="35350" xr:uid="{00000000-0005-0000-0000-0000ED880000}"/>
    <cellStyle name="Normal 2 5 7 4 3" xfId="35351" xr:uid="{00000000-0005-0000-0000-0000EE880000}"/>
    <cellStyle name="Normal 2 5 7 4 3 2" xfId="35352" xr:uid="{00000000-0005-0000-0000-0000EF880000}"/>
    <cellStyle name="Normal 2 5 7 4 3 2 2" xfId="35353" xr:uid="{00000000-0005-0000-0000-0000F0880000}"/>
    <cellStyle name="Normal 2 5 7 4 3 2 3" xfId="35354" xr:uid="{00000000-0005-0000-0000-0000F1880000}"/>
    <cellStyle name="Normal 2 5 7 4 3 2 4" xfId="35355" xr:uid="{00000000-0005-0000-0000-0000F2880000}"/>
    <cellStyle name="Normal 2 5 7 4 3 2 5" xfId="35356" xr:uid="{00000000-0005-0000-0000-0000F3880000}"/>
    <cellStyle name="Normal 2 5 7 4 3 3" xfId="35357" xr:uid="{00000000-0005-0000-0000-0000F4880000}"/>
    <cellStyle name="Normal 2 5 7 4 3 4" xfId="35358" xr:uid="{00000000-0005-0000-0000-0000F5880000}"/>
    <cellStyle name="Normal 2 5 7 4 3 5" xfId="35359" xr:uid="{00000000-0005-0000-0000-0000F6880000}"/>
    <cellStyle name="Normal 2 5 7 4 3 6" xfId="35360" xr:uid="{00000000-0005-0000-0000-0000F7880000}"/>
    <cellStyle name="Normal 2 5 7 4 3 7" xfId="35361" xr:uid="{00000000-0005-0000-0000-0000F8880000}"/>
    <cellStyle name="Normal 2 5 7 4 3 8" xfId="35362" xr:uid="{00000000-0005-0000-0000-0000F9880000}"/>
    <cellStyle name="Normal 2 5 7 4 4" xfId="35363" xr:uid="{00000000-0005-0000-0000-0000FA880000}"/>
    <cellStyle name="Normal 2 5 7 4 4 2" xfId="35364" xr:uid="{00000000-0005-0000-0000-0000FB880000}"/>
    <cellStyle name="Normal 2 5 7 4 4 3" xfId="35365" xr:uid="{00000000-0005-0000-0000-0000FC880000}"/>
    <cellStyle name="Normal 2 5 7 4 4 4" xfId="35366" xr:uid="{00000000-0005-0000-0000-0000FD880000}"/>
    <cellStyle name="Normal 2 5 7 4 4 5" xfId="35367" xr:uid="{00000000-0005-0000-0000-0000FE880000}"/>
    <cellStyle name="Normal 2 5 7 4 5" xfId="35368" xr:uid="{00000000-0005-0000-0000-0000FF880000}"/>
    <cellStyle name="Normal 2 5 7 4 6" xfId="35369" xr:uid="{00000000-0005-0000-0000-000000890000}"/>
    <cellStyle name="Normal 2 5 7 4 7" xfId="35370" xr:uid="{00000000-0005-0000-0000-000001890000}"/>
    <cellStyle name="Normal 2 5 7 4 8" xfId="35371" xr:uid="{00000000-0005-0000-0000-000002890000}"/>
    <cellStyle name="Normal 2 5 7 4 9" xfId="35372" xr:uid="{00000000-0005-0000-0000-000003890000}"/>
    <cellStyle name="Normal 2 5 7 5" xfId="35373" xr:uid="{00000000-0005-0000-0000-000004890000}"/>
    <cellStyle name="Normal 2 5 7 5 2" xfId="35374" xr:uid="{00000000-0005-0000-0000-000005890000}"/>
    <cellStyle name="Normal 2 5 7 5 2 2" xfId="35375" xr:uid="{00000000-0005-0000-0000-000006890000}"/>
    <cellStyle name="Normal 2 5 7 5 2 3" xfId="35376" xr:uid="{00000000-0005-0000-0000-000007890000}"/>
    <cellStyle name="Normal 2 5 7 5 2 4" xfId="35377" xr:uid="{00000000-0005-0000-0000-000008890000}"/>
    <cellStyle name="Normal 2 5 7 5 2 5" xfId="35378" xr:uid="{00000000-0005-0000-0000-000009890000}"/>
    <cellStyle name="Normal 2 5 7 5 3" xfId="35379" xr:uid="{00000000-0005-0000-0000-00000A890000}"/>
    <cellStyle name="Normal 2 5 7 5 4" xfId="35380" xr:uid="{00000000-0005-0000-0000-00000B890000}"/>
    <cellStyle name="Normal 2 5 7 5 5" xfId="35381" xr:uid="{00000000-0005-0000-0000-00000C890000}"/>
    <cellStyle name="Normal 2 5 7 5 6" xfId="35382" xr:uid="{00000000-0005-0000-0000-00000D890000}"/>
    <cellStyle name="Normal 2 5 7 5 7" xfId="35383" xr:uid="{00000000-0005-0000-0000-00000E890000}"/>
    <cellStyle name="Normal 2 5 7 5 8" xfId="35384" xr:uid="{00000000-0005-0000-0000-00000F890000}"/>
    <cellStyle name="Normal 2 5 7 6" xfId="35385" xr:uid="{00000000-0005-0000-0000-000010890000}"/>
    <cellStyle name="Normal 2 5 7 6 2" xfId="35386" xr:uid="{00000000-0005-0000-0000-000011890000}"/>
    <cellStyle name="Normal 2 5 7 6 2 2" xfId="35387" xr:uid="{00000000-0005-0000-0000-000012890000}"/>
    <cellStyle name="Normal 2 5 7 6 2 3" xfId="35388" xr:uid="{00000000-0005-0000-0000-000013890000}"/>
    <cellStyle name="Normal 2 5 7 6 2 4" xfId="35389" xr:uid="{00000000-0005-0000-0000-000014890000}"/>
    <cellStyle name="Normal 2 5 7 6 2 5" xfId="35390" xr:uid="{00000000-0005-0000-0000-000015890000}"/>
    <cellStyle name="Normal 2 5 7 6 3" xfId="35391" xr:uid="{00000000-0005-0000-0000-000016890000}"/>
    <cellStyle name="Normal 2 5 7 6 4" xfId="35392" xr:uid="{00000000-0005-0000-0000-000017890000}"/>
    <cellStyle name="Normal 2 5 7 6 5" xfId="35393" xr:uid="{00000000-0005-0000-0000-000018890000}"/>
    <cellStyle name="Normal 2 5 7 6 6" xfId="35394" xr:uid="{00000000-0005-0000-0000-000019890000}"/>
    <cellStyle name="Normal 2 5 7 6 7" xfId="35395" xr:uid="{00000000-0005-0000-0000-00001A890000}"/>
    <cellStyle name="Normal 2 5 7 6 8" xfId="35396" xr:uid="{00000000-0005-0000-0000-00001B890000}"/>
    <cellStyle name="Normal 2 5 7 7" xfId="35397" xr:uid="{00000000-0005-0000-0000-00001C890000}"/>
    <cellStyle name="Normal 2 5 7 7 2" xfId="35398" xr:uid="{00000000-0005-0000-0000-00001D890000}"/>
    <cellStyle name="Normal 2 5 7 7 3" xfId="35399" xr:uid="{00000000-0005-0000-0000-00001E890000}"/>
    <cellStyle name="Normal 2 5 7 7 4" xfId="35400" xr:uid="{00000000-0005-0000-0000-00001F890000}"/>
    <cellStyle name="Normal 2 5 7 7 5" xfId="35401" xr:uid="{00000000-0005-0000-0000-000020890000}"/>
    <cellStyle name="Normal 2 5 7 8" xfId="35402" xr:uid="{00000000-0005-0000-0000-000021890000}"/>
    <cellStyle name="Normal 2 5 7 9" xfId="35403" xr:uid="{00000000-0005-0000-0000-000022890000}"/>
    <cellStyle name="Normal 2 5 8" xfId="35404" xr:uid="{00000000-0005-0000-0000-000023890000}"/>
    <cellStyle name="Normal 2 5 8 10" xfId="35405" xr:uid="{00000000-0005-0000-0000-000024890000}"/>
    <cellStyle name="Normal 2 5 8 11" xfId="35406" xr:uid="{00000000-0005-0000-0000-000025890000}"/>
    <cellStyle name="Normal 2 5 8 12" xfId="35407" xr:uid="{00000000-0005-0000-0000-000026890000}"/>
    <cellStyle name="Normal 2 5 8 13" xfId="35408" xr:uid="{00000000-0005-0000-0000-000027890000}"/>
    <cellStyle name="Normal 2 5 8 2" xfId="35409" xr:uid="{00000000-0005-0000-0000-000028890000}"/>
    <cellStyle name="Normal 2 5 8 2 10" xfId="35410" xr:uid="{00000000-0005-0000-0000-000029890000}"/>
    <cellStyle name="Normal 2 5 8 2 11" xfId="35411" xr:uid="{00000000-0005-0000-0000-00002A890000}"/>
    <cellStyle name="Normal 2 5 8 2 2" xfId="35412" xr:uid="{00000000-0005-0000-0000-00002B890000}"/>
    <cellStyle name="Normal 2 5 8 2 2 10" xfId="35413" xr:uid="{00000000-0005-0000-0000-00002C890000}"/>
    <cellStyle name="Normal 2 5 8 2 2 2" xfId="35414" xr:uid="{00000000-0005-0000-0000-00002D890000}"/>
    <cellStyle name="Normal 2 5 8 2 2 2 2" xfId="35415" xr:uid="{00000000-0005-0000-0000-00002E890000}"/>
    <cellStyle name="Normal 2 5 8 2 2 2 2 2" xfId="35416" xr:uid="{00000000-0005-0000-0000-00002F890000}"/>
    <cellStyle name="Normal 2 5 8 2 2 2 2 3" xfId="35417" xr:uid="{00000000-0005-0000-0000-000030890000}"/>
    <cellStyle name="Normal 2 5 8 2 2 2 2 4" xfId="35418" xr:uid="{00000000-0005-0000-0000-000031890000}"/>
    <cellStyle name="Normal 2 5 8 2 2 2 2 5" xfId="35419" xr:uid="{00000000-0005-0000-0000-000032890000}"/>
    <cellStyle name="Normal 2 5 8 2 2 2 3" xfId="35420" xr:uid="{00000000-0005-0000-0000-000033890000}"/>
    <cellStyle name="Normal 2 5 8 2 2 2 4" xfId="35421" xr:uid="{00000000-0005-0000-0000-000034890000}"/>
    <cellStyle name="Normal 2 5 8 2 2 2 5" xfId="35422" xr:uid="{00000000-0005-0000-0000-000035890000}"/>
    <cellStyle name="Normal 2 5 8 2 2 2 6" xfId="35423" xr:uid="{00000000-0005-0000-0000-000036890000}"/>
    <cellStyle name="Normal 2 5 8 2 2 2 7" xfId="35424" xr:uid="{00000000-0005-0000-0000-000037890000}"/>
    <cellStyle name="Normal 2 5 8 2 2 2 8" xfId="35425" xr:uid="{00000000-0005-0000-0000-000038890000}"/>
    <cellStyle name="Normal 2 5 8 2 2 3" xfId="35426" xr:uid="{00000000-0005-0000-0000-000039890000}"/>
    <cellStyle name="Normal 2 5 8 2 2 3 2" xfId="35427" xr:uid="{00000000-0005-0000-0000-00003A890000}"/>
    <cellStyle name="Normal 2 5 8 2 2 3 2 2" xfId="35428" xr:uid="{00000000-0005-0000-0000-00003B890000}"/>
    <cellStyle name="Normal 2 5 8 2 2 3 2 3" xfId="35429" xr:uid="{00000000-0005-0000-0000-00003C890000}"/>
    <cellStyle name="Normal 2 5 8 2 2 3 2 4" xfId="35430" xr:uid="{00000000-0005-0000-0000-00003D890000}"/>
    <cellStyle name="Normal 2 5 8 2 2 3 2 5" xfId="35431" xr:uid="{00000000-0005-0000-0000-00003E890000}"/>
    <cellStyle name="Normal 2 5 8 2 2 3 3" xfId="35432" xr:uid="{00000000-0005-0000-0000-00003F890000}"/>
    <cellStyle name="Normal 2 5 8 2 2 3 4" xfId="35433" xr:uid="{00000000-0005-0000-0000-000040890000}"/>
    <cellStyle name="Normal 2 5 8 2 2 3 5" xfId="35434" xr:uid="{00000000-0005-0000-0000-000041890000}"/>
    <cellStyle name="Normal 2 5 8 2 2 3 6" xfId="35435" xr:uid="{00000000-0005-0000-0000-000042890000}"/>
    <cellStyle name="Normal 2 5 8 2 2 3 7" xfId="35436" xr:uid="{00000000-0005-0000-0000-000043890000}"/>
    <cellStyle name="Normal 2 5 8 2 2 3 8" xfId="35437" xr:uid="{00000000-0005-0000-0000-000044890000}"/>
    <cellStyle name="Normal 2 5 8 2 2 4" xfId="35438" xr:uid="{00000000-0005-0000-0000-000045890000}"/>
    <cellStyle name="Normal 2 5 8 2 2 4 2" xfId="35439" xr:uid="{00000000-0005-0000-0000-000046890000}"/>
    <cellStyle name="Normal 2 5 8 2 2 4 3" xfId="35440" xr:uid="{00000000-0005-0000-0000-000047890000}"/>
    <cellStyle name="Normal 2 5 8 2 2 4 4" xfId="35441" xr:uid="{00000000-0005-0000-0000-000048890000}"/>
    <cellStyle name="Normal 2 5 8 2 2 4 5" xfId="35442" xr:uid="{00000000-0005-0000-0000-000049890000}"/>
    <cellStyle name="Normal 2 5 8 2 2 5" xfId="35443" xr:uid="{00000000-0005-0000-0000-00004A890000}"/>
    <cellStyle name="Normal 2 5 8 2 2 6" xfId="35444" xr:uid="{00000000-0005-0000-0000-00004B890000}"/>
    <cellStyle name="Normal 2 5 8 2 2 7" xfId="35445" xr:uid="{00000000-0005-0000-0000-00004C890000}"/>
    <cellStyle name="Normal 2 5 8 2 2 8" xfId="35446" xr:uid="{00000000-0005-0000-0000-00004D890000}"/>
    <cellStyle name="Normal 2 5 8 2 2 9" xfId="35447" xr:uid="{00000000-0005-0000-0000-00004E890000}"/>
    <cellStyle name="Normal 2 5 8 2 3" xfId="35448" xr:uid="{00000000-0005-0000-0000-00004F890000}"/>
    <cellStyle name="Normal 2 5 8 2 3 2" xfId="35449" xr:uid="{00000000-0005-0000-0000-000050890000}"/>
    <cellStyle name="Normal 2 5 8 2 3 2 2" xfId="35450" xr:uid="{00000000-0005-0000-0000-000051890000}"/>
    <cellStyle name="Normal 2 5 8 2 3 2 3" xfId="35451" xr:uid="{00000000-0005-0000-0000-000052890000}"/>
    <cellStyle name="Normal 2 5 8 2 3 2 4" xfId="35452" xr:uid="{00000000-0005-0000-0000-000053890000}"/>
    <cellStyle name="Normal 2 5 8 2 3 2 5" xfId="35453" xr:uid="{00000000-0005-0000-0000-000054890000}"/>
    <cellStyle name="Normal 2 5 8 2 3 3" xfId="35454" xr:uid="{00000000-0005-0000-0000-000055890000}"/>
    <cellStyle name="Normal 2 5 8 2 3 4" xfId="35455" xr:uid="{00000000-0005-0000-0000-000056890000}"/>
    <cellStyle name="Normal 2 5 8 2 3 5" xfId="35456" xr:uid="{00000000-0005-0000-0000-000057890000}"/>
    <cellStyle name="Normal 2 5 8 2 3 6" xfId="35457" xr:uid="{00000000-0005-0000-0000-000058890000}"/>
    <cellStyle name="Normal 2 5 8 2 3 7" xfId="35458" xr:uid="{00000000-0005-0000-0000-000059890000}"/>
    <cellStyle name="Normal 2 5 8 2 3 8" xfId="35459" xr:uid="{00000000-0005-0000-0000-00005A890000}"/>
    <cellStyle name="Normal 2 5 8 2 4" xfId="35460" xr:uid="{00000000-0005-0000-0000-00005B890000}"/>
    <cellStyle name="Normal 2 5 8 2 4 2" xfId="35461" xr:uid="{00000000-0005-0000-0000-00005C890000}"/>
    <cellStyle name="Normal 2 5 8 2 4 2 2" xfId="35462" xr:uid="{00000000-0005-0000-0000-00005D890000}"/>
    <cellStyle name="Normal 2 5 8 2 4 2 3" xfId="35463" xr:uid="{00000000-0005-0000-0000-00005E890000}"/>
    <cellStyle name="Normal 2 5 8 2 4 2 4" xfId="35464" xr:uid="{00000000-0005-0000-0000-00005F890000}"/>
    <cellStyle name="Normal 2 5 8 2 4 2 5" xfId="35465" xr:uid="{00000000-0005-0000-0000-000060890000}"/>
    <cellStyle name="Normal 2 5 8 2 4 3" xfId="35466" xr:uid="{00000000-0005-0000-0000-000061890000}"/>
    <cellStyle name="Normal 2 5 8 2 4 4" xfId="35467" xr:uid="{00000000-0005-0000-0000-000062890000}"/>
    <cellStyle name="Normal 2 5 8 2 4 5" xfId="35468" xr:uid="{00000000-0005-0000-0000-000063890000}"/>
    <cellStyle name="Normal 2 5 8 2 4 6" xfId="35469" xr:uid="{00000000-0005-0000-0000-000064890000}"/>
    <cellStyle name="Normal 2 5 8 2 4 7" xfId="35470" xr:uid="{00000000-0005-0000-0000-000065890000}"/>
    <cellStyle name="Normal 2 5 8 2 4 8" xfId="35471" xr:uid="{00000000-0005-0000-0000-000066890000}"/>
    <cellStyle name="Normal 2 5 8 2 5" xfId="35472" xr:uid="{00000000-0005-0000-0000-000067890000}"/>
    <cellStyle name="Normal 2 5 8 2 5 2" xfId="35473" xr:uid="{00000000-0005-0000-0000-000068890000}"/>
    <cellStyle name="Normal 2 5 8 2 5 3" xfId="35474" xr:uid="{00000000-0005-0000-0000-000069890000}"/>
    <cellStyle name="Normal 2 5 8 2 5 4" xfId="35475" xr:uid="{00000000-0005-0000-0000-00006A890000}"/>
    <cellStyle name="Normal 2 5 8 2 5 5" xfId="35476" xr:uid="{00000000-0005-0000-0000-00006B890000}"/>
    <cellStyle name="Normal 2 5 8 2 6" xfId="35477" xr:uid="{00000000-0005-0000-0000-00006C890000}"/>
    <cellStyle name="Normal 2 5 8 2 7" xfId="35478" xr:uid="{00000000-0005-0000-0000-00006D890000}"/>
    <cellStyle name="Normal 2 5 8 2 8" xfId="35479" xr:uid="{00000000-0005-0000-0000-00006E890000}"/>
    <cellStyle name="Normal 2 5 8 2 9" xfId="35480" xr:uid="{00000000-0005-0000-0000-00006F890000}"/>
    <cellStyle name="Normal 2 5 8 3" xfId="35481" xr:uid="{00000000-0005-0000-0000-000070890000}"/>
    <cellStyle name="Normal 2 5 8 3 10" xfId="35482" xr:uid="{00000000-0005-0000-0000-000071890000}"/>
    <cellStyle name="Normal 2 5 8 3 11" xfId="35483" xr:uid="{00000000-0005-0000-0000-000072890000}"/>
    <cellStyle name="Normal 2 5 8 3 2" xfId="35484" xr:uid="{00000000-0005-0000-0000-000073890000}"/>
    <cellStyle name="Normal 2 5 8 3 2 10" xfId="35485" xr:uid="{00000000-0005-0000-0000-000074890000}"/>
    <cellStyle name="Normal 2 5 8 3 2 2" xfId="35486" xr:uid="{00000000-0005-0000-0000-000075890000}"/>
    <cellStyle name="Normal 2 5 8 3 2 2 2" xfId="35487" xr:uid="{00000000-0005-0000-0000-000076890000}"/>
    <cellStyle name="Normal 2 5 8 3 2 2 2 2" xfId="35488" xr:uid="{00000000-0005-0000-0000-000077890000}"/>
    <cellStyle name="Normal 2 5 8 3 2 2 2 3" xfId="35489" xr:uid="{00000000-0005-0000-0000-000078890000}"/>
    <cellStyle name="Normal 2 5 8 3 2 2 2 4" xfId="35490" xr:uid="{00000000-0005-0000-0000-000079890000}"/>
    <cellStyle name="Normal 2 5 8 3 2 2 2 5" xfId="35491" xr:uid="{00000000-0005-0000-0000-00007A890000}"/>
    <cellStyle name="Normal 2 5 8 3 2 2 3" xfId="35492" xr:uid="{00000000-0005-0000-0000-00007B890000}"/>
    <cellStyle name="Normal 2 5 8 3 2 2 4" xfId="35493" xr:uid="{00000000-0005-0000-0000-00007C890000}"/>
    <cellStyle name="Normal 2 5 8 3 2 2 5" xfId="35494" xr:uid="{00000000-0005-0000-0000-00007D890000}"/>
    <cellStyle name="Normal 2 5 8 3 2 2 6" xfId="35495" xr:uid="{00000000-0005-0000-0000-00007E890000}"/>
    <cellStyle name="Normal 2 5 8 3 2 2 7" xfId="35496" xr:uid="{00000000-0005-0000-0000-00007F890000}"/>
    <cellStyle name="Normal 2 5 8 3 2 2 8" xfId="35497" xr:uid="{00000000-0005-0000-0000-000080890000}"/>
    <cellStyle name="Normal 2 5 8 3 2 3" xfId="35498" xr:uid="{00000000-0005-0000-0000-000081890000}"/>
    <cellStyle name="Normal 2 5 8 3 2 3 2" xfId="35499" xr:uid="{00000000-0005-0000-0000-000082890000}"/>
    <cellStyle name="Normal 2 5 8 3 2 3 2 2" xfId="35500" xr:uid="{00000000-0005-0000-0000-000083890000}"/>
    <cellStyle name="Normal 2 5 8 3 2 3 2 3" xfId="35501" xr:uid="{00000000-0005-0000-0000-000084890000}"/>
    <cellStyle name="Normal 2 5 8 3 2 3 2 4" xfId="35502" xr:uid="{00000000-0005-0000-0000-000085890000}"/>
    <cellStyle name="Normal 2 5 8 3 2 3 2 5" xfId="35503" xr:uid="{00000000-0005-0000-0000-000086890000}"/>
    <cellStyle name="Normal 2 5 8 3 2 3 3" xfId="35504" xr:uid="{00000000-0005-0000-0000-000087890000}"/>
    <cellStyle name="Normal 2 5 8 3 2 3 4" xfId="35505" xr:uid="{00000000-0005-0000-0000-000088890000}"/>
    <cellStyle name="Normal 2 5 8 3 2 3 5" xfId="35506" xr:uid="{00000000-0005-0000-0000-000089890000}"/>
    <cellStyle name="Normal 2 5 8 3 2 3 6" xfId="35507" xr:uid="{00000000-0005-0000-0000-00008A890000}"/>
    <cellStyle name="Normal 2 5 8 3 2 3 7" xfId="35508" xr:uid="{00000000-0005-0000-0000-00008B890000}"/>
    <cellStyle name="Normal 2 5 8 3 2 3 8" xfId="35509" xr:uid="{00000000-0005-0000-0000-00008C890000}"/>
    <cellStyle name="Normal 2 5 8 3 2 4" xfId="35510" xr:uid="{00000000-0005-0000-0000-00008D890000}"/>
    <cellStyle name="Normal 2 5 8 3 2 4 2" xfId="35511" xr:uid="{00000000-0005-0000-0000-00008E890000}"/>
    <cellStyle name="Normal 2 5 8 3 2 4 3" xfId="35512" xr:uid="{00000000-0005-0000-0000-00008F890000}"/>
    <cellStyle name="Normal 2 5 8 3 2 4 4" xfId="35513" xr:uid="{00000000-0005-0000-0000-000090890000}"/>
    <cellStyle name="Normal 2 5 8 3 2 4 5" xfId="35514" xr:uid="{00000000-0005-0000-0000-000091890000}"/>
    <cellStyle name="Normal 2 5 8 3 2 5" xfId="35515" xr:uid="{00000000-0005-0000-0000-000092890000}"/>
    <cellStyle name="Normal 2 5 8 3 2 6" xfId="35516" xr:uid="{00000000-0005-0000-0000-000093890000}"/>
    <cellStyle name="Normal 2 5 8 3 2 7" xfId="35517" xr:uid="{00000000-0005-0000-0000-000094890000}"/>
    <cellStyle name="Normal 2 5 8 3 2 8" xfId="35518" xr:uid="{00000000-0005-0000-0000-000095890000}"/>
    <cellStyle name="Normal 2 5 8 3 2 9" xfId="35519" xr:uid="{00000000-0005-0000-0000-000096890000}"/>
    <cellStyle name="Normal 2 5 8 3 3" xfId="35520" xr:uid="{00000000-0005-0000-0000-000097890000}"/>
    <cellStyle name="Normal 2 5 8 3 3 2" xfId="35521" xr:uid="{00000000-0005-0000-0000-000098890000}"/>
    <cellStyle name="Normal 2 5 8 3 3 2 2" xfId="35522" xr:uid="{00000000-0005-0000-0000-000099890000}"/>
    <cellStyle name="Normal 2 5 8 3 3 2 3" xfId="35523" xr:uid="{00000000-0005-0000-0000-00009A890000}"/>
    <cellStyle name="Normal 2 5 8 3 3 2 4" xfId="35524" xr:uid="{00000000-0005-0000-0000-00009B890000}"/>
    <cellStyle name="Normal 2 5 8 3 3 2 5" xfId="35525" xr:uid="{00000000-0005-0000-0000-00009C890000}"/>
    <cellStyle name="Normal 2 5 8 3 3 3" xfId="35526" xr:uid="{00000000-0005-0000-0000-00009D890000}"/>
    <cellStyle name="Normal 2 5 8 3 3 4" xfId="35527" xr:uid="{00000000-0005-0000-0000-00009E890000}"/>
    <cellStyle name="Normal 2 5 8 3 3 5" xfId="35528" xr:uid="{00000000-0005-0000-0000-00009F890000}"/>
    <cellStyle name="Normal 2 5 8 3 3 6" xfId="35529" xr:uid="{00000000-0005-0000-0000-0000A0890000}"/>
    <cellStyle name="Normal 2 5 8 3 3 7" xfId="35530" xr:uid="{00000000-0005-0000-0000-0000A1890000}"/>
    <cellStyle name="Normal 2 5 8 3 3 8" xfId="35531" xr:uid="{00000000-0005-0000-0000-0000A2890000}"/>
    <cellStyle name="Normal 2 5 8 3 4" xfId="35532" xr:uid="{00000000-0005-0000-0000-0000A3890000}"/>
    <cellStyle name="Normal 2 5 8 3 4 2" xfId="35533" xr:uid="{00000000-0005-0000-0000-0000A4890000}"/>
    <cellStyle name="Normal 2 5 8 3 4 2 2" xfId="35534" xr:uid="{00000000-0005-0000-0000-0000A5890000}"/>
    <cellStyle name="Normal 2 5 8 3 4 2 3" xfId="35535" xr:uid="{00000000-0005-0000-0000-0000A6890000}"/>
    <cellStyle name="Normal 2 5 8 3 4 2 4" xfId="35536" xr:uid="{00000000-0005-0000-0000-0000A7890000}"/>
    <cellStyle name="Normal 2 5 8 3 4 2 5" xfId="35537" xr:uid="{00000000-0005-0000-0000-0000A8890000}"/>
    <cellStyle name="Normal 2 5 8 3 4 3" xfId="35538" xr:uid="{00000000-0005-0000-0000-0000A9890000}"/>
    <cellStyle name="Normal 2 5 8 3 4 4" xfId="35539" xr:uid="{00000000-0005-0000-0000-0000AA890000}"/>
    <cellStyle name="Normal 2 5 8 3 4 5" xfId="35540" xr:uid="{00000000-0005-0000-0000-0000AB890000}"/>
    <cellStyle name="Normal 2 5 8 3 4 6" xfId="35541" xr:uid="{00000000-0005-0000-0000-0000AC890000}"/>
    <cellStyle name="Normal 2 5 8 3 4 7" xfId="35542" xr:uid="{00000000-0005-0000-0000-0000AD890000}"/>
    <cellStyle name="Normal 2 5 8 3 4 8" xfId="35543" xr:uid="{00000000-0005-0000-0000-0000AE890000}"/>
    <cellStyle name="Normal 2 5 8 3 5" xfId="35544" xr:uid="{00000000-0005-0000-0000-0000AF890000}"/>
    <cellStyle name="Normal 2 5 8 3 5 2" xfId="35545" xr:uid="{00000000-0005-0000-0000-0000B0890000}"/>
    <cellStyle name="Normal 2 5 8 3 5 3" xfId="35546" xr:uid="{00000000-0005-0000-0000-0000B1890000}"/>
    <cellStyle name="Normal 2 5 8 3 5 4" xfId="35547" xr:uid="{00000000-0005-0000-0000-0000B2890000}"/>
    <cellStyle name="Normal 2 5 8 3 5 5" xfId="35548" xr:uid="{00000000-0005-0000-0000-0000B3890000}"/>
    <cellStyle name="Normal 2 5 8 3 6" xfId="35549" xr:uid="{00000000-0005-0000-0000-0000B4890000}"/>
    <cellStyle name="Normal 2 5 8 3 7" xfId="35550" xr:uid="{00000000-0005-0000-0000-0000B5890000}"/>
    <cellStyle name="Normal 2 5 8 3 8" xfId="35551" xr:uid="{00000000-0005-0000-0000-0000B6890000}"/>
    <cellStyle name="Normal 2 5 8 3 9" xfId="35552" xr:uid="{00000000-0005-0000-0000-0000B7890000}"/>
    <cellStyle name="Normal 2 5 8 4" xfId="35553" xr:uid="{00000000-0005-0000-0000-0000B8890000}"/>
    <cellStyle name="Normal 2 5 8 4 10" xfId="35554" xr:uid="{00000000-0005-0000-0000-0000B9890000}"/>
    <cellStyle name="Normal 2 5 8 4 2" xfId="35555" xr:uid="{00000000-0005-0000-0000-0000BA890000}"/>
    <cellStyle name="Normal 2 5 8 4 2 2" xfId="35556" xr:uid="{00000000-0005-0000-0000-0000BB890000}"/>
    <cellStyle name="Normal 2 5 8 4 2 2 2" xfId="35557" xr:uid="{00000000-0005-0000-0000-0000BC890000}"/>
    <cellStyle name="Normal 2 5 8 4 2 2 3" xfId="35558" xr:uid="{00000000-0005-0000-0000-0000BD890000}"/>
    <cellStyle name="Normal 2 5 8 4 2 2 4" xfId="35559" xr:uid="{00000000-0005-0000-0000-0000BE890000}"/>
    <cellStyle name="Normal 2 5 8 4 2 2 5" xfId="35560" xr:uid="{00000000-0005-0000-0000-0000BF890000}"/>
    <cellStyle name="Normal 2 5 8 4 2 3" xfId="35561" xr:uid="{00000000-0005-0000-0000-0000C0890000}"/>
    <cellStyle name="Normal 2 5 8 4 2 4" xfId="35562" xr:uid="{00000000-0005-0000-0000-0000C1890000}"/>
    <cellStyle name="Normal 2 5 8 4 2 5" xfId="35563" xr:uid="{00000000-0005-0000-0000-0000C2890000}"/>
    <cellStyle name="Normal 2 5 8 4 2 6" xfId="35564" xr:uid="{00000000-0005-0000-0000-0000C3890000}"/>
    <cellStyle name="Normal 2 5 8 4 2 7" xfId="35565" xr:uid="{00000000-0005-0000-0000-0000C4890000}"/>
    <cellStyle name="Normal 2 5 8 4 2 8" xfId="35566" xr:uid="{00000000-0005-0000-0000-0000C5890000}"/>
    <cellStyle name="Normal 2 5 8 4 3" xfId="35567" xr:uid="{00000000-0005-0000-0000-0000C6890000}"/>
    <cellStyle name="Normal 2 5 8 4 3 2" xfId="35568" xr:uid="{00000000-0005-0000-0000-0000C7890000}"/>
    <cellStyle name="Normal 2 5 8 4 3 2 2" xfId="35569" xr:uid="{00000000-0005-0000-0000-0000C8890000}"/>
    <cellStyle name="Normal 2 5 8 4 3 2 3" xfId="35570" xr:uid="{00000000-0005-0000-0000-0000C9890000}"/>
    <cellStyle name="Normal 2 5 8 4 3 2 4" xfId="35571" xr:uid="{00000000-0005-0000-0000-0000CA890000}"/>
    <cellStyle name="Normal 2 5 8 4 3 2 5" xfId="35572" xr:uid="{00000000-0005-0000-0000-0000CB890000}"/>
    <cellStyle name="Normal 2 5 8 4 3 3" xfId="35573" xr:uid="{00000000-0005-0000-0000-0000CC890000}"/>
    <cellStyle name="Normal 2 5 8 4 3 4" xfId="35574" xr:uid="{00000000-0005-0000-0000-0000CD890000}"/>
    <cellStyle name="Normal 2 5 8 4 3 5" xfId="35575" xr:uid="{00000000-0005-0000-0000-0000CE890000}"/>
    <cellStyle name="Normal 2 5 8 4 3 6" xfId="35576" xr:uid="{00000000-0005-0000-0000-0000CF890000}"/>
    <cellStyle name="Normal 2 5 8 4 3 7" xfId="35577" xr:uid="{00000000-0005-0000-0000-0000D0890000}"/>
    <cellStyle name="Normal 2 5 8 4 3 8" xfId="35578" xr:uid="{00000000-0005-0000-0000-0000D1890000}"/>
    <cellStyle name="Normal 2 5 8 4 4" xfId="35579" xr:uid="{00000000-0005-0000-0000-0000D2890000}"/>
    <cellStyle name="Normal 2 5 8 4 4 2" xfId="35580" xr:uid="{00000000-0005-0000-0000-0000D3890000}"/>
    <cellStyle name="Normal 2 5 8 4 4 3" xfId="35581" xr:uid="{00000000-0005-0000-0000-0000D4890000}"/>
    <cellStyle name="Normal 2 5 8 4 4 4" xfId="35582" xr:uid="{00000000-0005-0000-0000-0000D5890000}"/>
    <cellStyle name="Normal 2 5 8 4 4 5" xfId="35583" xr:uid="{00000000-0005-0000-0000-0000D6890000}"/>
    <cellStyle name="Normal 2 5 8 4 5" xfId="35584" xr:uid="{00000000-0005-0000-0000-0000D7890000}"/>
    <cellStyle name="Normal 2 5 8 4 6" xfId="35585" xr:uid="{00000000-0005-0000-0000-0000D8890000}"/>
    <cellStyle name="Normal 2 5 8 4 7" xfId="35586" xr:uid="{00000000-0005-0000-0000-0000D9890000}"/>
    <cellStyle name="Normal 2 5 8 4 8" xfId="35587" xr:uid="{00000000-0005-0000-0000-0000DA890000}"/>
    <cellStyle name="Normal 2 5 8 4 9" xfId="35588" xr:uid="{00000000-0005-0000-0000-0000DB890000}"/>
    <cellStyle name="Normal 2 5 8 5" xfId="35589" xr:uid="{00000000-0005-0000-0000-0000DC890000}"/>
    <cellStyle name="Normal 2 5 8 5 2" xfId="35590" xr:uid="{00000000-0005-0000-0000-0000DD890000}"/>
    <cellStyle name="Normal 2 5 8 5 2 2" xfId="35591" xr:uid="{00000000-0005-0000-0000-0000DE890000}"/>
    <cellStyle name="Normal 2 5 8 5 2 3" xfId="35592" xr:uid="{00000000-0005-0000-0000-0000DF890000}"/>
    <cellStyle name="Normal 2 5 8 5 2 4" xfId="35593" xr:uid="{00000000-0005-0000-0000-0000E0890000}"/>
    <cellStyle name="Normal 2 5 8 5 2 5" xfId="35594" xr:uid="{00000000-0005-0000-0000-0000E1890000}"/>
    <cellStyle name="Normal 2 5 8 5 3" xfId="35595" xr:uid="{00000000-0005-0000-0000-0000E2890000}"/>
    <cellStyle name="Normal 2 5 8 5 4" xfId="35596" xr:uid="{00000000-0005-0000-0000-0000E3890000}"/>
    <cellStyle name="Normal 2 5 8 5 5" xfId="35597" xr:uid="{00000000-0005-0000-0000-0000E4890000}"/>
    <cellStyle name="Normal 2 5 8 5 6" xfId="35598" xr:uid="{00000000-0005-0000-0000-0000E5890000}"/>
    <cellStyle name="Normal 2 5 8 5 7" xfId="35599" xr:uid="{00000000-0005-0000-0000-0000E6890000}"/>
    <cellStyle name="Normal 2 5 8 5 8" xfId="35600" xr:uid="{00000000-0005-0000-0000-0000E7890000}"/>
    <cellStyle name="Normal 2 5 8 6" xfId="35601" xr:uid="{00000000-0005-0000-0000-0000E8890000}"/>
    <cellStyle name="Normal 2 5 8 6 2" xfId="35602" xr:uid="{00000000-0005-0000-0000-0000E9890000}"/>
    <cellStyle name="Normal 2 5 8 6 2 2" xfId="35603" xr:uid="{00000000-0005-0000-0000-0000EA890000}"/>
    <cellStyle name="Normal 2 5 8 6 2 3" xfId="35604" xr:uid="{00000000-0005-0000-0000-0000EB890000}"/>
    <cellStyle name="Normal 2 5 8 6 2 4" xfId="35605" xr:uid="{00000000-0005-0000-0000-0000EC890000}"/>
    <cellStyle name="Normal 2 5 8 6 2 5" xfId="35606" xr:uid="{00000000-0005-0000-0000-0000ED890000}"/>
    <cellStyle name="Normal 2 5 8 6 3" xfId="35607" xr:uid="{00000000-0005-0000-0000-0000EE890000}"/>
    <cellStyle name="Normal 2 5 8 6 4" xfId="35608" xr:uid="{00000000-0005-0000-0000-0000EF890000}"/>
    <cellStyle name="Normal 2 5 8 6 5" xfId="35609" xr:uid="{00000000-0005-0000-0000-0000F0890000}"/>
    <cellStyle name="Normal 2 5 8 6 6" xfId="35610" xr:uid="{00000000-0005-0000-0000-0000F1890000}"/>
    <cellStyle name="Normal 2 5 8 6 7" xfId="35611" xr:uid="{00000000-0005-0000-0000-0000F2890000}"/>
    <cellStyle name="Normal 2 5 8 6 8" xfId="35612" xr:uid="{00000000-0005-0000-0000-0000F3890000}"/>
    <cellStyle name="Normal 2 5 8 7" xfId="35613" xr:uid="{00000000-0005-0000-0000-0000F4890000}"/>
    <cellStyle name="Normal 2 5 8 7 2" xfId="35614" xr:uid="{00000000-0005-0000-0000-0000F5890000}"/>
    <cellStyle name="Normal 2 5 8 7 3" xfId="35615" xr:uid="{00000000-0005-0000-0000-0000F6890000}"/>
    <cellStyle name="Normal 2 5 8 7 4" xfId="35616" xr:uid="{00000000-0005-0000-0000-0000F7890000}"/>
    <cellStyle name="Normal 2 5 8 7 5" xfId="35617" xr:uid="{00000000-0005-0000-0000-0000F8890000}"/>
    <cellStyle name="Normal 2 5 8 8" xfId="35618" xr:uid="{00000000-0005-0000-0000-0000F9890000}"/>
    <cellStyle name="Normal 2 5 8 9" xfId="35619" xr:uid="{00000000-0005-0000-0000-0000FA890000}"/>
    <cellStyle name="Normal 2 5 9" xfId="35620" xr:uid="{00000000-0005-0000-0000-0000FB890000}"/>
    <cellStyle name="Normal 2 5 9 10" xfId="35621" xr:uid="{00000000-0005-0000-0000-0000FC890000}"/>
    <cellStyle name="Normal 2 5 9 11" xfId="35622" xr:uid="{00000000-0005-0000-0000-0000FD890000}"/>
    <cellStyle name="Normal 2 5 9 2" xfId="35623" xr:uid="{00000000-0005-0000-0000-0000FE890000}"/>
    <cellStyle name="Normal 2 5 9 2 10" xfId="35624" xr:uid="{00000000-0005-0000-0000-0000FF890000}"/>
    <cellStyle name="Normal 2 5 9 2 2" xfId="35625" xr:uid="{00000000-0005-0000-0000-0000008A0000}"/>
    <cellStyle name="Normal 2 5 9 2 2 2" xfId="35626" xr:uid="{00000000-0005-0000-0000-0000018A0000}"/>
    <cellStyle name="Normal 2 5 9 2 2 2 2" xfId="35627" xr:uid="{00000000-0005-0000-0000-0000028A0000}"/>
    <cellStyle name="Normal 2 5 9 2 2 2 3" xfId="35628" xr:uid="{00000000-0005-0000-0000-0000038A0000}"/>
    <cellStyle name="Normal 2 5 9 2 2 2 4" xfId="35629" xr:uid="{00000000-0005-0000-0000-0000048A0000}"/>
    <cellStyle name="Normal 2 5 9 2 2 2 5" xfId="35630" xr:uid="{00000000-0005-0000-0000-0000058A0000}"/>
    <cellStyle name="Normal 2 5 9 2 2 3" xfId="35631" xr:uid="{00000000-0005-0000-0000-0000068A0000}"/>
    <cellStyle name="Normal 2 5 9 2 2 4" xfId="35632" xr:uid="{00000000-0005-0000-0000-0000078A0000}"/>
    <cellStyle name="Normal 2 5 9 2 2 5" xfId="35633" xr:uid="{00000000-0005-0000-0000-0000088A0000}"/>
    <cellStyle name="Normal 2 5 9 2 2 6" xfId="35634" xr:uid="{00000000-0005-0000-0000-0000098A0000}"/>
    <cellStyle name="Normal 2 5 9 2 2 7" xfId="35635" xr:uid="{00000000-0005-0000-0000-00000A8A0000}"/>
    <cellStyle name="Normal 2 5 9 2 2 8" xfId="35636" xr:uid="{00000000-0005-0000-0000-00000B8A0000}"/>
    <cellStyle name="Normal 2 5 9 2 3" xfId="35637" xr:uid="{00000000-0005-0000-0000-00000C8A0000}"/>
    <cellStyle name="Normal 2 5 9 2 3 2" xfId="35638" xr:uid="{00000000-0005-0000-0000-00000D8A0000}"/>
    <cellStyle name="Normal 2 5 9 2 3 2 2" xfId="35639" xr:uid="{00000000-0005-0000-0000-00000E8A0000}"/>
    <cellStyle name="Normal 2 5 9 2 3 2 3" xfId="35640" xr:uid="{00000000-0005-0000-0000-00000F8A0000}"/>
    <cellStyle name="Normal 2 5 9 2 3 2 4" xfId="35641" xr:uid="{00000000-0005-0000-0000-0000108A0000}"/>
    <cellStyle name="Normal 2 5 9 2 3 2 5" xfId="35642" xr:uid="{00000000-0005-0000-0000-0000118A0000}"/>
    <cellStyle name="Normal 2 5 9 2 3 3" xfId="35643" xr:uid="{00000000-0005-0000-0000-0000128A0000}"/>
    <cellStyle name="Normal 2 5 9 2 3 4" xfId="35644" xr:uid="{00000000-0005-0000-0000-0000138A0000}"/>
    <cellStyle name="Normal 2 5 9 2 3 5" xfId="35645" xr:uid="{00000000-0005-0000-0000-0000148A0000}"/>
    <cellStyle name="Normal 2 5 9 2 3 6" xfId="35646" xr:uid="{00000000-0005-0000-0000-0000158A0000}"/>
    <cellStyle name="Normal 2 5 9 2 3 7" xfId="35647" xr:uid="{00000000-0005-0000-0000-0000168A0000}"/>
    <cellStyle name="Normal 2 5 9 2 3 8" xfId="35648" xr:uid="{00000000-0005-0000-0000-0000178A0000}"/>
    <cellStyle name="Normal 2 5 9 2 4" xfId="35649" xr:uid="{00000000-0005-0000-0000-0000188A0000}"/>
    <cellStyle name="Normal 2 5 9 2 4 2" xfId="35650" xr:uid="{00000000-0005-0000-0000-0000198A0000}"/>
    <cellStyle name="Normal 2 5 9 2 4 3" xfId="35651" xr:uid="{00000000-0005-0000-0000-00001A8A0000}"/>
    <cellStyle name="Normal 2 5 9 2 4 4" xfId="35652" xr:uid="{00000000-0005-0000-0000-00001B8A0000}"/>
    <cellStyle name="Normal 2 5 9 2 4 5" xfId="35653" xr:uid="{00000000-0005-0000-0000-00001C8A0000}"/>
    <cellStyle name="Normal 2 5 9 2 5" xfId="35654" xr:uid="{00000000-0005-0000-0000-00001D8A0000}"/>
    <cellStyle name="Normal 2 5 9 2 6" xfId="35655" xr:uid="{00000000-0005-0000-0000-00001E8A0000}"/>
    <cellStyle name="Normal 2 5 9 2 7" xfId="35656" xr:uid="{00000000-0005-0000-0000-00001F8A0000}"/>
    <cellStyle name="Normal 2 5 9 2 8" xfId="35657" xr:uid="{00000000-0005-0000-0000-0000208A0000}"/>
    <cellStyle name="Normal 2 5 9 2 9" xfId="35658" xr:uid="{00000000-0005-0000-0000-0000218A0000}"/>
    <cellStyle name="Normal 2 5 9 3" xfId="35659" xr:uid="{00000000-0005-0000-0000-0000228A0000}"/>
    <cellStyle name="Normal 2 5 9 3 2" xfId="35660" xr:uid="{00000000-0005-0000-0000-0000238A0000}"/>
    <cellStyle name="Normal 2 5 9 3 2 2" xfId="35661" xr:uid="{00000000-0005-0000-0000-0000248A0000}"/>
    <cellStyle name="Normal 2 5 9 3 2 3" xfId="35662" xr:uid="{00000000-0005-0000-0000-0000258A0000}"/>
    <cellStyle name="Normal 2 5 9 3 2 4" xfId="35663" xr:uid="{00000000-0005-0000-0000-0000268A0000}"/>
    <cellStyle name="Normal 2 5 9 3 2 5" xfId="35664" xr:uid="{00000000-0005-0000-0000-0000278A0000}"/>
    <cellStyle name="Normal 2 5 9 3 3" xfId="35665" xr:uid="{00000000-0005-0000-0000-0000288A0000}"/>
    <cellStyle name="Normal 2 5 9 3 4" xfId="35666" xr:uid="{00000000-0005-0000-0000-0000298A0000}"/>
    <cellStyle name="Normal 2 5 9 3 5" xfId="35667" xr:uid="{00000000-0005-0000-0000-00002A8A0000}"/>
    <cellStyle name="Normal 2 5 9 3 6" xfId="35668" xr:uid="{00000000-0005-0000-0000-00002B8A0000}"/>
    <cellStyle name="Normal 2 5 9 3 7" xfId="35669" xr:uid="{00000000-0005-0000-0000-00002C8A0000}"/>
    <cellStyle name="Normal 2 5 9 3 8" xfId="35670" xr:uid="{00000000-0005-0000-0000-00002D8A0000}"/>
    <cellStyle name="Normal 2 5 9 4" xfId="35671" xr:uid="{00000000-0005-0000-0000-00002E8A0000}"/>
    <cellStyle name="Normal 2 5 9 4 2" xfId="35672" xr:uid="{00000000-0005-0000-0000-00002F8A0000}"/>
    <cellStyle name="Normal 2 5 9 4 2 2" xfId="35673" xr:uid="{00000000-0005-0000-0000-0000308A0000}"/>
    <cellStyle name="Normal 2 5 9 4 2 3" xfId="35674" xr:uid="{00000000-0005-0000-0000-0000318A0000}"/>
    <cellStyle name="Normal 2 5 9 4 2 4" xfId="35675" xr:uid="{00000000-0005-0000-0000-0000328A0000}"/>
    <cellStyle name="Normal 2 5 9 4 2 5" xfId="35676" xr:uid="{00000000-0005-0000-0000-0000338A0000}"/>
    <cellStyle name="Normal 2 5 9 4 3" xfId="35677" xr:uid="{00000000-0005-0000-0000-0000348A0000}"/>
    <cellStyle name="Normal 2 5 9 4 4" xfId="35678" xr:uid="{00000000-0005-0000-0000-0000358A0000}"/>
    <cellStyle name="Normal 2 5 9 4 5" xfId="35679" xr:uid="{00000000-0005-0000-0000-0000368A0000}"/>
    <cellStyle name="Normal 2 5 9 4 6" xfId="35680" xr:uid="{00000000-0005-0000-0000-0000378A0000}"/>
    <cellStyle name="Normal 2 5 9 4 7" xfId="35681" xr:uid="{00000000-0005-0000-0000-0000388A0000}"/>
    <cellStyle name="Normal 2 5 9 4 8" xfId="35682" xr:uid="{00000000-0005-0000-0000-0000398A0000}"/>
    <cellStyle name="Normal 2 5 9 5" xfId="35683" xr:uid="{00000000-0005-0000-0000-00003A8A0000}"/>
    <cellStyle name="Normal 2 5 9 5 2" xfId="35684" xr:uid="{00000000-0005-0000-0000-00003B8A0000}"/>
    <cellStyle name="Normal 2 5 9 5 3" xfId="35685" xr:uid="{00000000-0005-0000-0000-00003C8A0000}"/>
    <cellStyle name="Normal 2 5 9 5 4" xfId="35686" xr:uid="{00000000-0005-0000-0000-00003D8A0000}"/>
    <cellStyle name="Normal 2 5 9 5 5" xfId="35687" xr:uid="{00000000-0005-0000-0000-00003E8A0000}"/>
    <cellStyle name="Normal 2 5 9 6" xfId="35688" xr:uid="{00000000-0005-0000-0000-00003F8A0000}"/>
    <cellStyle name="Normal 2 5 9 7" xfId="35689" xr:uid="{00000000-0005-0000-0000-0000408A0000}"/>
    <cellStyle name="Normal 2 5 9 8" xfId="35690" xr:uid="{00000000-0005-0000-0000-0000418A0000}"/>
    <cellStyle name="Normal 2 5 9 9" xfId="35691" xr:uid="{00000000-0005-0000-0000-0000428A0000}"/>
    <cellStyle name="Normal 2 50" xfId="35692" xr:uid="{00000000-0005-0000-0000-0000438A0000}"/>
    <cellStyle name="Normal 2 51" xfId="35693" xr:uid="{00000000-0005-0000-0000-0000448A0000}"/>
    <cellStyle name="Normal 2 52" xfId="35694" xr:uid="{00000000-0005-0000-0000-0000458A0000}"/>
    <cellStyle name="Normal 2 53" xfId="35695" xr:uid="{00000000-0005-0000-0000-0000468A0000}"/>
    <cellStyle name="Normal 2 54" xfId="35696" xr:uid="{00000000-0005-0000-0000-0000478A0000}"/>
    <cellStyle name="Normal 2 55" xfId="35697" xr:uid="{00000000-0005-0000-0000-0000488A0000}"/>
    <cellStyle name="Normal 2 56" xfId="35698" xr:uid="{00000000-0005-0000-0000-0000498A0000}"/>
    <cellStyle name="Normal 2 57" xfId="35699" xr:uid="{00000000-0005-0000-0000-00004A8A0000}"/>
    <cellStyle name="Normal 2 6" xfId="879" xr:uid="{00000000-0005-0000-0000-00004B8A0000}"/>
    <cellStyle name="Normal 2 6 10" xfId="35700" xr:uid="{00000000-0005-0000-0000-00004C8A0000}"/>
    <cellStyle name="Normal 2 6 10 10" xfId="35701" xr:uid="{00000000-0005-0000-0000-00004D8A0000}"/>
    <cellStyle name="Normal 2 6 10 11" xfId="35702" xr:uid="{00000000-0005-0000-0000-00004E8A0000}"/>
    <cellStyle name="Normal 2 6 10 2" xfId="35703" xr:uid="{00000000-0005-0000-0000-00004F8A0000}"/>
    <cellStyle name="Normal 2 6 10 2 10" xfId="35704" xr:uid="{00000000-0005-0000-0000-0000508A0000}"/>
    <cellStyle name="Normal 2 6 10 2 2" xfId="35705" xr:uid="{00000000-0005-0000-0000-0000518A0000}"/>
    <cellStyle name="Normal 2 6 10 2 2 2" xfId="35706" xr:uid="{00000000-0005-0000-0000-0000528A0000}"/>
    <cellStyle name="Normal 2 6 10 2 2 2 2" xfId="35707" xr:uid="{00000000-0005-0000-0000-0000538A0000}"/>
    <cellStyle name="Normal 2 6 10 2 2 2 3" xfId="35708" xr:uid="{00000000-0005-0000-0000-0000548A0000}"/>
    <cellStyle name="Normal 2 6 10 2 2 2 4" xfId="35709" xr:uid="{00000000-0005-0000-0000-0000558A0000}"/>
    <cellStyle name="Normal 2 6 10 2 2 2 5" xfId="35710" xr:uid="{00000000-0005-0000-0000-0000568A0000}"/>
    <cellStyle name="Normal 2 6 10 2 2 3" xfId="35711" xr:uid="{00000000-0005-0000-0000-0000578A0000}"/>
    <cellStyle name="Normal 2 6 10 2 2 4" xfId="35712" xr:uid="{00000000-0005-0000-0000-0000588A0000}"/>
    <cellStyle name="Normal 2 6 10 2 2 5" xfId="35713" xr:uid="{00000000-0005-0000-0000-0000598A0000}"/>
    <cellStyle name="Normal 2 6 10 2 2 6" xfId="35714" xr:uid="{00000000-0005-0000-0000-00005A8A0000}"/>
    <cellStyle name="Normal 2 6 10 2 2 7" xfId="35715" xr:uid="{00000000-0005-0000-0000-00005B8A0000}"/>
    <cellStyle name="Normal 2 6 10 2 2 8" xfId="35716" xr:uid="{00000000-0005-0000-0000-00005C8A0000}"/>
    <cellStyle name="Normal 2 6 10 2 3" xfId="35717" xr:uid="{00000000-0005-0000-0000-00005D8A0000}"/>
    <cellStyle name="Normal 2 6 10 2 3 2" xfId="35718" xr:uid="{00000000-0005-0000-0000-00005E8A0000}"/>
    <cellStyle name="Normal 2 6 10 2 3 2 2" xfId="35719" xr:uid="{00000000-0005-0000-0000-00005F8A0000}"/>
    <cellStyle name="Normal 2 6 10 2 3 2 3" xfId="35720" xr:uid="{00000000-0005-0000-0000-0000608A0000}"/>
    <cellStyle name="Normal 2 6 10 2 3 2 4" xfId="35721" xr:uid="{00000000-0005-0000-0000-0000618A0000}"/>
    <cellStyle name="Normal 2 6 10 2 3 2 5" xfId="35722" xr:uid="{00000000-0005-0000-0000-0000628A0000}"/>
    <cellStyle name="Normal 2 6 10 2 3 3" xfId="35723" xr:uid="{00000000-0005-0000-0000-0000638A0000}"/>
    <cellStyle name="Normal 2 6 10 2 3 4" xfId="35724" xr:uid="{00000000-0005-0000-0000-0000648A0000}"/>
    <cellStyle name="Normal 2 6 10 2 3 5" xfId="35725" xr:uid="{00000000-0005-0000-0000-0000658A0000}"/>
    <cellStyle name="Normal 2 6 10 2 3 6" xfId="35726" xr:uid="{00000000-0005-0000-0000-0000668A0000}"/>
    <cellStyle name="Normal 2 6 10 2 3 7" xfId="35727" xr:uid="{00000000-0005-0000-0000-0000678A0000}"/>
    <cellStyle name="Normal 2 6 10 2 3 8" xfId="35728" xr:uid="{00000000-0005-0000-0000-0000688A0000}"/>
    <cellStyle name="Normal 2 6 10 2 4" xfId="35729" xr:uid="{00000000-0005-0000-0000-0000698A0000}"/>
    <cellStyle name="Normal 2 6 10 2 4 2" xfId="35730" xr:uid="{00000000-0005-0000-0000-00006A8A0000}"/>
    <cellStyle name="Normal 2 6 10 2 4 3" xfId="35731" xr:uid="{00000000-0005-0000-0000-00006B8A0000}"/>
    <cellStyle name="Normal 2 6 10 2 4 4" xfId="35732" xr:uid="{00000000-0005-0000-0000-00006C8A0000}"/>
    <cellStyle name="Normal 2 6 10 2 4 5" xfId="35733" xr:uid="{00000000-0005-0000-0000-00006D8A0000}"/>
    <cellStyle name="Normal 2 6 10 2 5" xfId="35734" xr:uid="{00000000-0005-0000-0000-00006E8A0000}"/>
    <cellStyle name="Normal 2 6 10 2 6" xfId="35735" xr:uid="{00000000-0005-0000-0000-00006F8A0000}"/>
    <cellStyle name="Normal 2 6 10 2 7" xfId="35736" xr:uid="{00000000-0005-0000-0000-0000708A0000}"/>
    <cellStyle name="Normal 2 6 10 2 8" xfId="35737" xr:uid="{00000000-0005-0000-0000-0000718A0000}"/>
    <cellStyle name="Normal 2 6 10 2 9" xfId="35738" xr:uid="{00000000-0005-0000-0000-0000728A0000}"/>
    <cellStyle name="Normal 2 6 10 3" xfId="35739" xr:uid="{00000000-0005-0000-0000-0000738A0000}"/>
    <cellStyle name="Normal 2 6 10 3 2" xfId="35740" xr:uid="{00000000-0005-0000-0000-0000748A0000}"/>
    <cellStyle name="Normal 2 6 10 3 2 2" xfId="35741" xr:uid="{00000000-0005-0000-0000-0000758A0000}"/>
    <cellStyle name="Normal 2 6 10 3 2 3" xfId="35742" xr:uid="{00000000-0005-0000-0000-0000768A0000}"/>
    <cellStyle name="Normal 2 6 10 3 2 4" xfId="35743" xr:uid="{00000000-0005-0000-0000-0000778A0000}"/>
    <cellStyle name="Normal 2 6 10 3 2 5" xfId="35744" xr:uid="{00000000-0005-0000-0000-0000788A0000}"/>
    <cellStyle name="Normal 2 6 10 3 3" xfId="35745" xr:uid="{00000000-0005-0000-0000-0000798A0000}"/>
    <cellStyle name="Normal 2 6 10 3 4" xfId="35746" xr:uid="{00000000-0005-0000-0000-00007A8A0000}"/>
    <cellStyle name="Normal 2 6 10 3 5" xfId="35747" xr:uid="{00000000-0005-0000-0000-00007B8A0000}"/>
    <cellStyle name="Normal 2 6 10 3 6" xfId="35748" xr:uid="{00000000-0005-0000-0000-00007C8A0000}"/>
    <cellStyle name="Normal 2 6 10 3 7" xfId="35749" xr:uid="{00000000-0005-0000-0000-00007D8A0000}"/>
    <cellStyle name="Normal 2 6 10 3 8" xfId="35750" xr:uid="{00000000-0005-0000-0000-00007E8A0000}"/>
    <cellStyle name="Normal 2 6 10 4" xfId="35751" xr:uid="{00000000-0005-0000-0000-00007F8A0000}"/>
    <cellStyle name="Normal 2 6 10 4 2" xfId="35752" xr:uid="{00000000-0005-0000-0000-0000808A0000}"/>
    <cellStyle name="Normal 2 6 10 4 2 2" xfId="35753" xr:uid="{00000000-0005-0000-0000-0000818A0000}"/>
    <cellStyle name="Normal 2 6 10 4 2 3" xfId="35754" xr:uid="{00000000-0005-0000-0000-0000828A0000}"/>
    <cellStyle name="Normal 2 6 10 4 2 4" xfId="35755" xr:uid="{00000000-0005-0000-0000-0000838A0000}"/>
    <cellStyle name="Normal 2 6 10 4 2 5" xfId="35756" xr:uid="{00000000-0005-0000-0000-0000848A0000}"/>
    <cellStyle name="Normal 2 6 10 4 3" xfId="35757" xr:uid="{00000000-0005-0000-0000-0000858A0000}"/>
    <cellStyle name="Normal 2 6 10 4 4" xfId="35758" xr:uid="{00000000-0005-0000-0000-0000868A0000}"/>
    <cellStyle name="Normal 2 6 10 4 5" xfId="35759" xr:uid="{00000000-0005-0000-0000-0000878A0000}"/>
    <cellStyle name="Normal 2 6 10 4 6" xfId="35760" xr:uid="{00000000-0005-0000-0000-0000888A0000}"/>
    <cellStyle name="Normal 2 6 10 4 7" xfId="35761" xr:uid="{00000000-0005-0000-0000-0000898A0000}"/>
    <cellStyle name="Normal 2 6 10 4 8" xfId="35762" xr:uid="{00000000-0005-0000-0000-00008A8A0000}"/>
    <cellStyle name="Normal 2 6 10 5" xfId="35763" xr:uid="{00000000-0005-0000-0000-00008B8A0000}"/>
    <cellStyle name="Normal 2 6 10 5 2" xfId="35764" xr:uid="{00000000-0005-0000-0000-00008C8A0000}"/>
    <cellStyle name="Normal 2 6 10 5 3" xfId="35765" xr:uid="{00000000-0005-0000-0000-00008D8A0000}"/>
    <cellStyle name="Normal 2 6 10 5 4" xfId="35766" xr:uid="{00000000-0005-0000-0000-00008E8A0000}"/>
    <cellStyle name="Normal 2 6 10 5 5" xfId="35767" xr:uid="{00000000-0005-0000-0000-00008F8A0000}"/>
    <cellStyle name="Normal 2 6 10 6" xfId="35768" xr:uid="{00000000-0005-0000-0000-0000908A0000}"/>
    <cellStyle name="Normal 2 6 10 7" xfId="35769" xr:uid="{00000000-0005-0000-0000-0000918A0000}"/>
    <cellStyle name="Normal 2 6 10 8" xfId="35770" xr:uid="{00000000-0005-0000-0000-0000928A0000}"/>
    <cellStyle name="Normal 2 6 10 9" xfId="35771" xr:uid="{00000000-0005-0000-0000-0000938A0000}"/>
    <cellStyle name="Normal 2 6 11" xfId="35772" xr:uid="{00000000-0005-0000-0000-0000948A0000}"/>
    <cellStyle name="Normal 2 6 11 10" xfId="35773" xr:uid="{00000000-0005-0000-0000-0000958A0000}"/>
    <cellStyle name="Normal 2 6 11 2" xfId="35774" xr:uid="{00000000-0005-0000-0000-0000968A0000}"/>
    <cellStyle name="Normal 2 6 11 2 2" xfId="35775" xr:uid="{00000000-0005-0000-0000-0000978A0000}"/>
    <cellStyle name="Normal 2 6 11 2 2 2" xfId="35776" xr:uid="{00000000-0005-0000-0000-0000988A0000}"/>
    <cellStyle name="Normal 2 6 11 2 2 3" xfId="35777" xr:uid="{00000000-0005-0000-0000-0000998A0000}"/>
    <cellStyle name="Normal 2 6 11 2 2 4" xfId="35778" xr:uid="{00000000-0005-0000-0000-00009A8A0000}"/>
    <cellStyle name="Normal 2 6 11 2 2 5" xfId="35779" xr:uid="{00000000-0005-0000-0000-00009B8A0000}"/>
    <cellStyle name="Normal 2 6 11 2 3" xfId="35780" xr:uid="{00000000-0005-0000-0000-00009C8A0000}"/>
    <cellStyle name="Normal 2 6 11 2 4" xfId="35781" xr:uid="{00000000-0005-0000-0000-00009D8A0000}"/>
    <cellStyle name="Normal 2 6 11 2 5" xfId="35782" xr:uid="{00000000-0005-0000-0000-00009E8A0000}"/>
    <cellStyle name="Normal 2 6 11 2 6" xfId="35783" xr:uid="{00000000-0005-0000-0000-00009F8A0000}"/>
    <cellStyle name="Normal 2 6 11 2 7" xfId="35784" xr:uid="{00000000-0005-0000-0000-0000A08A0000}"/>
    <cellStyle name="Normal 2 6 11 2 8" xfId="35785" xr:uid="{00000000-0005-0000-0000-0000A18A0000}"/>
    <cellStyle name="Normal 2 6 11 3" xfId="35786" xr:uid="{00000000-0005-0000-0000-0000A28A0000}"/>
    <cellStyle name="Normal 2 6 11 3 2" xfId="35787" xr:uid="{00000000-0005-0000-0000-0000A38A0000}"/>
    <cellStyle name="Normal 2 6 11 3 2 2" xfId="35788" xr:uid="{00000000-0005-0000-0000-0000A48A0000}"/>
    <cellStyle name="Normal 2 6 11 3 2 3" xfId="35789" xr:uid="{00000000-0005-0000-0000-0000A58A0000}"/>
    <cellStyle name="Normal 2 6 11 3 2 4" xfId="35790" xr:uid="{00000000-0005-0000-0000-0000A68A0000}"/>
    <cellStyle name="Normal 2 6 11 3 2 5" xfId="35791" xr:uid="{00000000-0005-0000-0000-0000A78A0000}"/>
    <cellStyle name="Normal 2 6 11 3 3" xfId="35792" xr:uid="{00000000-0005-0000-0000-0000A88A0000}"/>
    <cellStyle name="Normal 2 6 11 3 4" xfId="35793" xr:uid="{00000000-0005-0000-0000-0000A98A0000}"/>
    <cellStyle name="Normal 2 6 11 3 5" xfId="35794" xr:uid="{00000000-0005-0000-0000-0000AA8A0000}"/>
    <cellStyle name="Normal 2 6 11 3 6" xfId="35795" xr:uid="{00000000-0005-0000-0000-0000AB8A0000}"/>
    <cellStyle name="Normal 2 6 11 3 7" xfId="35796" xr:uid="{00000000-0005-0000-0000-0000AC8A0000}"/>
    <cellStyle name="Normal 2 6 11 3 8" xfId="35797" xr:uid="{00000000-0005-0000-0000-0000AD8A0000}"/>
    <cellStyle name="Normal 2 6 11 4" xfId="35798" xr:uid="{00000000-0005-0000-0000-0000AE8A0000}"/>
    <cellStyle name="Normal 2 6 11 4 2" xfId="35799" xr:uid="{00000000-0005-0000-0000-0000AF8A0000}"/>
    <cellStyle name="Normal 2 6 11 4 3" xfId="35800" xr:uid="{00000000-0005-0000-0000-0000B08A0000}"/>
    <cellStyle name="Normal 2 6 11 4 4" xfId="35801" xr:uid="{00000000-0005-0000-0000-0000B18A0000}"/>
    <cellStyle name="Normal 2 6 11 4 5" xfId="35802" xr:uid="{00000000-0005-0000-0000-0000B28A0000}"/>
    <cellStyle name="Normal 2 6 11 5" xfId="35803" xr:uid="{00000000-0005-0000-0000-0000B38A0000}"/>
    <cellStyle name="Normal 2 6 11 6" xfId="35804" xr:uid="{00000000-0005-0000-0000-0000B48A0000}"/>
    <cellStyle name="Normal 2 6 11 7" xfId="35805" xr:uid="{00000000-0005-0000-0000-0000B58A0000}"/>
    <cellStyle name="Normal 2 6 11 8" xfId="35806" xr:uid="{00000000-0005-0000-0000-0000B68A0000}"/>
    <cellStyle name="Normal 2 6 11 9" xfId="35807" xr:uid="{00000000-0005-0000-0000-0000B78A0000}"/>
    <cellStyle name="Normal 2 6 12" xfId="35808" xr:uid="{00000000-0005-0000-0000-0000B88A0000}"/>
    <cellStyle name="Normal 2 6 12 2" xfId="35809" xr:uid="{00000000-0005-0000-0000-0000B98A0000}"/>
    <cellStyle name="Normal 2 6 12 2 2" xfId="35810" xr:uid="{00000000-0005-0000-0000-0000BA8A0000}"/>
    <cellStyle name="Normal 2 6 12 2 3" xfId="35811" xr:uid="{00000000-0005-0000-0000-0000BB8A0000}"/>
    <cellStyle name="Normal 2 6 12 2 4" xfId="35812" xr:uid="{00000000-0005-0000-0000-0000BC8A0000}"/>
    <cellStyle name="Normal 2 6 12 2 5" xfId="35813" xr:uid="{00000000-0005-0000-0000-0000BD8A0000}"/>
    <cellStyle name="Normal 2 6 12 3" xfId="35814" xr:uid="{00000000-0005-0000-0000-0000BE8A0000}"/>
    <cellStyle name="Normal 2 6 12 4" xfId="35815" xr:uid="{00000000-0005-0000-0000-0000BF8A0000}"/>
    <cellStyle name="Normal 2 6 12 5" xfId="35816" xr:uid="{00000000-0005-0000-0000-0000C08A0000}"/>
    <cellStyle name="Normal 2 6 12 6" xfId="35817" xr:uid="{00000000-0005-0000-0000-0000C18A0000}"/>
    <cellStyle name="Normal 2 6 12 7" xfId="35818" xr:uid="{00000000-0005-0000-0000-0000C28A0000}"/>
    <cellStyle name="Normal 2 6 12 8" xfId="35819" xr:uid="{00000000-0005-0000-0000-0000C38A0000}"/>
    <cellStyle name="Normal 2 6 13" xfId="35820" xr:uid="{00000000-0005-0000-0000-0000C48A0000}"/>
    <cellStyle name="Normal 2 6 13 2" xfId="35821" xr:uid="{00000000-0005-0000-0000-0000C58A0000}"/>
    <cellStyle name="Normal 2 6 13 2 2" xfId="35822" xr:uid="{00000000-0005-0000-0000-0000C68A0000}"/>
    <cellStyle name="Normal 2 6 13 2 3" xfId="35823" xr:uid="{00000000-0005-0000-0000-0000C78A0000}"/>
    <cellStyle name="Normal 2 6 13 2 4" xfId="35824" xr:uid="{00000000-0005-0000-0000-0000C88A0000}"/>
    <cellStyle name="Normal 2 6 13 2 5" xfId="35825" xr:uid="{00000000-0005-0000-0000-0000C98A0000}"/>
    <cellStyle name="Normal 2 6 13 3" xfId="35826" xr:uid="{00000000-0005-0000-0000-0000CA8A0000}"/>
    <cellStyle name="Normal 2 6 13 4" xfId="35827" xr:uid="{00000000-0005-0000-0000-0000CB8A0000}"/>
    <cellStyle name="Normal 2 6 13 5" xfId="35828" xr:uid="{00000000-0005-0000-0000-0000CC8A0000}"/>
    <cellStyle name="Normal 2 6 13 6" xfId="35829" xr:uid="{00000000-0005-0000-0000-0000CD8A0000}"/>
    <cellStyle name="Normal 2 6 13 7" xfId="35830" xr:uid="{00000000-0005-0000-0000-0000CE8A0000}"/>
    <cellStyle name="Normal 2 6 13 8" xfId="35831" xr:uid="{00000000-0005-0000-0000-0000CF8A0000}"/>
    <cellStyle name="Normal 2 6 14" xfId="35832" xr:uid="{00000000-0005-0000-0000-0000D08A0000}"/>
    <cellStyle name="Normal 2 6 14 2" xfId="35833" xr:uid="{00000000-0005-0000-0000-0000D18A0000}"/>
    <cellStyle name="Normal 2 6 14 3" xfId="35834" xr:uid="{00000000-0005-0000-0000-0000D28A0000}"/>
    <cellStyle name="Normal 2 6 14 4" xfId="35835" xr:uid="{00000000-0005-0000-0000-0000D38A0000}"/>
    <cellStyle name="Normal 2 6 14 5" xfId="35836" xr:uid="{00000000-0005-0000-0000-0000D48A0000}"/>
    <cellStyle name="Normal 2 6 15" xfId="35837" xr:uid="{00000000-0005-0000-0000-0000D58A0000}"/>
    <cellStyle name="Normal 2 6 16" xfId="35838" xr:uid="{00000000-0005-0000-0000-0000D68A0000}"/>
    <cellStyle name="Normal 2 6 17" xfId="35839" xr:uid="{00000000-0005-0000-0000-0000D78A0000}"/>
    <cellStyle name="Normal 2 6 18" xfId="35840" xr:uid="{00000000-0005-0000-0000-0000D88A0000}"/>
    <cellStyle name="Normal 2 6 19" xfId="35841" xr:uid="{00000000-0005-0000-0000-0000D98A0000}"/>
    <cellStyle name="Normal 2 6 2" xfId="880" xr:uid="{00000000-0005-0000-0000-0000DA8A0000}"/>
    <cellStyle name="Normal 2 6 2 10" xfId="35842" xr:uid="{00000000-0005-0000-0000-0000DB8A0000}"/>
    <cellStyle name="Normal 2 6 2 11" xfId="35843" xr:uid="{00000000-0005-0000-0000-0000DC8A0000}"/>
    <cellStyle name="Normal 2 6 2 12" xfId="35844" xr:uid="{00000000-0005-0000-0000-0000DD8A0000}"/>
    <cellStyle name="Normal 2 6 2 13" xfId="35845" xr:uid="{00000000-0005-0000-0000-0000DE8A0000}"/>
    <cellStyle name="Normal 2 6 2 2" xfId="35846" xr:uid="{00000000-0005-0000-0000-0000DF8A0000}"/>
    <cellStyle name="Normal 2 6 2 2 10" xfId="35847" xr:uid="{00000000-0005-0000-0000-0000E08A0000}"/>
    <cellStyle name="Normal 2 6 2 2 11" xfId="35848" xr:uid="{00000000-0005-0000-0000-0000E18A0000}"/>
    <cellStyle name="Normal 2 6 2 2 2" xfId="35849" xr:uid="{00000000-0005-0000-0000-0000E28A0000}"/>
    <cellStyle name="Normal 2 6 2 2 2 10" xfId="35850" xr:uid="{00000000-0005-0000-0000-0000E38A0000}"/>
    <cellStyle name="Normal 2 6 2 2 2 2" xfId="35851" xr:uid="{00000000-0005-0000-0000-0000E48A0000}"/>
    <cellStyle name="Normal 2 6 2 2 2 2 2" xfId="35852" xr:uid="{00000000-0005-0000-0000-0000E58A0000}"/>
    <cellStyle name="Normal 2 6 2 2 2 2 2 2" xfId="35853" xr:uid="{00000000-0005-0000-0000-0000E68A0000}"/>
    <cellStyle name="Normal 2 6 2 2 2 2 2 3" xfId="35854" xr:uid="{00000000-0005-0000-0000-0000E78A0000}"/>
    <cellStyle name="Normal 2 6 2 2 2 2 2 4" xfId="35855" xr:uid="{00000000-0005-0000-0000-0000E88A0000}"/>
    <cellStyle name="Normal 2 6 2 2 2 2 2 5" xfId="35856" xr:uid="{00000000-0005-0000-0000-0000E98A0000}"/>
    <cellStyle name="Normal 2 6 2 2 2 2 3" xfId="35857" xr:uid="{00000000-0005-0000-0000-0000EA8A0000}"/>
    <cellStyle name="Normal 2 6 2 2 2 2 4" xfId="35858" xr:uid="{00000000-0005-0000-0000-0000EB8A0000}"/>
    <cellStyle name="Normal 2 6 2 2 2 2 5" xfId="35859" xr:uid="{00000000-0005-0000-0000-0000EC8A0000}"/>
    <cellStyle name="Normal 2 6 2 2 2 2 6" xfId="35860" xr:uid="{00000000-0005-0000-0000-0000ED8A0000}"/>
    <cellStyle name="Normal 2 6 2 2 2 2 7" xfId="35861" xr:uid="{00000000-0005-0000-0000-0000EE8A0000}"/>
    <cellStyle name="Normal 2 6 2 2 2 2 8" xfId="35862" xr:uid="{00000000-0005-0000-0000-0000EF8A0000}"/>
    <cellStyle name="Normal 2 6 2 2 2 3" xfId="35863" xr:uid="{00000000-0005-0000-0000-0000F08A0000}"/>
    <cellStyle name="Normal 2 6 2 2 2 3 2" xfId="35864" xr:uid="{00000000-0005-0000-0000-0000F18A0000}"/>
    <cellStyle name="Normal 2 6 2 2 2 3 2 2" xfId="35865" xr:uid="{00000000-0005-0000-0000-0000F28A0000}"/>
    <cellStyle name="Normal 2 6 2 2 2 3 2 3" xfId="35866" xr:uid="{00000000-0005-0000-0000-0000F38A0000}"/>
    <cellStyle name="Normal 2 6 2 2 2 3 2 4" xfId="35867" xr:uid="{00000000-0005-0000-0000-0000F48A0000}"/>
    <cellStyle name="Normal 2 6 2 2 2 3 2 5" xfId="35868" xr:uid="{00000000-0005-0000-0000-0000F58A0000}"/>
    <cellStyle name="Normal 2 6 2 2 2 3 3" xfId="35869" xr:uid="{00000000-0005-0000-0000-0000F68A0000}"/>
    <cellStyle name="Normal 2 6 2 2 2 3 4" xfId="35870" xr:uid="{00000000-0005-0000-0000-0000F78A0000}"/>
    <cellStyle name="Normal 2 6 2 2 2 3 5" xfId="35871" xr:uid="{00000000-0005-0000-0000-0000F88A0000}"/>
    <cellStyle name="Normal 2 6 2 2 2 3 6" xfId="35872" xr:uid="{00000000-0005-0000-0000-0000F98A0000}"/>
    <cellStyle name="Normal 2 6 2 2 2 3 7" xfId="35873" xr:uid="{00000000-0005-0000-0000-0000FA8A0000}"/>
    <cellStyle name="Normal 2 6 2 2 2 3 8" xfId="35874" xr:uid="{00000000-0005-0000-0000-0000FB8A0000}"/>
    <cellStyle name="Normal 2 6 2 2 2 4" xfId="35875" xr:uid="{00000000-0005-0000-0000-0000FC8A0000}"/>
    <cellStyle name="Normal 2 6 2 2 2 4 2" xfId="35876" xr:uid="{00000000-0005-0000-0000-0000FD8A0000}"/>
    <cellStyle name="Normal 2 6 2 2 2 4 3" xfId="35877" xr:uid="{00000000-0005-0000-0000-0000FE8A0000}"/>
    <cellStyle name="Normal 2 6 2 2 2 4 4" xfId="35878" xr:uid="{00000000-0005-0000-0000-0000FF8A0000}"/>
    <cellStyle name="Normal 2 6 2 2 2 4 5" xfId="35879" xr:uid="{00000000-0005-0000-0000-0000008B0000}"/>
    <cellStyle name="Normal 2 6 2 2 2 5" xfId="35880" xr:uid="{00000000-0005-0000-0000-0000018B0000}"/>
    <cellStyle name="Normal 2 6 2 2 2 6" xfId="35881" xr:uid="{00000000-0005-0000-0000-0000028B0000}"/>
    <cellStyle name="Normal 2 6 2 2 2 7" xfId="35882" xr:uid="{00000000-0005-0000-0000-0000038B0000}"/>
    <cellStyle name="Normal 2 6 2 2 2 8" xfId="35883" xr:uid="{00000000-0005-0000-0000-0000048B0000}"/>
    <cellStyle name="Normal 2 6 2 2 2 9" xfId="35884" xr:uid="{00000000-0005-0000-0000-0000058B0000}"/>
    <cellStyle name="Normal 2 6 2 2 3" xfId="35885" xr:uid="{00000000-0005-0000-0000-0000068B0000}"/>
    <cellStyle name="Normal 2 6 2 2 3 2" xfId="35886" xr:uid="{00000000-0005-0000-0000-0000078B0000}"/>
    <cellStyle name="Normal 2 6 2 2 3 2 2" xfId="35887" xr:uid="{00000000-0005-0000-0000-0000088B0000}"/>
    <cellStyle name="Normal 2 6 2 2 3 2 3" xfId="35888" xr:uid="{00000000-0005-0000-0000-0000098B0000}"/>
    <cellStyle name="Normal 2 6 2 2 3 2 4" xfId="35889" xr:uid="{00000000-0005-0000-0000-00000A8B0000}"/>
    <cellStyle name="Normal 2 6 2 2 3 2 5" xfId="35890" xr:uid="{00000000-0005-0000-0000-00000B8B0000}"/>
    <cellStyle name="Normal 2 6 2 2 3 3" xfId="35891" xr:uid="{00000000-0005-0000-0000-00000C8B0000}"/>
    <cellStyle name="Normal 2 6 2 2 3 4" xfId="35892" xr:uid="{00000000-0005-0000-0000-00000D8B0000}"/>
    <cellStyle name="Normal 2 6 2 2 3 5" xfId="35893" xr:uid="{00000000-0005-0000-0000-00000E8B0000}"/>
    <cellStyle name="Normal 2 6 2 2 3 6" xfId="35894" xr:uid="{00000000-0005-0000-0000-00000F8B0000}"/>
    <cellStyle name="Normal 2 6 2 2 3 7" xfId="35895" xr:uid="{00000000-0005-0000-0000-0000108B0000}"/>
    <cellStyle name="Normal 2 6 2 2 3 8" xfId="35896" xr:uid="{00000000-0005-0000-0000-0000118B0000}"/>
    <cellStyle name="Normal 2 6 2 2 4" xfId="35897" xr:uid="{00000000-0005-0000-0000-0000128B0000}"/>
    <cellStyle name="Normal 2 6 2 2 4 2" xfId="35898" xr:uid="{00000000-0005-0000-0000-0000138B0000}"/>
    <cellStyle name="Normal 2 6 2 2 4 2 2" xfId="35899" xr:uid="{00000000-0005-0000-0000-0000148B0000}"/>
    <cellStyle name="Normal 2 6 2 2 4 2 3" xfId="35900" xr:uid="{00000000-0005-0000-0000-0000158B0000}"/>
    <cellStyle name="Normal 2 6 2 2 4 2 4" xfId="35901" xr:uid="{00000000-0005-0000-0000-0000168B0000}"/>
    <cellStyle name="Normal 2 6 2 2 4 2 5" xfId="35902" xr:uid="{00000000-0005-0000-0000-0000178B0000}"/>
    <cellStyle name="Normal 2 6 2 2 4 3" xfId="35903" xr:uid="{00000000-0005-0000-0000-0000188B0000}"/>
    <cellStyle name="Normal 2 6 2 2 4 4" xfId="35904" xr:uid="{00000000-0005-0000-0000-0000198B0000}"/>
    <cellStyle name="Normal 2 6 2 2 4 5" xfId="35905" xr:uid="{00000000-0005-0000-0000-00001A8B0000}"/>
    <cellStyle name="Normal 2 6 2 2 4 6" xfId="35906" xr:uid="{00000000-0005-0000-0000-00001B8B0000}"/>
    <cellStyle name="Normal 2 6 2 2 4 7" xfId="35907" xr:uid="{00000000-0005-0000-0000-00001C8B0000}"/>
    <cellStyle name="Normal 2 6 2 2 4 8" xfId="35908" xr:uid="{00000000-0005-0000-0000-00001D8B0000}"/>
    <cellStyle name="Normal 2 6 2 2 5" xfId="35909" xr:uid="{00000000-0005-0000-0000-00001E8B0000}"/>
    <cellStyle name="Normal 2 6 2 2 5 2" xfId="35910" xr:uid="{00000000-0005-0000-0000-00001F8B0000}"/>
    <cellStyle name="Normal 2 6 2 2 5 3" xfId="35911" xr:uid="{00000000-0005-0000-0000-0000208B0000}"/>
    <cellStyle name="Normal 2 6 2 2 5 4" xfId="35912" xr:uid="{00000000-0005-0000-0000-0000218B0000}"/>
    <cellStyle name="Normal 2 6 2 2 5 5" xfId="35913" xr:uid="{00000000-0005-0000-0000-0000228B0000}"/>
    <cellStyle name="Normal 2 6 2 2 6" xfId="35914" xr:uid="{00000000-0005-0000-0000-0000238B0000}"/>
    <cellStyle name="Normal 2 6 2 2 7" xfId="35915" xr:uid="{00000000-0005-0000-0000-0000248B0000}"/>
    <cellStyle name="Normal 2 6 2 2 8" xfId="35916" xr:uid="{00000000-0005-0000-0000-0000258B0000}"/>
    <cellStyle name="Normal 2 6 2 2 9" xfId="35917" xr:uid="{00000000-0005-0000-0000-0000268B0000}"/>
    <cellStyle name="Normal 2 6 2 3" xfId="35918" xr:uid="{00000000-0005-0000-0000-0000278B0000}"/>
    <cellStyle name="Normal 2 6 2 3 10" xfId="35919" xr:uid="{00000000-0005-0000-0000-0000288B0000}"/>
    <cellStyle name="Normal 2 6 2 3 11" xfId="35920" xr:uid="{00000000-0005-0000-0000-0000298B0000}"/>
    <cellStyle name="Normal 2 6 2 3 2" xfId="35921" xr:uid="{00000000-0005-0000-0000-00002A8B0000}"/>
    <cellStyle name="Normal 2 6 2 3 2 10" xfId="35922" xr:uid="{00000000-0005-0000-0000-00002B8B0000}"/>
    <cellStyle name="Normal 2 6 2 3 2 2" xfId="35923" xr:uid="{00000000-0005-0000-0000-00002C8B0000}"/>
    <cellStyle name="Normal 2 6 2 3 2 2 2" xfId="35924" xr:uid="{00000000-0005-0000-0000-00002D8B0000}"/>
    <cellStyle name="Normal 2 6 2 3 2 2 2 2" xfId="35925" xr:uid="{00000000-0005-0000-0000-00002E8B0000}"/>
    <cellStyle name="Normal 2 6 2 3 2 2 2 3" xfId="35926" xr:uid="{00000000-0005-0000-0000-00002F8B0000}"/>
    <cellStyle name="Normal 2 6 2 3 2 2 2 4" xfId="35927" xr:uid="{00000000-0005-0000-0000-0000308B0000}"/>
    <cellStyle name="Normal 2 6 2 3 2 2 2 5" xfId="35928" xr:uid="{00000000-0005-0000-0000-0000318B0000}"/>
    <cellStyle name="Normal 2 6 2 3 2 2 3" xfId="35929" xr:uid="{00000000-0005-0000-0000-0000328B0000}"/>
    <cellStyle name="Normal 2 6 2 3 2 2 4" xfId="35930" xr:uid="{00000000-0005-0000-0000-0000338B0000}"/>
    <cellStyle name="Normal 2 6 2 3 2 2 5" xfId="35931" xr:uid="{00000000-0005-0000-0000-0000348B0000}"/>
    <cellStyle name="Normal 2 6 2 3 2 2 6" xfId="35932" xr:uid="{00000000-0005-0000-0000-0000358B0000}"/>
    <cellStyle name="Normal 2 6 2 3 2 2 7" xfId="35933" xr:uid="{00000000-0005-0000-0000-0000368B0000}"/>
    <cellStyle name="Normal 2 6 2 3 2 2 8" xfId="35934" xr:uid="{00000000-0005-0000-0000-0000378B0000}"/>
    <cellStyle name="Normal 2 6 2 3 2 3" xfId="35935" xr:uid="{00000000-0005-0000-0000-0000388B0000}"/>
    <cellStyle name="Normal 2 6 2 3 2 3 2" xfId="35936" xr:uid="{00000000-0005-0000-0000-0000398B0000}"/>
    <cellStyle name="Normal 2 6 2 3 2 3 2 2" xfId="35937" xr:uid="{00000000-0005-0000-0000-00003A8B0000}"/>
    <cellStyle name="Normal 2 6 2 3 2 3 2 3" xfId="35938" xr:uid="{00000000-0005-0000-0000-00003B8B0000}"/>
    <cellStyle name="Normal 2 6 2 3 2 3 2 4" xfId="35939" xr:uid="{00000000-0005-0000-0000-00003C8B0000}"/>
    <cellStyle name="Normal 2 6 2 3 2 3 2 5" xfId="35940" xr:uid="{00000000-0005-0000-0000-00003D8B0000}"/>
    <cellStyle name="Normal 2 6 2 3 2 3 3" xfId="35941" xr:uid="{00000000-0005-0000-0000-00003E8B0000}"/>
    <cellStyle name="Normal 2 6 2 3 2 3 4" xfId="35942" xr:uid="{00000000-0005-0000-0000-00003F8B0000}"/>
    <cellStyle name="Normal 2 6 2 3 2 3 5" xfId="35943" xr:uid="{00000000-0005-0000-0000-0000408B0000}"/>
    <cellStyle name="Normal 2 6 2 3 2 3 6" xfId="35944" xr:uid="{00000000-0005-0000-0000-0000418B0000}"/>
    <cellStyle name="Normal 2 6 2 3 2 3 7" xfId="35945" xr:uid="{00000000-0005-0000-0000-0000428B0000}"/>
    <cellStyle name="Normal 2 6 2 3 2 3 8" xfId="35946" xr:uid="{00000000-0005-0000-0000-0000438B0000}"/>
    <cellStyle name="Normal 2 6 2 3 2 4" xfId="35947" xr:uid="{00000000-0005-0000-0000-0000448B0000}"/>
    <cellStyle name="Normal 2 6 2 3 2 4 2" xfId="35948" xr:uid="{00000000-0005-0000-0000-0000458B0000}"/>
    <cellStyle name="Normal 2 6 2 3 2 4 3" xfId="35949" xr:uid="{00000000-0005-0000-0000-0000468B0000}"/>
    <cellStyle name="Normal 2 6 2 3 2 4 4" xfId="35950" xr:uid="{00000000-0005-0000-0000-0000478B0000}"/>
    <cellStyle name="Normal 2 6 2 3 2 4 5" xfId="35951" xr:uid="{00000000-0005-0000-0000-0000488B0000}"/>
    <cellStyle name="Normal 2 6 2 3 2 5" xfId="35952" xr:uid="{00000000-0005-0000-0000-0000498B0000}"/>
    <cellStyle name="Normal 2 6 2 3 2 6" xfId="35953" xr:uid="{00000000-0005-0000-0000-00004A8B0000}"/>
    <cellStyle name="Normal 2 6 2 3 2 7" xfId="35954" xr:uid="{00000000-0005-0000-0000-00004B8B0000}"/>
    <cellStyle name="Normal 2 6 2 3 2 8" xfId="35955" xr:uid="{00000000-0005-0000-0000-00004C8B0000}"/>
    <cellStyle name="Normal 2 6 2 3 2 9" xfId="35956" xr:uid="{00000000-0005-0000-0000-00004D8B0000}"/>
    <cellStyle name="Normal 2 6 2 3 3" xfId="35957" xr:uid="{00000000-0005-0000-0000-00004E8B0000}"/>
    <cellStyle name="Normal 2 6 2 3 3 2" xfId="35958" xr:uid="{00000000-0005-0000-0000-00004F8B0000}"/>
    <cellStyle name="Normal 2 6 2 3 3 2 2" xfId="35959" xr:uid="{00000000-0005-0000-0000-0000508B0000}"/>
    <cellStyle name="Normal 2 6 2 3 3 2 3" xfId="35960" xr:uid="{00000000-0005-0000-0000-0000518B0000}"/>
    <cellStyle name="Normal 2 6 2 3 3 2 4" xfId="35961" xr:uid="{00000000-0005-0000-0000-0000528B0000}"/>
    <cellStyle name="Normal 2 6 2 3 3 2 5" xfId="35962" xr:uid="{00000000-0005-0000-0000-0000538B0000}"/>
    <cellStyle name="Normal 2 6 2 3 3 3" xfId="35963" xr:uid="{00000000-0005-0000-0000-0000548B0000}"/>
    <cellStyle name="Normal 2 6 2 3 3 4" xfId="35964" xr:uid="{00000000-0005-0000-0000-0000558B0000}"/>
    <cellStyle name="Normal 2 6 2 3 3 5" xfId="35965" xr:uid="{00000000-0005-0000-0000-0000568B0000}"/>
    <cellStyle name="Normal 2 6 2 3 3 6" xfId="35966" xr:uid="{00000000-0005-0000-0000-0000578B0000}"/>
    <cellStyle name="Normal 2 6 2 3 3 7" xfId="35967" xr:uid="{00000000-0005-0000-0000-0000588B0000}"/>
    <cellStyle name="Normal 2 6 2 3 3 8" xfId="35968" xr:uid="{00000000-0005-0000-0000-0000598B0000}"/>
    <cellStyle name="Normal 2 6 2 3 4" xfId="35969" xr:uid="{00000000-0005-0000-0000-00005A8B0000}"/>
    <cellStyle name="Normal 2 6 2 3 4 2" xfId="35970" xr:uid="{00000000-0005-0000-0000-00005B8B0000}"/>
    <cellStyle name="Normal 2 6 2 3 4 2 2" xfId="35971" xr:uid="{00000000-0005-0000-0000-00005C8B0000}"/>
    <cellStyle name="Normal 2 6 2 3 4 2 3" xfId="35972" xr:uid="{00000000-0005-0000-0000-00005D8B0000}"/>
    <cellStyle name="Normal 2 6 2 3 4 2 4" xfId="35973" xr:uid="{00000000-0005-0000-0000-00005E8B0000}"/>
    <cellStyle name="Normal 2 6 2 3 4 2 5" xfId="35974" xr:uid="{00000000-0005-0000-0000-00005F8B0000}"/>
    <cellStyle name="Normal 2 6 2 3 4 3" xfId="35975" xr:uid="{00000000-0005-0000-0000-0000608B0000}"/>
    <cellStyle name="Normal 2 6 2 3 4 4" xfId="35976" xr:uid="{00000000-0005-0000-0000-0000618B0000}"/>
    <cellStyle name="Normal 2 6 2 3 4 5" xfId="35977" xr:uid="{00000000-0005-0000-0000-0000628B0000}"/>
    <cellStyle name="Normal 2 6 2 3 4 6" xfId="35978" xr:uid="{00000000-0005-0000-0000-0000638B0000}"/>
    <cellStyle name="Normal 2 6 2 3 4 7" xfId="35979" xr:uid="{00000000-0005-0000-0000-0000648B0000}"/>
    <cellStyle name="Normal 2 6 2 3 4 8" xfId="35980" xr:uid="{00000000-0005-0000-0000-0000658B0000}"/>
    <cellStyle name="Normal 2 6 2 3 5" xfId="35981" xr:uid="{00000000-0005-0000-0000-0000668B0000}"/>
    <cellStyle name="Normal 2 6 2 3 5 2" xfId="35982" xr:uid="{00000000-0005-0000-0000-0000678B0000}"/>
    <cellStyle name="Normal 2 6 2 3 5 3" xfId="35983" xr:uid="{00000000-0005-0000-0000-0000688B0000}"/>
    <cellStyle name="Normal 2 6 2 3 5 4" xfId="35984" xr:uid="{00000000-0005-0000-0000-0000698B0000}"/>
    <cellStyle name="Normal 2 6 2 3 5 5" xfId="35985" xr:uid="{00000000-0005-0000-0000-00006A8B0000}"/>
    <cellStyle name="Normal 2 6 2 3 6" xfId="35986" xr:uid="{00000000-0005-0000-0000-00006B8B0000}"/>
    <cellStyle name="Normal 2 6 2 3 7" xfId="35987" xr:uid="{00000000-0005-0000-0000-00006C8B0000}"/>
    <cellStyle name="Normal 2 6 2 3 8" xfId="35988" xr:uid="{00000000-0005-0000-0000-00006D8B0000}"/>
    <cellStyle name="Normal 2 6 2 3 9" xfId="35989" xr:uid="{00000000-0005-0000-0000-00006E8B0000}"/>
    <cellStyle name="Normal 2 6 2 4" xfId="35990" xr:uid="{00000000-0005-0000-0000-00006F8B0000}"/>
    <cellStyle name="Normal 2 6 2 4 10" xfId="35991" xr:uid="{00000000-0005-0000-0000-0000708B0000}"/>
    <cellStyle name="Normal 2 6 2 4 2" xfId="35992" xr:uid="{00000000-0005-0000-0000-0000718B0000}"/>
    <cellStyle name="Normal 2 6 2 4 2 2" xfId="35993" xr:uid="{00000000-0005-0000-0000-0000728B0000}"/>
    <cellStyle name="Normal 2 6 2 4 2 2 2" xfId="35994" xr:uid="{00000000-0005-0000-0000-0000738B0000}"/>
    <cellStyle name="Normal 2 6 2 4 2 2 3" xfId="35995" xr:uid="{00000000-0005-0000-0000-0000748B0000}"/>
    <cellStyle name="Normal 2 6 2 4 2 2 4" xfId="35996" xr:uid="{00000000-0005-0000-0000-0000758B0000}"/>
    <cellStyle name="Normal 2 6 2 4 2 2 5" xfId="35997" xr:uid="{00000000-0005-0000-0000-0000768B0000}"/>
    <cellStyle name="Normal 2 6 2 4 2 3" xfId="35998" xr:uid="{00000000-0005-0000-0000-0000778B0000}"/>
    <cellStyle name="Normal 2 6 2 4 2 4" xfId="35999" xr:uid="{00000000-0005-0000-0000-0000788B0000}"/>
    <cellStyle name="Normal 2 6 2 4 2 5" xfId="36000" xr:uid="{00000000-0005-0000-0000-0000798B0000}"/>
    <cellStyle name="Normal 2 6 2 4 2 6" xfId="36001" xr:uid="{00000000-0005-0000-0000-00007A8B0000}"/>
    <cellStyle name="Normal 2 6 2 4 2 7" xfId="36002" xr:uid="{00000000-0005-0000-0000-00007B8B0000}"/>
    <cellStyle name="Normal 2 6 2 4 2 8" xfId="36003" xr:uid="{00000000-0005-0000-0000-00007C8B0000}"/>
    <cellStyle name="Normal 2 6 2 4 3" xfId="36004" xr:uid="{00000000-0005-0000-0000-00007D8B0000}"/>
    <cellStyle name="Normal 2 6 2 4 3 2" xfId="36005" xr:uid="{00000000-0005-0000-0000-00007E8B0000}"/>
    <cellStyle name="Normal 2 6 2 4 3 2 2" xfId="36006" xr:uid="{00000000-0005-0000-0000-00007F8B0000}"/>
    <cellStyle name="Normal 2 6 2 4 3 2 3" xfId="36007" xr:uid="{00000000-0005-0000-0000-0000808B0000}"/>
    <cellStyle name="Normal 2 6 2 4 3 2 4" xfId="36008" xr:uid="{00000000-0005-0000-0000-0000818B0000}"/>
    <cellStyle name="Normal 2 6 2 4 3 2 5" xfId="36009" xr:uid="{00000000-0005-0000-0000-0000828B0000}"/>
    <cellStyle name="Normal 2 6 2 4 3 3" xfId="36010" xr:uid="{00000000-0005-0000-0000-0000838B0000}"/>
    <cellStyle name="Normal 2 6 2 4 3 4" xfId="36011" xr:uid="{00000000-0005-0000-0000-0000848B0000}"/>
    <cellStyle name="Normal 2 6 2 4 3 5" xfId="36012" xr:uid="{00000000-0005-0000-0000-0000858B0000}"/>
    <cellStyle name="Normal 2 6 2 4 3 6" xfId="36013" xr:uid="{00000000-0005-0000-0000-0000868B0000}"/>
    <cellStyle name="Normal 2 6 2 4 3 7" xfId="36014" xr:uid="{00000000-0005-0000-0000-0000878B0000}"/>
    <cellStyle name="Normal 2 6 2 4 3 8" xfId="36015" xr:uid="{00000000-0005-0000-0000-0000888B0000}"/>
    <cellStyle name="Normal 2 6 2 4 4" xfId="36016" xr:uid="{00000000-0005-0000-0000-0000898B0000}"/>
    <cellStyle name="Normal 2 6 2 4 4 2" xfId="36017" xr:uid="{00000000-0005-0000-0000-00008A8B0000}"/>
    <cellStyle name="Normal 2 6 2 4 4 3" xfId="36018" xr:uid="{00000000-0005-0000-0000-00008B8B0000}"/>
    <cellStyle name="Normal 2 6 2 4 4 4" xfId="36019" xr:uid="{00000000-0005-0000-0000-00008C8B0000}"/>
    <cellStyle name="Normal 2 6 2 4 4 5" xfId="36020" xr:uid="{00000000-0005-0000-0000-00008D8B0000}"/>
    <cellStyle name="Normal 2 6 2 4 5" xfId="36021" xr:uid="{00000000-0005-0000-0000-00008E8B0000}"/>
    <cellStyle name="Normal 2 6 2 4 6" xfId="36022" xr:uid="{00000000-0005-0000-0000-00008F8B0000}"/>
    <cellStyle name="Normal 2 6 2 4 7" xfId="36023" xr:uid="{00000000-0005-0000-0000-0000908B0000}"/>
    <cellStyle name="Normal 2 6 2 4 8" xfId="36024" xr:uid="{00000000-0005-0000-0000-0000918B0000}"/>
    <cellStyle name="Normal 2 6 2 4 9" xfId="36025" xr:uid="{00000000-0005-0000-0000-0000928B0000}"/>
    <cellStyle name="Normal 2 6 2 5" xfId="36026" xr:uid="{00000000-0005-0000-0000-0000938B0000}"/>
    <cellStyle name="Normal 2 6 2 5 2" xfId="36027" xr:uid="{00000000-0005-0000-0000-0000948B0000}"/>
    <cellStyle name="Normal 2 6 2 5 2 2" xfId="36028" xr:uid="{00000000-0005-0000-0000-0000958B0000}"/>
    <cellStyle name="Normal 2 6 2 5 2 3" xfId="36029" xr:uid="{00000000-0005-0000-0000-0000968B0000}"/>
    <cellStyle name="Normal 2 6 2 5 2 4" xfId="36030" xr:uid="{00000000-0005-0000-0000-0000978B0000}"/>
    <cellStyle name="Normal 2 6 2 5 2 5" xfId="36031" xr:uid="{00000000-0005-0000-0000-0000988B0000}"/>
    <cellStyle name="Normal 2 6 2 5 3" xfId="36032" xr:uid="{00000000-0005-0000-0000-0000998B0000}"/>
    <cellStyle name="Normal 2 6 2 5 4" xfId="36033" xr:uid="{00000000-0005-0000-0000-00009A8B0000}"/>
    <cellStyle name="Normal 2 6 2 5 5" xfId="36034" xr:uid="{00000000-0005-0000-0000-00009B8B0000}"/>
    <cellStyle name="Normal 2 6 2 5 6" xfId="36035" xr:uid="{00000000-0005-0000-0000-00009C8B0000}"/>
    <cellStyle name="Normal 2 6 2 5 7" xfId="36036" xr:uid="{00000000-0005-0000-0000-00009D8B0000}"/>
    <cellStyle name="Normal 2 6 2 5 8" xfId="36037" xr:uid="{00000000-0005-0000-0000-00009E8B0000}"/>
    <cellStyle name="Normal 2 6 2 6" xfId="36038" xr:uid="{00000000-0005-0000-0000-00009F8B0000}"/>
    <cellStyle name="Normal 2 6 2 6 2" xfId="36039" xr:uid="{00000000-0005-0000-0000-0000A08B0000}"/>
    <cellStyle name="Normal 2 6 2 6 2 2" xfId="36040" xr:uid="{00000000-0005-0000-0000-0000A18B0000}"/>
    <cellStyle name="Normal 2 6 2 6 2 3" xfId="36041" xr:uid="{00000000-0005-0000-0000-0000A28B0000}"/>
    <cellStyle name="Normal 2 6 2 6 2 4" xfId="36042" xr:uid="{00000000-0005-0000-0000-0000A38B0000}"/>
    <cellStyle name="Normal 2 6 2 6 2 5" xfId="36043" xr:uid="{00000000-0005-0000-0000-0000A48B0000}"/>
    <cellStyle name="Normal 2 6 2 6 3" xfId="36044" xr:uid="{00000000-0005-0000-0000-0000A58B0000}"/>
    <cellStyle name="Normal 2 6 2 6 4" xfId="36045" xr:uid="{00000000-0005-0000-0000-0000A68B0000}"/>
    <cellStyle name="Normal 2 6 2 6 5" xfId="36046" xr:uid="{00000000-0005-0000-0000-0000A78B0000}"/>
    <cellStyle name="Normal 2 6 2 6 6" xfId="36047" xr:uid="{00000000-0005-0000-0000-0000A88B0000}"/>
    <cellStyle name="Normal 2 6 2 6 7" xfId="36048" xr:uid="{00000000-0005-0000-0000-0000A98B0000}"/>
    <cellStyle name="Normal 2 6 2 6 8" xfId="36049" xr:uid="{00000000-0005-0000-0000-0000AA8B0000}"/>
    <cellStyle name="Normal 2 6 2 7" xfId="36050" xr:uid="{00000000-0005-0000-0000-0000AB8B0000}"/>
    <cellStyle name="Normal 2 6 2 7 2" xfId="36051" xr:uid="{00000000-0005-0000-0000-0000AC8B0000}"/>
    <cellStyle name="Normal 2 6 2 7 3" xfId="36052" xr:uid="{00000000-0005-0000-0000-0000AD8B0000}"/>
    <cellStyle name="Normal 2 6 2 7 4" xfId="36053" xr:uid="{00000000-0005-0000-0000-0000AE8B0000}"/>
    <cellStyle name="Normal 2 6 2 7 5" xfId="36054" xr:uid="{00000000-0005-0000-0000-0000AF8B0000}"/>
    <cellStyle name="Normal 2 6 2 8" xfId="36055" xr:uid="{00000000-0005-0000-0000-0000B08B0000}"/>
    <cellStyle name="Normal 2 6 2 9" xfId="36056" xr:uid="{00000000-0005-0000-0000-0000B18B0000}"/>
    <cellStyle name="Normal 2 6 20" xfId="36057" xr:uid="{00000000-0005-0000-0000-0000B28B0000}"/>
    <cellStyle name="Normal 2 6 3" xfId="881" xr:uid="{00000000-0005-0000-0000-0000B38B0000}"/>
    <cellStyle name="Normal 2 6 3 10" xfId="36058" xr:uid="{00000000-0005-0000-0000-0000B48B0000}"/>
    <cellStyle name="Normal 2 6 3 11" xfId="36059" xr:uid="{00000000-0005-0000-0000-0000B58B0000}"/>
    <cellStyle name="Normal 2 6 3 12" xfId="36060" xr:uid="{00000000-0005-0000-0000-0000B68B0000}"/>
    <cellStyle name="Normal 2 6 3 13" xfId="36061" xr:uid="{00000000-0005-0000-0000-0000B78B0000}"/>
    <cellStyle name="Normal 2 6 3 2" xfId="36062" xr:uid="{00000000-0005-0000-0000-0000B88B0000}"/>
    <cellStyle name="Normal 2 6 3 2 10" xfId="36063" xr:uid="{00000000-0005-0000-0000-0000B98B0000}"/>
    <cellStyle name="Normal 2 6 3 2 11" xfId="36064" xr:uid="{00000000-0005-0000-0000-0000BA8B0000}"/>
    <cellStyle name="Normal 2 6 3 2 2" xfId="36065" xr:uid="{00000000-0005-0000-0000-0000BB8B0000}"/>
    <cellStyle name="Normal 2 6 3 2 2 10" xfId="36066" xr:uid="{00000000-0005-0000-0000-0000BC8B0000}"/>
    <cellStyle name="Normal 2 6 3 2 2 2" xfId="36067" xr:uid="{00000000-0005-0000-0000-0000BD8B0000}"/>
    <cellStyle name="Normal 2 6 3 2 2 2 2" xfId="36068" xr:uid="{00000000-0005-0000-0000-0000BE8B0000}"/>
    <cellStyle name="Normal 2 6 3 2 2 2 2 2" xfId="36069" xr:uid="{00000000-0005-0000-0000-0000BF8B0000}"/>
    <cellStyle name="Normal 2 6 3 2 2 2 2 3" xfId="36070" xr:uid="{00000000-0005-0000-0000-0000C08B0000}"/>
    <cellStyle name="Normal 2 6 3 2 2 2 2 4" xfId="36071" xr:uid="{00000000-0005-0000-0000-0000C18B0000}"/>
    <cellStyle name="Normal 2 6 3 2 2 2 2 5" xfId="36072" xr:uid="{00000000-0005-0000-0000-0000C28B0000}"/>
    <cellStyle name="Normal 2 6 3 2 2 2 3" xfId="36073" xr:uid="{00000000-0005-0000-0000-0000C38B0000}"/>
    <cellStyle name="Normal 2 6 3 2 2 2 4" xfId="36074" xr:uid="{00000000-0005-0000-0000-0000C48B0000}"/>
    <cellStyle name="Normal 2 6 3 2 2 2 5" xfId="36075" xr:uid="{00000000-0005-0000-0000-0000C58B0000}"/>
    <cellStyle name="Normal 2 6 3 2 2 2 6" xfId="36076" xr:uid="{00000000-0005-0000-0000-0000C68B0000}"/>
    <cellStyle name="Normal 2 6 3 2 2 2 7" xfId="36077" xr:uid="{00000000-0005-0000-0000-0000C78B0000}"/>
    <cellStyle name="Normal 2 6 3 2 2 2 8" xfId="36078" xr:uid="{00000000-0005-0000-0000-0000C88B0000}"/>
    <cellStyle name="Normal 2 6 3 2 2 3" xfId="36079" xr:uid="{00000000-0005-0000-0000-0000C98B0000}"/>
    <cellStyle name="Normal 2 6 3 2 2 3 2" xfId="36080" xr:uid="{00000000-0005-0000-0000-0000CA8B0000}"/>
    <cellStyle name="Normal 2 6 3 2 2 3 2 2" xfId="36081" xr:uid="{00000000-0005-0000-0000-0000CB8B0000}"/>
    <cellStyle name="Normal 2 6 3 2 2 3 2 3" xfId="36082" xr:uid="{00000000-0005-0000-0000-0000CC8B0000}"/>
    <cellStyle name="Normal 2 6 3 2 2 3 2 4" xfId="36083" xr:uid="{00000000-0005-0000-0000-0000CD8B0000}"/>
    <cellStyle name="Normal 2 6 3 2 2 3 2 5" xfId="36084" xr:uid="{00000000-0005-0000-0000-0000CE8B0000}"/>
    <cellStyle name="Normal 2 6 3 2 2 3 3" xfId="36085" xr:uid="{00000000-0005-0000-0000-0000CF8B0000}"/>
    <cellStyle name="Normal 2 6 3 2 2 3 4" xfId="36086" xr:uid="{00000000-0005-0000-0000-0000D08B0000}"/>
    <cellStyle name="Normal 2 6 3 2 2 3 5" xfId="36087" xr:uid="{00000000-0005-0000-0000-0000D18B0000}"/>
    <cellStyle name="Normal 2 6 3 2 2 3 6" xfId="36088" xr:uid="{00000000-0005-0000-0000-0000D28B0000}"/>
    <cellStyle name="Normal 2 6 3 2 2 3 7" xfId="36089" xr:uid="{00000000-0005-0000-0000-0000D38B0000}"/>
    <cellStyle name="Normal 2 6 3 2 2 3 8" xfId="36090" xr:uid="{00000000-0005-0000-0000-0000D48B0000}"/>
    <cellStyle name="Normal 2 6 3 2 2 4" xfId="36091" xr:uid="{00000000-0005-0000-0000-0000D58B0000}"/>
    <cellStyle name="Normal 2 6 3 2 2 4 2" xfId="36092" xr:uid="{00000000-0005-0000-0000-0000D68B0000}"/>
    <cellStyle name="Normal 2 6 3 2 2 4 3" xfId="36093" xr:uid="{00000000-0005-0000-0000-0000D78B0000}"/>
    <cellStyle name="Normal 2 6 3 2 2 4 4" xfId="36094" xr:uid="{00000000-0005-0000-0000-0000D88B0000}"/>
    <cellStyle name="Normal 2 6 3 2 2 4 5" xfId="36095" xr:uid="{00000000-0005-0000-0000-0000D98B0000}"/>
    <cellStyle name="Normal 2 6 3 2 2 5" xfId="36096" xr:uid="{00000000-0005-0000-0000-0000DA8B0000}"/>
    <cellStyle name="Normal 2 6 3 2 2 6" xfId="36097" xr:uid="{00000000-0005-0000-0000-0000DB8B0000}"/>
    <cellStyle name="Normal 2 6 3 2 2 7" xfId="36098" xr:uid="{00000000-0005-0000-0000-0000DC8B0000}"/>
    <cellStyle name="Normal 2 6 3 2 2 8" xfId="36099" xr:uid="{00000000-0005-0000-0000-0000DD8B0000}"/>
    <cellStyle name="Normal 2 6 3 2 2 9" xfId="36100" xr:uid="{00000000-0005-0000-0000-0000DE8B0000}"/>
    <cellStyle name="Normal 2 6 3 2 3" xfId="36101" xr:uid="{00000000-0005-0000-0000-0000DF8B0000}"/>
    <cellStyle name="Normal 2 6 3 2 3 2" xfId="36102" xr:uid="{00000000-0005-0000-0000-0000E08B0000}"/>
    <cellStyle name="Normal 2 6 3 2 3 2 2" xfId="36103" xr:uid="{00000000-0005-0000-0000-0000E18B0000}"/>
    <cellStyle name="Normal 2 6 3 2 3 2 3" xfId="36104" xr:uid="{00000000-0005-0000-0000-0000E28B0000}"/>
    <cellStyle name="Normal 2 6 3 2 3 2 4" xfId="36105" xr:uid="{00000000-0005-0000-0000-0000E38B0000}"/>
    <cellStyle name="Normal 2 6 3 2 3 2 5" xfId="36106" xr:uid="{00000000-0005-0000-0000-0000E48B0000}"/>
    <cellStyle name="Normal 2 6 3 2 3 3" xfId="36107" xr:uid="{00000000-0005-0000-0000-0000E58B0000}"/>
    <cellStyle name="Normal 2 6 3 2 3 4" xfId="36108" xr:uid="{00000000-0005-0000-0000-0000E68B0000}"/>
    <cellStyle name="Normal 2 6 3 2 3 5" xfId="36109" xr:uid="{00000000-0005-0000-0000-0000E78B0000}"/>
    <cellStyle name="Normal 2 6 3 2 3 6" xfId="36110" xr:uid="{00000000-0005-0000-0000-0000E88B0000}"/>
    <cellStyle name="Normal 2 6 3 2 3 7" xfId="36111" xr:uid="{00000000-0005-0000-0000-0000E98B0000}"/>
    <cellStyle name="Normal 2 6 3 2 3 8" xfId="36112" xr:uid="{00000000-0005-0000-0000-0000EA8B0000}"/>
    <cellStyle name="Normal 2 6 3 2 4" xfId="36113" xr:uid="{00000000-0005-0000-0000-0000EB8B0000}"/>
    <cellStyle name="Normal 2 6 3 2 4 2" xfId="36114" xr:uid="{00000000-0005-0000-0000-0000EC8B0000}"/>
    <cellStyle name="Normal 2 6 3 2 4 2 2" xfId="36115" xr:uid="{00000000-0005-0000-0000-0000ED8B0000}"/>
    <cellStyle name="Normal 2 6 3 2 4 2 3" xfId="36116" xr:uid="{00000000-0005-0000-0000-0000EE8B0000}"/>
    <cellStyle name="Normal 2 6 3 2 4 2 4" xfId="36117" xr:uid="{00000000-0005-0000-0000-0000EF8B0000}"/>
    <cellStyle name="Normal 2 6 3 2 4 2 5" xfId="36118" xr:uid="{00000000-0005-0000-0000-0000F08B0000}"/>
    <cellStyle name="Normal 2 6 3 2 4 3" xfId="36119" xr:uid="{00000000-0005-0000-0000-0000F18B0000}"/>
    <cellStyle name="Normal 2 6 3 2 4 4" xfId="36120" xr:uid="{00000000-0005-0000-0000-0000F28B0000}"/>
    <cellStyle name="Normal 2 6 3 2 4 5" xfId="36121" xr:uid="{00000000-0005-0000-0000-0000F38B0000}"/>
    <cellStyle name="Normal 2 6 3 2 4 6" xfId="36122" xr:uid="{00000000-0005-0000-0000-0000F48B0000}"/>
    <cellStyle name="Normal 2 6 3 2 4 7" xfId="36123" xr:uid="{00000000-0005-0000-0000-0000F58B0000}"/>
    <cellStyle name="Normal 2 6 3 2 4 8" xfId="36124" xr:uid="{00000000-0005-0000-0000-0000F68B0000}"/>
    <cellStyle name="Normal 2 6 3 2 5" xfId="36125" xr:uid="{00000000-0005-0000-0000-0000F78B0000}"/>
    <cellStyle name="Normal 2 6 3 2 5 2" xfId="36126" xr:uid="{00000000-0005-0000-0000-0000F88B0000}"/>
    <cellStyle name="Normal 2 6 3 2 5 3" xfId="36127" xr:uid="{00000000-0005-0000-0000-0000F98B0000}"/>
    <cellStyle name="Normal 2 6 3 2 5 4" xfId="36128" xr:uid="{00000000-0005-0000-0000-0000FA8B0000}"/>
    <cellStyle name="Normal 2 6 3 2 5 5" xfId="36129" xr:uid="{00000000-0005-0000-0000-0000FB8B0000}"/>
    <cellStyle name="Normal 2 6 3 2 6" xfId="36130" xr:uid="{00000000-0005-0000-0000-0000FC8B0000}"/>
    <cellStyle name="Normal 2 6 3 2 7" xfId="36131" xr:uid="{00000000-0005-0000-0000-0000FD8B0000}"/>
    <cellStyle name="Normal 2 6 3 2 8" xfId="36132" xr:uid="{00000000-0005-0000-0000-0000FE8B0000}"/>
    <cellStyle name="Normal 2 6 3 2 9" xfId="36133" xr:uid="{00000000-0005-0000-0000-0000FF8B0000}"/>
    <cellStyle name="Normal 2 6 3 3" xfId="36134" xr:uid="{00000000-0005-0000-0000-0000008C0000}"/>
    <cellStyle name="Normal 2 6 3 3 10" xfId="36135" xr:uid="{00000000-0005-0000-0000-0000018C0000}"/>
    <cellStyle name="Normal 2 6 3 3 11" xfId="36136" xr:uid="{00000000-0005-0000-0000-0000028C0000}"/>
    <cellStyle name="Normal 2 6 3 3 2" xfId="36137" xr:uid="{00000000-0005-0000-0000-0000038C0000}"/>
    <cellStyle name="Normal 2 6 3 3 2 10" xfId="36138" xr:uid="{00000000-0005-0000-0000-0000048C0000}"/>
    <cellStyle name="Normal 2 6 3 3 2 2" xfId="36139" xr:uid="{00000000-0005-0000-0000-0000058C0000}"/>
    <cellStyle name="Normal 2 6 3 3 2 2 2" xfId="36140" xr:uid="{00000000-0005-0000-0000-0000068C0000}"/>
    <cellStyle name="Normal 2 6 3 3 2 2 2 2" xfId="36141" xr:uid="{00000000-0005-0000-0000-0000078C0000}"/>
    <cellStyle name="Normal 2 6 3 3 2 2 2 3" xfId="36142" xr:uid="{00000000-0005-0000-0000-0000088C0000}"/>
    <cellStyle name="Normal 2 6 3 3 2 2 2 4" xfId="36143" xr:uid="{00000000-0005-0000-0000-0000098C0000}"/>
    <cellStyle name="Normal 2 6 3 3 2 2 2 5" xfId="36144" xr:uid="{00000000-0005-0000-0000-00000A8C0000}"/>
    <cellStyle name="Normal 2 6 3 3 2 2 3" xfId="36145" xr:uid="{00000000-0005-0000-0000-00000B8C0000}"/>
    <cellStyle name="Normal 2 6 3 3 2 2 4" xfId="36146" xr:uid="{00000000-0005-0000-0000-00000C8C0000}"/>
    <cellStyle name="Normal 2 6 3 3 2 2 5" xfId="36147" xr:uid="{00000000-0005-0000-0000-00000D8C0000}"/>
    <cellStyle name="Normal 2 6 3 3 2 2 6" xfId="36148" xr:uid="{00000000-0005-0000-0000-00000E8C0000}"/>
    <cellStyle name="Normal 2 6 3 3 2 2 7" xfId="36149" xr:uid="{00000000-0005-0000-0000-00000F8C0000}"/>
    <cellStyle name="Normal 2 6 3 3 2 2 8" xfId="36150" xr:uid="{00000000-0005-0000-0000-0000108C0000}"/>
    <cellStyle name="Normal 2 6 3 3 2 3" xfId="36151" xr:uid="{00000000-0005-0000-0000-0000118C0000}"/>
    <cellStyle name="Normal 2 6 3 3 2 3 2" xfId="36152" xr:uid="{00000000-0005-0000-0000-0000128C0000}"/>
    <cellStyle name="Normal 2 6 3 3 2 3 2 2" xfId="36153" xr:uid="{00000000-0005-0000-0000-0000138C0000}"/>
    <cellStyle name="Normal 2 6 3 3 2 3 2 3" xfId="36154" xr:uid="{00000000-0005-0000-0000-0000148C0000}"/>
    <cellStyle name="Normal 2 6 3 3 2 3 2 4" xfId="36155" xr:uid="{00000000-0005-0000-0000-0000158C0000}"/>
    <cellStyle name="Normal 2 6 3 3 2 3 2 5" xfId="36156" xr:uid="{00000000-0005-0000-0000-0000168C0000}"/>
    <cellStyle name="Normal 2 6 3 3 2 3 3" xfId="36157" xr:uid="{00000000-0005-0000-0000-0000178C0000}"/>
    <cellStyle name="Normal 2 6 3 3 2 3 4" xfId="36158" xr:uid="{00000000-0005-0000-0000-0000188C0000}"/>
    <cellStyle name="Normal 2 6 3 3 2 3 5" xfId="36159" xr:uid="{00000000-0005-0000-0000-0000198C0000}"/>
    <cellStyle name="Normal 2 6 3 3 2 3 6" xfId="36160" xr:uid="{00000000-0005-0000-0000-00001A8C0000}"/>
    <cellStyle name="Normal 2 6 3 3 2 3 7" xfId="36161" xr:uid="{00000000-0005-0000-0000-00001B8C0000}"/>
    <cellStyle name="Normal 2 6 3 3 2 3 8" xfId="36162" xr:uid="{00000000-0005-0000-0000-00001C8C0000}"/>
    <cellStyle name="Normal 2 6 3 3 2 4" xfId="36163" xr:uid="{00000000-0005-0000-0000-00001D8C0000}"/>
    <cellStyle name="Normal 2 6 3 3 2 4 2" xfId="36164" xr:uid="{00000000-0005-0000-0000-00001E8C0000}"/>
    <cellStyle name="Normal 2 6 3 3 2 4 3" xfId="36165" xr:uid="{00000000-0005-0000-0000-00001F8C0000}"/>
    <cellStyle name="Normal 2 6 3 3 2 4 4" xfId="36166" xr:uid="{00000000-0005-0000-0000-0000208C0000}"/>
    <cellStyle name="Normal 2 6 3 3 2 4 5" xfId="36167" xr:uid="{00000000-0005-0000-0000-0000218C0000}"/>
    <cellStyle name="Normal 2 6 3 3 2 5" xfId="36168" xr:uid="{00000000-0005-0000-0000-0000228C0000}"/>
    <cellStyle name="Normal 2 6 3 3 2 6" xfId="36169" xr:uid="{00000000-0005-0000-0000-0000238C0000}"/>
    <cellStyle name="Normal 2 6 3 3 2 7" xfId="36170" xr:uid="{00000000-0005-0000-0000-0000248C0000}"/>
    <cellStyle name="Normal 2 6 3 3 2 8" xfId="36171" xr:uid="{00000000-0005-0000-0000-0000258C0000}"/>
    <cellStyle name="Normal 2 6 3 3 2 9" xfId="36172" xr:uid="{00000000-0005-0000-0000-0000268C0000}"/>
    <cellStyle name="Normal 2 6 3 3 3" xfId="36173" xr:uid="{00000000-0005-0000-0000-0000278C0000}"/>
    <cellStyle name="Normal 2 6 3 3 3 2" xfId="36174" xr:uid="{00000000-0005-0000-0000-0000288C0000}"/>
    <cellStyle name="Normal 2 6 3 3 3 2 2" xfId="36175" xr:uid="{00000000-0005-0000-0000-0000298C0000}"/>
    <cellStyle name="Normal 2 6 3 3 3 2 3" xfId="36176" xr:uid="{00000000-0005-0000-0000-00002A8C0000}"/>
    <cellStyle name="Normal 2 6 3 3 3 2 4" xfId="36177" xr:uid="{00000000-0005-0000-0000-00002B8C0000}"/>
    <cellStyle name="Normal 2 6 3 3 3 2 5" xfId="36178" xr:uid="{00000000-0005-0000-0000-00002C8C0000}"/>
    <cellStyle name="Normal 2 6 3 3 3 3" xfId="36179" xr:uid="{00000000-0005-0000-0000-00002D8C0000}"/>
    <cellStyle name="Normal 2 6 3 3 3 4" xfId="36180" xr:uid="{00000000-0005-0000-0000-00002E8C0000}"/>
    <cellStyle name="Normal 2 6 3 3 3 5" xfId="36181" xr:uid="{00000000-0005-0000-0000-00002F8C0000}"/>
    <cellStyle name="Normal 2 6 3 3 3 6" xfId="36182" xr:uid="{00000000-0005-0000-0000-0000308C0000}"/>
    <cellStyle name="Normal 2 6 3 3 3 7" xfId="36183" xr:uid="{00000000-0005-0000-0000-0000318C0000}"/>
    <cellStyle name="Normal 2 6 3 3 3 8" xfId="36184" xr:uid="{00000000-0005-0000-0000-0000328C0000}"/>
    <cellStyle name="Normal 2 6 3 3 4" xfId="36185" xr:uid="{00000000-0005-0000-0000-0000338C0000}"/>
    <cellStyle name="Normal 2 6 3 3 4 2" xfId="36186" xr:uid="{00000000-0005-0000-0000-0000348C0000}"/>
    <cellStyle name="Normal 2 6 3 3 4 2 2" xfId="36187" xr:uid="{00000000-0005-0000-0000-0000358C0000}"/>
    <cellStyle name="Normal 2 6 3 3 4 2 3" xfId="36188" xr:uid="{00000000-0005-0000-0000-0000368C0000}"/>
    <cellStyle name="Normal 2 6 3 3 4 2 4" xfId="36189" xr:uid="{00000000-0005-0000-0000-0000378C0000}"/>
    <cellStyle name="Normal 2 6 3 3 4 2 5" xfId="36190" xr:uid="{00000000-0005-0000-0000-0000388C0000}"/>
    <cellStyle name="Normal 2 6 3 3 4 3" xfId="36191" xr:uid="{00000000-0005-0000-0000-0000398C0000}"/>
    <cellStyle name="Normal 2 6 3 3 4 4" xfId="36192" xr:uid="{00000000-0005-0000-0000-00003A8C0000}"/>
    <cellStyle name="Normal 2 6 3 3 4 5" xfId="36193" xr:uid="{00000000-0005-0000-0000-00003B8C0000}"/>
    <cellStyle name="Normal 2 6 3 3 4 6" xfId="36194" xr:uid="{00000000-0005-0000-0000-00003C8C0000}"/>
    <cellStyle name="Normal 2 6 3 3 4 7" xfId="36195" xr:uid="{00000000-0005-0000-0000-00003D8C0000}"/>
    <cellStyle name="Normal 2 6 3 3 4 8" xfId="36196" xr:uid="{00000000-0005-0000-0000-00003E8C0000}"/>
    <cellStyle name="Normal 2 6 3 3 5" xfId="36197" xr:uid="{00000000-0005-0000-0000-00003F8C0000}"/>
    <cellStyle name="Normal 2 6 3 3 5 2" xfId="36198" xr:uid="{00000000-0005-0000-0000-0000408C0000}"/>
    <cellStyle name="Normal 2 6 3 3 5 3" xfId="36199" xr:uid="{00000000-0005-0000-0000-0000418C0000}"/>
    <cellStyle name="Normal 2 6 3 3 5 4" xfId="36200" xr:uid="{00000000-0005-0000-0000-0000428C0000}"/>
    <cellStyle name="Normal 2 6 3 3 5 5" xfId="36201" xr:uid="{00000000-0005-0000-0000-0000438C0000}"/>
    <cellStyle name="Normal 2 6 3 3 6" xfId="36202" xr:uid="{00000000-0005-0000-0000-0000448C0000}"/>
    <cellStyle name="Normal 2 6 3 3 7" xfId="36203" xr:uid="{00000000-0005-0000-0000-0000458C0000}"/>
    <cellStyle name="Normal 2 6 3 3 8" xfId="36204" xr:uid="{00000000-0005-0000-0000-0000468C0000}"/>
    <cellStyle name="Normal 2 6 3 3 9" xfId="36205" xr:uid="{00000000-0005-0000-0000-0000478C0000}"/>
    <cellStyle name="Normal 2 6 3 4" xfId="36206" xr:uid="{00000000-0005-0000-0000-0000488C0000}"/>
    <cellStyle name="Normal 2 6 3 4 10" xfId="36207" xr:uid="{00000000-0005-0000-0000-0000498C0000}"/>
    <cellStyle name="Normal 2 6 3 4 2" xfId="36208" xr:uid="{00000000-0005-0000-0000-00004A8C0000}"/>
    <cellStyle name="Normal 2 6 3 4 2 2" xfId="36209" xr:uid="{00000000-0005-0000-0000-00004B8C0000}"/>
    <cellStyle name="Normal 2 6 3 4 2 2 2" xfId="36210" xr:uid="{00000000-0005-0000-0000-00004C8C0000}"/>
    <cellStyle name="Normal 2 6 3 4 2 2 3" xfId="36211" xr:uid="{00000000-0005-0000-0000-00004D8C0000}"/>
    <cellStyle name="Normal 2 6 3 4 2 2 4" xfId="36212" xr:uid="{00000000-0005-0000-0000-00004E8C0000}"/>
    <cellStyle name="Normal 2 6 3 4 2 2 5" xfId="36213" xr:uid="{00000000-0005-0000-0000-00004F8C0000}"/>
    <cellStyle name="Normal 2 6 3 4 2 3" xfId="36214" xr:uid="{00000000-0005-0000-0000-0000508C0000}"/>
    <cellStyle name="Normal 2 6 3 4 2 4" xfId="36215" xr:uid="{00000000-0005-0000-0000-0000518C0000}"/>
    <cellStyle name="Normal 2 6 3 4 2 5" xfId="36216" xr:uid="{00000000-0005-0000-0000-0000528C0000}"/>
    <cellStyle name="Normal 2 6 3 4 2 6" xfId="36217" xr:uid="{00000000-0005-0000-0000-0000538C0000}"/>
    <cellStyle name="Normal 2 6 3 4 2 7" xfId="36218" xr:uid="{00000000-0005-0000-0000-0000548C0000}"/>
    <cellStyle name="Normal 2 6 3 4 2 8" xfId="36219" xr:uid="{00000000-0005-0000-0000-0000558C0000}"/>
    <cellStyle name="Normal 2 6 3 4 3" xfId="36220" xr:uid="{00000000-0005-0000-0000-0000568C0000}"/>
    <cellStyle name="Normal 2 6 3 4 3 2" xfId="36221" xr:uid="{00000000-0005-0000-0000-0000578C0000}"/>
    <cellStyle name="Normal 2 6 3 4 3 2 2" xfId="36222" xr:uid="{00000000-0005-0000-0000-0000588C0000}"/>
    <cellStyle name="Normal 2 6 3 4 3 2 3" xfId="36223" xr:uid="{00000000-0005-0000-0000-0000598C0000}"/>
    <cellStyle name="Normal 2 6 3 4 3 2 4" xfId="36224" xr:uid="{00000000-0005-0000-0000-00005A8C0000}"/>
    <cellStyle name="Normal 2 6 3 4 3 2 5" xfId="36225" xr:uid="{00000000-0005-0000-0000-00005B8C0000}"/>
    <cellStyle name="Normal 2 6 3 4 3 3" xfId="36226" xr:uid="{00000000-0005-0000-0000-00005C8C0000}"/>
    <cellStyle name="Normal 2 6 3 4 3 4" xfId="36227" xr:uid="{00000000-0005-0000-0000-00005D8C0000}"/>
    <cellStyle name="Normal 2 6 3 4 3 5" xfId="36228" xr:uid="{00000000-0005-0000-0000-00005E8C0000}"/>
    <cellStyle name="Normal 2 6 3 4 3 6" xfId="36229" xr:uid="{00000000-0005-0000-0000-00005F8C0000}"/>
    <cellStyle name="Normal 2 6 3 4 3 7" xfId="36230" xr:uid="{00000000-0005-0000-0000-0000608C0000}"/>
    <cellStyle name="Normal 2 6 3 4 3 8" xfId="36231" xr:uid="{00000000-0005-0000-0000-0000618C0000}"/>
    <cellStyle name="Normal 2 6 3 4 4" xfId="36232" xr:uid="{00000000-0005-0000-0000-0000628C0000}"/>
    <cellStyle name="Normal 2 6 3 4 4 2" xfId="36233" xr:uid="{00000000-0005-0000-0000-0000638C0000}"/>
    <cellStyle name="Normal 2 6 3 4 4 3" xfId="36234" xr:uid="{00000000-0005-0000-0000-0000648C0000}"/>
    <cellStyle name="Normal 2 6 3 4 4 4" xfId="36235" xr:uid="{00000000-0005-0000-0000-0000658C0000}"/>
    <cellStyle name="Normal 2 6 3 4 4 5" xfId="36236" xr:uid="{00000000-0005-0000-0000-0000668C0000}"/>
    <cellStyle name="Normal 2 6 3 4 5" xfId="36237" xr:uid="{00000000-0005-0000-0000-0000678C0000}"/>
    <cellStyle name="Normal 2 6 3 4 6" xfId="36238" xr:uid="{00000000-0005-0000-0000-0000688C0000}"/>
    <cellStyle name="Normal 2 6 3 4 7" xfId="36239" xr:uid="{00000000-0005-0000-0000-0000698C0000}"/>
    <cellStyle name="Normal 2 6 3 4 8" xfId="36240" xr:uid="{00000000-0005-0000-0000-00006A8C0000}"/>
    <cellStyle name="Normal 2 6 3 4 9" xfId="36241" xr:uid="{00000000-0005-0000-0000-00006B8C0000}"/>
    <cellStyle name="Normal 2 6 3 5" xfId="36242" xr:uid="{00000000-0005-0000-0000-00006C8C0000}"/>
    <cellStyle name="Normal 2 6 3 5 2" xfId="36243" xr:uid="{00000000-0005-0000-0000-00006D8C0000}"/>
    <cellStyle name="Normal 2 6 3 5 2 2" xfId="36244" xr:uid="{00000000-0005-0000-0000-00006E8C0000}"/>
    <cellStyle name="Normal 2 6 3 5 2 3" xfId="36245" xr:uid="{00000000-0005-0000-0000-00006F8C0000}"/>
    <cellStyle name="Normal 2 6 3 5 2 4" xfId="36246" xr:uid="{00000000-0005-0000-0000-0000708C0000}"/>
    <cellStyle name="Normal 2 6 3 5 2 5" xfId="36247" xr:uid="{00000000-0005-0000-0000-0000718C0000}"/>
    <cellStyle name="Normal 2 6 3 5 3" xfId="36248" xr:uid="{00000000-0005-0000-0000-0000728C0000}"/>
    <cellStyle name="Normal 2 6 3 5 4" xfId="36249" xr:uid="{00000000-0005-0000-0000-0000738C0000}"/>
    <cellStyle name="Normal 2 6 3 5 5" xfId="36250" xr:uid="{00000000-0005-0000-0000-0000748C0000}"/>
    <cellStyle name="Normal 2 6 3 5 6" xfId="36251" xr:uid="{00000000-0005-0000-0000-0000758C0000}"/>
    <cellStyle name="Normal 2 6 3 5 7" xfId="36252" xr:uid="{00000000-0005-0000-0000-0000768C0000}"/>
    <cellStyle name="Normal 2 6 3 5 8" xfId="36253" xr:uid="{00000000-0005-0000-0000-0000778C0000}"/>
    <cellStyle name="Normal 2 6 3 6" xfId="36254" xr:uid="{00000000-0005-0000-0000-0000788C0000}"/>
    <cellStyle name="Normal 2 6 3 6 2" xfId="36255" xr:uid="{00000000-0005-0000-0000-0000798C0000}"/>
    <cellStyle name="Normal 2 6 3 6 2 2" xfId="36256" xr:uid="{00000000-0005-0000-0000-00007A8C0000}"/>
    <cellStyle name="Normal 2 6 3 6 2 3" xfId="36257" xr:uid="{00000000-0005-0000-0000-00007B8C0000}"/>
    <cellStyle name="Normal 2 6 3 6 2 4" xfId="36258" xr:uid="{00000000-0005-0000-0000-00007C8C0000}"/>
    <cellStyle name="Normal 2 6 3 6 2 5" xfId="36259" xr:uid="{00000000-0005-0000-0000-00007D8C0000}"/>
    <cellStyle name="Normal 2 6 3 6 3" xfId="36260" xr:uid="{00000000-0005-0000-0000-00007E8C0000}"/>
    <cellStyle name="Normal 2 6 3 6 4" xfId="36261" xr:uid="{00000000-0005-0000-0000-00007F8C0000}"/>
    <cellStyle name="Normal 2 6 3 6 5" xfId="36262" xr:uid="{00000000-0005-0000-0000-0000808C0000}"/>
    <cellStyle name="Normal 2 6 3 6 6" xfId="36263" xr:uid="{00000000-0005-0000-0000-0000818C0000}"/>
    <cellStyle name="Normal 2 6 3 6 7" xfId="36264" xr:uid="{00000000-0005-0000-0000-0000828C0000}"/>
    <cellStyle name="Normal 2 6 3 6 8" xfId="36265" xr:uid="{00000000-0005-0000-0000-0000838C0000}"/>
    <cellStyle name="Normal 2 6 3 7" xfId="36266" xr:uid="{00000000-0005-0000-0000-0000848C0000}"/>
    <cellStyle name="Normal 2 6 3 7 2" xfId="36267" xr:uid="{00000000-0005-0000-0000-0000858C0000}"/>
    <cellStyle name="Normal 2 6 3 7 3" xfId="36268" xr:uid="{00000000-0005-0000-0000-0000868C0000}"/>
    <cellStyle name="Normal 2 6 3 7 4" xfId="36269" xr:uid="{00000000-0005-0000-0000-0000878C0000}"/>
    <cellStyle name="Normal 2 6 3 7 5" xfId="36270" xr:uid="{00000000-0005-0000-0000-0000888C0000}"/>
    <cellStyle name="Normal 2 6 3 8" xfId="36271" xr:uid="{00000000-0005-0000-0000-0000898C0000}"/>
    <cellStyle name="Normal 2 6 3 9" xfId="36272" xr:uid="{00000000-0005-0000-0000-00008A8C0000}"/>
    <cellStyle name="Normal 2 6 4" xfId="882" xr:uid="{00000000-0005-0000-0000-00008B8C0000}"/>
    <cellStyle name="Normal 2 6 4 10" xfId="36273" xr:uid="{00000000-0005-0000-0000-00008C8C0000}"/>
    <cellStyle name="Normal 2 6 4 11" xfId="36274" xr:uid="{00000000-0005-0000-0000-00008D8C0000}"/>
    <cellStyle name="Normal 2 6 4 12" xfId="36275" xr:uid="{00000000-0005-0000-0000-00008E8C0000}"/>
    <cellStyle name="Normal 2 6 4 13" xfId="36276" xr:uid="{00000000-0005-0000-0000-00008F8C0000}"/>
    <cellStyle name="Normal 2 6 4 2" xfId="36277" xr:uid="{00000000-0005-0000-0000-0000908C0000}"/>
    <cellStyle name="Normal 2 6 4 2 10" xfId="36278" xr:uid="{00000000-0005-0000-0000-0000918C0000}"/>
    <cellStyle name="Normal 2 6 4 2 11" xfId="36279" xr:uid="{00000000-0005-0000-0000-0000928C0000}"/>
    <cellStyle name="Normal 2 6 4 2 2" xfId="36280" xr:uid="{00000000-0005-0000-0000-0000938C0000}"/>
    <cellStyle name="Normal 2 6 4 2 2 10" xfId="36281" xr:uid="{00000000-0005-0000-0000-0000948C0000}"/>
    <cellStyle name="Normal 2 6 4 2 2 2" xfId="36282" xr:uid="{00000000-0005-0000-0000-0000958C0000}"/>
    <cellStyle name="Normal 2 6 4 2 2 2 2" xfId="36283" xr:uid="{00000000-0005-0000-0000-0000968C0000}"/>
    <cellStyle name="Normal 2 6 4 2 2 2 2 2" xfId="36284" xr:uid="{00000000-0005-0000-0000-0000978C0000}"/>
    <cellStyle name="Normal 2 6 4 2 2 2 2 3" xfId="36285" xr:uid="{00000000-0005-0000-0000-0000988C0000}"/>
    <cellStyle name="Normal 2 6 4 2 2 2 2 4" xfId="36286" xr:uid="{00000000-0005-0000-0000-0000998C0000}"/>
    <cellStyle name="Normal 2 6 4 2 2 2 2 5" xfId="36287" xr:uid="{00000000-0005-0000-0000-00009A8C0000}"/>
    <cellStyle name="Normal 2 6 4 2 2 2 3" xfId="36288" xr:uid="{00000000-0005-0000-0000-00009B8C0000}"/>
    <cellStyle name="Normal 2 6 4 2 2 2 4" xfId="36289" xr:uid="{00000000-0005-0000-0000-00009C8C0000}"/>
    <cellStyle name="Normal 2 6 4 2 2 2 5" xfId="36290" xr:uid="{00000000-0005-0000-0000-00009D8C0000}"/>
    <cellStyle name="Normal 2 6 4 2 2 2 6" xfId="36291" xr:uid="{00000000-0005-0000-0000-00009E8C0000}"/>
    <cellStyle name="Normal 2 6 4 2 2 2 7" xfId="36292" xr:uid="{00000000-0005-0000-0000-00009F8C0000}"/>
    <cellStyle name="Normal 2 6 4 2 2 2 8" xfId="36293" xr:uid="{00000000-0005-0000-0000-0000A08C0000}"/>
    <cellStyle name="Normal 2 6 4 2 2 3" xfId="36294" xr:uid="{00000000-0005-0000-0000-0000A18C0000}"/>
    <cellStyle name="Normal 2 6 4 2 2 3 2" xfId="36295" xr:uid="{00000000-0005-0000-0000-0000A28C0000}"/>
    <cellStyle name="Normal 2 6 4 2 2 3 2 2" xfId="36296" xr:uid="{00000000-0005-0000-0000-0000A38C0000}"/>
    <cellStyle name="Normal 2 6 4 2 2 3 2 3" xfId="36297" xr:uid="{00000000-0005-0000-0000-0000A48C0000}"/>
    <cellStyle name="Normal 2 6 4 2 2 3 2 4" xfId="36298" xr:uid="{00000000-0005-0000-0000-0000A58C0000}"/>
    <cellStyle name="Normal 2 6 4 2 2 3 2 5" xfId="36299" xr:uid="{00000000-0005-0000-0000-0000A68C0000}"/>
    <cellStyle name="Normal 2 6 4 2 2 3 3" xfId="36300" xr:uid="{00000000-0005-0000-0000-0000A78C0000}"/>
    <cellStyle name="Normal 2 6 4 2 2 3 4" xfId="36301" xr:uid="{00000000-0005-0000-0000-0000A88C0000}"/>
    <cellStyle name="Normal 2 6 4 2 2 3 5" xfId="36302" xr:uid="{00000000-0005-0000-0000-0000A98C0000}"/>
    <cellStyle name="Normal 2 6 4 2 2 3 6" xfId="36303" xr:uid="{00000000-0005-0000-0000-0000AA8C0000}"/>
    <cellStyle name="Normal 2 6 4 2 2 3 7" xfId="36304" xr:uid="{00000000-0005-0000-0000-0000AB8C0000}"/>
    <cellStyle name="Normal 2 6 4 2 2 3 8" xfId="36305" xr:uid="{00000000-0005-0000-0000-0000AC8C0000}"/>
    <cellStyle name="Normal 2 6 4 2 2 4" xfId="36306" xr:uid="{00000000-0005-0000-0000-0000AD8C0000}"/>
    <cellStyle name="Normal 2 6 4 2 2 4 2" xfId="36307" xr:uid="{00000000-0005-0000-0000-0000AE8C0000}"/>
    <cellStyle name="Normal 2 6 4 2 2 4 3" xfId="36308" xr:uid="{00000000-0005-0000-0000-0000AF8C0000}"/>
    <cellStyle name="Normal 2 6 4 2 2 4 4" xfId="36309" xr:uid="{00000000-0005-0000-0000-0000B08C0000}"/>
    <cellStyle name="Normal 2 6 4 2 2 4 5" xfId="36310" xr:uid="{00000000-0005-0000-0000-0000B18C0000}"/>
    <cellStyle name="Normal 2 6 4 2 2 5" xfId="36311" xr:uid="{00000000-0005-0000-0000-0000B28C0000}"/>
    <cellStyle name="Normal 2 6 4 2 2 6" xfId="36312" xr:uid="{00000000-0005-0000-0000-0000B38C0000}"/>
    <cellStyle name="Normal 2 6 4 2 2 7" xfId="36313" xr:uid="{00000000-0005-0000-0000-0000B48C0000}"/>
    <cellStyle name="Normal 2 6 4 2 2 8" xfId="36314" xr:uid="{00000000-0005-0000-0000-0000B58C0000}"/>
    <cellStyle name="Normal 2 6 4 2 2 9" xfId="36315" xr:uid="{00000000-0005-0000-0000-0000B68C0000}"/>
    <cellStyle name="Normal 2 6 4 2 3" xfId="36316" xr:uid="{00000000-0005-0000-0000-0000B78C0000}"/>
    <cellStyle name="Normal 2 6 4 2 3 2" xfId="36317" xr:uid="{00000000-0005-0000-0000-0000B88C0000}"/>
    <cellStyle name="Normal 2 6 4 2 3 2 2" xfId="36318" xr:uid="{00000000-0005-0000-0000-0000B98C0000}"/>
    <cellStyle name="Normal 2 6 4 2 3 2 3" xfId="36319" xr:uid="{00000000-0005-0000-0000-0000BA8C0000}"/>
    <cellStyle name="Normal 2 6 4 2 3 2 4" xfId="36320" xr:uid="{00000000-0005-0000-0000-0000BB8C0000}"/>
    <cellStyle name="Normal 2 6 4 2 3 2 5" xfId="36321" xr:uid="{00000000-0005-0000-0000-0000BC8C0000}"/>
    <cellStyle name="Normal 2 6 4 2 3 3" xfId="36322" xr:uid="{00000000-0005-0000-0000-0000BD8C0000}"/>
    <cellStyle name="Normal 2 6 4 2 3 4" xfId="36323" xr:uid="{00000000-0005-0000-0000-0000BE8C0000}"/>
    <cellStyle name="Normal 2 6 4 2 3 5" xfId="36324" xr:uid="{00000000-0005-0000-0000-0000BF8C0000}"/>
    <cellStyle name="Normal 2 6 4 2 3 6" xfId="36325" xr:uid="{00000000-0005-0000-0000-0000C08C0000}"/>
    <cellStyle name="Normal 2 6 4 2 3 7" xfId="36326" xr:uid="{00000000-0005-0000-0000-0000C18C0000}"/>
    <cellStyle name="Normal 2 6 4 2 3 8" xfId="36327" xr:uid="{00000000-0005-0000-0000-0000C28C0000}"/>
    <cellStyle name="Normal 2 6 4 2 4" xfId="36328" xr:uid="{00000000-0005-0000-0000-0000C38C0000}"/>
    <cellStyle name="Normal 2 6 4 2 4 2" xfId="36329" xr:uid="{00000000-0005-0000-0000-0000C48C0000}"/>
    <cellStyle name="Normal 2 6 4 2 4 2 2" xfId="36330" xr:uid="{00000000-0005-0000-0000-0000C58C0000}"/>
    <cellStyle name="Normal 2 6 4 2 4 2 3" xfId="36331" xr:uid="{00000000-0005-0000-0000-0000C68C0000}"/>
    <cellStyle name="Normal 2 6 4 2 4 2 4" xfId="36332" xr:uid="{00000000-0005-0000-0000-0000C78C0000}"/>
    <cellStyle name="Normal 2 6 4 2 4 2 5" xfId="36333" xr:uid="{00000000-0005-0000-0000-0000C88C0000}"/>
    <cellStyle name="Normal 2 6 4 2 4 3" xfId="36334" xr:uid="{00000000-0005-0000-0000-0000C98C0000}"/>
    <cellStyle name="Normal 2 6 4 2 4 4" xfId="36335" xr:uid="{00000000-0005-0000-0000-0000CA8C0000}"/>
    <cellStyle name="Normal 2 6 4 2 4 5" xfId="36336" xr:uid="{00000000-0005-0000-0000-0000CB8C0000}"/>
    <cellStyle name="Normal 2 6 4 2 4 6" xfId="36337" xr:uid="{00000000-0005-0000-0000-0000CC8C0000}"/>
    <cellStyle name="Normal 2 6 4 2 4 7" xfId="36338" xr:uid="{00000000-0005-0000-0000-0000CD8C0000}"/>
    <cellStyle name="Normal 2 6 4 2 4 8" xfId="36339" xr:uid="{00000000-0005-0000-0000-0000CE8C0000}"/>
    <cellStyle name="Normal 2 6 4 2 5" xfId="36340" xr:uid="{00000000-0005-0000-0000-0000CF8C0000}"/>
    <cellStyle name="Normal 2 6 4 2 5 2" xfId="36341" xr:uid="{00000000-0005-0000-0000-0000D08C0000}"/>
    <cellStyle name="Normal 2 6 4 2 5 3" xfId="36342" xr:uid="{00000000-0005-0000-0000-0000D18C0000}"/>
    <cellStyle name="Normal 2 6 4 2 5 4" xfId="36343" xr:uid="{00000000-0005-0000-0000-0000D28C0000}"/>
    <cellStyle name="Normal 2 6 4 2 5 5" xfId="36344" xr:uid="{00000000-0005-0000-0000-0000D38C0000}"/>
    <cellStyle name="Normal 2 6 4 2 6" xfId="36345" xr:uid="{00000000-0005-0000-0000-0000D48C0000}"/>
    <cellStyle name="Normal 2 6 4 2 7" xfId="36346" xr:uid="{00000000-0005-0000-0000-0000D58C0000}"/>
    <cellStyle name="Normal 2 6 4 2 8" xfId="36347" xr:uid="{00000000-0005-0000-0000-0000D68C0000}"/>
    <cellStyle name="Normal 2 6 4 2 9" xfId="36348" xr:uid="{00000000-0005-0000-0000-0000D78C0000}"/>
    <cellStyle name="Normal 2 6 4 3" xfId="36349" xr:uid="{00000000-0005-0000-0000-0000D88C0000}"/>
    <cellStyle name="Normal 2 6 4 3 10" xfId="36350" xr:uid="{00000000-0005-0000-0000-0000D98C0000}"/>
    <cellStyle name="Normal 2 6 4 3 11" xfId="36351" xr:uid="{00000000-0005-0000-0000-0000DA8C0000}"/>
    <cellStyle name="Normal 2 6 4 3 2" xfId="36352" xr:uid="{00000000-0005-0000-0000-0000DB8C0000}"/>
    <cellStyle name="Normal 2 6 4 3 2 10" xfId="36353" xr:uid="{00000000-0005-0000-0000-0000DC8C0000}"/>
    <cellStyle name="Normal 2 6 4 3 2 2" xfId="36354" xr:uid="{00000000-0005-0000-0000-0000DD8C0000}"/>
    <cellStyle name="Normal 2 6 4 3 2 2 2" xfId="36355" xr:uid="{00000000-0005-0000-0000-0000DE8C0000}"/>
    <cellStyle name="Normal 2 6 4 3 2 2 2 2" xfId="36356" xr:uid="{00000000-0005-0000-0000-0000DF8C0000}"/>
    <cellStyle name="Normal 2 6 4 3 2 2 2 3" xfId="36357" xr:uid="{00000000-0005-0000-0000-0000E08C0000}"/>
    <cellStyle name="Normal 2 6 4 3 2 2 2 4" xfId="36358" xr:uid="{00000000-0005-0000-0000-0000E18C0000}"/>
    <cellStyle name="Normal 2 6 4 3 2 2 2 5" xfId="36359" xr:uid="{00000000-0005-0000-0000-0000E28C0000}"/>
    <cellStyle name="Normal 2 6 4 3 2 2 3" xfId="36360" xr:uid="{00000000-0005-0000-0000-0000E38C0000}"/>
    <cellStyle name="Normal 2 6 4 3 2 2 4" xfId="36361" xr:uid="{00000000-0005-0000-0000-0000E48C0000}"/>
    <cellStyle name="Normal 2 6 4 3 2 2 5" xfId="36362" xr:uid="{00000000-0005-0000-0000-0000E58C0000}"/>
    <cellStyle name="Normal 2 6 4 3 2 2 6" xfId="36363" xr:uid="{00000000-0005-0000-0000-0000E68C0000}"/>
    <cellStyle name="Normal 2 6 4 3 2 2 7" xfId="36364" xr:uid="{00000000-0005-0000-0000-0000E78C0000}"/>
    <cellStyle name="Normal 2 6 4 3 2 2 8" xfId="36365" xr:uid="{00000000-0005-0000-0000-0000E88C0000}"/>
    <cellStyle name="Normal 2 6 4 3 2 3" xfId="36366" xr:uid="{00000000-0005-0000-0000-0000E98C0000}"/>
    <cellStyle name="Normal 2 6 4 3 2 3 2" xfId="36367" xr:uid="{00000000-0005-0000-0000-0000EA8C0000}"/>
    <cellStyle name="Normal 2 6 4 3 2 3 2 2" xfId="36368" xr:uid="{00000000-0005-0000-0000-0000EB8C0000}"/>
    <cellStyle name="Normal 2 6 4 3 2 3 2 3" xfId="36369" xr:uid="{00000000-0005-0000-0000-0000EC8C0000}"/>
    <cellStyle name="Normal 2 6 4 3 2 3 2 4" xfId="36370" xr:uid="{00000000-0005-0000-0000-0000ED8C0000}"/>
    <cellStyle name="Normal 2 6 4 3 2 3 2 5" xfId="36371" xr:uid="{00000000-0005-0000-0000-0000EE8C0000}"/>
    <cellStyle name="Normal 2 6 4 3 2 3 3" xfId="36372" xr:uid="{00000000-0005-0000-0000-0000EF8C0000}"/>
    <cellStyle name="Normal 2 6 4 3 2 3 4" xfId="36373" xr:uid="{00000000-0005-0000-0000-0000F08C0000}"/>
    <cellStyle name="Normal 2 6 4 3 2 3 5" xfId="36374" xr:uid="{00000000-0005-0000-0000-0000F18C0000}"/>
    <cellStyle name="Normal 2 6 4 3 2 3 6" xfId="36375" xr:uid="{00000000-0005-0000-0000-0000F28C0000}"/>
    <cellStyle name="Normal 2 6 4 3 2 3 7" xfId="36376" xr:uid="{00000000-0005-0000-0000-0000F38C0000}"/>
    <cellStyle name="Normal 2 6 4 3 2 3 8" xfId="36377" xr:uid="{00000000-0005-0000-0000-0000F48C0000}"/>
    <cellStyle name="Normal 2 6 4 3 2 4" xfId="36378" xr:uid="{00000000-0005-0000-0000-0000F58C0000}"/>
    <cellStyle name="Normal 2 6 4 3 2 4 2" xfId="36379" xr:uid="{00000000-0005-0000-0000-0000F68C0000}"/>
    <cellStyle name="Normal 2 6 4 3 2 4 3" xfId="36380" xr:uid="{00000000-0005-0000-0000-0000F78C0000}"/>
    <cellStyle name="Normal 2 6 4 3 2 4 4" xfId="36381" xr:uid="{00000000-0005-0000-0000-0000F88C0000}"/>
    <cellStyle name="Normal 2 6 4 3 2 4 5" xfId="36382" xr:uid="{00000000-0005-0000-0000-0000F98C0000}"/>
    <cellStyle name="Normal 2 6 4 3 2 5" xfId="36383" xr:uid="{00000000-0005-0000-0000-0000FA8C0000}"/>
    <cellStyle name="Normal 2 6 4 3 2 6" xfId="36384" xr:uid="{00000000-0005-0000-0000-0000FB8C0000}"/>
    <cellStyle name="Normal 2 6 4 3 2 7" xfId="36385" xr:uid="{00000000-0005-0000-0000-0000FC8C0000}"/>
    <cellStyle name="Normal 2 6 4 3 2 8" xfId="36386" xr:uid="{00000000-0005-0000-0000-0000FD8C0000}"/>
    <cellStyle name="Normal 2 6 4 3 2 9" xfId="36387" xr:uid="{00000000-0005-0000-0000-0000FE8C0000}"/>
    <cellStyle name="Normal 2 6 4 3 3" xfId="36388" xr:uid="{00000000-0005-0000-0000-0000FF8C0000}"/>
    <cellStyle name="Normal 2 6 4 3 3 2" xfId="36389" xr:uid="{00000000-0005-0000-0000-0000008D0000}"/>
    <cellStyle name="Normal 2 6 4 3 3 2 2" xfId="36390" xr:uid="{00000000-0005-0000-0000-0000018D0000}"/>
    <cellStyle name="Normal 2 6 4 3 3 2 3" xfId="36391" xr:uid="{00000000-0005-0000-0000-0000028D0000}"/>
    <cellStyle name="Normal 2 6 4 3 3 2 4" xfId="36392" xr:uid="{00000000-0005-0000-0000-0000038D0000}"/>
    <cellStyle name="Normal 2 6 4 3 3 2 5" xfId="36393" xr:uid="{00000000-0005-0000-0000-0000048D0000}"/>
    <cellStyle name="Normal 2 6 4 3 3 3" xfId="36394" xr:uid="{00000000-0005-0000-0000-0000058D0000}"/>
    <cellStyle name="Normal 2 6 4 3 3 4" xfId="36395" xr:uid="{00000000-0005-0000-0000-0000068D0000}"/>
    <cellStyle name="Normal 2 6 4 3 3 5" xfId="36396" xr:uid="{00000000-0005-0000-0000-0000078D0000}"/>
    <cellStyle name="Normal 2 6 4 3 3 6" xfId="36397" xr:uid="{00000000-0005-0000-0000-0000088D0000}"/>
    <cellStyle name="Normal 2 6 4 3 3 7" xfId="36398" xr:uid="{00000000-0005-0000-0000-0000098D0000}"/>
    <cellStyle name="Normal 2 6 4 3 3 8" xfId="36399" xr:uid="{00000000-0005-0000-0000-00000A8D0000}"/>
    <cellStyle name="Normal 2 6 4 3 4" xfId="36400" xr:uid="{00000000-0005-0000-0000-00000B8D0000}"/>
    <cellStyle name="Normal 2 6 4 3 4 2" xfId="36401" xr:uid="{00000000-0005-0000-0000-00000C8D0000}"/>
    <cellStyle name="Normal 2 6 4 3 4 2 2" xfId="36402" xr:uid="{00000000-0005-0000-0000-00000D8D0000}"/>
    <cellStyle name="Normal 2 6 4 3 4 2 3" xfId="36403" xr:uid="{00000000-0005-0000-0000-00000E8D0000}"/>
    <cellStyle name="Normal 2 6 4 3 4 2 4" xfId="36404" xr:uid="{00000000-0005-0000-0000-00000F8D0000}"/>
    <cellStyle name="Normal 2 6 4 3 4 2 5" xfId="36405" xr:uid="{00000000-0005-0000-0000-0000108D0000}"/>
    <cellStyle name="Normal 2 6 4 3 4 3" xfId="36406" xr:uid="{00000000-0005-0000-0000-0000118D0000}"/>
    <cellStyle name="Normal 2 6 4 3 4 4" xfId="36407" xr:uid="{00000000-0005-0000-0000-0000128D0000}"/>
    <cellStyle name="Normal 2 6 4 3 4 5" xfId="36408" xr:uid="{00000000-0005-0000-0000-0000138D0000}"/>
    <cellStyle name="Normal 2 6 4 3 4 6" xfId="36409" xr:uid="{00000000-0005-0000-0000-0000148D0000}"/>
    <cellStyle name="Normal 2 6 4 3 4 7" xfId="36410" xr:uid="{00000000-0005-0000-0000-0000158D0000}"/>
    <cellStyle name="Normal 2 6 4 3 4 8" xfId="36411" xr:uid="{00000000-0005-0000-0000-0000168D0000}"/>
    <cellStyle name="Normal 2 6 4 3 5" xfId="36412" xr:uid="{00000000-0005-0000-0000-0000178D0000}"/>
    <cellStyle name="Normal 2 6 4 3 5 2" xfId="36413" xr:uid="{00000000-0005-0000-0000-0000188D0000}"/>
    <cellStyle name="Normal 2 6 4 3 5 3" xfId="36414" xr:uid="{00000000-0005-0000-0000-0000198D0000}"/>
    <cellStyle name="Normal 2 6 4 3 5 4" xfId="36415" xr:uid="{00000000-0005-0000-0000-00001A8D0000}"/>
    <cellStyle name="Normal 2 6 4 3 5 5" xfId="36416" xr:uid="{00000000-0005-0000-0000-00001B8D0000}"/>
    <cellStyle name="Normal 2 6 4 3 6" xfId="36417" xr:uid="{00000000-0005-0000-0000-00001C8D0000}"/>
    <cellStyle name="Normal 2 6 4 3 7" xfId="36418" xr:uid="{00000000-0005-0000-0000-00001D8D0000}"/>
    <cellStyle name="Normal 2 6 4 3 8" xfId="36419" xr:uid="{00000000-0005-0000-0000-00001E8D0000}"/>
    <cellStyle name="Normal 2 6 4 3 9" xfId="36420" xr:uid="{00000000-0005-0000-0000-00001F8D0000}"/>
    <cellStyle name="Normal 2 6 4 4" xfId="36421" xr:uid="{00000000-0005-0000-0000-0000208D0000}"/>
    <cellStyle name="Normal 2 6 4 4 10" xfId="36422" xr:uid="{00000000-0005-0000-0000-0000218D0000}"/>
    <cellStyle name="Normal 2 6 4 4 2" xfId="36423" xr:uid="{00000000-0005-0000-0000-0000228D0000}"/>
    <cellStyle name="Normal 2 6 4 4 2 2" xfId="36424" xr:uid="{00000000-0005-0000-0000-0000238D0000}"/>
    <cellStyle name="Normal 2 6 4 4 2 2 2" xfId="36425" xr:uid="{00000000-0005-0000-0000-0000248D0000}"/>
    <cellStyle name="Normal 2 6 4 4 2 2 3" xfId="36426" xr:uid="{00000000-0005-0000-0000-0000258D0000}"/>
    <cellStyle name="Normal 2 6 4 4 2 2 4" xfId="36427" xr:uid="{00000000-0005-0000-0000-0000268D0000}"/>
    <cellStyle name="Normal 2 6 4 4 2 2 5" xfId="36428" xr:uid="{00000000-0005-0000-0000-0000278D0000}"/>
    <cellStyle name="Normal 2 6 4 4 2 3" xfId="36429" xr:uid="{00000000-0005-0000-0000-0000288D0000}"/>
    <cellStyle name="Normal 2 6 4 4 2 4" xfId="36430" xr:uid="{00000000-0005-0000-0000-0000298D0000}"/>
    <cellStyle name="Normal 2 6 4 4 2 5" xfId="36431" xr:uid="{00000000-0005-0000-0000-00002A8D0000}"/>
    <cellStyle name="Normal 2 6 4 4 2 6" xfId="36432" xr:uid="{00000000-0005-0000-0000-00002B8D0000}"/>
    <cellStyle name="Normal 2 6 4 4 2 7" xfId="36433" xr:uid="{00000000-0005-0000-0000-00002C8D0000}"/>
    <cellStyle name="Normal 2 6 4 4 2 8" xfId="36434" xr:uid="{00000000-0005-0000-0000-00002D8D0000}"/>
    <cellStyle name="Normal 2 6 4 4 3" xfId="36435" xr:uid="{00000000-0005-0000-0000-00002E8D0000}"/>
    <cellStyle name="Normal 2 6 4 4 3 2" xfId="36436" xr:uid="{00000000-0005-0000-0000-00002F8D0000}"/>
    <cellStyle name="Normal 2 6 4 4 3 2 2" xfId="36437" xr:uid="{00000000-0005-0000-0000-0000308D0000}"/>
    <cellStyle name="Normal 2 6 4 4 3 2 3" xfId="36438" xr:uid="{00000000-0005-0000-0000-0000318D0000}"/>
    <cellStyle name="Normal 2 6 4 4 3 2 4" xfId="36439" xr:uid="{00000000-0005-0000-0000-0000328D0000}"/>
    <cellStyle name="Normal 2 6 4 4 3 2 5" xfId="36440" xr:uid="{00000000-0005-0000-0000-0000338D0000}"/>
    <cellStyle name="Normal 2 6 4 4 3 3" xfId="36441" xr:uid="{00000000-0005-0000-0000-0000348D0000}"/>
    <cellStyle name="Normal 2 6 4 4 3 4" xfId="36442" xr:uid="{00000000-0005-0000-0000-0000358D0000}"/>
    <cellStyle name="Normal 2 6 4 4 3 5" xfId="36443" xr:uid="{00000000-0005-0000-0000-0000368D0000}"/>
    <cellStyle name="Normal 2 6 4 4 3 6" xfId="36444" xr:uid="{00000000-0005-0000-0000-0000378D0000}"/>
    <cellStyle name="Normal 2 6 4 4 3 7" xfId="36445" xr:uid="{00000000-0005-0000-0000-0000388D0000}"/>
    <cellStyle name="Normal 2 6 4 4 3 8" xfId="36446" xr:uid="{00000000-0005-0000-0000-0000398D0000}"/>
    <cellStyle name="Normal 2 6 4 4 4" xfId="36447" xr:uid="{00000000-0005-0000-0000-00003A8D0000}"/>
    <cellStyle name="Normal 2 6 4 4 4 2" xfId="36448" xr:uid="{00000000-0005-0000-0000-00003B8D0000}"/>
    <cellStyle name="Normal 2 6 4 4 4 3" xfId="36449" xr:uid="{00000000-0005-0000-0000-00003C8D0000}"/>
    <cellStyle name="Normal 2 6 4 4 4 4" xfId="36450" xr:uid="{00000000-0005-0000-0000-00003D8D0000}"/>
    <cellStyle name="Normal 2 6 4 4 4 5" xfId="36451" xr:uid="{00000000-0005-0000-0000-00003E8D0000}"/>
    <cellStyle name="Normal 2 6 4 4 5" xfId="36452" xr:uid="{00000000-0005-0000-0000-00003F8D0000}"/>
    <cellStyle name="Normal 2 6 4 4 6" xfId="36453" xr:uid="{00000000-0005-0000-0000-0000408D0000}"/>
    <cellStyle name="Normal 2 6 4 4 7" xfId="36454" xr:uid="{00000000-0005-0000-0000-0000418D0000}"/>
    <cellStyle name="Normal 2 6 4 4 8" xfId="36455" xr:uid="{00000000-0005-0000-0000-0000428D0000}"/>
    <cellStyle name="Normal 2 6 4 4 9" xfId="36456" xr:uid="{00000000-0005-0000-0000-0000438D0000}"/>
    <cellStyle name="Normal 2 6 4 5" xfId="36457" xr:uid="{00000000-0005-0000-0000-0000448D0000}"/>
    <cellStyle name="Normal 2 6 4 5 2" xfId="36458" xr:uid="{00000000-0005-0000-0000-0000458D0000}"/>
    <cellStyle name="Normal 2 6 4 5 2 2" xfId="36459" xr:uid="{00000000-0005-0000-0000-0000468D0000}"/>
    <cellStyle name="Normal 2 6 4 5 2 3" xfId="36460" xr:uid="{00000000-0005-0000-0000-0000478D0000}"/>
    <cellStyle name="Normal 2 6 4 5 2 4" xfId="36461" xr:uid="{00000000-0005-0000-0000-0000488D0000}"/>
    <cellStyle name="Normal 2 6 4 5 2 5" xfId="36462" xr:uid="{00000000-0005-0000-0000-0000498D0000}"/>
    <cellStyle name="Normal 2 6 4 5 3" xfId="36463" xr:uid="{00000000-0005-0000-0000-00004A8D0000}"/>
    <cellStyle name="Normal 2 6 4 5 4" xfId="36464" xr:uid="{00000000-0005-0000-0000-00004B8D0000}"/>
    <cellStyle name="Normal 2 6 4 5 5" xfId="36465" xr:uid="{00000000-0005-0000-0000-00004C8D0000}"/>
    <cellStyle name="Normal 2 6 4 5 6" xfId="36466" xr:uid="{00000000-0005-0000-0000-00004D8D0000}"/>
    <cellStyle name="Normal 2 6 4 5 7" xfId="36467" xr:uid="{00000000-0005-0000-0000-00004E8D0000}"/>
    <cellStyle name="Normal 2 6 4 5 8" xfId="36468" xr:uid="{00000000-0005-0000-0000-00004F8D0000}"/>
    <cellStyle name="Normal 2 6 4 6" xfId="36469" xr:uid="{00000000-0005-0000-0000-0000508D0000}"/>
    <cellStyle name="Normal 2 6 4 6 2" xfId="36470" xr:uid="{00000000-0005-0000-0000-0000518D0000}"/>
    <cellStyle name="Normal 2 6 4 6 2 2" xfId="36471" xr:uid="{00000000-0005-0000-0000-0000528D0000}"/>
    <cellStyle name="Normal 2 6 4 6 2 3" xfId="36472" xr:uid="{00000000-0005-0000-0000-0000538D0000}"/>
    <cellStyle name="Normal 2 6 4 6 2 4" xfId="36473" xr:uid="{00000000-0005-0000-0000-0000548D0000}"/>
    <cellStyle name="Normal 2 6 4 6 2 5" xfId="36474" xr:uid="{00000000-0005-0000-0000-0000558D0000}"/>
    <cellStyle name="Normal 2 6 4 6 3" xfId="36475" xr:uid="{00000000-0005-0000-0000-0000568D0000}"/>
    <cellStyle name="Normal 2 6 4 6 4" xfId="36476" xr:uid="{00000000-0005-0000-0000-0000578D0000}"/>
    <cellStyle name="Normal 2 6 4 6 5" xfId="36477" xr:uid="{00000000-0005-0000-0000-0000588D0000}"/>
    <cellStyle name="Normal 2 6 4 6 6" xfId="36478" xr:uid="{00000000-0005-0000-0000-0000598D0000}"/>
    <cellStyle name="Normal 2 6 4 6 7" xfId="36479" xr:uid="{00000000-0005-0000-0000-00005A8D0000}"/>
    <cellStyle name="Normal 2 6 4 6 8" xfId="36480" xr:uid="{00000000-0005-0000-0000-00005B8D0000}"/>
    <cellStyle name="Normal 2 6 4 7" xfId="36481" xr:uid="{00000000-0005-0000-0000-00005C8D0000}"/>
    <cellStyle name="Normal 2 6 4 7 2" xfId="36482" xr:uid="{00000000-0005-0000-0000-00005D8D0000}"/>
    <cellStyle name="Normal 2 6 4 7 3" xfId="36483" xr:uid="{00000000-0005-0000-0000-00005E8D0000}"/>
    <cellStyle name="Normal 2 6 4 7 4" xfId="36484" xr:uid="{00000000-0005-0000-0000-00005F8D0000}"/>
    <cellStyle name="Normal 2 6 4 7 5" xfId="36485" xr:uid="{00000000-0005-0000-0000-0000608D0000}"/>
    <cellStyle name="Normal 2 6 4 8" xfId="36486" xr:uid="{00000000-0005-0000-0000-0000618D0000}"/>
    <cellStyle name="Normal 2 6 4 9" xfId="36487" xr:uid="{00000000-0005-0000-0000-0000628D0000}"/>
    <cellStyle name="Normal 2 6 5" xfId="36488" xr:uid="{00000000-0005-0000-0000-0000638D0000}"/>
    <cellStyle name="Normal 2 6 5 10" xfId="36489" xr:uid="{00000000-0005-0000-0000-0000648D0000}"/>
    <cellStyle name="Normal 2 6 5 11" xfId="36490" xr:uid="{00000000-0005-0000-0000-0000658D0000}"/>
    <cellStyle name="Normal 2 6 5 12" xfId="36491" xr:uid="{00000000-0005-0000-0000-0000668D0000}"/>
    <cellStyle name="Normal 2 6 5 13" xfId="36492" xr:uid="{00000000-0005-0000-0000-0000678D0000}"/>
    <cellStyle name="Normal 2 6 5 2" xfId="36493" xr:uid="{00000000-0005-0000-0000-0000688D0000}"/>
    <cellStyle name="Normal 2 6 5 2 10" xfId="36494" xr:uid="{00000000-0005-0000-0000-0000698D0000}"/>
    <cellStyle name="Normal 2 6 5 2 11" xfId="36495" xr:uid="{00000000-0005-0000-0000-00006A8D0000}"/>
    <cellStyle name="Normal 2 6 5 2 2" xfId="36496" xr:uid="{00000000-0005-0000-0000-00006B8D0000}"/>
    <cellStyle name="Normal 2 6 5 2 2 10" xfId="36497" xr:uid="{00000000-0005-0000-0000-00006C8D0000}"/>
    <cellStyle name="Normal 2 6 5 2 2 2" xfId="36498" xr:uid="{00000000-0005-0000-0000-00006D8D0000}"/>
    <cellStyle name="Normal 2 6 5 2 2 2 2" xfId="36499" xr:uid="{00000000-0005-0000-0000-00006E8D0000}"/>
    <cellStyle name="Normal 2 6 5 2 2 2 2 2" xfId="36500" xr:uid="{00000000-0005-0000-0000-00006F8D0000}"/>
    <cellStyle name="Normal 2 6 5 2 2 2 2 3" xfId="36501" xr:uid="{00000000-0005-0000-0000-0000708D0000}"/>
    <cellStyle name="Normal 2 6 5 2 2 2 2 4" xfId="36502" xr:uid="{00000000-0005-0000-0000-0000718D0000}"/>
    <cellStyle name="Normal 2 6 5 2 2 2 2 5" xfId="36503" xr:uid="{00000000-0005-0000-0000-0000728D0000}"/>
    <cellStyle name="Normal 2 6 5 2 2 2 3" xfId="36504" xr:uid="{00000000-0005-0000-0000-0000738D0000}"/>
    <cellStyle name="Normal 2 6 5 2 2 2 4" xfId="36505" xr:uid="{00000000-0005-0000-0000-0000748D0000}"/>
    <cellStyle name="Normal 2 6 5 2 2 2 5" xfId="36506" xr:uid="{00000000-0005-0000-0000-0000758D0000}"/>
    <cellStyle name="Normal 2 6 5 2 2 2 6" xfId="36507" xr:uid="{00000000-0005-0000-0000-0000768D0000}"/>
    <cellStyle name="Normal 2 6 5 2 2 2 7" xfId="36508" xr:uid="{00000000-0005-0000-0000-0000778D0000}"/>
    <cellStyle name="Normal 2 6 5 2 2 2 8" xfId="36509" xr:uid="{00000000-0005-0000-0000-0000788D0000}"/>
    <cellStyle name="Normal 2 6 5 2 2 3" xfId="36510" xr:uid="{00000000-0005-0000-0000-0000798D0000}"/>
    <cellStyle name="Normal 2 6 5 2 2 3 2" xfId="36511" xr:uid="{00000000-0005-0000-0000-00007A8D0000}"/>
    <cellStyle name="Normal 2 6 5 2 2 3 2 2" xfId="36512" xr:uid="{00000000-0005-0000-0000-00007B8D0000}"/>
    <cellStyle name="Normal 2 6 5 2 2 3 2 3" xfId="36513" xr:uid="{00000000-0005-0000-0000-00007C8D0000}"/>
    <cellStyle name="Normal 2 6 5 2 2 3 2 4" xfId="36514" xr:uid="{00000000-0005-0000-0000-00007D8D0000}"/>
    <cellStyle name="Normal 2 6 5 2 2 3 2 5" xfId="36515" xr:uid="{00000000-0005-0000-0000-00007E8D0000}"/>
    <cellStyle name="Normal 2 6 5 2 2 3 3" xfId="36516" xr:uid="{00000000-0005-0000-0000-00007F8D0000}"/>
    <cellStyle name="Normal 2 6 5 2 2 3 4" xfId="36517" xr:uid="{00000000-0005-0000-0000-0000808D0000}"/>
    <cellStyle name="Normal 2 6 5 2 2 3 5" xfId="36518" xr:uid="{00000000-0005-0000-0000-0000818D0000}"/>
    <cellStyle name="Normal 2 6 5 2 2 3 6" xfId="36519" xr:uid="{00000000-0005-0000-0000-0000828D0000}"/>
    <cellStyle name="Normal 2 6 5 2 2 3 7" xfId="36520" xr:uid="{00000000-0005-0000-0000-0000838D0000}"/>
    <cellStyle name="Normal 2 6 5 2 2 3 8" xfId="36521" xr:uid="{00000000-0005-0000-0000-0000848D0000}"/>
    <cellStyle name="Normal 2 6 5 2 2 4" xfId="36522" xr:uid="{00000000-0005-0000-0000-0000858D0000}"/>
    <cellStyle name="Normal 2 6 5 2 2 4 2" xfId="36523" xr:uid="{00000000-0005-0000-0000-0000868D0000}"/>
    <cellStyle name="Normal 2 6 5 2 2 4 3" xfId="36524" xr:uid="{00000000-0005-0000-0000-0000878D0000}"/>
    <cellStyle name="Normal 2 6 5 2 2 4 4" xfId="36525" xr:uid="{00000000-0005-0000-0000-0000888D0000}"/>
    <cellStyle name="Normal 2 6 5 2 2 4 5" xfId="36526" xr:uid="{00000000-0005-0000-0000-0000898D0000}"/>
    <cellStyle name="Normal 2 6 5 2 2 5" xfId="36527" xr:uid="{00000000-0005-0000-0000-00008A8D0000}"/>
    <cellStyle name="Normal 2 6 5 2 2 6" xfId="36528" xr:uid="{00000000-0005-0000-0000-00008B8D0000}"/>
    <cellStyle name="Normal 2 6 5 2 2 7" xfId="36529" xr:uid="{00000000-0005-0000-0000-00008C8D0000}"/>
    <cellStyle name="Normal 2 6 5 2 2 8" xfId="36530" xr:uid="{00000000-0005-0000-0000-00008D8D0000}"/>
    <cellStyle name="Normal 2 6 5 2 2 9" xfId="36531" xr:uid="{00000000-0005-0000-0000-00008E8D0000}"/>
    <cellStyle name="Normal 2 6 5 2 3" xfId="36532" xr:uid="{00000000-0005-0000-0000-00008F8D0000}"/>
    <cellStyle name="Normal 2 6 5 2 3 2" xfId="36533" xr:uid="{00000000-0005-0000-0000-0000908D0000}"/>
    <cellStyle name="Normal 2 6 5 2 3 2 2" xfId="36534" xr:uid="{00000000-0005-0000-0000-0000918D0000}"/>
    <cellStyle name="Normal 2 6 5 2 3 2 3" xfId="36535" xr:uid="{00000000-0005-0000-0000-0000928D0000}"/>
    <cellStyle name="Normal 2 6 5 2 3 2 4" xfId="36536" xr:uid="{00000000-0005-0000-0000-0000938D0000}"/>
    <cellStyle name="Normal 2 6 5 2 3 2 5" xfId="36537" xr:uid="{00000000-0005-0000-0000-0000948D0000}"/>
    <cellStyle name="Normal 2 6 5 2 3 3" xfId="36538" xr:uid="{00000000-0005-0000-0000-0000958D0000}"/>
    <cellStyle name="Normal 2 6 5 2 3 4" xfId="36539" xr:uid="{00000000-0005-0000-0000-0000968D0000}"/>
    <cellStyle name="Normal 2 6 5 2 3 5" xfId="36540" xr:uid="{00000000-0005-0000-0000-0000978D0000}"/>
    <cellStyle name="Normal 2 6 5 2 3 6" xfId="36541" xr:uid="{00000000-0005-0000-0000-0000988D0000}"/>
    <cellStyle name="Normal 2 6 5 2 3 7" xfId="36542" xr:uid="{00000000-0005-0000-0000-0000998D0000}"/>
    <cellStyle name="Normal 2 6 5 2 3 8" xfId="36543" xr:uid="{00000000-0005-0000-0000-00009A8D0000}"/>
    <cellStyle name="Normal 2 6 5 2 4" xfId="36544" xr:uid="{00000000-0005-0000-0000-00009B8D0000}"/>
    <cellStyle name="Normal 2 6 5 2 4 2" xfId="36545" xr:uid="{00000000-0005-0000-0000-00009C8D0000}"/>
    <cellStyle name="Normal 2 6 5 2 4 2 2" xfId="36546" xr:uid="{00000000-0005-0000-0000-00009D8D0000}"/>
    <cellStyle name="Normal 2 6 5 2 4 2 3" xfId="36547" xr:uid="{00000000-0005-0000-0000-00009E8D0000}"/>
    <cellStyle name="Normal 2 6 5 2 4 2 4" xfId="36548" xr:uid="{00000000-0005-0000-0000-00009F8D0000}"/>
    <cellStyle name="Normal 2 6 5 2 4 2 5" xfId="36549" xr:uid="{00000000-0005-0000-0000-0000A08D0000}"/>
    <cellStyle name="Normal 2 6 5 2 4 3" xfId="36550" xr:uid="{00000000-0005-0000-0000-0000A18D0000}"/>
    <cellStyle name="Normal 2 6 5 2 4 4" xfId="36551" xr:uid="{00000000-0005-0000-0000-0000A28D0000}"/>
    <cellStyle name="Normal 2 6 5 2 4 5" xfId="36552" xr:uid="{00000000-0005-0000-0000-0000A38D0000}"/>
    <cellStyle name="Normal 2 6 5 2 4 6" xfId="36553" xr:uid="{00000000-0005-0000-0000-0000A48D0000}"/>
    <cellStyle name="Normal 2 6 5 2 4 7" xfId="36554" xr:uid="{00000000-0005-0000-0000-0000A58D0000}"/>
    <cellStyle name="Normal 2 6 5 2 4 8" xfId="36555" xr:uid="{00000000-0005-0000-0000-0000A68D0000}"/>
    <cellStyle name="Normal 2 6 5 2 5" xfId="36556" xr:uid="{00000000-0005-0000-0000-0000A78D0000}"/>
    <cellStyle name="Normal 2 6 5 2 5 2" xfId="36557" xr:uid="{00000000-0005-0000-0000-0000A88D0000}"/>
    <cellStyle name="Normal 2 6 5 2 5 3" xfId="36558" xr:uid="{00000000-0005-0000-0000-0000A98D0000}"/>
    <cellStyle name="Normal 2 6 5 2 5 4" xfId="36559" xr:uid="{00000000-0005-0000-0000-0000AA8D0000}"/>
    <cellStyle name="Normal 2 6 5 2 5 5" xfId="36560" xr:uid="{00000000-0005-0000-0000-0000AB8D0000}"/>
    <cellStyle name="Normal 2 6 5 2 6" xfId="36561" xr:uid="{00000000-0005-0000-0000-0000AC8D0000}"/>
    <cellStyle name="Normal 2 6 5 2 7" xfId="36562" xr:uid="{00000000-0005-0000-0000-0000AD8D0000}"/>
    <cellStyle name="Normal 2 6 5 2 8" xfId="36563" xr:uid="{00000000-0005-0000-0000-0000AE8D0000}"/>
    <cellStyle name="Normal 2 6 5 2 9" xfId="36564" xr:uid="{00000000-0005-0000-0000-0000AF8D0000}"/>
    <cellStyle name="Normal 2 6 5 3" xfId="36565" xr:uid="{00000000-0005-0000-0000-0000B08D0000}"/>
    <cellStyle name="Normal 2 6 5 3 10" xfId="36566" xr:uid="{00000000-0005-0000-0000-0000B18D0000}"/>
    <cellStyle name="Normal 2 6 5 3 11" xfId="36567" xr:uid="{00000000-0005-0000-0000-0000B28D0000}"/>
    <cellStyle name="Normal 2 6 5 3 2" xfId="36568" xr:uid="{00000000-0005-0000-0000-0000B38D0000}"/>
    <cellStyle name="Normal 2 6 5 3 2 10" xfId="36569" xr:uid="{00000000-0005-0000-0000-0000B48D0000}"/>
    <cellStyle name="Normal 2 6 5 3 2 2" xfId="36570" xr:uid="{00000000-0005-0000-0000-0000B58D0000}"/>
    <cellStyle name="Normal 2 6 5 3 2 2 2" xfId="36571" xr:uid="{00000000-0005-0000-0000-0000B68D0000}"/>
    <cellStyle name="Normal 2 6 5 3 2 2 2 2" xfId="36572" xr:uid="{00000000-0005-0000-0000-0000B78D0000}"/>
    <cellStyle name="Normal 2 6 5 3 2 2 2 3" xfId="36573" xr:uid="{00000000-0005-0000-0000-0000B88D0000}"/>
    <cellStyle name="Normal 2 6 5 3 2 2 2 4" xfId="36574" xr:uid="{00000000-0005-0000-0000-0000B98D0000}"/>
    <cellStyle name="Normal 2 6 5 3 2 2 2 5" xfId="36575" xr:uid="{00000000-0005-0000-0000-0000BA8D0000}"/>
    <cellStyle name="Normal 2 6 5 3 2 2 3" xfId="36576" xr:uid="{00000000-0005-0000-0000-0000BB8D0000}"/>
    <cellStyle name="Normal 2 6 5 3 2 2 4" xfId="36577" xr:uid="{00000000-0005-0000-0000-0000BC8D0000}"/>
    <cellStyle name="Normal 2 6 5 3 2 2 5" xfId="36578" xr:uid="{00000000-0005-0000-0000-0000BD8D0000}"/>
    <cellStyle name="Normal 2 6 5 3 2 2 6" xfId="36579" xr:uid="{00000000-0005-0000-0000-0000BE8D0000}"/>
    <cellStyle name="Normal 2 6 5 3 2 2 7" xfId="36580" xr:uid="{00000000-0005-0000-0000-0000BF8D0000}"/>
    <cellStyle name="Normal 2 6 5 3 2 2 8" xfId="36581" xr:uid="{00000000-0005-0000-0000-0000C08D0000}"/>
    <cellStyle name="Normal 2 6 5 3 2 3" xfId="36582" xr:uid="{00000000-0005-0000-0000-0000C18D0000}"/>
    <cellStyle name="Normal 2 6 5 3 2 3 2" xfId="36583" xr:uid="{00000000-0005-0000-0000-0000C28D0000}"/>
    <cellStyle name="Normal 2 6 5 3 2 3 2 2" xfId="36584" xr:uid="{00000000-0005-0000-0000-0000C38D0000}"/>
    <cellStyle name="Normal 2 6 5 3 2 3 2 3" xfId="36585" xr:uid="{00000000-0005-0000-0000-0000C48D0000}"/>
    <cellStyle name="Normal 2 6 5 3 2 3 2 4" xfId="36586" xr:uid="{00000000-0005-0000-0000-0000C58D0000}"/>
    <cellStyle name="Normal 2 6 5 3 2 3 2 5" xfId="36587" xr:uid="{00000000-0005-0000-0000-0000C68D0000}"/>
    <cellStyle name="Normal 2 6 5 3 2 3 3" xfId="36588" xr:uid="{00000000-0005-0000-0000-0000C78D0000}"/>
    <cellStyle name="Normal 2 6 5 3 2 3 4" xfId="36589" xr:uid="{00000000-0005-0000-0000-0000C88D0000}"/>
    <cellStyle name="Normal 2 6 5 3 2 3 5" xfId="36590" xr:uid="{00000000-0005-0000-0000-0000C98D0000}"/>
    <cellStyle name="Normal 2 6 5 3 2 3 6" xfId="36591" xr:uid="{00000000-0005-0000-0000-0000CA8D0000}"/>
    <cellStyle name="Normal 2 6 5 3 2 3 7" xfId="36592" xr:uid="{00000000-0005-0000-0000-0000CB8D0000}"/>
    <cellStyle name="Normal 2 6 5 3 2 3 8" xfId="36593" xr:uid="{00000000-0005-0000-0000-0000CC8D0000}"/>
    <cellStyle name="Normal 2 6 5 3 2 4" xfId="36594" xr:uid="{00000000-0005-0000-0000-0000CD8D0000}"/>
    <cellStyle name="Normal 2 6 5 3 2 4 2" xfId="36595" xr:uid="{00000000-0005-0000-0000-0000CE8D0000}"/>
    <cellStyle name="Normal 2 6 5 3 2 4 3" xfId="36596" xr:uid="{00000000-0005-0000-0000-0000CF8D0000}"/>
    <cellStyle name="Normal 2 6 5 3 2 4 4" xfId="36597" xr:uid="{00000000-0005-0000-0000-0000D08D0000}"/>
    <cellStyle name="Normal 2 6 5 3 2 4 5" xfId="36598" xr:uid="{00000000-0005-0000-0000-0000D18D0000}"/>
    <cellStyle name="Normal 2 6 5 3 2 5" xfId="36599" xr:uid="{00000000-0005-0000-0000-0000D28D0000}"/>
    <cellStyle name="Normal 2 6 5 3 2 6" xfId="36600" xr:uid="{00000000-0005-0000-0000-0000D38D0000}"/>
    <cellStyle name="Normal 2 6 5 3 2 7" xfId="36601" xr:uid="{00000000-0005-0000-0000-0000D48D0000}"/>
    <cellStyle name="Normal 2 6 5 3 2 8" xfId="36602" xr:uid="{00000000-0005-0000-0000-0000D58D0000}"/>
    <cellStyle name="Normal 2 6 5 3 2 9" xfId="36603" xr:uid="{00000000-0005-0000-0000-0000D68D0000}"/>
    <cellStyle name="Normal 2 6 5 3 3" xfId="36604" xr:uid="{00000000-0005-0000-0000-0000D78D0000}"/>
    <cellStyle name="Normal 2 6 5 3 3 2" xfId="36605" xr:uid="{00000000-0005-0000-0000-0000D88D0000}"/>
    <cellStyle name="Normal 2 6 5 3 3 2 2" xfId="36606" xr:uid="{00000000-0005-0000-0000-0000D98D0000}"/>
    <cellStyle name="Normal 2 6 5 3 3 2 3" xfId="36607" xr:uid="{00000000-0005-0000-0000-0000DA8D0000}"/>
    <cellStyle name="Normal 2 6 5 3 3 2 4" xfId="36608" xr:uid="{00000000-0005-0000-0000-0000DB8D0000}"/>
    <cellStyle name="Normal 2 6 5 3 3 2 5" xfId="36609" xr:uid="{00000000-0005-0000-0000-0000DC8D0000}"/>
    <cellStyle name="Normal 2 6 5 3 3 3" xfId="36610" xr:uid="{00000000-0005-0000-0000-0000DD8D0000}"/>
    <cellStyle name="Normal 2 6 5 3 3 4" xfId="36611" xr:uid="{00000000-0005-0000-0000-0000DE8D0000}"/>
    <cellStyle name="Normal 2 6 5 3 3 5" xfId="36612" xr:uid="{00000000-0005-0000-0000-0000DF8D0000}"/>
    <cellStyle name="Normal 2 6 5 3 3 6" xfId="36613" xr:uid="{00000000-0005-0000-0000-0000E08D0000}"/>
    <cellStyle name="Normal 2 6 5 3 3 7" xfId="36614" xr:uid="{00000000-0005-0000-0000-0000E18D0000}"/>
    <cellStyle name="Normal 2 6 5 3 3 8" xfId="36615" xr:uid="{00000000-0005-0000-0000-0000E28D0000}"/>
    <cellStyle name="Normal 2 6 5 3 4" xfId="36616" xr:uid="{00000000-0005-0000-0000-0000E38D0000}"/>
    <cellStyle name="Normal 2 6 5 3 4 2" xfId="36617" xr:uid="{00000000-0005-0000-0000-0000E48D0000}"/>
    <cellStyle name="Normal 2 6 5 3 4 2 2" xfId="36618" xr:uid="{00000000-0005-0000-0000-0000E58D0000}"/>
    <cellStyle name="Normal 2 6 5 3 4 2 3" xfId="36619" xr:uid="{00000000-0005-0000-0000-0000E68D0000}"/>
    <cellStyle name="Normal 2 6 5 3 4 2 4" xfId="36620" xr:uid="{00000000-0005-0000-0000-0000E78D0000}"/>
    <cellStyle name="Normal 2 6 5 3 4 2 5" xfId="36621" xr:uid="{00000000-0005-0000-0000-0000E88D0000}"/>
    <cellStyle name="Normal 2 6 5 3 4 3" xfId="36622" xr:uid="{00000000-0005-0000-0000-0000E98D0000}"/>
    <cellStyle name="Normal 2 6 5 3 4 4" xfId="36623" xr:uid="{00000000-0005-0000-0000-0000EA8D0000}"/>
    <cellStyle name="Normal 2 6 5 3 4 5" xfId="36624" xr:uid="{00000000-0005-0000-0000-0000EB8D0000}"/>
    <cellStyle name="Normal 2 6 5 3 4 6" xfId="36625" xr:uid="{00000000-0005-0000-0000-0000EC8D0000}"/>
    <cellStyle name="Normal 2 6 5 3 4 7" xfId="36626" xr:uid="{00000000-0005-0000-0000-0000ED8D0000}"/>
    <cellStyle name="Normal 2 6 5 3 4 8" xfId="36627" xr:uid="{00000000-0005-0000-0000-0000EE8D0000}"/>
    <cellStyle name="Normal 2 6 5 3 5" xfId="36628" xr:uid="{00000000-0005-0000-0000-0000EF8D0000}"/>
    <cellStyle name="Normal 2 6 5 3 5 2" xfId="36629" xr:uid="{00000000-0005-0000-0000-0000F08D0000}"/>
    <cellStyle name="Normal 2 6 5 3 5 3" xfId="36630" xr:uid="{00000000-0005-0000-0000-0000F18D0000}"/>
    <cellStyle name="Normal 2 6 5 3 5 4" xfId="36631" xr:uid="{00000000-0005-0000-0000-0000F28D0000}"/>
    <cellStyle name="Normal 2 6 5 3 5 5" xfId="36632" xr:uid="{00000000-0005-0000-0000-0000F38D0000}"/>
    <cellStyle name="Normal 2 6 5 3 6" xfId="36633" xr:uid="{00000000-0005-0000-0000-0000F48D0000}"/>
    <cellStyle name="Normal 2 6 5 3 7" xfId="36634" xr:uid="{00000000-0005-0000-0000-0000F58D0000}"/>
    <cellStyle name="Normal 2 6 5 3 8" xfId="36635" xr:uid="{00000000-0005-0000-0000-0000F68D0000}"/>
    <cellStyle name="Normal 2 6 5 3 9" xfId="36636" xr:uid="{00000000-0005-0000-0000-0000F78D0000}"/>
    <cellStyle name="Normal 2 6 5 4" xfId="36637" xr:uid="{00000000-0005-0000-0000-0000F88D0000}"/>
    <cellStyle name="Normal 2 6 5 4 10" xfId="36638" xr:uid="{00000000-0005-0000-0000-0000F98D0000}"/>
    <cellStyle name="Normal 2 6 5 4 2" xfId="36639" xr:uid="{00000000-0005-0000-0000-0000FA8D0000}"/>
    <cellStyle name="Normal 2 6 5 4 2 2" xfId="36640" xr:uid="{00000000-0005-0000-0000-0000FB8D0000}"/>
    <cellStyle name="Normal 2 6 5 4 2 2 2" xfId="36641" xr:uid="{00000000-0005-0000-0000-0000FC8D0000}"/>
    <cellStyle name="Normal 2 6 5 4 2 2 3" xfId="36642" xr:uid="{00000000-0005-0000-0000-0000FD8D0000}"/>
    <cellStyle name="Normal 2 6 5 4 2 2 4" xfId="36643" xr:uid="{00000000-0005-0000-0000-0000FE8D0000}"/>
    <cellStyle name="Normal 2 6 5 4 2 2 5" xfId="36644" xr:uid="{00000000-0005-0000-0000-0000FF8D0000}"/>
    <cellStyle name="Normal 2 6 5 4 2 3" xfId="36645" xr:uid="{00000000-0005-0000-0000-0000008E0000}"/>
    <cellStyle name="Normal 2 6 5 4 2 4" xfId="36646" xr:uid="{00000000-0005-0000-0000-0000018E0000}"/>
    <cellStyle name="Normal 2 6 5 4 2 5" xfId="36647" xr:uid="{00000000-0005-0000-0000-0000028E0000}"/>
    <cellStyle name="Normal 2 6 5 4 2 6" xfId="36648" xr:uid="{00000000-0005-0000-0000-0000038E0000}"/>
    <cellStyle name="Normal 2 6 5 4 2 7" xfId="36649" xr:uid="{00000000-0005-0000-0000-0000048E0000}"/>
    <cellStyle name="Normal 2 6 5 4 2 8" xfId="36650" xr:uid="{00000000-0005-0000-0000-0000058E0000}"/>
    <cellStyle name="Normal 2 6 5 4 3" xfId="36651" xr:uid="{00000000-0005-0000-0000-0000068E0000}"/>
    <cellStyle name="Normal 2 6 5 4 3 2" xfId="36652" xr:uid="{00000000-0005-0000-0000-0000078E0000}"/>
    <cellStyle name="Normal 2 6 5 4 3 2 2" xfId="36653" xr:uid="{00000000-0005-0000-0000-0000088E0000}"/>
    <cellStyle name="Normal 2 6 5 4 3 2 3" xfId="36654" xr:uid="{00000000-0005-0000-0000-0000098E0000}"/>
    <cellStyle name="Normal 2 6 5 4 3 2 4" xfId="36655" xr:uid="{00000000-0005-0000-0000-00000A8E0000}"/>
    <cellStyle name="Normal 2 6 5 4 3 2 5" xfId="36656" xr:uid="{00000000-0005-0000-0000-00000B8E0000}"/>
    <cellStyle name="Normal 2 6 5 4 3 3" xfId="36657" xr:uid="{00000000-0005-0000-0000-00000C8E0000}"/>
    <cellStyle name="Normal 2 6 5 4 3 4" xfId="36658" xr:uid="{00000000-0005-0000-0000-00000D8E0000}"/>
    <cellStyle name="Normal 2 6 5 4 3 5" xfId="36659" xr:uid="{00000000-0005-0000-0000-00000E8E0000}"/>
    <cellStyle name="Normal 2 6 5 4 3 6" xfId="36660" xr:uid="{00000000-0005-0000-0000-00000F8E0000}"/>
    <cellStyle name="Normal 2 6 5 4 3 7" xfId="36661" xr:uid="{00000000-0005-0000-0000-0000108E0000}"/>
    <cellStyle name="Normal 2 6 5 4 3 8" xfId="36662" xr:uid="{00000000-0005-0000-0000-0000118E0000}"/>
    <cellStyle name="Normal 2 6 5 4 4" xfId="36663" xr:uid="{00000000-0005-0000-0000-0000128E0000}"/>
    <cellStyle name="Normal 2 6 5 4 4 2" xfId="36664" xr:uid="{00000000-0005-0000-0000-0000138E0000}"/>
    <cellStyle name="Normal 2 6 5 4 4 3" xfId="36665" xr:uid="{00000000-0005-0000-0000-0000148E0000}"/>
    <cellStyle name="Normal 2 6 5 4 4 4" xfId="36666" xr:uid="{00000000-0005-0000-0000-0000158E0000}"/>
    <cellStyle name="Normal 2 6 5 4 4 5" xfId="36667" xr:uid="{00000000-0005-0000-0000-0000168E0000}"/>
    <cellStyle name="Normal 2 6 5 4 5" xfId="36668" xr:uid="{00000000-0005-0000-0000-0000178E0000}"/>
    <cellStyle name="Normal 2 6 5 4 6" xfId="36669" xr:uid="{00000000-0005-0000-0000-0000188E0000}"/>
    <cellStyle name="Normal 2 6 5 4 7" xfId="36670" xr:uid="{00000000-0005-0000-0000-0000198E0000}"/>
    <cellStyle name="Normal 2 6 5 4 8" xfId="36671" xr:uid="{00000000-0005-0000-0000-00001A8E0000}"/>
    <cellStyle name="Normal 2 6 5 4 9" xfId="36672" xr:uid="{00000000-0005-0000-0000-00001B8E0000}"/>
    <cellStyle name="Normal 2 6 5 5" xfId="36673" xr:uid="{00000000-0005-0000-0000-00001C8E0000}"/>
    <cellStyle name="Normal 2 6 5 5 2" xfId="36674" xr:uid="{00000000-0005-0000-0000-00001D8E0000}"/>
    <cellStyle name="Normal 2 6 5 5 2 2" xfId="36675" xr:uid="{00000000-0005-0000-0000-00001E8E0000}"/>
    <cellStyle name="Normal 2 6 5 5 2 3" xfId="36676" xr:uid="{00000000-0005-0000-0000-00001F8E0000}"/>
    <cellStyle name="Normal 2 6 5 5 2 4" xfId="36677" xr:uid="{00000000-0005-0000-0000-0000208E0000}"/>
    <cellStyle name="Normal 2 6 5 5 2 5" xfId="36678" xr:uid="{00000000-0005-0000-0000-0000218E0000}"/>
    <cellStyle name="Normal 2 6 5 5 3" xfId="36679" xr:uid="{00000000-0005-0000-0000-0000228E0000}"/>
    <cellStyle name="Normal 2 6 5 5 4" xfId="36680" xr:uid="{00000000-0005-0000-0000-0000238E0000}"/>
    <cellStyle name="Normal 2 6 5 5 5" xfId="36681" xr:uid="{00000000-0005-0000-0000-0000248E0000}"/>
    <cellStyle name="Normal 2 6 5 5 6" xfId="36682" xr:uid="{00000000-0005-0000-0000-0000258E0000}"/>
    <cellStyle name="Normal 2 6 5 5 7" xfId="36683" xr:uid="{00000000-0005-0000-0000-0000268E0000}"/>
    <cellStyle name="Normal 2 6 5 5 8" xfId="36684" xr:uid="{00000000-0005-0000-0000-0000278E0000}"/>
    <cellStyle name="Normal 2 6 5 6" xfId="36685" xr:uid="{00000000-0005-0000-0000-0000288E0000}"/>
    <cellStyle name="Normal 2 6 5 6 2" xfId="36686" xr:uid="{00000000-0005-0000-0000-0000298E0000}"/>
    <cellStyle name="Normal 2 6 5 6 2 2" xfId="36687" xr:uid="{00000000-0005-0000-0000-00002A8E0000}"/>
    <cellStyle name="Normal 2 6 5 6 2 3" xfId="36688" xr:uid="{00000000-0005-0000-0000-00002B8E0000}"/>
    <cellStyle name="Normal 2 6 5 6 2 4" xfId="36689" xr:uid="{00000000-0005-0000-0000-00002C8E0000}"/>
    <cellStyle name="Normal 2 6 5 6 2 5" xfId="36690" xr:uid="{00000000-0005-0000-0000-00002D8E0000}"/>
    <cellStyle name="Normal 2 6 5 6 3" xfId="36691" xr:uid="{00000000-0005-0000-0000-00002E8E0000}"/>
    <cellStyle name="Normal 2 6 5 6 4" xfId="36692" xr:uid="{00000000-0005-0000-0000-00002F8E0000}"/>
    <cellStyle name="Normal 2 6 5 6 5" xfId="36693" xr:uid="{00000000-0005-0000-0000-0000308E0000}"/>
    <cellStyle name="Normal 2 6 5 6 6" xfId="36694" xr:uid="{00000000-0005-0000-0000-0000318E0000}"/>
    <cellStyle name="Normal 2 6 5 6 7" xfId="36695" xr:uid="{00000000-0005-0000-0000-0000328E0000}"/>
    <cellStyle name="Normal 2 6 5 6 8" xfId="36696" xr:uid="{00000000-0005-0000-0000-0000338E0000}"/>
    <cellStyle name="Normal 2 6 5 7" xfId="36697" xr:uid="{00000000-0005-0000-0000-0000348E0000}"/>
    <cellStyle name="Normal 2 6 5 7 2" xfId="36698" xr:uid="{00000000-0005-0000-0000-0000358E0000}"/>
    <cellStyle name="Normal 2 6 5 7 3" xfId="36699" xr:uid="{00000000-0005-0000-0000-0000368E0000}"/>
    <cellStyle name="Normal 2 6 5 7 4" xfId="36700" xr:uid="{00000000-0005-0000-0000-0000378E0000}"/>
    <cellStyle name="Normal 2 6 5 7 5" xfId="36701" xr:uid="{00000000-0005-0000-0000-0000388E0000}"/>
    <cellStyle name="Normal 2 6 5 8" xfId="36702" xr:uid="{00000000-0005-0000-0000-0000398E0000}"/>
    <cellStyle name="Normal 2 6 5 9" xfId="36703" xr:uid="{00000000-0005-0000-0000-00003A8E0000}"/>
    <cellStyle name="Normal 2 6 6" xfId="36704" xr:uid="{00000000-0005-0000-0000-00003B8E0000}"/>
    <cellStyle name="Normal 2 6 6 10" xfId="36705" xr:uid="{00000000-0005-0000-0000-00003C8E0000}"/>
    <cellStyle name="Normal 2 6 6 11" xfId="36706" xr:uid="{00000000-0005-0000-0000-00003D8E0000}"/>
    <cellStyle name="Normal 2 6 6 12" xfId="36707" xr:uid="{00000000-0005-0000-0000-00003E8E0000}"/>
    <cellStyle name="Normal 2 6 6 13" xfId="36708" xr:uid="{00000000-0005-0000-0000-00003F8E0000}"/>
    <cellStyle name="Normal 2 6 6 2" xfId="36709" xr:uid="{00000000-0005-0000-0000-0000408E0000}"/>
    <cellStyle name="Normal 2 6 6 2 10" xfId="36710" xr:uid="{00000000-0005-0000-0000-0000418E0000}"/>
    <cellStyle name="Normal 2 6 6 2 11" xfId="36711" xr:uid="{00000000-0005-0000-0000-0000428E0000}"/>
    <cellStyle name="Normal 2 6 6 2 2" xfId="36712" xr:uid="{00000000-0005-0000-0000-0000438E0000}"/>
    <cellStyle name="Normal 2 6 6 2 2 10" xfId="36713" xr:uid="{00000000-0005-0000-0000-0000448E0000}"/>
    <cellStyle name="Normal 2 6 6 2 2 2" xfId="36714" xr:uid="{00000000-0005-0000-0000-0000458E0000}"/>
    <cellStyle name="Normal 2 6 6 2 2 2 2" xfId="36715" xr:uid="{00000000-0005-0000-0000-0000468E0000}"/>
    <cellStyle name="Normal 2 6 6 2 2 2 2 2" xfId="36716" xr:uid="{00000000-0005-0000-0000-0000478E0000}"/>
    <cellStyle name="Normal 2 6 6 2 2 2 2 3" xfId="36717" xr:uid="{00000000-0005-0000-0000-0000488E0000}"/>
    <cellStyle name="Normal 2 6 6 2 2 2 2 4" xfId="36718" xr:uid="{00000000-0005-0000-0000-0000498E0000}"/>
    <cellStyle name="Normal 2 6 6 2 2 2 2 5" xfId="36719" xr:uid="{00000000-0005-0000-0000-00004A8E0000}"/>
    <cellStyle name="Normal 2 6 6 2 2 2 3" xfId="36720" xr:uid="{00000000-0005-0000-0000-00004B8E0000}"/>
    <cellStyle name="Normal 2 6 6 2 2 2 4" xfId="36721" xr:uid="{00000000-0005-0000-0000-00004C8E0000}"/>
    <cellStyle name="Normal 2 6 6 2 2 2 5" xfId="36722" xr:uid="{00000000-0005-0000-0000-00004D8E0000}"/>
    <cellStyle name="Normal 2 6 6 2 2 2 6" xfId="36723" xr:uid="{00000000-0005-0000-0000-00004E8E0000}"/>
    <cellStyle name="Normal 2 6 6 2 2 2 7" xfId="36724" xr:uid="{00000000-0005-0000-0000-00004F8E0000}"/>
    <cellStyle name="Normal 2 6 6 2 2 2 8" xfId="36725" xr:uid="{00000000-0005-0000-0000-0000508E0000}"/>
    <cellStyle name="Normal 2 6 6 2 2 3" xfId="36726" xr:uid="{00000000-0005-0000-0000-0000518E0000}"/>
    <cellStyle name="Normal 2 6 6 2 2 3 2" xfId="36727" xr:uid="{00000000-0005-0000-0000-0000528E0000}"/>
    <cellStyle name="Normal 2 6 6 2 2 3 2 2" xfId="36728" xr:uid="{00000000-0005-0000-0000-0000538E0000}"/>
    <cellStyle name="Normal 2 6 6 2 2 3 2 3" xfId="36729" xr:uid="{00000000-0005-0000-0000-0000548E0000}"/>
    <cellStyle name="Normal 2 6 6 2 2 3 2 4" xfId="36730" xr:uid="{00000000-0005-0000-0000-0000558E0000}"/>
    <cellStyle name="Normal 2 6 6 2 2 3 2 5" xfId="36731" xr:uid="{00000000-0005-0000-0000-0000568E0000}"/>
    <cellStyle name="Normal 2 6 6 2 2 3 3" xfId="36732" xr:uid="{00000000-0005-0000-0000-0000578E0000}"/>
    <cellStyle name="Normal 2 6 6 2 2 3 4" xfId="36733" xr:uid="{00000000-0005-0000-0000-0000588E0000}"/>
    <cellStyle name="Normal 2 6 6 2 2 3 5" xfId="36734" xr:uid="{00000000-0005-0000-0000-0000598E0000}"/>
    <cellStyle name="Normal 2 6 6 2 2 3 6" xfId="36735" xr:uid="{00000000-0005-0000-0000-00005A8E0000}"/>
    <cellStyle name="Normal 2 6 6 2 2 3 7" xfId="36736" xr:uid="{00000000-0005-0000-0000-00005B8E0000}"/>
    <cellStyle name="Normal 2 6 6 2 2 3 8" xfId="36737" xr:uid="{00000000-0005-0000-0000-00005C8E0000}"/>
    <cellStyle name="Normal 2 6 6 2 2 4" xfId="36738" xr:uid="{00000000-0005-0000-0000-00005D8E0000}"/>
    <cellStyle name="Normal 2 6 6 2 2 4 2" xfId="36739" xr:uid="{00000000-0005-0000-0000-00005E8E0000}"/>
    <cellStyle name="Normal 2 6 6 2 2 4 3" xfId="36740" xr:uid="{00000000-0005-0000-0000-00005F8E0000}"/>
    <cellStyle name="Normal 2 6 6 2 2 4 4" xfId="36741" xr:uid="{00000000-0005-0000-0000-0000608E0000}"/>
    <cellStyle name="Normal 2 6 6 2 2 4 5" xfId="36742" xr:uid="{00000000-0005-0000-0000-0000618E0000}"/>
    <cellStyle name="Normal 2 6 6 2 2 5" xfId="36743" xr:uid="{00000000-0005-0000-0000-0000628E0000}"/>
    <cellStyle name="Normal 2 6 6 2 2 6" xfId="36744" xr:uid="{00000000-0005-0000-0000-0000638E0000}"/>
    <cellStyle name="Normal 2 6 6 2 2 7" xfId="36745" xr:uid="{00000000-0005-0000-0000-0000648E0000}"/>
    <cellStyle name="Normal 2 6 6 2 2 8" xfId="36746" xr:uid="{00000000-0005-0000-0000-0000658E0000}"/>
    <cellStyle name="Normal 2 6 6 2 2 9" xfId="36747" xr:uid="{00000000-0005-0000-0000-0000668E0000}"/>
    <cellStyle name="Normal 2 6 6 2 3" xfId="36748" xr:uid="{00000000-0005-0000-0000-0000678E0000}"/>
    <cellStyle name="Normal 2 6 6 2 3 2" xfId="36749" xr:uid="{00000000-0005-0000-0000-0000688E0000}"/>
    <cellStyle name="Normal 2 6 6 2 3 2 2" xfId="36750" xr:uid="{00000000-0005-0000-0000-0000698E0000}"/>
    <cellStyle name="Normal 2 6 6 2 3 2 3" xfId="36751" xr:uid="{00000000-0005-0000-0000-00006A8E0000}"/>
    <cellStyle name="Normal 2 6 6 2 3 2 4" xfId="36752" xr:uid="{00000000-0005-0000-0000-00006B8E0000}"/>
    <cellStyle name="Normal 2 6 6 2 3 2 5" xfId="36753" xr:uid="{00000000-0005-0000-0000-00006C8E0000}"/>
    <cellStyle name="Normal 2 6 6 2 3 3" xfId="36754" xr:uid="{00000000-0005-0000-0000-00006D8E0000}"/>
    <cellStyle name="Normal 2 6 6 2 3 4" xfId="36755" xr:uid="{00000000-0005-0000-0000-00006E8E0000}"/>
    <cellStyle name="Normal 2 6 6 2 3 5" xfId="36756" xr:uid="{00000000-0005-0000-0000-00006F8E0000}"/>
    <cellStyle name="Normal 2 6 6 2 3 6" xfId="36757" xr:uid="{00000000-0005-0000-0000-0000708E0000}"/>
    <cellStyle name="Normal 2 6 6 2 3 7" xfId="36758" xr:uid="{00000000-0005-0000-0000-0000718E0000}"/>
    <cellStyle name="Normal 2 6 6 2 3 8" xfId="36759" xr:uid="{00000000-0005-0000-0000-0000728E0000}"/>
    <cellStyle name="Normal 2 6 6 2 4" xfId="36760" xr:uid="{00000000-0005-0000-0000-0000738E0000}"/>
    <cellStyle name="Normal 2 6 6 2 4 2" xfId="36761" xr:uid="{00000000-0005-0000-0000-0000748E0000}"/>
    <cellStyle name="Normal 2 6 6 2 4 2 2" xfId="36762" xr:uid="{00000000-0005-0000-0000-0000758E0000}"/>
    <cellStyle name="Normal 2 6 6 2 4 2 3" xfId="36763" xr:uid="{00000000-0005-0000-0000-0000768E0000}"/>
    <cellStyle name="Normal 2 6 6 2 4 2 4" xfId="36764" xr:uid="{00000000-0005-0000-0000-0000778E0000}"/>
    <cellStyle name="Normal 2 6 6 2 4 2 5" xfId="36765" xr:uid="{00000000-0005-0000-0000-0000788E0000}"/>
    <cellStyle name="Normal 2 6 6 2 4 3" xfId="36766" xr:uid="{00000000-0005-0000-0000-0000798E0000}"/>
    <cellStyle name="Normal 2 6 6 2 4 4" xfId="36767" xr:uid="{00000000-0005-0000-0000-00007A8E0000}"/>
    <cellStyle name="Normal 2 6 6 2 4 5" xfId="36768" xr:uid="{00000000-0005-0000-0000-00007B8E0000}"/>
    <cellStyle name="Normal 2 6 6 2 4 6" xfId="36769" xr:uid="{00000000-0005-0000-0000-00007C8E0000}"/>
    <cellStyle name="Normal 2 6 6 2 4 7" xfId="36770" xr:uid="{00000000-0005-0000-0000-00007D8E0000}"/>
    <cellStyle name="Normal 2 6 6 2 4 8" xfId="36771" xr:uid="{00000000-0005-0000-0000-00007E8E0000}"/>
    <cellStyle name="Normal 2 6 6 2 5" xfId="36772" xr:uid="{00000000-0005-0000-0000-00007F8E0000}"/>
    <cellStyle name="Normal 2 6 6 2 5 2" xfId="36773" xr:uid="{00000000-0005-0000-0000-0000808E0000}"/>
    <cellStyle name="Normal 2 6 6 2 5 3" xfId="36774" xr:uid="{00000000-0005-0000-0000-0000818E0000}"/>
    <cellStyle name="Normal 2 6 6 2 5 4" xfId="36775" xr:uid="{00000000-0005-0000-0000-0000828E0000}"/>
    <cellStyle name="Normal 2 6 6 2 5 5" xfId="36776" xr:uid="{00000000-0005-0000-0000-0000838E0000}"/>
    <cellStyle name="Normal 2 6 6 2 6" xfId="36777" xr:uid="{00000000-0005-0000-0000-0000848E0000}"/>
    <cellStyle name="Normal 2 6 6 2 7" xfId="36778" xr:uid="{00000000-0005-0000-0000-0000858E0000}"/>
    <cellStyle name="Normal 2 6 6 2 8" xfId="36779" xr:uid="{00000000-0005-0000-0000-0000868E0000}"/>
    <cellStyle name="Normal 2 6 6 2 9" xfId="36780" xr:uid="{00000000-0005-0000-0000-0000878E0000}"/>
    <cellStyle name="Normal 2 6 6 3" xfId="36781" xr:uid="{00000000-0005-0000-0000-0000888E0000}"/>
    <cellStyle name="Normal 2 6 6 3 10" xfId="36782" xr:uid="{00000000-0005-0000-0000-0000898E0000}"/>
    <cellStyle name="Normal 2 6 6 3 11" xfId="36783" xr:uid="{00000000-0005-0000-0000-00008A8E0000}"/>
    <cellStyle name="Normal 2 6 6 3 2" xfId="36784" xr:uid="{00000000-0005-0000-0000-00008B8E0000}"/>
    <cellStyle name="Normal 2 6 6 3 2 10" xfId="36785" xr:uid="{00000000-0005-0000-0000-00008C8E0000}"/>
    <cellStyle name="Normal 2 6 6 3 2 2" xfId="36786" xr:uid="{00000000-0005-0000-0000-00008D8E0000}"/>
    <cellStyle name="Normal 2 6 6 3 2 2 2" xfId="36787" xr:uid="{00000000-0005-0000-0000-00008E8E0000}"/>
    <cellStyle name="Normal 2 6 6 3 2 2 2 2" xfId="36788" xr:uid="{00000000-0005-0000-0000-00008F8E0000}"/>
    <cellStyle name="Normal 2 6 6 3 2 2 2 3" xfId="36789" xr:uid="{00000000-0005-0000-0000-0000908E0000}"/>
    <cellStyle name="Normal 2 6 6 3 2 2 2 4" xfId="36790" xr:uid="{00000000-0005-0000-0000-0000918E0000}"/>
    <cellStyle name="Normal 2 6 6 3 2 2 2 5" xfId="36791" xr:uid="{00000000-0005-0000-0000-0000928E0000}"/>
    <cellStyle name="Normal 2 6 6 3 2 2 3" xfId="36792" xr:uid="{00000000-0005-0000-0000-0000938E0000}"/>
    <cellStyle name="Normal 2 6 6 3 2 2 4" xfId="36793" xr:uid="{00000000-0005-0000-0000-0000948E0000}"/>
    <cellStyle name="Normal 2 6 6 3 2 2 5" xfId="36794" xr:uid="{00000000-0005-0000-0000-0000958E0000}"/>
    <cellStyle name="Normal 2 6 6 3 2 2 6" xfId="36795" xr:uid="{00000000-0005-0000-0000-0000968E0000}"/>
    <cellStyle name="Normal 2 6 6 3 2 2 7" xfId="36796" xr:uid="{00000000-0005-0000-0000-0000978E0000}"/>
    <cellStyle name="Normal 2 6 6 3 2 2 8" xfId="36797" xr:uid="{00000000-0005-0000-0000-0000988E0000}"/>
    <cellStyle name="Normal 2 6 6 3 2 3" xfId="36798" xr:uid="{00000000-0005-0000-0000-0000998E0000}"/>
    <cellStyle name="Normal 2 6 6 3 2 3 2" xfId="36799" xr:uid="{00000000-0005-0000-0000-00009A8E0000}"/>
    <cellStyle name="Normal 2 6 6 3 2 3 2 2" xfId="36800" xr:uid="{00000000-0005-0000-0000-00009B8E0000}"/>
    <cellStyle name="Normal 2 6 6 3 2 3 2 3" xfId="36801" xr:uid="{00000000-0005-0000-0000-00009C8E0000}"/>
    <cellStyle name="Normal 2 6 6 3 2 3 2 4" xfId="36802" xr:uid="{00000000-0005-0000-0000-00009D8E0000}"/>
    <cellStyle name="Normal 2 6 6 3 2 3 2 5" xfId="36803" xr:uid="{00000000-0005-0000-0000-00009E8E0000}"/>
    <cellStyle name="Normal 2 6 6 3 2 3 3" xfId="36804" xr:uid="{00000000-0005-0000-0000-00009F8E0000}"/>
    <cellStyle name="Normal 2 6 6 3 2 3 4" xfId="36805" xr:uid="{00000000-0005-0000-0000-0000A08E0000}"/>
    <cellStyle name="Normal 2 6 6 3 2 3 5" xfId="36806" xr:uid="{00000000-0005-0000-0000-0000A18E0000}"/>
    <cellStyle name="Normal 2 6 6 3 2 3 6" xfId="36807" xr:uid="{00000000-0005-0000-0000-0000A28E0000}"/>
    <cellStyle name="Normal 2 6 6 3 2 3 7" xfId="36808" xr:uid="{00000000-0005-0000-0000-0000A38E0000}"/>
    <cellStyle name="Normal 2 6 6 3 2 3 8" xfId="36809" xr:uid="{00000000-0005-0000-0000-0000A48E0000}"/>
    <cellStyle name="Normal 2 6 6 3 2 4" xfId="36810" xr:uid="{00000000-0005-0000-0000-0000A58E0000}"/>
    <cellStyle name="Normal 2 6 6 3 2 4 2" xfId="36811" xr:uid="{00000000-0005-0000-0000-0000A68E0000}"/>
    <cellStyle name="Normal 2 6 6 3 2 4 3" xfId="36812" xr:uid="{00000000-0005-0000-0000-0000A78E0000}"/>
    <cellStyle name="Normal 2 6 6 3 2 4 4" xfId="36813" xr:uid="{00000000-0005-0000-0000-0000A88E0000}"/>
    <cellStyle name="Normal 2 6 6 3 2 4 5" xfId="36814" xr:uid="{00000000-0005-0000-0000-0000A98E0000}"/>
    <cellStyle name="Normal 2 6 6 3 2 5" xfId="36815" xr:uid="{00000000-0005-0000-0000-0000AA8E0000}"/>
    <cellStyle name="Normal 2 6 6 3 2 6" xfId="36816" xr:uid="{00000000-0005-0000-0000-0000AB8E0000}"/>
    <cellStyle name="Normal 2 6 6 3 2 7" xfId="36817" xr:uid="{00000000-0005-0000-0000-0000AC8E0000}"/>
    <cellStyle name="Normal 2 6 6 3 2 8" xfId="36818" xr:uid="{00000000-0005-0000-0000-0000AD8E0000}"/>
    <cellStyle name="Normal 2 6 6 3 2 9" xfId="36819" xr:uid="{00000000-0005-0000-0000-0000AE8E0000}"/>
    <cellStyle name="Normal 2 6 6 3 3" xfId="36820" xr:uid="{00000000-0005-0000-0000-0000AF8E0000}"/>
    <cellStyle name="Normal 2 6 6 3 3 2" xfId="36821" xr:uid="{00000000-0005-0000-0000-0000B08E0000}"/>
    <cellStyle name="Normal 2 6 6 3 3 2 2" xfId="36822" xr:uid="{00000000-0005-0000-0000-0000B18E0000}"/>
    <cellStyle name="Normal 2 6 6 3 3 2 3" xfId="36823" xr:uid="{00000000-0005-0000-0000-0000B28E0000}"/>
    <cellStyle name="Normal 2 6 6 3 3 2 4" xfId="36824" xr:uid="{00000000-0005-0000-0000-0000B38E0000}"/>
    <cellStyle name="Normal 2 6 6 3 3 2 5" xfId="36825" xr:uid="{00000000-0005-0000-0000-0000B48E0000}"/>
    <cellStyle name="Normal 2 6 6 3 3 3" xfId="36826" xr:uid="{00000000-0005-0000-0000-0000B58E0000}"/>
    <cellStyle name="Normal 2 6 6 3 3 4" xfId="36827" xr:uid="{00000000-0005-0000-0000-0000B68E0000}"/>
    <cellStyle name="Normal 2 6 6 3 3 5" xfId="36828" xr:uid="{00000000-0005-0000-0000-0000B78E0000}"/>
    <cellStyle name="Normal 2 6 6 3 3 6" xfId="36829" xr:uid="{00000000-0005-0000-0000-0000B88E0000}"/>
    <cellStyle name="Normal 2 6 6 3 3 7" xfId="36830" xr:uid="{00000000-0005-0000-0000-0000B98E0000}"/>
    <cellStyle name="Normal 2 6 6 3 3 8" xfId="36831" xr:uid="{00000000-0005-0000-0000-0000BA8E0000}"/>
    <cellStyle name="Normal 2 6 6 3 4" xfId="36832" xr:uid="{00000000-0005-0000-0000-0000BB8E0000}"/>
    <cellStyle name="Normal 2 6 6 3 4 2" xfId="36833" xr:uid="{00000000-0005-0000-0000-0000BC8E0000}"/>
    <cellStyle name="Normal 2 6 6 3 4 2 2" xfId="36834" xr:uid="{00000000-0005-0000-0000-0000BD8E0000}"/>
    <cellStyle name="Normal 2 6 6 3 4 2 3" xfId="36835" xr:uid="{00000000-0005-0000-0000-0000BE8E0000}"/>
    <cellStyle name="Normal 2 6 6 3 4 2 4" xfId="36836" xr:uid="{00000000-0005-0000-0000-0000BF8E0000}"/>
    <cellStyle name="Normal 2 6 6 3 4 2 5" xfId="36837" xr:uid="{00000000-0005-0000-0000-0000C08E0000}"/>
    <cellStyle name="Normal 2 6 6 3 4 3" xfId="36838" xr:uid="{00000000-0005-0000-0000-0000C18E0000}"/>
    <cellStyle name="Normal 2 6 6 3 4 4" xfId="36839" xr:uid="{00000000-0005-0000-0000-0000C28E0000}"/>
    <cellStyle name="Normal 2 6 6 3 4 5" xfId="36840" xr:uid="{00000000-0005-0000-0000-0000C38E0000}"/>
    <cellStyle name="Normal 2 6 6 3 4 6" xfId="36841" xr:uid="{00000000-0005-0000-0000-0000C48E0000}"/>
    <cellStyle name="Normal 2 6 6 3 4 7" xfId="36842" xr:uid="{00000000-0005-0000-0000-0000C58E0000}"/>
    <cellStyle name="Normal 2 6 6 3 4 8" xfId="36843" xr:uid="{00000000-0005-0000-0000-0000C68E0000}"/>
    <cellStyle name="Normal 2 6 6 3 5" xfId="36844" xr:uid="{00000000-0005-0000-0000-0000C78E0000}"/>
    <cellStyle name="Normal 2 6 6 3 5 2" xfId="36845" xr:uid="{00000000-0005-0000-0000-0000C88E0000}"/>
    <cellStyle name="Normal 2 6 6 3 5 3" xfId="36846" xr:uid="{00000000-0005-0000-0000-0000C98E0000}"/>
    <cellStyle name="Normal 2 6 6 3 5 4" xfId="36847" xr:uid="{00000000-0005-0000-0000-0000CA8E0000}"/>
    <cellStyle name="Normal 2 6 6 3 5 5" xfId="36848" xr:uid="{00000000-0005-0000-0000-0000CB8E0000}"/>
    <cellStyle name="Normal 2 6 6 3 6" xfId="36849" xr:uid="{00000000-0005-0000-0000-0000CC8E0000}"/>
    <cellStyle name="Normal 2 6 6 3 7" xfId="36850" xr:uid="{00000000-0005-0000-0000-0000CD8E0000}"/>
    <cellStyle name="Normal 2 6 6 3 8" xfId="36851" xr:uid="{00000000-0005-0000-0000-0000CE8E0000}"/>
    <cellStyle name="Normal 2 6 6 3 9" xfId="36852" xr:uid="{00000000-0005-0000-0000-0000CF8E0000}"/>
    <cellStyle name="Normal 2 6 6 4" xfId="36853" xr:uid="{00000000-0005-0000-0000-0000D08E0000}"/>
    <cellStyle name="Normal 2 6 6 4 10" xfId="36854" xr:uid="{00000000-0005-0000-0000-0000D18E0000}"/>
    <cellStyle name="Normal 2 6 6 4 2" xfId="36855" xr:uid="{00000000-0005-0000-0000-0000D28E0000}"/>
    <cellStyle name="Normal 2 6 6 4 2 2" xfId="36856" xr:uid="{00000000-0005-0000-0000-0000D38E0000}"/>
    <cellStyle name="Normal 2 6 6 4 2 2 2" xfId="36857" xr:uid="{00000000-0005-0000-0000-0000D48E0000}"/>
    <cellStyle name="Normal 2 6 6 4 2 2 3" xfId="36858" xr:uid="{00000000-0005-0000-0000-0000D58E0000}"/>
    <cellStyle name="Normal 2 6 6 4 2 2 4" xfId="36859" xr:uid="{00000000-0005-0000-0000-0000D68E0000}"/>
    <cellStyle name="Normal 2 6 6 4 2 2 5" xfId="36860" xr:uid="{00000000-0005-0000-0000-0000D78E0000}"/>
    <cellStyle name="Normal 2 6 6 4 2 3" xfId="36861" xr:uid="{00000000-0005-0000-0000-0000D88E0000}"/>
    <cellStyle name="Normal 2 6 6 4 2 4" xfId="36862" xr:uid="{00000000-0005-0000-0000-0000D98E0000}"/>
    <cellStyle name="Normal 2 6 6 4 2 5" xfId="36863" xr:uid="{00000000-0005-0000-0000-0000DA8E0000}"/>
    <cellStyle name="Normal 2 6 6 4 2 6" xfId="36864" xr:uid="{00000000-0005-0000-0000-0000DB8E0000}"/>
    <cellStyle name="Normal 2 6 6 4 2 7" xfId="36865" xr:uid="{00000000-0005-0000-0000-0000DC8E0000}"/>
    <cellStyle name="Normal 2 6 6 4 2 8" xfId="36866" xr:uid="{00000000-0005-0000-0000-0000DD8E0000}"/>
    <cellStyle name="Normal 2 6 6 4 3" xfId="36867" xr:uid="{00000000-0005-0000-0000-0000DE8E0000}"/>
    <cellStyle name="Normal 2 6 6 4 3 2" xfId="36868" xr:uid="{00000000-0005-0000-0000-0000DF8E0000}"/>
    <cellStyle name="Normal 2 6 6 4 3 2 2" xfId="36869" xr:uid="{00000000-0005-0000-0000-0000E08E0000}"/>
    <cellStyle name="Normal 2 6 6 4 3 2 3" xfId="36870" xr:uid="{00000000-0005-0000-0000-0000E18E0000}"/>
    <cellStyle name="Normal 2 6 6 4 3 2 4" xfId="36871" xr:uid="{00000000-0005-0000-0000-0000E28E0000}"/>
    <cellStyle name="Normal 2 6 6 4 3 2 5" xfId="36872" xr:uid="{00000000-0005-0000-0000-0000E38E0000}"/>
    <cellStyle name="Normal 2 6 6 4 3 3" xfId="36873" xr:uid="{00000000-0005-0000-0000-0000E48E0000}"/>
    <cellStyle name="Normal 2 6 6 4 3 4" xfId="36874" xr:uid="{00000000-0005-0000-0000-0000E58E0000}"/>
    <cellStyle name="Normal 2 6 6 4 3 5" xfId="36875" xr:uid="{00000000-0005-0000-0000-0000E68E0000}"/>
    <cellStyle name="Normal 2 6 6 4 3 6" xfId="36876" xr:uid="{00000000-0005-0000-0000-0000E78E0000}"/>
    <cellStyle name="Normal 2 6 6 4 3 7" xfId="36877" xr:uid="{00000000-0005-0000-0000-0000E88E0000}"/>
    <cellStyle name="Normal 2 6 6 4 3 8" xfId="36878" xr:uid="{00000000-0005-0000-0000-0000E98E0000}"/>
    <cellStyle name="Normal 2 6 6 4 4" xfId="36879" xr:uid="{00000000-0005-0000-0000-0000EA8E0000}"/>
    <cellStyle name="Normal 2 6 6 4 4 2" xfId="36880" xr:uid="{00000000-0005-0000-0000-0000EB8E0000}"/>
    <cellStyle name="Normal 2 6 6 4 4 3" xfId="36881" xr:uid="{00000000-0005-0000-0000-0000EC8E0000}"/>
    <cellStyle name="Normal 2 6 6 4 4 4" xfId="36882" xr:uid="{00000000-0005-0000-0000-0000ED8E0000}"/>
    <cellStyle name="Normal 2 6 6 4 4 5" xfId="36883" xr:uid="{00000000-0005-0000-0000-0000EE8E0000}"/>
    <cellStyle name="Normal 2 6 6 4 5" xfId="36884" xr:uid="{00000000-0005-0000-0000-0000EF8E0000}"/>
    <cellStyle name="Normal 2 6 6 4 6" xfId="36885" xr:uid="{00000000-0005-0000-0000-0000F08E0000}"/>
    <cellStyle name="Normal 2 6 6 4 7" xfId="36886" xr:uid="{00000000-0005-0000-0000-0000F18E0000}"/>
    <cellStyle name="Normal 2 6 6 4 8" xfId="36887" xr:uid="{00000000-0005-0000-0000-0000F28E0000}"/>
    <cellStyle name="Normal 2 6 6 4 9" xfId="36888" xr:uid="{00000000-0005-0000-0000-0000F38E0000}"/>
    <cellStyle name="Normal 2 6 6 5" xfId="36889" xr:uid="{00000000-0005-0000-0000-0000F48E0000}"/>
    <cellStyle name="Normal 2 6 6 5 2" xfId="36890" xr:uid="{00000000-0005-0000-0000-0000F58E0000}"/>
    <cellStyle name="Normal 2 6 6 5 2 2" xfId="36891" xr:uid="{00000000-0005-0000-0000-0000F68E0000}"/>
    <cellStyle name="Normal 2 6 6 5 2 3" xfId="36892" xr:uid="{00000000-0005-0000-0000-0000F78E0000}"/>
    <cellStyle name="Normal 2 6 6 5 2 4" xfId="36893" xr:uid="{00000000-0005-0000-0000-0000F88E0000}"/>
    <cellStyle name="Normal 2 6 6 5 2 5" xfId="36894" xr:uid="{00000000-0005-0000-0000-0000F98E0000}"/>
    <cellStyle name="Normal 2 6 6 5 3" xfId="36895" xr:uid="{00000000-0005-0000-0000-0000FA8E0000}"/>
    <cellStyle name="Normal 2 6 6 5 4" xfId="36896" xr:uid="{00000000-0005-0000-0000-0000FB8E0000}"/>
    <cellStyle name="Normal 2 6 6 5 5" xfId="36897" xr:uid="{00000000-0005-0000-0000-0000FC8E0000}"/>
    <cellStyle name="Normal 2 6 6 5 6" xfId="36898" xr:uid="{00000000-0005-0000-0000-0000FD8E0000}"/>
    <cellStyle name="Normal 2 6 6 5 7" xfId="36899" xr:uid="{00000000-0005-0000-0000-0000FE8E0000}"/>
    <cellStyle name="Normal 2 6 6 5 8" xfId="36900" xr:uid="{00000000-0005-0000-0000-0000FF8E0000}"/>
    <cellStyle name="Normal 2 6 6 6" xfId="36901" xr:uid="{00000000-0005-0000-0000-0000008F0000}"/>
    <cellStyle name="Normal 2 6 6 6 2" xfId="36902" xr:uid="{00000000-0005-0000-0000-0000018F0000}"/>
    <cellStyle name="Normal 2 6 6 6 2 2" xfId="36903" xr:uid="{00000000-0005-0000-0000-0000028F0000}"/>
    <cellStyle name="Normal 2 6 6 6 2 3" xfId="36904" xr:uid="{00000000-0005-0000-0000-0000038F0000}"/>
    <cellStyle name="Normal 2 6 6 6 2 4" xfId="36905" xr:uid="{00000000-0005-0000-0000-0000048F0000}"/>
    <cellStyle name="Normal 2 6 6 6 2 5" xfId="36906" xr:uid="{00000000-0005-0000-0000-0000058F0000}"/>
    <cellStyle name="Normal 2 6 6 6 3" xfId="36907" xr:uid="{00000000-0005-0000-0000-0000068F0000}"/>
    <cellStyle name="Normal 2 6 6 6 4" xfId="36908" xr:uid="{00000000-0005-0000-0000-0000078F0000}"/>
    <cellStyle name="Normal 2 6 6 6 5" xfId="36909" xr:uid="{00000000-0005-0000-0000-0000088F0000}"/>
    <cellStyle name="Normal 2 6 6 6 6" xfId="36910" xr:uid="{00000000-0005-0000-0000-0000098F0000}"/>
    <cellStyle name="Normal 2 6 6 6 7" xfId="36911" xr:uid="{00000000-0005-0000-0000-00000A8F0000}"/>
    <cellStyle name="Normal 2 6 6 6 8" xfId="36912" xr:uid="{00000000-0005-0000-0000-00000B8F0000}"/>
    <cellStyle name="Normal 2 6 6 7" xfId="36913" xr:uid="{00000000-0005-0000-0000-00000C8F0000}"/>
    <cellStyle name="Normal 2 6 6 7 2" xfId="36914" xr:uid="{00000000-0005-0000-0000-00000D8F0000}"/>
    <cellStyle name="Normal 2 6 6 7 3" xfId="36915" xr:uid="{00000000-0005-0000-0000-00000E8F0000}"/>
    <cellStyle name="Normal 2 6 6 7 4" xfId="36916" xr:uid="{00000000-0005-0000-0000-00000F8F0000}"/>
    <cellStyle name="Normal 2 6 6 7 5" xfId="36917" xr:uid="{00000000-0005-0000-0000-0000108F0000}"/>
    <cellStyle name="Normal 2 6 6 8" xfId="36918" xr:uid="{00000000-0005-0000-0000-0000118F0000}"/>
    <cellStyle name="Normal 2 6 6 9" xfId="36919" xr:uid="{00000000-0005-0000-0000-0000128F0000}"/>
    <cellStyle name="Normal 2 6 7" xfId="36920" xr:uid="{00000000-0005-0000-0000-0000138F0000}"/>
    <cellStyle name="Normal 2 6 7 10" xfId="36921" xr:uid="{00000000-0005-0000-0000-0000148F0000}"/>
    <cellStyle name="Normal 2 6 7 11" xfId="36922" xr:uid="{00000000-0005-0000-0000-0000158F0000}"/>
    <cellStyle name="Normal 2 6 7 12" xfId="36923" xr:uid="{00000000-0005-0000-0000-0000168F0000}"/>
    <cellStyle name="Normal 2 6 7 13" xfId="36924" xr:uid="{00000000-0005-0000-0000-0000178F0000}"/>
    <cellStyle name="Normal 2 6 7 2" xfId="36925" xr:uid="{00000000-0005-0000-0000-0000188F0000}"/>
    <cellStyle name="Normal 2 6 7 2 10" xfId="36926" xr:uid="{00000000-0005-0000-0000-0000198F0000}"/>
    <cellStyle name="Normal 2 6 7 2 11" xfId="36927" xr:uid="{00000000-0005-0000-0000-00001A8F0000}"/>
    <cellStyle name="Normal 2 6 7 2 2" xfId="36928" xr:uid="{00000000-0005-0000-0000-00001B8F0000}"/>
    <cellStyle name="Normal 2 6 7 2 2 10" xfId="36929" xr:uid="{00000000-0005-0000-0000-00001C8F0000}"/>
    <cellStyle name="Normal 2 6 7 2 2 2" xfId="36930" xr:uid="{00000000-0005-0000-0000-00001D8F0000}"/>
    <cellStyle name="Normal 2 6 7 2 2 2 2" xfId="36931" xr:uid="{00000000-0005-0000-0000-00001E8F0000}"/>
    <cellStyle name="Normal 2 6 7 2 2 2 2 2" xfId="36932" xr:uid="{00000000-0005-0000-0000-00001F8F0000}"/>
    <cellStyle name="Normal 2 6 7 2 2 2 2 3" xfId="36933" xr:uid="{00000000-0005-0000-0000-0000208F0000}"/>
    <cellStyle name="Normal 2 6 7 2 2 2 2 4" xfId="36934" xr:uid="{00000000-0005-0000-0000-0000218F0000}"/>
    <cellStyle name="Normal 2 6 7 2 2 2 2 5" xfId="36935" xr:uid="{00000000-0005-0000-0000-0000228F0000}"/>
    <cellStyle name="Normal 2 6 7 2 2 2 3" xfId="36936" xr:uid="{00000000-0005-0000-0000-0000238F0000}"/>
    <cellStyle name="Normal 2 6 7 2 2 2 4" xfId="36937" xr:uid="{00000000-0005-0000-0000-0000248F0000}"/>
    <cellStyle name="Normal 2 6 7 2 2 2 5" xfId="36938" xr:uid="{00000000-0005-0000-0000-0000258F0000}"/>
    <cellStyle name="Normal 2 6 7 2 2 2 6" xfId="36939" xr:uid="{00000000-0005-0000-0000-0000268F0000}"/>
    <cellStyle name="Normal 2 6 7 2 2 2 7" xfId="36940" xr:uid="{00000000-0005-0000-0000-0000278F0000}"/>
    <cellStyle name="Normal 2 6 7 2 2 2 8" xfId="36941" xr:uid="{00000000-0005-0000-0000-0000288F0000}"/>
    <cellStyle name="Normal 2 6 7 2 2 3" xfId="36942" xr:uid="{00000000-0005-0000-0000-0000298F0000}"/>
    <cellStyle name="Normal 2 6 7 2 2 3 2" xfId="36943" xr:uid="{00000000-0005-0000-0000-00002A8F0000}"/>
    <cellStyle name="Normal 2 6 7 2 2 3 2 2" xfId="36944" xr:uid="{00000000-0005-0000-0000-00002B8F0000}"/>
    <cellStyle name="Normal 2 6 7 2 2 3 2 3" xfId="36945" xr:uid="{00000000-0005-0000-0000-00002C8F0000}"/>
    <cellStyle name="Normal 2 6 7 2 2 3 2 4" xfId="36946" xr:uid="{00000000-0005-0000-0000-00002D8F0000}"/>
    <cellStyle name="Normal 2 6 7 2 2 3 2 5" xfId="36947" xr:uid="{00000000-0005-0000-0000-00002E8F0000}"/>
    <cellStyle name="Normal 2 6 7 2 2 3 3" xfId="36948" xr:uid="{00000000-0005-0000-0000-00002F8F0000}"/>
    <cellStyle name="Normal 2 6 7 2 2 3 4" xfId="36949" xr:uid="{00000000-0005-0000-0000-0000308F0000}"/>
    <cellStyle name="Normal 2 6 7 2 2 3 5" xfId="36950" xr:uid="{00000000-0005-0000-0000-0000318F0000}"/>
    <cellStyle name="Normal 2 6 7 2 2 3 6" xfId="36951" xr:uid="{00000000-0005-0000-0000-0000328F0000}"/>
    <cellStyle name="Normal 2 6 7 2 2 3 7" xfId="36952" xr:uid="{00000000-0005-0000-0000-0000338F0000}"/>
    <cellStyle name="Normal 2 6 7 2 2 3 8" xfId="36953" xr:uid="{00000000-0005-0000-0000-0000348F0000}"/>
    <cellStyle name="Normal 2 6 7 2 2 4" xfId="36954" xr:uid="{00000000-0005-0000-0000-0000358F0000}"/>
    <cellStyle name="Normal 2 6 7 2 2 4 2" xfId="36955" xr:uid="{00000000-0005-0000-0000-0000368F0000}"/>
    <cellStyle name="Normal 2 6 7 2 2 4 3" xfId="36956" xr:uid="{00000000-0005-0000-0000-0000378F0000}"/>
    <cellStyle name="Normal 2 6 7 2 2 4 4" xfId="36957" xr:uid="{00000000-0005-0000-0000-0000388F0000}"/>
    <cellStyle name="Normal 2 6 7 2 2 4 5" xfId="36958" xr:uid="{00000000-0005-0000-0000-0000398F0000}"/>
    <cellStyle name="Normal 2 6 7 2 2 5" xfId="36959" xr:uid="{00000000-0005-0000-0000-00003A8F0000}"/>
    <cellStyle name="Normal 2 6 7 2 2 6" xfId="36960" xr:uid="{00000000-0005-0000-0000-00003B8F0000}"/>
    <cellStyle name="Normal 2 6 7 2 2 7" xfId="36961" xr:uid="{00000000-0005-0000-0000-00003C8F0000}"/>
    <cellStyle name="Normal 2 6 7 2 2 8" xfId="36962" xr:uid="{00000000-0005-0000-0000-00003D8F0000}"/>
    <cellStyle name="Normal 2 6 7 2 2 9" xfId="36963" xr:uid="{00000000-0005-0000-0000-00003E8F0000}"/>
    <cellStyle name="Normal 2 6 7 2 3" xfId="36964" xr:uid="{00000000-0005-0000-0000-00003F8F0000}"/>
    <cellStyle name="Normal 2 6 7 2 3 2" xfId="36965" xr:uid="{00000000-0005-0000-0000-0000408F0000}"/>
    <cellStyle name="Normal 2 6 7 2 3 2 2" xfId="36966" xr:uid="{00000000-0005-0000-0000-0000418F0000}"/>
    <cellStyle name="Normal 2 6 7 2 3 2 3" xfId="36967" xr:uid="{00000000-0005-0000-0000-0000428F0000}"/>
    <cellStyle name="Normal 2 6 7 2 3 2 4" xfId="36968" xr:uid="{00000000-0005-0000-0000-0000438F0000}"/>
    <cellStyle name="Normal 2 6 7 2 3 2 5" xfId="36969" xr:uid="{00000000-0005-0000-0000-0000448F0000}"/>
    <cellStyle name="Normal 2 6 7 2 3 3" xfId="36970" xr:uid="{00000000-0005-0000-0000-0000458F0000}"/>
    <cellStyle name="Normal 2 6 7 2 3 4" xfId="36971" xr:uid="{00000000-0005-0000-0000-0000468F0000}"/>
    <cellStyle name="Normal 2 6 7 2 3 5" xfId="36972" xr:uid="{00000000-0005-0000-0000-0000478F0000}"/>
    <cellStyle name="Normal 2 6 7 2 3 6" xfId="36973" xr:uid="{00000000-0005-0000-0000-0000488F0000}"/>
    <cellStyle name="Normal 2 6 7 2 3 7" xfId="36974" xr:uid="{00000000-0005-0000-0000-0000498F0000}"/>
    <cellStyle name="Normal 2 6 7 2 3 8" xfId="36975" xr:uid="{00000000-0005-0000-0000-00004A8F0000}"/>
    <cellStyle name="Normal 2 6 7 2 4" xfId="36976" xr:uid="{00000000-0005-0000-0000-00004B8F0000}"/>
    <cellStyle name="Normal 2 6 7 2 4 2" xfId="36977" xr:uid="{00000000-0005-0000-0000-00004C8F0000}"/>
    <cellStyle name="Normal 2 6 7 2 4 2 2" xfId="36978" xr:uid="{00000000-0005-0000-0000-00004D8F0000}"/>
    <cellStyle name="Normal 2 6 7 2 4 2 3" xfId="36979" xr:uid="{00000000-0005-0000-0000-00004E8F0000}"/>
    <cellStyle name="Normal 2 6 7 2 4 2 4" xfId="36980" xr:uid="{00000000-0005-0000-0000-00004F8F0000}"/>
    <cellStyle name="Normal 2 6 7 2 4 2 5" xfId="36981" xr:uid="{00000000-0005-0000-0000-0000508F0000}"/>
    <cellStyle name="Normal 2 6 7 2 4 3" xfId="36982" xr:uid="{00000000-0005-0000-0000-0000518F0000}"/>
    <cellStyle name="Normal 2 6 7 2 4 4" xfId="36983" xr:uid="{00000000-0005-0000-0000-0000528F0000}"/>
    <cellStyle name="Normal 2 6 7 2 4 5" xfId="36984" xr:uid="{00000000-0005-0000-0000-0000538F0000}"/>
    <cellStyle name="Normal 2 6 7 2 4 6" xfId="36985" xr:uid="{00000000-0005-0000-0000-0000548F0000}"/>
    <cellStyle name="Normal 2 6 7 2 4 7" xfId="36986" xr:uid="{00000000-0005-0000-0000-0000558F0000}"/>
    <cellStyle name="Normal 2 6 7 2 4 8" xfId="36987" xr:uid="{00000000-0005-0000-0000-0000568F0000}"/>
    <cellStyle name="Normal 2 6 7 2 5" xfId="36988" xr:uid="{00000000-0005-0000-0000-0000578F0000}"/>
    <cellStyle name="Normal 2 6 7 2 5 2" xfId="36989" xr:uid="{00000000-0005-0000-0000-0000588F0000}"/>
    <cellStyle name="Normal 2 6 7 2 5 3" xfId="36990" xr:uid="{00000000-0005-0000-0000-0000598F0000}"/>
    <cellStyle name="Normal 2 6 7 2 5 4" xfId="36991" xr:uid="{00000000-0005-0000-0000-00005A8F0000}"/>
    <cellStyle name="Normal 2 6 7 2 5 5" xfId="36992" xr:uid="{00000000-0005-0000-0000-00005B8F0000}"/>
    <cellStyle name="Normal 2 6 7 2 6" xfId="36993" xr:uid="{00000000-0005-0000-0000-00005C8F0000}"/>
    <cellStyle name="Normal 2 6 7 2 7" xfId="36994" xr:uid="{00000000-0005-0000-0000-00005D8F0000}"/>
    <cellStyle name="Normal 2 6 7 2 8" xfId="36995" xr:uid="{00000000-0005-0000-0000-00005E8F0000}"/>
    <cellStyle name="Normal 2 6 7 2 9" xfId="36996" xr:uid="{00000000-0005-0000-0000-00005F8F0000}"/>
    <cellStyle name="Normal 2 6 7 3" xfId="36997" xr:uid="{00000000-0005-0000-0000-0000608F0000}"/>
    <cellStyle name="Normal 2 6 7 3 10" xfId="36998" xr:uid="{00000000-0005-0000-0000-0000618F0000}"/>
    <cellStyle name="Normal 2 6 7 3 11" xfId="36999" xr:uid="{00000000-0005-0000-0000-0000628F0000}"/>
    <cellStyle name="Normal 2 6 7 3 2" xfId="37000" xr:uid="{00000000-0005-0000-0000-0000638F0000}"/>
    <cellStyle name="Normal 2 6 7 3 2 10" xfId="37001" xr:uid="{00000000-0005-0000-0000-0000648F0000}"/>
    <cellStyle name="Normal 2 6 7 3 2 2" xfId="37002" xr:uid="{00000000-0005-0000-0000-0000658F0000}"/>
    <cellStyle name="Normal 2 6 7 3 2 2 2" xfId="37003" xr:uid="{00000000-0005-0000-0000-0000668F0000}"/>
    <cellStyle name="Normal 2 6 7 3 2 2 2 2" xfId="37004" xr:uid="{00000000-0005-0000-0000-0000678F0000}"/>
    <cellStyle name="Normal 2 6 7 3 2 2 2 3" xfId="37005" xr:uid="{00000000-0005-0000-0000-0000688F0000}"/>
    <cellStyle name="Normal 2 6 7 3 2 2 2 4" xfId="37006" xr:uid="{00000000-0005-0000-0000-0000698F0000}"/>
    <cellStyle name="Normal 2 6 7 3 2 2 2 5" xfId="37007" xr:uid="{00000000-0005-0000-0000-00006A8F0000}"/>
    <cellStyle name="Normal 2 6 7 3 2 2 3" xfId="37008" xr:uid="{00000000-0005-0000-0000-00006B8F0000}"/>
    <cellStyle name="Normal 2 6 7 3 2 2 4" xfId="37009" xr:uid="{00000000-0005-0000-0000-00006C8F0000}"/>
    <cellStyle name="Normal 2 6 7 3 2 2 5" xfId="37010" xr:uid="{00000000-0005-0000-0000-00006D8F0000}"/>
    <cellStyle name="Normal 2 6 7 3 2 2 6" xfId="37011" xr:uid="{00000000-0005-0000-0000-00006E8F0000}"/>
    <cellStyle name="Normal 2 6 7 3 2 2 7" xfId="37012" xr:uid="{00000000-0005-0000-0000-00006F8F0000}"/>
    <cellStyle name="Normal 2 6 7 3 2 2 8" xfId="37013" xr:uid="{00000000-0005-0000-0000-0000708F0000}"/>
    <cellStyle name="Normal 2 6 7 3 2 3" xfId="37014" xr:uid="{00000000-0005-0000-0000-0000718F0000}"/>
    <cellStyle name="Normal 2 6 7 3 2 3 2" xfId="37015" xr:uid="{00000000-0005-0000-0000-0000728F0000}"/>
    <cellStyle name="Normal 2 6 7 3 2 3 2 2" xfId="37016" xr:uid="{00000000-0005-0000-0000-0000738F0000}"/>
    <cellStyle name="Normal 2 6 7 3 2 3 2 3" xfId="37017" xr:uid="{00000000-0005-0000-0000-0000748F0000}"/>
    <cellStyle name="Normal 2 6 7 3 2 3 2 4" xfId="37018" xr:uid="{00000000-0005-0000-0000-0000758F0000}"/>
    <cellStyle name="Normal 2 6 7 3 2 3 2 5" xfId="37019" xr:uid="{00000000-0005-0000-0000-0000768F0000}"/>
    <cellStyle name="Normal 2 6 7 3 2 3 3" xfId="37020" xr:uid="{00000000-0005-0000-0000-0000778F0000}"/>
    <cellStyle name="Normal 2 6 7 3 2 3 4" xfId="37021" xr:uid="{00000000-0005-0000-0000-0000788F0000}"/>
    <cellStyle name="Normal 2 6 7 3 2 3 5" xfId="37022" xr:uid="{00000000-0005-0000-0000-0000798F0000}"/>
    <cellStyle name="Normal 2 6 7 3 2 3 6" xfId="37023" xr:uid="{00000000-0005-0000-0000-00007A8F0000}"/>
    <cellStyle name="Normal 2 6 7 3 2 3 7" xfId="37024" xr:uid="{00000000-0005-0000-0000-00007B8F0000}"/>
    <cellStyle name="Normal 2 6 7 3 2 3 8" xfId="37025" xr:uid="{00000000-0005-0000-0000-00007C8F0000}"/>
    <cellStyle name="Normal 2 6 7 3 2 4" xfId="37026" xr:uid="{00000000-0005-0000-0000-00007D8F0000}"/>
    <cellStyle name="Normal 2 6 7 3 2 4 2" xfId="37027" xr:uid="{00000000-0005-0000-0000-00007E8F0000}"/>
    <cellStyle name="Normal 2 6 7 3 2 4 3" xfId="37028" xr:uid="{00000000-0005-0000-0000-00007F8F0000}"/>
    <cellStyle name="Normal 2 6 7 3 2 4 4" xfId="37029" xr:uid="{00000000-0005-0000-0000-0000808F0000}"/>
    <cellStyle name="Normal 2 6 7 3 2 4 5" xfId="37030" xr:uid="{00000000-0005-0000-0000-0000818F0000}"/>
    <cellStyle name="Normal 2 6 7 3 2 5" xfId="37031" xr:uid="{00000000-0005-0000-0000-0000828F0000}"/>
    <cellStyle name="Normal 2 6 7 3 2 6" xfId="37032" xr:uid="{00000000-0005-0000-0000-0000838F0000}"/>
    <cellStyle name="Normal 2 6 7 3 2 7" xfId="37033" xr:uid="{00000000-0005-0000-0000-0000848F0000}"/>
    <cellStyle name="Normal 2 6 7 3 2 8" xfId="37034" xr:uid="{00000000-0005-0000-0000-0000858F0000}"/>
    <cellStyle name="Normal 2 6 7 3 2 9" xfId="37035" xr:uid="{00000000-0005-0000-0000-0000868F0000}"/>
    <cellStyle name="Normal 2 6 7 3 3" xfId="37036" xr:uid="{00000000-0005-0000-0000-0000878F0000}"/>
    <cellStyle name="Normal 2 6 7 3 3 2" xfId="37037" xr:uid="{00000000-0005-0000-0000-0000888F0000}"/>
    <cellStyle name="Normal 2 6 7 3 3 2 2" xfId="37038" xr:uid="{00000000-0005-0000-0000-0000898F0000}"/>
    <cellStyle name="Normal 2 6 7 3 3 2 3" xfId="37039" xr:uid="{00000000-0005-0000-0000-00008A8F0000}"/>
    <cellStyle name="Normal 2 6 7 3 3 2 4" xfId="37040" xr:uid="{00000000-0005-0000-0000-00008B8F0000}"/>
    <cellStyle name="Normal 2 6 7 3 3 2 5" xfId="37041" xr:uid="{00000000-0005-0000-0000-00008C8F0000}"/>
    <cellStyle name="Normal 2 6 7 3 3 3" xfId="37042" xr:uid="{00000000-0005-0000-0000-00008D8F0000}"/>
    <cellStyle name="Normal 2 6 7 3 3 4" xfId="37043" xr:uid="{00000000-0005-0000-0000-00008E8F0000}"/>
    <cellStyle name="Normal 2 6 7 3 3 5" xfId="37044" xr:uid="{00000000-0005-0000-0000-00008F8F0000}"/>
    <cellStyle name="Normal 2 6 7 3 3 6" xfId="37045" xr:uid="{00000000-0005-0000-0000-0000908F0000}"/>
    <cellStyle name="Normal 2 6 7 3 3 7" xfId="37046" xr:uid="{00000000-0005-0000-0000-0000918F0000}"/>
    <cellStyle name="Normal 2 6 7 3 3 8" xfId="37047" xr:uid="{00000000-0005-0000-0000-0000928F0000}"/>
    <cellStyle name="Normal 2 6 7 3 4" xfId="37048" xr:uid="{00000000-0005-0000-0000-0000938F0000}"/>
    <cellStyle name="Normal 2 6 7 3 4 2" xfId="37049" xr:uid="{00000000-0005-0000-0000-0000948F0000}"/>
    <cellStyle name="Normal 2 6 7 3 4 2 2" xfId="37050" xr:uid="{00000000-0005-0000-0000-0000958F0000}"/>
    <cellStyle name="Normal 2 6 7 3 4 2 3" xfId="37051" xr:uid="{00000000-0005-0000-0000-0000968F0000}"/>
    <cellStyle name="Normal 2 6 7 3 4 2 4" xfId="37052" xr:uid="{00000000-0005-0000-0000-0000978F0000}"/>
    <cellStyle name="Normal 2 6 7 3 4 2 5" xfId="37053" xr:uid="{00000000-0005-0000-0000-0000988F0000}"/>
    <cellStyle name="Normal 2 6 7 3 4 3" xfId="37054" xr:uid="{00000000-0005-0000-0000-0000998F0000}"/>
    <cellStyle name="Normal 2 6 7 3 4 4" xfId="37055" xr:uid="{00000000-0005-0000-0000-00009A8F0000}"/>
    <cellStyle name="Normal 2 6 7 3 4 5" xfId="37056" xr:uid="{00000000-0005-0000-0000-00009B8F0000}"/>
    <cellStyle name="Normal 2 6 7 3 4 6" xfId="37057" xr:uid="{00000000-0005-0000-0000-00009C8F0000}"/>
    <cellStyle name="Normal 2 6 7 3 4 7" xfId="37058" xr:uid="{00000000-0005-0000-0000-00009D8F0000}"/>
    <cellStyle name="Normal 2 6 7 3 4 8" xfId="37059" xr:uid="{00000000-0005-0000-0000-00009E8F0000}"/>
    <cellStyle name="Normal 2 6 7 3 5" xfId="37060" xr:uid="{00000000-0005-0000-0000-00009F8F0000}"/>
    <cellStyle name="Normal 2 6 7 3 5 2" xfId="37061" xr:uid="{00000000-0005-0000-0000-0000A08F0000}"/>
    <cellStyle name="Normal 2 6 7 3 5 3" xfId="37062" xr:uid="{00000000-0005-0000-0000-0000A18F0000}"/>
    <cellStyle name="Normal 2 6 7 3 5 4" xfId="37063" xr:uid="{00000000-0005-0000-0000-0000A28F0000}"/>
    <cellStyle name="Normal 2 6 7 3 5 5" xfId="37064" xr:uid="{00000000-0005-0000-0000-0000A38F0000}"/>
    <cellStyle name="Normal 2 6 7 3 6" xfId="37065" xr:uid="{00000000-0005-0000-0000-0000A48F0000}"/>
    <cellStyle name="Normal 2 6 7 3 7" xfId="37066" xr:uid="{00000000-0005-0000-0000-0000A58F0000}"/>
    <cellStyle name="Normal 2 6 7 3 8" xfId="37067" xr:uid="{00000000-0005-0000-0000-0000A68F0000}"/>
    <cellStyle name="Normal 2 6 7 3 9" xfId="37068" xr:uid="{00000000-0005-0000-0000-0000A78F0000}"/>
    <cellStyle name="Normal 2 6 7 4" xfId="37069" xr:uid="{00000000-0005-0000-0000-0000A88F0000}"/>
    <cellStyle name="Normal 2 6 7 4 10" xfId="37070" xr:uid="{00000000-0005-0000-0000-0000A98F0000}"/>
    <cellStyle name="Normal 2 6 7 4 2" xfId="37071" xr:uid="{00000000-0005-0000-0000-0000AA8F0000}"/>
    <cellStyle name="Normal 2 6 7 4 2 2" xfId="37072" xr:uid="{00000000-0005-0000-0000-0000AB8F0000}"/>
    <cellStyle name="Normal 2 6 7 4 2 2 2" xfId="37073" xr:uid="{00000000-0005-0000-0000-0000AC8F0000}"/>
    <cellStyle name="Normal 2 6 7 4 2 2 3" xfId="37074" xr:uid="{00000000-0005-0000-0000-0000AD8F0000}"/>
    <cellStyle name="Normal 2 6 7 4 2 2 4" xfId="37075" xr:uid="{00000000-0005-0000-0000-0000AE8F0000}"/>
    <cellStyle name="Normal 2 6 7 4 2 2 5" xfId="37076" xr:uid="{00000000-0005-0000-0000-0000AF8F0000}"/>
    <cellStyle name="Normal 2 6 7 4 2 3" xfId="37077" xr:uid="{00000000-0005-0000-0000-0000B08F0000}"/>
    <cellStyle name="Normal 2 6 7 4 2 4" xfId="37078" xr:uid="{00000000-0005-0000-0000-0000B18F0000}"/>
    <cellStyle name="Normal 2 6 7 4 2 5" xfId="37079" xr:uid="{00000000-0005-0000-0000-0000B28F0000}"/>
    <cellStyle name="Normal 2 6 7 4 2 6" xfId="37080" xr:uid="{00000000-0005-0000-0000-0000B38F0000}"/>
    <cellStyle name="Normal 2 6 7 4 2 7" xfId="37081" xr:uid="{00000000-0005-0000-0000-0000B48F0000}"/>
    <cellStyle name="Normal 2 6 7 4 2 8" xfId="37082" xr:uid="{00000000-0005-0000-0000-0000B58F0000}"/>
    <cellStyle name="Normal 2 6 7 4 3" xfId="37083" xr:uid="{00000000-0005-0000-0000-0000B68F0000}"/>
    <cellStyle name="Normal 2 6 7 4 3 2" xfId="37084" xr:uid="{00000000-0005-0000-0000-0000B78F0000}"/>
    <cellStyle name="Normal 2 6 7 4 3 2 2" xfId="37085" xr:uid="{00000000-0005-0000-0000-0000B88F0000}"/>
    <cellStyle name="Normal 2 6 7 4 3 2 3" xfId="37086" xr:uid="{00000000-0005-0000-0000-0000B98F0000}"/>
    <cellStyle name="Normal 2 6 7 4 3 2 4" xfId="37087" xr:uid="{00000000-0005-0000-0000-0000BA8F0000}"/>
    <cellStyle name="Normal 2 6 7 4 3 2 5" xfId="37088" xr:uid="{00000000-0005-0000-0000-0000BB8F0000}"/>
    <cellStyle name="Normal 2 6 7 4 3 3" xfId="37089" xr:uid="{00000000-0005-0000-0000-0000BC8F0000}"/>
    <cellStyle name="Normal 2 6 7 4 3 4" xfId="37090" xr:uid="{00000000-0005-0000-0000-0000BD8F0000}"/>
    <cellStyle name="Normal 2 6 7 4 3 5" xfId="37091" xr:uid="{00000000-0005-0000-0000-0000BE8F0000}"/>
    <cellStyle name="Normal 2 6 7 4 3 6" xfId="37092" xr:uid="{00000000-0005-0000-0000-0000BF8F0000}"/>
    <cellStyle name="Normal 2 6 7 4 3 7" xfId="37093" xr:uid="{00000000-0005-0000-0000-0000C08F0000}"/>
    <cellStyle name="Normal 2 6 7 4 3 8" xfId="37094" xr:uid="{00000000-0005-0000-0000-0000C18F0000}"/>
    <cellStyle name="Normal 2 6 7 4 4" xfId="37095" xr:uid="{00000000-0005-0000-0000-0000C28F0000}"/>
    <cellStyle name="Normal 2 6 7 4 4 2" xfId="37096" xr:uid="{00000000-0005-0000-0000-0000C38F0000}"/>
    <cellStyle name="Normal 2 6 7 4 4 3" xfId="37097" xr:uid="{00000000-0005-0000-0000-0000C48F0000}"/>
    <cellStyle name="Normal 2 6 7 4 4 4" xfId="37098" xr:uid="{00000000-0005-0000-0000-0000C58F0000}"/>
    <cellStyle name="Normal 2 6 7 4 4 5" xfId="37099" xr:uid="{00000000-0005-0000-0000-0000C68F0000}"/>
    <cellStyle name="Normal 2 6 7 4 5" xfId="37100" xr:uid="{00000000-0005-0000-0000-0000C78F0000}"/>
    <cellStyle name="Normal 2 6 7 4 6" xfId="37101" xr:uid="{00000000-0005-0000-0000-0000C88F0000}"/>
    <cellStyle name="Normal 2 6 7 4 7" xfId="37102" xr:uid="{00000000-0005-0000-0000-0000C98F0000}"/>
    <cellStyle name="Normal 2 6 7 4 8" xfId="37103" xr:uid="{00000000-0005-0000-0000-0000CA8F0000}"/>
    <cellStyle name="Normal 2 6 7 4 9" xfId="37104" xr:uid="{00000000-0005-0000-0000-0000CB8F0000}"/>
    <cellStyle name="Normal 2 6 7 5" xfId="37105" xr:uid="{00000000-0005-0000-0000-0000CC8F0000}"/>
    <cellStyle name="Normal 2 6 7 5 2" xfId="37106" xr:uid="{00000000-0005-0000-0000-0000CD8F0000}"/>
    <cellStyle name="Normal 2 6 7 5 2 2" xfId="37107" xr:uid="{00000000-0005-0000-0000-0000CE8F0000}"/>
    <cellStyle name="Normal 2 6 7 5 2 3" xfId="37108" xr:uid="{00000000-0005-0000-0000-0000CF8F0000}"/>
    <cellStyle name="Normal 2 6 7 5 2 4" xfId="37109" xr:uid="{00000000-0005-0000-0000-0000D08F0000}"/>
    <cellStyle name="Normal 2 6 7 5 2 5" xfId="37110" xr:uid="{00000000-0005-0000-0000-0000D18F0000}"/>
    <cellStyle name="Normal 2 6 7 5 3" xfId="37111" xr:uid="{00000000-0005-0000-0000-0000D28F0000}"/>
    <cellStyle name="Normal 2 6 7 5 4" xfId="37112" xr:uid="{00000000-0005-0000-0000-0000D38F0000}"/>
    <cellStyle name="Normal 2 6 7 5 5" xfId="37113" xr:uid="{00000000-0005-0000-0000-0000D48F0000}"/>
    <cellStyle name="Normal 2 6 7 5 6" xfId="37114" xr:uid="{00000000-0005-0000-0000-0000D58F0000}"/>
    <cellStyle name="Normal 2 6 7 5 7" xfId="37115" xr:uid="{00000000-0005-0000-0000-0000D68F0000}"/>
    <cellStyle name="Normal 2 6 7 5 8" xfId="37116" xr:uid="{00000000-0005-0000-0000-0000D78F0000}"/>
    <cellStyle name="Normal 2 6 7 6" xfId="37117" xr:uid="{00000000-0005-0000-0000-0000D88F0000}"/>
    <cellStyle name="Normal 2 6 7 6 2" xfId="37118" xr:uid="{00000000-0005-0000-0000-0000D98F0000}"/>
    <cellStyle name="Normal 2 6 7 6 2 2" xfId="37119" xr:uid="{00000000-0005-0000-0000-0000DA8F0000}"/>
    <cellStyle name="Normal 2 6 7 6 2 3" xfId="37120" xr:uid="{00000000-0005-0000-0000-0000DB8F0000}"/>
    <cellStyle name="Normal 2 6 7 6 2 4" xfId="37121" xr:uid="{00000000-0005-0000-0000-0000DC8F0000}"/>
    <cellStyle name="Normal 2 6 7 6 2 5" xfId="37122" xr:uid="{00000000-0005-0000-0000-0000DD8F0000}"/>
    <cellStyle name="Normal 2 6 7 6 3" xfId="37123" xr:uid="{00000000-0005-0000-0000-0000DE8F0000}"/>
    <cellStyle name="Normal 2 6 7 6 4" xfId="37124" xr:uid="{00000000-0005-0000-0000-0000DF8F0000}"/>
    <cellStyle name="Normal 2 6 7 6 5" xfId="37125" xr:uid="{00000000-0005-0000-0000-0000E08F0000}"/>
    <cellStyle name="Normal 2 6 7 6 6" xfId="37126" xr:uid="{00000000-0005-0000-0000-0000E18F0000}"/>
    <cellStyle name="Normal 2 6 7 6 7" xfId="37127" xr:uid="{00000000-0005-0000-0000-0000E28F0000}"/>
    <cellStyle name="Normal 2 6 7 6 8" xfId="37128" xr:uid="{00000000-0005-0000-0000-0000E38F0000}"/>
    <cellStyle name="Normal 2 6 7 7" xfId="37129" xr:uid="{00000000-0005-0000-0000-0000E48F0000}"/>
    <cellStyle name="Normal 2 6 7 7 2" xfId="37130" xr:uid="{00000000-0005-0000-0000-0000E58F0000}"/>
    <cellStyle name="Normal 2 6 7 7 3" xfId="37131" xr:uid="{00000000-0005-0000-0000-0000E68F0000}"/>
    <cellStyle name="Normal 2 6 7 7 4" xfId="37132" xr:uid="{00000000-0005-0000-0000-0000E78F0000}"/>
    <cellStyle name="Normal 2 6 7 7 5" xfId="37133" xr:uid="{00000000-0005-0000-0000-0000E88F0000}"/>
    <cellStyle name="Normal 2 6 7 8" xfId="37134" xr:uid="{00000000-0005-0000-0000-0000E98F0000}"/>
    <cellStyle name="Normal 2 6 7 9" xfId="37135" xr:uid="{00000000-0005-0000-0000-0000EA8F0000}"/>
    <cellStyle name="Normal 2 6 8" xfId="37136" xr:uid="{00000000-0005-0000-0000-0000EB8F0000}"/>
    <cellStyle name="Normal 2 6 8 10" xfId="37137" xr:uid="{00000000-0005-0000-0000-0000EC8F0000}"/>
    <cellStyle name="Normal 2 6 8 11" xfId="37138" xr:uid="{00000000-0005-0000-0000-0000ED8F0000}"/>
    <cellStyle name="Normal 2 6 8 12" xfId="37139" xr:uid="{00000000-0005-0000-0000-0000EE8F0000}"/>
    <cellStyle name="Normal 2 6 8 13" xfId="37140" xr:uid="{00000000-0005-0000-0000-0000EF8F0000}"/>
    <cellStyle name="Normal 2 6 8 2" xfId="37141" xr:uid="{00000000-0005-0000-0000-0000F08F0000}"/>
    <cellStyle name="Normal 2 6 8 2 10" xfId="37142" xr:uid="{00000000-0005-0000-0000-0000F18F0000}"/>
    <cellStyle name="Normal 2 6 8 2 11" xfId="37143" xr:uid="{00000000-0005-0000-0000-0000F28F0000}"/>
    <cellStyle name="Normal 2 6 8 2 2" xfId="37144" xr:uid="{00000000-0005-0000-0000-0000F38F0000}"/>
    <cellStyle name="Normal 2 6 8 2 2 10" xfId="37145" xr:uid="{00000000-0005-0000-0000-0000F48F0000}"/>
    <cellStyle name="Normal 2 6 8 2 2 2" xfId="37146" xr:uid="{00000000-0005-0000-0000-0000F58F0000}"/>
    <cellStyle name="Normal 2 6 8 2 2 2 2" xfId="37147" xr:uid="{00000000-0005-0000-0000-0000F68F0000}"/>
    <cellStyle name="Normal 2 6 8 2 2 2 2 2" xfId="37148" xr:uid="{00000000-0005-0000-0000-0000F78F0000}"/>
    <cellStyle name="Normal 2 6 8 2 2 2 2 3" xfId="37149" xr:uid="{00000000-0005-0000-0000-0000F88F0000}"/>
    <cellStyle name="Normal 2 6 8 2 2 2 2 4" xfId="37150" xr:uid="{00000000-0005-0000-0000-0000F98F0000}"/>
    <cellStyle name="Normal 2 6 8 2 2 2 2 5" xfId="37151" xr:uid="{00000000-0005-0000-0000-0000FA8F0000}"/>
    <cellStyle name="Normal 2 6 8 2 2 2 3" xfId="37152" xr:uid="{00000000-0005-0000-0000-0000FB8F0000}"/>
    <cellStyle name="Normal 2 6 8 2 2 2 4" xfId="37153" xr:uid="{00000000-0005-0000-0000-0000FC8F0000}"/>
    <cellStyle name="Normal 2 6 8 2 2 2 5" xfId="37154" xr:uid="{00000000-0005-0000-0000-0000FD8F0000}"/>
    <cellStyle name="Normal 2 6 8 2 2 2 6" xfId="37155" xr:uid="{00000000-0005-0000-0000-0000FE8F0000}"/>
    <cellStyle name="Normal 2 6 8 2 2 2 7" xfId="37156" xr:uid="{00000000-0005-0000-0000-0000FF8F0000}"/>
    <cellStyle name="Normal 2 6 8 2 2 2 8" xfId="37157" xr:uid="{00000000-0005-0000-0000-000000900000}"/>
    <cellStyle name="Normal 2 6 8 2 2 3" xfId="37158" xr:uid="{00000000-0005-0000-0000-000001900000}"/>
    <cellStyle name="Normal 2 6 8 2 2 3 2" xfId="37159" xr:uid="{00000000-0005-0000-0000-000002900000}"/>
    <cellStyle name="Normal 2 6 8 2 2 3 2 2" xfId="37160" xr:uid="{00000000-0005-0000-0000-000003900000}"/>
    <cellStyle name="Normal 2 6 8 2 2 3 2 3" xfId="37161" xr:uid="{00000000-0005-0000-0000-000004900000}"/>
    <cellStyle name="Normal 2 6 8 2 2 3 2 4" xfId="37162" xr:uid="{00000000-0005-0000-0000-000005900000}"/>
    <cellStyle name="Normal 2 6 8 2 2 3 2 5" xfId="37163" xr:uid="{00000000-0005-0000-0000-000006900000}"/>
    <cellStyle name="Normal 2 6 8 2 2 3 3" xfId="37164" xr:uid="{00000000-0005-0000-0000-000007900000}"/>
    <cellStyle name="Normal 2 6 8 2 2 3 4" xfId="37165" xr:uid="{00000000-0005-0000-0000-000008900000}"/>
    <cellStyle name="Normal 2 6 8 2 2 3 5" xfId="37166" xr:uid="{00000000-0005-0000-0000-000009900000}"/>
    <cellStyle name="Normal 2 6 8 2 2 3 6" xfId="37167" xr:uid="{00000000-0005-0000-0000-00000A900000}"/>
    <cellStyle name="Normal 2 6 8 2 2 3 7" xfId="37168" xr:uid="{00000000-0005-0000-0000-00000B900000}"/>
    <cellStyle name="Normal 2 6 8 2 2 3 8" xfId="37169" xr:uid="{00000000-0005-0000-0000-00000C900000}"/>
    <cellStyle name="Normal 2 6 8 2 2 4" xfId="37170" xr:uid="{00000000-0005-0000-0000-00000D900000}"/>
    <cellStyle name="Normal 2 6 8 2 2 4 2" xfId="37171" xr:uid="{00000000-0005-0000-0000-00000E900000}"/>
    <cellStyle name="Normal 2 6 8 2 2 4 3" xfId="37172" xr:uid="{00000000-0005-0000-0000-00000F900000}"/>
    <cellStyle name="Normal 2 6 8 2 2 4 4" xfId="37173" xr:uid="{00000000-0005-0000-0000-000010900000}"/>
    <cellStyle name="Normal 2 6 8 2 2 4 5" xfId="37174" xr:uid="{00000000-0005-0000-0000-000011900000}"/>
    <cellStyle name="Normal 2 6 8 2 2 5" xfId="37175" xr:uid="{00000000-0005-0000-0000-000012900000}"/>
    <cellStyle name="Normal 2 6 8 2 2 6" xfId="37176" xr:uid="{00000000-0005-0000-0000-000013900000}"/>
    <cellStyle name="Normal 2 6 8 2 2 7" xfId="37177" xr:uid="{00000000-0005-0000-0000-000014900000}"/>
    <cellStyle name="Normal 2 6 8 2 2 8" xfId="37178" xr:uid="{00000000-0005-0000-0000-000015900000}"/>
    <cellStyle name="Normal 2 6 8 2 2 9" xfId="37179" xr:uid="{00000000-0005-0000-0000-000016900000}"/>
    <cellStyle name="Normal 2 6 8 2 3" xfId="37180" xr:uid="{00000000-0005-0000-0000-000017900000}"/>
    <cellStyle name="Normal 2 6 8 2 3 2" xfId="37181" xr:uid="{00000000-0005-0000-0000-000018900000}"/>
    <cellStyle name="Normal 2 6 8 2 3 2 2" xfId="37182" xr:uid="{00000000-0005-0000-0000-000019900000}"/>
    <cellStyle name="Normal 2 6 8 2 3 2 3" xfId="37183" xr:uid="{00000000-0005-0000-0000-00001A900000}"/>
    <cellStyle name="Normal 2 6 8 2 3 2 4" xfId="37184" xr:uid="{00000000-0005-0000-0000-00001B900000}"/>
    <cellStyle name="Normal 2 6 8 2 3 2 5" xfId="37185" xr:uid="{00000000-0005-0000-0000-00001C900000}"/>
    <cellStyle name="Normal 2 6 8 2 3 3" xfId="37186" xr:uid="{00000000-0005-0000-0000-00001D900000}"/>
    <cellStyle name="Normal 2 6 8 2 3 4" xfId="37187" xr:uid="{00000000-0005-0000-0000-00001E900000}"/>
    <cellStyle name="Normal 2 6 8 2 3 5" xfId="37188" xr:uid="{00000000-0005-0000-0000-00001F900000}"/>
    <cellStyle name="Normal 2 6 8 2 3 6" xfId="37189" xr:uid="{00000000-0005-0000-0000-000020900000}"/>
    <cellStyle name="Normal 2 6 8 2 3 7" xfId="37190" xr:uid="{00000000-0005-0000-0000-000021900000}"/>
    <cellStyle name="Normal 2 6 8 2 3 8" xfId="37191" xr:uid="{00000000-0005-0000-0000-000022900000}"/>
    <cellStyle name="Normal 2 6 8 2 4" xfId="37192" xr:uid="{00000000-0005-0000-0000-000023900000}"/>
    <cellStyle name="Normal 2 6 8 2 4 2" xfId="37193" xr:uid="{00000000-0005-0000-0000-000024900000}"/>
    <cellStyle name="Normal 2 6 8 2 4 2 2" xfId="37194" xr:uid="{00000000-0005-0000-0000-000025900000}"/>
    <cellStyle name="Normal 2 6 8 2 4 2 3" xfId="37195" xr:uid="{00000000-0005-0000-0000-000026900000}"/>
    <cellStyle name="Normal 2 6 8 2 4 2 4" xfId="37196" xr:uid="{00000000-0005-0000-0000-000027900000}"/>
    <cellStyle name="Normal 2 6 8 2 4 2 5" xfId="37197" xr:uid="{00000000-0005-0000-0000-000028900000}"/>
    <cellStyle name="Normal 2 6 8 2 4 3" xfId="37198" xr:uid="{00000000-0005-0000-0000-000029900000}"/>
    <cellStyle name="Normal 2 6 8 2 4 4" xfId="37199" xr:uid="{00000000-0005-0000-0000-00002A900000}"/>
    <cellStyle name="Normal 2 6 8 2 4 5" xfId="37200" xr:uid="{00000000-0005-0000-0000-00002B900000}"/>
    <cellStyle name="Normal 2 6 8 2 4 6" xfId="37201" xr:uid="{00000000-0005-0000-0000-00002C900000}"/>
    <cellStyle name="Normal 2 6 8 2 4 7" xfId="37202" xr:uid="{00000000-0005-0000-0000-00002D900000}"/>
    <cellStyle name="Normal 2 6 8 2 4 8" xfId="37203" xr:uid="{00000000-0005-0000-0000-00002E900000}"/>
    <cellStyle name="Normal 2 6 8 2 5" xfId="37204" xr:uid="{00000000-0005-0000-0000-00002F900000}"/>
    <cellStyle name="Normal 2 6 8 2 5 2" xfId="37205" xr:uid="{00000000-0005-0000-0000-000030900000}"/>
    <cellStyle name="Normal 2 6 8 2 5 3" xfId="37206" xr:uid="{00000000-0005-0000-0000-000031900000}"/>
    <cellStyle name="Normal 2 6 8 2 5 4" xfId="37207" xr:uid="{00000000-0005-0000-0000-000032900000}"/>
    <cellStyle name="Normal 2 6 8 2 5 5" xfId="37208" xr:uid="{00000000-0005-0000-0000-000033900000}"/>
    <cellStyle name="Normal 2 6 8 2 6" xfId="37209" xr:uid="{00000000-0005-0000-0000-000034900000}"/>
    <cellStyle name="Normal 2 6 8 2 7" xfId="37210" xr:uid="{00000000-0005-0000-0000-000035900000}"/>
    <cellStyle name="Normal 2 6 8 2 8" xfId="37211" xr:uid="{00000000-0005-0000-0000-000036900000}"/>
    <cellStyle name="Normal 2 6 8 2 9" xfId="37212" xr:uid="{00000000-0005-0000-0000-000037900000}"/>
    <cellStyle name="Normal 2 6 8 3" xfId="37213" xr:uid="{00000000-0005-0000-0000-000038900000}"/>
    <cellStyle name="Normal 2 6 8 3 10" xfId="37214" xr:uid="{00000000-0005-0000-0000-000039900000}"/>
    <cellStyle name="Normal 2 6 8 3 11" xfId="37215" xr:uid="{00000000-0005-0000-0000-00003A900000}"/>
    <cellStyle name="Normal 2 6 8 3 2" xfId="37216" xr:uid="{00000000-0005-0000-0000-00003B900000}"/>
    <cellStyle name="Normal 2 6 8 3 2 10" xfId="37217" xr:uid="{00000000-0005-0000-0000-00003C900000}"/>
    <cellStyle name="Normal 2 6 8 3 2 2" xfId="37218" xr:uid="{00000000-0005-0000-0000-00003D900000}"/>
    <cellStyle name="Normal 2 6 8 3 2 2 2" xfId="37219" xr:uid="{00000000-0005-0000-0000-00003E900000}"/>
    <cellStyle name="Normal 2 6 8 3 2 2 2 2" xfId="37220" xr:uid="{00000000-0005-0000-0000-00003F900000}"/>
    <cellStyle name="Normal 2 6 8 3 2 2 2 3" xfId="37221" xr:uid="{00000000-0005-0000-0000-000040900000}"/>
    <cellStyle name="Normal 2 6 8 3 2 2 2 4" xfId="37222" xr:uid="{00000000-0005-0000-0000-000041900000}"/>
    <cellStyle name="Normal 2 6 8 3 2 2 2 5" xfId="37223" xr:uid="{00000000-0005-0000-0000-000042900000}"/>
    <cellStyle name="Normal 2 6 8 3 2 2 3" xfId="37224" xr:uid="{00000000-0005-0000-0000-000043900000}"/>
    <cellStyle name="Normal 2 6 8 3 2 2 4" xfId="37225" xr:uid="{00000000-0005-0000-0000-000044900000}"/>
    <cellStyle name="Normal 2 6 8 3 2 2 5" xfId="37226" xr:uid="{00000000-0005-0000-0000-000045900000}"/>
    <cellStyle name="Normal 2 6 8 3 2 2 6" xfId="37227" xr:uid="{00000000-0005-0000-0000-000046900000}"/>
    <cellStyle name="Normal 2 6 8 3 2 2 7" xfId="37228" xr:uid="{00000000-0005-0000-0000-000047900000}"/>
    <cellStyle name="Normal 2 6 8 3 2 2 8" xfId="37229" xr:uid="{00000000-0005-0000-0000-000048900000}"/>
    <cellStyle name="Normal 2 6 8 3 2 3" xfId="37230" xr:uid="{00000000-0005-0000-0000-000049900000}"/>
    <cellStyle name="Normal 2 6 8 3 2 3 2" xfId="37231" xr:uid="{00000000-0005-0000-0000-00004A900000}"/>
    <cellStyle name="Normal 2 6 8 3 2 3 2 2" xfId="37232" xr:uid="{00000000-0005-0000-0000-00004B900000}"/>
    <cellStyle name="Normal 2 6 8 3 2 3 2 3" xfId="37233" xr:uid="{00000000-0005-0000-0000-00004C900000}"/>
    <cellStyle name="Normal 2 6 8 3 2 3 2 4" xfId="37234" xr:uid="{00000000-0005-0000-0000-00004D900000}"/>
    <cellStyle name="Normal 2 6 8 3 2 3 2 5" xfId="37235" xr:uid="{00000000-0005-0000-0000-00004E900000}"/>
    <cellStyle name="Normal 2 6 8 3 2 3 3" xfId="37236" xr:uid="{00000000-0005-0000-0000-00004F900000}"/>
    <cellStyle name="Normal 2 6 8 3 2 3 4" xfId="37237" xr:uid="{00000000-0005-0000-0000-000050900000}"/>
    <cellStyle name="Normal 2 6 8 3 2 3 5" xfId="37238" xr:uid="{00000000-0005-0000-0000-000051900000}"/>
    <cellStyle name="Normal 2 6 8 3 2 3 6" xfId="37239" xr:uid="{00000000-0005-0000-0000-000052900000}"/>
    <cellStyle name="Normal 2 6 8 3 2 3 7" xfId="37240" xr:uid="{00000000-0005-0000-0000-000053900000}"/>
    <cellStyle name="Normal 2 6 8 3 2 3 8" xfId="37241" xr:uid="{00000000-0005-0000-0000-000054900000}"/>
    <cellStyle name="Normal 2 6 8 3 2 4" xfId="37242" xr:uid="{00000000-0005-0000-0000-000055900000}"/>
    <cellStyle name="Normal 2 6 8 3 2 4 2" xfId="37243" xr:uid="{00000000-0005-0000-0000-000056900000}"/>
    <cellStyle name="Normal 2 6 8 3 2 4 3" xfId="37244" xr:uid="{00000000-0005-0000-0000-000057900000}"/>
    <cellStyle name="Normal 2 6 8 3 2 4 4" xfId="37245" xr:uid="{00000000-0005-0000-0000-000058900000}"/>
    <cellStyle name="Normal 2 6 8 3 2 4 5" xfId="37246" xr:uid="{00000000-0005-0000-0000-000059900000}"/>
    <cellStyle name="Normal 2 6 8 3 2 5" xfId="37247" xr:uid="{00000000-0005-0000-0000-00005A900000}"/>
    <cellStyle name="Normal 2 6 8 3 2 6" xfId="37248" xr:uid="{00000000-0005-0000-0000-00005B900000}"/>
    <cellStyle name="Normal 2 6 8 3 2 7" xfId="37249" xr:uid="{00000000-0005-0000-0000-00005C900000}"/>
    <cellStyle name="Normal 2 6 8 3 2 8" xfId="37250" xr:uid="{00000000-0005-0000-0000-00005D900000}"/>
    <cellStyle name="Normal 2 6 8 3 2 9" xfId="37251" xr:uid="{00000000-0005-0000-0000-00005E900000}"/>
    <cellStyle name="Normal 2 6 8 3 3" xfId="37252" xr:uid="{00000000-0005-0000-0000-00005F900000}"/>
    <cellStyle name="Normal 2 6 8 3 3 2" xfId="37253" xr:uid="{00000000-0005-0000-0000-000060900000}"/>
    <cellStyle name="Normal 2 6 8 3 3 2 2" xfId="37254" xr:uid="{00000000-0005-0000-0000-000061900000}"/>
    <cellStyle name="Normal 2 6 8 3 3 2 3" xfId="37255" xr:uid="{00000000-0005-0000-0000-000062900000}"/>
    <cellStyle name="Normal 2 6 8 3 3 2 4" xfId="37256" xr:uid="{00000000-0005-0000-0000-000063900000}"/>
    <cellStyle name="Normal 2 6 8 3 3 2 5" xfId="37257" xr:uid="{00000000-0005-0000-0000-000064900000}"/>
    <cellStyle name="Normal 2 6 8 3 3 3" xfId="37258" xr:uid="{00000000-0005-0000-0000-000065900000}"/>
    <cellStyle name="Normal 2 6 8 3 3 4" xfId="37259" xr:uid="{00000000-0005-0000-0000-000066900000}"/>
    <cellStyle name="Normal 2 6 8 3 3 5" xfId="37260" xr:uid="{00000000-0005-0000-0000-000067900000}"/>
    <cellStyle name="Normal 2 6 8 3 3 6" xfId="37261" xr:uid="{00000000-0005-0000-0000-000068900000}"/>
    <cellStyle name="Normal 2 6 8 3 3 7" xfId="37262" xr:uid="{00000000-0005-0000-0000-000069900000}"/>
    <cellStyle name="Normal 2 6 8 3 3 8" xfId="37263" xr:uid="{00000000-0005-0000-0000-00006A900000}"/>
    <cellStyle name="Normal 2 6 8 3 4" xfId="37264" xr:uid="{00000000-0005-0000-0000-00006B900000}"/>
    <cellStyle name="Normal 2 6 8 3 4 2" xfId="37265" xr:uid="{00000000-0005-0000-0000-00006C900000}"/>
    <cellStyle name="Normal 2 6 8 3 4 2 2" xfId="37266" xr:uid="{00000000-0005-0000-0000-00006D900000}"/>
    <cellStyle name="Normal 2 6 8 3 4 2 3" xfId="37267" xr:uid="{00000000-0005-0000-0000-00006E900000}"/>
    <cellStyle name="Normal 2 6 8 3 4 2 4" xfId="37268" xr:uid="{00000000-0005-0000-0000-00006F900000}"/>
    <cellStyle name="Normal 2 6 8 3 4 2 5" xfId="37269" xr:uid="{00000000-0005-0000-0000-000070900000}"/>
    <cellStyle name="Normal 2 6 8 3 4 3" xfId="37270" xr:uid="{00000000-0005-0000-0000-000071900000}"/>
    <cellStyle name="Normal 2 6 8 3 4 4" xfId="37271" xr:uid="{00000000-0005-0000-0000-000072900000}"/>
    <cellStyle name="Normal 2 6 8 3 4 5" xfId="37272" xr:uid="{00000000-0005-0000-0000-000073900000}"/>
    <cellStyle name="Normal 2 6 8 3 4 6" xfId="37273" xr:uid="{00000000-0005-0000-0000-000074900000}"/>
    <cellStyle name="Normal 2 6 8 3 4 7" xfId="37274" xr:uid="{00000000-0005-0000-0000-000075900000}"/>
    <cellStyle name="Normal 2 6 8 3 4 8" xfId="37275" xr:uid="{00000000-0005-0000-0000-000076900000}"/>
    <cellStyle name="Normal 2 6 8 3 5" xfId="37276" xr:uid="{00000000-0005-0000-0000-000077900000}"/>
    <cellStyle name="Normal 2 6 8 3 5 2" xfId="37277" xr:uid="{00000000-0005-0000-0000-000078900000}"/>
    <cellStyle name="Normal 2 6 8 3 5 3" xfId="37278" xr:uid="{00000000-0005-0000-0000-000079900000}"/>
    <cellStyle name="Normal 2 6 8 3 5 4" xfId="37279" xr:uid="{00000000-0005-0000-0000-00007A900000}"/>
    <cellStyle name="Normal 2 6 8 3 5 5" xfId="37280" xr:uid="{00000000-0005-0000-0000-00007B900000}"/>
    <cellStyle name="Normal 2 6 8 3 6" xfId="37281" xr:uid="{00000000-0005-0000-0000-00007C900000}"/>
    <cellStyle name="Normal 2 6 8 3 7" xfId="37282" xr:uid="{00000000-0005-0000-0000-00007D900000}"/>
    <cellStyle name="Normal 2 6 8 3 8" xfId="37283" xr:uid="{00000000-0005-0000-0000-00007E900000}"/>
    <cellStyle name="Normal 2 6 8 3 9" xfId="37284" xr:uid="{00000000-0005-0000-0000-00007F900000}"/>
    <cellStyle name="Normal 2 6 8 4" xfId="37285" xr:uid="{00000000-0005-0000-0000-000080900000}"/>
    <cellStyle name="Normal 2 6 8 4 10" xfId="37286" xr:uid="{00000000-0005-0000-0000-000081900000}"/>
    <cellStyle name="Normal 2 6 8 4 2" xfId="37287" xr:uid="{00000000-0005-0000-0000-000082900000}"/>
    <cellStyle name="Normal 2 6 8 4 2 2" xfId="37288" xr:uid="{00000000-0005-0000-0000-000083900000}"/>
    <cellStyle name="Normal 2 6 8 4 2 2 2" xfId="37289" xr:uid="{00000000-0005-0000-0000-000084900000}"/>
    <cellStyle name="Normal 2 6 8 4 2 2 3" xfId="37290" xr:uid="{00000000-0005-0000-0000-000085900000}"/>
    <cellStyle name="Normal 2 6 8 4 2 2 4" xfId="37291" xr:uid="{00000000-0005-0000-0000-000086900000}"/>
    <cellStyle name="Normal 2 6 8 4 2 2 5" xfId="37292" xr:uid="{00000000-0005-0000-0000-000087900000}"/>
    <cellStyle name="Normal 2 6 8 4 2 3" xfId="37293" xr:uid="{00000000-0005-0000-0000-000088900000}"/>
    <cellStyle name="Normal 2 6 8 4 2 4" xfId="37294" xr:uid="{00000000-0005-0000-0000-000089900000}"/>
    <cellStyle name="Normal 2 6 8 4 2 5" xfId="37295" xr:uid="{00000000-0005-0000-0000-00008A900000}"/>
    <cellStyle name="Normal 2 6 8 4 2 6" xfId="37296" xr:uid="{00000000-0005-0000-0000-00008B900000}"/>
    <cellStyle name="Normal 2 6 8 4 2 7" xfId="37297" xr:uid="{00000000-0005-0000-0000-00008C900000}"/>
    <cellStyle name="Normal 2 6 8 4 2 8" xfId="37298" xr:uid="{00000000-0005-0000-0000-00008D900000}"/>
    <cellStyle name="Normal 2 6 8 4 3" xfId="37299" xr:uid="{00000000-0005-0000-0000-00008E900000}"/>
    <cellStyle name="Normal 2 6 8 4 3 2" xfId="37300" xr:uid="{00000000-0005-0000-0000-00008F900000}"/>
    <cellStyle name="Normal 2 6 8 4 3 2 2" xfId="37301" xr:uid="{00000000-0005-0000-0000-000090900000}"/>
    <cellStyle name="Normal 2 6 8 4 3 2 3" xfId="37302" xr:uid="{00000000-0005-0000-0000-000091900000}"/>
    <cellStyle name="Normal 2 6 8 4 3 2 4" xfId="37303" xr:uid="{00000000-0005-0000-0000-000092900000}"/>
    <cellStyle name="Normal 2 6 8 4 3 2 5" xfId="37304" xr:uid="{00000000-0005-0000-0000-000093900000}"/>
    <cellStyle name="Normal 2 6 8 4 3 3" xfId="37305" xr:uid="{00000000-0005-0000-0000-000094900000}"/>
    <cellStyle name="Normal 2 6 8 4 3 4" xfId="37306" xr:uid="{00000000-0005-0000-0000-000095900000}"/>
    <cellStyle name="Normal 2 6 8 4 3 5" xfId="37307" xr:uid="{00000000-0005-0000-0000-000096900000}"/>
    <cellStyle name="Normal 2 6 8 4 3 6" xfId="37308" xr:uid="{00000000-0005-0000-0000-000097900000}"/>
    <cellStyle name="Normal 2 6 8 4 3 7" xfId="37309" xr:uid="{00000000-0005-0000-0000-000098900000}"/>
    <cellStyle name="Normal 2 6 8 4 3 8" xfId="37310" xr:uid="{00000000-0005-0000-0000-000099900000}"/>
    <cellStyle name="Normal 2 6 8 4 4" xfId="37311" xr:uid="{00000000-0005-0000-0000-00009A900000}"/>
    <cellStyle name="Normal 2 6 8 4 4 2" xfId="37312" xr:uid="{00000000-0005-0000-0000-00009B900000}"/>
    <cellStyle name="Normal 2 6 8 4 4 3" xfId="37313" xr:uid="{00000000-0005-0000-0000-00009C900000}"/>
    <cellStyle name="Normal 2 6 8 4 4 4" xfId="37314" xr:uid="{00000000-0005-0000-0000-00009D900000}"/>
    <cellStyle name="Normal 2 6 8 4 4 5" xfId="37315" xr:uid="{00000000-0005-0000-0000-00009E900000}"/>
    <cellStyle name="Normal 2 6 8 4 5" xfId="37316" xr:uid="{00000000-0005-0000-0000-00009F900000}"/>
    <cellStyle name="Normal 2 6 8 4 6" xfId="37317" xr:uid="{00000000-0005-0000-0000-0000A0900000}"/>
    <cellStyle name="Normal 2 6 8 4 7" xfId="37318" xr:uid="{00000000-0005-0000-0000-0000A1900000}"/>
    <cellStyle name="Normal 2 6 8 4 8" xfId="37319" xr:uid="{00000000-0005-0000-0000-0000A2900000}"/>
    <cellStyle name="Normal 2 6 8 4 9" xfId="37320" xr:uid="{00000000-0005-0000-0000-0000A3900000}"/>
    <cellStyle name="Normal 2 6 8 5" xfId="37321" xr:uid="{00000000-0005-0000-0000-0000A4900000}"/>
    <cellStyle name="Normal 2 6 8 5 2" xfId="37322" xr:uid="{00000000-0005-0000-0000-0000A5900000}"/>
    <cellStyle name="Normal 2 6 8 5 2 2" xfId="37323" xr:uid="{00000000-0005-0000-0000-0000A6900000}"/>
    <cellStyle name="Normal 2 6 8 5 2 3" xfId="37324" xr:uid="{00000000-0005-0000-0000-0000A7900000}"/>
    <cellStyle name="Normal 2 6 8 5 2 4" xfId="37325" xr:uid="{00000000-0005-0000-0000-0000A8900000}"/>
    <cellStyle name="Normal 2 6 8 5 2 5" xfId="37326" xr:uid="{00000000-0005-0000-0000-0000A9900000}"/>
    <cellStyle name="Normal 2 6 8 5 3" xfId="37327" xr:uid="{00000000-0005-0000-0000-0000AA900000}"/>
    <cellStyle name="Normal 2 6 8 5 4" xfId="37328" xr:uid="{00000000-0005-0000-0000-0000AB900000}"/>
    <cellStyle name="Normal 2 6 8 5 5" xfId="37329" xr:uid="{00000000-0005-0000-0000-0000AC900000}"/>
    <cellStyle name="Normal 2 6 8 5 6" xfId="37330" xr:uid="{00000000-0005-0000-0000-0000AD900000}"/>
    <cellStyle name="Normal 2 6 8 5 7" xfId="37331" xr:uid="{00000000-0005-0000-0000-0000AE900000}"/>
    <cellStyle name="Normal 2 6 8 5 8" xfId="37332" xr:uid="{00000000-0005-0000-0000-0000AF900000}"/>
    <cellStyle name="Normal 2 6 8 6" xfId="37333" xr:uid="{00000000-0005-0000-0000-0000B0900000}"/>
    <cellStyle name="Normal 2 6 8 6 2" xfId="37334" xr:uid="{00000000-0005-0000-0000-0000B1900000}"/>
    <cellStyle name="Normal 2 6 8 6 2 2" xfId="37335" xr:uid="{00000000-0005-0000-0000-0000B2900000}"/>
    <cellStyle name="Normal 2 6 8 6 2 3" xfId="37336" xr:uid="{00000000-0005-0000-0000-0000B3900000}"/>
    <cellStyle name="Normal 2 6 8 6 2 4" xfId="37337" xr:uid="{00000000-0005-0000-0000-0000B4900000}"/>
    <cellStyle name="Normal 2 6 8 6 2 5" xfId="37338" xr:uid="{00000000-0005-0000-0000-0000B5900000}"/>
    <cellStyle name="Normal 2 6 8 6 3" xfId="37339" xr:uid="{00000000-0005-0000-0000-0000B6900000}"/>
    <cellStyle name="Normal 2 6 8 6 4" xfId="37340" xr:uid="{00000000-0005-0000-0000-0000B7900000}"/>
    <cellStyle name="Normal 2 6 8 6 5" xfId="37341" xr:uid="{00000000-0005-0000-0000-0000B8900000}"/>
    <cellStyle name="Normal 2 6 8 6 6" xfId="37342" xr:uid="{00000000-0005-0000-0000-0000B9900000}"/>
    <cellStyle name="Normal 2 6 8 6 7" xfId="37343" xr:uid="{00000000-0005-0000-0000-0000BA900000}"/>
    <cellStyle name="Normal 2 6 8 6 8" xfId="37344" xr:uid="{00000000-0005-0000-0000-0000BB900000}"/>
    <cellStyle name="Normal 2 6 8 7" xfId="37345" xr:uid="{00000000-0005-0000-0000-0000BC900000}"/>
    <cellStyle name="Normal 2 6 8 7 2" xfId="37346" xr:uid="{00000000-0005-0000-0000-0000BD900000}"/>
    <cellStyle name="Normal 2 6 8 7 3" xfId="37347" xr:uid="{00000000-0005-0000-0000-0000BE900000}"/>
    <cellStyle name="Normal 2 6 8 7 4" xfId="37348" xr:uid="{00000000-0005-0000-0000-0000BF900000}"/>
    <cellStyle name="Normal 2 6 8 7 5" xfId="37349" xr:uid="{00000000-0005-0000-0000-0000C0900000}"/>
    <cellStyle name="Normal 2 6 8 8" xfId="37350" xr:uid="{00000000-0005-0000-0000-0000C1900000}"/>
    <cellStyle name="Normal 2 6 8 9" xfId="37351" xr:uid="{00000000-0005-0000-0000-0000C2900000}"/>
    <cellStyle name="Normal 2 6 9" xfId="37352" xr:uid="{00000000-0005-0000-0000-0000C3900000}"/>
    <cellStyle name="Normal 2 6 9 10" xfId="37353" xr:uid="{00000000-0005-0000-0000-0000C4900000}"/>
    <cellStyle name="Normal 2 6 9 11" xfId="37354" xr:uid="{00000000-0005-0000-0000-0000C5900000}"/>
    <cellStyle name="Normal 2 6 9 2" xfId="37355" xr:uid="{00000000-0005-0000-0000-0000C6900000}"/>
    <cellStyle name="Normal 2 6 9 2 10" xfId="37356" xr:uid="{00000000-0005-0000-0000-0000C7900000}"/>
    <cellStyle name="Normal 2 6 9 2 2" xfId="37357" xr:uid="{00000000-0005-0000-0000-0000C8900000}"/>
    <cellStyle name="Normal 2 6 9 2 2 2" xfId="37358" xr:uid="{00000000-0005-0000-0000-0000C9900000}"/>
    <cellStyle name="Normal 2 6 9 2 2 2 2" xfId="37359" xr:uid="{00000000-0005-0000-0000-0000CA900000}"/>
    <cellStyle name="Normal 2 6 9 2 2 2 3" xfId="37360" xr:uid="{00000000-0005-0000-0000-0000CB900000}"/>
    <cellStyle name="Normal 2 6 9 2 2 2 4" xfId="37361" xr:uid="{00000000-0005-0000-0000-0000CC900000}"/>
    <cellStyle name="Normal 2 6 9 2 2 2 5" xfId="37362" xr:uid="{00000000-0005-0000-0000-0000CD900000}"/>
    <cellStyle name="Normal 2 6 9 2 2 3" xfId="37363" xr:uid="{00000000-0005-0000-0000-0000CE900000}"/>
    <cellStyle name="Normal 2 6 9 2 2 4" xfId="37364" xr:uid="{00000000-0005-0000-0000-0000CF900000}"/>
    <cellStyle name="Normal 2 6 9 2 2 5" xfId="37365" xr:uid="{00000000-0005-0000-0000-0000D0900000}"/>
    <cellStyle name="Normal 2 6 9 2 2 6" xfId="37366" xr:uid="{00000000-0005-0000-0000-0000D1900000}"/>
    <cellStyle name="Normal 2 6 9 2 2 7" xfId="37367" xr:uid="{00000000-0005-0000-0000-0000D2900000}"/>
    <cellStyle name="Normal 2 6 9 2 2 8" xfId="37368" xr:uid="{00000000-0005-0000-0000-0000D3900000}"/>
    <cellStyle name="Normal 2 6 9 2 3" xfId="37369" xr:uid="{00000000-0005-0000-0000-0000D4900000}"/>
    <cellStyle name="Normal 2 6 9 2 3 2" xfId="37370" xr:uid="{00000000-0005-0000-0000-0000D5900000}"/>
    <cellStyle name="Normal 2 6 9 2 3 2 2" xfId="37371" xr:uid="{00000000-0005-0000-0000-0000D6900000}"/>
    <cellStyle name="Normal 2 6 9 2 3 2 3" xfId="37372" xr:uid="{00000000-0005-0000-0000-0000D7900000}"/>
    <cellStyle name="Normal 2 6 9 2 3 2 4" xfId="37373" xr:uid="{00000000-0005-0000-0000-0000D8900000}"/>
    <cellStyle name="Normal 2 6 9 2 3 2 5" xfId="37374" xr:uid="{00000000-0005-0000-0000-0000D9900000}"/>
    <cellStyle name="Normal 2 6 9 2 3 3" xfId="37375" xr:uid="{00000000-0005-0000-0000-0000DA900000}"/>
    <cellStyle name="Normal 2 6 9 2 3 4" xfId="37376" xr:uid="{00000000-0005-0000-0000-0000DB900000}"/>
    <cellStyle name="Normal 2 6 9 2 3 5" xfId="37377" xr:uid="{00000000-0005-0000-0000-0000DC900000}"/>
    <cellStyle name="Normal 2 6 9 2 3 6" xfId="37378" xr:uid="{00000000-0005-0000-0000-0000DD900000}"/>
    <cellStyle name="Normal 2 6 9 2 3 7" xfId="37379" xr:uid="{00000000-0005-0000-0000-0000DE900000}"/>
    <cellStyle name="Normal 2 6 9 2 3 8" xfId="37380" xr:uid="{00000000-0005-0000-0000-0000DF900000}"/>
    <cellStyle name="Normal 2 6 9 2 4" xfId="37381" xr:uid="{00000000-0005-0000-0000-0000E0900000}"/>
    <cellStyle name="Normal 2 6 9 2 4 2" xfId="37382" xr:uid="{00000000-0005-0000-0000-0000E1900000}"/>
    <cellStyle name="Normal 2 6 9 2 4 3" xfId="37383" xr:uid="{00000000-0005-0000-0000-0000E2900000}"/>
    <cellStyle name="Normal 2 6 9 2 4 4" xfId="37384" xr:uid="{00000000-0005-0000-0000-0000E3900000}"/>
    <cellStyle name="Normal 2 6 9 2 4 5" xfId="37385" xr:uid="{00000000-0005-0000-0000-0000E4900000}"/>
    <cellStyle name="Normal 2 6 9 2 5" xfId="37386" xr:uid="{00000000-0005-0000-0000-0000E5900000}"/>
    <cellStyle name="Normal 2 6 9 2 6" xfId="37387" xr:uid="{00000000-0005-0000-0000-0000E6900000}"/>
    <cellStyle name="Normal 2 6 9 2 7" xfId="37388" xr:uid="{00000000-0005-0000-0000-0000E7900000}"/>
    <cellStyle name="Normal 2 6 9 2 8" xfId="37389" xr:uid="{00000000-0005-0000-0000-0000E8900000}"/>
    <cellStyle name="Normal 2 6 9 2 9" xfId="37390" xr:uid="{00000000-0005-0000-0000-0000E9900000}"/>
    <cellStyle name="Normal 2 6 9 3" xfId="37391" xr:uid="{00000000-0005-0000-0000-0000EA900000}"/>
    <cellStyle name="Normal 2 6 9 3 2" xfId="37392" xr:uid="{00000000-0005-0000-0000-0000EB900000}"/>
    <cellStyle name="Normal 2 6 9 3 2 2" xfId="37393" xr:uid="{00000000-0005-0000-0000-0000EC900000}"/>
    <cellStyle name="Normal 2 6 9 3 2 3" xfId="37394" xr:uid="{00000000-0005-0000-0000-0000ED900000}"/>
    <cellStyle name="Normal 2 6 9 3 2 4" xfId="37395" xr:uid="{00000000-0005-0000-0000-0000EE900000}"/>
    <cellStyle name="Normal 2 6 9 3 2 5" xfId="37396" xr:uid="{00000000-0005-0000-0000-0000EF900000}"/>
    <cellStyle name="Normal 2 6 9 3 3" xfId="37397" xr:uid="{00000000-0005-0000-0000-0000F0900000}"/>
    <cellStyle name="Normal 2 6 9 3 4" xfId="37398" xr:uid="{00000000-0005-0000-0000-0000F1900000}"/>
    <cellStyle name="Normal 2 6 9 3 5" xfId="37399" xr:uid="{00000000-0005-0000-0000-0000F2900000}"/>
    <cellStyle name="Normal 2 6 9 3 6" xfId="37400" xr:uid="{00000000-0005-0000-0000-0000F3900000}"/>
    <cellStyle name="Normal 2 6 9 3 7" xfId="37401" xr:uid="{00000000-0005-0000-0000-0000F4900000}"/>
    <cellStyle name="Normal 2 6 9 3 8" xfId="37402" xr:uid="{00000000-0005-0000-0000-0000F5900000}"/>
    <cellStyle name="Normal 2 6 9 4" xfId="37403" xr:uid="{00000000-0005-0000-0000-0000F6900000}"/>
    <cellStyle name="Normal 2 6 9 4 2" xfId="37404" xr:uid="{00000000-0005-0000-0000-0000F7900000}"/>
    <cellStyle name="Normal 2 6 9 4 2 2" xfId="37405" xr:uid="{00000000-0005-0000-0000-0000F8900000}"/>
    <cellStyle name="Normal 2 6 9 4 2 3" xfId="37406" xr:uid="{00000000-0005-0000-0000-0000F9900000}"/>
    <cellStyle name="Normal 2 6 9 4 2 4" xfId="37407" xr:uid="{00000000-0005-0000-0000-0000FA900000}"/>
    <cellStyle name="Normal 2 6 9 4 2 5" xfId="37408" xr:uid="{00000000-0005-0000-0000-0000FB900000}"/>
    <cellStyle name="Normal 2 6 9 4 3" xfId="37409" xr:uid="{00000000-0005-0000-0000-0000FC900000}"/>
    <cellStyle name="Normal 2 6 9 4 4" xfId="37410" xr:uid="{00000000-0005-0000-0000-0000FD900000}"/>
    <cellStyle name="Normal 2 6 9 4 5" xfId="37411" xr:uid="{00000000-0005-0000-0000-0000FE900000}"/>
    <cellStyle name="Normal 2 6 9 4 6" xfId="37412" xr:uid="{00000000-0005-0000-0000-0000FF900000}"/>
    <cellStyle name="Normal 2 6 9 4 7" xfId="37413" xr:uid="{00000000-0005-0000-0000-000000910000}"/>
    <cellStyle name="Normal 2 6 9 4 8" xfId="37414" xr:uid="{00000000-0005-0000-0000-000001910000}"/>
    <cellStyle name="Normal 2 6 9 5" xfId="37415" xr:uid="{00000000-0005-0000-0000-000002910000}"/>
    <cellStyle name="Normal 2 6 9 5 2" xfId="37416" xr:uid="{00000000-0005-0000-0000-000003910000}"/>
    <cellStyle name="Normal 2 6 9 5 3" xfId="37417" xr:uid="{00000000-0005-0000-0000-000004910000}"/>
    <cellStyle name="Normal 2 6 9 5 4" xfId="37418" xr:uid="{00000000-0005-0000-0000-000005910000}"/>
    <cellStyle name="Normal 2 6 9 5 5" xfId="37419" xr:uid="{00000000-0005-0000-0000-000006910000}"/>
    <cellStyle name="Normal 2 6 9 6" xfId="37420" xr:uid="{00000000-0005-0000-0000-000007910000}"/>
    <cellStyle name="Normal 2 6 9 7" xfId="37421" xr:uid="{00000000-0005-0000-0000-000008910000}"/>
    <cellStyle name="Normal 2 6 9 8" xfId="37422" xr:uid="{00000000-0005-0000-0000-000009910000}"/>
    <cellStyle name="Normal 2 6 9 9" xfId="37423" xr:uid="{00000000-0005-0000-0000-00000A910000}"/>
    <cellStyle name="Normal 2 7" xfId="883" xr:uid="{00000000-0005-0000-0000-00000B910000}"/>
    <cellStyle name="Normal 2 7 10" xfId="37424" xr:uid="{00000000-0005-0000-0000-00000C910000}"/>
    <cellStyle name="Normal 2 7 10 10" xfId="37425" xr:uid="{00000000-0005-0000-0000-00000D910000}"/>
    <cellStyle name="Normal 2 7 10 11" xfId="37426" xr:uid="{00000000-0005-0000-0000-00000E910000}"/>
    <cellStyle name="Normal 2 7 10 2" xfId="37427" xr:uid="{00000000-0005-0000-0000-00000F910000}"/>
    <cellStyle name="Normal 2 7 10 2 10" xfId="37428" xr:uid="{00000000-0005-0000-0000-000010910000}"/>
    <cellStyle name="Normal 2 7 10 2 2" xfId="37429" xr:uid="{00000000-0005-0000-0000-000011910000}"/>
    <cellStyle name="Normal 2 7 10 2 2 2" xfId="37430" xr:uid="{00000000-0005-0000-0000-000012910000}"/>
    <cellStyle name="Normal 2 7 10 2 2 2 2" xfId="37431" xr:uid="{00000000-0005-0000-0000-000013910000}"/>
    <cellStyle name="Normal 2 7 10 2 2 2 3" xfId="37432" xr:uid="{00000000-0005-0000-0000-000014910000}"/>
    <cellStyle name="Normal 2 7 10 2 2 2 4" xfId="37433" xr:uid="{00000000-0005-0000-0000-000015910000}"/>
    <cellStyle name="Normal 2 7 10 2 2 2 5" xfId="37434" xr:uid="{00000000-0005-0000-0000-000016910000}"/>
    <cellStyle name="Normal 2 7 10 2 2 3" xfId="37435" xr:uid="{00000000-0005-0000-0000-000017910000}"/>
    <cellStyle name="Normal 2 7 10 2 2 4" xfId="37436" xr:uid="{00000000-0005-0000-0000-000018910000}"/>
    <cellStyle name="Normal 2 7 10 2 2 5" xfId="37437" xr:uid="{00000000-0005-0000-0000-000019910000}"/>
    <cellStyle name="Normal 2 7 10 2 2 6" xfId="37438" xr:uid="{00000000-0005-0000-0000-00001A910000}"/>
    <cellStyle name="Normal 2 7 10 2 2 7" xfId="37439" xr:uid="{00000000-0005-0000-0000-00001B910000}"/>
    <cellStyle name="Normal 2 7 10 2 2 8" xfId="37440" xr:uid="{00000000-0005-0000-0000-00001C910000}"/>
    <cellStyle name="Normal 2 7 10 2 3" xfId="37441" xr:uid="{00000000-0005-0000-0000-00001D910000}"/>
    <cellStyle name="Normal 2 7 10 2 3 2" xfId="37442" xr:uid="{00000000-0005-0000-0000-00001E910000}"/>
    <cellStyle name="Normal 2 7 10 2 3 2 2" xfId="37443" xr:uid="{00000000-0005-0000-0000-00001F910000}"/>
    <cellStyle name="Normal 2 7 10 2 3 2 3" xfId="37444" xr:uid="{00000000-0005-0000-0000-000020910000}"/>
    <cellStyle name="Normal 2 7 10 2 3 2 4" xfId="37445" xr:uid="{00000000-0005-0000-0000-000021910000}"/>
    <cellStyle name="Normal 2 7 10 2 3 2 5" xfId="37446" xr:uid="{00000000-0005-0000-0000-000022910000}"/>
    <cellStyle name="Normal 2 7 10 2 3 3" xfId="37447" xr:uid="{00000000-0005-0000-0000-000023910000}"/>
    <cellStyle name="Normal 2 7 10 2 3 4" xfId="37448" xr:uid="{00000000-0005-0000-0000-000024910000}"/>
    <cellStyle name="Normal 2 7 10 2 3 5" xfId="37449" xr:uid="{00000000-0005-0000-0000-000025910000}"/>
    <cellStyle name="Normal 2 7 10 2 3 6" xfId="37450" xr:uid="{00000000-0005-0000-0000-000026910000}"/>
    <cellStyle name="Normal 2 7 10 2 3 7" xfId="37451" xr:uid="{00000000-0005-0000-0000-000027910000}"/>
    <cellStyle name="Normal 2 7 10 2 3 8" xfId="37452" xr:uid="{00000000-0005-0000-0000-000028910000}"/>
    <cellStyle name="Normal 2 7 10 2 4" xfId="37453" xr:uid="{00000000-0005-0000-0000-000029910000}"/>
    <cellStyle name="Normal 2 7 10 2 4 2" xfId="37454" xr:uid="{00000000-0005-0000-0000-00002A910000}"/>
    <cellStyle name="Normal 2 7 10 2 4 3" xfId="37455" xr:uid="{00000000-0005-0000-0000-00002B910000}"/>
    <cellStyle name="Normal 2 7 10 2 4 4" xfId="37456" xr:uid="{00000000-0005-0000-0000-00002C910000}"/>
    <cellStyle name="Normal 2 7 10 2 4 5" xfId="37457" xr:uid="{00000000-0005-0000-0000-00002D910000}"/>
    <cellStyle name="Normal 2 7 10 2 5" xfId="37458" xr:uid="{00000000-0005-0000-0000-00002E910000}"/>
    <cellStyle name="Normal 2 7 10 2 6" xfId="37459" xr:uid="{00000000-0005-0000-0000-00002F910000}"/>
    <cellStyle name="Normal 2 7 10 2 7" xfId="37460" xr:uid="{00000000-0005-0000-0000-000030910000}"/>
    <cellStyle name="Normal 2 7 10 2 8" xfId="37461" xr:uid="{00000000-0005-0000-0000-000031910000}"/>
    <cellStyle name="Normal 2 7 10 2 9" xfId="37462" xr:uid="{00000000-0005-0000-0000-000032910000}"/>
    <cellStyle name="Normal 2 7 10 3" xfId="37463" xr:uid="{00000000-0005-0000-0000-000033910000}"/>
    <cellStyle name="Normal 2 7 10 3 2" xfId="37464" xr:uid="{00000000-0005-0000-0000-000034910000}"/>
    <cellStyle name="Normal 2 7 10 3 2 2" xfId="37465" xr:uid="{00000000-0005-0000-0000-000035910000}"/>
    <cellStyle name="Normal 2 7 10 3 2 3" xfId="37466" xr:uid="{00000000-0005-0000-0000-000036910000}"/>
    <cellStyle name="Normal 2 7 10 3 2 4" xfId="37467" xr:uid="{00000000-0005-0000-0000-000037910000}"/>
    <cellStyle name="Normal 2 7 10 3 2 5" xfId="37468" xr:uid="{00000000-0005-0000-0000-000038910000}"/>
    <cellStyle name="Normal 2 7 10 3 3" xfId="37469" xr:uid="{00000000-0005-0000-0000-000039910000}"/>
    <cellStyle name="Normal 2 7 10 3 4" xfId="37470" xr:uid="{00000000-0005-0000-0000-00003A910000}"/>
    <cellStyle name="Normal 2 7 10 3 5" xfId="37471" xr:uid="{00000000-0005-0000-0000-00003B910000}"/>
    <cellStyle name="Normal 2 7 10 3 6" xfId="37472" xr:uid="{00000000-0005-0000-0000-00003C910000}"/>
    <cellStyle name="Normal 2 7 10 3 7" xfId="37473" xr:uid="{00000000-0005-0000-0000-00003D910000}"/>
    <cellStyle name="Normal 2 7 10 3 8" xfId="37474" xr:uid="{00000000-0005-0000-0000-00003E910000}"/>
    <cellStyle name="Normal 2 7 10 4" xfId="37475" xr:uid="{00000000-0005-0000-0000-00003F910000}"/>
    <cellStyle name="Normal 2 7 10 4 2" xfId="37476" xr:uid="{00000000-0005-0000-0000-000040910000}"/>
    <cellStyle name="Normal 2 7 10 4 2 2" xfId="37477" xr:uid="{00000000-0005-0000-0000-000041910000}"/>
    <cellStyle name="Normal 2 7 10 4 2 3" xfId="37478" xr:uid="{00000000-0005-0000-0000-000042910000}"/>
    <cellStyle name="Normal 2 7 10 4 2 4" xfId="37479" xr:uid="{00000000-0005-0000-0000-000043910000}"/>
    <cellStyle name="Normal 2 7 10 4 2 5" xfId="37480" xr:uid="{00000000-0005-0000-0000-000044910000}"/>
    <cellStyle name="Normal 2 7 10 4 3" xfId="37481" xr:uid="{00000000-0005-0000-0000-000045910000}"/>
    <cellStyle name="Normal 2 7 10 4 4" xfId="37482" xr:uid="{00000000-0005-0000-0000-000046910000}"/>
    <cellStyle name="Normal 2 7 10 4 5" xfId="37483" xr:uid="{00000000-0005-0000-0000-000047910000}"/>
    <cellStyle name="Normal 2 7 10 4 6" xfId="37484" xr:uid="{00000000-0005-0000-0000-000048910000}"/>
    <cellStyle name="Normal 2 7 10 4 7" xfId="37485" xr:uid="{00000000-0005-0000-0000-000049910000}"/>
    <cellStyle name="Normal 2 7 10 4 8" xfId="37486" xr:uid="{00000000-0005-0000-0000-00004A910000}"/>
    <cellStyle name="Normal 2 7 10 5" xfId="37487" xr:uid="{00000000-0005-0000-0000-00004B910000}"/>
    <cellStyle name="Normal 2 7 10 5 2" xfId="37488" xr:uid="{00000000-0005-0000-0000-00004C910000}"/>
    <cellStyle name="Normal 2 7 10 5 3" xfId="37489" xr:uid="{00000000-0005-0000-0000-00004D910000}"/>
    <cellStyle name="Normal 2 7 10 5 4" xfId="37490" xr:uid="{00000000-0005-0000-0000-00004E910000}"/>
    <cellStyle name="Normal 2 7 10 5 5" xfId="37491" xr:uid="{00000000-0005-0000-0000-00004F910000}"/>
    <cellStyle name="Normal 2 7 10 6" xfId="37492" xr:uid="{00000000-0005-0000-0000-000050910000}"/>
    <cellStyle name="Normal 2 7 10 7" xfId="37493" xr:uid="{00000000-0005-0000-0000-000051910000}"/>
    <cellStyle name="Normal 2 7 10 8" xfId="37494" xr:uid="{00000000-0005-0000-0000-000052910000}"/>
    <cellStyle name="Normal 2 7 10 9" xfId="37495" xr:uid="{00000000-0005-0000-0000-000053910000}"/>
    <cellStyle name="Normal 2 7 11" xfId="37496" xr:uid="{00000000-0005-0000-0000-000054910000}"/>
    <cellStyle name="Normal 2 7 11 10" xfId="37497" xr:uid="{00000000-0005-0000-0000-000055910000}"/>
    <cellStyle name="Normal 2 7 11 2" xfId="37498" xr:uid="{00000000-0005-0000-0000-000056910000}"/>
    <cellStyle name="Normal 2 7 11 2 2" xfId="37499" xr:uid="{00000000-0005-0000-0000-000057910000}"/>
    <cellStyle name="Normal 2 7 11 2 2 2" xfId="37500" xr:uid="{00000000-0005-0000-0000-000058910000}"/>
    <cellStyle name="Normal 2 7 11 2 2 3" xfId="37501" xr:uid="{00000000-0005-0000-0000-000059910000}"/>
    <cellStyle name="Normal 2 7 11 2 2 4" xfId="37502" xr:uid="{00000000-0005-0000-0000-00005A910000}"/>
    <cellStyle name="Normal 2 7 11 2 2 5" xfId="37503" xr:uid="{00000000-0005-0000-0000-00005B910000}"/>
    <cellStyle name="Normal 2 7 11 2 3" xfId="37504" xr:uid="{00000000-0005-0000-0000-00005C910000}"/>
    <cellStyle name="Normal 2 7 11 2 4" xfId="37505" xr:uid="{00000000-0005-0000-0000-00005D910000}"/>
    <cellStyle name="Normal 2 7 11 2 5" xfId="37506" xr:uid="{00000000-0005-0000-0000-00005E910000}"/>
    <cellStyle name="Normal 2 7 11 2 6" xfId="37507" xr:uid="{00000000-0005-0000-0000-00005F910000}"/>
    <cellStyle name="Normal 2 7 11 2 7" xfId="37508" xr:uid="{00000000-0005-0000-0000-000060910000}"/>
    <cellStyle name="Normal 2 7 11 2 8" xfId="37509" xr:uid="{00000000-0005-0000-0000-000061910000}"/>
    <cellStyle name="Normal 2 7 11 3" xfId="37510" xr:uid="{00000000-0005-0000-0000-000062910000}"/>
    <cellStyle name="Normal 2 7 11 3 2" xfId="37511" xr:uid="{00000000-0005-0000-0000-000063910000}"/>
    <cellStyle name="Normal 2 7 11 3 2 2" xfId="37512" xr:uid="{00000000-0005-0000-0000-000064910000}"/>
    <cellStyle name="Normal 2 7 11 3 2 3" xfId="37513" xr:uid="{00000000-0005-0000-0000-000065910000}"/>
    <cellStyle name="Normal 2 7 11 3 2 4" xfId="37514" xr:uid="{00000000-0005-0000-0000-000066910000}"/>
    <cellStyle name="Normal 2 7 11 3 2 5" xfId="37515" xr:uid="{00000000-0005-0000-0000-000067910000}"/>
    <cellStyle name="Normal 2 7 11 3 3" xfId="37516" xr:uid="{00000000-0005-0000-0000-000068910000}"/>
    <cellStyle name="Normal 2 7 11 3 4" xfId="37517" xr:uid="{00000000-0005-0000-0000-000069910000}"/>
    <cellStyle name="Normal 2 7 11 3 5" xfId="37518" xr:uid="{00000000-0005-0000-0000-00006A910000}"/>
    <cellStyle name="Normal 2 7 11 3 6" xfId="37519" xr:uid="{00000000-0005-0000-0000-00006B910000}"/>
    <cellStyle name="Normal 2 7 11 3 7" xfId="37520" xr:uid="{00000000-0005-0000-0000-00006C910000}"/>
    <cellStyle name="Normal 2 7 11 3 8" xfId="37521" xr:uid="{00000000-0005-0000-0000-00006D910000}"/>
    <cellStyle name="Normal 2 7 11 4" xfId="37522" xr:uid="{00000000-0005-0000-0000-00006E910000}"/>
    <cellStyle name="Normal 2 7 11 4 2" xfId="37523" xr:uid="{00000000-0005-0000-0000-00006F910000}"/>
    <cellStyle name="Normal 2 7 11 4 3" xfId="37524" xr:uid="{00000000-0005-0000-0000-000070910000}"/>
    <cellStyle name="Normal 2 7 11 4 4" xfId="37525" xr:uid="{00000000-0005-0000-0000-000071910000}"/>
    <cellStyle name="Normal 2 7 11 4 5" xfId="37526" xr:uid="{00000000-0005-0000-0000-000072910000}"/>
    <cellStyle name="Normal 2 7 11 5" xfId="37527" xr:uid="{00000000-0005-0000-0000-000073910000}"/>
    <cellStyle name="Normal 2 7 11 6" xfId="37528" xr:uid="{00000000-0005-0000-0000-000074910000}"/>
    <cellStyle name="Normal 2 7 11 7" xfId="37529" xr:uid="{00000000-0005-0000-0000-000075910000}"/>
    <cellStyle name="Normal 2 7 11 8" xfId="37530" xr:uid="{00000000-0005-0000-0000-000076910000}"/>
    <cellStyle name="Normal 2 7 11 9" xfId="37531" xr:uid="{00000000-0005-0000-0000-000077910000}"/>
    <cellStyle name="Normal 2 7 12" xfId="37532" xr:uid="{00000000-0005-0000-0000-000078910000}"/>
    <cellStyle name="Normal 2 7 12 2" xfId="37533" xr:uid="{00000000-0005-0000-0000-000079910000}"/>
    <cellStyle name="Normal 2 7 12 2 2" xfId="37534" xr:uid="{00000000-0005-0000-0000-00007A910000}"/>
    <cellStyle name="Normal 2 7 12 2 3" xfId="37535" xr:uid="{00000000-0005-0000-0000-00007B910000}"/>
    <cellStyle name="Normal 2 7 12 2 4" xfId="37536" xr:uid="{00000000-0005-0000-0000-00007C910000}"/>
    <cellStyle name="Normal 2 7 12 2 5" xfId="37537" xr:uid="{00000000-0005-0000-0000-00007D910000}"/>
    <cellStyle name="Normal 2 7 12 3" xfId="37538" xr:uid="{00000000-0005-0000-0000-00007E910000}"/>
    <cellStyle name="Normal 2 7 12 4" xfId="37539" xr:uid="{00000000-0005-0000-0000-00007F910000}"/>
    <cellStyle name="Normal 2 7 12 5" xfId="37540" xr:uid="{00000000-0005-0000-0000-000080910000}"/>
    <cellStyle name="Normal 2 7 12 6" xfId="37541" xr:uid="{00000000-0005-0000-0000-000081910000}"/>
    <cellStyle name="Normal 2 7 12 7" xfId="37542" xr:uid="{00000000-0005-0000-0000-000082910000}"/>
    <cellStyle name="Normal 2 7 12 8" xfId="37543" xr:uid="{00000000-0005-0000-0000-000083910000}"/>
    <cellStyle name="Normal 2 7 13" xfId="37544" xr:uid="{00000000-0005-0000-0000-000084910000}"/>
    <cellStyle name="Normal 2 7 13 2" xfId="37545" xr:uid="{00000000-0005-0000-0000-000085910000}"/>
    <cellStyle name="Normal 2 7 13 2 2" xfId="37546" xr:uid="{00000000-0005-0000-0000-000086910000}"/>
    <cellStyle name="Normal 2 7 13 2 3" xfId="37547" xr:uid="{00000000-0005-0000-0000-000087910000}"/>
    <cellStyle name="Normal 2 7 13 2 4" xfId="37548" xr:uid="{00000000-0005-0000-0000-000088910000}"/>
    <cellStyle name="Normal 2 7 13 2 5" xfId="37549" xr:uid="{00000000-0005-0000-0000-000089910000}"/>
    <cellStyle name="Normal 2 7 13 3" xfId="37550" xr:uid="{00000000-0005-0000-0000-00008A910000}"/>
    <cellStyle name="Normal 2 7 13 4" xfId="37551" xr:uid="{00000000-0005-0000-0000-00008B910000}"/>
    <cellStyle name="Normal 2 7 13 5" xfId="37552" xr:uid="{00000000-0005-0000-0000-00008C910000}"/>
    <cellStyle name="Normal 2 7 13 6" xfId="37553" xr:uid="{00000000-0005-0000-0000-00008D910000}"/>
    <cellStyle name="Normal 2 7 13 7" xfId="37554" xr:uid="{00000000-0005-0000-0000-00008E910000}"/>
    <cellStyle name="Normal 2 7 13 8" xfId="37555" xr:uid="{00000000-0005-0000-0000-00008F910000}"/>
    <cellStyle name="Normal 2 7 14" xfId="37556" xr:uid="{00000000-0005-0000-0000-000090910000}"/>
    <cellStyle name="Normal 2 7 14 2" xfId="37557" xr:uid="{00000000-0005-0000-0000-000091910000}"/>
    <cellStyle name="Normal 2 7 14 3" xfId="37558" xr:uid="{00000000-0005-0000-0000-000092910000}"/>
    <cellStyle name="Normal 2 7 14 4" xfId="37559" xr:uid="{00000000-0005-0000-0000-000093910000}"/>
    <cellStyle name="Normal 2 7 14 5" xfId="37560" xr:uid="{00000000-0005-0000-0000-000094910000}"/>
    <cellStyle name="Normal 2 7 15" xfId="37561" xr:uid="{00000000-0005-0000-0000-000095910000}"/>
    <cellStyle name="Normal 2 7 16" xfId="37562" xr:uid="{00000000-0005-0000-0000-000096910000}"/>
    <cellStyle name="Normal 2 7 17" xfId="37563" xr:uid="{00000000-0005-0000-0000-000097910000}"/>
    <cellStyle name="Normal 2 7 18" xfId="37564" xr:uid="{00000000-0005-0000-0000-000098910000}"/>
    <cellStyle name="Normal 2 7 19" xfId="37565" xr:uid="{00000000-0005-0000-0000-000099910000}"/>
    <cellStyle name="Normal 2 7 2" xfId="884" xr:uid="{00000000-0005-0000-0000-00009A910000}"/>
    <cellStyle name="Normal 2 7 2 10" xfId="37566" xr:uid="{00000000-0005-0000-0000-00009B910000}"/>
    <cellStyle name="Normal 2 7 2 11" xfId="37567" xr:uid="{00000000-0005-0000-0000-00009C910000}"/>
    <cellStyle name="Normal 2 7 2 12" xfId="37568" xr:uid="{00000000-0005-0000-0000-00009D910000}"/>
    <cellStyle name="Normal 2 7 2 13" xfId="37569" xr:uid="{00000000-0005-0000-0000-00009E910000}"/>
    <cellStyle name="Normal 2 7 2 2" xfId="37570" xr:uid="{00000000-0005-0000-0000-00009F910000}"/>
    <cellStyle name="Normal 2 7 2 2 10" xfId="37571" xr:uid="{00000000-0005-0000-0000-0000A0910000}"/>
    <cellStyle name="Normal 2 7 2 2 11" xfId="37572" xr:uid="{00000000-0005-0000-0000-0000A1910000}"/>
    <cellStyle name="Normal 2 7 2 2 2" xfId="37573" xr:uid="{00000000-0005-0000-0000-0000A2910000}"/>
    <cellStyle name="Normal 2 7 2 2 2 10" xfId="37574" xr:uid="{00000000-0005-0000-0000-0000A3910000}"/>
    <cellStyle name="Normal 2 7 2 2 2 2" xfId="37575" xr:uid="{00000000-0005-0000-0000-0000A4910000}"/>
    <cellStyle name="Normal 2 7 2 2 2 2 2" xfId="37576" xr:uid="{00000000-0005-0000-0000-0000A5910000}"/>
    <cellStyle name="Normal 2 7 2 2 2 2 2 2" xfId="37577" xr:uid="{00000000-0005-0000-0000-0000A6910000}"/>
    <cellStyle name="Normal 2 7 2 2 2 2 2 3" xfId="37578" xr:uid="{00000000-0005-0000-0000-0000A7910000}"/>
    <cellStyle name="Normal 2 7 2 2 2 2 2 4" xfId="37579" xr:uid="{00000000-0005-0000-0000-0000A8910000}"/>
    <cellStyle name="Normal 2 7 2 2 2 2 2 5" xfId="37580" xr:uid="{00000000-0005-0000-0000-0000A9910000}"/>
    <cellStyle name="Normal 2 7 2 2 2 2 3" xfId="37581" xr:uid="{00000000-0005-0000-0000-0000AA910000}"/>
    <cellStyle name="Normal 2 7 2 2 2 2 4" xfId="37582" xr:uid="{00000000-0005-0000-0000-0000AB910000}"/>
    <cellStyle name="Normal 2 7 2 2 2 2 5" xfId="37583" xr:uid="{00000000-0005-0000-0000-0000AC910000}"/>
    <cellStyle name="Normal 2 7 2 2 2 2 6" xfId="37584" xr:uid="{00000000-0005-0000-0000-0000AD910000}"/>
    <cellStyle name="Normal 2 7 2 2 2 2 7" xfId="37585" xr:uid="{00000000-0005-0000-0000-0000AE910000}"/>
    <cellStyle name="Normal 2 7 2 2 2 2 8" xfId="37586" xr:uid="{00000000-0005-0000-0000-0000AF910000}"/>
    <cellStyle name="Normal 2 7 2 2 2 3" xfId="37587" xr:uid="{00000000-0005-0000-0000-0000B0910000}"/>
    <cellStyle name="Normal 2 7 2 2 2 3 2" xfId="37588" xr:uid="{00000000-0005-0000-0000-0000B1910000}"/>
    <cellStyle name="Normal 2 7 2 2 2 3 2 2" xfId="37589" xr:uid="{00000000-0005-0000-0000-0000B2910000}"/>
    <cellStyle name="Normal 2 7 2 2 2 3 2 3" xfId="37590" xr:uid="{00000000-0005-0000-0000-0000B3910000}"/>
    <cellStyle name="Normal 2 7 2 2 2 3 2 4" xfId="37591" xr:uid="{00000000-0005-0000-0000-0000B4910000}"/>
    <cellStyle name="Normal 2 7 2 2 2 3 2 5" xfId="37592" xr:uid="{00000000-0005-0000-0000-0000B5910000}"/>
    <cellStyle name="Normal 2 7 2 2 2 3 3" xfId="37593" xr:uid="{00000000-0005-0000-0000-0000B6910000}"/>
    <cellStyle name="Normal 2 7 2 2 2 3 4" xfId="37594" xr:uid="{00000000-0005-0000-0000-0000B7910000}"/>
    <cellStyle name="Normal 2 7 2 2 2 3 5" xfId="37595" xr:uid="{00000000-0005-0000-0000-0000B8910000}"/>
    <cellStyle name="Normal 2 7 2 2 2 3 6" xfId="37596" xr:uid="{00000000-0005-0000-0000-0000B9910000}"/>
    <cellStyle name="Normal 2 7 2 2 2 3 7" xfId="37597" xr:uid="{00000000-0005-0000-0000-0000BA910000}"/>
    <cellStyle name="Normal 2 7 2 2 2 3 8" xfId="37598" xr:uid="{00000000-0005-0000-0000-0000BB910000}"/>
    <cellStyle name="Normal 2 7 2 2 2 4" xfId="37599" xr:uid="{00000000-0005-0000-0000-0000BC910000}"/>
    <cellStyle name="Normal 2 7 2 2 2 4 2" xfId="37600" xr:uid="{00000000-0005-0000-0000-0000BD910000}"/>
    <cellStyle name="Normal 2 7 2 2 2 4 3" xfId="37601" xr:uid="{00000000-0005-0000-0000-0000BE910000}"/>
    <cellStyle name="Normal 2 7 2 2 2 4 4" xfId="37602" xr:uid="{00000000-0005-0000-0000-0000BF910000}"/>
    <cellStyle name="Normal 2 7 2 2 2 4 5" xfId="37603" xr:uid="{00000000-0005-0000-0000-0000C0910000}"/>
    <cellStyle name="Normal 2 7 2 2 2 5" xfId="37604" xr:uid="{00000000-0005-0000-0000-0000C1910000}"/>
    <cellStyle name="Normal 2 7 2 2 2 6" xfId="37605" xr:uid="{00000000-0005-0000-0000-0000C2910000}"/>
    <cellStyle name="Normal 2 7 2 2 2 7" xfId="37606" xr:uid="{00000000-0005-0000-0000-0000C3910000}"/>
    <cellStyle name="Normal 2 7 2 2 2 8" xfId="37607" xr:uid="{00000000-0005-0000-0000-0000C4910000}"/>
    <cellStyle name="Normal 2 7 2 2 2 9" xfId="37608" xr:uid="{00000000-0005-0000-0000-0000C5910000}"/>
    <cellStyle name="Normal 2 7 2 2 3" xfId="37609" xr:uid="{00000000-0005-0000-0000-0000C6910000}"/>
    <cellStyle name="Normal 2 7 2 2 3 2" xfId="37610" xr:uid="{00000000-0005-0000-0000-0000C7910000}"/>
    <cellStyle name="Normal 2 7 2 2 3 2 2" xfId="37611" xr:uid="{00000000-0005-0000-0000-0000C8910000}"/>
    <cellStyle name="Normal 2 7 2 2 3 2 3" xfId="37612" xr:uid="{00000000-0005-0000-0000-0000C9910000}"/>
    <cellStyle name="Normal 2 7 2 2 3 2 4" xfId="37613" xr:uid="{00000000-0005-0000-0000-0000CA910000}"/>
    <cellStyle name="Normal 2 7 2 2 3 2 5" xfId="37614" xr:uid="{00000000-0005-0000-0000-0000CB910000}"/>
    <cellStyle name="Normal 2 7 2 2 3 3" xfId="37615" xr:uid="{00000000-0005-0000-0000-0000CC910000}"/>
    <cellStyle name="Normal 2 7 2 2 3 4" xfId="37616" xr:uid="{00000000-0005-0000-0000-0000CD910000}"/>
    <cellStyle name="Normal 2 7 2 2 3 5" xfId="37617" xr:uid="{00000000-0005-0000-0000-0000CE910000}"/>
    <cellStyle name="Normal 2 7 2 2 3 6" xfId="37618" xr:uid="{00000000-0005-0000-0000-0000CF910000}"/>
    <cellStyle name="Normal 2 7 2 2 3 7" xfId="37619" xr:uid="{00000000-0005-0000-0000-0000D0910000}"/>
    <cellStyle name="Normal 2 7 2 2 3 8" xfId="37620" xr:uid="{00000000-0005-0000-0000-0000D1910000}"/>
    <cellStyle name="Normal 2 7 2 2 4" xfId="37621" xr:uid="{00000000-0005-0000-0000-0000D2910000}"/>
    <cellStyle name="Normal 2 7 2 2 4 2" xfId="37622" xr:uid="{00000000-0005-0000-0000-0000D3910000}"/>
    <cellStyle name="Normal 2 7 2 2 4 2 2" xfId="37623" xr:uid="{00000000-0005-0000-0000-0000D4910000}"/>
    <cellStyle name="Normal 2 7 2 2 4 2 3" xfId="37624" xr:uid="{00000000-0005-0000-0000-0000D5910000}"/>
    <cellStyle name="Normal 2 7 2 2 4 2 4" xfId="37625" xr:uid="{00000000-0005-0000-0000-0000D6910000}"/>
    <cellStyle name="Normal 2 7 2 2 4 2 5" xfId="37626" xr:uid="{00000000-0005-0000-0000-0000D7910000}"/>
    <cellStyle name="Normal 2 7 2 2 4 3" xfId="37627" xr:uid="{00000000-0005-0000-0000-0000D8910000}"/>
    <cellStyle name="Normal 2 7 2 2 4 4" xfId="37628" xr:uid="{00000000-0005-0000-0000-0000D9910000}"/>
    <cellStyle name="Normal 2 7 2 2 4 5" xfId="37629" xr:uid="{00000000-0005-0000-0000-0000DA910000}"/>
    <cellStyle name="Normal 2 7 2 2 4 6" xfId="37630" xr:uid="{00000000-0005-0000-0000-0000DB910000}"/>
    <cellStyle name="Normal 2 7 2 2 4 7" xfId="37631" xr:uid="{00000000-0005-0000-0000-0000DC910000}"/>
    <cellStyle name="Normal 2 7 2 2 4 8" xfId="37632" xr:uid="{00000000-0005-0000-0000-0000DD910000}"/>
    <cellStyle name="Normal 2 7 2 2 5" xfId="37633" xr:uid="{00000000-0005-0000-0000-0000DE910000}"/>
    <cellStyle name="Normal 2 7 2 2 5 2" xfId="37634" xr:uid="{00000000-0005-0000-0000-0000DF910000}"/>
    <cellStyle name="Normal 2 7 2 2 5 3" xfId="37635" xr:uid="{00000000-0005-0000-0000-0000E0910000}"/>
    <cellStyle name="Normal 2 7 2 2 5 4" xfId="37636" xr:uid="{00000000-0005-0000-0000-0000E1910000}"/>
    <cellStyle name="Normal 2 7 2 2 5 5" xfId="37637" xr:uid="{00000000-0005-0000-0000-0000E2910000}"/>
    <cellStyle name="Normal 2 7 2 2 6" xfId="37638" xr:uid="{00000000-0005-0000-0000-0000E3910000}"/>
    <cellStyle name="Normal 2 7 2 2 7" xfId="37639" xr:uid="{00000000-0005-0000-0000-0000E4910000}"/>
    <cellStyle name="Normal 2 7 2 2 8" xfId="37640" xr:uid="{00000000-0005-0000-0000-0000E5910000}"/>
    <cellStyle name="Normal 2 7 2 2 9" xfId="37641" xr:uid="{00000000-0005-0000-0000-0000E6910000}"/>
    <cellStyle name="Normal 2 7 2 3" xfId="37642" xr:uid="{00000000-0005-0000-0000-0000E7910000}"/>
    <cellStyle name="Normal 2 7 2 3 10" xfId="37643" xr:uid="{00000000-0005-0000-0000-0000E8910000}"/>
    <cellStyle name="Normal 2 7 2 3 11" xfId="37644" xr:uid="{00000000-0005-0000-0000-0000E9910000}"/>
    <cellStyle name="Normal 2 7 2 3 2" xfId="37645" xr:uid="{00000000-0005-0000-0000-0000EA910000}"/>
    <cellStyle name="Normal 2 7 2 3 2 10" xfId="37646" xr:uid="{00000000-0005-0000-0000-0000EB910000}"/>
    <cellStyle name="Normal 2 7 2 3 2 2" xfId="37647" xr:uid="{00000000-0005-0000-0000-0000EC910000}"/>
    <cellStyle name="Normal 2 7 2 3 2 2 2" xfId="37648" xr:uid="{00000000-0005-0000-0000-0000ED910000}"/>
    <cellStyle name="Normal 2 7 2 3 2 2 2 2" xfId="37649" xr:uid="{00000000-0005-0000-0000-0000EE910000}"/>
    <cellStyle name="Normal 2 7 2 3 2 2 2 3" xfId="37650" xr:uid="{00000000-0005-0000-0000-0000EF910000}"/>
    <cellStyle name="Normal 2 7 2 3 2 2 2 4" xfId="37651" xr:uid="{00000000-0005-0000-0000-0000F0910000}"/>
    <cellStyle name="Normal 2 7 2 3 2 2 2 5" xfId="37652" xr:uid="{00000000-0005-0000-0000-0000F1910000}"/>
    <cellStyle name="Normal 2 7 2 3 2 2 3" xfId="37653" xr:uid="{00000000-0005-0000-0000-0000F2910000}"/>
    <cellStyle name="Normal 2 7 2 3 2 2 4" xfId="37654" xr:uid="{00000000-0005-0000-0000-0000F3910000}"/>
    <cellStyle name="Normal 2 7 2 3 2 2 5" xfId="37655" xr:uid="{00000000-0005-0000-0000-0000F4910000}"/>
    <cellStyle name="Normal 2 7 2 3 2 2 6" xfId="37656" xr:uid="{00000000-0005-0000-0000-0000F5910000}"/>
    <cellStyle name="Normal 2 7 2 3 2 2 7" xfId="37657" xr:uid="{00000000-0005-0000-0000-0000F6910000}"/>
    <cellStyle name="Normal 2 7 2 3 2 2 8" xfId="37658" xr:uid="{00000000-0005-0000-0000-0000F7910000}"/>
    <cellStyle name="Normal 2 7 2 3 2 3" xfId="37659" xr:uid="{00000000-0005-0000-0000-0000F8910000}"/>
    <cellStyle name="Normal 2 7 2 3 2 3 2" xfId="37660" xr:uid="{00000000-0005-0000-0000-0000F9910000}"/>
    <cellStyle name="Normal 2 7 2 3 2 3 2 2" xfId="37661" xr:uid="{00000000-0005-0000-0000-0000FA910000}"/>
    <cellStyle name="Normal 2 7 2 3 2 3 2 3" xfId="37662" xr:uid="{00000000-0005-0000-0000-0000FB910000}"/>
    <cellStyle name="Normal 2 7 2 3 2 3 2 4" xfId="37663" xr:uid="{00000000-0005-0000-0000-0000FC910000}"/>
    <cellStyle name="Normal 2 7 2 3 2 3 2 5" xfId="37664" xr:uid="{00000000-0005-0000-0000-0000FD910000}"/>
    <cellStyle name="Normal 2 7 2 3 2 3 3" xfId="37665" xr:uid="{00000000-0005-0000-0000-0000FE910000}"/>
    <cellStyle name="Normal 2 7 2 3 2 3 4" xfId="37666" xr:uid="{00000000-0005-0000-0000-0000FF910000}"/>
    <cellStyle name="Normal 2 7 2 3 2 3 5" xfId="37667" xr:uid="{00000000-0005-0000-0000-000000920000}"/>
    <cellStyle name="Normal 2 7 2 3 2 3 6" xfId="37668" xr:uid="{00000000-0005-0000-0000-000001920000}"/>
    <cellStyle name="Normal 2 7 2 3 2 3 7" xfId="37669" xr:uid="{00000000-0005-0000-0000-000002920000}"/>
    <cellStyle name="Normal 2 7 2 3 2 3 8" xfId="37670" xr:uid="{00000000-0005-0000-0000-000003920000}"/>
    <cellStyle name="Normal 2 7 2 3 2 4" xfId="37671" xr:uid="{00000000-0005-0000-0000-000004920000}"/>
    <cellStyle name="Normal 2 7 2 3 2 4 2" xfId="37672" xr:uid="{00000000-0005-0000-0000-000005920000}"/>
    <cellStyle name="Normal 2 7 2 3 2 4 3" xfId="37673" xr:uid="{00000000-0005-0000-0000-000006920000}"/>
    <cellStyle name="Normal 2 7 2 3 2 4 4" xfId="37674" xr:uid="{00000000-0005-0000-0000-000007920000}"/>
    <cellStyle name="Normal 2 7 2 3 2 4 5" xfId="37675" xr:uid="{00000000-0005-0000-0000-000008920000}"/>
    <cellStyle name="Normal 2 7 2 3 2 5" xfId="37676" xr:uid="{00000000-0005-0000-0000-000009920000}"/>
    <cellStyle name="Normal 2 7 2 3 2 6" xfId="37677" xr:uid="{00000000-0005-0000-0000-00000A920000}"/>
    <cellStyle name="Normal 2 7 2 3 2 7" xfId="37678" xr:uid="{00000000-0005-0000-0000-00000B920000}"/>
    <cellStyle name="Normal 2 7 2 3 2 8" xfId="37679" xr:uid="{00000000-0005-0000-0000-00000C920000}"/>
    <cellStyle name="Normal 2 7 2 3 2 9" xfId="37680" xr:uid="{00000000-0005-0000-0000-00000D920000}"/>
    <cellStyle name="Normal 2 7 2 3 3" xfId="37681" xr:uid="{00000000-0005-0000-0000-00000E920000}"/>
    <cellStyle name="Normal 2 7 2 3 3 2" xfId="37682" xr:uid="{00000000-0005-0000-0000-00000F920000}"/>
    <cellStyle name="Normal 2 7 2 3 3 2 2" xfId="37683" xr:uid="{00000000-0005-0000-0000-000010920000}"/>
    <cellStyle name="Normal 2 7 2 3 3 2 3" xfId="37684" xr:uid="{00000000-0005-0000-0000-000011920000}"/>
    <cellStyle name="Normal 2 7 2 3 3 2 4" xfId="37685" xr:uid="{00000000-0005-0000-0000-000012920000}"/>
    <cellStyle name="Normal 2 7 2 3 3 2 5" xfId="37686" xr:uid="{00000000-0005-0000-0000-000013920000}"/>
    <cellStyle name="Normal 2 7 2 3 3 3" xfId="37687" xr:uid="{00000000-0005-0000-0000-000014920000}"/>
    <cellStyle name="Normal 2 7 2 3 3 4" xfId="37688" xr:uid="{00000000-0005-0000-0000-000015920000}"/>
    <cellStyle name="Normal 2 7 2 3 3 5" xfId="37689" xr:uid="{00000000-0005-0000-0000-000016920000}"/>
    <cellStyle name="Normal 2 7 2 3 3 6" xfId="37690" xr:uid="{00000000-0005-0000-0000-000017920000}"/>
    <cellStyle name="Normal 2 7 2 3 3 7" xfId="37691" xr:uid="{00000000-0005-0000-0000-000018920000}"/>
    <cellStyle name="Normal 2 7 2 3 3 8" xfId="37692" xr:uid="{00000000-0005-0000-0000-000019920000}"/>
    <cellStyle name="Normal 2 7 2 3 4" xfId="37693" xr:uid="{00000000-0005-0000-0000-00001A920000}"/>
    <cellStyle name="Normal 2 7 2 3 4 2" xfId="37694" xr:uid="{00000000-0005-0000-0000-00001B920000}"/>
    <cellStyle name="Normal 2 7 2 3 4 2 2" xfId="37695" xr:uid="{00000000-0005-0000-0000-00001C920000}"/>
    <cellStyle name="Normal 2 7 2 3 4 2 3" xfId="37696" xr:uid="{00000000-0005-0000-0000-00001D920000}"/>
    <cellStyle name="Normal 2 7 2 3 4 2 4" xfId="37697" xr:uid="{00000000-0005-0000-0000-00001E920000}"/>
    <cellStyle name="Normal 2 7 2 3 4 2 5" xfId="37698" xr:uid="{00000000-0005-0000-0000-00001F920000}"/>
    <cellStyle name="Normal 2 7 2 3 4 3" xfId="37699" xr:uid="{00000000-0005-0000-0000-000020920000}"/>
    <cellStyle name="Normal 2 7 2 3 4 4" xfId="37700" xr:uid="{00000000-0005-0000-0000-000021920000}"/>
    <cellStyle name="Normal 2 7 2 3 4 5" xfId="37701" xr:uid="{00000000-0005-0000-0000-000022920000}"/>
    <cellStyle name="Normal 2 7 2 3 4 6" xfId="37702" xr:uid="{00000000-0005-0000-0000-000023920000}"/>
    <cellStyle name="Normal 2 7 2 3 4 7" xfId="37703" xr:uid="{00000000-0005-0000-0000-000024920000}"/>
    <cellStyle name="Normal 2 7 2 3 4 8" xfId="37704" xr:uid="{00000000-0005-0000-0000-000025920000}"/>
    <cellStyle name="Normal 2 7 2 3 5" xfId="37705" xr:uid="{00000000-0005-0000-0000-000026920000}"/>
    <cellStyle name="Normal 2 7 2 3 5 2" xfId="37706" xr:uid="{00000000-0005-0000-0000-000027920000}"/>
    <cellStyle name="Normal 2 7 2 3 5 3" xfId="37707" xr:uid="{00000000-0005-0000-0000-000028920000}"/>
    <cellStyle name="Normal 2 7 2 3 5 4" xfId="37708" xr:uid="{00000000-0005-0000-0000-000029920000}"/>
    <cellStyle name="Normal 2 7 2 3 5 5" xfId="37709" xr:uid="{00000000-0005-0000-0000-00002A920000}"/>
    <cellStyle name="Normal 2 7 2 3 6" xfId="37710" xr:uid="{00000000-0005-0000-0000-00002B920000}"/>
    <cellStyle name="Normal 2 7 2 3 7" xfId="37711" xr:uid="{00000000-0005-0000-0000-00002C920000}"/>
    <cellStyle name="Normal 2 7 2 3 8" xfId="37712" xr:uid="{00000000-0005-0000-0000-00002D920000}"/>
    <cellStyle name="Normal 2 7 2 3 9" xfId="37713" xr:uid="{00000000-0005-0000-0000-00002E920000}"/>
    <cellStyle name="Normal 2 7 2 4" xfId="37714" xr:uid="{00000000-0005-0000-0000-00002F920000}"/>
    <cellStyle name="Normal 2 7 2 4 10" xfId="37715" xr:uid="{00000000-0005-0000-0000-000030920000}"/>
    <cellStyle name="Normal 2 7 2 4 2" xfId="37716" xr:uid="{00000000-0005-0000-0000-000031920000}"/>
    <cellStyle name="Normal 2 7 2 4 2 2" xfId="37717" xr:uid="{00000000-0005-0000-0000-000032920000}"/>
    <cellStyle name="Normal 2 7 2 4 2 2 2" xfId="37718" xr:uid="{00000000-0005-0000-0000-000033920000}"/>
    <cellStyle name="Normal 2 7 2 4 2 2 3" xfId="37719" xr:uid="{00000000-0005-0000-0000-000034920000}"/>
    <cellStyle name="Normal 2 7 2 4 2 2 4" xfId="37720" xr:uid="{00000000-0005-0000-0000-000035920000}"/>
    <cellStyle name="Normal 2 7 2 4 2 2 5" xfId="37721" xr:uid="{00000000-0005-0000-0000-000036920000}"/>
    <cellStyle name="Normal 2 7 2 4 2 3" xfId="37722" xr:uid="{00000000-0005-0000-0000-000037920000}"/>
    <cellStyle name="Normal 2 7 2 4 2 4" xfId="37723" xr:uid="{00000000-0005-0000-0000-000038920000}"/>
    <cellStyle name="Normal 2 7 2 4 2 5" xfId="37724" xr:uid="{00000000-0005-0000-0000-000039920000}"/>
    <cellStyle name="Normal 2 7 2 4 2 6" xfId="37725" xr:uid="{00000000-0005-0000-0000-00003A920000}"/>
    <cellStyle name="Normal 2 7 2 4 2 7" xfId="37726" xr:uid="{00000000-0005-0000-0000-00003B920000}"/>
    <cellStyle name="Normal 2 7 2 4 2 8" xfId="37727" xr:uid="{00000000-0005-0000-0000-00003C920000}"/>
    <cellStyle name="Normal 2 7 2 4 3" xfId="37728" xr:uid="{00000000-0005-0000-0000-00003D920000}"/>
    <cellStyle name="Normal 2 7 2 4 3 2" xfId="37729" xr:uid="{00000000-0005-0000-0000-00003E920000}"/>
    <cellStyle name="Normal 2 7 2 4 3 2 2" xfId="37730" xr:uid="{00000000-0005-0000-0000-00003F920000}"/>
    <cellStyle name="Normal 2 7 2 4 3 2 3" xfId="37731" xr:uid="{00000000-0005-0000-0000-000040920000}"/>
    <cellStyle name="Normal 2 7 2 4 3 2 4" xfId="37732" xr:uid="{00000000-0005-0000-0000-000041920000}"/>
    <cellStyle name="Normal 2 7 2 4 3 2 5" xfId="37733" xr:uid="{00000000-0005-0000-0000-000042920000}"/>
    <cellStyle name="Normal 2 7 2 4 3 3" xfId="37734" xr:uid="{00000000-0005-0000-0000-000043920000}"/>
    <cellStyle name="Normal 2 7 2 4 3 4" xfId="37735" xr:uid="{00000000-0005-0000-0000-000044920000}"/>
    <cellStyle name="Normal 2 7 2 4 3 5" xfId="37736" xr:uid="{00000000-0005-0000-0000-000045920000}"/>
    <cellStyle name="Normal 2 7 2 4 3 6" xfId="37737" xr:uid="{00000000-0005-0000-0000-000046920000}"/>
    <cellStyle name="Normal 2 7 2 4 3 7" xfId="37738" xr:uid="{00000000-0005-0000-0000-000047920000}"/>
    <cellStyle name="Normal 2 7 2 4 3 8" xfId="37739" xr:uid="{00000000-0005-0000-0000-000048920000}"/>
    <cellStyle name="Normal 2 7 2 4 4" xfId="37740" xr:uid="{00000000-0005-0000-0000-000049920000}"/>
    <cellStyle name="Normal 2 7 2 4 4 2" xfId="37741" xr:uid="{00000000-0005-0000-0000-00004A920000}"/>
    <cellStyle name="Normal 2 7 2 4 4 3" xfId="37742" xr:uid="{00000000-0005-0000-0000-00004B920000}"/>
    <cellStyle name="Normal 2 7 2 4 4 4" xfId="37743" xr:uid="{00000000-0005-0000-0000-00004C920000}"/>
    <cellStyle name="Normal 2 7 2 4 4 5" xfId="37744" xr:uid="{00000000-0005-0000-0000-00004D920000}"/>
    <cellStyle name="Normal 2 7 2 4 5" xfId="37745" xr:uid="{00000000-0005-0000-0000-00004E920000}"/>
    <cellStyle name="Normal 2 7 2 4 6" xfId="37746" xr:uid="{00000000-0005-0000-0000-00004F920000}"/>
    <cellStyle name="Normal 2 7 2 4 7" xfId="37747" xr:uid="{00000000-0005-0000-0000-000050920000}"/>
    <cellStyle name="Normal 2 7 2 4 8" xfId="37748" xr:uid="{00000000-0005-0000-0000-000051920000}"/>
    <cellStyle name="Normal 2 7 2 4 9" xfId="37749" xr:uid="{00000000-0005-0000-0000-000052920000}"/>
    <cellStyle name="Normal 2 7 2 5" xfId="37750" xr:uid="{00000000-0005-0000-0000-000053920000}"/>
    <cellStyle name="Normal 2 7 2 5 2" xfId="37751" xr:uid="{00000000-0005-0000-0000-000054920000}"/>
    <cellStyle name="Normal 2 7 2 5 2 2" xfId="37752" xr:uid="{00000000-0005-0000-0000-000055920000}"/>
    <cellStyle name="Normal 2 7 2 5 2 3" xfId="37753" xr:uid="{00000000-0005-0000-0000-000056920000}"/>
    <cellStyle name="Normal 2 7 2 5 2 4" xfId="37754" xr:uid="{00000000-0005-0000-0000-000057920000}"/>
    <cellStyle name="Normal 2 7 2 5 2 5" xfId="37755" xr:uid="{00000000-0005-0000-0000-000058920000}"/>
    <cellStyle name="Normal 2 7 2 5 3" xfId="37756" xr:uid="{00000000-0005-0000-0000-000059920000}"/>
    <cellStyle name="Normal 2 7 2 5 4" xfId="37757" xr:uid="{00000000-0005-0000-0000-00005A920000}"/>
    <cellStyle name="Normal 2 7 2 5 5" xfId="37758" xr:uid="{00000000-0005-0000-0000-00005B920000}"/>
    <cellStyle name="Normal 2 7 2 5 6" xfId="37759" xr:uid="{00000000-0005-0000-0000-00005C920000}"/>
    <cellStyle name="Normal 2 7 2 5 7" xfId="37760" xr:uid="{00000000-0005-0000-0000-00005D920000}"/>
    <cellStyle name="Normal 2 7 2 5 8" xfId="37761" xr:uid="{00000000-0005-0000-0000-00005E920000}"/>
    <cellStyle name="Normal 2 7 2 6" xfId="37762" xr:uid="{00000000-0005-0000-0000-00005F920000}"/>
    <cellStyle name="Normal 2 7 2 6 2" xfId="37763" xr:uid="{00000000-0005-0000-0000-000060920000}"/>
    <cellStyle name="Normal 2 7 2 6 2 2" xfId="37764" xr:uid="{00000000-0005-0000-0000-000061920000}"/>
    <cellStyle name="Normal 2 7 2 6 2 3" xfId="37765" xr:uid="{00000000-0005-0000-0000-000062920000}"/>
    <cellStyle name="Normal 2 7 2 6 2 4" xfId="37766" xr:uid="{00000000-0005-0000-0000-000063920000}"/>
    <cellStyle name="Normal 2 7 2 6 2 5" xfId="37767" xr:uid="{00000000-0005-0000-0000-000064920000}"/>
    <cellStyle name="Normal 2 7 2 6 3" xfId="37768" xr:uid="{00000000-0005-0000-0000-000065920000}"/>
    <cellStyle name="Normal 2 7 2 6 4" xfId="37769" xr:uid="{00000000-0005-0000-0000-000066920000}"/>
    <cellStyle name="Normal 2 7 2 6 5" xfId="37770" xr:uid="{00000000-0005-0000-0000-000067920000}"/>
    <cellStyle name="Normal 2 7 2 6 6" xfId="37771" xr:uid="{00000000-0005-0000-0000-000068920000}"/>
    <cellStyle name="Normal 2 7 2 6 7" xfId="37772" xr:uid="{00000000-0005-0000-0000-000069920000}"/>
    <cellStyle name="Normal 2 7 2 6 8" xfId="37773" xr:uid="{00000000-0005-0000-0000-00006A920000}"/>
    <cellStyle name="Normal 2 7 2 7" xfId="37774" xr:uid="{00000000-0005-0000-0000-00006B920000}"/>
    <cellStyle name="Normal 2 7 2 7 2" xfId="37775" xr:uid="{00000000-0005-0000-0000-00006C920000}"/>
    <cellStyle name="Normal 2 7 2 7 3" xfId="37776" xr:uid="{00000000-0005-0000-0000-00006D920000}"/>
    <cellStyle name="Normal 2 7 2 7 4" xfId="37777" xr:uid="{00000000-0005-0000-0000-00006E920000}"/>
    <cellStyle name="Normal 2 7 2 7 5" xfId="37778" xr:uid="{00000000-0005-0000-0000-00006F920000}"/>
    <cellStyle name="Normal 2 7 2 8" xfId="37779" xr:uid="{00000000-0005-0000-0000-000070920000}"/>
    <cellStyle name="Normal 2 7 2 9" xfId="37780" xr:uid="{00000000-0005-0000-0000-000071920000}"/>
    <cellStyle name="Normal 2 7 20" xfId="37781" xr:uid="{00000000-0005-0000-0000-000072920000}"/>
    <cellStyle name="Normal 2 7 3" xfId="885" xr:uid="{00000000-0005-0000-0000-000073920000}"/>
    <cellStyle name="Normal 2 7 3 10" xfId="37782" xr:uid="{00000000-0005-0000-0000-000074920000}"/>
    <cellStyle name="Normal 2 7 3 11" xfId="37783" xr:uid="{00000000-0005-0000-0000-000075920000}"/>
    <cellStyle name="Normal 2 7 3 12" xfId="37784" xr:uid="{00000000-0005-0000-0000-000076920000}"/>
    <cellStyle name="Normal 2 7 3 13" xfId="37785" xr:uid="{00000000-0005-0000-0000-000077920000}"/>
    <cellStyle name="Normal 2 7 3 2" xfId="37786" xr:uid="{00000000-0005-0000-0000-000078920000}"/>
    <cellStyle name="Normal 2 7 3 2 10" xfId="37787" xr:uid="{00000000-0005-0000-0000-000079920000}"/>
    <cellStyle name="Normal 2 7 3 2 11" xfId="37788" xr:uid="{00000000-0005-0000-0000-00007A920000}"/>
    <cellStyle name="Normal 2 7 3 2 2" xfId="37789" xr:uid="{00000000-0005-0000-0000-00007B920000}"/>
    <cellStyle name="Normal 2 7 3 2 2 10" xfId="37790" xr:uid="{00000000-0005-0000-0000-00007C920000}"/>
    <cellStyle name="Normal 2 7 3 2 2 2" xfId="37791" xr:uid="{00000000-0005-0000-0000-00007D920000}"/>
    <cellStyle name="Normal 2 7 3 2 2 2 2" xfId="37792" xr:uid="{00000000-0005-0000-0000-00007E920000}"/>
    <cellStyle name="Normal 2 7 3 2 2 2 2 2" xfId="37793" xr:uid="{00000000-0005-0000-0000-00007F920000}"/>
    <cellStyle name="Normal 2 7 3 2 2 2 2 3" xfId="37794" xr:uid="{00000000-0005-0000-0000-000080920000}"/>
    <cellStyle name="Normal 2 7 3 2 2 2 2 4" xfId="37795" xr:uid="{00000000-0005-0000-0000-000081920000}"/>
    <cellStyle name="Normal 2 7 3 2 2 2 2 5" xfId="37796" xr:uid="{00000000-0005-0000-0000-000082920000}"/>
    <cellStyle name="Normal 2 7 3 2 2 2 3" xfId="37797" xr:uid="{00000000-0005-0000-0000-000083920000}"/>
    <cellStyle name="Normal 2 7 3 2 2 2 4" xfId="37798" xr:uid="{00000000-0005-0000-0000-000084920000}"/>
    <cellStyle name="Normal 2 7 3 2 2 2 5" xfId="37799" xr:uid="{00000000-0005-0000-0000-000085920000}"/>
    <cellStyle name="Normal 2 7 3 2 2 2 6" xfId="37800" xr:uid="{00000000-0005-0000-0000-000086920000}"/>
    <cellStyle name="Normal 2 7 3 2 2 2 7" xfId="37801" xr:uid="{00000000-0005-0000-0000-000087920000}"/>
    <cellStyle name="Normal 2 7 3 2 2 2 8" xfId="37802" xr:uid="{00000000-0005-0000-0000-000088920000}"/>
    <cellStyle name="Normal 2 7 3 2 2 3" xfId="37803" xr:uid="{00000000-0005-0000-0000-000089920000}"/>
    <cellStyle name="Normal 2 7 3 2 2 3 2" xfId="37804" xr:uid="{00000000-0005-0000-0000-00008A920000}"/>
    <cellStyle name="Normal 2 7 3 2 2 3 2 2" xfId="37805" xr:uid="{00000000-0005-0000-0000-00008B920000}"/>
    <cellStyle name="Normal 2 7 3 2 2 3 2 3" xfId="37806" xr:uid="{00000000-0005-0000-0000-00008C920000}"/>
    <cellStyle name="Normal 2 7 3 2 2 3 2 4" xfId="37807" xr:uid="{00000000-0005-0000-0000-00008D920000}"/>
    <cellStyle name="Normal 2 7 3 2 2 3 2 5" xfId="37808" xr:uid="{00000000-0005-0000-0000-00008E920000}"/>
    <cellStyle name="Normal 2 7 3 2 2 3 3" xfId="37809" xr:uid="{00000000-0005-0000-0000-00008F920000}"/>
    <cellStyle name="Normal 2 7 3 2 2 3 4" xfId="37810" xr:uid="{00000000-0005-0000-0000-000090920000}"/>
    <cellStyle name="Normal 2 7 3 2 2 3 5" xfId="37811" xr:uid="{00000000-0005-0000-0000-000091920000}"/>
    <cellStyle name="Normal 2 7 3 2 2 3 6" xfId="37812" xr:uid="{00000000-0005-0000-0000-000092920000}"/>
    <cellStyle name="Normal 2 7 3 2 2 3 7" xfId="37813" xr:uid="{00000000-0005-0000-0000-000093920000}"/>
    <cellStyle name="Normal 2 7 3 2 2 3 8" xfId="37814" xr:uid="{00000000-0005-0000-0000-000094920000}"/>
    <cellStyle name="Normal 2 7 3 2 2 4" xfId="37815" xr:uid="{00000000-0005-0000-0000-000095920000}"/>
    <cellStyle name="Normal 2 7 3 2 2 4 2" xfId="37816" xr:uid="{00000000-0005-0000-0000-000096920000}"/>
    <cellStyle name="Normal 2 7 3 2 2 4 3" xfId="37817" xr:uid="{00000000-0005-0000-0000-000097920000}"/>
    <cellStyle name="Normal 2 7 3 2 2 4 4" xfId="37818" xr:uid="{00000000-0005-0000-0000-000098920000}"/>
    <cellStyle name="Normal 2 7 3 2 2 4 5" xfId="37819" xr:uid="{00000000-0005-0000-0000-000099920000}"/>
    <cellStyle name="Normal 2 7 3 2 2 5" xfId="37820" xr:uid="{00000000-0005-0000-0000-00009A920000}"/>
    <cellStyle name="Normal 2 7 3 2 2 6" xfId="37821" xr:uid="{00000000-0005-0000-0000-00009B920000}"/>
    <cellStyle name="Normal 2 7 3 2 2 7" xfId="37822" xr:uid="{00000000-0005-0000-0000-00009C920000}"/>
    <cellStyle name="Normal 2 7 3 2 2 8" xfId="37823" xr:uid="{00000000-0005-0000-0000-00009D920000}"/>
    <cellStyle name="Normal 2 7 3 2 2 9" xfId="37824" xr:uid="{00000000-0005-0000-0000-00009E920000}"/>
    <cellStyle name="Normal 2 7 3 2 3" xfId="37825" xr:uid="{00000000-0005-0000-0000-00009F920000}"/>
    <cellStyle name="Normal 2 7 3 2 3 2" xfId="37826" xr:uid="{00000000-0005-0000-0000-0000A0920000}"/>
    <cellStyle name="Normal 2 7 3 2 3 2 2" xfId="37827" xr:uid="{00000000-0005-0000-0000-0000A1920000}"/>
    <cellStyle name="Normal 2 7 3 2 3 2 3" xfId="37828" xr:uid="{00000000-0005-0000-0000-0000A2920000}"/>
    <cellStyle name="Normal 2 7 3 2 3 2 4" xfId="37829" xr:uid="{00000000-0005-0000-0000-0000A3920000}"/>
    <cellStyle name="Normal 2 7 3 2 3 2 5" xfId="37830" xr:uid="{00000000-0005-0000-0000-0000A4920000}"/>
    <cellStyle name="Normal 2 7 3 2 3 3" xfId="37831" xr:uid="{00000000-0005-0000-0000-0000A5920000}"/>
    <cellStyle name="Normal 2 7 3 2 3 4" xfId="37832" xr:uid="{00000000-0005-0000-0000-0000A6920000}"/>
    <cellStyle name="Normal 2 7 3 2 3 5" xfId="37833" xr:uid="{00000000-0005-0000-0000-0000A7920000}"/>
    <cellStyle name="Normal 2 7 3 2 3 6" xfId="37834" xr:uid="{00000000-0005-0000-0000-0000A8920000}"/>
    <cellStyle name="Normal 2 7 3 2 3 7" xfId="37835" xr:uid="{00000000-0005-0000-0000-0000A9920000}"/>
    <cellStyle name="Normal 2 7 3 2 3 8" xfId="37836" xr:uid="{00000000-0005-0000-0000-0000AA920000}"/>
    <cellStyle name="Normal 2 7 3 2 4" xfId="37837" xr:uid="{00000000-0005-0000-0000-0000AB920000}"/>
    <cellStyle name="Normal 2 7 3 2 4 2" xfId="37838" xr:uid="{00000000-0005-0000-0000-0000AC920000}"/>
    <cellStyle name="Normal 2 7 3 2 4 2 2" xfId="37839" xr:uid="{00000000-0005-0000-0000-0000AD920000}"/>
    <cellStyle name="Normal 2 7 3 2 4 2 3" xfId="37840" xr:uid="{00000000-0005-0000-0000-0000AE920000}"/>
    <cellStyle name="Normal 2 7 3 2 4 2 4" xfId="37841" xr:uid="{00000000-0005-0000-0000-0000AF920000}"/>
    <cellStyle name="Normal 2 7 3 2 4 2 5" xfId="37842" xr:uid="{00000000-0005-0000-0000-0000B0920000}"/>
    <cellStyle name="Normal 2 7 3 2 4 3" xfId="37843" xr:uid="{00000000-0005-0000-0000-0000B1920000}"/>
    <cellStyle name="Normal 2 7 3 2 4 4" xfId="37844" xr:uid="{00000000-0005-0000-0000-0000B2920000}"/>
    <cellStyle name="Normal 2 7 3 2 4 5" xfId="37845" xr:uid="{00000000-0005-0000-0000-0000B3920000}"/>
    <cellStyle name="Normal 2 7 3 2 4 6" xfId="37846" xr:uid="{00000000-0005-0000-0000-0000B4920000}"/>
    <cellStyle name="Normal 2 7 3 2 4 7" xfId="37847" xr:uid="{00000000-0005-0000-0000-0000B5920000}"/>
    <cellStyle name="Normal 2 7 3 2 4 8" xfId="37848" xr:uid="{00000000-0005-0000-0000-0000B6920000}"/>
    <cellStyle name="Normal 2 7 3 2 5" xfId="37849" xr:uid="{00000000-0005-0000-0000-0000B7920000}"/>
    <cellStyle name="Normal 2 7 3 2 5 2" xfId="37850" xr:uid="{00000000-0005-0000-0000-0000B8920000}"/>
    <cellStyle name="Normal 2 7 3 2 5 3" xfId="37851" xr:uid="{00000000-0005-0000-0000-0000B9920000}"/>
    <cellStyle name="Normal 2 7 3 2 5 4" xfId="37852" xr:uid="{00000000-0005-0000-0000-0000BA920000}"/>
    <cellStyle name="Normal 2 7 3 2 5 5" xfId="37853" xr:uid="{00000000-0005-0000-0000-0000BB920000}"/>
    <cellStyle name="Normal 2 7 3 2 6" xfId="37854" xr:uid="{00000000-0005-0000-0000-0000BC920000}"/>
    <cellStyle name="Normal 2 7 3 2 7" xfId="37855" xr:uid="{00000000-0005-0000-0000-0000BD920000}"/>
    <cellStyle name="Normal 2 7 3 2 8" xfId="37856" xr:uid="{00000000-0005-0000-0000-0000BE920000}"/>
    <cellStyle name="Normal 2 7 3 2 9" xfId="37857" xr:uid="{00000000-0005-0000-0000-0000BF920000}"/>
    <cellStyle name="Normal 2 7 3 3" xfId="37858" xr:uid="{00000000-0005-0000-0000-0000C0920000}"/>
    <cellStyle name="Normal 2 7 3 3 10" xfId="37859" xr:uid="{00000000-0005-0000-0000-0000C1920000}"/>
    <cellStyle name="Normal 2 7 3 3 11" xfId="37860" xr:uid="{00000000-0005-0000-0000-0000C2920000}"/>
    <cellStyle name="Normal 2 7 3 3 2" xfId="37861" xr:uid="{00000000-0005-0000-0000-0000C3920000}"/>
    <cellStyle name="Normal 2 7 3 3 2 10" xfId="37862" xr:uid="{00000000-0005-0000-0000-0000C4920000}"/>
    <cellStyle name="Normal 2 7 3 3 2 2" xfId="37863" xr:uid="{00000000-0005-0000-0000-0000C5920000}"/>
    <cellStyle name="Normal 2 7 3 3 2 2 2" xfId="37864" xr:uid="{00000000-0005-0000-0000-0000C6920000}"/>
    <cellStyle name="Normal 2 7 3 3 2 2 2 2" xfId="37865" xr:uid="{00000000-0005-0000-0000-0000C7920000}"/>
    <cellStyle name="Normal 2 7 3 3 2 2 2 3" xfId="37866" xr:uid="{00000000-0005-0000-0000-0000C8920000}"/>
    <cellStyle name="Normal 2 7 3 3 2 2 2 4" xfId="37867" xr:uid="{00000000-0005-0000-0000-0000C9920000}"/>
    <cellStyle name="Normal 2 7 3 3 2 2 2 5" xfId="37868" xr:uid="{00000000-0005-0000-0000-0000CA920000}"/>
    <cellStyle name="Normal 2 7 3 3 2 2 3" xfId="37869" xr:uid="{00000000-0005-0000-0000-0000CB920000}"/>
    <cellStyle name="Normal 2 7 3 3 2 2 4" xfId="37870" xr:uid="{00000000-0005-0000-0000-0000CC920000}"/>
    <cellStyle name="Normal 2 7 3 3 2 2 5" xfId="37871" xr:uid="{00000000-0005-0000-0000-0000CD920000}"/>
    <cellStyle name="Normal 2 7 3 3 2 2 6" xfId="37872" xr:uid="{00000000-0005-0000-0000-0000CE920000}"/>
    <cellStyle name="Normal 2 7 3 3 2 2 7" xfId="37873" xr:uid="{00000000-0005-0000-0000-0000CF920000}"/>
    <cellStyle name="Normal 2 7 3 3 2 2 8" xfId="37874" xr:uid="{00000000-0005-0000-0000-0000D0920000}"/>
    <cellStyle name="Normal 2 7 3 3 2 3" xfId="37875" xr:uid="{00000000-0005-0000-0000-0000D1920000}"/>
    <cellStyle name="Normal 2 7 3 3 2 3 2" xfId="37876" xr:uid="{00000000-0005-0000-0000-0000D2920000}"/>
    <cellStyle name="Normal 2 7 3 3 2 3 2 2" xfId="37877" xr:uid="{00000000-0005-0000-0000-0000D3920000}"/>
    <cellStyle name="Normal 2 7 3 3 2 3 2 3" xfId="37878" xr:uid="{00000000-0005-0000-0000-0000D4920000}"/>
    <cellStyle name="Normal 2 7 3 3 2 3 2 4" xfId="37879" xr:uid="{00000000-0005-0000-0000-0000D5920000}"/>
    <cellStyle name="Normal 2 7 3 3 2 3 2 5" xfId="37880" xr:uid="{00000000-0005-0000-0000-0000D6920000}"/>
    <cellStyle name="Normal 2 7 3 3 2 3 3" xfId="37881" xr:uid="{00000000-0005-0000-0000-0000D7920000}"/>
    <cellStyle name="Normal 2 7 3 3 2 3 4" xfId="37882" xr:uid="{00000000-0005-0000-0000-0000D8920000}"/>
    <cellStyle name="Normal 2 7 3 3 2 3 5" xfId="37883" xr:uid="{00000000-0005-0000-0000-0000D9920000}"/>
    <cellStyle name="Normal 2 7 3 3 2 3 6" xfId="37884" xr:uid="{00000000-0005-0000-0000-0000DA920000}"/>
    <cellStyle name="Normal 2 7 3 3 2 3 7" xfId="37885" xr:uid="{00000000-0005-0000-0000-0000DB920000}"/>
    <cellStyle name="Normal 2 7 3 3 2 3 8" xfId="37886" xr:uid="{00000000-0005-0000-0000-0000DC920000}"/>
    <cellStyle name="Normal 2 7 3 3 2 4" xfId="37887" xr:uid="{00000000-0005-0000-0000-0000DD920000}"/>
    <cellStyle name="Normal 2 7 3 3 2 4 2" xfId="37888" xr:uid="{00000000-0005-0000-0000-0000DE920000}"/>
    <cellStyle name="Normal 2 7 3 3 2 4 3" xfId="37889" xr:uid="{00000000-0005-0000-0000-0000DF920000}"/>
    <cellStyle name="Normal 2 7 3 3 2 4 4" xfId="37890" xr:uid="{00000000-0005-0000-0000-0000E0920000}"/>
    <cellStyle name="Normal 2 7 3 3 2 4 5" xfId="37891" xr:uid="{00000000-0005-0000-0000-0000E1920000}"/>
    <cellStyle name="Normal 2 7 3 3 2 5" xfId="37892" xr:uid="{00000000-0005-0000-0000-0000E2920000}"/>
    <cellStyle name="Normal 2 7 3 3 2 6" xfId="37893" xr:uid="{00000000-0005-0000-0000-0000E3920000}"/>
    <cellStyle name="Normal 2 7 3 3 2 7" xfId="37894" xr:uid="{00000000-0005-0000-0000-0000E4920000}"/>
    <cellStyle name="Normal 2 7 3 3 2 8" xfId="37895" xr:uid="{00000000-0005-0000-0000-0000E5920000}"/>
    <cellStyle name="Normal 2 7 3 3 2 9" xfId="37896" xr:uid="{00000000-0005-0000-0000-0000E6920000}"/>
    <cellStyle name="Normal 2 7 3 3 3" xfId="37897" xr:uid="{00000000-0005-0000-0000-0000E7920000}"/>
    <cellStyle name="Normal 2 7 3 3 3 2" xfId="37898" xr:uid="{00000000-0005-0000-0000-0000E8920000}"/>
    <cellStyle name="Normal 2 7 3 3 3 2 2" xfId="37899" xr:uid="{00000000-0005-0000-0000-0000E9920000}"/>
    <cellStyle name="Normal 2 7 3 3 3 2 3" xfId="37900" xr:uid="{00000000-0005-0000-0000-0000EA920000}"/>
    <cellStyle name="Normal 2 7 3 3 3 2 4" xfId="37901" xr:uid="{00000000-0005-0000-0000-0000EB920000}"/>
    <cellStyle name="Normal 2 7 3 3 3 2 5" xfId="37902" xr:uid="{00000000-0005-0000-0000-0000EC920000}"/>
    <cellStyle name="Normal 2 7 3 3 3 3" xfId="37903" xr:uid="{00000000-0005-0000-0000-0000ED920000}"/>
    <cellStyle name="Normal 2 7 3 3 3 4" xfId="37904" xr:uid="{00000000-0005-0000-0000-0000EE920000}"/>
    <cellStyle name="Normal 2 7 3 3 3 5" xfId="37905" xr:uid="{00000000-0005-0000-0000-0000EF920000}"/>
    <cellStyle name="Normal 2 7 3 3 3 6" xfId="37906" xr:uid="{00000000-0005-0000-0000-0000F0920000}"/>
    <cellStyle name="Normal 2 7 3 3 3 7" xfId="37907" xr:uid="{00000000-0005-0000-0000-0000F1920000}"/>
    <cellStyle name="Normal 2 7 3 3 3 8" xfId="37908" xr:uid="{00000000-0005-0000-0000-0000F2920000}"/>
    <cellStyle name="Normal 2 7 3 3 4" xfId="37909" xr:uid="{00000000-0005-0000-0000-0000F3920000}"/>
    <cellStyle name="Normal 2 7 3 3 4 2" xfId="37910" xr:uid="{00000000-0005-0000-0000-0000F4920000}"/>
    <cellStyle name="Normal 2 7 3 3 4 2 2" xfId="37911" xr:uid="{00000000-0005-0000-0000-0000F5920000}"/>
    <cellStyle name="Normal 2 7 3 3 4 2 3" xfId="37912" xr:uid="{00000000-0005-0000-0000-0000F6920000}"/>
    <cellStyle name="Normal 2 7 3 3 4 2 4" xfId="37913" xr:uid="{00000000-0005-0000-0000-0000F7920000}"/>
    <cellStyle name="Normal 2 7 3 3 4 2 5" xfId="37914" xr:uid="{00000000-0005-0000-0000-0000F8920000}"/>
    <cellStyle name="Normal 2 7 3 3 4 3" xfId="37915" xr:uid="{00000000-0005-0000-0000-0000F9920000}"/>
    <cellStyle name="Normal 2 7 3 3 4 4" xfId="37916" xr:uid="{00000000-0005-0000-0000-0000FA920000}"/>
    <cellStyle name="Normal 2 7 3 3 4 5" xfId="37917" xr:uid="{00000000-0005-0000-0000-0000FB920000}"/>
    <cellStyle name="Normal 2 7 3 3 4 6" xfId="37918" xr:uid="{00000000-0005-0000-0000-0000FC920000}"/>
    <cellStyle name="Normal 2 7 3 3 4 7" xfId="37919" xr:uid="{00000000-0005-0000-0000-0000FD920000}"/>
    <cellStyle name="Normal 2 7 3 3 4 8" xfId="37920" xr:uid="{00000000-0005-0000-0000-0000FE920000}"/>
    <cellStyle name="Normal 2 7 3 3 5" xfId="37921" xr:uid="{00000000-0005-0000-0000-0000FF920000}"/>
    <cellStyle name="Normal 2 7 3 3 5 2" xfId="37922" xr:uid="{00000000-0005-0000-0000-000000930000}"/>
    <cellStyle name="Normal 2 7 3 3 5 3" xfId="37923" xr:uid="{00000000-0005-0000-0000-000001930000}"/>
    <cellStyle name="Normal 2 7 3 3 5 4" xfId="37924" xr:uid="{00000000-0005-0000-0000-000002930000}"/>
    <cellStyle name="Normal 2 7 3 3 5 5" xfId="37925" xr:uid="{00000000-0005-0000-0000-000003930000}"/>
    <cellStyle name="Normal 2 7 3 3 6" xfId="37926" xr:uid="{00000000-0005-0000-0000-000004930000}"/>
    <cellStyle name="Normal 2 7 3 3 7" xfId="37927" xr:uid="{00000000-0005-0000-0000-000005930000}"/>
    <cellStyle name="Normal 2 7 3 3 8" xfId="37928" xr:uid="{00000000-0005-0000-0000-000006930000}"/>
    <cellStyle name="Normal 2 7 3 3 9" xfId="37929" xr:uid="{00000000-0005-0000-0000-000007930000}"/>
    <cellStyle name="Normal 2 7 3 4" xfId="37930" xr:uid="{00000000-0005-0000-0000-000008930000}"/>
    <cellStyle name="Normal 2 7 3 4 10" xfId="37931" xr:uid="{00000000-0005-0000-0000-000009930000}"/>
    <cellStyle name="Normal 2 7 3 4 2" xfId="37932" xr:uid="{00000000-0005-0000-0000-00000A930000}"/>
    <cellStyle name="Normal 2 7 3 4 2 2" xfId="37933" xr:uid="{00000000-0005-0000-0000-00000B930000}"/>
    <cellStyle name="Normal 2 7 3 4 2 2 2" xfId="37934" xr:uid="{00000000-0005-0000-0000-00000C930000}"/>
    <cellStyle name="Normal 2 7 3 4 2 2 3" xfId="37935" xr:uid="{00000000-0005-0000-0000-00000D930000}"/>
    <cellStyle name="Normal 2 7 3 4 2 2 4" xfId="37936" xr:uid="{00000000-0005-0000-0000-00000E930000}"/>
    <cellStyle name="Normal 2 7 3 4 2 2 5" xfId="37937" xr:uid="{00000000-0005-0000-0000-00000F930000}"/>
    <cellStyle name="Normal 2 7 3 4 2 3" xfId="37938" xr:uid="{00000000-0005-0000-0000-000010930000}"/>
    <cellStyle name="Normal 2 7 3 4 2 4" xfId="37939" xr:uid="{00000000-0005-0000-0000-000011930000}"/>
    <cellStyle name="Normal 2 7 3 4 2 5" xfId="37940" xr:uid="{00000000-0005-0000-0000-000012930000}"/>
    <cellStyle name="Normal 2 7 3 4 2 6" xfId="37941" xr:uid="{00000000-0005-0000-0000-000013930000}"/>
    <cellStyle name="Normal 2 7 3 4 2 7" xfId="37942" xr:uid="{00000000-0005-0000-0000-000014930000}"/>
    <cellStyle name="Normal 2 7 3 4 2 8" xfId="37943" xr:uid="{00000000-0005-0000-0000-000015930000}"/>
    <cellStyle name="Normal 2 7 3 4 3" xfId="37944" xr:uid="{00000000-0005-0000-0000-000016930000}"/>
    <cellStyle name="Normal 2 7 3 4 3 2" xfId="37945" xr:uid="{00000000-0005-0000-0000-000017930000}"/>
    <cellStyle name="Normal 2 7 3 4 3 2 2" xfId="37946" xr:uid="{00000000-0005-0000-0000-000018930000}"/>
    <cellStyle name="Normal 2 7 3 4 3 2 3" xfId="37947" xr:uid="{00000000-0005-0000-0000-000019930000}"/>
    <cellStyle name="Normal 2 7 3 4 3 2 4" xfId="37948" xr:uid="{00000000-0005-0000-0000-00001A930000}"/>
    <cellStyle name="Normal 2 7 3 4 3 2 5" xfId="37949" xr:uid="{00000000-0005-0000-0000-00001B930000}"/>
    <cellStyle name="Normal 2 7 3 4 3 3" xfId="37950" xr:uid="{00000000-0005-0000-0000-00001C930000}"/>
    <cellStyle name="Normal 2 7 3 4 3 4" xfId="37951" xr:uid="{00000000-0005-0000-0000-00001D930000}"/>
    <cellStyle name="Normal 2 7 3 4 3 5" xfId="37952" xr:uid="{00000000-0005-0000-0000-00001E930000}"/>
    <cellStyle name="Normal 2 7 3 4 3 6" xfId="37953" xr:uid="{00000000-0005-0000-0000-00001F930000}"/>
    <cellStyle name="Normal 2 7 3 4 3 7" xfId="37954" xr:uid="{00000000-0005-0000-0000-000020930000}"/>
    <cellStyle name="Normal 2 7 3 4 3 8" xfId="37955" xr:uid="{00000000-0005-0000-0000-000021930000}"/>
    <cellStyle name="Normal 2 7 3 4 4" xfId="37956" xr:uid="{00000000-0005-0000-0000-000022930000}"/>
    <cellStyle name="Normal 2 7 3 4 4 2" xfId="37957" xr:uid="{00000000-0005-0000-0000-000023930000}"/>
    <cellStyle name="Normal 2 7 3 4 4 3" xfId="37958" xr:uid="{00000000-0005-0000-0000-000024930000}"/>
    <cellStyle name="Normal 2 7 3 4 4 4" xfId="37959" xr:uid="{00000000-0005-0000-0000-000025930000}"/>
    <cellStyle name="Normal 2 7 3 4 4 5" xfId="37960" xr:uid="{00000000-0005-0000-0000-000026930000}"/>
    <cellStyle name="Normal 2 7 3 4 5" xfId="37961" xr:uid="{00000000-0005-0000-0000-000027930000}"/>
    <cellStyle name="Normal 2 7 3 4 6" xfId="37962" xr:uid="{00000000-0005-0000-0000-000028930000}"/>
    <cellStyle name="Normal 2 7 3 4 7" xfId="37963" xr:uid="{00000000-0005-0000-0000-000029930000}"/>
    <cellStyle name="Normal 2 7 3 4 8" xfId="37964" xr:uid="{00000000-0005-0000-0000-00002A930000}"/>
    <cellStyle name="Normal 2 7 3 4 9" xfId="37965" xr:uid="{00000000-0005-0000-0000-00002B930000}"/>
    <cellStyle name="Normal 2 7 3 5" xfId="37966" xr:uid="{00000000-0005-0000-0000-00002C930000}"/>
    <cellStyle name="Normal 2 7 3 5 2" xfId="37967" xr:uid="{00000000-0005-0000-0000-00002D930000}"/>
    <cellStyle name="Normal 2 7 3 5 2 2" xfId="37968" xr:uid="{00000000-0005-0000-0000-00002E930000}"/>
    <cellStyle name="Normal 2 7 3 5 2 3" xfId="37969" xr:uid="{00000000-0005-0000-0000-00002F930000}"/>
    <cellStyle name="Normal 2 7 3 5 2 4" xfId="37970" xr:uid="{00000000-0005-0000-0000-000030930000}"/>
    <cellStyle name="Normal 2 7 3 5 2 5" xfId="37971" xr:uid="{00000000-0005-0000-0000-000031930000}"/>
    <cellStyle name="Normal 2 7 3 5 3" xfId="37972" xr:uid="{00000000-0005-0000-0000-000032930000}"/>
    <cellStyle name="Normal 2 7 3 5 4" xfId="37973" xr:uid="{00000000-0005-0000-0000-000033930000}"/>
    <cellStyle name="Normal 2 7 3 5 5" xfId="37974" xr:uid="{00000000-0005-0000-0000-000034930000}"/>
    <cellStyle name="Normal 2 7 3 5 6" xfId="37975" xr:uid="{00000000-0005-0000-0000-000035930000}"/>
    <cellStyle name="Normal 2 7 3 5 7" xfId="37976" xr:uid="{00000000-0005-0000-0000-000036930000}"/>
    <cellStyle name="Normal 2 7 3 5 8" xfId="37977" xr:uid="{00000000-0005-0000-0000-000037930000}"/>
    <cellStyle name="Normal 2 7 3 6" xfId="37978" xr:uid="{00000000-0005-0000-0000-000038930000}"/>
    <cellStyle name="Normal 2 7 3 6 2" xfId="37979" xr:uid="{00000000-0005-0000-0000-000039930000}"/>
    <cellStyle name="Normal 2 7 3 6 2 2" xfId="37980" xr:uid="{00000000-0005-0000-0000-00003A930000}"/>
    <cellStyle name="Normal 2 7 3 6 2 3" xfId="37981" xr:uid="{00000000-0005-0000-0000-00003B930000}"/>
    <cellStyle name="Normal 2 7 3 6 2 4" xfId="37982" xr:uid="{00000000-0005-0000-0000-00003C930000}"/>
    <cellStyle name="Normal 2 7 3 6 2 5" xfId="37983" xr:uid="{00000000-0005-0000-0000-00003D930000}"/>
    <cellStyle name="Normal 2 7 3 6 3" xfId="37984" xr:uid="{00000000-0005-0000-0000-00003E930000}"/>
    <cellStyle name="Normal 2 7 3 6 4" xfId="37985" xr:uid="{00000000-0005-0000-0000-00003F930000}"/>
    <cellStyle name="Normal 2 7 3 6 5" xfId="37986" xr:uid="{00000000-0005-0000-0000-000040930000}"/>
    <cellStyle name="Normal 2 7 3 6 6" xfId="37987" xr:uid="{00000000-0005-0000-0000-000041930000}"/>
    <cellStyle name="Normal 2 7 3 6 7" xfId="37988" xr:uid="{00000000-0005-0000-0000-000042930000}"/>
    <cellStyle name="Normal 2 7 3 6 8" xfId="37989" xr:uid="{00000000-0005-0000-0000-000043930000}"/>
    <cellStyle name="Normal 2 7 3 7" xfId="37990" xr:uid="{00000000-0005-0000-0000-000044930000}"/>
    <cellStyle name="Normal 2 7 3 7 2" xfId="37991" xr:uid="{00000000-0005-0000-0000-000045930000}"/>
    <cellStyle name="Normal 2 7 3 7 3" xfId="37992" xr:uid="{00000000-0005-0000-0000-000046930000}"/>
    <cellStyle name="Normal 2 7 3 7 4" xfId="37993" xr:uid="{00000000-0005-0000-0000-000047930000}"/>
    <cellStyle name="Normal 2 7 3 7 5" xfId="37994" xr:uid="{00000000-0005-0000-0000-000048930000}"/>
    <cellStyle name="Normal 2 7 3 8" xfId="37995" xr:uid="{00000000-0005-0000-0000-000049930000}"/>
    <cellStyle name="Normal 2 7 3 9" xfId="37996" xr:uid="{00000000-0005-0000-0000-00004A930000}"/>
    <cellStyle name="Normal 2 7 4" xfId="886" xr:uid="{00000000-0005-0000-0000-00004B930000}"/>
    <cellStyle name="Normal 2 7 4 10" xfId="37997" xr:uid="{00000000-0005-0000-0000-00004C930000}"/>
    <cellStyle name="Normal 2 7 4 11" xfId="37998" xr:uid="{00000000-0005-0000-0000-00004D930000}"/>
    <cellStyle name="Normal 2 7 4 12" xfId="37999" xr:uid="{00000000-0005-0000-0000-00004E930000}"/>
    <cellStyle name="Normal 2 7 4 13" xfId="38000" xr:uid="{00000000-0005-0000-0000-00004F930000}"/>
    <cellStyle name="Normal 2 7 4 2" xfId="38001" xr:uid="{00000000-0005-0000-0000-000050930000}"/>
    <cellStyle name="Normal 2 7 4 2 10" xfId="38002" xr:uid="{00000000-0005-0000-0000-000051930000}"/>
    <cellStyle name="Normal 2 7 4 2 11" xfId="38003" xr:uid="{00000000-0005-0000-0000-000052930000}"/>
    <cellStyle name="Normal 2 7 4 2 2" xfId="38004" xr:uid="{00000000-0005-0000-0000-000053930000}"/>
    <cellStyle name="Normal 2 7 4 2 2 10" xfId="38005" xr:uid="{00000000-0005-0000-0000-000054930000}"/>
    <cellStyle name="Normal 2 7 4 2 2 2" xfId="38006" xr:uid="{00000000-0005-0000-0000-000055930000}"/>
    <cellStyle name="Normal 2 7 4 2 2 2 2" xfId="38007" xr:uid="{00000000-0005-0000-0000-000056930000}"/>
    <cellStyle name="Normal 2 7 4 2 2 2 2 2" xfId="38008" xr:uid="{00000000-0005-0000-0000-000057930000}"/>
    <cellStyle name="Normal 2 7 4 2 2 2 2 3" xfId="38009" xr:uid="{00000000-0005-0000-0000-000058930000}"/>
    <cellStyle name="Normal 2 7 4 2 2 2 2 4" xfId="38010" xr:uid="{00000000-0005-0000-0000-000059930000}"/>
    <cellStyle name="Normal 2 7 4 2 2 2 2 5" xfId="38011" xr:uid="{00000000-0005-0000-0000-00005A930000}"/>
    <cellStyle name="Normal 2 7 4 2 2 2 3" xfId="38012" xr:uid="{00000000-0005-0000-0000-00005B930000}"/>
    <cellStyle name="Normal 2 7 4 2 2 2 4" xfId="38013" xr:uid="{00000000-0005-0000-0000-00005C930000}"/>
    <cellStyle name="Normal 2 7 4 2 2 2 5" xfId="38014" xr:uid="{00000000-0005-0000-0000-00005D930000}"/>
    <cellStyle name="Normal 2 7 4 2 2 2 6" xfId="38015" xr:uid="{00000000-0005-0000-0000-00005E930000}"/>
    <cellStyle name="Normal 2 7 4 2 2 2 7" xfId="38016" xr:uid="{00000000-0005-0000-0000-00005F930000}"/>
    <cellStyle name="Normal 2 7 4 2 2 2 8" xfId="38017" xr:uid="{00000000-0005-0000-0000-000060930000}"/>
    <cellStyle name="Normal 2 7 4 2 2 3" xfId="38018" xr:uid="{00000000-0005-0000-0000-000061930000}"/>
    <cellStyle name="Normal 2 7 4 2 2 3 2" xfId="38019" xr:uid="{00000000-0005-0000-0000-000062930000}"/>
    <cellStyle name="Normal 2 7 4 2 2 3 2 2" xfId="38020" xr:uid="{00000000-0005-0000-0000-000063930000}"/>
    <cellStyle name="Normal 2 7 4 2 2 3 2 3" xfId="38021" xr:uid="{00000000-0005-0000-0000-000064930000}"/>
    <cellStyle name="Normal 2 7 4 2 2 3 2 4" xfId="38022" xr:uid="{00000000-0005-0000-0000-000065930000}"/>
    <cellStyle name="Normal 2 7 4 2 2 3 2 5" xfId="38023" xr:uid="{00000000-0005-0000-0000-000066930000}"/>
    <cellStyle name="Normal 2 7 4 2 2 3 3" xfId="38024" xr:uid="{00000000-0005-0000-0000-000067930000}"/>
    <cellStyle name="Normal 2 7 4 2 2 3 4" xfId="38025" xr:uid="{00000000-0005-0000-0000-000068930000}"/>
    <cellStyle name="Normal 2 7 4 2 2 3 5" xfId="38026" xr:uid="{00000000-0005-0000-0000-000069930000}"/>
    <cellStyle name="Normal 2 7 4 2 2 3 6" xfId="38027" xr:uid="{00000000-0005-0000-0000-00006A930000}"/>
    <cellStyle name="Normal 2 7 4 2 2 3 7" xfId="38028" xr:uid="{00000000-0005-0000-0000-00006B930000}"/>
    <cellStyle name="Normal 2 7 4 2 2 3 8" xfId="38029" xr:uid="{00000000-0005-0000-0000-00006C930000}"/>
    <cellStyle name="Normal 2 7 4 2 2 4" xfId="38030" xr:uid="{00000000-0005-0000-0000-00006D930000}"/>
    <cellStyle name="Normal 2 7 4 2 2 4 2" xfId="38031" xr:uid="{00000000-0005-0000-0000-00006E930000}"/>
    <cellStyle name="Normal 2 7 4 2 2 4 3" xfId="38032" xr:uid="{00000000-0005-0000-0000-00006F930000}"/>
    <cellStyle name="Normal 2 7 4 2 2 4 4" xfId="38033" xr:uid="{00000000-0005-0000-0000-000070930000}"/>
    <cellStyle name="Normal 2 7 4 2 2 4 5" xfId="38034" xr:uid="{00000000-0005-0000-0000-000071930000}"/>
    <cellStyle name="Normal 2 7 4 2 2 5" xfId="38035" xr:uid="{00000000-0005-0000-0000-000072930000}"/>
    <cellStyle name="Normal 2 7 4 2 2 6" xfId="38036" xr:uid="{00000000-0005-0000-0000-000073930000}"/>
    <cellStyle name="Normal 2 7 4 2 2 7" xfId="38037" xr:uid="{00000000-0005-0000-0000-000074930000}"/>
    <cellStyle name="Normal 2 7 4 2 2 8" xfId="38038" xr:uid="{00000000-0005-0000-0000-000075930000}"/>
    <cellStyle name="Normal 2 7 4 2 2 9" xfId="38039" xr:uid="{00000000-0005-0000-0000-000076930000}"/>
    <cellStyle name="Normal 2 7 4 2 3" xfId="38040" xr:uid="{00000000-0005-0000-0000-000077930000}"/>
    <cellStyle name="Normal 2 7 4 2 3 2" xfId="38041" xr:uid="{00000000-0005-0000-0000-000078930000}"/>
    <cellStyle name="Normal 2 7 4 2 3 2 2" xfId="38042" xr:uid="{00000000-0005-0000-0000-000079930000}"/>
    <cellStyle name="Normal 2 7 4 2 3 2 3" xfId="38043" xr:uid="{00000000-0005-0000-0000-00007A930000}"/>
    <cellStyle name="Normal 2 7 4 2 3 2 4" xfId="38044" xr:uid="{00000000-0005-0000-0000-00007B930000}"/>
    <cellStyle name="Normal 2 7 4 2 3 2 5" xfId="38045" xr:uid="{00000000-0005-0000-0000-00007C930000}"/>
    <cellStyle name="Normal 2 7 4 2 3 3" xfId="38046" xr:uid="{00000000-0005-0000-0000-00007D930000}"/>
    <cellStyle name="Normal 2 7 4 2 3 4" xfId="38047" xr:uid="{00000000-0005-0000-0000-00007E930000}"/>
    <cellStyle name="Normal 2 7 4 2 3 5" xfId="38048" xr:uid="{00000000-0005-0000-0000-00007F930000}"/>
    <cellStyle name="Normal 2 7 4 2 3 6" xfId="38049" xr:uid="{00000000-0005-0000-0000-000080930000}"/>
    <cellStyle name="Normal 2 7 4 2 3 7" xfId="38050" xr:uid="{00000000-0005-0000-0000-000081930000}"/>
    <cellStyle name="Normal 2 7 4 2 3 8" xfId="38051" xr:uid="{00000000-0005-0000-0000-000082930000}"/>
    <cellStyle name="Normal 2 7 4 2 4" xfId="38052" xr:uid="{00000000-0005-0000-0000-000083930000}"/>
    <cellStyle name="Normal 2 7 4 2 4 2" xfId="38053" xr:uid="{00000000-0005-0000-0000-000084930000}"/>
    <cellStyle name="Normal 2 7 4 2 4 2 2" xfId="38054" xr:uid="{00000000-0005-0000-0000-000085930000}"/>
    <cellStyle name="Normal 2 7 4 2 4 2 3" xfId="38055" xr:uid="{00000000-0005-0000-0000-000086930000}"/>
    <cellStyle name="Normal 2 7 4 2 4 2 4" xfId="38056" xr:uid="{00000000-0005-0000-0000-000087930000}"/>
    <cellStyle name="Normal 2 7 4 2 4 2 5" xfId="38057" xr:uid="{00000000-0005-0000-0000-000088930000}"/>
    <cellStyle name="Normal 2 7 4 2 4 3" xfId="38058" xr:uid="{00000000-0005-0000-0000-000089930000}"/>
    <cellStyle name="Normal 2 7 4 2 4 4" xfId="38059" xr:uid="{00000000-0005-0000-0000-00008A930000}"/>
    <cellStyle name="Normal 2 7 4 2 4 5" xfId="38060" xr:uid="{00000000-0005-0000-0000-00008B930000}"/>
    <cellStyle name="Normal 2 7 4 2 4 6" xfId="38061" xr:uid="{00000000-0005-0000-0000-00008C930000}"/>
    <cellStyle name="Normal 2 7 4 2 4 7" xfId="38062" xr:uid="{00000000-0005-0000-0000-00008D930000}"/>
    <cellStyle name="Normal 2 7 4 2 4 8" xfId="38063" xr:uid="{00000000-0005-0000-0000-00008E930000}"/>
    <cellStyle name="Normal 2 7 4 2 5" xfId="38064" xr:uid="{00000000-0005-0000-0000-00008F930000}"/>
    <cellStyle name="Normal 2 7 4 2 5 2" xfId="38065" xr:uid="{00000000-0005-0000-0000-000090930000}"/>
    <cellStyle name="Normal 2 7 4 2 5 3" xfId="38066" xr:uid="{00000000-0005-0000-0000-000091930000}"/>
    <cellStyle name="Normal 2 7 4 2 5 4" xfId="38067" xr:uid="{00000000-0005-0000-0000-000092930000}"/>
    <cellStyle name="Normal 2 7 4 2 5 5" xfId="38068" xr:uid="{00000000-0005-0000-0000-000093930000}"/>
    <cellStyle name="Normal 2 7 4 2 6" xfId="38069" xr:uid="{00000000-0005-0000-0000-000094930000}"/>
    <cellStyle name="Normal 2 7 4 2 7" xfId="38070" xr:uid="{00000000-0005-0000-0000-000095930000}"/>
    <cellStyle name="Normal 2 7 4 2 8" xfId="38071" xr:uid="{00000000-0005-0000-0000-000096930000}"/>
    <cellStyle name="Normal 2 7 4 2 9" xfId="38072" xr:uid="{00000000-0005-0000-0000-000097930000}"/>
    <cellStyle name="Normal 2 7 4 3" xfId="38073" xr:uid="{00000000-0005-0000-0000-000098930000}"/>
    <cellStyle name="Normal 2 7 4 3 10" xfId="38074" xr:uid="{00000000-0005-0000-0000-000099930000}"/>
    <cellStyle name="Normal 2 7 4 3 11" xfId="38075" xr:uid="{00000000-0005-0000-0000-00009A930000}"/>
    <cellStyle name="Normal 2 7 4 3 2" xfId="38076" xr:uid="{00000000-0005-0000-0000-00009B930000}"/>
    <cellStyle name="Normal 2 7 4 3 2 10" xfId="38077" xr:uid="{00000000-0005-0000-0000-00009C930000}"/>
    <cellStyle name="Normal 2 7 4 3 2 2" xfId="38078" xr:uid="{00000000-0005-0000-0000-00009D930000}"/>
    <cellStyle name="Normal 2 7 4 3 2 2 2" xfId="38079" xr:uid="{00000000-0005-0000-0000-00009E930000}"/>
    <cellStyle name="Normal 2 7 4 3 2 2 2 2" xfId="38080" xr:uid="{00000000-0005-0000-0000-00009F930000}"/>
    <cellStyle name="Normal 2 7 4 3 2 2 2 3" xfId="38081" xr:uid="{00000000-0005-0000-0000-0000A0930000}"/>
    <cellStyle name="Normal 2 7 4 3 2 2 2 4" xfId="38082" xr:uid="{00000000-0005-0000-0000-0000A1930000}"/>
    <cellStyle name="Normal 2 7 4 3 2 2 2 5" xfId="38083" xr:uid="{00000000-0005-0000-0000-0000A2930000}"/>
    <cellStyle name="Normal 2 7 4 3 2 2 3" xfId="38084" xr:uid="{00000000-0005-0000-0000-0000A3930000}"/>
    <cellStyle name="Normal 2 7 4 3 2 2 4" xfId="38085" xr:uid="{00000000-0005-0000-0000-0000A4930000}"/>
    <cellStyle name="Normal 2 7 4 3 2 2 5" xfId="38086" xr:uid="{00000000-0005-0000-0000-0000A5930000}"/>
    <cellStyle name="Normal 2 7 4 3 2 2 6" xfId="38087" xr:uid="{00000000-0005-0000-0000-0000A6930000}"/>
    <cellStyle name="Normal 2 7 4 3 2 2 7" xfId="38088" xr:uid="{00000000-0005-0000-0000-0000A7930000}"/>
    <cellStyle name="Normal 2 7 4 3 2 2 8" xfId="38089" xr:uid="{00000000-0005-0000-0000-0000A8930000}"/>
    <cellStyle name="Normal 2 7 4 3 2 3" xfId="38090" xr:uid="{00000000-0005-0000-0000-0000A9930000}"/>
    <cellStyle name="Normal 2 7 4 3 2 3 2" xfId="38091" xr:uid="{00000000-0005-0000-0000-0000AA930000}"/>
    <cellStyle name="Normal 2 7 4 3 2 3 2 2" xfId="38092" xr:uid="{00000000-0005-0000-0000-0000AB930000}"/>
    <cellStyle name="Normal 2 7 4 3 2 3 2 3" xfId="38093" xr:uid="{00000000-0005-0000-0000-0000AC930000}"/>
    <cellStyle name="Normal 2 7 4 3 2 3 2 4" xfId="38094" xr:uid="{00000000-0005-0000-0000-0000AD930000}"/>
    <cellStyle name="Normal 2 7 4 3 2 3 2 5" xfId="38095" xr:uid="{00000000-0005-0000-0000-0000AE930000}"/>
    <cellStyle name="Normal 2 7 4 3 2 3 3" xfId="38096" xr:uid="{00000000-0005-0000-0000-0000AF930000}"/>
    <cellStyle name="Normal 2 7 4 3 2 3 4" xfId="38097" xr:uid="{00000000-0005-0000-0000-0000B0930000}"/>
    <cellStyle name="Normal 2 7 4 3 2 3 5" xfId="38098" xr:uid="{00000000-0005-0000-0000-0000B1930000}"/>
    <cellStyle name="Normal 2 7 4 3 2 3 6" xfId="38099" xr:uid="{00000000-0005-0000-0000-0000B2930000}"/>
    <cellStyle name="Normal 2 7 4 3 2 3 7" xfId="38100" xr:uid="{00000000-0005-0000-0000-0000B3930000}"/>
    <cellStyle name="Normal 2 7 4 3 2 3 8" xfId="38101" xr:uid="{00000000-0005-0000-0000-0000B4930000}"/>
    <cellStyle name="Normal 2 7 4 3 2 4" xfId="38102" xr:uid="{00000000-0005-0000-0000-0000B5930000}"/>
    <cellStyle name="Normal 2 7 4 3 2 4 2" xfId="38103" xr:uid="{00000000-0005-0000-0000-0000B6930000}"/>
    <cellStyle name="Normal 2 7 4 3 2 4 3" xfId="38104" xr:uid="{00000000-0005-0000-0000-0000B7930000}"/>
    <cellStyle name="Normal 2 7 4 3 2 4 4" xfId="38105" xr:uid="{00000000-0005-0000-0000-0000B8930000}"/>
    <cellStyle name="Normal 2 7 4 3 2 4 5" xfId="38106" xr:uid="{00000000-0005-0000-0000-0000B9930000}"/>
    <cellStyle name="Normal 2 7 4 3 2 5" xfId="38107" xr:uid="{00000000-0005-0000-0000-0000BA930000}"/>
    <cellStyle name="Normal 2 7 4 3 2 6" xfId="38108" xr:uid="{00000000-0005-0000-0000-0000BB930000}"/>
    <cellStyle name="Normal 2 7 4 3 2 7" xfId="38109" xr:uid="{00000000-0005-0000-0000-0000BC930000}"/>
    <cellStyle name="Normal 2 7 4 3 2 8" xfId="38110" xr:uid="{00000000-0005-0000-0000-0000BD930000}"/>
    <cellStyle name="Normal 2 7 4 3 2 9" xfId="38111" xr:uid="{00000000-0005-0000-0000-0000BE930000}"/>
    <cellStyle name="Normal 2 7 4 3 3" xfId="38112" xr:uid="{00000000-0005-0000-0000-0000BF930000}"/>
    <cellStyle name="Normal 2 7 4 3 3 2" xfId="38113" xr:uid="{00000000-0005-0000-0000-0000C0930000}"/>
    <cellStyle name="Normal 2 7 4 3 3 2 2" xfId="38114" xr:uid="{00000000-0005-0000-0000-0000C1930000}"/>
    <cellStyle name="Normal 2 7 4 3 3 2 3" xfId="38115" xr:uid="{00000000-0005-0000-0000-0000C2930000}"/>
    <cellStyle name="Normal 2 7 4 3 3 2 4" xfId="38116" xr:uid="{00000000-0005-0000-0000-0000C3930000}"/>
    <cellStyle name="Normal 2 7 4 3 3 2 5" xfId="38117" xr:uid="{00000000-0005-0000-0000-0000C4930000}"/>
    <cellStyle name="Normal 2 7 4 3 3 3" xfId="38118" xr:uid="{00000000-0005-0000-0000-0000C5930000}"/>
    <cellStyle name="Normal 2 7 4 3 3 4" xfId="38119" xr:uid="{00000000-0005-0000-0000-0000C6930000}"/>
    <cellStyle name="Normal 2 7 4 3 3 5" xfId="38120" xr:uid="{00000000-0005-0000-0000-0000C7930000}"/>
    <cellStyle name="Normal 2 7 4 3 3 6" xfId="38121" xr:uid="{00000000-0005-0000-0000-0000C8930000}"/>
    <cellStyle name="Normal 2 7 4 3 3 7" xfId="38122" xr:uid="{00000000-0005-0000-0000-0000C9930000}"/>
    <cellStyle name="Normal 2 7 4 3 3 8" xfId="38123" xr:uid="{00000000-0005-0000-0000-0000CA930000}"/>
    <cellStyle name="Normal 2 7 4 3 4" xfId="38124" xr:uid="{00000000-0005-0000-0000-0000CB930000}"/>
    <cellStyle name="Normal 2 7 4 3 4 2" xfId="38125" xr:uid="{00000000-0005-0000-0000-0000CC930000}"/>
    <cellStyle name="Normal 2 7 4 3 4 2 2" xfId="38126" xr:uid="{00000000-0005-0000-0000-0000CD930000}"/>
    <cellStyle name="Normal 2 7 4 3 4 2 3" xfId="38127" xr:uid="{00000000-0005-0000-0000-0000CE930000}"/>
    <cellStyle name="Normal 2 7 4 3 4 2 4" xfId="38128" xr:uid="{00000000-0005-0000-0000-0000CF930000}"/>
    <cellStyle name="Normal 2 7 4 3 4 2 5" xfId="38129" xr:uid="{00000000-0005-0000-0000-0000D0930000}"/>
    <cellStyle name="Normal 2 7 4 3 4 3" xfId="38130" xr:uid="{00000000-0005-0000-0000-0000D1930000}"/>
    <cellStyle name="Normal 2 7 4 3 4 4" xfId="38131" xr:uid="{00000000-0005-0000-0000-0000D2930000}"/>
    <cellStyle name="Normal 2 7 4 3 4 5" xfId="38132" xr:uid="{00000000-0005-0000-0000-0000D3930000}"/>
    <cellStyle name="Normal 2 7 4 3 4 6" xfId="38133" xr:uid="{00000000-0005-0000-0000-0000D4930000}"/>
    <cellStyle name="Normal 2 7 4 3 4 7" xfId="38134" xr:uid="{00000000-0005-0000-0000-0000D5930000}"/>
    <cellStyle name="Normal 2 7 4 3 4 8" xfId="38135" xr:uid="{00000000-0005-0000-0000-0000D6930000}"/>
    <cellStyle name="Normal 2 7 4 3 5" xfId="38136" xr:uid="{00000000-0005-0000-0000-0000D7930000}"/>
    <cellStyle name="Normal 2 7 4 3 5 2" xfId="38137" xr:uid="{00000000-0005-0000-0000-0000D8930000}"/>
    <cellStyle name="Normal 2 7 4 3 5 3" xfId="38138" xr:uid="{00000000-0005-0000-0000-0000D9930000}"/>
    <cellStyle name="Normal 2 7 4 3 5 4" xfId="38139" xr:uid="{00000000-0005-0000-0000-0000DA930000}"/>
    <cellStyle name="Normal 2 7 4 3 5 5" xfId="38140" xr:uid="{00000000-0005-0000-0000-0000DB930000}"/>
    <cellStyle name="Normal 2 7 4 3 6" xfId="38141" xr:uid="{00000000-0005-0000-0000-0000DC930000}"/>
    <cellStyle name="Normal 2 7 4 3 7" xfId="38142" xr:uid="{00000000-0005-0000-0000-0000DD930000}"/>
    <cellStyle name="Normal 2 7 4 3 8" xfId="38143" xr:uid="{00000000-0005-0000-0000-0000DE930000}"/>
    <cellStyle name="Normal 2 7 4 3 9" xfId="38144" xr:uid="{00000000-0005-0000-0000-0000DF930000}"/>
    <cellStyle name="Normal 2 7 4 4" xfId="38145" xr:uid="{00000000-0005-0000-0000-0000E0930000}"/>
    <cellStyle name="Normal 2 7 4 4 10" xfId="38146" xr:uid="{00000000-0005-0000-0000-0000E1930000}"/>
    <cellStyle name="Normal 2 7 4 4 2" xfId="38147" xr:uid="{00000000-0005-0000-0000-0000E2930000}"/>
    <cellStyle name="Normal 2 7 4 4 2 2" xfId="38148" xr:uid="{00000000-0005-0000-0000-0000E3930000}"/>
    <cellStyle name="Normal 2 7 4 4 2 2 2" xfId="38149" xr:uid="{00000000-0005-0000-0000-0000E4930000}"/>
    <cellStyle name="Normal 2 7 4 4 2 2 3" xfId="38150" xr:uid="{00000000-0005-0000-0000-0000E5930000}"/>
    <cellStyle name="Normal 2 7 4 4 2 2 4" xfId="38151" xr:uid="{00000000-0005-0000-0000-0000E6930000}"/>
    <cellStyle name="Normal 2 7 4 4 2 2 5" xfId="38152" xr:uid="{00000000-0005-0000-0000-0000E7930000}"/>
    <cellStyle name="Normal 2 7 4 4 2 3" xfId="38153" xr:uid="{00000000-0005-0000-0000-0000E8930000}"/>
    <cellStyle name="Normal 2 7 4 4 2 4" xfId="38154" xr:uid="{00000000-0005-0000-0000-0000E9930000}"/>
    <cellStyle name="Normal 2 7 4 4 2 5" xfId="38155" xr:uid="{00000000-0005-0000-0000-0000EA930000}"/>
    <cellStyle name="Normal 2 7 4 4 2 6" xfId="38156" xr:uid="{00000000-0005-0000-0000-0000EB930000}"/>
    <cellStyle name="Normal 2 7 4 4 2 7" xfId="38157" xr:uid="{00000000-0005-0000-0000-0000EC930000}"/>
    <cellStyle name="Normal 2 7 4 4 2 8" xfId="38158" xr:uid="{00000000-0005-0000-0000-0000ED930000}"/>
    <cellStyle name="Normal 2 7 4 4 3" xfId="38159" xr:uid="{00000000-0005-0000-0000-0000EE930000}"/>
    <cellStyle name="Normal 2 7 4 4 3 2" xfId="38160" xr:uid="{00000000-0005-0000-0000-0000EF930000}"/>
    <cellStyle name="Normal 2 7 4 4 3 2 2" xfId="38161" xr:uid="{00000000-0005-0000-0000-0000F0930000}"/>
    <cellStyle name="Normal 2 7 4 4 3 2 3" xfId="38162" xr:uid="{00000000-0005-0000-0000-0000F1930000}"/>
    <cellStyle name="Normal 2 7 4 4 3 2 4" xfId="38163" xr:uid="{00000000-0005-0000-0000-0000F2930000}"/>
    <cellStyle name="Normal 2 7 4 4 3 2 5" xfId="38164" xr:uid="{00000000-0005-0000-0000-0000F3930000}"/>
    <cellStyle name="Normal 2 7 4 4 3 3" xfId="38165" xr:uid="{00000000-0005-0000-0000-0000F4930000}"/>
    <cellStyle name="Normal 2 7 4 4 3 4" xfId="38166" xr:uid="{00000000-0005-0000-0000-0000F5930000}"/>
    <cellStyle name="Normal 2 7 4 4 3 5" xfId="38167" xr:uid="{00000000-0005-0000-0000-0000F6930000}"/>
    <cellStyle name="Normal 2 7 4 4 3 6" xfId="38168" xr:uid="{00000000-0005-0000-0000-0000F7930000}"/>
    <cellStyle name="Normal 2 7 4 4 3 7" xfId="38169" xr:uid="{00000000-0005-0000-0000-0000F8930000}"/>
    <cellStyle name="Normal 2 7 4 4 3 8" xfId="38170" xr:uid="{00000000-0005-0000-0000-0000F9930000}"/>
    <cellStyle name="Normal 2 7 4 4 4" xfId="38171" xr:uid="{00000000-0005-0000-0000-0000FA930000}"/>
    <cellStyle name="Normal 2 7 4 4 4 2" xfId="38172" xr:uid="{00000000-0005-0000-0000-0000FB930000}"/>
    <cellStyle name="Normal 2 7 4 4 4 3" xfId="38173" xr:uid="{00000000-0005-0000-0000-0000FC930000}"/>
    <cellStyle name="Normal 2 7 4 4 4 4" xfId="38174" xr:uid="{00000000-0005-0000-0000-0000FD930000}"/>
    <cellStyle name="Normal 2 7 4 4 4 5" xfId="38175" xr:uid="{00000000-0005-0000-0000-0000FE930000}"/>
    <cellStyle name="Normal 2 7 4 4 5" xfId="38176" xr:uid="{00000000-0005-0000-0000-0000FF930000}"/>
    <cellStyle name="Normal 2 7 4 4 6" xfId="38177" xr:uid="{00000000-0005-0000-0000-000000940000}"/>
    <cellStyle name="Normal 2 7 4 4 7" xfId="38178" xr:uid="{00000000-0005-0000-0000-000001940000}"/>
    <cellStyle name="Normal 2 7 4 4 8" xfId="38179" xr:uid="{00000000-0005-0000-0000-000002940000}"/>
    <cellStyle name="Normal 2 7 4 4 9" xfId="38180" xr:uid="{00000000-0005-0000-0000-000003940000}"/>
    <cellStyle name="Normal 2 7 4 5" xfId="38181" xr:uid="{00000000-0005-0000-0000-000004940000}"/>
    <cellStyle name="Normal 2 7 4 5 2" xfId="38182" xr:uid="{00000000-0005-0000-0000-000005940000}"/>
    <cellStyle name="Normal 2 7 4 5 2 2" xfId="38183" xr:uid="{00000000-0005-0000-0000-000006940000}"/>
    <cellStyle name="Normal 2 7 4 5 2 3" xfId="38184" xr:uid="{00000000-0005-0000-0000-000007940000}"/>
    <cellStyle name="Normal 2 7 4 5 2 4" xfId="38185" xr:uid="{00000000-0005-0000-0000-000008940000}"/>
    <cellStyle name="Normal 2 7 4 5 2 5" xfId="38186" xr:uid="{00000000-0005-0000-0000-000009940000}"/>
    <cellStyle name="Normal 2 7 4 5 3" xfId="38187" xr:uid="{00000000-0005-0000-0000-00000A940000}"/>
    <cellStyle name="Normal 2 7 4 5 4" xfId="38188" xr:uid="{00000000-0005-0000-0000-00000B940000}"/>
    <cellStyle name="Normal 2 7 4 5 5" xfId="38189" xr:uid="{00000000-0005-0000-0000-00000C940000}"/>
    <cellStyle name="Normal 2 7 4 5 6" xfId="38190" xr:uid="{00000000-0005-0000-0000-00000D940000}"/>
    <cellStyle name="Normal 2 7 4 5 7" xfId="38191" xr:uid="{00000000-0005-0000-0000-00000E940000}"/>
    <cellStyle name="Normal 2 7 4 5 8" xfId="38192" xr:uid="{00000000-0005-0000-0000-00000F940000}"/>
    <cellStyle name="Normal 2 7 4 6" xfId="38193" xr:uid="{00000000-0005-0000-0000-000010940000}"/>
    <cellStyle name="Normal 2 7 4 6 2" xfId="38194" xr:uid="{00000000-0005-0000-0000-000011940000}"/>
    <cellStyle name="Normal 2 7 4 6 2 2" xfId="38195" xr:uid="{00000000-0005-0000-0000-000012940000}"/>
    <cellStyle name="Normal 2 7 4 6 2 3" xfId="38196" xr:uid="{00000000-0005-0000-0000-000013940000}"/>
    <cellStyle name="Normal 2 7 4 6 2 4" xfId="38197" xr:uid="{00000000-0005-0000-0000-000014940000}"/>
    <cellStyle name="Normal 2 7 4 6 2 5" xfId="38198" xr:uid="{00000000-0005-0000-0000-000015940000}"/>
    <cellStyle name="Normal 2 7 4 6 3" xfId="38199" xr:uid="{00000000-0005-0000-0000-000016940000}"/>
    <cellStyle name="Normal 2 7 4 6 4" xfId="38200" xr:uid="{00000000-0005-0000-0000-000017940000}"/>
    <cellStyle name="Normal 2 7 4 6 5" xfId="38201" xr:uid="{00000000-0005-0000-0000-000018940000}"/>
    <cellStyle name="Normal 2 7 4 6 6" xfId="38202" xr:uid="{00000000-0005-0000-0000-000019940000}"/>
    <cellStyle name="Normal 2 7 4 6 7" xfId="38203" xr:uid="{00000000-0005-0000-0000-00001A940000}"/>
    <cellStyle name="Normal 2 7 4 6 8" xfId="38204" xr:uid="{00000000-0005-0000-0000-00001B940000}"/>
    <cellStyle name="Normal 2 7 4 7" xfId="38205" xr:uid="{00000000-0005-0000-0000-00001C940000}"/>
    <cellStyle name="Normal 2 7 4 7 2" xfId="38206" xr:uid="{00000000-0005-0000-0000-00001D940000}"/>
    <cellStyle name="Normal 2 7 4 7 3" xfId="38207" xr:uid="{00000000-0005-0000-0000-00001E940000}"/>
    <cellStyle name="Normal 2 7 4 7 4" xfId="38208" xr:uid="{00000000-0005-0000-0000-00001F940000}"/>
    <cellStyle name="Normal 2 7 4 7 5" xfId="38209" xr:uid="{00000000-0005-0000-0000-000020940000}"/>
    <cellStyle name="Normal 2 7 4 8" xfId="38210" xr:uid="{00000000-0005-0000-0000-000021940000}"/>
    <cellStyle name="Normal 2 7 4 9" xfId="38211" xr:uid="{00000000-0005-0000-0000-000022940000}"/>
    <cellStyle name="Normal 2 7 5" xfId="38212" xr:uid="{00000000-0005-0000-0000-000023940000}"/>
    <cellStyle name="Normal 2 7 5 10" xfId="38213" xr:uid="{00000000-0005-0000-0000-000024940000}"/>
    <cellStyle name="Normal 2 7 5 11" xfId="38214" xr:uid="{00000000-0005-0000-0000-000025940000}"/>
    <cellStyle name="Normal 2 7 5 12" xfId="38215" xr:uid="{00000000-0005-0000-0000-000026940000}"/>
    <cellStyle name="Normal 2 7 5 13" xfId="38216" xr:uid="{00000000-0005-0000-0000-000027940000}"/>
    <cellStyle name="Normal 2 7 5 2" xfId="38217" xr:uid="{00000000-0005-0000-0000-000028940000}"/>
    <cellStyle name="Normal 2 7 5 2 10" xfId="38218" xr:uid="{00000000-0005-0000-0000-000029940000}"/>
    <cellStyle name="Normal 2 7 5 2 11" xfId="38219" xr:uid="{00000000-0005-0000-0000-00002A940000}"/>
    <cellStyle name="Normal 2 7 5 2 2" xfId="38220" xr:uid="{00000000-0005-0000-0000-00002B940000}"/>
    <cellStyle name="Normal 2 7 5 2 2 10" xfId="38221" xr:uid="{00000000-0005-0000-0000-00002C940000}"/>
    <cellStyle name="Normal 2 7 5 2 2 2" xfId="38222" xr:uid="{00000000-0005-0000-0000-00002D940000}"/>
    <cellStyle name="Normal 2 7 5 2 2 2 2" xfId="38223" xr:uid="{00000000-0005-0000-0000-00002E940000}"/>
    <cellStyle name="Normal 2 7 5 2 2 2 2 2" xfId="38224" xr:uid="{00000000-0005-0000-0000-00002F940000}"/>
    <cellStyle name="Normal 2 7 5 2 2 2 2 3" xfId="38225" xr:uid="{00000000-0005-0000-0000-000030940000}"/>
    <cellStyle name="Normal 2 7 5 2 2 2 2 4" xfId="38226" xr:uid="{00000000-0005-0000-0000-000031940000}"/>
    <cellStyle name="Normal 2 7 5 2 2 2 2 5" xfId="38227" xr:uid="{00000000-0005-0000-0000-000032940000}"/>
    <cellStyle name="Normal 2 7 5 2 2 2 3" xfId="38228" xr:uid="{00000000-0005-0000-0000-000033940000}"/>
    <cellStyle name="Normal 2 7 5 2 2 2 4" xfId="38229" xr:uid="{00000000-0005-0000-0000-000034940000}"/>
    <cellStyle name="Normal 2 7 5 2 2 2 5" xfId="38230" xr:uid="{00000000-0005-0000-0000-000035940000}"/>
    <cellStyle name="Normal 2 7 5 2 2 2 6" xfId="38231" xr:uid="{00000000-0005-0000-0000-000036940000}"/>
    <cellStyle name="Normal 2 7 5 2 2 2 7" xfId="38232" xr:uid="{00000000-0005-0000-0000-000037940000}"/>
    <cellStyle name="Normal 2 7 5 2 2 2 8" xfId="38233" xr:uid="{00000000-0005-0000-0000-000038940000}"/>
    <cellStyle name="Normal 2 7 5 2 2 3" xfId="38234" xr:uid="{00000000-0005-0000-0000-000039940000}"/>
    <cellStyle name="Normal 2 7 5 2 2 3 2" xfId="38235" xr:uid="{00000000-0005-0000-0000-00003A940000}"/>
    <cellStyle name="Normal 2 7 5 2 2 3 2 2" xfId="38236" xr:uid="{00000000-0005-0000-0000-00003B940000}"/>
    <cellStyle name="Normal 2 7 5 2 2 3 2 3" xfId="38237" xr:uid="{00000000-0005-0000-0000-00003C940000}"/>
    <cellStyle name="Normal 2 7 5 2 2 3 2 4" xfId="38238" xr:uid="{00000000-0005-0000-0000-00003D940000}"/>
    <cellStyle name="Normal 2 7 5 2 2 3 2 5" xfId="38239" xr:uid="{00000000-0005-0000-0000-00003E940000}"/>
    <cellStyle name="Normal 2 7 5 2 2 3 3" xfId="38240" xr:uid="{00000000-0005-0000-0000-00003F940000}"/>
    <cellStyle name="Normal 2 7 5 2 2 3 4" xfId="38241" xr:uid="{00000000-0005-0000-0000-000040940000}"/>
    <cellStyle name="Normal 2 7 5 2 2 3 5" xfId="38242" xr:uid="{00000000-0005-0000-0000-000041940000}"/>
    <cellStyle name="Normal 2 7 5 2 2 3 6" xfId="38243" xr:uid="{00000000-0005-0000-0000-000042940000}"/>
    <cellStyle name="Normal 2 7 5 2 2 3 7" xfId="38244" xr:uid="{00000000-0005-0000-0000-000043940000}"/>
    <cellStyle name="Normal 2 7 5 2 2 3 8" xfId="38245" xr:uid="{00000000-0005-0000-0000-000044940000}"/>
    <cellStyle name="Normal 2 7 5 2 2 4" xfId="38246" xr:uid="{00000000-0005-0000-0000-000045940000}"/>
    <cellStyle name="Normal 2 7 5 2 2 4 2" xfId="38247" xr:uid="{00000000-0005-0000-0000-000046940000}"/>
    <cellStyle name="Normal 2 7 5 2 2 4 3" xfId="38248" xr:uid="{00000000-0005-0000-0000-000047940000}"/>
    <cellStyle name="Normal 2 7 5 2 2 4 4" xfId="38249" xr:uid="{00000000-0005-0000-0000-000048940000}"/>
    <cellStyle name="Normal 2 7 5 2 2 4 5" xfId="38250" xr:uid="{00000000-0005-0000-0000-000049940000}"/>
    <cellStyle name="Normal 2 7 5 2 2 5" xfId="38251" xr:uid="{00000000-0005-0000-0000-00004A940000}"/>
    <cellStyle name="Normal 2 7 5 2 2 6" xfId="38252" xr:uid="{00000000-0005-0000-0000-00004B940000}"/>
    <cellStyle name="Normal 2 7 5 2 2 7" xfId="38253" xr:uid="{00000000-0005-0000-0000-00004C940000}"/>
    <cellStyle name="Normal 2 7 5 2 2 8" xfId="38254" xr:uid="{00000000-0005-0000-0000-00004D940000}"/>
    <cellStyle name="Normal 2 7 5 2 2 9" xfId="38255" xr:uid="{00000000-0005-0000-0000-00004E940000}"/>
    <cellStyle name="Normal 2 7 5 2 3" xfId="38256" xr:uid="{00000000-0005-0000-0000-00004F940000}"/>
    <cellStyle name="Normal 2 7 5 2 3 2" xfId="38257" xr:uid="{00000000-0005-0000-0000-000050940000}"/>
    <cellStyle name="Normal 2 7 5 2 3 2 2" xfId="38258" xr:uid="{00000000-0005-0000-0000-000051940000}"/>
    <cellStyle name="Normal 2 7 5 2 3 2 3" xfId="38259" xr:uid="{00000000-0005-0000-0000-000052940000}"/>
    <cellStyle name="Normal 2 7 5 2 3 2 4" xfId="38260" xr:uid="{00000000-0005-0000-0000-000053940000}"/>
    <cellStyle name="Normal 2 7 5 2 3 2 5" xfId="38261" xr:uid="{00000000-0005-0000-0000-000054940000}"/>
    <cellStyle name="Normal 2 7 5 2 3 3" xfId="38262" xr:uid="{00000000-0005-0000-0000-000055940000}"/>
    <cellStyle name="Normal 2 7 5 2 3 4" xfId="38263" xr:uid="{00000000-0005-0000-0000-000056940000}"/>
    <cellStyle name="Normal 2 7 5 2 3 5" xfId="38264" xr:uid="{00000000-0005-0000-0000-000057940000}"/>
    <cellStyle name="Normal 2 7 5 2 3 6" xfId="38265" xr:uid="{00000000-0005-0000-0000-000058940000}"/>
    <cellStyle name="Normal 2 7 5 2 3 7" xfId="38266" xr:uid="{00000000-0005-0000-0000-000059940000}"/>
    <cellStyle name="Normal 2 7 5 2 3 8" xfId="38267" xr:uid="{00000000-0005-0000-0000-00005A940000}"/>
    <cellStyle name="Normal 2 7 5 2 4" xfId="38268" xr:uid="{00000000-0005-0000-0000-00005B940000}"/>
    <cellStyle name="Normal 2 7 5 2 4 2" xfId="38269" xr:uid="{00000000-0005-0000-0000-00005C940000}"/>
    <cellStyle name="Normal 2 7 5 2 4 2 2" xfId="38270" xr:uid="{00000000-0005-0000-0000-00005D940000}"/>
    <cellStyle name="Normal 2 7 5 2 4 2 3" xfId="38271" xr:uid="{00000000-0005-0000-0000-00005E940000}"/>
    <cellStyle name="Normal 2 7 5 2 4 2 4" xfId="38272" xr:uid="{00000000-0005-0000-0000-00005F940000}"/>
    <cellStyle name="Normal 2 7 5 2 4 2 5" xfId="38273" xr:uid="{00000000-0005-0000-0000-000060940000}"/>
    <cellStyle name="Normal 2 7 5 2 4 3" xfId="38274" xr:uid="{00000000-0005-0000-0000-000061940000}"/>
    <cellStyle name="Normal 2 7 5 2 4 4" xfId="38275" xr:uid="{00000000-0005-0000-0000-000062940000}"/>
    <cellStyle name="Normal 2 7 5 2 4 5" xfId="38276" xr:uid="{00000000-0005-0000-0000-000063940000}"/>
    <cellStyle name="Normal 2 7 5 2 4 6" xfId="38277" xr:uid="{00000000-0005-0000-0000-000064940000}"/>
    <cellStyle name="Normal 2 7 5 2 4 7" xfId="38278" xr:uid="{00000000-0005-0000-0000-000065940000}"/>
    <cellStyle name="Normal 2 7 5 2 4 8" xfId="38279" xr:uid="{00000000-0005-0000-0000-000066940000}"/>
    <cellStyle name="Normal 2 7 5 2 5" xfId="38280" xr:uid="{00000000-0005-0000-0000-000067940000}"/>
    <cellStyle name="Normal 2 7 5 2 5 2" xfId="38281" xr:uid="{00000000-0005-0000-0000-000068940000}"/>
    <cellStyle name="Normal 2 7 5 2 5 3" xfId="38282" xr:uid="{00000000-0005-0000-0000-000069940000}"/>
    <cellStyle name="Normal 2 7 5 2 5 4" xfId="38283" xr:uid="{00000000-0005-0000-0000-00006A940000}"/>
    <cellStyle name="Normal 2 7 5 2 5 5" xfId="38284" xr:uid="{00000000-0005-0000-0000-00006B940000}"/>
    <cellStyle name="Normal 2 7 5 2 6" xfId="38285" xr:uid="{00000000-0005-0000-0000-00006C940000}"/>
    <cellStyle name="Normal 2 7 5 2 7" xfId="38286" xr:uid="{00000000-0005-0000-0000-00006D940000}"/>
    <cellStyle name="Normal 2 7 5 2 8" xfId="38287" xr:uid="{00000000-0005-0000-0000-00006E940000}"/>
    <cellStyle name="Normal 2 7 5 2 9" xfId="38288" xr:uid="{00000000-0005-0000-0000-00006F940000}"/>
    <cellStyle name="Normal 2 7 5 3" xfId="38289" xr:uid="{00000000-0005-0000-0000-000070940000}"/>
    <cellStyle name="Normal 2 7 5 3 10" xfId="38290" xr:uid="{00000000-0005-0000-0000-000071940000}"/>
    <cellStyle name="Normal 2 7 5 3 11" xfId="38291" xr:uid="{00000000-0005-0000-0000-000072940000}"/>
    <cellStyle name="Normal 2 7 5 3 2" xfId="38292" xr:uid="{00000000-0005-0000-0000-000073940000}"/>
    <cellStyle name="Normal 2 7 5 3 2 10" xfId="38293" xr:uid="{00000000-0005-0000-0000-000074940000}"/>
    <cellStyle name="Normal 2 7 5 3 2 2" xfId="38294" xr:uid="{00000000-0005-0000-0000-000075940000}"/>
    <cellStyle name="Normal 2 7 5 3 2 2 2" xfId="38295" xr:uid="{00000000-0005-0000-0000-000076940000}"/>
    <cellStyle name="Normal 2 7 5 3 2 2 2 2" xfId="38296" xr:uid="{00000000-0005-0000-0000-000077940000}"/>
    <cellStyle name="Normal 2 7 5 3 2 2 2 3" xfId="38297" xr:uid="{00000000-0005-0000-0000-000078940000}"/>
    <cellStyle name="Normal 2 7 5 3 2 2 2 4" xfId="38298" xr:uid="{00000000-0005-0000-0000-000079940000}"/>
    <cellStyle name="Normal 2 7 5 3 2 2 2 5" xfId="38299" xr:uid="{00000000-0005-0000-0000-00007A940000}"/>
    <cellStyle name="Normal 2 7 5 3 2 2 3" xfId="38300" xr:uid="{00000000-0005-0000-0000-00007B940000}"/>
    <cellStyle name="Normal 2 7 5 3 2 2 4" xfId="38301" xr:uid="{00000000-0005-0000-0000-00007C940000}"/>
    <cellStyle name="Normal 2 7 5 3 2 2 5" xfId="38302" xr:uid="{00000000-0005-0000-0000-00007D940000}"/>
    <cellStyle name="Normal 2 7 5 3 2 2 6" xfId="38303" xr:uid="{00000000-0005-0000-0000-00007E940000}"/>
    <cellStyle name="Normal 2 7 5 3 2 2 7" xfId="38304" xr:uid="{00000000-0005-0000-0000-00007F940000}"/>
    <cellStyle name="Normal 2 7 5 3 2 2 8" xfId="38305" xr:uid="{00000000-0005-0000-0000-000080940000}"/>
    <cellStyle name="Normal 2 7 5 3 2 3" xfId="38306" xr:uid="{00000000-0005-0000-0000-000081940000}"/>
    <cellStyle name="Normal 2 7 5 3 2 3 2" xfId="38307" xr:uid="{00000000-0005-0000-0000-000082940000}"/>
    <cellStyle name="Normal 2 7 5 3 2 3 2 2" xfId="38308" xr:uid="{00000000-0005-0000-0000-000083940000}"/>
    <cellStyle name="Normal 2 7 5 3 2 3 2 3" xfId="38309" xr:uid="{00000000-0005-0000-0000-000084940000}"/>
    <cellStyle name="Normal 2 7 5 3 2 3 2 4" xfId="38310" xr:uid="{00000000-0005-0000-0000-000085940000}"/>
    <cellStyle name="Normal 2 7 5 3 2 3 2 5" xfId="38311" xr:uid="{00000000-0005-0000-0000-000086940000}"/>
    <cellStyle name="Normal 2 7 5 3 2 3 3" xfId="38312" xr:uid="{00000000-0005-0000-0000-000087940000}"/>
    <cellStyle name="Normal 2 7 5 3 2 3 4" xfId="38313" xr:uid="{00000000-0005-0000-0000-000088940000}"/>
    <cellStyle name="Normal 2 7 5 3 2 3 5" xfId="38314" xr:uid="{00000000-0005-0000-0000-000089940000}"/>
    <cellStyle name="Normal 2 7 5 3 2 3 6" xfId="38315" xr:uid="{00000000-0005-0000-0000-00008A940000}"/>
    <cellStyle name="Normal 2 7 5 3 2 3 7" xfId="38316" xr:uid="{00000000-0005-0000-0000-00008B940000}"/>
    <cellStyle name="Normal 2 7 5 3 2 3 8" xfId="38317" xr:uid="{00000000-0005-0000-0000-00008C940000}"/>
    <cellStyle name="Normal 2 7 5 3 2 4" xfId="38318" xr:uid="{00000000-0005-0000-0000-00008D940000}"/>
    <cellStyle name="Normal 2 7 5 3 2 4 2" xfId="38319" xr:uid="{00000000-0005-0000-0000-00008E940000}"/>
    <cellStyle name="Normal 2 7 5 3 2 4 3" xfId="38320" xr:uid="{00000000-0005-0000-0000-00008F940000}"/>
    <cellStyle name="Normal 2 7 5 3 2 4 4" xfId="38321" xr:uid="{00000000-0005-0000-0000-000090940000}"/>
    <cellStyle name="Normal 2 7 5 3 2 4 5" xfId="38322" xr:uid="{00000000-0005-0000-0000-000091940000}"/>
    <cellStyle name="Normal 2 7 5 3 2 5" xfId="38323" xr:uid="{00000000-0005-0000-0000-000092940000}"/>
    <cellStyle name="Normal 2 7 5 3 2 6" xfId="38324" xr:uid="{00000000-0005-0000-0000-000093940000}"/>
    <cellStyle name="Normal 2 7 5 3 2 7" xfId="38325" xr:uid="{00000000-0005-0000-0000-000094940000}"/>
    <cellStyle name="Normal 2 7 5 3 2 8" xfId="38326" xr:uid="{00000000-0005-0000-0000-000095940000}"/>
    <cellStyle name="Normal 2 7 5 3 2 9" xfId="38327" xr:uid="{00000000-0005-0000-0000-000096940000}"/>
    <cellStyle name="Normal 2 7 5 3 3" xfId="38328" xr:uid="{00000000-0005-0000-0000-000097940000}"/>
    <cellStyle name="Normal 2 7 5 3 3 2" xfId="38329" xr:uid="{00000000-0005-0000-0000-000098940000}"/>
    <cellStyle name="Normal 2 7 5 3 3 2 2" xfId="38330" xr:uid="{00000000-0005-0000-0000-000099940000}"/>
    <cellStyle name="Normal 2 7 5 3 3 2 3" xfId="38331" xr:uid="{00000000-0005-0000-0000-00009A940000}"/>
    <cellStyle name="Normal 2 7 5 3 3 2 4" xfId="38332" xr:uid="{00000000-0005-0000-0000-00009B940000}"/>
    <cellStyle name="Normal 2 7 5 3 3 2 5" xfId="38333" xr:uid="{00000000-0005-0000-0000-00009C940000}"/>
    <cellStyle name="Normal 2 7 5 3 3 3" xfId="38334" xr:uid="{00000000-0005-0000-0000-00009D940000}"/>
    <cellStyle name="Normal 2 7 5 3 3 4" xfId="38335" xr:uid="{00000000-0005-0000-0000-00009E940000}"/>
    <cellStyle name="Normal 2 7 5 3 3 5" xfId="38336" xr:uid="{00000000-0005-0000-0000-00009F940000}"/>
    <cellStyle name="Normal 2 7 5 3 3 6" xfId="38337" xr:uid="{00000000-0005-0000-0000-0000A0940000}"/>
    <cellStyle name="Normal 2 7 5 3 3 7" xfId="38338" xr:uid="{00000000-0005-0000-0000-0000A1940000}"/>
    <cellStyle name="Normal 2 7 5 3 3 8" xfId="38339" xr:uid="{00000000-0005-0000-0000-0000A2940000}"/>
    <cellStyle name="Normal 2 7 5 3 4" xfId="38340" xr:uid="{00000000-0005-0000-0000-0000A3940000}"/>
    <cellStyle name="Normal 2 7 5 3 4 2" xfId="38341" xr:uid="{00000000-0005-0000-0000-0000A4940000}"/>
    <cellStyle name="Normal 2 7 5 3 4 2 2" xfId="38342" xr:uid="{00000000-0005-0000-0000-0000A5940000}"/>
    <cellStyle name="Normal 2 7 5 3 4 2 3" xfId="38343" xr:uid="{00000000-0005-0000-0000-0000A6940000}"/>
    <cellStyle name="Normal 2 7 5 3 4 2 4" xfId="38344" xr:uid="{00000000-0005-0000-0000-0000A7940000}"/>
    <cellStyle name="Normal 2 7 5 3 4 2 5" xfId="38345" xr:uid="{00000000-0005-0000-0000-0000A8940000}"/>
    <cellStyle name="Normal 2 7 5 3 4 3" xfId="38346" xr:uid="{00000000-0005-0000-0000-0000A9940000}"/>
    <cellStyle name="Normal 2 7 5 3 4 4" xfId="38347" xr:uid="{00000000-0005-0000-0000-0000AA940000}"/>
    <cellStyle name="Normal 2 7 5 3 4 5" xfId="38348" xr:uid="{00000000-0005-0000-0000-0000AB940000}"/>
    <cellStyle name="Normal 2 7 5 3 4 6" xfId="38349" xr:uid="{00000000-0005-0000-0000-0000AC940000}"/>
    <cellStyle name="Normal 2 7 5 3 4 7" xfId="38350" xr:uid="{00000000-0005-0000-0000-0000AD940000}"/>
    <cellStyle name="Normal 2 7 5 3 4 8" xfId="38351" xr:uid="{00000000-0005-0000-0000-0000AE940000}"/>
    <cellStyle name="Normal 2 7 5 3 5" xfId="38352" xr:uid="{00000000-0005-0000-0000-0000AF940000}"/>
    <cellStyle name="Normal 2 7 5 3 5 2" xfId="38353" xr:uid="{00000000-0005-0000-0000-0000B0940000}"/>
    <cellStyle name="Normal 2 7 5 3 5 3" xfId="38354" xr:uid="{00000000-0005-0000-0000-0000B1940000}"/>
    <cellStyle name="Normal 2 7 5 3 5 4" xfId="38355" xr:uid="{00000000-0005-0000-0000-0000B2940000}"/>
    <cellStyle name="Normal 2 7 5 3 5 5" xfId="38356" xr:uid="{00000000-0005-0000-0000-0000B3940000}"/>
    <cellStyle name="Normal 2 7 5 3 6" xfId="38357" xr:uid="{00000000-0005-0000-0000-0000B4940000}"/>
    <cellStyle name="Normal 2 7 5 3 7" xfId="38358" xr:uid="{00000000-0005-0000-0000-0000B5940000}"/>
    <cellStyle name="Normal 2 7 5 3 8" xfId="38359" xr:uid="{00000000-0005-0000-0000-0000B6940000}"/>
    <cellStyle name="Normal 2 7 5 3 9" xfId="38360" xr:uid="{00000000-0005-0000-0000-0000B7940000}"/>
    <cellStyle name="Normal 2 7 5 4" xfId="38361" xr:uid="{00000000-0005-0000-0000-0000B8940000}"/>
    <cellStyle name="Normal 2 7 5 4 10" xfId="38362" xr:uid="{00000000-0005-0000-0000-0000B9940000}"/>
    <cellStyle name="Normal 2 7 5 4 2" xfId="38363" xr:uid="{00000000-0005-0000-0000-0000BA940000}"/>
    <cellStyle name="Normal 2 7 5 4 2 2" xfId="38364" xr:uid="{00000000-0005-0000-0000-0000BB940000}"/>
    <cellStyle name="Normal 2 7 5 4 2 2 2" xfId="38365" xr:uid="{00000000-0005-0000-0000-0000BC940000}"/>
    <cellStyle name="Normal 2 7 5 4 2 2 3" xfId="38366" xr:uid="{00000000-0005-0000-0000-0000BD940000}"/>
    <cellStyle name="Normal 2 7 5 4 2 2 4" xfId="38367" xr:uid="{00000000-0005-0000-0000-0000BE940000}"/>
    <cellStyle name="Normal 2 7 5 4 2 2 5" xfId="38368" xr:uid="{00000000-0005-0000-0000-0000BF940000}"/>
    <cellStyle name="Normal 2 7 5 4 2 3" xfId="38369" xr:uid="{00000000-0005-0000-0000-0000C0940000}"/>
    <cellStyle name="Normal 2 7 5 4 2 4" xfId="38370" xr:uid="{00000000-0005-0000-0000-0000C1940000}"/>
    <cellStyle name="Normal 2 7 5 4 2 5" xfId="38371" xr:uid="{00000000-0005-0000-0000-0000C2940000}"/>
    <cellStyle name="Normal 2 7 5 4 2 6" xfId="38372" xr:uid="{00000000-0005-0000-0000-0000C3940000}"/>
    <cellStyle name="Normal 2 7 5 4 2 7" xfId="38373" xr:uid="{00000000-0005-0000-0000-0000C4940000}"/>
    <cellStyle name="Normal 2 7 5 4 2 8" xfId="38374" xr:uid="{00000000-0005-0000-0000-0000C5940000}"/>
    <cellStyle name="Normal 2 7 5 4 3" xfId="38375" xr:uid="{00000000-0005-0000-0000-0000C6940000}"/>
    <cellStyle name="Normal 2 7 5 4 3 2" xfId="38376" xr:uid="{00000000-0005-0000-0000-0000C7940000}"/>
    <cellStyle name="Normal 2 7 5 4 3 2 2" xfId="38377" xr:uid="{00000000-0005-0000-0000-0000C8940000}"/>
    <cellStyle name="Normal 2 7 5 4 3 2 3" xfId="38378" xr:uid="{00000000-0005-0000-0000-0000C9940000}"/>
    <cellStyle name="Normal 2 7 5 4 3 2 4" xfId="38379" xr:uid="{00000000-0005-0000-0000-0000CA940000}"/>
    <cellStyle name="Normal 2 7 5 4 3 2 5" xfId="38380" xr:uid="{00000000-0005-0000-0000-0000CB940000}"/>
    <cellStyle name="Normal 2 7 5 4 3 3" xfId="38381" xr:uid="{00000000-0005-0000-0000-0000CC940000}"/>
    <cellStyle name="Normal 2 7 5 4 3 4" xfId="38382" xr:uid="{00000000-0005-0000-0000-0000CD940000}"/>
    <cellStyle name="Normal 2 7 5 4 3 5" xfId="38383" xr:uid="{00000000-0005-0000-0000-0000CE940000}"/>
    <cellStyle name="Normal 2 7 5 4 3 6" xfId="38384" xr:uid="{00000000-0005-0000-0000-0000CF940000}"/>
    <cellStyle name="Normal 2 7 5 4 3 7" xfId="38385" xr:uid="{00000000-0005-0000-0000-0000D0940000}"/>
    <cellStyle name="Normal 2 7 5 4 3 8" xfId="38386" xr:uid="{00000000-0005-0000-0000-0000D1940000}"/>
    <cellStyle name="Normal 2 7 5 4 4" xfId="38387" xr:uid="{00000000-0005-0000-0000-0000D2940000}"/>
    <cellStyle name="Normal 2 7 5 4 4 2" xfId="38388" xr:uid="{00000000-0005-0000-0000-0000D3940000}"/>
    <cellStyle name="Normal 2 7 5 4 4 3" xfId="38389" xr:uid="{00000000-0005-0000-0000-0000D4940000}"/>
    <cellStyle name="Normal 2 7 5 4 4 4" xfId="38390" xr:uid="{00000000-0005-0000-0000-0000D5940000}"/>
    <cellStyle name="Normal 2 7 5 4 4 5" xfId="38391" xr:uid="{00000000-0005-0000-0000-0000D6940000}"/>
    <cellStyle name="Normal 2 7 5 4 5" xfId="38392" xr:uid="{00000000-0005-0000-0000-0000D7940000}"/>
    <cellStyle name="Normal 2 7 5 4 6" xfId="38393" xr:uid="{00000000-0005-0000-0000-0000D8940000}"/>
    <cellStyle name="Normal 2 7 5 4 7" xfId="38394" xr:uid="{00000000-0005-0000-0000-0000D9940000}"/>
    <cellStyle name="Normal 2 7 5 4 8" xfId="38395" xr:uid="{00000000-0005-0000-0000-0000DA940000}"/>
    <cellStyle name="Normal 2 7 5 4 9" xfId="38396" xr:uid="{00000000-0005-0000-0000-0000DB940000}"/>
    <cellStyle name="Normal 2 7 5 5" xfId="38397" xr:uid="{00000000-0005-0000-0000-0000DC940000}"/>
    <cellStyle name="Normal 2 7 5 5 2" xfId="38398" xr:uid="{00000000-0005-0000-0000-0000DD940000}"/>
    <cellStyle name="Normal 2 7 5 5 2 2" xfId="38399" xr:uid="{00000000-0005-0000-0000-0000DE940000}"/>
    <cellStyle name="Normal 2 7 5 5 2 3" xfId="38400" xr:uid="{00000000-0005-0000-0000-0000DF940000}"/>
    <cellStyle name="Normal 2 7 5 5 2 4" xfId="38401" xr:uid="{00000000-0005-0000-0000-0000E0940000}"/>
    <cellStyle name="Normal 2 7 5 5 2 5" xfId="38402" xr:uid="{00000000-0005-0000-0000-0000E1940000}"/>
    <cellStyle name="Normal 2 7 5 5 3" xfId="38403" xr:uid="{00000000-0005-0000-0000-0000E2940000}"/>
    <cellStyle name="Normal 2 7 5 5 4" xfId="38404" xr:uid="{00000000-0005-0000-0000-0000E3940000}"/>
    <cellStyle name="Normal 2 7 5 5 5" xfId="38405" xr:uid="{00000000-0005-0000-0000-0000E4940000}"/>
    <cellStyle name="Normal 2 7 5 5 6" xfId="38406" xr:uid="{00000000-0005-0000-0000-0000E5940000}"/>
    <cellStyle name="Normal 2 7 5 5 7" xfId="38407" xr:uid="{00000000-0005-0000-0000-0000E6940000}"/>
    <cellStyle name="Normal 2 7 5 5 8" xfId="38408" xr:uid="{00000000-0005-0000-0000-0000E7940000}"/>
    <cellStyle name="Normal 2 7 5 6" xfId="38409" xr:uid="{00000000-0005-0000-0000-0000E8940000}"/>
    <cellStyle name="Normal 2 7 5 6 2" xfId="38410" xr:uid="{00000000-0005-0000-0000-0000E9940000}"/>
    <cellStyle name="Normal 2 7 5 6 2 2" xfId="38411" xr:uid="{00000000-0005-0000-0000-0000EA940000}"/>
    <cellStyle name="Normal 2 7 5 6 2 3" xfId="38412" xr:uid="{00000000-0005-0000-0000-0000EB940000}"/>
    <cellStyle name="Normal 2 7 5 6 2 4" xfId="38413" xr:uid="{00000000-0005-0000-0000-0000EC940000}"/>
    <cellStyle name="Normal 2 7 5 6 2 5" xfId="38414" xr:uid="{00000000-0005-0000-0000-0000ED940000}"/>
    <cellStyle name="Normal 2 7 5 6 3" xfId="38415" xr:uid="{00000000-0005-0000-0000-0000EE940000}"/>
    <cellStyle name="Normal 2 7 5 6 4" xfId="38416" xr:uid="{00000000-0005-0000-0000-0000EF940000}"/>
    <cellStyle name="Normal 2 7 5 6 5" xfId="38417" xr:uid="{00000000-0005-0000-0000-0000F0940000}"/>
    <cellStyle name="Normal 2 7 5 6 6" xfId="38418" xr:uid="{00000000-0005-0000-0000-0000F1940000}"/>
    <cellStyle name="Normal 2 7 5 6 7" xfId="38419" xr:uid="{00000000-0005-0000-0000-0000F2940000}"/>
    <cellStyle name="Normal 2 7 5 6 8" xfId="38420" xr:uid="{00000000-0005-0000-0000-0000F3940000}"/>
    <cellStyle name="Normal 2 7 5 7" xfId="38421" xr:uid="{00000000-0005-0000-0000-0000F4940000}"/>
    <cellStyle name="Normal 2 7 5 7 2" xfId="38422" xr:uid="{00000000-0005-0000-0000-0000F5940000}"/>
    <cellStyle name="Normal 2 7 5 7 3" xfId="38423" xr:uid="{00000000-0005-0000-0000-0000F6940000}"/>
    <cellStyle name="Normal 2 7 5 7 4" xfId="38424" xr:uid="{00000000-0005-0000-0000-0000F7940000}"/>
    <cellStyle name="Normal 2 7 5 7 5" xfId="38425" xr:uid="{00000000-0005-0000-0000-0000F8940000}"/>
    <cellStyle name="Normal 2 7 5 8" xfId="38426" xr:uid="{00000000-0005-0000-0000-0000F9940000}"/>
    <cellStyle name="Normal 2 7 5 9" xfId="38427" xr:uid="{00000000-0005-0000-0000-0000FA940000}"/>
    <cellStyle name="Normal 2 7 6" xfId="38428" xr:uid="{00000000-0005-0000-0000-0000FB940000}"/>
    <cellStyle name="Normal 2 7 6 10" xfId="38429" xr:uid="{00000000-0005-0000-0000-0000FC940000}"/>
    <cellStyle name="Normal 2 7 6 11" xfId="38430" xr:uid="{00000000-0005-0000-0000-0000FD940000}"/>
    <cellStyle name="Normal 2 7 6 12" xfId="38431" xr:uid="{00000000-0005-0000-0000-0000FE940000}"/>
    <cellStyle name="Normal 2 7 6 13" xfId="38432" xr:uid="{00000000-0005-0000-0000-0000FF940000}"/>
    <cellStyle name="Normal 2 7 6 2" xfId="38433" xr:uid="{00000000-0005-0000-0000-000000950000}"/>
    <cellStyle name="Normal 2 7 6 2 10" xfId="38434" xr:uid="{00000000-0005-0000-0000-000001950000}"/>
    <cellStyle name="Normal 2 7 6 2 11" xfId="38435" xr:uid="{00000000-0005-0000-0000-000002950000}"/>
    <cellStyle name="Normal 2 7 6 2 2" xfId="38436" xr:uid="{00000000-0005-0000-0000-000003950000}"/>
    <cellStyle name="Normal 2 7 6 2 2 10" xfId="38437" xr:uid="{00000000-0005-0000-0000-000004950000}"/>
    <cellStyle name="Normal 2 7 6 2 2 2" xfId="38438" xr:uid="{00000000-0005-0000-0000-000005950000}"/>
    <cellStyle name="Normal 2 7 6 2 2 2 2" xfId="38439" xr:uid="{00000000-0005-0000-0000-000006950000}"/>
    <cellStyle name="Normal 2 7 6 2 2 2 2 2" xfId="38440" xr:uid="{00000000-0005-0000-0000-000007950000}"/>
    <cellStyle name="Normal 2 7 6 2 2 2 2 3" xfId="38441" xr:uid="{00000000-0005-0000-0000-000008950000}"/>
    <cellStyle name="Normal 2 7 6 2 2 2 2 4" xfId="38442" xr:uid="{00000000-0005-0000-0000-000009950000}"/>
    <cellStyle name="Normal 2 7 6 2 2 2 2 5" xfId="38443" xr:uid="{00000000-0005-0000-0000-00000A950000}"/>
    <cellStyle name="Normal 2 7 6 2 2 2 3" xfId="38444" xr:uid="{00000000-0005-0000-0000-00000B950000}"/>
    <cellStyle name="Normal 2 7 6 2 2 2 4" xfId="38445" xr:uid="{00000000-0005-0000-0000-00000C950000}"/>
    <cellStyle name="Normal 2 7 6 2 2 2 5" xfId="38446" xr:uid="{00000000-0005-0000-0000-00000D950000}"/>
    <cellStyle name="Normal 2 7 6 2 2 2 6" xfId="38447" xr:uid="{00000000-0005-0000-0000-00000E950000}"/>
    <cellStyle name="Normal 2 7 6 2 2 2 7" xfId="38448" xr:uid="{00000000-0005-0000-0000-00000F950000}"/>
    <cellStyle name="Normal 2 7 6 2 2 2 8" xfId="38449" xr:uid="{00000000-0005-0000-0000-000010950000}"/>
    <cellStyle name="Normal 2 7 6 2 2 3" xfId="38450" xr:uid="{00000000-0005-0000-0000-000011950000}"/>
    <cellStyle name="Normal 2 7 6 2 2 3 2" xfId="38451" xr:uid="{00000000-0005-0000-0000-000012950000}"/>
    <cellStyle name="Normal 2 7 6 2 2 3 2 2" xfId="38452" xr:uid="{00000000-0005-0000-0000-000013950000}"/>
    <cellStyle name="Normal 2 7 6 2 2 3 2 3" xfId="38453" xr:uid="{00000000-0005-0000-0000-000014950000}"/>
    <cellStyle name="Normal 2 7 6 2 2 3 2 4" xfId="38454" xr:uid="{00000000-0005-0000-0000-000015950000}"/>
    <cellStyle name="Normal 2 7 6 2 2 3 2 5" xfId="38455" xr:uid="{00000000-0005-0000-0000-000016950000}"/>
    <cellStyle name="Normal 2 7 6 2 2 3 3" xfId="38456" xr:uid="{00000000-0005-0000-0000-000017950000}"/>
    <cellStyle name="Normal 2 7 6 2 2 3 4" xfId="38457" xr:uid="{00000000-0005-0000-0000-000018950000}"/>
    <cellStyle name="Normal 2 7 6 2 2 3 5" xfId="38458" xr:uid="{00000000-0005-0000-0000-000019950000}"/>
    <cellStyle name="Normal 2 7 6 2 2 3 6" xfId="38459" xr:uid="{00000000-0005-0000-0000-00001A950000}"/>
    <cellStyle name="Normal 2 7 6 2 2 3 7" xfId="38460" xr:uid="{00000000-0005-0000-0000-00001B950000}"/>
    <cellStyle name="Normal 2 7 6 2 2 3 8" xfId="38461" xr:uid="{00000000-0005-0000-0000-00001C950000}"/>
    <cellStyle name="Normal 2 7 6 2 2 4" xfId="38462" xr:uid="{00000000-0005-0000-0000-00001D950000}"/>
    <cellStyle name="Normal 2 7 6 2 2 4 2" xfId="38463" xr:uid="{00000000-0005-0000-0000-00001E950000}"/>
    <cellStyle name="Normal 2 7 6 2 2 4 3" xfId="38464" xr:uid="{00000000-0005-0000-0000-00001F950000}"/>
    <cellStyle name="Normal 2 7 6 2 2 4 4" xfId="38465" xr:uid="{00000000-0005-0000-0000-000020950000}"/>
    <cellStyle name="Normal 2 7 6 2 2 4 5" xfId="38466" xr:uid="{00000000-0005-0000-0000-000021950000}"/>
    <cellStyle name="Normal 2 7 6 2 2 5" xfId="38467" xr:uid="{00000000-0005-0000-0000-000022950000}"/>
    <cellStyle name="Normal 2 7 6 2 2 6" xfId="38468" xr:uid="{00000000-0005-0000-0000-000023950000}"/>
    <cellStyle name="Normal 2 7 6 2 2 7" xfId="38469" xr:uid="{00000000-0005-0000-0000-000024950000}"/>
    <cellStyle name="Normal 2 7 6 2 2 8" xfId="38470" xr:uid="{00000000-0005-0000-0000-000025950000}"/>
    <cellStyle name="Normal 2 7 6 2 2 9" xfId="38471" xr:uid="{00000000-0005-0000-0000-000026950000}"/>
    <cellStyle name="Normal 2 7 6 2 3" xfId="38472" xr:uid="{00000000-0005-0000-0000-000027950000}"/>
    <cellStyle name="Normal 2 7 6 2 3 2" xfId="38473" xr:uid="{00000000-0005-0000-0000-000028950000}"/>
    <cellStyle name="Normal 2 7 6 2 3 2 2" xfId="38474" xr:uid="{00000000-0005-0000-0000-000029950000}"/>
    <cellStyle name="Normal 2 7 6 2 3 2 3" xfId="38475" xr:uid="{00000000-0005-0000-0000-00002A950000}"/>
    <cellStyle name="Normal 2 7 6 2 3 2 4" xfId="38476" xr:uid="{00000000-0005-0000-0000-00002B950000}"/>
    <cellStyle name="Normal 2 7 6 2 3 2 5" xfId="38477" xr:uid="{00000000-0005-0000-0000-00002C950000}"/>
    <cellStyle name="Normal 2 7 6 2 3 3" xfId="38478" xr:uid="{00000000-0005-0000-0000-00002D950000}"/>
    <cellStyle name="Normal 2 7 6 2 3 4" xfId="38479" xr:uid="{00000000-0005-0000-0000-00002E950000}"/>
    <cellStyle name="Normal 2 7 6 2 3 5" xfId="38480" xr:uid="{00000000-0005-0000-0000-00002F950000}"/>
    <cellStyle name="Normal 2 7 6 2 3 6" xfId="38481" xr:uid="{00000000-0005-0000-0000-000030950000}"/>
    <cellStyle name="Normal 2 7 6 2 3 7" xfId="38482" xr:uid="{00000000-0005-0000-0000-000031950000}"/>
    <cellStyle name="Normal 2 7 6 2 3 8" xfId="38483" xr:uid="{00000000-0005-0000-0000-000032950000}"/>
    <cellStyle name="Normal 2 7 6 2 4" xfId="38484" xr:uid="{00000000-0005-0000-0000-000033950000}"/>
    <cellStyle name="Normal 2 7 6 2 4 2" xfId="38485" xr:uid="{00000000-0005-0000-0000-000034950000}"/>
    <cellStyle name="Normal 2 7 6 2 4 2 2" xfId="38486" xr:uid="{00000000-0005-0000-0000-000035950000}"/>
    <cellStyle name="Normal 2 7 6 2 4 2 3" xfId="38487" xr:uid="{00000000-0005-0000-0000-000036950000}"/>
    <cellStyle name="Normal 2 7 6 2 4 2 4" xfId="38488" xr:uid="{00000000-0005-0000-0000-000037950000}"/>
    <cellStyle name="Normal 2 7 6 2 4 2 5" xfId="38489" xr:uid="{00000000-0005-0000-0000-000038950000}"/>
    <cellStyle name="Normal 2 7 6 2 4 3" xfId="38490" xr:uid="{00000000-0005-0000-0000-000039950000}"/>
    <cellStyle name="Normal 2 7 6 2 4 4" xfId="38491" xr:uid="{00000000-0005-0000-0000-00003A950000}"/>
    <cellStyle name="Normal 2 7 6 2 4 5" xfId="38492" xr:uid="{00000000-0005-0000-0000-00003B950000}"/>
    <cellStyle name="Normal 2 7 6 2 4 6" xfId="38493" xr:uid="{00000000-0005-0000-0000-00003C950000}"/>
    <cellStyle name="Normal 2 7 6 2 4 7" xfId="38494" xr:uid="{00000000-0005-0000-0000-00003D950000}"/>
    <cellStyle name="Normal 2 7 6 2 4 8" xfId="38495" xr:uid="{00000000-0005-0000-0000-00003E950000}"/>
    <cellStyle name="Normal 2 7 6 2 5" xfId="38496" xr:uid="{00000000-0005-0000-0000-00003F950000}"/>
    <cellStyle name="Normal 2 7 6 2 5 2" xfId="38497" xr:uid="{00000000-0005-0000-0000-000040950000}"/>
    <cellStyle name="Normal 2 7 6 2 5 3" xfId="38498" xr:uid="{00000000-0005-0000-0000-000041950000}"/>
    <cellStyle name="Normal 2 7 6 2 5 4" xfId="38499" xr:uid="{00000000-0005-0000-0000-000042950000}"/>
    <cellStyle name="Normal 2 7 6 2 5 5" xfId="38500" xr:uid="{00000000-0005-0000-0000-000043950000}"/>
    <cellStyle name="Normal 2 7 6 2 6" xfId="38501" xr:uid="{00000000-0005-0000-0000-000044950000}"/>
    <cellStyle name="Normal 2 7 6 2 7" xfId="38502" xr:uid="{00000000-0005-0000-0000-000045950000}"/>
    <cellStyle name="Normal 2 7 6 2 8" xfId="38503" xr:uid="{00000000-0005-0000-0000-000046950000}"/>
    <cellStyle name="Normal 2 7 6 2 9" xfId="38504" xr:uid="{00000000-0005-0000-0000-000047950000}"/>
    <cellStyle name="Normal 2 7 6 3" xfId="38505" xr:uid="{00000000-0005-0000-0000-000048950000}"/>
    <cellStyle name="Normal 2 7 6 3 10" xfId="38506" xr:uid="{00000000-0005-0000-0000-000049950000}"/>
    <cellStyle name="Normal 2 7 6 3 11" xfId="38507" xr:uid="{00000000-0005-0000-0000-00004A950000}"/>
    <cellStyle name="Normal 2 7 6 3 2" xfId="38508" xr:uid="{00000000-0005-0000-0000-00004B950000}"/>
    <cellStyle name="Normal 2 7 6 3 2 10" xfId="38509" xr:uid="{00000000-0005-0000-0000-00004C950000}"/>
    <cellStyle name="Normal 2 7 6 3 2 2" xfId="38510" xr:uid="{00000000-0005-0000-0000-00004D950000}"/>
    <cellStyle name="Normal 2 7 6 3 2 2 2" xfId="38511" xr:uid="{00000000-0005-0000-0000-00004E950000}"/>
    <cellStyle name="Normal 2 7 6 3 2 2 2 2" xfId="38512" xr:uid="{00000000-0005-0000-0000-00004F950000}"/>
    <cellStyle name="Normal 2 7 6 3 2 2 2 3" xfId="38513" xr:uid="{00000000-0005-0000-0000-000050950000}"/>
    <cellStyle name="Normal 2 7 6 3 2 2 2 4" xfId="38514" xr:uid="{00000000-0005-0000-0000-000051950000}"/>
    <cellStyle name="Normal 2 7 6 3 2 2 2 5" xfId="38515" xr:uid="{00000000-0005-0000-0000-000052950000}"/>
    <cellStyle name="Normal 2 7 6 3 2 2 3" xfId="38516" xr:uid="{00000000-0005-0000-0000-000053950000}"/>
    <cellStyle name="Normal 2 7 6 3 2 2 4" xfId="38517" xr:uid="{00000000-0005-0000-0000-000054950000}"/>
    <cellStyle name="Normal 2 7 6 3 2 2 5" xfId="38518" xr:uid="{00000000-0005-0000-0000-000055950000}"/>
    <cellStyle name="Normal 2 7 6 3 2 2 6" xfId="38519" xr:uid="{00000000-0005-0000-0000-000056950000}"/>
    <cellStyle name="Normal 2 7 6 3 2 2 7" xfId="38520" xr:uid="{00000000-0005-0000-0000-000057950000}"/>
    <cellStyle name="Normal 2 7 6 3 2 2 8" xfId="38521" xr:uid="{00000000-0005-0000-0000-000058950000}"/>
    <cellStyle name="Normal 2 7 6 3 2 3" xfId="38522" xr:uid="{00000000-0005-0000-0000-000059950000}"/>
    <cellStyle name="Normal 2 7 6 3 2 3 2" xfId="38523" xr:uid="{00000000-0005-0000-0000-00005A950000}"/>
    <cellStyle name="Normal 2 7 6 3 2 3 2 2" xfId="38524" xr:uid="{00000000-0005-0000-0000-00005B950000}"/>
    <cellStyle name="Normal 2 7 6 3 2 3 2 3" xfId="38525" xr:uid="{00000000-0005-0000-0000-00005C950000}"/>
    <cellStyle name="Normal 2 7 6 3 2 3 2 4" xfId="38526" xr:uid="{00000000-0005-0000-0000-00005D950000}"/>
    <cellStyle name="Normal 2 7 6 3 2 3 2 5" xfId="38527" xr:uid="{00000000-0005-0000-0000-00005E950000}"/>
    <cellStyle name="Normal 2 7 6 3 2 3 3" xfId="38528" xr:uid="{00000000-0005-0000-0000-00005F950000}"/>
    <cellStyle name="Normal 2 7 6 3 2 3 4" xfId="38529" xr:uid="{00000000-0005-0000-0000-000060950000}"/>
    <cellStyle name="Normal 2 7 6 3 2 3 5" xfId="38530" xr:uid="{00000000-0005-0000-0000-000061950000}"/>
    <cellStyle name="Normal 2 7 6 3 2 3 6" xfId="38531" xr:uid="{00000000-0005-0000-0000-000062950000}"/>
    <cellStyle name="Normal 2 7 6 3 2 3 7" xfId="38532" xr:uid="{00000000-0005-0000-0000-000063950000}"/>
    <cellStyle name="Normal 2 7 6 3 2 3 8" xfId="38533" xr:uid="{00000000-0005-0000-0000-000064950000}"/>
    <cellStyle name="Normal 2 7 6 3 2 4" xfId="38534" xr:uid="{00000000-0005-0000-0000-000065950000}"/>
    <cellStyle name="Normal 2 7 6 3 2 4 2" xfId="38535" xr:uid="{00000000-0005-0000-0000-000066950000}"/>
    <cellStyle name="Normal 2 7 6 3 2 4 3" xfId="38536" xr:uid="{00000000-0005-0000-0000-000067950000}"/>
    <cellStyle name="Normal 2 7 6 3 2 4 4" xfId="38537" xr:uid="{00000000-0005-0000-0000-000068950000}"/>
    <cellStyle name="Normal 2 7 6 3 2 4 5" xfId="38538" xr:uid="{00000000-0005-0000-0000-000069950000}"/>
    <cellStyle name="Normal 2 7 6 3 2 5" xfId="38539" xr:uid="{00000000-0005-0000-0000-00006A950000}"/>
    <cellStyle name="Normal 2 7 6 3 2 6" xfId="38540" xr:uid="{00000000-0005-0000-0000-00006B950000}"/>
    <cellStyle name="Normal 2 7 6 3 2 7" xfId="38541" xr:uid="{00000000-0005-0000-0000-00006C950000}"/>
    <cellStyle name="Normal 2 7 6 3 2 8" xfId="38542" xr:uid="{00000000-0005-0000-0000-00006D950000}"/>
    <cellStyle name="Normal 2 7 6 3 2 9" xfId="38543" xr:uid="{00000000-0005-0000-0000-00006E950000}"/>
    <cellStyle name="Normal 2 7 6 3 3" xfId="38544" xr:uid="{00000000-0005-0000-0000-00006F950000}"/>
    <cellStyle name="Normal 2 7 6 3 3 2" xfId="38545" xr:uid="{00000000-0005-0000-0000-000070950000}"/>
    <cellStyle name="Normal 2 7 6 3 3 2 2" xfId="38546" xr:uid="{00000000-0005-0000-0000-000071950000}"/>
    <cellStyle name="Normal 2 7 6 3 3 2 3" xfId="38547" xr:uid="{00000000-0005-0000-0000-000072950000}"/>
    <cellStyle name="Normal 2 7 6 3 3 2 4" xfId="38548" xr:uid="{00000000-0005-0000-0000-000073950000}"/>
    <cellStyle name="Normal 2 7 6 3 3 2 5" xfId="38549" xr:uid="{00000000-0005-0000-0000-000074950000}"/>
    <cellStyle name="Normal 2 7 6 3 3 3" xfId="38550" xr:uid="{00000000-0005-0000-0000-000075950000}"/>
    <cellStyle name="Normal 2 7 6 3 3 4" xfId="38551" xr:uid="{00000000-0005-0000-0000-000076950000}"/>
    <cellStyle name="Normal 2 7 6 3 3 5" xfId="38552" xr:uid="{00000000-0005-0000-0000-000077950000}"/>
    <cellStyle name="Normal 2 7 6 3 3 6" xfId="38553" xr:uid="{00000000-0005-0000-0000-000078950000}"/>
    <cellStyle name="Normal 2 7 6 3 3 7" xfId="38554" xr:uid="{00000000-0005-0000-0000-000079950000}"/>
    <cellStyle name="Normal 2 7 6 3 3 8" xfId="38555" xr:uid="{00000000-0005-0000-0000-00007A950000}"/>
    <cellStyle name="Normal 2 7 6 3 4" xfId="38556" xr:uid="{00000000-0005-0000-0000-00007B950000}"/>
    <cellStyle name="Normal 2 7 6 3 4 2" xfId="38557" xr:uid="{00000000-0005-0000-0000-00007C950000}"/>
    <cellStyle name="Normal 2 7 6 3 4 2 2" xfId="38558" xr:uid="{00000000-0005-0000-0000-00007D950000}"/>
    <cellStyle name="Normal 2 7 6 3 4 2 3" xfId="38559" xr:uid="{00000000-0005-0000-0000-00007E950000}"/>
    <cellStyle name="Normal 2 7 6 3 4 2 4" xfId="38560" xr:uid="{00000000-0005-0000-0000-00007F950000}"/>
    <cellStyle name="Normal 2 7 6 3 4 2 5" xfId="38561" xr:uid="{00000000-0005-0000-0000-000080950000}"/>
    <cellStyle name="Normal 2 7 6 3 4 3" xfId="38562" xr:uid="{00000000-0005-0000-0000-000081950000}"/>
    <cellStyle name="Normal 2 7 6 3 4 4" xfId="38563" xr:uid="{00000000-0005-0000-0000-000082950000}"/>
    <cellStyle name="Normal 2 7 6 3 4 5" xfId="38564" xr:uid="{00000000-0005-0000-0000-000083950000}"/>
    <cellStyle name="Normal 2 7 6 3 4 6" xfId="38565" xr:uid="{00000000-0005-0000-0000-000084950000}"/>
    <cellStyle name="Normal 2 7 6 3 4 7" xfId="38566" xr:uid="{00000000-0005-0000-0000-000085950000}"/>
    <cellStyle name="Normal 2 7 6 3 4 8" xfId="38567" xr:uid="{00000000-0005-0000-0000-000086950000}"/>
    <cellStyle name="Normal 2 7 6 3 5" xfId="38568" xr:uid="{00000000-0005-0000-0000-000087950000}"/>
    <cellStyle name="Normal 2 7 6 3 5 2" xfId="38569" xr:uid="{00000000-0005-0000-0000-000088950000}"/>
    <cellStyle name="Normal 2 7 6 3 5 3" xfId="38570" xr:uid="{00000000-0005-0000-0000-000089950000}"/>
    <cellStyle name="Normal 2 7 6 3 5 4" xfId="38571" xr:uid="{00000000-0005-0000-0000-00008A950000}"/>
    <cellStyle name="Normal 2 7 6 3 5 5" xfId="38572" xr:uid="{00000000-0005-0000-0000-00008B950000}"/>
    <cellStyle name="Normal 2 7 6 3 6" xfId="38573" xr:uid="{00000000-0005-0000-0000-00008C950000}"/>
    <cellStyle name="Normal 2 7 6 3 7" xfId="38574" xr:uid="{00000000-0005-0000-0000-00008D950000}"/>
    <cellStyle name="Normal 2 7 6 3 8" xfId="38575" xr:uid="{00000000-0005-0000-0000-00008E950000}"/>
    <cellStyle name="Normal 2 7 6 3 9" xfId="38576" xr:uid="{00000000-0005-0000-0000-00008F950000}"/>
    <cellStyle name="Normal 2 7 6 4" xfId="38577" xr:uid="{00000000-0005-0000-0000-000090950000}"/>
    <cellStyle name="Normal 2 7 6 4 10" xfId="38578" xr:uid="{00000000-0005-0000-0000-000091950000}"/>
    <cellStyle name="Normal 2 7 6 4 2" xfId="38579" xr:uid="{00000000-0005-0000-0000-000092950000}"/>
    <cellStyle name="Normal 2 7 6 4 2 2" xfId="38580" xr:uid="{00000000-0005-0000-0000-000093950000}"/>
    <cellStyle name="Normal 2 7 6 4 2 2 2" xfId="38581" xr:uid="{00000000-0005-0000-0000-000094950000}"/>
    <cellStyle name="Normal 2 7 6 4 2 2 3" xfId="38582" xr:uid="{00000000-0005-0000-0000-000095950000}"/>
    <cellStyle name="Normal 2 7 6 4 2 2 4" xfId="38583" xr:uid="{00000000-0005-0000-0000-000096950000}"/>
    <cellStyle name="Normal 2 7 6 4 2 2 5" xfId="38584" xr:uid="{00000000-0005-0000-0000-000097950000}"/>
    <cellStyle name="Normal 2 7 6 4 2 3" xfId="38585" xr:uid="{00000000-0005-0000-0000-000098950000}"/>
    <cellStyle name="Normal 2 7 6 4 2 4" xfId="38586" xr:uid="{00000000-0005-0000-0000-000099950000}"/>
    <cellStyle name="Normal 2 7 6 4 2 5" xfId="38587" xr:uid="{00000000-0005-0000-0000-00009A950000}"/>
    <cellStyle name="Normal 2 7 6 4 2 6" xfId="38588" xr:uid="{00000000-0005-0000-0000-00009B950000}"/>
    <cellStyle name="Normal 2 7 6 4 2 7" xfId="38589" xr:uid="{00000000-0005-0000-0000-00009C950000}"/>
    <cellStyle name="Normal 2 7 6 4 2 8" xfId="38590" xr:uid="{00000000-0005-0000-0000-00009D950000}"/>
    <cellStyle name="Normal 2 7 6 4 3" xfId="38591" xr:uid="{00000000-0005-0000-0000-00009E950000}"/>
    <cellStyle name="Normal 2 7 6 4 3 2" xfId="38592" xr:uid="{00000000-0005-0000-0000-00009F950000}"/>
    <cellStyle name="Normal 2 7 6 4 3 2 2" xfId="38593" xr:uid="{00000000-0005-0000-0000-0000A0950000}"/>
    <cellStyle name="Normal 2 7 6 4 3 2 3" xfId="38594" xr:uid="{00000000-0005-0000-0000-0000A1950000}"/>
    <cellStyle name="Normal 2 7 6 4 3 2 4" xfId="38595" xr:uid="{00000000-0005-0000-0000-0000A2950000}"/>
    <cellStyle name="Normal 2 7 6 4 3 2 5" xfId="38596" xr:uid="{00000000-0005-0000-0000-0000A3950000}"/>
    <cellStyle name="Normal 2 7 6 4 3 3" xfId="38597" xr:uid="{00000000-0005-0000-0000-0000A4950000}"/>
    <cellStyle name="Normal 2 7 6 4 3 4" xfId="38598" xr:uid="{00000000-0005-0000-0000-0000A5950000}"/>
    <cellStyle name="Normal 2 7 6 4 3 5" xfId="38599" xr:uid="{00000000-0005-0000-0000-0000A6950000}"/>
    <cellStyle name="Normal 2 7 6 4 3 6" xfId="38600" xr:uid="{00000000-0005-0000-0000-0000A7950000}"/>
    <cellStyle name="Normal 2 7 6 4 3 7" xfId="38601" xr:uid="{00000000-0005-0000-0000-0000A8950000}"/>
    <cellStyle name="Normal 2 7 6 4 3 8" xfId="38602" xr:uid="{00000000-0005-0000-0000-0000A9950000}"/>
    <cellStyle name="Normal 2 7 6 4 4" xfId="38603" xr:uid="{00000000-0005-0000-0000-0000AA950000}"/>
    <cellStyle name="Normal 2 7 6 4 4 2" xfId="38604" xr:uid="{00000000-0005-0000-0000-0000AB950000}"/>
    <cellStyle name="Normal 2 7 6 4 4 3" xfId="38605" xr:uid="{00000000-0005-0000-0000-0000AC950000}"/>
    <cellStyle name="Normal 2 7 6 4 4 4" xfId="38606" xr:uid="{00000000-0005-0000-0000-0000AD950000}"/>
    <cellStyle name="Normal 2 7 6 4 4 5" xfId="38607" xr:uid="{00000000-0005-0000-0000-0000AE950000}"/>
    <cellStyle name="Normal 2 7 6 4 5" xfId="38608" xr:uid="{00000000-0005-0000-0000-0000AF950000}"/>
    <cellStyle name="Normal 2 7 6 4 6" xfId="38609" xr:uid="{00000000-0005-0000-0000-0000B0950000}"/>
    <cellStyle name="Normal 2 7 6 4 7" xfId="38610" xr:uid="{00000000-0005-0000-0000-0000B1950000}"/>
    <cellStyle name="Normal 2 7 6 4 8" xfId="38611" xr:uid="{00000000-0005-0000-0000-0000B2950000}"/>
    <cellStyle name="Normal 2 7 6 4 9" xfId="38612" xr:uid="{00000000-0005-0000-0000-0000B3950000}"/>
    <cellStyle name="Normal 2 7 6 5" xfId="38613" xr:uid="{00000000-0005-0000-0000-0000B4950000}"/>
    <cellStyle name="Normal 2 7 6 5 2" xfId="38614" xr:uid="{00000000-0005-0000-0000-0000B5950000}"/>
    <cellStyle name="Normal 2 7 6 5 2 2" xfId="38615" xr:uid="{00000000-0005-0000-0000-0000B6950000}"/>
    <cellStyle name="Normal 2 7 6 5 2 3" xfId="38616" xr:uid="{00000000-0005-0000-0000-0000B7950000}"/>
    <cellStyle name="Normal 2 7 6 5 2 4" xfId="38617" xr:uid="{00000000-0005-0000-0000-0000B8950000}"/>
    <cellStyle name="Normal 2 7 6 5 2 5" xfId="38618" xr:uid="{00000000-0005-0000-0000-0000B9950000}"/>
    <cellStyle name="Normal 2 7 6 5 3" xfId="38619" xr:uid="{00000000-0005-0000-0000-0000BA950000}"/>
    <cellStyle name="Normal 2 7 6 5 4" xfId="38620" xr:uid="{00000000-0005-0000-0000-0000BB950000}"/>
    <cellStyle name="Normal 2 7 6 5 5" xfId="38621" xr:uid="{00000000-0005-0000-0000-0000BC950000}"/>
    <cellStyle name="Normal 2 7 6 5 6" xfId="38622" xr:uid="{00000000-0005-0000-0000-0000BD950000}"/>
    <cellStyle name="Normal 2 7 6 5 7" xfId="38623" xr:uid="{00000000-0005-0000-0000-0000BE950000}"/>
    <cellStyle name="Normal 2 7 6 5 8" xfId="38624" xr:uid="{00000000-0005-0000-0000-0000BF950000}"/>
    <cellStyle name="Normal 2 7 6 6" xfId="38625" xr:uid="{00000000-0005-0000-0000-0000C0950000}"/>
    <cellStyle name="Normal 2 7 6 6 2" xfId="38626" xr:uid="{00000000-0005-0000-0000-0000C1950000}"/>
    <cellStyle name="Normal 2 7 6 6 2 2" xfId="38627" xr:uid="{00000000-0005-0000-0000-0000C2950000}"/>
    <cellStyle name="Normal 2 7 6 6 2 3" xfId="38628" xr:uid="{00000000-0005-0000-0000-0000C3950000}"/>
    <cellStyle name="Normal 2 7 6 6 2 4" xfId="38629" xr:uid="{00000000-0005-0000-0000-0000C4950000}"/>
    <cellStyle name="Normal 2 7 6 6 2 5" xfId="38630" xr:uid="{00000000-0005-0000-0000-0000C5950000}"/>
    <cellStyle name="Normal 2 7 6 6 3" xfId="38631" xr:uid="{00000000-0005-0000-0000-0000C6950000}"/>
    <cellStyle name="Normal 2 7 6 6 4" xfId="38632" xr:uid="{00000000-0005-0000-0000-0000C7950000}"/>
    <cellStyle name="Normal 2 7 6 6 5" xfId="38633" xr:uid="{00000000-0005-0000-0000-0000C8950000}"/>
    <cellStyle name="Normal 2 7 6 6 6" xfId="38634" xr:uid="{00000000-0005-0000-0000-0000C9950000}"/>
    <cellStyle name="Normal 2 7 6 6 7" xfId="38635" xr:uid="{00000000-0005-0000-0000-0000CA950000}"/>
    <cellStyle name="Normal 2 7 6 6 8" xfId="38636" xr:uid="{00000000-0005-0000-0000-0000CB950000}"/>
    <cellStyle name="Normal 2 7 6 7" xfId="38637" xr:uid="{00000000-0005-0000-0000-0000CC950000}"/>
    <cellStyle name="Normal 2 7 6 7 2" xfId="38638" xr:uid="{00000000-0005-0000-0000-0000CD950000}"/>
    <cellStyle name="Normal 2 7 6 7 3" xfId="38639" xr:uid="{00000000-0005-0000-0000-0000CE950000}"/>
    <cellStyle name="Normal 2 7 6 7 4" xfId="38640" xr:uid="{00000000-0005-0000-0000-0000CF950000}"/>
    <cellStyle name="Normal 2 7 6 7 5" xfId="38641" xr:uid="{00000000-0005-0000-0000-0000D0950000}"/>
    <cellStyle name="Normal 2 7 6 8" xfId="38642" xr:uid="{00000000-0005-0000-0000-0000D1950000}"/>
    <cellStyle name="Normal 2 7 6 9" xfId="38643" xr:uid="{00000000-0005-0000-0000-0000D2950000}"/>
    <cellStyle name="Normal 2 7 7" xfId="38644" xr:uid="{00000000-0005-0000-0000-0000D3950000}"/>
    <cellStyle name="Normal 2 7 7 10" xfId="38645" xr:uid="{00000000-0005-0000-0000-0000D4950000}"/>
    <cellStyle name="Normal 2 7 7 11" xfId="38646" xr:uid="{00000000-0005-0000-0000-0000D5950000}"/>
    <cellStyle name="Normal 2 7 7 12" xfId="38647" xr:uid="{00000000-0005-0000-0000-0000D6950000}"/>
    <cellStyle name="Normal 2 7 7 13" xfId="38648" xr:uid="{00000000-0005-0000-0000-0000D7950000}"/>
    <cellStyle name="Normal 2 7 7 2" xfId="38649" xr:uid="{00000000-0005-0000-0000-0000D8950000}"/>
    <cellStyle name="Normal 2 7 7 2 10" xfId="38650" xr:uid="{00000000-0005-0000-0000-0000D9950000}"/>
    <cellStyle name="Normal 2 7 7 2 11" xfId="38651" xr:uid="{00000000-0005-0000-0000-0000DA950000}"/>
    <cellStyle name="Normal 2 7 7 2 2" xfId="38652" xr:uid="{00000000-0005-0000-0000-0000DB950000}"/>
    <cellStyle name="Normal 2 7 7 2 2 10" xfId="38653" xr:uid="{00000000-0005-0000-0000-0000DC950000}"/>
    <cellStyle name="Normal 2 7 7 2 2 2" xfId="38654" xr:uid="{00000000-0005-0000-0000-0000DD950000}"/>
    <cellStyle name="Normal 2 7 7 2 2 2 2" xfId="38655" xr:uid="{00000000-0005-0000-0000-0000DE950000}"/>
    <cellStyle name="Normal 2 7 7 2 2 2 2 2" xfId="38656" xr:uid="{00000000-0005-0000-0000-0000DF950000}"/>
    <cellStyle name="Normal 2 7 7 2 2 2 2 3" xfId="38657" xr:uid="{00000000-0005-0000-0000-0000E0950000}"/>
    <cellStyle name="Normal 2 7 7 2 2 2 2 4" xfId="38658" xr:uid="{00000000-0005-0000-0000-0000E1950000}"/>
    <cellStyle name="Normal 2 7 7 2 2 2 2 5" xfId="38659" xr:uid="{00000000-0005-0000-0000-0000E2950000}"/>
    <cellStyle name="Normal 2 7 7 2 2 2 3" xfId="38660" xr:uid="{00000000-0005-0000-0000-0000E3950000}"/>
    <cellStyle name="Normal 2 7 7 2 2 2 4" xfId="38661" xr:uid="{00000000-0005-0000-0000-0000E4950000}"/>
    <cellStyle name="Normal 2 7 7 2 2 2 5" xfId="38662" xr:uid="{00000000-0005-0000-0000-0000E5950000}"/>
    <cellStyle name="Normal 2 7 7 2 2 2 6" xfId="38663" xr:uid="{00000000-0005-0000-0000-0000E6950000}"/>
    <cellStyle name="Normal 2 7 7 2 2 2 7" xfId="38664" xr:uid="{00000000-0005-0000-0000-0000E7950000}"/>
    <cellStyle name="Normal 2 7 7 2 2 2 8" xfId="38665" xr:uid="{00000000-0005-0000-0000-0000E8950000}"/>
    <cellStyle name="Normal 2 7 7 2 2 3" xfId="38666" xr:uid="{00000000-0005-0000-0000-0000E9950000}"/>
    <cellStyle name="Normal 2 7 7 2 2 3 2" xfId="38667" xr:uid="{00000000-0005-0000-0000-0000EA950000}"/>
    <cellStyle name="Normal 2 7 7 2 2 3 2 2" xfId="38668" xr:uid="{00000000-0005-0000-0000-0000EB950000}"/>
    <cellStyle name="Normal 2 7 7 2 2 3 2 3" xfId="38669" xr:uid="{00000000-0005-0000-0000-0000EC950000}"/>
    <cellStyle name="Normal 2 7 7 2 2 3 2 4" xfId="38670" xr:uid="{00000000-0005-0000-0000-0000ED950000}"/>
    <cellStyle name="Normal 2 7 7 2 2 3 2 5" xfId="38671" xr:uid="{00000000-0005-0000-0000-0000EE950000}"/>
    <cellStyle name="Normal 2 7 7 2 2 3 3" xfId="38672" xr:uid="{00000000-0005-0000-0000-0000EF950000}"/>
    <cellStyle name="Normal 2 7 7 2 2 3 4" xfId="38673" xr:uid="{00000000-0005-0000-0000-0000F0950000}"/>
    <cellStyle name="Normal 2 7 7 2 2 3 5" xfId="38674" xr:uid="{00000000-0005-0000-0000-0000F1950000}"/>
    <cellStyle name="Normal 2 7 7 2 2 3 6" xfId="38675" xr:uid="{00000000-0005-0000-0000-0000F2950000}"/>
    <cellStyle name="Normal 2 7 7 2 2 3 7" xfId="38676" xr:uid="{00000000-0005-0000-0000-0000F3950000}"/>
    <cellStyle name="Normal 2 7 7 2 2 3 8" xfId="38677" xr:uid="{00000000-0005-0000-0000-0000F4950000}"/>
    <cellStyle name="Normal 2 7 7 2 2 4" xfId="38678" xr:uid="{00000000-0005-0000-0000-0000F5950000}"/>
    <cellStyle name="Normal 2 7 7 2 2 4 2" xfId="38679" xr:uid="{00000000-0005-0000-0000-0000F6950000}"/>
    <cellStyle name="Normal 2 7 7 2 2 4 3" xfId="38680" xr:uid="{00000000-0005-0000-0000-0000F7950000}"/>
    <cellStyle name="Normal 2 7 7 2 2 4 4" xfId="38681" xr:uid="{00000000-0005-0000-0000-0000F8950000}"/>
    <cellStyle name="Normal 2 7 7 2 2 4 5" xfId="38682" xr:uid="{00000000-0005-0000-0000-0000F9950000}"/>
    <cellStyle name="Normal 2 7 7 2 2 5" xfId="38683" xr:uid="{00000000-0005-0000-0000-0000FA950000}"/>
    <cellStyle name="Normal 2 7 7 2 2 6" xfId="38684" xr:uid="{00000000-0005-0000-0000-0000FB950000}"/>
    <cellStyle name="Normal 2 7 7 2 2 7" xfId="38685" xr:uid="{00000000-0005-0000-0000-0000FC950000}"/>
    <cellStyle name="Normal 2 7 7 2 2 8" xfId="38686" xr:uid="{00000000-0005-0000-0000-0000FD950000}"/>
    <cellStyle name="Normal 2 7 7 2 2 9" xfId="38687" xr:uid="{00000000-0005-0000-0000-0000FE950000}"/>
    <cellStyle name="Normal 2 7 7 2 3" xfId="38688" xr:uid="{00000000-0005-0000-0000-0000FF950000}"/>
    <cellStyle name="Normal 2 7 7 2 3 2" xfId="38689" xr:uid="{00000000-0005-0000-0000-000000960000}"/>
    <cellStyle name="Normal 2 7 7 2 3 2 2" xfId="38690" xr:uid="{00000000-0005-0000-0000-000001960000}"/>
    <cellStyle name="Normal 2 7 7 2 3 2 3" xfId="38691" xr:uid="{00000000-0005-0000-0000-000002960000}"/>
    <cellStyle name="Normal 2 7 7 2 3 2 4" xfId="38692" xr:uid="{00000000-0005-0000-0000-000003960000}"/>
    <cellStyle name="Normal 2 7 7 2 3 2 5" xfId="38693" xr:uid="{00000000-0005-0000-0000-000004960000}"/>
    <cellStyle name="Normal 2 7 7 2 3 3" xfId="38694" xr:uid="{00000000-0005-0000-0000-000005960000}"/>
    <cellStyle name="Normal 2 7 7 2 3 4" xfId="38695" xr:uid="{00000000-0005-0000-0000-000006960000}"/>
    <cellStyle name="Normal 2 7 7 2 3 5" xfId="38696" xr:uid="{00000000-0005-0000-0000-000007960000}"/>
    <cellStyle name="Normal 2 7 7 2 3 6" xfId="38697" xr:uid="{00000000-0005-0000-0000-000008960000}"/>
    <cellStyle name="Normal 2 7 7 2 3 7" xfId="38698" xr:uid="{00000000-0005-0000-0000-000009960000}"/>
    <cellStyle name="Normal 2 7 7 2 3 8" xfId="38699" xr:uid="{00000000-0005-0000-0000-00000A960000}"/>
    <cellStyle name="Normal 2 7 7 2 4" xfId="38700" xr:uid="{00000000-0005-0000-0000-00000B960000}"/>
    <cellStyle name="Normal 2 7 7 2 4 2" xfId="38701" xr:uid="{00000000-0005-0000-0000-00000C960000}"/>
    <cellStyle name="Normal 2 7 7 2 4 2 2" xfId="38702" xr:uid="{00000000-0005-0000-0000-00000D960000}"/>
    <cellStyle name="Normal 2 7 7 2 4 2 3" xfId="38703" xr:uid="{00000000-0005-0000-0000-00000E960000}"/>
    <cellStyle name="Normal 2 7 7 2 4 2 4" xfId="38704" xr:uid="{00000000-0005-0000-0000-00000F960000}"/>
    <cellStyle name="Normal 2 7 7 2 4 2 5" xfId="38705" xr:uid="{00000000-0005-0000-0000-000010960000}"/>
    <cellStyle name="Normal 2 7 7 2 4 3" xfId="38706" xr:uid="{00000000-0005-0000-0000-000011960000}"/>
    <cellStyle name="Normal 2 7 7 2 4 4" xfId="38707" xr:uid="{00000000-0005-0000-0000-000012960000}"/>
    <cellStyle name="Normal 2 7 7 2 4 5" xfId="38708" xr:uid="{00000000-0005-0000-0000-000013960000}"/>
    <cellStyle name="Normal 2 7 7 2 4 6" xfId="38709" xr:uid="{00000000-0005-0000-0000-000014960000}"/>
    <cellStyle name="Normal 2 7 7 2 4 7" xfId="38710" xr:uid="{00000000-0005-0000-0000-000015960000}"/>
    <cellStyle name="Normal 2 7 7 2 4 8" xfId="38711" xr:uid="{00000000-0005-0000-0000-000016960000}"/>
    <cellStyle name="Normal 2 7 7 2 5" xfId="38712" xr:uid="{00000000-0005-0000-0000-000017960000}"/>
    <cellStyle name="Normal 2 7 7 2 5 2" xfId="38713" xr:uid="{00000000-0005-0000-0000-000018960000}"/>
    <cellStyle name="Normal 2 7 7 2 5 3" xfId="38714" xr:uid="{00000000-0005-0000-0000-000019960000}"/>
    <cellStyle name="Normal 2 7 7 2 5 4" xfId="38715" xr:uid="{00000000-0005-0000-0000-00001A960000}"/>
    <cellStyle name="Normal 2 7 7 2 5 5" xfId="38716" xr:uid="{00000000-0005-0000-0000-00001B960000}"/>
    <cellStyle name="Normal 2 7 7 2 6" xfId="38717" xr:uid="{00000000-0005-0000-0000-00001C960000}"/>
    <cellStyle name="Normal 2 7 7 2 7" xfId="38718" xr:uid="{00000000-0005-0000-0000-00001D960000}"/>
    <cellStyle name="Normal 2 7 7 2 8" xfId="38719" xr:uid="{00000000-0005-0000-0000-00001E960000}"/>
    <cellStyle name="Normal 2 7 7 2 9" xfId="38720" xr:uid="{00000000-0005-0000-0000-00001F960000}"/>
    <cellStyle name="Normal 2 7 7 3" xfId="38721" xr:uid="{00000000-0005-0000-0000-000020960000}"/>
    <cellStyle name="Normal 2 7 7 3 10" xfId="38722" xr:uid="{00000000-0005-0000-0000-000021960000}"/>
    <cellStyle name="Normal 2 7 7 3 11" xfId="38723" xr:uid="{00000000-0005-0000-0000-000022960000}"/>
    <cellStyle name="Normal 2 7 7 3 2" xfId="38724" xr:uid="{00000000-0005-0000-0000-000023960000}"/>
    <cellStyle name="Normal 2 7 7 3 2 10" xfId="38725" xr:uid="{00000000-0005-0000-0000-000024960000}"/>
    <cellStyle name="Normal 2 7 7 3 2 2" xfId="38726" xr:uid="{00000000-0005-0000-0000-000025960000}"/>
    <cellStyle name="Normal 2 7 7 3 2 2 2" xfId="38727" xr:uid="{00000000-0005-0000-0000-000026960000}"/>
    <cellStyle name="Normal 2 7 7 3 2 2 2 2" xfId="38728" xr:uid="{00000000-0005-0000-0000-000027960000}"/>
    <cellStyle name="Normal 2 7 7 3 2 2 2 3" xfId="38729" xr:uid="{00000000-0005-0000-0000-000028960000}"/>
    <cellStyle name="Normal 2 7 7 3 2 2 2 4" xfId="38730" xr:uid="{00000000-0005-0000-0000-000029960000}"/>
    <cellStyle name="Normal 2 7 7 3 2 2 2 5" xfId="38731" xr:uid="{00000000-0005-0000-0000-00002A960000}"/>
    <cellStyle name="Normal 2 7 7 3 2 2 3" xfId="38732" xr:uid="{00000000-0005-0000-0000-00002B960000}"/>
    <cellStyle name="Normal 2 7 7 3 2 2 4" xfId="38733" xr:uid="{00000000-0005-0000-0000-00002C960000}"/>
    <cellStyle name="Normal 2 7 7 3 2 2 5" xfId="38734" xr:uid="{00000000-0005-0000-0000-00002D960000}"/>
    <cellStyle name="Normal 2 7 7 3 2 2 6" xfId="38735" xr:uid="{00000000-0005-0000-0000-00002E960000}"/>
    <cellStyle name="Normal 2 7 7 3 2 2 7" xfId="38736" xr:uid="{00000000-0005-0000-0000-00002F960000}"/>
    <cellStyle name="Normal 2 7 7 3 2 2 8" xfId="38737" xr:uid="{00000000-0005-0000-0000-000030960000}"/>
    <cellStyle name="Normal 2 7 7 3 2 3" xfId="38738" xr:uid="{00000000-0005-0000-0000-000031960000}"/>
    <cellStyle name="Normal 2 7 7 3 2 3 2" xfId="38739" xr:uid="{00000000-0005-0000-0000-000032960000}"/>
    <cellStyle name="Normal 2 7 7 3 2 3 2 2" xfId="38740" xr:uid="{00000000-0005-0000-0000-000033960000}"/>
    <cellStyle name="Normal 2 7 7 3 2 3 2 3" xfId="38741" xr:uid="{00000000-0005-0000-0000-000034960000}"/>
    <cellStyle name="Normal 2 7 7 3 2 3 2 4" xfId="38742" xr:uid="{00000000-0005-0000-0000-000035960000}"/>
    <cellStyle name="Normal 2 7 7 3 2 3 2 5" xfId="38743" xr:uid="{00000000-0005-0000-0000-000036960000}"/>
    <cellStyle name="Normal 2 7 7 3 2 3 3" xfId="38744" xr:uid="{00000000-0005-0000-0000-000037960000}"/>
    <cellStyle name="Normal 2 7 7 3 2 3 4" xfId="38745" xr:uid="{00000000-0005-0000-0000-000038960000}"/>
    <cellStyle name="Normal 2 7 7 3 2 3 5" xfId="38746" xr:uid="{00000000-0005-0000-0000-000039960000}"/>
    <cellStyle name="Normal 2 7 7 3 2 3 6" xfId="38747" xr:uid="{00000000-0005-0000-0000-00003A960000}"/>
    <cellStyle name="Normal 2 7 7 3 2 3 7" xfId="38748" xr:uid="{00000000-0005-0000-0000-00003B960000}"/>
    <cellStyle name="Normal 2 7 7 3 2 3 8" xfId="38749" xr:uid="{00000000-0005-0000-0000-00003C960000}"/>
    <cellStyle name="Normal 2 7 7 3 2 4" xfId="38750" xr:uid="{00000000-0005-0000-0000-00003D960000}"/>
    <cellStyle name="Normal 2 7 7 3 2 4 2" xfId="38751" xr:uid="{00000000-0005-0000-0000-00003E960000}"/>
    <cellStyle name="Normal 2 7 7 3 2 4 3" xfId="38752" xr:uid="{00000000-0005-0000-0000-00003F960000}"/>
    <cellStyle name="Normal 2 7 7 3 2 4 4" xfId="38753" xr:uid="{00000000-0005-0000-0000-000040960000}"/>
    <cellStyle name="Normal 2 7 7 3 2 4 5" xfId="38754" xr:uid="{00000000-0005-0000-0000-000041960000}"/>
    <cellStyle name="Normal 2 7 7 3 2 5" xfId="38755" xr:uid="{00000000-0005-0000-0000-000042960000}"/>
    <cellStyle name="Normal 2 7 7 3 2 6" xfId="38756" xr:uid="{00000000-0005-0000-0000-000043960000}"/>
    <cellStyle name="Normal 2 7 7 3 2 7" xfId="38757" xr:uid="{00000000-0005-0000-0000-000044960000}"/>
    <cellStyle name="Normal 2 7 7 3 2 8" xfId="38758" xr:uid="{00000000-0005-0000-0000-000045960000}"/>
    <cellStyle name="Normal 2 7 7 3 2 9" xfId="38759" xr:uid="{00000000-0005-0000-0000-000046960000}"/>
    <cellStyle name="Normal 2 7 7 3 3" xfId="38760" xr:uid="{00000000-0005-0000-0000-000047960000}"/>
    <cellStyle name="Normal 2 7 7 3 3 2" xfId="38761" xr:uid="{00000000-0005-0000-0000-000048960000}"/>
    <cellStyle name="Normal 2 7 7 3 3 2 2" xfId="38762" xr:uid="{00000000-0005-0000-0000-000049960000}"/>
    <cellStyle name="Normal 2 7 7 3 3 2 3" xfId="38763" xr:uid="{00000000-0005-0000-0000-00004A960000}"/>
    <cellStyle name="Normal 2 7 7 3 3 2 4" xfId="38764" xr:uid="{00000000-0005-0000-0000-00004B960000}"/>
    <cellStyle name="Normal 2 7 7 3 3 2 5" xfId="38765" xr:uid="{00000000-0005-0000-0000-00004C960000}"/>
    <cellStyle name="Normal 2 7 7 3 3 3" xfId="38766" xr:uid="{00000000-0005-0000-0000-00004D960000}"/>
    <cellStyle name="Normal 2 7 7 3 3 4" xfId="38767" xr:uid="{00000000-0005-0000-0000-00004E960000}"/>
    <cellStyle name="Normal 2 7 7 3 3 5" xfId="38768" xr:uid="{00000000-0005-0000-0000-00004F960000}"/>
    <cellStyle name="Normal 2 7 7 3 3 6" xfId="38769" xr:uid="{00000000-0005-0000-0000-000050960000}"/>
    <cellStyle name="Normal 2 7 7 3 3 7" xfId="38770" xr:uid="{00000000-0005-0000-0000-000051960000}"/>
    <cellStyle name="Normal 2 7 7 3 3 8" xfId="38771" xr:uid="{00000000-0005-0000-0000-000052960000}"/>
    <cellStyle name="Normal 2 7 7 3 4" xfId="38772" xr:uid="{00000000-0005-0000-0000-000053960000}"/>
    <cellStyle name="Normal 2 7 7 3 4 2" xfId="38773" xr:uid="{00000000-0005-0000-0000-000054960000}"/>
    <cellStyle name="Normal 2 7 7 3 4 2 2" xfId="38774" xr:uid="{00000000-0005-0000-0000-000055960000}"/>
    <cellStyle name="Normal 2 7 7 3 4 2 3" xfId="38775" xr:uid="{00000000-0005-0000-0000-000056960000}"/>
    <cellStyle name="Normal 2 7 7 3 4 2 4" xfId="38776" xr:uid="{00000000-0005-0000-0000-000057960000}"/>
    <cellStyle name="Normal 2 7 7 3 4 2 5" xfId="38777" xr:uid="{00000000-0005-0000-0000-000058960000}"/>
    <cellStyle name="Normal 2 7 7 3 4 3" xfId="38778" xr:uid="{00000000-0005-0000-0000-000059960000}"/>
    <cellStyle name="Normal 2 7 7 3 4 4" xfId="38779" xr:uid="{00000000-0005-0000-0000-00005A960000}"/>
    <cellStyle name="Normal 2 7 7 3 4 5" xfId="38780" xr:uid="{00000000-0005-0000-0000-00005B960000}"/>
    <cellStyle name="Normal 2 7 7 3 4 6" xfId="38781" xr:uid="{00000000-0005-0000-0000-00005C960000}"/>
    <cellStyle name="Normal 2 7 7 3 4 7" xfId="38782" xr:uid="{00000000-0005-0000-0000-00005D960000}"/>
    <cellStyle name="Normal 2 7 7 3 4 8" xfId="38783" xr:uid="{00000000-0005-0000-0000-00005E960000}"/>
    <cellStyle name="Normal 2 7 7 3 5" xfId="38784" xr:uid="{00000000-0005-0000-0000-00005F960000}"/>
    <cellStyle name="Normal 2 7 7 3 5 2" xfId="38785" xr:uid="{00000000-0005-0000-0000-000060960000}"/>
    <cellStyle name="Normal 2 7 7 3 5 3" xfId="38786" xr:uid="{00000000-0005-0000-0000-000061960000}"/>
    <cellStyle name="Normal 2 7 7 3 5 4" xfId="38787" xr:uid="{00000000-0005-0000-0000-000062960000}"/>
    <cellStyle name="Normal 2 7 7 3 5 5" xfId="38788" xr:uid="{00000000-0005-0000-0000-000063960000}"/>
    <cellStyle name="Normal 2 7 7 3 6" xfId="38789" xr:uid="{00000000-0005-0000-0000-000064960000}"/>
    <cellStyle name="Normal 2 7 7 3 7" xfId="38790" xr:uid="{00000000-0005-0000-0000-000065960000}"/>
    <cellStyle name="Normal 2 7 7 3 8" xfId="38791" xr:uid="{00000000-0005-0000-0000-000066960000}"/>
    <cellStyle name="Normal 2 7 7 3 9" xfId="38792" xr:uid="{00000000-0005-0000-0000-000067960000}"/>
    <cellStyle name="Normal 2 7 7 4" xfId="38793" xr:uid="{00000000-0005-0000-0000-000068960000}"/>
    <cellStyle name="Normal 2 7 7 4 10" xfId="38794" xr:uid="{00000000-0005-0000-0000-000069960000}"/>
    <cellStyle name="Normal 2 7 7 4 2" xfId="38795" xr:uid="{00000000-0005-0000-0000-00006A960000}"/>
    <cellStyle name="Normal 2 7 7 4 2 2" xfId="38796" xr:uid="{00000000-0005-0000-0000-00006B960000}"/>
    <cellStyle name="Normal 2 7 7 4 2 2 2" xfId="38797" xr:uid="{00000000-0005-0000-0000-00006C960000}"/>
    <cellStyle name="Normal 2 7 7 4 2 2 3" xfId="38798" xr:uid="{00000000-0005-0000-0000-00006D960000}"/>
    <cellStyle name="Normal 2 7 7 4 2 2 4" xfId="38799" xr:uid="{00000000-0005-0000-0000-00006E960000}"/>
    <cellStyle name="Normal 2 7 7 4 2 2 5" xfId="38800" xr:uid="{00000000-0005-0000-0000-00006F960000}"/>
    <cellStyle name="Normal 2 7 7 4 2 3" xfId="38801" xr:uid="{00000000-0005-0000-0000-000070960000}"/>
    <cellStyle name="Normal 2 7 7 4 2 4" xfId="38802" xr:uid="{00000000-0005-0000-0000-000071960000}"/>
    <cellStyle name="Normal 2 7 7 4 2 5" xfId="38803" xr:uid="{00000000-0005-0000-0000-000072960000}"/>
    <cellStyle name="Normal 2 7 7 4 2 6" xfId="38804" xr:uid="{00000000-0005-0000-0000-000073960000}"/>
    <cellStyle name="Normal 2 7 7 4 2 7" xfId="38805" xr:uid="{00000000-0005-0000-0000-000074960000}"/>
    <cellStyle name="Normal 2 7 7 4 2 8" xfId="38806" xr:uid="{00000000-0005-0000-0000-000075960000}"/>
    <cellStyle name="Normal 2 7 7 4 3" xfId="38807" xr:uid="{00000000-0005-0000-0000-000076960000}"/>
    <cellStyle name="Normal 2 7 7 4 3 2" xfId="38808" xr:uid="{00000000-0005-0000-0000-000077960000}"/>
    <cellStyle name="Normal 2 7 7 4 3 2 2" xfId="38809" xr:uid="{00000000-0005-0000-0000-000078960000}"/>
    <cellStyle name="Normal 2 7 7 4 3 2 3" xfId="38810" xr:uid="{00000000-0005-0000-0000-000079960000}"/>
    <cellStyle name="Normal 2 7 7 4 3 2 4" xfId="38811" xr:uid="{00000000-0005-0000-0000-00007A960000}"/>
    <cellStyle name="Normal 2 7 7 4 3 2 5" xfId="38812" xr:uid="{00000000-0005-0000-0000-00007B960000}"/>
    <cellStyle name="Normal 2 7 7 4 3 3" xfId="38813" xr:uid="{00000000-0005-0000-0000-00007C960000}"/>
    <cellStyle name="Normal 2 7 7 4 3 4" xfId="38814" xr:uid="{00000000-0005-0000-0000-00007D960000}"/>
    <cellStyle name="Normal 2 7 7 4 3 5" xfId="38815" xr:uid="{00000000-0005-0000-0000-00007E960000}"/>
    <cellStyle name="Normal 2 7 7 4 3 6" xfId="38816" xr:uid="{00000000-0005-0000-0000-00007F960000}"/>
    <cellStyle name="Normal 2 7 7 4 3 7" xfId="38817" xr:uid="{00000000-0005-0000-0000-000080960000}"/>
    <cellStyle name="Normal 2 7 7 4 3 8" xfId="38818" xr:uid="{00000000-0005-0000-0000-000081960000}"/>
    <cellStyle name="Normal 2 7 7 4 4" xfId="38819" xr:uid="{00000000-0005-0000-0000-000082960000}"/>
    <cellStyle name="Normal 2 7 7 4 4 2" xfId="38820" xr:uid="{00000000-0005-0000-0000-000083960000}"/>
    <cellStyle name="Normal 2 7 7 4 4 3" xfId="38821" xr:uid="{00000000-0005-0000-0000-000084960000}"/>
    <cellStyle name="Normal 2 7 7 4 4 4" xfId="38822" xr:uid="{00000000-0005-0000-0000-000085960000}"/>
    <cellStyle name="Normal 2 7 7 4 4 5" xfId="38823" xr:uid="{00000000-0005-0000-0000-000086960000}"/>
    <cellStyle name="Normal 2 7 7 4 5" xfId="38824" xr:uid="{00000000-0005-0000-0000-000087960000}"/>
    <cellStyle name="Normal 2 7 7 4 6" xfId="38825" xr:uid="{00000000-0005-0000-0000-000088960000}"/>
    <cellStyle name="Normal 2 7 7 4 7" xfId="38826" xr:uid="{00000000-0005-0000-0000-000089960000}"/>
    <cellStyle name="Normal 2 7 7 4 8" xfId="38827" xr:uid="{00000000-0005-0000-0000-00008A960000}"/>
    <cellStyle name="Normal 2 7 7 4 9" xfId="38828" xr:uid="{00000000-0005-0000-0000-00008B960000}"/>
    <cellStyle name="Normal 2 7 7 5" xfId="38829" xr:uid="{00000000-0005-0000-0000-00008C960000}"/>
    <cellStyle name="Normal 2 7 7 5 2" xfId="38830" xr:uid="{00000000-0005-0000-0000-00008D960000}"/>
    <cellStyle name="Normal 2 7 7 5 2 2" xfId="38831" xr:uid="{00000000-0005-0000-0000-00008E960000}"/>
    <cellStyle name="Normal 2 7 7 5 2 3" xfId="38832" xr:uid="{00000000-0005-0000-0000-00008F960000}"/>
    <cellStyle name="Normal 2 7 7 5 2 4" xfId="38833" xr:uid="{00000000-0005-0000-0000-000090960000}"/>
    <cellStyle name="Normal 2 7 7 5 2 5" xfId="38834" xr:uid="{00000000-0005-0000-0000-000091960000}"/>
    <cellStyle name="Normal 2 7 7 5 3" xfId="38835" xr:uid="{00000000-0005-0000-0000-000092960000}"/>
    <cellStyle name="Normal 2 7 7 5 4" xfId="38836" xr:uid="{00000000-0005-0000-0000-000093960000}"/>
    <cellStyle name="Normal 2 7 7 5 5" xfId="38837" xr:uid="{00000000-0005-0000-0000-000094960000}"/>
    <cellStyle name="Normal 2 7 7 5 6" xfId="38838" xr:uid="{00000000-0005-0000-0000-000095960000}"/>
    <cellStyle name="Normal 2 7 7 5 7" xfId="38839" xr:uid="{00000000-0005-0000-0000-000096960000}"/>
    <cellStyle name="Normal 2 7 7 5 8" xfId="38840" xr:uid="{00000000-0005-0000-0000-000097960000}"/>
    <cellStyle name="Normal 2 7 7 6" xfId="38841" xr:uid="{00000000-0005-0000-0000-000098960000}"/>
    <cellStyle name="Normal 2 7 7 6 2" xfId="38842" xr:uid="{00000000-0005-0000-0000-000099960000}"/>
    <cellStyle name="Normal 2 7 7 6 2 2" xfId="38843" xr:uid="{00000000-0005-0000-0000-00009A960000}"/>
    <cellStyle name="Normal 2 7 7 6 2 3" xfId="38844" xr:uid="{00000000-0005-0000-0000-00009B960000}"/>
    <cellStyle name="Normal 2 7 7 6 2 4" xfId="38845" xr:uid="{00000000-0005-0000-0000-00009C960000}"/>
    <cellStyle name="Normal 2 7 7 6 2 5" xfId="38846" xr:uid="{00000000-0005-0000-0000-00009D960000}"/>
    <cellStyle name="Normal 2 7 7 6 3" xfId="38847" xr:uid="{00000000-0005-0000-0000-00009E960000}"/>
    <cellStyle name="Normal 2 7 7 6 4" xfId="38848" xr:uid="{00000000-0005-0000-0000-00009F960000}"/>
    <cellStyle name="Normal 2 7 7 6 5" xfId="38849" xr:uid="{00000000-0005-0000-0000-0000A0960000}"/>
    <cellStyle name="Normal 2 7 7 6 6" xfId="38850" xr:uid="{00000000-0005-0000-0000-0000A1960000}"/>
    <cellStyle name="Normal 2 7 7 6 7" xfId="38851" xr:uid="{00000000-0005-0000-0000-0000A2960000}"/>
    <cellStyle name="Normal 2 7 7 6 8" xfId="38852" xr:uid="{00000000-0005-0000-0000-0000A3960000}"/>
    <cellStyle name="Normal 2 7 7 7" xfId="38853" xr:uid="{00000000-0005-0000-0000-0000A4960000}"/>
    <cellStyle name="Normal 2 7 7 7 2" xfId="38854" xr:uid="{00000000-0005-0000-0000-0000A5960000}"/>
    <cellStyle name="Normal 2 7 7 7 3" xfId="38855" xr:uid="{00000000-0005-0000-0000-0000A6960000}"/>
    <cellStyle name="Normal 2 7 7 7 4" xfId="38856" xr:uid="{00000000-0005-0000-0000-0000A7960000}"/>
    <cellStyle name="Normal 2 7 7 7 5" xfId="38857" xr:uid="{00000000-0005-0000-0000-0000A8960000}"/>
    <cellStyle name="Normal 2 7 7 8" xfId="38858" xr:uid="{00000000-0005-0000-0000-0000A9960000}"/>
    <cellStyle name="Normal 2 7 7 9" xfId="38859" xr:uid="{00000000-0005-0000-0000-0000AA960000}"/>
    <cellStyle name="Normal 2 7 8" xfId="38860" xr:uid="{00000000-0005-0000-0000-0000AB960000}"/>
    <cellStyle name="Normal 2 7 8 10" xfId="38861" xr:uid="{00000000-0005-0000-0000-0000AC960000}"/>
    <cellStyle name="Normal 2 7 8 11" xfId="38862" xr:uid="{00000000-0005-0000-0000-0000AD960000}"/>
    <cellStyle name="Normal 2 7 8 12" xfId="38863" xr:uid="{00000000-0005-0000-0000-0000AE960000}"/>
    <cellStyle name="Normal 2 7 8 13" xfId="38864" xr:uid="{00000000-0005-0000-0000-0000AF960000}"/>
    <cellStyle name="Normal 2 7 8 2" xfId="38865" xr:uid="{00000000-0005-0000-0000-0000B0960000}"/>
    <cellStyle name="Normal 2 7 8 2 10" xfId="38866" xr:uid="{00000000-0005-0000-0000-0000B1960000}"/>
    <cellStyle name="Normal 2 7 8 2 11" xfId="38867" xr:uid="{00000000-0005-0000-0000-0000B2960000}"/>
    <cellStyle name="Normal 2 7 8 2 2" xfId="38868" xr:uid="{00000000-0005-0000-0000-0000B3960000}"/>
    <cellStyle name="Normal 2 7 8 2 2 10" xfId="38869" xr:uid="{00000000-0005-0000-0000-0000B4960000}"/>
    <cellStyle name="Normal 2 7 8 2 2 2" xfId="38870" xr:uid="{00000000-0005-0000-0000-0000B5960000}"/>
    <cellStyle name="Normal 2 7 8 2 2 2 2" xfId="38871" xr:uid="{00000000-0005-0000-0000-0000B6960000}"/>
    <cellStyle name="Normal 2 7 8 2 2 2 2 2" xfId="38872" xr:uid="{00000000-0005-0000-0000-0000B7960000}"/>
    <cellStyle name="Normal 2 7 8 2 2 2 2 3" xfId="38873" xr:uid="{00000000-0005-0000-0000-0000B8960000}"/>
    <cellStyle name="Normal 2 7 8 2 2 2 2 4" xfId="38874" xr:uid="{00000000-0005-0000-0000-0000B9960000}"/>
    <cellStyle name="Normal 2 7 8 2 2 2 2 5" xfId="38875" xr:uid="{00000000-0005-0000-0000-0000BA960000}"/>
    <cellStyle name="Normal 2 7 8 2 2 2 3" xfId="38876" xr:uid="{00000000-0005-0000-0000-0000BB960000}"/>
    <cellStyle name="Normal 2 7 8 2 2 2 4" xfId="38877" xr:uid="{00000000-0005-0000-0000-0000BC960000}"/>
    <cellStyle name="Normal 2 7 8 2 2 2 5" xfId="38878" xr:uid="{00000000-0005-0000-0000-0000BD960000}"/>
    <cellStyle name="Normal 2 7 8 2 2 2 6" xfId="38879" xr:uid="{00000000-0005-0000-0000-0000BE960000}"/>
    <cellStyle name="Normal 2 7 8 2 2 2 7" xfId="38880" xr:uid="{00000000-0005-0000-0000-0000BF960000}"/>
    <cellStyle name="Normal 2 7 8 2 2 2 8" xfId="38881" xr:uid="{00000000-0005-0000-0000-0000C0960000}"/>
    <cellStyle name="Normal 2 7 8 2 2 3" xfId="38882" xr:uid="{00000000-0005-0000-0000-0000C1960000}"/>
    <cellStyle name="Normal 2 7 8 2 2 3 2" xfId="38883" xr:uid="{00000000-0005-0000-0000-0000C2960000}"/>
    <cellStyle name="Normal 2 7 8 2 2 3 2 2" xfId="38884" xr:uid="{00000000-0005-0000-0000-0000C3960000}"/>
    <cellStyle name="Normal 2 7 8 2 2 3 2 3" xfId="38885" xr:uid="{00000000-0005-0000-0000-0000C4960000}"/>
    <cellStyle name="Normal 2 7 8 2 2 3 2 4" xfId="38886" xr:uid="{00000000-0005-0000-0000-0000C5960000}"/>
    <cellStyle name="Normal 2 7 8 2 2 3 2 5" xfId="38887" xr:uid="{00000000-0005-0000-0000-0000C6960000}"/>
    <cellStyle name="Normal 2 7 8 2 2 3 3" xfId="38888" xr:uid="{00000000-0005-0000-0000-0000C7960000}"/>
    <cellStyle name="Normal 2 7 8 2 2 3 4" xfId="38889" xr:uid="{00000000-0005-0000-0000-0000C8960000}"/>
    <cellStyle name="Normal 2 7 8 2 2 3 5" xfId="38890" xr:uid="{00000000-0005-0000-0000-0000C9960000}"/>
    <cellStyle name="Normal 2 7 8 2 2 3 6" xfId="38891" xr:uid="{00000000-0005-0000-0000-0000CA960000}"/>
    <cellStyle name="Normal 2 7 8 2 2 3 7" xfId="38892" xr:uid="{00000000-0005-0000-0000-0000CB960000}"/>
    <cellStyle name="Normal 2 7 8 2 2 3 8" xfId="38893" xr:uid="{00000000-0005-0000-0000-0000CC960000}"/>
    <cellStyle name="Normal 2 7 8 2 2 4" xfId="38894" xr:uid="{00000000-0005-0000-0000-0000CD960000}"/>
    <cellStyle name="Normal 2 7 8 2 2 4 2" xfId="38895" xr:uid="{00000000-0005-0000-0000-0000CE960000}"/>
    <cellStyle name="Normal 2 7 8 2 2 4 3" xfId="38896" xr:uid="{00000000-0005-0000-0000-0000CF960000}"/>
    <cellStyle name="Normal 2 7 8 2 2 4 4" xfId="38897" xr:uid="{00000000-0005-0000-0000-0000D0960000}"/>
    <cellStyle name="Normal 2 7 8 2 2 4 5" xfId="38898" xr:uid="{00000000-0005-0000-0000-0000D1960000}"/>
    <cellStyle name="Normal 2 7 8 2 2 5" xfId="38899" xr:uid="{00000000-0005-0000-0000-0000D2960000}"/>
    <cellStyle name="Normal 2 7 8 2 2 6" xfId="38900" xr:uid="{00000000-0005-0000-0000-0000D3960000}"/>
    <cellStyle name="Normal 2 7 8 2 2 7" xfId="38901" xr:uid="{00000000-0005-0000-0000-0000D4960000}"/>
    <cellStyle name="Normal 2 7 8 2 2 8" xfId="38902" xr:uid="{00000000-0005-0000-0000-0000D5960000}"/>
    <cellStyle name="Normal 2 7 8 2 2 9" xfId="38903" xr:uid="{00000000-0005-0000-0000-0000D6960000}"/>
    <cellStyle name="Normal 2 7 8 2 3" xfId="38904" xr:uid="{00000000-0005-0000-0000-0000D7960000}"/>
    <cellStyle name="Normal 2 7 8 2 3 2" xfId="38905" xr:uid="{00000000-0005-0000-0000-0000D8960000}"/>
    <cellStyle name="Normal 2 7 8 2 3 2 2" xfId="38906" xr:uid="{00000000-0005-0000-0000-0000D9960000}"/>
    <cellStyle name="Normal 2 7 8 2 3 2 3" xfId="38907" xr:uid="{00000000-0005-0000-0000-0000DA960000}"/>
    <cellStyle name="Normal 2 7 8 2 3 2 4" xfId="38908" xr:uid="{00000000-0005-0000-0000-0000DB960000}"/>
    <cellStyle name="Normal 2 7 8 2 3 2 5" xfId="38909" xr:uid="{00000000-0005-0000-0000-0000DC960000}"/>
    <cellStyle name="Normal 2 7 8 2 3 3" xfId="38910" xr:uid="{00000000-0005-0000-0000-0000DD960000}"/>
    <cellStyle name="Normal 2 7 8 2 3 4" xfId="38911" xr:uid="{00000000-0005-0000-0000-0000DE960000}"/>
    <cellStyle name="Normal 2 7 8 2 3 5" xfId="38912" xr:uid="{00000000-0005-0000-0000-0000DF960000}"/>
    <cellStyle name="Normal 2 7 8 2 3 6" xfId="38913" xr:uid="{00000000-0005-0000-0000-0000E0960000}"/>
    <cellStyle name="Normal 2 7 8 2 3 7" xfId="38914" xr:uid="{00000000-0005-0000-0000-0000E1960000}"/>
    <cellStyle name="Normal 2 7 8 2 3 8" xfId="38915" xr:uid="{00000000-0005-0000-0000-0000E2960000}"/>
    <cellStyle name="Normal 2 7 8 2 4" xfId="38916" xr:uid="{00000000-0005-0000-0000-0000E3960000}"/>
    <cellStyle name="Normal 2 7 8 2 4 2" xfId="38917" xr:uid="{00000000-0005-0000-0000-0000E4960000}"/>
    <cellStyle name="Normal 2 7 8 2 4 2 2" xfId="38918" xr:uid="{00000000-0005-0000-0000-0000E5960000}"/>
    <cellStyle name="Normal 2 7 8 2 4 2 3" xfId="38919" xr:uid="{00000000-0005-0000-0000-0000E6960000}"/>
    <cellStyle name="Normal 2 7 8 2 4 2 4" xfId="38920" xr:uid="{00000000-0005-0000-0000-0000E7960000}"/>
    <cellStyle name="Normal 2 7 8 2 4 2 5" xfId="38921" xr:uid="{00000000-0005-0000-0000-0000E8960000}"/>
    <cellStyle name="Normal 2 7 8 2 4 3" xfId="38922" xr:uid="{00000000-0005-0000-0000-0000E9960000}"/>
    <cellStyle name="Normal 2 7 8 2 4 4" xfId="38923" xr:uid="{00000000-0005-0000-0000-0000EA960000}"/>
    <cellStyle name="Normal 2 7 8 2 4 5" xfId="38924" xr:uid="{00000000-0005-0000-0000-0000EB960000}"/>
    <cellStyle name="Normal 2 7 8 2 4 6" xfId="38925" xr:uid="{00000000-0005-0000-0000-0000EC960000}"/>
    <cellStyle name="Normal 2 7 8 2 4 7" xfId="38926" xr:uid="{00000000-0005-0000-0000-0000ED960000}"/>
    <cellStyle name="Normal 2 7 8 2 4 8" xfId="38927" xr:uid="{00000000-0005-0000-0000-0000EE960000}"/>
    <cellStyle name="Normal 2 7 8 2 5" xfId="38928" xr:uid="{00000000-0005-0000-0000-0000EF960000}"/>
    <cellStyle name="Normal 2 7 8 2 5 2" xfId="38929" xr:uid="{00000000-0005-0000-0000-0000F0960000}"/>
    <cellStyle name="Normal 2 7 8 2 5 3" xfId="38930" xr:uid="{00000000-0005-0000-0000-0000F1960000}"/>
    <cellStyle name="Normal 2 7 8 2 5 4" xfId="38931" xr:uid="{00000000-0005-0000-0000-0000F2960000}"/>
    <cellStyle name="Normal 2 7 8 2 5 5" xfId="38932" xr:uid="{00000000-0005-0000-0000-0000F3960000}"/>
    <cellStyle name="Normal 2 7 8 2 6" xfId="38933" xr:uid="{00000000-0005-0000-0000-0000F4960000}"/>
    <cellStyle name="Normal 2 7 8 2 7" xfId="38934" xr:uid="{00000000-0005-0000-0000-0000F5960000}"/>
    <cellStyle name="Normal 2 7 8 2 8" xfId="38935" xr:uid="{00000000-0005-0000-0000-0000F6960000}"/>
    <cellStyle name="Normal 2 7 8 2 9" xfId="38936" xr:uid="{00000000-0005-0000-0000-0000F7960000}"/>
    <cellStyle name="Normal 2 7 8 3" xfId="38937" xr:uid="{00000000-0005-0000-0000-0000F8960000}"/>
    <cellStyle name="Normal 2 7 8 3 10" xfId="38938" xr:uid="{00000000-0005-0000-0000-0000F9960000}"/>
    <cellStyle name="Normal 2 7 8 3 11" xfId="38939" xr:uid="{00000000-0005-0000-0000-0000FA960000}"/>
    <cellStyle name="Normal 2 7 8 3 2" xfId="38940" xr:uid="{00000000-0005-0000-0000-0000FB960000}"/>
    <cellStyle name="Normal 2 7 8 3 2 10" xfId="38941" xr:uid="{00000000-0005-0000-0000-0000FC960000}"/>
    <cellStyle name="Normal 2 7 8 3 2 2" xfId="38942" xr:uid="{00000000-0005-0000-0000-0000FD960000}"/>
    <cellStyle name="Normal 2 7 8 3 2 2 2" xfId="38943" xr:uid="{00000000-0005-0000-0000-0000FE960000}"/>
    <cellStyle name="Normal 2 7 8 3 2 2 2 2" xfId="38944" xr:uid="{00000000-0005-0000-0000-0000FF960000}"/>
    <cellStyle name="Normal 2 7 8 3 2 2 2 3" xfId="38945" xr:uid="{00000000-0005-0000-0000-000000970000}"/>
    <cellStyle name="Normal 2 7 8 3 2 2 2 4" xfId="38946" xr:uid="{00000000-0005-0000-0000-000001970000}"/>
    <cellStyle name="Normal 2 7 8 3 2 2 2 5" xfId="38947" xr:uid="{00000000-0005-0000-0000-000002970000}"/>
    <cellStyle name="Normal 2 7 8 3 2 2 3" xfId="38948" xr:uid="{00000000-0005-0000-0000-000003970000}"/>
    <cellStyle name="Normal 2 7 8 3 2 2 4" xfId="38949" xr:uid="{00000000-0005-0000-0000-000004970000}"/>
    <cellStyle name="Normal 2 7 8 3 2 2 5" xfId="38950" xr:uid="{00000000-0005-0000-0000-000005970000}"/>
    <cellStyle name="Normal 2 7 8 3 2 2 6" xfId="38951" xr:uid="{00000000-0005-0000-0000-000006970000}"/>
    <cellStyle name="Normal 2 7 8 3 2 2 7" xfId="38952" xr:uid="{00000000-0005-0000-0000-000007970000}"/>
    <cellStyle name="Normal 2 7 8 3 2 2 8" xfId="38953" xr:uid="{00000000-0005-0000-0000-000008970000}"/>
    <cellStyle name="Normal 2 7 8 3 2 3" xfId="38954" xr:uid="{00000000-0005-0000-0000-000009970000}"/>
    <cellStyle name="Normal 2 7 8 3 2 3 2" xfId="38955" xr:uid="{00000000-0005-0000-0000-00000A970000}"/>
    <cellStyle name="Normal 2 7 8 3 2 3 2 2" xfId="38956" xr:uid="{00000000-0005-0000-0000-00000B970000}"/>
    <cellStyle name="Normal 2 7 8 3 2 3 2 3" xfId="38957" xr:uid="{00000000-0005-0000-0000-00000C970000}"/>
    <cellStyle name="Normal 2 7 8 3 2 3 2 4" xfId="38958" xr:uid="{00000000-0005-0000-0000-00000D970000}"/>
    <cellStyle name="Normal 2 7 8 3 2 3 2 5" xfId="38959" xr:uid="{00000000-0005-0000-0000-00000E970000}"/>
    <cellStyle name="Normal 2 7 8 3 2 3 3" xfId="38960" xr:uid="{00000000-0005-0000-0000-00000F970000}"/>
    <cellStyle name="Normal 2 7 8 3 2 3 4" xfId="38961" xr:uid="{00000000-0005-0000-0000-000010970000}"/>
    <cellStyle name="Normal 2 7 8 3 2 3 5" xfId="38962" xr:uid="{00000000-0005-0000-0000-000011970000}"/>
    <cellStyle name="Normal 2 7 8 3 2 3 6" xfId="38963" xr:uid="{00000000-0005-0000-0000-000012970000}"/>
    <cellStyle name="Normal 2 7 8 3 2 3 7" xfId="38964" xr:uid="{00000000-0005-0000-0000-000013970000}"/>
    <cellStyle name="Normal 2 7 8 3 2 3 8" xfId="38965" xr:uid="{00000000-0005-0000-0000-000014970000}"/>
    <cellStyle name="Normal 2 7 8 3 2 4" xfId="38966" xr:uid="{00000000-0005-0000-0000-000015970000}"/>
    <cellStyle name="Normal 2 7 8 3 2 4 2" xfId="38967" xr:uid="{00000000-0005-0000-0000-000016970000}"/>
    <cellStyle name="Normal 2 7 8 3 2 4 3" xfId="38968" xr:uid="{00000000-0005-0000-0000-000017970000}"/>
    <cellStyle name="Normal 2 7 8 3 2 4 4" xfId="38969" xr:uid="{00000000-0005-0000-0000-000018970000}"/>
    <cellStyle name="Normal 2 7 8 3 2 4 5" xfId="38970" xr:uid="{00000000-0005-0000-0000-000019970000}"/>
    <cellStyle name="Normal 2 7 8 3 2 5" xfId="38971" xr:uid="{00000000-0005-0000-0000-00001A970000}"/>
    <cellStyle name="Normal 2 7 8 3 2 6" xfId="38972" xr:uid="{00000000-0005-0000-0000-00001B970000}"/>
    <cellStyle name="Normal 2 7 8 3 2 7" xfId="38973" xr:uid="{00000000-0005-0000-0000-00001C970000}"/>
    <cellStyle name="Normal 2 7 8 3 2 8" xfId="38974" xr:uid="{00000000-0005-0000-0000-00001D970000}"/>
    <cellStyle name="Normal 2 7 8 3 2 9" xfId="38975" xr:uid="{00000000-0005-0000-0000-00001E970000}"/>
    <cellStyle name="Normal 2 7 8 3 3" xfId="38976" xr:uid="{00000000-0005-0000-0000-00001F970000}"/>
    <cellStyle name="Normal 2 7 8 3 3 2" xfId="38977" xr:uid="{00000000-0005-0000-0000-000020970000}"/>
    <cellStyle name="Normal 2 7 8 3 3 2 2" xfId="38978" xr:uid="{00000000-0005-0000-0000-000021970000}"/>
    <cellStyle name="Normal 2 7 8 3 3 2 3" xfId="38979" xr:uid="{00000000-0005-0000-0000-000022970000}"/>
    <cellStyle name="Normal 2 7 8 3 3 2 4" xfId="38980" xr:uid="{00000000-0005-0000-0000-000023970000}"/>
    <cellStyle name="Normal 2 7 8 3 3 2 5" xfId="38981" xr:uid="{00000000-0005-0000-0000-000024970000}"/>
    <cellStyle name="Normal 2 7 8 3 3 3" xfId="38982" xr:uid="{00000000-0005-0000-0000-000025970000}"/>
    <cellStyle name="Normal 2 7 8 3 3 4" xfId="38983" xr:uid="{00000000-0005-0000-0000-000026970000}"/>
    <cellStyle name="Normal 2 7 8 3 3 5" xfId="38984" xr:uid="{00000000-0005-0000-0000-000027970000}"/>
    <cellStyle name="Normal 2 7 8 3 3 6" xfId="38985" xr:uid="{00000000-0005-0000-0000-000028970000}"/>
    <cellStyle name="Normal 2 7 8 3 3 7" xfId="38986" xr:uid="{00000000-0005-0000-0000-000029970000}"/>
    <cellStyle name="Normal 2 7 8 3 3 8" xfId="38987" xr:uid="{00000000-0005-0000-0000-00002A970000}"/>
    <cellStyle name="Normal 2 7 8 3 4" xfId="38988" xr:uid="{00000000-0005-0000-0000-00002B970000}"/>
    <cellStyle name="Normal 2 7 8 3 4 2" xfId="38989" xr:uid="{00000000-0005-0000-0000-00002C970000}"/>
    <cellStyle name="Normal 2 7 8 3 4 2 2" xfId="38990" xr:uid="{00000000-0005-0000-0000-00002D970000}"/>
    <cellStyle name="Normal 2 7 8 3 4 2 3" xfId="38991" xr:uid="{00000000-0005-0000-0000-00002E970000}"/>
    <cellStyle name="Normal 2 7 8 3 4 2 4" xfId="38992" xr:uid="{00000000-0005-0000-0000-00002F970000}"/>
    <cellStyle name="Normal 2 7 8 3 4 2 5" xfId="38993" xr:uid="{00000000-0005-0000-0000-000030970000}"/>
    <cellStyle name="Normal 2 7 8 3 4 3" xfId="38994" xr:uid="{00000000-0005-0000-0000-000031970000}"/>
    <cellStyle name="Normal 2 7 8 3 4 4" xfId="38995" xr:uid="{00000000-0005-0000-0000-000032970000}"/>
    <cellStyle name="Normal 2 7 8 3 4 5" xfId="38996" xr:uid="{00000000-0005-0000-0000-000033970000}"/>
    <cellStyle name="Normal 2 7 8 3 4 6" xfId="38997" xr:uid="{00000000-0005-0000-0000-000034970000}"/>
    <cellStyle name="Normal 2 7 8 3 4 7" xfId="38998" xr:uid="{00000000-0005-0000-0000-000035970000}"/>
    <cellStyle name="Normal 2 7 8 3 4 8" xfId="38999" xr:uid="{00000000-0005-0000-0000-000036970000}"/>
    <cellStyle name="Normal 2 7 8 3 5" xfId="39000" xr:uid="{00000000-0005-0000-0000-000037970000}"/>
    <cellStyle name="Normal 2 7 8 3 5 2" xfId="39001" xr:uid="{00000000-0005-0000-0000-000038970000}"/>
    <cellStyle name="Normal 2 7 8 3 5 3" xfId="39002" xr:uid="{00000000-0005-0000-0000-000039970000}"/>
    <cellStyle name="Normal 2 7 8 3 5 4" xfId="39003" xr:uid="{00000000-0005-0000-0000-00003A970000}"/>
    <cellStyle name="Normal 2 7 8 3 5 5" xfId="39004" xr:uid="{00000000-0005-0000-0000-00003B970000}"/>
    <cellStyle name="Normal 2 7 8 3 6" xfId="39005" xr:uid="{00000000-0005-0000-0000-00003C970000}"/>
    <cellStyle name="Normal 2 7 8 3 7" xfId="39006" xr:uid="{00000000-0005-0000-0000-00003D970000}"/>
    <cellStyle name="Normal 2 7 8 3 8" xfId="39007" xr:uid="{00000000-0005-0000-0000-00003E970000}"/>
    <cellStyle name="Normal 2 7 8 3 9" xfId="39008" xr:uid="{00000000-0005-0000-0000-00003F970000}"/>
    <cellStyle name="Normal 2 7 8 4" xfId="39009" xr:uid="{00000000-0005-0000-0000-000040970000}"/>
    <cellStyle name="Normal 2 7 8 4 10" xfId="39010" xr:uid="{00000000-0005-0000-0000-000041970000}"/>
    <cellStyle name="Normal 2 7 8 4 2" xfId="39011" xr:uid="{00000000-0005-0000-0000-000042970000}"/>
    <cellStyle name="Normal 2 7 8 4 2 2" xfId="39012" xr:uid="{00000000-0005-0000-0000-000043970000}"/>
    <cellStyle name="Normal 2 7 8 4 2 2 2" xfId="39013" xr:uid="{00000000-0005-0000-0000-000044970000}"/>
    <cellStyle name="Normal 2 7 8 4 2 2 3" xfId="39014" xr:uid="{00000000-0005-0000-0000-000045970000}"/>
    <cellStyle name="Normal 2 7 8 4 2 2 4" xfId="39015" xr:uid="{00000000-0005-0000-0000-000046970000}"/>
    <cellStyle name="Normal 2 7 8 4 2 2 5" xfId="39016" xr:uid="{00000000-0005-0000-0000-000047970000}"/>
    <cellStyle name="Normal 2 7 8 4 2 3" xfId="39017" xr:uid="{00000000-0005-0000-0000-000048970000}"/>
    <cellStyle name="Normal 2 7 8 4 2 4" xfId="39018" xr:uid="{00000000-0005-0000-0000-000049970000}"/>
    <cellStyle name="Normal 2 7 8 4 2 5" xfId="39019" xr:uid="{00000000-0005-0000-0000-00004A970000}"/>
    <cellStyle name="Normal 2 7 8 4 2 6" xfId="39020" xr:uid="{00000000-0005-0000-0000-00004B970000}"/>
    <cellStyle name="Normal 2 7 8 4 2 7" xfId="39021" xr:uid="{00000000-0005-0000-0000-00004C970000}"/>
    <cellStyle name="Normal 2 7 8 4 2 8" xfId="39022" xr:uid="{00000000-0005-0000-0000-00004D970000}"/>
    <cellStyle name="Normal 2 7 8 4 3" xfId="39023" xr:uid="{00000000-0005-0000-0000-00004E970000}"/>
    <cellStyle name="Normal 2 7 8 4 3 2" xfId="39024" xr:uid="{00000000-0005-0000-0000-00004F970000}"/>
    <cellStyle name="Normal 2 7 8 4 3 2 2" xfId="39025" xr:uid="{00000000-0005-0000-0000-000050970000}"/>
    <cellStyle name="Normal 2 7 8 4 3 2 3" xfId="39026" xr:uid="{00000000-0005-0000-0000-000051970000}"/>
    <cellStyle name="Normal 2 7 8 4 3 2 4" xfId="39027" xr:uid="{00000000-0005-0000-0000-000052970000}"/>
    <cellStyle name="Normal 2 7 8 4 3 2 5" xfId="39028" xr:uid="{00000000-0005-0000-0000-000053970000}"/>
    <cellStyle name="Normal 2 7 8 4 3 3" xfId="39029" xr:uid="{00000000-0005-0000-0000-000054970000}"/>
    <cellStyle name="Normal 2 7 8 4 3 4" xfId="39030" xr:uid="{00000000-0005-0000-0000-000055970000}"/>
    <cellStyle name="Normal 2 7 8 4 3 5" xfId="39031" xr:uid="{00000000-0005-0000-0000-000056970000}"/>
    <cellStyle name="Normal 2 7 8 4 3 6" xfId="39032" xr:uid="{00000000-0005-0000-0000-000057970000}"/>
    <cellStyle name="Normal 2 7 8 4 3 7" xfId="39033" xr:uid="{00000000-0005-0000-0000-000058970000}"/>
    <cellStyle name="Normal 2 7 8 4 3 8" xfId="39034" xr:uid="{00000000-0005-0000-0000-000059970000}"/>
    <cellStyle name="Normal 2 7 8 4 4" xfId="39035" xr:uid="{00000000-0005-0000-0000-00005A970000}"/>
    <cellStyle name="Normal 2 7 8 4 4 2" xfId="39036" xr:uid="{00000000-0005-0000-0000-00005B970000}"/>
    <cellStyle name="Normal 2 7 8 4 4 3" xfId="39037" xr:uid="{00000000-0005-0000-0000-00005C970000}"/>
    <cellStyle name="Normal 2 7 8 4 4 4" xfId="39038" xr:uid="{00000000-0005-0000-0000-00005D970000}"/>
    <cellStyle name="Normal 2 7 8 4 4 5" xfId="39039" xr:uid="{00000000-0005-0000-0000-00005E970000}"/>
    <cellStyle name="Normal 2 7 8 4 5" xfId="39040" xr:uid="{00000000-0005-0000-0000-00005F970000}"/>
    <cellStyle name="Normal 2 7 8 4 6" xfId="39041" xr:uid="{00000000-0005-0000-0000-000060970000}"/>
    <cellStyle name="Normal 2 7 8 4 7" xfId="39042" xr:uid="{00000000-0005-0000-0000-000061970000}"/>
    <cellStyle name="Normal 2 7 8 4 8" xfId="39043" xr:uid="{00000000-0005-0000-0000-000062970000}"/>
    <cellStyle name="Normal 2 7 8 4 9" xfId="39044" xr:uid="{00000000-0005-0000-0000-000063970000}"/>
    <cellStyle name="Normal 2 7 8 5" xfId="39045" xr:uid="{00000000-0005-0000-0000-000064970000}"/>
    <cellStyle name="Normal 2 7 8 5 2" xfId="39046" xr:uid="{00000000-0005-0000-0000-000065970000}"/>
    <cellStyle name="Normal 2 7 8 5 2 2" xfId="39047" xr:uid="{00000000-0005-0000-0000-000066970000}"/>
    <cellStyle name="Normal 2 7 8 5 2 3" xfId="39048" xr:uid="{00000000-0005-0000-0000-000067970000}"/>
    <cellStyle name="Normal 2 7 8 5 2 4" xfId="39049" xr:uid="{00000000-0005-0000-0000-000068970000}"/>
    <cellStyle name="Normal 2 7 8 5 2 5" xfId="39050" xr:uid="{00000000-0005-0000-0000-000069970000}"/>
    <cellStyle name="Normal 2 7 8 5 3" xfId="39051" xr:uid="{00000000-0005-0000-0000-00006A970000}"/>
    <cellStyle name="Normal 2 7 8 5 4" xfId="39052" xr:uid="{00000000-0005-0000-0000-00006B970000}"/>
    <cellStyle name="Normal 2 7 8 5 5" xfId="39053" xr:uid="{00000000-0005-0000-0000-00006C970000}"/>
    <cellStyle name="Normal 2 7 8 5 6" xfId="39054" xr:uid="{00000000-0005-0000-0000-00006D970000}"/>
    <cellStyle name="Normal 2 7 8 5 7" xfId="39055" xr:uid="{00000000-0005-0000-0000-00006E970000}"/>
    <cellStyle name="Normal 2 7 8 5 8" xfId="39056" xr:uid="{00000000-0005-0000-0000-00006F970000}"/>
    <cellStyle name="Normal 2 7 8 6" xfId="39057" xr:uid="{00000000-0005-0000-0000-000070970000}"/>
    <cellStyle name="Normal 2 7 8 6 2" xfId="39058" xr:uid="{00000000-0005-0000-0000-000071970000}"/>
    <cellStyle name="Normal 2 7 8 6 2 2" xfId="39059" xr:uid="{00000000-0005-0000-0000-000072970000}"/>
    <cellStyle name="Normal 2 7 8 6 2 3" xfId="39060" xr:uid="{00000000-0005-0000-0000-000073970000}"/>
    <cellStyle name="Normal 2 7 8 6 2 4" xfId="39061" xr:uid="{00000000-0005-0000-0000-000074970000}"/>
    <cellStyle name="Normal 2 7 8 6 2 5" xfId="39062" xr:uid="{00000000-0005-0000-0000-000075970000}"/>
    <cellStyle name="Normal 2 7 8 6 3" xfId="39063" xr:uid="{00000000-0005-0000-0000-000076970000}"/>
    <cellStyle name="Normal 2 7 8 6 4" xfId="39064" xr:uid="{00000000-0005-0000-0000-000077970000}"/>
    <cellStyle name="Normal 2 7 8 6 5" xfId="39065" xr:uid="{00000000-0005-0000-0000-000078970000}"/>
    <cellStyle name="Normal 2 7 8 6 6" xfId="39066" xr:uid="{00000000-0005-0000-0000-000079970000}"/>
    <cellStyle name="Normal 2 7 8 6 7" xfId="39067" xr:uid="{00000000-0005-0000-0000-00007A970000}"/>
    <cellStyle name="Normal 2 7 8 6 8" xfId="39068" xr:uid="{00000000-0005-0000-0000-00007B970000}"/>
    <cellStyle name="Normal 2 7 8 7" xfId="39069" xr:uid="{00000000-0005-0000-0000-00007C970000}"/>
    <cellStyle name="Normal 2 7 8 7 2" xfId="39070" xr:uid="{00000000-0005-0000-0000-00007D970000}"/>
    <cellStyle name="Normal 2 7 8 7 3" xfId="39071" xr:uid="{00000000-0005-0000-0000-00007E970000}"/>
    <cellStyle name="Normal 2 7 8 7 4" xfId="39072" xr:uid="{00000000-0005-0000-0000-00007F970000}"/>
    <cellStyle name="Normal 2 7 8 7 5" xfId="39073" xr:uid="{00000000-0005-0000-0000-000080970000}"/>
    <cellStyle name="Normal 2 7 8 8" xfId="39074" xr:uid="{00000000-0005-0000-0000-000081970000}"/>
    <cellStyle name="Normal 2 7 8 9" xfId="39075" xr:uid="{00000000-0005-0000-0000-000082970000}"/>
    <cellStyle name="Normal 2 7 9" xfId="39076" xr:uid="{00000000-0005-0000-0000-000083970000}"/>
    <cellStyle name="Normal 2 7 9 10" xfId="39077" xr:uid="{00000000-0005-0000-0000-000084970000}"/>
    <cellStyle name="Normal 2 7 9 11" xfId="39078" xr:uid="{00000000-0005-0000-0000-000085970000}"/>
    <cellStyle name="Normal 2 7 9 2" xfId="39079" xr:uid="{00000000-0005-0000-0000-000086970000}"/>
    <cellStyle name="Normal 2 7 9 2 10" xfId="39080" xr:uid="{00000000-0005-0000-0000-000087970000}"/>
    <cellStyle name="Normal 2 7 9 2 2" xfId="39081" xr:uid="{00000000-0005-0000-0000-000088970000}"/>
    <cellStyle name="Normal 2 7 9 2 2 2" xfId="39082" xr:uid="{00000000-0005-0000-0000-000089970000}"/>
    <cellStyle name="Normal 2 7 9 2 2 2 2" xfId="39083" xr:uid="{00000000-0005-0000-0000-00008A970000}"/>
    <cellStyle name="Normal 2 7 9 2 2 2 3" xfId="39084" xr:uid="{00000000-0005-0000-0000-00008B970000}"/>
    <cellStyle name="Normal 2 7 9 2 2 2 4" xfId="39085" xr:uid="{00000000-0005-0000-0000-00008C970000}"/>
    <cellStyle name="Normal 2 7 9 2 2 2 5" xfId="39086" xr:uid="{00000000-0005-0000-0000-00008D970000}"/>
    <cellStyle name="Normal 2 7 9 2 2 3" xfId="39087" xr:uid="{00000000-0005-0000-0000-00008E970000}"/>
    <cellStyle name="Normal 2 7 9 2 2 4" xfId="39088" xr:uid="{00000000-0005-0000-0000-00008F970000}"/>
    <cellStyle name="Normal 2 7 9 2 2 5" xfId="39089" xr:uid="{00000000-0005-0000-0000-000090970000}"/>
    <cellStyle name="Normal 2 7 9 2 2 6" xfId="39090" xr:uid="{00000000-0005-0000-0000-000091970000}"/>
    <cellStyle name="Normal 2 7 9 2 2 7" xfId="39091" xr:uid="{00000000-0005-0000-0000-000092970000}"/>
    <cellStyle name="Normal 2 7 9 2 2 8" xfId="39092" xr:uid="{00000000-0005-0000-0000-000093970000}"/>
    <cellStyle name="Normal 2 7 9 2 3" xfId="39093" xr:uid="{00000000-0005-0000-0000-000094970000}"/>
    <cellStyle name="Normal 2 7 9 2 3 2" xfId="39094" xr:uid="{00000000-0005-0000-0000-000095970000}"/>
    <cellStyle name="Normal 2 7 9 2 3 2 2" xfId="39095" xr:uid="{00000000-0005-0000-0000-000096970000}"/>
    <cellStyle name="Normal 2 7 9 2 3 2 3" xfId="39096" xr:uid="{00000000-0005-0000-0000-000097970000}"/>
    <cellStyle name="Normal 2 7 9 2 3 2 4" xfId="39097" xr:uid="{00000000-0005-0000-0000-000098970000}"/>
    <cellStyle name="Normal 2 7 9 2 3 2 5" xfId="39098" xr:uid="{00000000-0005-0000-0000-000099970000}"/>
    <cellStyle name="Normal 2 7 9 2 3 3" xfId="39099" xr:uid="{00000000-0005-0000-0000-00009A970000}"/>
    <cellStyle name="Normal 2 7 9 2 3 4" xfId="39100" xr:uid="{00000000-0005-0000-0000-00009B970000}"/>
    <cellStyle name="Normal 2 7 9 2 3 5" xfId="39101" xr:uid="{00000000-0005-0000-0000-00009C970000}"/>
    <cellStyle name="Normal 2 7 9 2 3 6" xfId="39102" xr:uid="{00000000-0005-0000-0000-00009D970000}"/>
    <cellStyle name="Normal 2 7 9 2 3 7" xfId="39103" xr:uid="{00000000-0005-0000-0000-00009E970000}"/>
    <cellStyle name="Normal 2 7 9 2 3 8" xfId="39104" xr:uid="{00000000-0005-0000-0000-00009F970000}"/>
    <cellStyle name="Normal 2 7 9 2 4" xfId="39105" xr:uid="{00000000-0005-0000-0000-0000A0970000}"/>
    <cellStyle name="Normal 2 7 9 2 4 2" xfId="39106" xr:uid="{00000000-0005-0000-0000-0000A1970000}"/>
    <cellStyle name="Normal 2 7 9 2 4 3" xfId="39107" xr:uid="{00000000-0005-0000-0000-0000A2970000}"/>
    <cellStyle name="Normal 2 7 9 2 4 4" xfId="39108" xr:uid="{00000000-0005-0000-0000-0000A3970000}"/>
    <cellStyle name="Normal 2 7 9 2 4 5" xfId="39109" xr:uid="{00000000-0005-0000-0000-0000A4970000}"/>
    <cellStyle name="Normal 2 7 9 2 5" xfId="39110" xr:uid="{00000000-0005-0000-0000-0000A5970000}"/>
    <cellStyle name="Normal 2 7 9 2 6" xfId="39111" xr:uid="{00000000-0005-0000-0000-0000A6970000}"/>
    <cellStyle name="Normal 2 7 9 2 7" xfId="39112" xr:uid="{00000000-0005-0000-0000-0000A7970000}"/>
    <cellStyle name="Normal 2 7 9 2 8" xfId="39113" xr:uid="{00000000-0005-0000-0000-0000A8970000}"/>
    <cellStyle name="Normal 2 7 9 2 9" xfId="39114" xr:uid="{00000000-0005-0000-0000-0000A9970000}"/>
    <cellStyle name="Normal 2 7 9 3" xfId="39115" xr:uid="{00000000-0005-0000-0000-0000AA970000}"/>
    <cellStyle name="Normal 2 7 9 3 2" xfId="39116" xr:uid="{00000000-0005-0000-0000-0000AB970000}"/>
    <cellStyle name="Normal 2 7 9 3 2 2" xfId="39117" xr:uid="{00000000-0005-0000-0000-0000AC970000}"/>
    <cellStyle name="Normal 2 7 9 3 2 3" xfId="39118" xr:uid="{00000000-0005-0000-0000-0000AD970000}"/>
    <cellStyle name="Normal 2 7 9 3 2 4" xfId="39119" xr:uid="{00000000-0005-0000-0000-0000AE970000}"/>
    <cellStyle name="Normal 2 7 9 3 2 5" xfId="39120" xr:uid="{00000000-0005-0000-0000-0000AF970000}"/>
    <cellStyle name="Normal 2 7 9 3 3" xfId="39121" xr:uid="{00000000-0005-0000-0000-0000B0970000}"/>
    <cellStyle name="Normal 2 7 9 3 4" xfId="39122" xr:uid="{00000000-0005-0000-0000-0000B1970000}"/>
    <cellStyle name="Normal 2 7 9 3 5" xfId="39123" xr:uid="{00000000-0005-0000-0000-0000B2970000}"/>
    <cellStyle name="Normal 2 7 9 3 6" xfId="39124" xr:uid="{00000000-0005-0000-0000-0000B3970000}"/>
    <cellStyle name="Normal 2 7 9 3 7" xfId="39125" xr:uid="{00000000-0005-0000-0000-0000B4970000}"/>
    <cellStyle name="Normal 2 7 9 3 8" xfId="39126" xr:uid="{00000000-0005-0000-0000-0000B5970000}"/>
    <cellStyle name="Normal 2 7 9 4" xfId="39127" xr:uid="{00000000-0005-0000-0000-0000B6970000}"/>
    <cellStyle name="Normal 2 7 9 4 2" xfId="39128" xr:uid="{00000000-0005-0000-0000-0000B7970000}"/>
    <cellStyle name="Normal 2 7 9 4 2 2" xfId="39129" xr:uid="{00000000-0005-0000-0000-0000B8970000}"/>
    <cellStyle name="Normal 2 7 9 4 2 3" xfId="39130" xr:uid="{00000000-0005-0000-0000-0000B9970000}"/>
    <cellStyle name="Normal 2 7 9 4 2 4" xfId="39131" xr:uid="{00000000-0005-0000-0000-0000BA970000}"/>
    <cellStyle name="Normal 2 7 9 4 2 5" xfId="39132" xr:uid="{00000000-0005-0000-0000-0000BB970000}"/>
    <cellStyle name="Normal 2 7 9 4 3" xfId="39133" xr:uid="{00000000-0005-0000-0000-0000BC970000}"/>
    <cellStyle name="Normal 2 7 9 4 4" xfId="39134" xr:uid="{00000000-0005-0000-0000-0000BD970000}"/>
    <cellStyle name="Normal 2 7 9 4 5" xfId="39135" xr:uid="{00000000-0005-0000-0000-0000BE970000}"/>
    <cellStyle name="Normal 2 7 9 4 6" xfId="39136" xr:uid="{00000000-0005-0000-0000-0000BF970000}"/>
    <cellStyle name="Normal 2 7 9 4 7" xfId="39137" xr:uid="{00000000-0005-0000-0000-0000C0970000}"/>
    <cellStyle name="Normal 2 7 9 4 8" xfId="39138" xr:uid="{00000000-0005-0000-0000-0000C1970000}"/>
    <cellStyle name="Normal 2 7 9 5" xfId="39139" xr:uid="{00000000-0005-0000-0000-0000C2970000}"/>
    <cellStyle name="Normal 2 7 9 5 2" xfId="39140" xr:uid="{00000000-0005-0000-0000-0000C3970000}"/>
    <cellStyle name="Normal 2 7 9 5 3" xfId="39141" xr:uid="{00000000-0005-0000-0000-0000C4970000}"/>
    <cellStyle name="Normal 2 7 9 5 4" xfId="39142" xr:uid="{00000000-0005-0000-0000-0000C5970000}"/>
    <cellStyle name="Normal 2 7 9 5 5" xfId="39143" xr:uid="{00000000-0005-0000-0000-0000C6970000}"/>
    <cellStyle name="Normal 2 7 9 6" xfId="39144" xr:uid="{00000000-0005-0000-0000-0000C7970000}"/>
    <cellStyle name="Normal 2 7 9 7" xfId="39145" xr:uid="{00000000-0005-0000-0000-0000C8970000}"/>
    <cellStyle name="Normal 2 7 9 8" xfId="39146" xr:uid="{00000000-0005-0000-0000-0000C9970000}"/>
    <cellStyle name="Normal 2 7 9 9" xfId="39147" xr:uid="{00000000-0005-0000-0000-0000CA970000}"/>
    <cellStyle name="Normal 2 8" xfId="887" xr:uid="{00000000-0005-0000-0000-0000CB970000}"/>
    <cellStyle name="Normal 2 8 10" xfId="39148" xr:uid="{00000000-0005-0000-0000-0000CC970000}"/>
    <cellStyle name="Normal 2 8 10 10" xfId="39149" xr:uid="{00000000-0005-0000-0000-0000CD970000}"/>
    <cellStyle name="Normal 2 8 10 11" xfId="39150" xr:uid="{00000000-0005-0000-0000-0000CE970000}"/>
    <cellStyle name="Normal 2 8 10 2" xfId="39151" xr:uid="{00000000-0005-0000-0000-0000CF970000}"/>
    <cellStyle name="Normal 2 8 10 2 10" xfId="39152" xr:uid="{00000000-0005-0000-0000-0000D0970000}"/>
    <cellStyle name="Normal 2 8 10 2 2" xfId="39153" xr:uid="{00000000-0005-0000-0000-0000D1970000}"/>
    <cellStyle name="Normal 2 8 10 2 2 2" xfId="39154" xr:uid="{00000000-0005-0000-0000-0000D2970000}"/>
    <cellStyle name="Normal 2 8 10 2 2 2 2" xfId="39155" xr:uid="{00000000-0005-0000-0000-0000D3970000}"/>
    <cellStyle name="Normal 2 8 10 2 2 2 3" xfId="39156" xr:uid="{00000000-0005-0000-0000-0000D4970000}"/>
    <cellStyle name="Normal 2 8 10 2 2 2 4" xfId="39157" xr:uid="{00000000-0005-0000-0000-0000D5970000}"/>
    <cellStyle name="Normal 2 8 10 2 2 2 5" xfId="39158" xr:uid="{00000000-0005-0000-0000-0000D6970000}"/>
    <cellStyle name="Normal 2 8 10 2 2 3" xfId="39159" xr:uid="{00000000-0005-0000-0000-0000D7970000}"/>
    <cellStyle name="Normal 2 8 10 2 2 4" xfId="39160" xr:uid="{00000000-0005-0000-0000-0000D8970000}"/>
    <cellStyle name="Normal 2 8 10 2 2 5" xfId="39161" xr:uid="{00000000-0005-0000-0000-0000D9970000}"/>
    <cellStyle name="Normal 2 8 10 2 2 6" xfId="39162" xr:uid="{00000000-0005-0000-0000-0000DA970000}"/>
    <cellStyle name="Normal 2 8 10 2 2 7" xfId="39163" xr:uid="{00000000-0005-0000-0000-0000DB970000}"/>
    <cellStyle name="Normal 2 8 10 2 2 8" xfId="39164" xr:uid="{00000000-0005-0000-0000-0000DC970000}"/>
    <cellStyle name="Normal 2 8 10 2 3" xfId="39165" xr:uid="{00000000-0005-0000-0000-0000DD970000}"/>
    <cellStyle name="Normal 2 8 10 2 3 2" xfId="39166" xr:uid="{00000000-0005-0000-0000-0000DE970000}"/>
    <cellStyle name="Normal 2 8 10 2 3 2 2" xfId="39167" xr:uid="{00000000-0005-0000-0000-0000DF970000}"/>
    <cellStyle name="Normal 2 8 10 2 3 2 3" xfId="39168" xr:uid="{00000000-0005-0000-0000-0000E0970000}"/>
    <cellStyle name="Normal 2 8 10 2 3 2 4" xfId="39169" xr:uid="{00000000-0005-0000-0000-0000E1970000}"/>
    <cellStyle name="Normal 2 8 10 2 3 2 5" xfId="39170" xr:uid="{00000000-0005-0000-0000-0000E2970000}"/>
    <cellStyle name="Normal 2 8 10 2 3 3" xfId="39171" xr:uid="{00000000-0005-0000-0000-0000E3970000}"/>
    <cellStyle name="Normal 2 8 10 2 3 4" xfId="39172" xr:uid="{00000000-0005-0000-0000-0000E4970000}"/>
    <cellStyle name="Normal 2 8 10 2 3 5" xfId="39173" xr:uid="{00000000-0005-0000-0000-0000E5970000}"/>
    <cellStyle name="Normal 2 8 10 2 3 6" xfId="39174" xr:uid="{00000000-0005-0000-0000-0000E6970000}"/>
    <cellStyle name="Normal 2 8 10 2 3 7" xfId="39175" xr:uid="{00000000-0005-0000-0000-0000E7970000}"/>
    <cellStyle name="Normal 2 8 10 2 3 8" xfId="39176" xr:uid="{00000000-0005-0000-0000-0000E8970000}"/>
    <cellStyle name="Normal 2 8 10 2 4" xfId="39177" xr:uid="{00000000-0005-0000-0000-0000E9970000}"/>
    <cellStyle name="Normal 2 8 10 2 4 2" xfId="39178" xr:uid="{00000000-0005-0000-0000-0000EA970000}"/>
    <cellStyle name="Normal 2 8 10 2 4 3" xfId="39179" xr:uid="{00000000-0005-0000-0000-0000EB970000}"/>
    <cellStyle name="Normal 2 8 10 2 4 4" xfId="39180" xr:uid="{00000000-0005-0000-0000-0000EC970000}"/>
    <cellStyle name="Normal 2 8 10 2 4 5" xfId="39181" xr:uid="{00000000-0005-0000-0000-0000ED970000}"/>
    <cellStyle name="Normal 2 8 10 2 5" xfId="39182" xr:uid="{00000000-0005-0000-0000-0000EE970000}"/>
    <cellStyle name="Normal 2 8 10 2 6" xfId="39183" xr:uid="{00000000-0005-0000-0000-0000EF970000}"/>
    <cellStyle name="Normal 2 8 10 2 7" xfId="39184" xr:uid="{00000000-0005-0000-0000-0000F0970000}"/>
    <cellStyle name="Normal 2 8 10 2 8" xfId="39185" xr:uid="{00000000-0005-0000-0000-0000F1970000}"/>
    <cellStyle name="Normal 2 8 10 2 9" xfId="39186" xr:uid="{00000000-0005-0000-0000-0000F2970000}"/>
    <cellStyle name="Normal 2 8 10 3" xfId="39187" xr:uid="{00000000-0005-0000-0000-0000F3970000}"/>
    <cellStyle name="Normal 2 8 10 3 2" xfId="39188" xr:uid="{00000000-0005-0000-0000-0000F4970000}"/>
    <cellStyle name="Normal 2 8 10 3 2 2" xfId="39189" xr:uid="{00000000-0005-0000-0000-0000F5970000}"/>
    <cellStyle name="Normal 2 8 10 3 2 3" xfId="39190" xr:uid="{00000000-0005-0000-0000-0000F6970000}"/>
    <cellStyle name="Normal 2 8 10 3 2 4" xfId="39191" xr:uid="{00000000-0005-0000-0000-0000F7970000}"/>
    <cellStyle name="Normal 2 8 10 3 2 5" xfId="39192" xr:uid="{00000000-0005-0000-0000-0000F8970000}"/>
    <cellStyle name="Normal 2 8 10 3 3" xfId="39193" xr:uid="{00000000-0005-0000-0000-0000F9970000}"/>
    <cellStyle name="Normal 2 8 10 3 4" xfId="39194" xr:uid="{00000000-0005-0000-0000-0000FA970000}"/>
    <cellStyle name="Normal 2 8 10 3 5" xfId="39195" xr:uid="{00000000-0005-0000-0000-0000FB970000}"/>
    <cellStyle name="Normal 2 8 10 3 6" xfId="39196" xr:uid="{00000000-0005-0000-0000-0000FC970000}"/>
    <cellStyle name="Normal 2 8 10 3 7" xfId="39197" xr:uid="{00000000-0005-0000-0000-0000FD970000}"/>
    <cellStyle name="Normal 2 8 10 3 8" xfId="39198" xr:uid="{00000000-0005-0000-0000-0000FE970000}"/>
    <cellStyle name="Normal 2 8 10 4" xfId="39199" xr:uid="{00000000-0005-0000-0000-0000FF970000}"/>
    <cellStyle name="Normal 2 8 10 4 2" xfId="39200" xr:uid="{00000000-0005-0000-0000-000000980000}"/>
    <cellStyle name="Normal 2 8 10 4 2 2" xfId="39201" xr:uid="{00000000-0005-0000-0000-000001980000}"/>
    <cellStyle name="Normal 2 8 10 4 2 3" xfId="39202" xr:uid="{00000000-0005-0000-0000-000002980000}"/>
    <cellStyle name="Normal 2 8 10 4 2 4" xfId="39203" xr:uid="{00000000-0005-0000-0000-000003980000}"/>
    <cellStyle name="Normal 2 8 10 4 2 5" xfId="39204" xr:uid="{00000000-0005-0000-0000-000004980000}"/>
    <cellStyle name="Normal 2 8 10 4 3" xfId="39205" xr:uid="{00000000-0005-0000-0000-000005980000}"/>
    <cellStyle name="Normal 2 8 10 4 4" xfId="39206" xr:uid="{00000000-0005-0000-0000-000006980000}"/>
    <cellStyle name="Normal 2 8 10 4 5" xfId="39207" xr:uid="{00000000-0005-0000-0000-000007980000}"/>
    <cellStyle name="Normal 2 8 10 4 6" xfId="39208" xr:uid="{00000000-0005-0000-0000-000008980000}"/>
    <cellStyle name="Normal 2 8 10 4 7" xfId="39209" xr:uid="{00000000-0005-0000-0000-000009980000}"/>
    <cellStyle name="Normal 2 8 10 4 8" xfId="39210" xr:uid="{00000000-0005-0000-0000-00000A980000}"/>
    <cellStyle name="Normal 2 8 10 5" xfId="39211" xr:uid="{00000000-0005-0000-0000-00000B980000}"/>
    <cellStyle name="Normal 2 8 10 5 2" xfId="39212" xr:uid="{00000000-0005-0000-0000-00000C980000}"/>
    <cellStyle name="Normal 2 8 10 5 3" xfId="39213" xr:uid="{00000000-0005-0000-0000-00000D980000}"/>
    <cellStyle name="Normal 2 8 10 5 4" xfId="39214" xr:uid="{00000000-0005-0000-0000-00000E980000}"/>
    <cellStyle name="Normal 2 8 10 5 5" xfId="39215" xr:uid="{00000000-0005-0000-0000-00000F980000}"/>
    <cellStyle name="Normal 2 8 10 6" xfId="39216" xr:uid="{00000000-0005-0000-0000-000010980000}"/>
    <cellStyle name="Normal 2 8 10 7" xfId="39217" xr:uid="{00000000-0005-0000-0000-000011980000}"/>
    <cellStyle name="Normal 2 8 10 8" xfId="39218" xr:uid="{00000000-0005-0000-0000-000012980000}"/>
    <cellStyle name="Normal 2 8 10 9" xfId="39219" xr:uid="{00000000-0005-0000-0000-000013980000}"/>
    <cellStyle name="Normal 2 8 11" xfId="39220" xr:uid="{00000000-0005-0000-0000-000014980000}"/>
    <cellStyle name="Normal 2 8 11 10" xfId="39221" xr:uid="{00000000-0005-0000-0000-000015980000}"/>
    <cellStyle name="Normal 2 8 11 2" xfId="39222" xr:uid="{00000000-0005-0000-0000-000016980000}"/>
    <cellStyle name="Normal 2 8 11 2 2" xfId="39223" xr:uid="{00000000-0005-0000-0000-000017980000}"/>
    <cellStyle name="Normal 2 8 11 2 2 2" xfId="39224" xr:uid="{00000000-0005-0000-0000-000018980000}"/>
    <cellStyle name="Normal 2 8 11 2 2 3" xfId="39225" xr:uid="{00000000-0005-0000-0000-000019980000}"/>
    <cellStyle name="Normal 2 8 11 2 2 4" xfId="39226" xr:uid="{00000000-0005-0000-0000-00001A980000}"/>
    <cellStyle name="Normal 2 8 11 2 2 5" xfId="39227" xr:uid="{00000000-0005-0000-0000-00001B980000}"/>
    <cellStyle name="Normal 2 8 11 2 3" xfId="39228" xr:uid="{00000000-0005-0000-0000-00001C980000}"/>
    <cellStyle name="Normal 2 8 11 2 4" xfId="39229" xr:uid="{00000000-0005-0000-0000-00001D980000}"/>
    <cellStyle name="Normal 2 8 11 2 5" xfId="39230" xr:uid="{00000000-0005-0000-0000-00001E980000}"/>
    <cellStyle name="Normal 2 8 11 2 6" xfId="39231" xr:uid="{00000000-0005-0000-0000-00001F980000}"/>
    <cellStyle name="Normal 2 8 11 2 7" xfId="39232" xr:uid="{00000000-0005-0000-0000-000020980000}"/>
    <cellStyle name="Normal 2 8 11 2 8" xfId="39233" xr:uid="{00000000-0005-0000-0000-000021980000}"/>
    <cellStyle name="Normal 2 8 11 3" xfId="39234" xr:uid="{00000000-0005-0000-0000-000022980000}"/>
    <cellStyle name="Normal 2 8 11 3 2" xfId="39235" xr:uid="{00000000-0005-0000-0000-000023980000}"/>
    <cellStyle name="Normal 2 8 11 3 2 2" xfId="39236" xr:uid="{00000000-0005-0000-0000-000024980000}"/>
    <cellStyle name="Normal 2 8 11 3 2 3" xfId="39237" xr:uid="{00000000-0005-0000-0000-000025980000}"/>
    <cellStyle name="Normal 2 8 11 3 2 4" xfId="39238" xr:uid="{00000000-0005-0000-0000-000026980000}"/>
    <cellStyle name="Normal 2 8 11 3 2 5" xfId="39239" xr:uid="{00000000-0005-0000-0000-000027980000}"/>
    <cellStyle name="Normal 2 8 11 3 3" xfId="39240" xr:uid="{00000000-0005-0000-0000-000028980000}"/>
    <cellStyle name="Normal 2 8 11 3 4" xfId="39241" xr:uid="{00000000-0005-0000-0000-000029980000}"/>
    <cellStyle name="Normal 2 8 11 3 5" xfId="39242" xr:uid="{00000000-0005-0000-0000-00002A980000}"/>
    <cellStyle name="Normal 2 8 11 3 6" xfId="39243" xr:uid="{00000000-0005-0000-0000-00002B980000}"/>
    <cellStyle name="Normal 2 8 11 3 7" xfId="39244" xr:uid="{00000000-0005-0000-0000-00002C980000}"/>
    <cellStyle name="Normal 2 8 11 3 8" xfId="39245" xr:uid="{00000000-0005-0000-0000-00002D980000}"/>
    <cellStyle name="Normal 2 8 11 4" xfId="39246" xr:uid="{00000000-0005-0000-0000-00002E980000}"/>
    <cellStyle name="Normal 2 8 11 4 2" xfId="39247" xr:uid="{00000000-0005-0000-0000-00002F980000}"/>
    <cellStyle name="Normal 2 8 11 4 3" xfId="39248" xr:uid="{00000000-0005-0000-0000-000030980000}"/>
    <cellStyle name="Normal 2 8 11 4 4" xfId="39249" xr:uid="{00000000-0005-0000-0000-000031980000}"/>
    <cellStyle name="Normal 2 8 11 4 5" xfId="39250" xr:uid="{00000000-0005-0000-0000-000032980000}"/>
    <cellStyle name="Normal 2 8 11 5" xfId="39251" xr:uid="{00000000-0005-0000-0000-000033980000}"/>
    <cellStyle name="Normal 2 8 11 6" xfId="39252" xr:uid="{00000000-0005-0000-0000-000034980000}"/>
    <cellStyle name="Normal 2 8 11 7" xfId="39253" xr:uid="{00000000-0005-0000-0000-000035980000}"/>
    <cellStyle name="Normal 2 8 11 8" xfId="39254" xr:uid="{00000000-0005-0000-0000-000036980000}"/>
    <cellStyle name="Normal 2 8 11 9" xfId="39255" xr:uid="{00000000-0005-0000-0000-000037980000}"/>
    <cellStyle name="Normal 2 8 12" xfId="39256" xr:uid="{00000000-0005-0000-0000-000038980000}"/>
    <cellStyle name="Normal 2 8 12 2" xfId="39257" xr:uid="{00000000-0005-0000-0000-000039980000}"/>
    <cellStyle name="Normal 2 8 12 2 2" xfId="39258" xr:uid="{00000000-0005-0000-0000-00003A980000}"/>
    <cellStyle name="Normal 2 8 12 2 3" xfId="39259" xr:uid="{00000000-0005-0000-0000-00003B980000}"/>
    <cellStyle name="Normal 2 8 12 2 4" xfId="39260" xr:uid="{00000000-0005-0000-0000-00003C980000}"/>
    <cellStyle name="Normal 2 8 12 2 5" xfId="39261" xr:uid="{00000000-0005-0000-0000-00003D980000}"/>
    <cellStyle name="Normal 2 8 12 3" xfId="39262" xr:uid="{00000000-0005-0000-0000-00003E980000}"/>
    <cellStyle name="Normal 2 8 12 4" xfId="39263" xr:uid="{00000000-0005-0000-0000-00003F980000}"/>
    <cellStyle name="Normal 2 8 12 5" xfId="39264" xr:uid="{00000000-0005-0000-0000-000040980000}"/>
    <cellStyle name="Normal 2 8 12 6" xfId="39265" xr:uid="{00000000-0005-0000-0000-000041980000}"/>
    <cellStyle name="Normal 2 8 12 7" xfId="39266" xr:uid="{00000000-0005-0000-0000-000042980000}"/>
    <cellStyle name="Normal 2 8 12 8" xfId="39267" xr:uid="{00000000-0005-0000-0000-000043980000}"/>
    <cellStyle name="Normal 2 8 13" xfId="39268" xr:uid="{00000000-0005-0000-0000-000044980000}"/>
    <cellStyle name="Normal 2 8 13 2" xfId="39269" xr:uid="{00000000-0005-0000-0000-000045980000}"/>
    <cellStyle name="Normal 2 8 13 2 2" xfId="39270" xr:uid="{00000000-0005-0000-0000-000046980000}"/>
    <cellStyle name="Normal 2 8 13 2 3" xfId="39271" xr:uid="{00000000-0005-0000-0000-000047980000}"/>
    <cellStyle name="Normal 2 8 13 2 4" xfId="39272" xr:uid="{00000000-0005-0000-0000-000048980000}"/>
    <cellStyle name="Normal 2 8 13 2 5" xfId="39273" xr:uid="{00000000-0005-0000-0000-000049980000}"/>
    <cellStyle name="Normal 2 8 13 3" xfId="39274" xr:uid="{00000000-0005-0000-0000-00004A980000}"/>
    <cellStyle name="Normal 2 8 13 4" xfId="39275" xr:uid="{00000000-0005-0000-0000-00004B980000}"/>
    <cellStyle name="Normal 2 8 13 5" xfId="39276" xr:uid="{00000000-0005-0000-0000-00004C980000}"/>
    <cellStyle name="Normal 2 8 13 6" xfId="39277" xr:uid="{00000000-0005-0000-0000-00004D980000}"/>
    <cellStyle name="Normal 2 8 13 7" xfId="39278" xr:uid="{00000000-0005-0000-0000-00004E980000}"/>
    <cellStyle name="Normal 2 8 13 8" xfId="39279" xr:uid="{00000000-0005-0000-0000-00004F980000}"/>
    <cellStyle name="Normal 2 8 14" xfId="39280" xr:uid="{00000000-0005-0000-0000-000050980000}"/>
    <cellStyle name="Normal 2 8 14 2" xfId="39281" xr:uid="{00000000-0005-0000-0000-000051980000}"/>
    <cellStyle name="Normal 2 8 14 3" xfId="39282" xr:uid="{00000000-0005-0000-0000-000052980000}"/>
    <cellStyle name="Normal 2 8 14 4" xfId="39283" xr:uid="{00000000-0005-0000-0000-000053980000}"/>
    <cellStyle name="Normal 2 8 14 5" xfId="39284" xr:uid="{00000000-0005-0000-0000-000054980000}"/>
    <cellStyle name="Normal 2 8 15" xfId="39285" xr:uid="{00000000-0005-0000-0000-000055980000}"/>
    <cellStyle name="Normal 2 8 16" xfId="39286" xr:uid="{00000000-0005-0000-0000-000056980000}"/>
    <cellStyle name="Normal 2 8 17" xfId="39287" xr:uid="{00000000-0005-0000-0000-000057980000}"/>
    <cellStyle name="Normal 2 8 18" xfId="39288" xr:uid="{00000000-0005-0000-0000-000058980000}"/>
    <cellStyle name="Normal 2 8 19" xfId="39289" xr:uid="{00000000-0005-0000-0000-000059980000}"/>
    <cellStyle name="Normal 2 8 2" xfId="888" xr:uid="{00000000-0005-0000-0000-00005A980000}"/>
    <cellStyle name="Normal 2 8 2 10" xfId="39290" xr:uid="{00000000-0005-0000-0000-00005B980000}"/>
    <cellStyle name="Normal 2 8 2 11" xfId="39291" xr:uid="{00000000-0005-0000-0000-00005C980000}"/>
    <cellStyle name="Normal 2 8 2 12" xfId="39292" xr:uid="{00000000-0005-0000-0000-00005D980000}"/>
    <cellStyle name="Normal 2 8 2 13" xfId="39293" xr:uid="{00000000-0005-0000-0000-00005E980000}"/>
    <cellStyle name="Normal 2 8 2 2" xfId="39294" xr:uid="{00000000-0005-0000-0000-00005F980000}"/>
    <cellStyle name="Normal 2 8 2 2 10" xfId="39295" xr:uid="{00000000-0005-0000-0000-000060980000}"/>
    <cellStyle name="Normal 2 8 2 2 11" xfId="39296" xr:uid="{00000000-0005-0000-0000-000061980000}"/>
    <cellStyle name="Normal 2 8 2 2 2" xfId="39297" xr:uid="{00000000-0005-0000-0000-000062980000}"/>
    <cellStyle name="Normal 2 8 2 2 2 10" xfId="39298" xr:uid="{00000000-0005-0000-0000-000063980000}"/>
    <cellStyle name="Normal 2 8 2 2 2 2" xfId="39299" xr:uid="{00000000-0005-0000-0000-000064980000}"/>
    <cellStyle name="Normal 2 8 2 2 2 2 2" xfId="39300" xr:uid="{00000000-0005-0000-0000-000065980000}"/>
    <cellStyle name="Normal 2 8 2 2 2 2 2 2" xfId="39301" xr:uid="{00000000-0005-0000-0000-000066980000}"/>
    <cellStyle name="Normal 2 8 2 2 2 2 2 3" xfId="39302" xr:uid="{00000000-0005-0000-0000-000067980000}"/>
    <cellStyle name="Normal 2 8 2 2 2 2 2 4" xfId="39303" xr:uid="{00000000-0005-0000-0000-000068980000}"/>
    <cellStyle name="Normal 2 8 2 2 2 2 2 5" xfId="39304" xr:uid="{00000000-0005-0000-0000-000069980000}"/>
    <cellStyle name="Normal 2 8 2 2 2 2 3" xfId="39305" xr:uid="{00000000-0005-0000-0000-00006A980000}"/>
    <cellStyle name="Normal 2 8 2 2 2 2 4" xfId="39306" xr:uid="{00000000-0005-0000-0000-00006B980000}"/>
    <cellStyle name="Normal 2 8 2 2 2 2 5" xfId="39307" xr:uid="{00000000-0005-0000-0000-00006C980000}"/>
    <cellStyle name="Normal 2 8 2 2 2 2 6" xfId="39308" xr:uid="{00000000-0005-0000-0000-00006D980000}"/>
    <cellStyle name="Normal 2 8 2 2 2 2 7" xfId="39309" xr:uid="{00000000-0005-0000-0000-00006E980000}"/>
    <cellStyle name="Normal 2 8 2 2 2 2 8" xfId="39310" xr:uid="{00000000-0005-0000-0000-00006F980000}"/>
    <cellStyle name="Normal 2 8 2 2 2 3" xfId="39311" xr:uid="{00000000-0005-0000-0000-000070980000}"/>
    <cellStyle name="Normal 2 8 2 2 2 3 2" xfId="39312" xr:uid="{00000000-0005-0000-0000-000071980000}"/>
    <cellStyle name="Normal 2 8 2 2 2 3 2 2" xfId="39313" xr:uid="{00000000-0005-0000-0000-000072980000}"/>
    <cellStyle name="Normal 2 8 2 2 2 3 2 3" xfId="39314" xr:uid="{00000000-0005-0000-0000-000073980000}"/>
    <cellStyle name="Normal 2 8 2 2 2 3 2 4" xfId="39315" xr:uid="{00000000-0005-0000-0000-000074980000}"/>
    <cellStyle name="Normal 2 8 2 2 2 3 2 5" xfId="39316" xr:uid="{00000000-0005-0000-0000-000075980000}"/>
    <cellStyle name="Normal 2 8 2 2 2 3 3" xfId="39317" xr:uid="{00000000-0005-0000-0000-000076980000}"/>
    <cellStyle name="Normal 2 8 2 2 2 3 4" xfId="39318" xr:uid="{00000000-0005-0000-0000-000077980000}"/>
    <cellStyle name="Normal 2 8 2 2 2 3 5" xfId="39319" xr:uid="{00000000-0005-0000-0000-000078980000}"/>
    <cellStyle name="Normal 2 8 2 2 2 3 6" xfId="39320" xr:uid="{00000000-0005-0000-0000-000079980000}"/>
    <cellStyle name="Normal 2 8 2 2 2 3 7" xfId="39321" xr:uid="{00000000-0005-0000-0000-00007A980000}"/>
    <cellStyle name="Normal 2 8 2 2 2 3 8" xfId="39322" xr:uid="{00000000-0005-0000-0000-00007B980000}"/>
    <cellStyle name="Normal 2 8 2 2 2 4" xfId="39323" xr:uid="{00000000-0005-0000-0000-00007C980000}"/>
    <cellStyle name="Normal 2 8 2 2 2 4 2" xfId="39324" xr:uid="{00000000-0005-0000-0000-00007D980000}"/>
    <cellStyle name="Normal 2 8 2 2 2 4 3" xfId="39325" xr:uid="{00000000-0005-0000-0000-00007E980000}"/>
    <cellStyle name="Normal 2 8 2 2 2 4 4" xfId="39326" xr:uid="{00000000-0005-0000-0000-00007F980000}"/>
    <cellStyle name="Normal 2 8 2 2 2 4 5" xfId="39327" xr:uid="{00000000-0005-0000-0000-000080980000}"/>
    <cellStyle name="Normal 2 8 2 2 2 5" xfId="39328" xr:uid="{00000000-0005-0000-0000-000081980000}"/>
    <cellStyle name="Normal 2 8 2 2 2 6" xfId="39329" xr:uid="{00000000-0005-0000-0000-000082980000}"/>
    <cellStyle name="Normal 2 8 2 2 2 7" xfId="39330" xr:uid="{00000000-0005-0000-0000-000083980000}"/>
    <cellStyle name="Normal 2 8 2 2 2 8" xfId="39331" xr:uid="{00000000-0005-0000-0000-000084980000}"/>
    <cellStyle name="Normal 2 8 2 2 2 9" xfId="39332" xr:uid="{00000000-0005-0000-0000-000085980000}"/>
    <cellStyle name="Normal 2 8 2 2 3" xfId="39333" xr:uid="{00000000-0005-0000-0000-000086980000}"/>
    <cellStyle name="Normal 2 8 2 2 3 2" xfId="39334" xr:uid="{00000000-0005-0000-0000-000087980000}"/>
    <cellStyle name="Normal 2 8 2 2 3 2 2" xfId="39335" xr:uid="{00000000-0005-0000-0000-000088980000}"/>
    <cellStyle name="Normal 2 8 2 2 3 2 3" xfId="39336" xr:uid="{00000000-0005-0000-0000-000089980000}"/>
    <cellStyle name="Normal 2 8 2 2 3 2 4" xfId="39337" xr:uid="{00000000-0005-0000-0000-00008A980000}"/>
    <cellStyle name="Normal 2 8 2 2 3 2 5" xfId="39338" xr:uid="{00000000-0005-0000-0000-00008B980000}"/>
    <cellStyle name="Normal 2 8 2 2 3 3" xfId="39339" xr:uid="{00000000-0005-0000-0000-00008C980000}"/>
    <cellStyle name="Normal 2 8 2 2 3 4" xfId="39340" xr:uid="{00000000-0005-0000-0000-00008D980000}"/>
    <cellStyle name="Normal 2 8 2 2 3 5" xfId="39341" xr:uid="{00000000-0005-0000-0000-00008E980000}"/>
    <cellStyle name="Normal 2 8 2 2 3 6" xfId="39342" xr:uid="{00000000-0005-0000-0000-00008F980000}"/>
    <cellStyle name="Normal 2 8 2 2 3 7" xfId="39343" xr:uid="{00000000-0005-0000-0000-000090980000}"/>
    <cellStyle name="Normal 2 8 2 2 3 8" xfId="39344" xr:uid="{00000000-0005-0000-0000-000091980000}"/>
    <cellStyle name="Normal 2 8 2 2 4" xfId="39345" xr:uid="{00000000-0005-0000-0000-000092980000}"/>
    <cellStyle name="Normal 2 8 2 2 4 2" xfId="39346" xr:uid="{00000000-0005-0000-0000-000093980000}"/>
    <cellStyle name="Normal 2 8 2 2 4 2 2" xfId="39347" xr:uid="{00000000-0005-0000-0000-000094980000}"/>
    <cellStyle name="Normal 2 8 2 2 4 2 3" xfId="39348" xr:uid="{00000000-0005-0000-0000-000095980000}"/>
    <cellStyle name="Normal 2 8 2 2 4 2 4" xfId="39349" xr:uid="{00000000-0005-0000-0000-000096980000}"/>
    <cellStyle name="Normal 2 8 2 2 4 2 5" xfId="39350" xr:uid="{00000000-0005-0000-0000-000097980000}"/>
    <cellStyle name="Normal 2 8 2 2 4 3" xfId="39351" xr:uid="{00000000-0005-0000-0000-000098980000}"/>
    <cellStyle name="Normal 2 8 2 2 4 4" xfId="39352" xr:uid="{00000000-0005-0000-0000-000099980000}"/>
    <cellStyle name="Normal 2 8 2 2 4 5" xfId="39353" xr:uid="{00000000-0005-0000-0000-00009A980000}"/>
    <cellStyle name="Normal 2 8 2 2 4 6" xfId="39354" xr:uid="{00000000-0005-0000-0000-00009B980000}"/>
    <cellStyle name="Normal 2 8 2 2 4 7" xfId="39355" xr:uid="{00000000-0005-0000-0000-00009C980000}"/>
    <cellStyle name="Normal 2 8 2 2 4 8" xfId="39356" xr:uid="{00000000-0005-0000-0000-00009D980000}"/>
    <cellStyle name="Normal 2 8 2 2 5" xfId="39357" xr:uid="{00000000-0005-0000-0000-00009E980000}"/>
    <cellStyle name="Normal 2 8 2 2 5 2" xfId="39358" xr:uid="{00000000-0005-0000-0000-00009F980000}"/>
    <cellStyle name="Normal 2 8 2 2 5 3" xfId="39359" xr:uid="{00000000-0005-0000-0000-0000A0980000}"/>
    <cellStyle name="Normal 2 8 2 2 5 4" xfId="39360" xr:uid="{00000000-0005-0000-0000-0000A1980000}"/>
    <cellStyle name="Normal 2 8 2 2 5 5" xfId="39361" xr:uid="{00000000-0005-0000-0000-0000A2980000}"/>
    <cellStyle name="Normal 2 8 2 2 6" xfId="39362" xr:uid="{00000000-0005-0000-0000-0000A3980000}"/>
    <cellStyle name="Normal 2 8 2 2 7" xfId="39363" xr:uid="{00000000-0005-0000-0000-0000A4980000}"/>
    <cellStyle name="Normal 2 8 2 2 8" xfId="39364" xr:uid="{00000000-0005-0000-0000-0000A5980000}"/>
    <cellStyle name="Normal 2 8 2 2 9" xfId="39365" xr:uid="{00000000-0005-0000-0000-0000A6980000}"/>
    <cellStyle name="Normal 2 8 2 3" xfId="39366" xr:uid="{00000000-0005-0000-0000-0000A7980000}"/>
    <cellStyle name="Normal 2 8 2 3 10" xfId="39367" xr:uid="{00000000-0005-0000-0000-0000A8980000}"/>
    <cellStyle name="Normal 2 8 2 3 11" xfId="39368" xr:uid="{00000000-0005-0000-0000-0000A9980000}"/>
    <cellStyle name="Normal 2 8 2 3 2" xfId="39369" xr:uid="{00000000-0005-0000-0000-0000AA980000}"/>
    <cellStyle name="Normal 2 8 2 3 2 10" xfId="39370" xr:uid="{00000000-0005-0000-0000-0000AB980000}"/>
    <cellStyle name="Normal 2 8 2 3 2 2" xfId="39371" xr:uid="{00000000-0005-0000-0000-0000AC980000}"/>
    <cellStyle name="Normal 2 8 2 3 2 2 2" xfId="39372" xr:uid="{00000000-0005-0000-0000-0000AD980000}"/>
    <cellStyle name="Normal 2 8 2 3 2 2 2 2" xfId="39373" xr:uid="{00000000-0005-0000-0000-0000AE980000}"/>
    <cellStyle name="Normal 2 8 2 3 2 2 2 3" xfId="39374" xr:uid="{00000000-0005-0000-0000-0000AF980000}"/>
    <cellStyle name="Normal 2 8 2 3 2 2 2 4" xfId="39375" xr:uid="{00000000-0005-0000-0000-0000B0980000}"/>
    <cellStyle name="Normal 2 8 2 3 2 2 2 5" xfId="39376" xr:uid="{00000000-0005-0000-0000-0000B1980000}"/>
    <cellStyle name="Normal 2 8 2 3 2 2 3" xfId="39377" xr:uid="{00000000-0005-0000-0000-0000B2980000}"/>
    <cellStyle name="Normal 2 8 2 3 2 2 4" xfId="39378" xr:uid="{00000000-0005-0000-0000-0000B3980000}"/>
    <cellStyle name="Normal 2 8 2 3 2 2 5" xfId="39379" xr:uid="{00000000-0005-0000-0000-0000B4980000}"/>
    <cellStyle name="Normal 2 8 2 3 2 2 6" xfId="39380" xr:uid="{00000000-0005-0000-0000-0000B5980000}"/>
    <cellStyle name="Normal 2 8 2 3 2 2 7" xfId="39381" xr:uid="{00000000-0005-0000-0000-0000B6980000}"/>
    <cellStyle name="Normal 2 8 2 3 2 2 8" xfId="39382" xr:uid="{00000000-0005-0000-0000-0000B7980000}"/>
    <cellStyle name="Normal 2 8 2 3 2 3" xfId="39383" xr:uid="{00000000-0005-0000-0000-0000B8980000}"/>
    <cellStyle name="Normal 2 8 2 3 2 3 2" xfId="39384" xr:uid="{00000000-0005-0000-0000-0000B9980000}"/>
    <cellStyle name="Normal 2 8 2 3 2 3 2 2" xfId="39385" xr:uid="{00000000-0005-0000-0000-0000BA980000}"/>
    <cellStyle name="Normal 2 8 2 3 2 3 2 3" xfId="39386" xr:uid="{00000000-0005-0000-0000-0000BB980000}"/>
    <cellStyle name="Normal 2 8 2 3 2 3 2 4" xfId="39387" xr:uid="{00000000-0005-0000-0000-0000BC980000}"/>
    <cellStyle name="Normal 2 8 2 3 2 3 2 5" xfId="39388" xr:uid="{00000000-0005-0000-0000-0000BD980000}"/>
    <cellStyle name="Normal 2 8 2 3 2 3 3" xfId="39389" xr:uid="{00000000-0005-0000-0000-0000BE980000}"/>
    <cellStyle name="Normal 2 8 2 3 2 3 4" xfId="39390" xr:uid="{00000000-0005-0000-0000-0000BF980000}"/>
    <cellStyle name="Normal 2 8 2 3 2 3 5" xfId="39391" xr:uid="{00000000-0005-0000-0000-0000C0980000}"/>
    <cellStyle name="Normal 2 8 2 3 2 3 6" xfId="39392" xr:uid="{00000000-0005-0000-0000-0000C1980000}"/>
    <cellStyle name="Normal 2 8 2 3 2 3 7" xfId="39393" xr:uid="{00000000-0005-0000-0000-0000C2980000}"/>
    <cellStyle name="Normal 2 8 2 3 2 3 8" xfId="39394" xr:uid="{00000000-0005-0000-0000-0000C3980000}"/>
    <cellStyle name="Normal 2 8 2 3 2 4" xfId="39395" xr:uid="{00000000-0005-0000-0000-0000C4980000}"/>
    <cellStyle name="Normal 2 8 2 3 2 4 2" xfId="39396" xr:uid="{00000000-0005-0000-0000-0000C5980000}"/>
    <cellStyle name="Normal 2 8 2 3 2 4 3" xfId="39397" xr:uid="{00000000-0005-0000-0000-0000C6980000}"/>
    <cellStyle name="Normal 2 8 2 3 2 4 4" xfId="39398" xr:uid="{00000000-0005-0000-0000-0000C7980000}"/>
    <cellStyle name="Normal 2 8 2 3 2 4 5" xfId="39399" xr:uid="{00000000-0005-0000-0000-0000C8980000}"/>
    <cellStyle name="Normal 2 8 2 3 2 5" xfId="39400" xr:uid="{00000000-0005-0000-0000-0000C9980000}"/>
    <cellStyle name="Normal 2 8 2 3 2 6" xfId="39401" xr:uid="{00000000-0005-0000-0000-0000CA980000}"/>
    <cellStyle name="Normal 2 8 2 3 2 7" xfId="39402" xr:uid="{00000000-0005-0000-0000-0000CB980000}"/>
    <cellStyle name="Normal 2 8 2 3 2 8" xfId="39403" xr:uid="{00000000-0005-0000-0000-0000CC980000}"/>
    <cellStyle name="Normal 2 8 2 3 2 9" xfId="39404" xr:uid="{00000000-0005-0000-0000-0000CD980000}"/>
    <cellStyle name="Normal 2 8 2 3 3" xfId="39405" xr:uid="{00000000-0005-0000-0000-0000CE980000}"/>
    <cellStyle name="Normal 2 8 2 3 3 2" xfId="39406" xr:uid="{00000000-0005-0000-0000-0000CF980000}"/>
    <cellStyle name="Normal 2 8 2 3 3 2 2" xfId="39407" xr:uid="{00000000-0005-0000-0000-0000D0980000}"/>
    <cellStyle name="Normal 2 8 2 3 3 2 3" xfId="39408" xr:uid="{00000000-0005-0000-0000-0000D1980000}"/>
    <cellStyle name="Normal 2 8 2 3 3 2 4" xfId="39409" xr:uid="{00000000-0005-0000-0000-0000D2980000}"/>
    <cellStyle name="Normal 2 8 2 3 3 2 5" xfId="39410" xr:uid="{00000000-0005-0000-0000-0000D3980000}"/>
    <cellStyle name="Normal 2 8 2 3 3 3" xfId="39411" xr:uid="{00000000-0005-0000-0000-0000D4980000}"/>
    <cellStyle name="Normal 2 8 2 3 3 4" xfId="39412" xr:uid="{00000000-0005-0000-0000-0000D5980000}"/>
    <cellStyle name="Normal 2 8 2 3 3 5" xfId="39413" xr:uid="{00000000-0005-0000-0000-0000D6980000}"/>
    <cellStyle name="Normal 2 8 2 3 3 6" xfId="39414" xr:uid="{00000000-0005-0000-0000-0000D7980000}"/>
    <cellStyle name="Normal 2 8 2 3 3 7" xfId="39415" xr:uid="{00000000-0005-0000-0000-0000D8980000}"/>
    <cellStyle name="Normal 2 8 2 3 3 8" xfId="39416" xr:uid="{00000000-0005-0000-0000-0000D9980000}"/>
    <cellStyle name="Normal 2 8 2 3 4" xfId="39417" xr:uid="{00000000-0005-0000-0000-0000DA980000}"/>
    <cellStyle name="Normal 2 8 2 3 4 2" xfId="39418" xr:uid="{00000000-0005-0000-0000-0000DB980000}"/>
    <cellStyle name="Normal 2 8 2 3 4 2 2" xfId="39419" xr:uid="{00000000-0005-0000-0000-0000DC980000}"/>
    <cellStyle name="Normal 2 8 2 3 4 2 3" xfId="39420" xr:uid="{00000000-0005-0000-0000-0000DD980000}"/>
    <cellStyle name="Normal 2 8 2 3 4 2 4" xfId="39421" xr:uid="{00000000-0005-0000-0000-0000DE980000}"/>
    <cellStyle name="Normal 2 8 2 3 4 2 5" xfId="39422" xr:uid="{00000000-0005-0000-0000-0000DF980000}"/>
    <cellStyle name="Normal 2 8 2 3 4 3" xfId="39423" xr:uid="{00000000-0005-0000-0000-0000E0980000}"/>
    <cellStyle name="Normal 2 8 2 3 4 4" xfId="39424" xr:uid="{00000000-0005-0000-0000-0000E1980000}"/>
    <cellStyle name="Normal 2 8 2 3 4 5" xfId="39425" xr:uid="{00000000-0005-0000-0000-0000E2980000}"/>
    <cellStyle name="Normal 2 8 2 3 4 6" xfId="39426" xr:uid="{00000000-0005-0000-0000-0000E3980000}"/>
    <cellStyle name="Normal 2 8 2 3 4 7" xfId="39427" xr:uid="{00000000-0005-0000-0000-0000E4980000}"/>
    <cellStyle name="Normal 2 8 2 3 4 8" xfId="39428" xr:uid="{00000000-0005-0000-0000-0000E5980000}"/>
    <cellStyle name="Normal 2 8 2 3 5" xfId="39429" xr:uid="{00000000-0005-0000-0000-0000E6980000}"/>
    <cellStyle name="Normal 2 8 2 3 5 2" xfId="39430" xr:uid="{00000000-0005-0000-0000-0000E7980000}"/>
    <cellStyle name="Normal 2 8 2 3 5 3" xfId="39431" xr:uid="{00000000-0005-0000-0000-0000E8980000}"/>
    <cellStyle name="Normal 2 8 2 3 5 4" xfId="39432" xr:uid="{00000000-0005-0000-0000-0000E9980000}"/>
    <cellStyle name="Normal 2 8 2 3 5 5" xfId="39433" xr:uid="{00000000-0005-0000-0000-0000EA980000}"/>
    <cellStyle name="Normal 2 8 2 3 6" xfId="39434" xr:uid="{00000000-0005-0000-0000-0000EB980000}"/>
    <cellStyle name="Normal 2 8 2 3 7" xfId="39435" xr:uid="{00000000-0005-0000-0000-0000EC980000}"/>
    <cellStyle name="Normal 2 8 2 3 8" xfId="39436" xr:uid="{00000000-0005-0000-0000-0000ED980000}"/>
    <cellStyle name="Normal 2 8 2 3 9" xfId="39437" xr:uid="{00000000-0005-0000-0000-0000EE980000}"/>
    <cellStyle name="Normal 2 8 2 4" xfId="39438" xr:uid="{00000000-0005-0000-0000-0000EF980000}"/>
    <cellStyle name="Normal 2 8 2 4 10" xfId="39439" xr:uid="{00000000-0005-0000-0000-0000F0980000}"/>
    <cellStyle name="Normal 2 8 2 4 2" xfId="39440" xr:uid="{00000000-0005-0000-0000-0000F1980000}"/>
    <cellStyle name="Normal 2 8 2 4 2 2" xfId="39441" xr:uid="{00000000-0005-0000-0000-0000F2980000}"/>
    <cellStyle name="Normal 2 8 2 4 2 2 2" xfId="39442" xr:uid="{00000000-0005-0000-0000-0000F3980000}"/>
    <cellStyle name="Normal 2 8 2 4 2 2 3" xfId="39443" xr:uid="{00000000-0005-0000-0000-0000F4980000}"/>
    <cellStyle name="Normal 2 8 2 4 2 2 4" xfId="39444" xr:uid="{00000000-0005-0000-0000-0000F5980000}"/>
    <cellStyle name="Normal 2 8 2 4 2 2 5" xfId="39445" xr:uid="{00000000-0005-0000-0000-0000F6980000}"/>
    <cellStyle name="Normal 2 8 2 4 2 3" xfId="39446" xr:uid="{00000000-0005-0000-0000-0000F7980000}"/>
    <cellStyle name="Normal 2 8 2 4 2 4" xfId="39447" xr:uid="{00000000-0005-0000-0000-0000F8980000}"/>
    <cellStyle name="Normal 2 8 2 4 2 5" xfId="39448" xr:uid="{00000000-0005-0000-0000-0000F9980000}"/>
    <cellStyle name="Normal 2 8 2 4 2 6" xfId="39449" xr:uid="{00000000-0005-0000-0000-0000FA980000}"/>
    <cellStyle name="Normal 2 8 2 4 2 7" xfId="39450" xr:uid="{00000000-0005-0000-0000-0000FB980000}"/>
    <cellStyle name="Normal 2 8 2 4 2 8" xfId="39451" xr:uid="{00000000-0005-0000-0000-0000FC980000}"/>
    <cellStyle name="Normal 2 8 2 4 3" xfId="39452" xr:uid="{00000000-0005-0000-0000-0000FD980000}"/>
    <cellStyle name="Normal 2 8 2 4 3 2" xfId="39453" xr:uid="{00000000-0005-0000-0000-0000FE980000}"/>
    <cellStyle name="Normal 2 8 2 4 3 2 2" xfId="39454" xr:uid="{00000000-0005-0000-0000-0000FF980000}"/>
    <cellStyle name="Normal 2 8 2 4 3 2 3" xfId="39455" xr:uid="{00000000-0005-0000-0000-000000990000}"/>
    <cellStyle name="Normal 2 8 2 4 3 2 4" xfId="39456" xr:uid="{00000000-0005-0000-0000-000001990000}"/>
    <cellStyle name="Normal 2 8 2 4 3 2 5" xfId="39457" xr:uid="{00000000-0005-0000-0000-000002990000}"/>
    <cellStyle name="Normal 2 8 2 4 3 3" xfId="39458" xr:uid="{00000000-0005-0000-0000-000003990000}"/>
    <cellStyle name="Normal 2 8 2 4 3 4" xfId="39459" xr:uid="{00000000-0005-0000-0000-000004990000}"/>
    <cellStyle name="Normal 2 8 2 4 3 5" xfId="39460" xr:uid="{00000000-0005-0000-0000-000005990000}"/>
    <cellStyle name="Normal 2 8 2 4 3 6" xfId="39461" xr:uid="{00000000-0005-0000-0000-000006990000}"/>
    <cellStyle name="Normal 2 8 2 4 3 7" xfId="39462" xr:uid="{00000000-0005-0000-0000-000007990000}"/>
    <cellStyle name="Normal 2 8 2 4 3 8" xfId="39463" xr:uid="{00000000-0005-0000-0000-000008990000}"/>
    <cellStyle name="Normal 2 8 2 4 4" xfId="39464" xr:uid="{00000000-0005-0000-0000-000009990000}"/>
    <cellStyle name="Normal 2 8 2 4 4 2" xfId="39465" xr:uid="{00000000-0005-0000-0000-00000A990000}"/>
    <cellStyle name="Normal 2 8 2 4 4 3" xfId="39466" xr:uid="{00000000-0005-0000-0000-00000B990000}"/>
    <cellStyle name="Normal 2 8 2 4 4 4" xfId="39467" xr:uid="{00000000-0005-0000-0000-00000C990000}"/>
    <cellStyle name="Normal 2 8 2 4 4 5" xfId="39468" xr:uid="{00000000-0005-0000-0000-00000D990000}"/>
    <cellStyle name="Normal 2 8 2 4 5" xfId="39469" xr:uid="{00000000-0005-0000-0000-00000E990000}"/>
    <cellStyle name="Normal 2 8 2 4 6" xfId="39470" xr:uid="{00000000-0005-0000-0000-00000F990000}"/>
    <cellStyle name="Normal 2 8 2 4 7" xfId="39471" xr:uid="{00000000-0005-0000-0000-000010990000}"/>
    <cellStyle name="Normal 2 8 2 4 8" xfId="39472" xr:uid="{00000000-0005-0000-0000-000011990000}"/>
    <cellStyle name="Normal 2 8 2 4 9" xfId="39473" xr:uid="{00000000-0005-0000-0000-000012990000}"/>
    <cellStyle name="Normal 2 8 2 5" xfId="39474" xr:uid="{00000000-0005-0000-0000-000013990000}"/>
    <cellStyle name="Normal 2 8 2 5 2" xfId="39475" xr:uid="{00000000-0005-0000-0000-000014990000}"/>
    <cellStyle name="Normal 2 8 2 5 2 2" xfId="39476" xr:uid="{00000000-0005-0000-0000-000015990000}"/>
    <cellStyle name="Normal 2 8 2 5 2 3" xfId="39477" xr:uid="{00000000-0005-0000-0000-000016990000}"/>
    <cellStyle name="Normal 2 8 2 5 2 4" xfId="39478" xr:uid="{00000000-0005-0000-0000-000017990000}"/>
    <cellStyle name="Normal 2 8 2 5 2 5" xfId="39479" xr:uid="{00000000-0005-0000-0000-000018990000}"/>
    <cellStyle name="Normal 2 8 2 5 3" xfId="39480" xr:uid="{00000000-0005-0000-0000-000019990000}"/>
    <cellStyle name="Normal 2 8 2 5 4" xfId="39481" xr:uid="{00000000-0005-0000-0000-00001A990000}"/>
    <cellStyle name="Normal 2 8 2 5 5" xfId="39482" xr:uid="{00000000-0005-0000-0000-00001B990000}"/>
    <cellStyle name="Normal 2 8 2 5 6" xfId="39483" xr:uid="{00000000-0005-0000-0000-00001C990000}"/>
    <cellStyle name="Normal 2 8 2 5 7" xfId="39484" xr:uid="{00000000-0005-0000-0000-00001D990000}"/>
    <cellStyle name="Normal 2 8 2 5 8" xfId="39485" xr:uid="{00000000-0005-0000-0000-00001E990000}"/>
    <cellStyle name="Normal 2 8 2 6" xfId="39486" xr:uid="{00000000-0005-0000-0000-00001F990000}"/>
    <cellStyle name="Normal 2 8 2 6 2" xfId="39487" xr:uid="{00000000-0005-0000-0000-000020990000}"/>
    <cellStyle name="Normal 2 8 2 6 2 2" xfId="39488" xr:uid="{00000000-0005-0000-0000-000021990000}"/>
    <cellStyle name="Normal 2 8 2 6 2 3" xfId="39489" xr:uid="{00000000-0005-0000-0000-000022990000}"/>
    <cellStyle name="Normal 2 8 2 6 2 4" xfId="39490" xr:uid="{00000000-0005-0000-0000-000023990000}"/>
    <cellStyle name="Normal 2 8 2 6 2 5" xfId="39491" xr:uid="{00000000-0005-0000-0000-000024990000}"/>
    <cellStyle name="Normal 2 8 2 6 3" xfId="39492" xr:uid="{00000000-0005-0000-0000-000025990000}"/>
    <cellStyle name="Normal 2 8 2 6 4" xfId="39493" xr:uid="{00000000-0005-0000-0000-000026990000}"/>
    <cellStyle name="Normal 2 8 2 6 5" xfId="39494" xr:uid="{00000000-0005-0000-0000-000027990000}"/>
    <cellStyle name="Normal 2 8 2 6 6" xfId="39495" xr:uid="{00000000-0005-0000-0000-000028990000}"/>
    <cellStyle name="Normal 2 8 2 6 7" xfId="39496" xr:uid="{00000000-0005-0000-0000-000029990000}"/>
    <cellStyle name="Normal 2 8 2 6 8" xfId="39497" xr:uid="{00000000-0005-0000-0000-00002A990000}"/>
    <cellStyle name="Normal 2 8 2 7" xfId="39498" xr:uid="{00000000-0005-0000-0000-00002B990000}"/>
    <cellStyle name="Normal 2 8 2 7 2" xfId="39499" xr:uid="{00000000-0005-0000-0000-00002C990000}"/>
    <cellStyle name="Normal 2 8 2 7 3" xfId="39500" xr:uid="{00000000-0005-0000-0000-00002D990000}"/>
    <cellStyle name="Normal 2 8 2 7 4" xfId="39501" xr:uid="{00000000-0005-0000-0000-00002E990000}"/>
    <cellStyle name="Normal 2 8 2 7 5" xfId="39502" xr:uid="{00000000-0005-0000-0000-00002F990000}"/>
    <cellStyle name="Normal 2 8 2 8" xfId="39503" xr:uid="{00000000-0005-0000-0000-000030990000}"/>
    <cellStyle name="Normal 2 8 2 9" xfId="39504" xr:uid="{00000000-0005-0000-0000-000031990000}"/>
    <cellStyle name="Normal 2 8 20" xfId="39505" xr:uid="{00000000-0005-0000-0000-000032990000}"/>
    <cellStyle name="Normal 2 8 3" xfId="889" xr:uid="{00000000-0005-0000-0000-000033990000}"/>
    <cellStyle name="Normal 2 8 3 10" xfId="39506" xr:uid="{00000000-0005-0000-0000-000034990000}"/>
    <cellStyle name="Normal 2 8 3 11" xfId="39507" xr:uid="{00000000-0005-0000-0000-000035990000}"/>
    <cellStyle name="Normal 2 8 3 12" xfId="39508" xr:uid="{00000000-0005-0000-0000-000036990000}"/>
    <cellStyle name="Normal 2 8 3 13" xfId="39509" xr:uid="{00000000-0005-0000-0000-000037990000}"/>
    <cellStyle name="Normal 2 8 3 2" xfId="39510" xr:uid="{00000000-0005-0000-0000-000038990000}"/>
    <cellStyle name="Normal 2 8 3 2 10" xfId="39511" xr:uid="{00000000-0005-0000-0000-000039990000}"/>
    <cellStyle name="Normal 2 8 3 2 11" xfId="39512" xr:uid="{00000000-0005-0000-0000-00003A990000}"/>
    <cellStyle name="Normal 2 8 3 2 2" xfId="39513" xr:uid="{00000000-0005-0000-0000-00003B990000}"/>
    <cellStyle name="Normal 2 8 3 2 2 10" xfId="39514" xr:uid="{00000000-0005-0000-0000-00003C990000}"/>
    <cellStyle name="Normal 2 8 3 2 2 2" xfId="39515" xr:uid="{00000000-0005-0000-0000-00003D990000}"/>
    <cellStyle name="Normal 2 8 3 2 2 2 2" xfId="39516" xr:uid="{00000000-0005-0000-0000-00003E990000}"/>
    <cellStyle name="Normal 2 8 3 2 2 2 2 2" xfId="39517" xr:uid="{00000000-0005-0000-0000-00003F990000}"/>
    <cellStyle name="Normal 2 8 3 2 2 2 2 3" xfId="39518" xr:uid="{00000000-0005-0000-0000-000040990000}"/>
    <cellStyle name="Normal 2 8 3 2 2 2 2 4" xfId="39519" xr:uid="{00000000-0005-0000-0000-000041990000}"/>
    <cellStyle name="Normal 2 8 3 2 2 2 2 5" xfId="39520" xr:uid="{00000000-0005-0000-0000-000042990000}"/>
    <cellStyle name="Normal 2 8 3 2 2 2 3" xfId="39521" xr:uid="{00000000-0005-0000-0000-000043990000}"/>
    <cellStyle name="Normal 2 8 3 2 2 2 4" xfId="39522" xr:uid="{00000000-0005-0000-0000-000044990000}"/>
    <cellStyle name="Normal 2 8 3 2 2 2 5" xfId="39523" xr:uid="{00000000-0005-0000-0000-000045990000}"/>
    <cellStyle name="Normal 2 8 3 2 2 2 6" xfId="39524" xr:uid="{00000000-0005-0000-0000-000046990000}"/>
    <cellStyle name="Normal 2 8 3 2 2 2 7" xfId="39525" xr:uid="{00000000-0005-0000-0000-000047990000}"/>
    <cellStyle name="Normal 2 8 3 2 2 2 8" xfId="39526" xr:uid="{00000000-0005-0000-0000-000048990000}"/>
    <cellStyle name="Normal 2 8 3 2 2 3" xfId="39527" xr:uid="{00000000-0005-0000-0000-000049990000}"/>
    <cellStyle name="Normal 2 8 3 2 2 3 2" xfId="39528" xr:uid="{00000000-0005-0000-0000-00004A990000}"/>
    <cellStyle name="Normal 2 8 3 2 2 3 2 2" xfId="39529" xr:uid="{00000000-0005-0000-0000-00004B990000}"/>
    <cellStyle name="Normal 2 8 3 2 2 3 2 3" xfId="39530" xr:uid="{00000000-0005-0000-0000-00004C990000}"/>
    <cellStyle name="Normal 2 8 3 2 2 3 2 4" xfId="39531" xr:uid="{00000000-0005-0000-0000-00004D990000}"/>
    <cellStyle name="Normal 2 8 3 2 2 3 2 5" xfId="39532" xr:uid="{00000000-0005-0000-0000-00004E990000}"/>
    <cellStyle name="Normal 2 8 3 2 2 3 3" xfId="39533" xr:uid="{00000000-0005-0000-0000-00004F990000}"/>
    <cellStyle name="Normal 2 8 3 2 2 3 4" xfId="39534" xr:uid="{00000000-0005-0000-0000-000050990000}"/>
    <cellStyle name="Normal 2 8 3 2 2 3 5" xfId="39535" xr:uid="{00000000-0005-0000-0000-000051990000}"/>
    <cellStyle name="Normal 2 8 3 2 2 3 6" xfId="39536" xr:uid="{00000000-0005-0000-0000-000052990000}"/>
    <cellStyle name="Normal 2 8 3 2 2 3 7" xfId="39537" xr:uid="{00000000-0005-0000-0000-000053990000}"/>
    <cellStyle name="Normal 2 8 3 2 2 3 8" xfId="39538" xr:uid="{00000000-0005-0000-0000-000054990000}"/>
    <cellStyle name="Normal 2 8 3 2 2 4" xfId="39539" xr:uid="{00000000-0005-0000-0000-000055990000}"/>
    <cellStyle name="Normal 2 8 3 2 2 4 2" xfId="39540" xr:uid="{00000000-0005-0000-0000-000056990000}"/>
    <cellStyle name="Normal 2 8 3 2 2 4 3" xfId="39541" xr:uid="{00000000-0005-0000-0000-000057990000}"/>
    <cellStyle name="Normal 2 8 3 2 2 4 4" xfId="39542" xr:uid="{00000000-0005-0000-0000-000058990000}"/>
    <cellStyle name="Normal 2 8 3 2 2 4 5" xfId="39543" xr:uid="{00000000-0005-0000-0000-000059990000}"/>
    <cellStyle name="Normal 2 8 3 2 2 5" xfId="39544" xr:uid="{00000000-0005-0000-0000-00005A990000}"/>
    <cellStyle name="Normal 2 8 3 2 2 6" xfId="39545" xr:uid="{00000000-0005-0000-0000-00005B990000}"/>
    <cellStyle name="Normal 2 8 3 2 2 7" xfId="39546" xr:uid="{00000000-0005-0000-0000-00005C990000}"/>
    <cellStyle name="Normal 2 8 3 2 2 8" xfId="39547" xr:uid="{00000000-0005-0000-0000-00005D990000}"/>
    <cellStyle name="Normal 2 8 3 2 2 9" xfId="39548" xr:uid="{00000000-0005-0000-0000-00005E990000}"/>
    <cellStyle name="Normal 2 8 3 2 3" xfId="39549" xr:uid="{00000000-0005-0000-0000-00005F990000}"/>
    <cellStyle name="Normal 2 8 3 2 3 2" xfId="39550" xr:uid="{00000000-0005-0000-0000-000060990000}"/>
    <cellStyle name="Normal 2 8 3 2 3 2 2" xfId="39551" xr:uid="{00000000-0005-0000-0000-000061990000}"/>
    <cellStyle name="Normal 2 8 3 2 3 2 3" xfId="39552" xr:uid="{00000000-0005-0000-0000-000062990000}"/>
    <cellStyle name="Normal 2 8 3 2 3 2 4" xfId="39553" xr:uid="{00000000-0005-0000-0000-000063990000}"/>
    <cellStyle name="Normal 2 8 3 2 3 2 5" xfId="39554" xr:uid="{00000000-0005-0000-0000-000064990000}"/>
    <cellStyle name="Normal 2 8 3 2 3 3" xfId="39555" xr:uid="{00000000-0005-0000-0000-000065990000}"/>
    <cellStyle name="Normal 2 8 3 2 3 4" xfId="39556" xr:uid="{00000000-0005-0000-0000-000066990000}"/>
    <cellStyle name="Normal 2 8 3 2 3 5" xfId="39557" xr:uid="{00000000-0005-0000-0000-000067990000}"/>
    <cellStyle name="Normal 2 8 3 2 3 6" xfId="39558" xr:uid="{00000000-0005-0000-0000-000068990000}"/>
    <cellStyle name="Normal 2 8 3 2 3 7" xfId="39559" xr:uid="{00000000-0005-0000-0000-000069990000}"/>
    <cellStyle name="Normal 2 8 3 2 3 8" xfId="39560" xr:uid="{00000000-0005-0000-0000-00006A990000}"/>
    <cellStyle name="Normal 2 8 3 2 4" xfId="39561" xr:uid="{00000000-0005-0000-0000-00006B990000}"/>
    <cellStyle name="Normal 2 8 3 2 4 2" xfId="39562" xr:uid="{00000000-0005-0000-0000-00006C990000}"/>
    <cellStyle name="Normal 2 8 3 2 4 2 2" xfId="39563" xr:uid="{00000000-0005-0000-0000-00006D990000}"/>
    <cellStyle name="Normal 2 8 3 2 4 2 3" xfId="39564" xr:uid="{00000000-0005-0000-0000-00006E990000}"/>
    <cellStyle name="Normal 2 8 3 2 4 2 4" xfId="39565" xr:uid="{00000000-0005-0000-0000-00006F990000}"/>
    <cellStyle name="Normal 2 8 3 2 4 2 5" xfId="39566" xr:uid="{00000000-0005-0000-0000-000070990000}"/>
    <cellStyle name="Normal 2 8 3 2 4 3" xfId="39567" xr:uid="{00000000-0005-0000-0000-000071990000}"/>
    <cellStyle name="Normal 2 8 3 2 4 4" xfId="39568" xr:uid="{00000000-0005-0000-0000-000072990000}"/>
    <cellStyle name="Normal 2 8 3 2 4 5" xfId="39569" xr:uid="{00000000-0005-0000-0000-000073990000}"/>
    <cellStyle name="Normal 2 8 3 2 4 6" xfId="39570" xr:uid="{00000000-0005-0000-0000-000074990000}"/>
    <cellStyle name="Normal 2 8 3 2 4 7" xfId="39571" xr:uid="{00000000-0005-0000-0000-000075990000}"/>
    <cellStyle name="Normal 2 8 3 2 4 8" xfId="39572" xr:uid="{00000000-0005-0000-0000-000076990000}"/>
    <cellStyle name="Normal 2 8 3 2 5" xfId="39573" xr:uid="{00000000-0005-0000-0000-000077990000}"/>
    <cellStyle name="Normal 2 8 3 2 5 2" xfId="39574" xr:uid="{00000000-0005-0000-0000-000078990000}"/>
    <cellStyle name="Normal 2 8 3 2 5 3" xfId="39575" xr:uid="{00000000-0005-0000-0000-000079990000}"/>
    <cellStyle name="Normal 2 8 3 2 5 4" xfId="39576" xr:uid="{00000000-0005-0000-0000-00007A990000}"/>
    <cellStyle name="Normal 2 8 3 2 5 5" xfId="39577" xr:uid="{00000000-0005-0000-0000-00007B990000}"/>
    <cellStyle name="Normal 2 8 3 2 6" xfId="39578" xr:uid="{00000000-0005-0000-0000-00007C990000}"/>
    <cellStyle name="Normal 2 8 3 2 7" xfId="39579" xr:uid="{00000000-0005-0000-0000-00007D990000}"/>
    <cellStyle name="Normal 2 8 3 2 8" xfId="39580" xr:uid="{00000000-0005-0000-0000-00007E990000}"/>
    <cellStyle name="Normal 2 8 3 2 9" xfId="39581" xr:uid="{00000000-0005-0000-0000-00007F990000}"/>
    <cellStyle name="Normal 2 8 3 3" xfId="39582" xr:uid="{00000000-0005-0000-0000-000080990000}"/>
    <cellStyle name="Normal 2 8 3 3 10" xfId="39583" xr:uid="{00000000-0005-0000-0000-000081990000}"/>
    <cellStyle name="Normal 2 8 3 3 11" xfId="39584" xr:uid="{00000000-0005-0000-0000-000082990000}"/>
    <cellStyle name="Normal 2 8 3 3 2" xfId="39585" xr:uid="{00000000-0005-0000-0000-000083990000}"/>
    <cellStyle name="Normal 2 8 3 3 2 10" xfId="39586" xr:uid="{00000000-0005-0000-0000-000084990000}"/>
    <cellStyle name="Normal 2 8 3 3 2 2" xfId="39587" xr:uid="{00000000-0005-0000-0000-000085990000}"/>
    <cellStyle name="Normal 2 8 3 3 2 2 2" xfId="39588" xr:uid="{00000000-0005-0000-0000-000086990000}"/>
    <cellStyle name="Normal 2 8 3 3 2 2 2 2" xfId="39589" xr:uid="{00000000-0005-0000-0000-000087990000}"/>
    <cellStyle name="Normal 2 8 3 3 2 2 2 3" xfId="39590" xr:uid="{00000000-0005-0000-0000-000088990000}"/>
    <cellStyle name="Normal 2 8 3 3 2 2 2 4" xfId="39591" xr:uid="{00000000-0005-0000-0000-000089990000}"/>
    <cellStyle name="Normal 2 8 3 3 2 2 2 5" xfId="39592" xr:uid="{00000000-0005-0000-0000-00008A990000}"/>
    <cellStyle name="Normal 2 8 3 3 2 2 3" xfId="39593" xr:uid="{00000000-0005-0000-0000-00008B990000}"/>
    <cellStyle name="Normal 2 8 3 3 2 2 4" xfId="39594" xr:uid="{00000000-0005-0000-0000-00008C990000}"/>
    <cellStyle name="Normal 2 8 3 3 2 2 5" xfId="39595" xr:uid="{00000000-0005-0000-0000-00008D990000}"/>
    <cellStyle name="Normal 2 8 3 3 2 2 6" xfId="39596" xr:uid="{00000000-0005-0000-0000-00008E990000}"/>
    <cellStyle name="Normal 2 8 3 3 2 2 7" xfId="39597" xr:uid="{00000000-0005-0000-0000-00008F990000}"/>
    <cellStyle name="Normal 2 8 3 3 2 2 8" xfId="39598" xr:uid="{00000000-0005-0000-0000-000090990000}"/>
    <cellStyle name="Normal 2 8 3 3 2 3" xfId="39599" xr:uid="{00000000-0005-0000-0000-000091990000}"/>
    <cellStyle name="Normal 2 8 3 3 2 3 2" xfId="39600" xr:uid="{00000000-0005-0000-0000-000092990000}"/>
    <cellStyle name="Normal 2 8 3 3 2 3 2 2" xfId="39601" xr:uid="{00000000-0005-0000-0000-000093990000}"/>
    <cellStyle name="Normal 2 8 3 3 2 3 2 3" xfId="39602" xr:uid="{00000000-0005-0000-0000-000094990000}"/>
    <cellStyle name="Normal 2 8 3 3 2 3 2 4" xfId="39603" xr:uid="{00000000-0005-0000-0000-000095990000}"/>
    <cellStyle name="Normal 2 8 3 3 2 3 2 5" xfId="39604" xr:uid="{00000000-0005-0000-0000-000096990000}"/>
    <cellStyle name="Normal 2 8 3 3 2 3 3" xfId="39605" xr:uid="{00000000-0005-0000-0000-000097990000}"/>
    <cellStyle name="Normal 2 8 3 3 2 3 4" xfId="39606" xr:uid="{00000000-0005-0000-0000-000098990000}"/>
    <cellStyle name="Normal 2 8 3 3 2 3 5" xfId="39607" xr:uid="{00000000-0005-0000-0000-000099990000}"/>
    <cellStyle name="Normal 2 8 3 3 2 3 6" xfId="39608" xr:uid="{00000000-0005-0000-0000-00009A990000}"/>
    <cellStyle name="Normal 2 8 3 3 2 3 7" xfId="39609" xr:uid="{00000000-0005-0000-0000-00009B990000}"/>
    <cellStyle name="Normal 2 8 3 3 2 3 8" xfId="39610" xr:uid="{00000000-0005-0000-0000-00009C990000}"/>
    <cellStyle name="Normal 2 8 3 3 2 4" xfId="39611" xr:uid="{00000000-0005-0000-0000-00009D990000}"/>
    <cellStyle name="Normal 2 8 3 3 2 4 2" xfId="39612" xr:uid="{00000000-0005-0000-0000-00009E990000}"/>
    <cellStyle name="Normal 2 8 3 3 2 4 3" xfId="39613" xr:uid="{00000000-0005-0000-0000-00009F990000}"/>
    <cellStyle name="Normal 2 8 3 3 2 4 4" xfId="39614" xr:uid="{00000000-0005-0000-0000-0000A0990000}"/>
    <cellStyle name="Normal 2 8 3 3 2 4 5" xfId="39615" xr:uid="{00000000-0005-0000-0000-0000A1990000}"/>
    <cellStyle name="Normal 2 8 3 3 2 5" xfId="39616" xr:uid="{00000000-0005-0000-0000-0000A2990000}"/>
    <cellStyle name="Normal 2 8 3 3 2 6" xfId="39617" xr:uid="{00000000-0005-0000-0000-0000A3990000}"/>
    <cellStyle name="Normal 2 8 3 3 2 7" xfId="39618" xr:uid="{00000000-0005-0000-0000-0000A4990000}"/>
    <cellStyle name="Normal 2 8 3 3 2 8" xfId="39619" xr:uid="{00000000-0005-0000-0000-0000A5990000}"/>
    <cellStyle name="Normal 2 8 3 3 2 9" xfId="39620" xr:uid="{00000000-0005-0000-0000-0000A6990000}"/>
    <cellStyle name="Normal 2 8 3 3 3" xfId="39621" xr:uid="{00000000-0005-0000-0000-0000A7990000}"/>
    <cellStyle name="Normal 2 8 3 3 3 2" xfId="39622" xr:uid="{00000000-0005-0000-0000-0000A8990000}"/>
    <cellStyle name="Normal 2 8 3 3 3 2 2" xfId="39623" xr:uid="{00000000-0005-0000-0000-0000A9990000}"/>
    <cellStyle name="Normal 2 8 3 3 3 2 3" xfId="39624" xr:uid="{00000000-0005-0000-0000-0000AA990000}"/>
    <cellStyle name="Normal 2 8 3 3 3 2 4" xfId="39625" xr:uid="{00000000-0005-0000-0000-0000AB990000}"/>
    <cellStyle name="Normal 2 8 3 3 3 2 5" xfId="39626" xr:uid="{00000000-0005-0000-0000-0000AC990000}"/>
    <cellStyle name="Normal 2 8 3 3 3 3" xfId="39627" xr:uid="{00000000-0005-0000-0000-0000AD990000}"/>
    <cellStyle name="Normal 2 8 3 3 3 4" xfId="39628" xr:uid="{00000000-0005-0000-0000-0000AE990000}"/>
    <cellStyle name="Normal 2 8 3 3 3 5" xfId="39629" xr:uid="{00000000-0005-0000-0000-0000AF990000}"/>
    <cellStyle name="Normal 2 8 3 3 3 6" xfId="39630" xr:uid="{00000000-0005-0000-0000-0000B0990000}"/>
    <cellStyle name="Normal 2 8 3 3 3 7" xfId="39631" xr:uid="{00000000-0005-0000-0000-0000B1990000}"/>
    <cellStyle name="Normal 2 8 3 3 3 8" xfId="39632" xr:uid="{00000000-0005-0000-0000-0000B2990000}"/>
    <cellStyle name="Normal 2 8 3 3 4" xfId="39633" xr:uid="{00000000-0005-0000-0000-0000B3990000}"/>
    <cellStyle name="Normal 2 8 3 3 4 2" xfId="39634" xr:uid="{00000000-0005-0000-0000-0000B4990000}"/>
    <cellStyle name="Normal 2 8 3 3 4 2 2" xfId="39635" xr:uid="{00000000-0005-0000-0000-0000B5990000}"/>
    <cellStyle name="Normal 2 8 3 3 4 2 3" xfId="39636" xr:uid="{00000000-0005-0000-0000-0000B6990000}"/>
    <cellStyle name="Normal 2 8 3 3 4 2 4" xfId="39637" xr:uid="{00000000-0005-0000-0000-0000B7990000}"/>
    <cellStyle name="Normal 2 8 3 3 4 2 5" xfId="39638" xr:uid="{00000000-0005-0000-0000-0000B8990000}"/>
    <cellStyle name="Normal 2 8 3 3 4 3" xfId="39639" xr:uid="{00000000-0005-0000-0000-0000B9990000}"/>
    <cellStyle name="Normal 2 8 3 3 4 4" xfId="39640" xr:uid="{00000000-0005-0000-0000-0000BA990000}"/>
    <cellStyle name="Normal 2 8 3 3 4 5" xfId="39641" xr:uid="{00000000-0005-0000-0000-0000BB990000}"/>
    <cellStyle name="Normal 2 8 3 3 4 6" xfId="39642" xr:uid="{00000000-0005-0000-0000-0000BC990000}"/>
    <cellStyle name="Normal 2 8 3 3 4 7" xfId="39643" xr:uid="{00000000-0005-0000-0000-0000BD990000}"/>
    <cellStyle name="Normal 2 8 3 3 4 8" xfId="39644" xr:uid="{00000000-0005-0000-0000-0000BE990000}"/>
    <cellStyle name="Normal 2 8 3 3 5" xfId="39645" xr:uid="{00000000-0005-0000-0000-0000BF990000}"/>
    <cellStyle name="Normal 2 8 3 3 5 2" xfId="39646" xr:uid="{00000000-0005-0000-0000-0000C0990000}"/>
    <cellStyle name="Normal 2 8 3 3 5 3" xfId="39647" xr:uid="{00000000-0005-0000-0000-0000C1990000}"/>
    <cellStyle name="Normal 2 8 3 3 5 4" xfId="39648" xr:uid="{00000000-0005-0000-0000-0000C2990000}"/>
    <cellStyle name="Normal 2 8 3 3 5 5" xfId="39649" xr:uid="{00000000-0005-0000-0000-0000C3990000}"/>
    <cellStyle name="Normal 2 8 3 3 6" xfId="39650" xr:uid="{00000000-0005-0000-0000-0000C4990000}"/>
    <cellStyle name="Normal 2 8 3 3 7" xfId="39651" xr:uid="{00000000-0005-0000-0000-0000C5990000}"/>
    <cellStyle name="Normal 2 8 3 3 8" xfId="39652" xr:uid="{00000000-0005-0000-0000-0000C6990000}"/>
    <cellStyle name="Normal 2 8 3 3 9" xfId="39653" xr:uid="{00000000-0005-0000-0000-0000C7990000}"/>
    <cellStyle name="Normal 2 8 3 4" xfId="39654" xr:uid="{00000000-0005-0000-0000-0000C8990000}"/>
    <cellStyle name="Normal 2 8 3 4 10" xfId="39655" xr:uid="{00000000-0005-0000-0000-0000C9990000}"/>
    <cellStyle name="Normal 2 8 3 4 2" xfId="39656" xr:uid="{00000000-0005-0000-0000-0000CA990000}"/>
    <cellStyle name="Normal 2 8 3 4 2 2" xfId="39657" xr:uid="{00000000-0005-0000-0000-0000CB990000}"/>
    <cellStyle name="Normal 2 8 3 4 2 2 2" xfId="39658" xr:uid="{00000000-0005-0000-0000-0000CC990000}"/>
    <cellStyle name="Normal 2 8 3 4 2 2 3" xfId="39659" xr:uid="{00000000-0005-0000-0000-0000CD990000}"/>
    <cellStyle name="Normal 2 8 3 4 2 2 4" xfId="39660" xr:uid="{00000000-0005-0000-0000-0000CE990000}"/>
    <cellStyle name="Normal 2 8 3 4 2 2 5" xfId="39661" xr:uid="{00000000-0005-0000-0000-0000CF990000}"/>
    <cellStyle name="Normal 2 8 3 4 2 3" xfId="39662" xr:uid="{00000000-0005-0000-0000-0000D0990000}"/>
    <cellStyle name="Normal 2 8 3 4 2 4" xfId="39663" xr:uid="{00000000-0005-0000-0000-0000D1990000}"/>
    <cellStyle name="Normal 2 8 3 4 2 5" xfId="39664" xr:uid="{00000000-0005-0000-0000-0000D2990000}"/>
    <cellStyle name="Normal 2 8 3 4 2 6" xfId="39665" xr:uid="{00000000-0005-0000-0000-0000D3990000}"/>
    <cellStyle name="Normal 2 8 3 4 2 7" xfId="39666" xr:uid="{00000000-0005-0000-0000-0000D4990000}"/>
    <cellStyle name="Normal 2 8 3 4 2 8" xfId="39667" xr:uid="{00000000-0005-0000-0000-0000D5990000}"/>
    <cellStyle name="Normal 2 8 3 4 3" xfId="39668" xr:uid="{00000000-0005-0000-0000-0000D6990000}"/>
    <cellStyle name="Normal 2 8 3 4 3 2" xfId="39669" xr:uid="{00000000-0005-0000-0000-0000D7990000}"/>
    <cellStyle name="Normal 2 8 3 4 3 2 2" xfId="39670" xr:uid="{00000000-0005-0000-0000-0000D8990000}"/>
    <cellStyle name="Normal 2 8 3 4 3 2 3" xfId="39671" xr:uid="{00000000-0005-0000-0000-0000D9990000}"/>
    <cellStyle name="Normal 2 8 3 4 3 2 4" xfId="39672" xr:uid="{00000000-0005-0000-0000-0000DA990000}"/>
    <cellStyle name="Normal 2 8 3 4 3 2 5" xfId="39673" xr:uid="{00000000-0005-0000-0000-0000DB990000}"/>
    <cellStyle name="Normal 2 8 3 4 3 3" xfId="39674" xr:uid="{00000000-0005-0000-0000-0000DC990000}"/>
    <cellStyle name="Normal 2 8 3 4 3 4" xfId="39675" xr:uid="{00000000-0005-0000-0000-0000DD990000}"/>
    <cellStyle name="Normal 2 8 3 4 3 5" xfId="39676" xr:uid="{00000000-0005-0000-0000-0000DE990000}"/>
    <cellStyle name="Normal 2 8 3 4 3 6" xfId="39677" xr:uid="{00000000-0005-0000-0000-0000DF990000}"/>
    <cellStyle name="Normal 2 8 3 4 3 7" xfId="39678" xr:uid="{00000000-0005-0000-0000-0000E0990000}"/>
    <cellStyle name="Normal 2 8 3 4 3 8" xfId="39679" xr:uid="{00000000-0005-0000-0000-0000E1990000}"/>
    <cellStyle name="Normal 2 8 3 4 4" xfId="39680" xr:uid="{00000000-0005-0000-0000-0000E2990000}"/>
    <cellStyle name="Normal 2 8 3 4 4 2" xfId="39681" xr:uid="{00000000-0005-0000-0000-0000E3990000}"/>
    <cellStyle name="Normal 2 8 3 4 4 3" xfId="39682" xr:uid="{00000000-0005-0000-0000-0000E4990000}"/>
    <cellStyle name="Normal 2 8 3 4 4 4" xfId="39683" xr:uid="{00000000-0005-0000-0000-0000E5990000}"/>
    <cellStyle name="Normal 2 8 3 4 4 5" xfId="39684" xr:uid="{00000000-0005-0000-0000-0000E6990000}"/>
    <cellStyle name="Normal 2 8 3 4 5" xfId="39685" xr:uid="{00000000-0005-0000-0000-0000E7990000}"/>
    <cellStyle name="Normal 2 8 3 4 6" xfId="39686" xr:uid="{00000000-0005-0000-0000-0000E8990000}"/>
    <cellStyle name="Normal 2 8 3 4 7" xfId="39687" xr:uid="{00000000-0005-0000-0000-0000E9990000}"/>
    <cellStyle name="Normal 2 8 3 4 8" xfId="39688" xr:uid="{00000000-0005-0000-0000-0000EA990000}"/>
    <cellStyle name="Normal 2 8 3 4 9" xfId="39689" xr:uid="{00000000-0005-0000-0000-0000EB990000}"/>
    <cellStyle name="Normal 2 8 3 5" xfId="39690" xr:uid="{00000000-0005-0000-0000-0000EC990000}"/>
    <cellStyle name="Normal 2 8 3 5 2" xfId="39691" xr:uid="{00000000-0005-0000-0000-0000ED990000}"/>
    <cellStyle name="Normal 2 8 3 5 2 2" xfId="39692" xr:uid="{00000000-0005-0000-0000-0000EE990000}"/>
    <cellStyle name="Normal 2 8 3 5 2 3" xfId="39693" xr:uid="{00000000-0005-0000-0000-0000EF990000}"/>
    <cellStyle name="Normal 2 8 3 5 2 4" xfId="39694" xr:uid="{00000000-0005-0000-0000-0000F0990000}"/>
    <cellStyle name="Normal 2 8 3 5 2 5" xfId="39695" xr:uid="{00000000-0005-0000-0000-0000F1990000}"/>
    <cellStyle name="Normal 2 8 3 5 3" xfId="39696" xr:uid="{00000000-0005-0000-0000-0000F2990000}"/>
    <cellStyle name="Normal 2 8 3 5 4" xfId="39697" xr:uid="{00000000-0005-0000-0000-0000F3990000}"/>
    <cellStyle name="Normal 2 8 3 5 5" xfId="39698" xr:uid="{00000000-0005-0000-0000-0000F4990000}"/>
    <cellStyle name="Normal 2 8 3 5 6" xfId="39699" xr:uid="{00000000-0005-0000-0000-0000F5990000}"/>
    <cellStyle name="Normal 2 8 3 5 7" xfId="39700" xr:uid="{00000000-0005-0000-0000-0000F6990000}"/>
    <cellStyle name="Normal 2 8 3 5 8" xfId="39701" xr:uid="{00000000-0005-0000-0000-0000F7990000}"/>
    <cellStyle name="Normal 2 8 3 6" xfId="39702" xr:uid="{00000000-0005-0000-0000-0000F8990000}"/>
    <cellStyle name="Normal 2 8 3 6 2" xfId="39703" xr:uid="{00000000-0005-0000-0000-0000F9990000}"/>
    <cellStyle name="Normal 2 8 3 6 2 2" xfId="39704" xr:uid="{00000000-0005-0000-0000-0000FA990000}"/>
    <cellStyle name="Normal 2 8 3 6 2 3" xfId="39705" xr:uid="{00000000-0005-0000-0000-0000FB990000}"/>
    <cellStyle name="Normal 2 8 3 6 2 4" xfId="39706" xr:uid="{00000000-0005-0000-0000-0000FC990000}"/>
    <cellStyle name="Normal 2 8 3 6 2 5" xfId="39707" xr:uid="{00000000-0005-0000-0000-0000FD990000}"/>
    <cellStyle name="Normal 2 8 3 6 3" xfId="39708" xr:uid="{00000000-0005-0000-0000-0000FE990000}"/>
    <cellStyle name="Normal 2 8 3 6 4" xfId="39709" xr:uid="{00000000-0005-0000-0000-0000FF990000}"/>
    <cellStyle name="Normal 2 8 3 6 5" xfId="39710" xr:uid="{00000000-0005-0000-0000-0000009A0000}"/>
    <cellStyle name="Normal 2 8 3 6 6" xfId="39711" xr:uid="{00000000-0005-0000-0000-0000019A0000}"/>
    <cellStyle name="Normal 2 8 3 6 7" xfId="39712" xr:uid="{00000000-0005-0000-0000-0000029A0000}"/>
    <cellStyle name="Normal 2 8 3 6 8" xfId="39713" xr:uid="{00000000-0005-0000-0000-0000039A0000}"/>
    <cellStyle name="Normal 2 8 3 7" xfId="39714" xr:uid="{00000000-0005-0000-0000-0000049A0000}"/>
    <cellStyle name="Normal 2 8 3 7 2" xfId="39715" xr:uid="{00000000-0005-0000-0000-0000059A0000}"/>
    <cellStyle name="Normal 2 8 3 7 3" xfId="39716" xr:uid="{00000000-0005-0000-0000-0000069A0000}"/>
    <cellStyle name="Normal 2 8 3 7 4" xfId="39717" xr:uid="{00000000-0005-0000-0000-0000079A0000}"/>
    <cellStyle name="Normal 2 8 3 7 5" xfId="39718" xr:uid="{00000000-0005-0000-0000-0000089A0000}"/>
    <cellStyle name="Normal 2 8 3 8" xfId="39719" xr:uid="{00000000-0005-0000-0000-0000099A0000}"/>
    <cellStyle name="Normal 2 8 3 9" xfId="39720" xr:uid="{00000000-0005-0000-0000-00000A9A0000}"/>
    <cellStyle name="Normal 2 8 4" xfId="890" xr:uid="{00000000-0005-0000-0000-00000B9A0000}"/>
    <cellStyle name="Normal 2 8 4 10" xfId="39721" xr:uid="{00000000-0005-0000-0000-00000C9A0000}"/>
    <cellStyle name="Normal 2 8 4 11" xfId="39722" xr:uid="{00000000-0005-0000-0000-00000D9A0000}"/>
    <cellStyle name="Normal 2 8 4 12" xfId="39723" xr:uid="{00000000-0005-0000-0000-00000E9A0000}"/>
    <cellStyle name="Normal 2 8 4 13" xfId="39724" xr:uid="{00000000-0005-0000-0000-00000F9A0000}"/>
    <cellStyle name="Normal 2 8 4 2" xfId="39725" xr:uid="{00000000-0005-0000-0000-0000109A0000}"/>
    <cellStyle name="Normal 2 8 4 2 10" xfId="39726" xr:uid="{00000000-0005-0000-0000-0000119A0000}"/>
    <cellStyle name="Normal 2 8 4 2 11" xfId="39727" xr:uid="{00000000-0005-0000-0000-0000129A0000}"/>
    <cellStyle name="Normal 2 8 4 2 2" xfId="39728" xr:uid="{00000000-0005-0000-0000-0000139A0000}"/>
    <cellStyle name="Normal 2 8 4 2 2 10" xfId="39729" xr:uid="{00000000-0005-0000-0000-0000149A0000}"/>
    <cellStyle name="Normal 2 8 4 2 2 2" xfId="39730" xr:uid="{00000000-0005-0000-0000-0000159A0000}"/>
    <cellStyle name="Normal 2 8 4 2 2 2 2" xfId="39731" xr:uid="{00000000-0005-0000-0000-0000169A0000}"/>
    <cellStyle name="Normal 2 8 4 2 2 2 2 2" xfId="39732" xr:uid="{00000000-0005-0000-0000-0000179A0000}"/>
    <cellStyle name="Normal 2 8 4 2 2 2 2 3" xfId="39733" xr:uid="{00000000-0005-0000-0000-0000189A0000}"/>
    <cellStyle name="Normal 2 8 4 2 2 2 2 4" xfId="39734" xr:uid="{00000000-0005-0000-0000-0000199A0000}"/>
    <cellStyle name="Normal 2 8 4 2 2 2 2 5" xfId="39735" xr:uid="{00000000-0005-0000-0000-00001A9A0000}"/>
    <cellStyle name="Normal 2 8 4 2 2 2 3" xfId="39736" xr:uid="{00000000-0005-0000-0000-00001B9A0000}"/>
    <cellStyle name="Normal 2 8 4 2 2 2 4" xfId="39737" xr:uid="{00000000-0005-0000-0000-00001C9A0000}"/>
    <cellStyle name="Normal 2 8 4 2 2 2 5" xfId="39738" xr:uid="{00000000-0005-0000-0000-00001D9A0000}"/>
    <cellStyle name="Normal 2 8 4 2 2 2 6" xfId="39739" xr:uid="{00000000-0005-0000-0000-00001E9A0000}"/>
    <cellStyle name="Normal 2 8 4 2 2 2 7" xfId="39740" xr:uid="{00000000-0005-0000-0000-00001F9A0000}"/>
    <cellStyle name="Normal 2 8 4 2 2 2 8" xfId="39741" xr:uid="{00000000-0005-0000-0000-0000209A0000}"/>
    <cellStyle name="Normal 2 8 4 2 2 3" xfId="39742" xr:uid="{00000000-0005-0000-0000-0000219A0000}"/>
    <cellStyle name="Normal 2 8 4 2 2 3 2" xfId="39743" xr:uid="{00000000-0005-0000-0000-0000229A0000}"/>
    <cellStyle name="Normal 2 8 4 2 2 3 2 2" xfId="39744" xr:uid="{00000000-0005-0000-0000-0000239A0000}"/>
    <cellStyle name="Normal 2 8 4 2 2 3 2 3" xfId="39745" xr:uid="{00000000-0005-0000-0000-0000249A0000}"/>
    <cellStyle name="Normal 2 8 4 2 2 3 2 4" xfId="39746" xr:uid="{00000000-0005-0000-0000-0000259A0000}"/>
    <cellStyle name="Normal 2 8 4 2 2 3 2 5" xfId="39747" xr:uid="{00000000-0005-0000-0000-0000269A0000}"/>
    <cellStyle name="Normal 2 8 4 2 2 3 3" xfId="39748" xr:uid="{00000000-0005-0000-0000-0000279A0000}"/>
    <cellStyle name="Normal 2 8 4 2 2 3 4" xfId="39749" xr:uid="{00000000-0005-0000-0000-0000289A0000}"/>
    <cellStyle name="Normal 2 8 4 2 2 3 5" xfId="39750" xr:uid="{00000000-0005-0000-0000-0000299A0000}"/>
    <cellStyle name="Normal 2 8 4 2 2 3 6" xfId="39751" xr:uid="{00000000-0005-0000-0000-00002A9A0000}"/>
    <cellStyle name="Normal 2 8 4 2 2 3 7" xfId="39752" xr:uid="{00000000-0005-0000-0000-00002B9A0000}"/>
    <cellStyle name="Normal 2 8 4 2 2 3 8" xfId="39753" xr:uid="{00000000-0005-0000-0000-00002C9A0000}"/>
    <cellStyle name="Normal 2 8 4 2 2 4" xfId="39754" xr:uid="{00000000-0005-0000-0000-00002D9A0000}"/>
    <cellStyle name="Normal 2 8 4 2 2 4 2" xfId="39755" xr:uid="{00000000-0005-0000-0000-00002E9A0000}"/>
    <cellStyle name="Normal 2 8 4 2 2 4 3" xfId="39756" xr:uid="{00000000-0005-0000-0000-00002F9A0000}"/>
    <cellStyle name="Normal 2 8 4 2 2 4 4" xfId="39757" xr:uid="{00000000-0005-0000-0000-0000309A0000}"/>
    <cellStyle name="Normal 2 8 4 2 2 4 5" xfId="39758" xr:uid="{00000000-0005-0000-0000-0000319A0000}"/>
    <cellStyle name="Normal 2 8 4 2 2 5" xfId="39759" xr:uid="{00000000-0005-0000-0000-0000329A0000}"/>
    <cellStyle name="Normal 2 8 4 2 2 6" xfId="39760" xr:uid="{00000000-0005-0000-0000-0000339A0000}"/>
    <cellStyle name="Normal 2 8 4 2 2 7" xfId="39761" xr:uid="{00000000-0005-0000-0000-0000349A0000}"/>
    <cellStyle name="Normal 2 8 4 2 2 8" xfId="39762" xr:uid="{00000000-0005-0000-0000-0000359A0000}"/>
    <cellStyle name="Normal 2 8 4 2 2 9" xfId="39763" xr:uid="{00000000-0005-0000-0000-0000369A0000}"/>
    <cellStyle name="Normal 2 8 4 2 3" xfId="39764" xr:uid="{00000000-0005-0000-0000-0000379A0000}"/>
    <cellStyle name="Normal 2 8 4 2 3 2" xfId="39765" xr:uid="{00000000-0005-0000-0000-0000389A0000}"/>
    <cellStyle name="Normal 2 8 4 2 3 2 2" xfId="39766" xr:uid="{00000000-0005-0000-0000-0000399A0000}"/>
    <cellStyle name="Normal 2 8 4 2 3 2 3" xfId="39767" xr:uid="{00000000-0005-0000-0000-00003A9A0000}"/>
    <cellStyle name="Normal 2 8 4 2 3 2 4" xfId="39768" xr:uid="{00000000-0005-0000-0000-00003B9A0000}"/>
    <cellStyle name="Normal 2 8 4 2 3 2 5" xfId="39769" xr:uid="{00000000-0005-0000-0000-00003C9A0000}"/>
    <cellStyle name="Normal 2 8 4 2 3 3" xfId="39770" xr:uid="{00000000-0005-0000-0000-00003D9A0000}"/>
    <cellStyle name="Normal 2 8 4 2 3 4" xfId="39771" xr:uid="{00000000-0005-0000-0000-00003E9A0000}"/>
    <cellStyle name="Normal 2 8 4 2 3 5" xfId="39772" xr:uid="{00000000-0005-0000-0000-00003F9A0000}"/>
    <cellStyle name="Normal 2 8 4 2 3 6" xfId="39773" xr:uid="{00000000-0005-0000-0000-0000409A0000}"/>
    <cellStyle name="Normal 2 8 4 2 3 7" xfId="39774" xr:uid="{00000000-0005-0000-0000-0000419A0000}"/>
    <cellStyle name="Normal 2 8 4 2 3 8" xfId="39775" xr:uid="{00000000-0005-0000-0000-0000429A0000}"/>
    <cellStyle name="Normal 2 8 4 2 4" xfId="39776" xr:uid="{00000000-0005-0000-0000-0000439A0000}"/>
    <cellStyle name="Normal 2 8 4 2 4 2" xfId="39777" xr:uid="{00000000-0005-0000-0000-0000449A0000}"/>
    <cellStyle name="Normal 2 8 4 2 4 2 2" xfId="39778" xr:uid="{00000000-0005-0000-0000-0000459A0000}"/>
    <cellStyle name="Normal 2 8 4 2 4 2 3" xfId="39779" xr:uid="{00000000-0005-0000-0000-0000469A0000}"/>
    <cellStyle name="Normal 2 8 4 2 4 2 4" xfId="39780" xr:uid="{00000000-0005-0000-0000-0000479A0000}"/>
    <cellStyle name="Normal 2 8 4 2 4 2 5" xfId="39781" xr:uid="{00000000-0005-0000-0000-0000489A0000}"/>
    <cellStyle name="Normal 2 8 4 2 4 3" xfId="39782" xr:uid="{00000000-0005-0000-0000-0000499A0000}"/>
    <cellStyle name="Normal 2 8 4 2 4 4" xfId="39783" xr:uid="{00000000-0005-0000-0000-00004A9A0000}"/>
    <cellStyle name="Normal 2 8 4 2 4 5" xfId="39784" xr:uid="{00000000-0005-0000-0000-00004B9A0000}"/>
    <cellStyle name="Normal 2 8 4 2 4 6" xfId="39785" xr:uid="{00000000-0005-0000-0000-00004C9A0000}"/>
    <cellStyle name="Normal 2 8 4 2 4 7" xfId="39786" xr:uid="{00000000-0005-0000-0000-00004D9A0000}"/>
    <cellStyle name="Normal 2 8 4 2 4 8" xfId="39787" xr:uid="{00000000-0005-0000-0000-00004E9A0000}"/>
    <cellStyle name="Normal 2 8 4 2 5" xfId="39788" xr:uid="{00000000-0005-0000-0000-00004F9A0000}"/>
    <cellStyle name="Normal 2 8 4 2 5 2" xfId="39789" xr:uid="{00000000-0005-0000-0000-0000509A0000}"/>
    <cellStyle name="Normal 2 8 4 2 5 3" xfId="39790" xr:uid="{00000000-0005-0000-0000-0000519A0000}"/>
    <cellStyle name="Normal 2 8 4 2 5 4" xfId="39791" xr:uid="{00000000-0005-0000-0000-0000529A0000}"/>
    <cellStyle name="Normal 2 8 4 2 5 5" xfId="39792" xr:uid="{00000000-0005-0000-0000-0000539A0000}"/>
    <cellStyle name="Normal 2 8 4 2 6" xfId="39793" xr:uid="{00000000-0005-0000-0000-0000549A0000}"/>
    <cellStyle name="Normal 2 8 4 2 7" xfId="39794" xr:uid="{00000000-0005-0000-0000-0000559A0000}"/>
    <cellStyle name="Normal 2 8 4 2 8" xfId="39795" xr:uid="{00000000-0005-0000-0000-0000569A0000}"/>
    <cellStyle name="Normal 2 8 4 2 9" xfId="39796" xr:uid="{00000000-0005-0000-0000-0000579A0000}"/>
    <cellStyle name="Normal 2 8 4 3" xfId="39797" xr:uid="{00000000-0005-0000-0000-0000589A0000}"/>
    <cellStyle name="Normal 2 8 4 3 10" xfId="39798" xr:uid="{00000000-0005-0000-0000-0000599A0000}"/>
    <cellStyle name="Normal 2 8 4 3 11" xfId="39799" xr:uid="{00000000-0005-0000-0000-00005A9A0000}"/>
    <cellStyle name="Normal 2 8 4 3 2" xfId="39800" xr:uid="{00000000-0005-0000-0000-00005B9A0000}"/>
    <cellStyle name="Normal 2 8 4 3 2 10" xfId="39801" xr:uid="{00000000-0005-0000-0000-00005C9A0000}"/>
    <cellStyle name="Normal 2 8 4 3 2 2" xfId="39802" xr:uid="{00000000-0005-0000-0000-00005D9A0000}"/>
    <cellStyle name="Normal 2 8 4 3 2 2 2" xfId="39803" xr:uid="{00000000-0005-0000-0000-00005E9A0000}"/>
    <cellStyle name="Normal 2 8 4 3 2 2 2 2" xfId="39804" xr:uid="{00000000-0005-0000-0000-00005F9A0000}"/>
    <cellStyle name="Normal 2 8 4 3 2 2 2 3" xfId="39805" xr:uid="{00000000-0005-0000-0000-0000609A0000}"/>
    <cellStyle name="Normal 2 8 4 3 2 2 2 4" xfId="39806" xr:uid="{00000000-0005-0000-0000-0000619A0000}"/>
    <cellStyle name="Normal 2 8 4 3 2 2 2 5" xfId="39807" xr:uid="{00000000-0005-0000-0000-0000629A0000}"/>
    <cellStyle name="Normal 2 8 4 3 2 2 3" xfId="39808" xr:uid="{00000000-0005-0000-0000-0000639A0000}"/>
    <cellStyle name="Normal 2 8 4 3 2 2 4" xfId="39809" xr:uid="{00000000-0005-0000-0000-0000649A0000}"/>
    <cellStyle name="Normal 2 8 4 3 2 2 5" xfId="39810" xr:uid="{00000000-0005-0000-0000-0000659A0000}"/>
    <cellStyle name="Normal 2 8 4 3 2 2 6" xfId="39811" xr:uid="{00000000-0005-0000-0000-0000669A0000}"/>
    <cellStyle name="Normal 2 8 4 3 2 2 7" xfId="39812" xr:uid="{00000000-0005-0000-0000-0000679A0000}"/>
    <cellStyle name="Normal 2 8 4 3 2 2 8" xfId="39813" xr:uid="{00000000-0005-0000-0000-0000689A0000}"/>
    <cellStyle name="Normal 2 8 4 3 2 3" xfId="39814" xr:uid="{00000000-0005-0000-0000-0000699A0000}"/>
    <cellStyle name="Normal 2 8 4 3 2 3 2" xfId="39815" xr:uid="{00000000-0005-0000-0000-00006A9A0000}"/>
    <cellStyle name="Normal 2 8 4 3 2 3 2 2" xfId="39816" xr:uid="{00000000-0005-0000-0000-00006B9A0000}"/>
    <cellStyle name="Normal 2 8 4 3 2 3 2 3" xfId="39817" xr:uid="{00000000-0005-0000-0000-00006C9A0000}"/>
    <cellStyle name="Normal 2 8 4 3 2 3 2 4" xfId="39818" xr:uid="{00000000-0005-0000-0000-00006D9A0000}"/>
    <cellStyle name="Normal 2 8 4 3 2 3 2 5" xfId="39819" xr:uid="{00000000-0005-0000-0000-00006E9A0000}"/>
    <cellStyle name="Normal 2 8 4 3 2 3 3" xfId="39820" xr:uid="{00000000-0005-0000-0000-00006F9A0000}"/>
    <cellStyle name="Normal 2 8 4 3 2 3 4" xfId="39821" xr:uid="{00000000-0005-0000-0000-0000709A0000}"/>
    <cellStyle name="Normal 2 8 4 3 2 3 5" xfId="39822" xr:uid="{00000000-0005-0000-0000-0000719A0000}"/>
    <cellStyle name="Normal 2 8 4 3 2 3 6" xfId="39823" xr:uid="{00000000-0005-0000-0000-0000729A0000}"/>
    <cellStyle name="Normal 2 8 4 3 2 3 7" xfId="39824" xr:uid="{00000000-0005-0000-0000-0000739A0000}"/>
    <cellStyle name="Normal 2 8 4 3 2 3 8" xfId="39825" xr:uid="{00000000-0005-0000-0000-0000749A0000}"/>
    <cellStyle name="Normal 2 8 4 3 2 4" xfId="39826" xr:uid="{00000000-0005-0000-0000-0000759A0000}"/>
    <cellStyle name="Normal 2 8 4 3 2 4 2" xfId="39827" xr:uid="{00000000-0005-0000-0000-0000769A0000}"/>
    <cellStyle name="Normal 2 8 4 3 2 4 3" xfId="39828" xr:uid="{00000000-0005-0000-0000-0000779A0000}"/>
    <cellStyle name="Normal 2 8 4 3 2 4 4" xfId="39829" xr:uid="{00000000-0005-0000-0000-0000789A0000}"/>
    <cellStyle name="Normal 2 8 4 3 2 4 5" xfId="39830" xr:uid="{00000000-0005-0000-0000-0000799A0000}"/>
    <cellStyle name="Normal 2 8 4 3 2 5" xfId="39831" xr:uid="{00000000-0005-0000-0000-00007A9A0000}"/>
    <cellStyle name="Normal 2 8 4 3 2 6" xfId="39832" xr:uid="{00000000-0005-0000-0000-00007B9A0000}"/>
    <cellStyle name="Normal 2 8 4 3 2 7" xfId="39833" xr:uid="{00000000-0005-0000-0000-00007C9A0000}"/>
    <cellStyle name="Normal 2 8 4 3 2 8" xfId="39834" xr:uid="{00000000-0005-0000-0000-00007D9A0000}"/>
    <cellStyle name="Normal 2 8 4 3 2 9" xfId="39835" xr:uid="{00000000-0005-0000-0000-00007E9A0000}"/>
    <cellStyle name="Normal 2 8 4 3 3" xfId="39836" xr:uid="{00000000-0005-0000-0000-00007F9A0000}"/>
    <cellStyle name="Normal 2 8 4 3 3 2" xfId="39837" xr:uid="{00000000-0005-0000-0000-0000809A0000}"/>
    <cellStyle name="Normal 2 8 4 3 3 2 2" xfId="39838" xr:uid="{00000000-0005-0000-0000-0000819A0000}"/>
    <cellStyle name="Normal 2 8 4 3 3 2 3" xfId="39839" xr:uid="{00000000-0005-0000-0000-0000829A0000}"/>
    <cellStyle name="Normal 2 8 4 3 3 2 4" xfId="39840" xr:uid="{00000000-0005-0000-0000-0000839A0000}"/>
    <cellStyle name="Normal 2 8 4 3 3 2 5" xfId="39841" xr:uid="{00000000-0005-0000-0000-0000849A0000}"/>
    <cellStyle name="Normal 2 8 4 3 3 3" xfId="39842" xr:uid="{00000000-0005-0000-0000-0000859A0000}"/>
    <cellStyle name="Normal 2 8 4 3 3 4" xfId="39843" xr:uid="{00000000-0005-0000-0000-0000869A0000}"/>
    <cellStyle name="Normal 2 8 4 3 3 5" xfId="39844" xr:uid="{00000000-0005-0000-0000-0000879A0000}"/>
    <cellStyle name="Normal 2 8 4 3 3 6" xfId="39845" xr:uid="{00000000-0005-0000-0000-0000889A0000}"/>
    <cellStyle name="Normal 2 8 4 3 3 7" xfId="39846" xr:uid="{00000000-0005-0000-0000-0000899A0000}"/>
    <cellStyle name="Normal 2 8 4 3 3 8" xfId="39847" xr:uid="{00000000-0005-0000-0000-00008A9A0000}"/>
    <cellStyle name="Normal 2 8 4 3 4" xfId="39848" xr:uid="{00000000-0005-0000-0000-00008B9A0000}"/>
    <cellStyle name="Normal 2 8 4 3 4 2" xfId="39849" xr:uid="{00000000-0005-0000-0000-00008C9A0000}"/>
    <cellStyle name="Normal 2 8 4 3 4 2 2" xfId="39850" xr:uid="{00000000-0005-0000-0000-00008D9A0000}"/>
    <cellStyle name="Normal 2 8 4 3 4 2 3" xfId="39851" xr:uid="{00000000-0005-0000-0000-00008E9A0000}"/>
    <cellStyle name="Normal 2 8 4 3 4 2 4" xfId="39852" xr:uid="{00000000-0005-0000-0000-00008F9A0000}"/>
    <cellStyle name="Normal 2 8 4 3 4 2 5" xfId="39853" xr:uid="{00000000-0005-0000-0000-0000909A0000}"/>
    <cellStyle name="Normal 2 8 4 3 4 3" xfId="39854" xr:uid="{00000000-0005-0000-0000-0000919A0000}"/>
    <cellStyle name="Normal 2 8 4 3 4 4" xfId="39855" xr:uid="{00000000-0005-0000-0000-0000929A0000}"/>
    <cellStyle name="Normal 2 8 4 3 4 5" xfId="39856" xr:uid="{00000000-0005-0000-0000-0000939A0000}"/>
    <cellStyle name="Normal 2 8 4 3 4 6" xfId="39857" xr:uid="{00000000-0005-0000-0000-0000949A0000}"/>
    <cellStyle name="Normal 2 8 4 3 4 7" xfId="39858" xr:uid="{00000000-0005-0000-0000-0000959A0000}"/>
    <cellStyle name="Normal 2 8 4 3 4 8" xfId="39859" xr:uid="{00000000-0005-0000-0000-0000969A0000}"/>
    <cellStyle name="Normal 2 8 4 3 5" xfId="39860" xr:uid="{00000000-0005-0000-0000-0000979A0000}"/>
    <cellStyle name="Normal 2 8 4 3 5 2" xfId="39861" xr:uid="{00000000-0005-0000-0000-0000989A0000}"/>
    <cellStyle name="Normal 2 8 4 3 5 3" xfId="39862" xr:uid="{00000000-0005-0000-0000-0000999A0000}"/>
    <cellStyle name="Normal 2 8 4 3 5 4" xfId="39863" xr:uid="{00000000-0005-0000-0000-00009A9A0000}"/>
    <cellStyle name="Normal 2 8 4 3 5 5" xfId="39864" xr:uid="{00000000-0005-0000-0000-00009B9A0000}"/>
    <cellStyle name="Normal 2 8 4 3 6" xfId="39865" xr:uid="{00000000-0005-0000-0000-00009C9A0000}"/>
    <cellStyle name="Normal 2 8 4 3 7" xfId="39866" xr:uid="{00000000-0005-0000-0000-00009D9A0000}"/>
    <cellStyle name="Normal 2 8 4 3 8" xfId="39867" xr:uid="{00000000-0005-0000-0000-00009E9A0000}"/>
    <cellStyle name="Normal 2 8 4 3 9" xfId="39868" xr:uid="{00000000-0005-0000-0000-00009F9A0000}"/>
    <cellStyle name="Normal 2 8 4 4" xfId="39869" xr:uid="{00000000-0005-0000-0000-0000A09A0000}"/>
    <cellStyle name="Normal 2 8 4 4 10" xfId="39870" xr:uid="{00000000-0005-0000-0000-0000A19A0000}"/>
    <cellStyle name="Normal 2 8 4 4 2" xfId="39871" xr:uid="{00000000-0005-0000-0000-0000A29A0000}"/>
    <cellStyle name="Normal 2 8 4 4 2 2" xfId="39872" xr:uid="{00000000-0005-0000-0000-0000A39A0000}"/>
    <cellStyle name="Normal 2 8 4 4 2 2 2" xfId="39873" xr:uid="{00000000-0005-0000-0000-0000A49A0000}"/>
    <cellStyle name="Normal 2 8 4 4 2 2 3" xfId="39874" xr:uid="{00000000-0005-0000-0000-0000A59A0000}"/>
    <cellStyle name="Normal 2 8 4 4 2 2 4" xfId="39875" xr:uid="{00000000-0005-0000-0000-0000A69A0000}"/>
    <cellStyle name="Normal 2 8 4 4 2 2 5" xfId="39876" xr:uid="{00000000-0005-0000-0000-0000A79A0000}"/>
    <cellStyle name="Normal 2 8 4 4 2 3" xfId="39877" xr:uid="{00000000-0005-0000-0000-0000A89A0000}"/>
    <cellStyle name="Normal 2 8 4 4 2 4" xfId="39878" xr:uid="{00000000-0005-0000-0000-0000A99A0000}"/>
    <cellStyle name="Normal 2 8 4 4 2 5" xfId="39879" xr:uid="{00000000-0005-0000-0000-0000AA9A0000}"/>
    <cellStyle name="Normal 2 8 4 4 2 6" xfId="39880" xr:uid="{00000000-0005-0000-0000-0000AB9A0000}"/>
    <cellStyle name="Normal 2 8 4 4 2 7" xfId="39881" xr:uid="{00000000-0005-0000-0000-0000AC9A0000}"/>
    <cellStyle name="Normal 2 8 4 4 2 8" xfId="39882" xr:uid="{00000000-0005-0000-0000-0000AD9A0000}"/>
    <cellStyle name="Normal 2 8 4 4 3" xfId="39883" xr:uid="{00000000-0005-0000-0000-0000AE9A0000}"/>
    <cellStyle name="Normal 2 8 4 4 3 2" xfId="39884" xr:uid="{00000000-0005-0000-0000-0000AF9A0000}"/>
    <cellStyle name="Normal 2 8 4 4 3 2 2" xfId="39885" xr:uid="{00000000-0005-0000-0000-0000B09A0000}"/>
    <cellStyle name="Normal 2 8 4 4 3 2 3" xfId="39886" xr:uid="{00000000-0005-0000-0000-0000B19A0000}"/>
    <cellStyle name="Normal 2 8 4 4 3 2 4" xfId="39887" xr:uid="{00000000-0005-0000-0000-0000B29A0000}"/>
    <cellStyle name="Normal 2 8 4 4 3 2 5" xfId="39888" xr:uid="{00000000-0005-0000-0000-0000B39A0000}"/>
    <cellStyle name="Normal 2 8 4 4 3 3" xfId="39889" xr:uid="{00000000-0005-0000-0000-0000B49A0000}"/>
    <cellStyle name="Normal 2 8 4 4 3 4" xfId="39890" xr:uid="{00000000-0005-0000-0000-0000B59A0000}"/>
    <cellStyle name="Normal 2 8 4 4 3 5" xfId="39891" xr:uid="{00000000-0005-0000-0000-0000B69A0000}"/>
    <cellStyle name="Normal 2 8 4 4 3 6" xfId="39892" xr:uid="{00000000-0005-0000-0000-0000B79A0000}"/>
    <cellStyle name="Normal 2 8 4 4 3 7" xfId="39893" xr:uid="{00000000-0005-0000-0000-0000B89A0000}"/>
    <cellStyle name="Normal 2 8 4 4 3 8" xfId="39894" xr:uid="{00000000-0005-0000-0000-0000B99A0000}"/>
    <cellStyle name="Normal 2 8 4 4 4" xfId="39895" xr:uid="{00000000-0005-0000-0000-0000BA9A0000}"/>
    <cellStyle name="Normal 2 8 4 4 4 2" xfId="39896" xr:uid="{00000000-0005-0000-0000-0000BB9A0000}"/>
    <cellStyle name="Normal 2 8 4 4 4 3" xfId="39897" xr:uid="{00000000-0005-0000-0000-0000BC9A0000}"/>
    <cellStyle name="Normal 2 8 4 4 4 4" xfId="39898" xr:uid="{00000000-0005-0000-0000-0000BD9A0000}"/>
    <cellStyle name="Normal 2 8 4 4 4 5" xfId="39899" xr:uid="{00000000-0005-0000-0000-0000BE9A0000}"/>
    <cellStyle name="Normal 2 8 4 4 5" xfId="39900" xr:uid="{00000000-0005-0000-0000-0000BF9A0000}"/>
    <cellStyle name="Normal 2 8 4 4 6" xfId="39901" xr:uid="{00000000-0005-0000-0000-0000C09A0000}"/>
    <cellStyle name="Normal 2 8 4 4 7" xfId="39902" xr:uid="{00000000-0005-0000-0000-0000C19A0000}"/>
    <cellStyle name="Normal 2 8 4 4 8" xfId="39903" xr:uid="{00000000-0005-0000-0000-0000C29A0000}"/>
    <cellStyle name="Normal 2 8 4 4 9" xfId="39904" xr:uid="{00000000-0005-0000-0000-0000C39A0000}"/>
    <cellStyle name="Normal 2 8 4 5" xfId="39905" xr:uid="{00000000-0005-0000-0000-0000C49A0000}"/>
    <cellStyle name="Normal 2 8 4 5 2" xfId="39906" xr:uid="{00000000-0005-0000-0000-0000C59A0000}"/>
    <cellStyle name="Normal 2 8 4 5 2 2" xfId="39907" xr:uid="{00000000-0005-0000-0000-0000C69A0000}"/>
    <cellStyle name="Normal 2 8 4 5 2 3" xfId="39908" xr:uid="{00000000-0005-0000-0000-0000C79A0000}"/>
    <cellStyle name="Normal 2 8 4 5 2 4" xfId="39909" xr:uid="{00000000-0005-0000-0000-0000C89A0000}"/>
    <cellStyle name="Normal 2 8 4 5 2 5" xfId="39910" xr:uid="{00000000-0005-0000-0000-0000C99A0000}"/>
    <cellStyle name="Normal 2 8 4 5 3" xfId="39911" xr:uid="{00000000-0005-0000-0000-0000CA9A0000}"/>
    <cellStyle name="Normal 2 8 4 5 4" xfId="39912" xr:uid="{00000000-0005-0000-0000-0000CB9A0000}"/>
    <cellStyle name="Normal 2 8 4 5 5" xfId="39913" xr:uid="{00000000-0005-0000-0000-0000CC9A0000}"/>
    <cellStyle name="Normal 2 8 4 5 6" xfId="39914" xr:uid="{00000000-0005-0000-0000-0000CD9A0000}"/>
    <cellStyle name="Normal 2 8 4 5 7" xfId="39915" xr:uid="{00000000-0005-0000-0000-0000CE9A0000}"/>
    <cellStyle name="Normal 2 8 4 5 8" xfId="39916" xr:uid="{00000000-0005-0000-0000-0000CF9A0000}"/>
    <cellStyle name="Normal 2 8 4 6" xfId="39917" xr:uid="{00000000-0005-0000-0000-0000D09A0000}"/>
    <cellStyle name="Normal 2 8 4 6 2" xfId="39918" xr:uid="{00000000-0005-0000-0000-0000D19A0000}"/>
    <cellStyle name="Normal 2 8 4 6 2 2" xfId="39919" xr:uid="{00000000-0005-0000-0000-0000D29A0000}"/>
    <cellStyle name="Normal 2 8 4 6 2 3" xfId="39920" xr:uid="{00000000-0005-0000-0000-0000D39A0000}"/>
    <cellStyle name="Normal 2 8 4 6 2 4" xfId="39921" xr:uid="{00000000-0005-0000-0000-0000D49A0000}"/>
    <cellStyle name="Normal 2 8 4 6 2 5" xfId="39922" xr:uid="{00000000-0005-0000-0000-0000D59A0000}"/>
    <cellStyle name="Normal 2 8 4 6 3" xfId="39923" xr:uid="{00000000-0005-0000-0000-0000D69A0000}"/>
    <cellStyle name="Normal 2 8 4 6 4" xfId="39924" xr:uid="{00000000-0005-0000-0000-0000D79A0000}"/>
    <cellStyle name="Normal 2 8 4 6 5" xfId="39925" xr:uid="{00000000-0005-0000-0000-0000D89A0000}"/>
    <cellStyle name="Normal 2 8 4 6 6" xfId="39926" xr:uid="{00000000-0005-0000-0000-0000D99A0000}"/>
    <cellStyle name="Normal 2 8 4 6 7" xfId="39927" xr:uid="{00000000-0005-0000-0000-0000DA9A0000}"/>
    <cellStyle name="Normal 2 8 4 6 8" xfId="39928" xr:uid="{00000000-0005-0000-0000-0000DB9A0000}"/>
    <cellStyle name="Normal 2 8 4 7" xfId="39929" xr:uid="{00000000-0005-0000-0000-0000DC9A0000}"/>
    <cellStyle name="Normal 2 8 4 7 2" xfId="39930" xr:uid="{00000000-0005-0000-0000-0000DD9A0000}"/>
    <cellStyle name="Normal 2 8 4 7 3" xfId="39931" xr:uid="{00000000-0005-0000-0000-0000DE9A0000}"/>
    <cellStyle name="Normal 2 8 4 7 4" xfId="39932" xr:uid="{00000000-0005-0000-0000-0000DF9A0000}"/>
    <cellStyle name="Normal 2 8 4 7 5" xfId="39933" xr:uid="{00000000-0005-0000-0000-0000E09A0000}"/>
    <cellStyle name="Normal 2 8 4 8" xfId="39934" xr:uid="{00000000-0005-0000-0000-0000E19A0000}"/>
    <cellStyle name="Normal 2 8 4 9" xfId="39935" xr:uid="{00000000-0005-0000-0000-0000E29A0000}"/>
    <cellStyle name="Normal 2 8 5" xfId="39936" xr:uid="{00000000-0005-0000-0000-0000E39A0000}"/>
    <cellStyle name="Normal 2 8 5 10" xfId="39937" xr:uid="{00000000-0005-0000-0000-0000E49A0000}"/>
    <cellStyle name="Normal 2 8 5 11" xfId="39938" xr:uid="{00000000-0005-0000-0000-0000E59A0000}"/>
    <cellStyle name="Normal 2 8 5 12" xfId="39939" xr:uid="{00000000-0005-0000-0000-0000E69A0000}"/>
    <cellStyle name="Normal 2 8 5 13" xfId="39940" xr:uid="{00000000-0005-0000-0000-0000E79A0000}"/>
    <cellStyle name="Normal 2 8 5 2" xfId="39941" xr:uid="{00000000-0005-0000-0000-0000E89A0000}"/>
    <cellStyle name="Normal 2 8 5 2 10" xfId="39942" xr:uid="{00000000-0005-0000-0000-0000E99A0000}"/>
    <cellStyle name="Normal 2 8 5 2 11" xfId="39943" xr:uid="{00000000-0005-0000-0000-0000EA9A0000}"/>
    <cellStyle name="Normal 2 8 5 2 2" xfId="39944" xr:uid="{00000000-0005-0000-0000-0000EB9A0000}"/>
    <cellStyle name="Normal 2 8 5 2 2 10" xfId="39945" xr:uid="{00000000-0005-0000-0000-0000EC9A0000}"/>
    <cellStyle name="Normal 2 8 5 2 2 2" xfId="39946" xr:uid="{00000000-0005-0000-0000-0000ED9A0000}"/>
    <cellStyle name="Normal 2 8 5 2 2 2 2" xfId="39947" xr:uid="{00000000-0005-0000-0000-0000EE9A0000}"/>
    <cellStyle name="Normal 2 8 5 2 2 2 2 2" xfId="39948" xr:uid="{00000000-0005-0000-0000-0000EF9A0000}"/>
    <cellStyle name="Normal 2 8 5 2 2 2 2 3" xfId="39949" xr:uid="{00000000-0005-0000-0000-0000F09A0000}"/>
    <cellStyle name="Normal 2 8 5 2 2 2 2 4" xfId="39950" xr:uid="{00000000-0005-0000-0000-0000F19A0000}"/>
    <cellStyle name="Normal 2 8 5 2 2 2 2 5" xfId="39951" xr:uid="{00000000-0005-0000-0000-0000F29A0000}"/>
    <cellStyle name="Normal 2 8 5 2 2 2 3" xfId="39952" xr:uid="{00000000-0005-0000-0000-0000F39A0000}"/>
    <cellStyle name="Normal 2 8 5 2 2 2 4" xfId="39953" xr:uid="{00000000-0005-0000-0000-0000F49A0000}"/>
    <cellStyle name="Normal 2 8 5 2 2 2 5" xfId="39954" xr:uid="{00000000-0005-0000-0000-0000F59A0000}"/>
    <cellStyle name="Normal 2 8 5 2 2 2 6" xfId="39955" xr:uid="{00000000-0005-0000-0000-0000F69A0000}"/>
    <cellStyle name="Normal 2 8 5 2 2 2 7" xfId="39956" xr:uid="{00000000-0005-0000-0000-0000F79A0000}"/>
    <cellStyle name="Normal 2 8 5 2 2 2 8" xfId="39957" xr:uid="{00000000-0005-0000-0000-0000F89A0000}"/>
    <cellStyle name="Normal 2 8 5 2 2 3" xfId="39958" xr:uid="{00000000-0005-0000-0000-0000F99A0000}"/>
    <cellStyle name="Normal 2 8 5 2 2 3 2" xfId="39959" xr:uid="{00000000-0005-0000-0000-0000FA9A0000}"/>
    <cellStyle name="Normal 2 8 5 2 2 3 2 2" xfId="39960" xr:uid="{00000000-0005-0000-0000-0000FB9A0000}"/>
    <cellStyle name="Normal 2 8 5 2 2 3 2 3" xfId="39961" xr:uid="{00000000-0005-0000-0000-0000FC9A0000}"/>
    <cellStyle name="Normal 2 8 5 2 2 3 2 4" xfId="39962" xr:uid="{00000000-0005-0000-0000-0000FD9A0000}"/>
    <cellStyle name="Normal 2 8 5 2 2 3 2 5" xfId="39963" xr:uid="{00000000-0005-0000-0000-0000FE9A0000}"/>
    <cellStyle name="Normal 2 8 5 2 2 3 3" xfId="39964" xr:uid="{00000000-0005-0000-0000-0000FF9A0000}"/>
    <cellStyle name="Normal 2 8 5 2 2 3 4" xfId="39965" xr:uid="{00000000-0005-0000-0000-0000009B0000}"/>
    <cellStyle name="Normal 2 8 5 2 2 3 5" xfId="39966" xr:uid="{00000000-0005-0000-0000-0000019B0000}"/>
    <cellStyle name="Normal 2 8 5 2 2 3 6" xfId="39967" xr:uid="{00000000-0005-0000-0000-0000029B0000}"/>
    <cellStyle name="Normal 2 8 5 2 2 3 7" xfId="39968" xr:uid="{00000000-0005-0000-0000-0000039B0000}"/>
    <cellStyle name="Normal 2 8 5 2 2 3 8" xfId="39969" xr:uid="{00000000-0005-0000-0000-0000049B0000}"/>
    <cellStyle name="Normal 2 8 5 2 2 4" xfId="39970" xr:uid="{00000000-0005-0000-0000-0000059B0000}"/>
    <cellStyle name="Normal 2 8 5 2 2 4 2" xfId="39971" xr:uid="{00000000-0005-0000-0000-0000069B0000}"/>
    <cellStyle name="Normal 2 8 5 2 2 4 3" xfId="39972" xr:uid="{00000000-0005-0000-0000-0000079B0000}"/>
    <cellStyle name="Normal 2 8 5 2 2 4 4" xfId="39973" xr:uid="{00000000-0005-0000-0000-0000089B0000}"/>
    <cellStyle name="Normal 2 8 5 2 2 4 5" xfId="39974" xr:uid="{00000000-0005-0000-0000-0000099B0000}"/>
    <cellStyle name="Normal 2 8 5 2 2 5" xfId="39975" xr:uid="{00000000-0005-0000-0000-00000A9B0000}"/>
    <cellStyle name="Normal 2 8 5 2 2 6" xfId="39976" xr:uid="{00000000-0005-0000-0000-00000B9B0000}"/>
    <cellStyle name="Normal 2 8 5 2 2 7" xfId="39977" xr:uid="{00000000-0005-0000-0000-00000C9B0000}"/>
    <cellStyle name="Normal 2 8 5 2 2 8" xfId="39978" xr:uid="{00000000-0005-0000-0000-00000D9B0000}"/>
    <cellStyle name="Normal 2 8 5 2 2 9" xfId="39979" xr:uid="{00000000-0005-0000-0000-00000E9B0000}"/>
    <cellStyle name="Normal 2 8 5 2 3" xfId="39980" xr:uid="{00000000-0005-0000-0000-00000F9B0000}"/>
    <cellStyle name="Normal 2 8 5 2 3 2" xfId="39981" xr:uid="{00000000-0005-0000-0000-0000109B0000}"/>
    <cellStyle name="Normal 2 8 5 2 3 2 2" xfId="39982" xr:uid="{00000000-0005-0000-0000-0000119B0000}"/>
    <cellStyle name="Normal 2 8 5 2 3 2 3" xfId="39983" xr:uid="{00000000-0005-0000-0000-0000129B0000}"/>
    <cellStyle name="Normal 2 8 5 2 3 2 4" xfId="39984" xr:uid="{00000000-0005-0000-0000-0000139B0000}"/>
    <cellStyle name="Normal 2 8 5 2 3 2 5" xfId="39985" xr:uid="{00000000-0005-0000-0000-0000149B0000}"/>
    <cellStyle name="Normal 2 8 5 2 3 3" xfId="39986" xr:uid="{00000000-0005-0000-0000-0000159B0000}"/>
    <cellStyle name="Normal 2 8 5 2 3 4" xfId="39987" xr:uid="{00000000-0005-0000-0000-0000169B0000}"/>
    <cellStyle name="Normal 2 8 5 2 3 5" xfId="39988" xr:uid="{00000000-0005-0000-0000-0000179B0000}"/>
    <cellStyle name="Normal 2 8 5 2 3 6" xfId="39989" xr:uid="{00000000-0005-0000-0000-0000189B0000}"/>
    <cellStyle name="Normal 2 8 5 2 3 7" xfId="39990" xr:uid="{00000000-0005-0000-0000-0000199B0000}"/>
    <cellStyle name="Normal 2 8 5 2 3 8" xfId="39991" xr:uid="{00000000-0005-0000-0000-00001A9B0000}"/>
    <cellStyle name="Normal 2 8 5 2 4" xfId="39992" xr:uid="{00000000-0005-0000-0000-00001B9B0000}"/>
    <cellStyle name="Normal 2 8 5 2 4 2" xfId="39993" xr:uid="{00000000-0005-0000-0000-00001C9B0000}"/>
    <cellStyle name="Normal 2 8 5 2 4 2 2" xfId="39994" xr:uid="{00000000-0005-0000-0000-00001D9B0000}"/>
    <cellStyle name="Normal 2 8 5 2 4 2 3" xfId="39995" xr:uid="{00000000-0005-0000-0000-00001E9B0000}"/>
    <cellStyle name="Normal 2 8 5 2 4 2 4" xfId="39996" xr:uid="{00000000-0005-0000-0000-00001F9B0000}"/>
    <cellStyle name="Normal 2 8 5 2 4 2 5" xfId="39997" xr:uid="{00000000-0005-0000-0000-0000209B0000}"/>
    <cellStyle name="Normal 2 8 5 2 4 3" xfId="39998" xr:uid="{00000000-0005-0000-0000-0000219B0000}"/>
    <cellStyle name="Normal 2 8 5 2 4 4" xfId="39999" xr:uid="{00000000-0005-0000-0000-0000229B0000}"/>
    <cellStyle name="Normal 2 8 5 2 4 5" xfId="40000" xr:uid="{00000000-0005-0000-0000-0000239B0000}"/>
    <cellStyle name="Normal 2 8 5 2 4 6" xfId="40001" xr:uid="{00000000-0005-0000-0000-0000249B0000}"/>
    <cellStyle name="Normal 2 8 5 2 4 7" xfId="40002" xr:uid="{00000000-0005-0000-0000-0000259B0000}"/>
    <cellStyle name="Normal 2 8 5 2 4 8" xfId="40003" xr:uid="{00000000-0005-0000-0000-0000269B0000}"/>
    <cellStyle name="Normal 2 8 5 2 5" xfId="40004" xr:uid="{00000000-0005-0000-0000-0000279B0000}"/>
    <cellStyle name="Normal 2 8 5 2 5 2" xfId="40005" xr:uid="{00000000-0005-0000-0000-0000289B0000}"/>
    <cellStyle name="Normal 2 8 5 2 5 3" xfId="40006" xr:uid="{00000000-0005-0000-0000-0000299B0000}"/>
    <cellStyle name="Normal 2 8 5 2 5 4" xfId="40007" xr:uid="{00000000-0005-0000-0000-00002A9B0000}"/>
    <cellStyle name="Normal 2 8 5 2 5 5" xfId="40008" xr:uid="{00000000-0005-0000-0000-00002B9B0000}"/>
    <cellStyle name="Normal 2 8 5 2 6" xfId="40009" xr:uid="{00000000-0005-0000-0000-00002C9B0000}"/>
    <cellStyle name="Normal 2 8 5 2 7" xfId="40010" xr:uid="{00000000-0005-0000-0000-00002D9B0000}"/>
    <cellStyle name="Normal 2 8 5 2 8" xfId="40011" xr:uid="{00000000-0005-0000-0000-00002E9B0000}"/>
    <cellStyle name="Normal 2 8 5 2 9" xfId="40012" xr:uid="{00000000-0005-0000-0000-00002F9B0000}"/>
    <cellStyle name="Normal 2 8 5 3" xfId="40013" xr:uid="{00000000-0005-0000-0000-0000309B0000}"/>
    <cellStyle name="Normal 2 8 5 3 10" xfId="40014" xr:uid="{00000000-0005-0000-0000-0000319B0000}"/>
    <cellStyle name="Normal 2 8 5 3 11" xfId="40015" xr:uid="{00000000-0005-0000-0000-0000329B0000}"/>
    <cellStyle name="Normal 2 8 5 3 2" xfId="40016" xr:uid="{00000000-0005-0000-0000-0000339B0000}"/>
    <cellStyle name="Normal 2 8 5 3 2 10" xfId="40017" xr:uid="{00000000-0005-0000-0000-0000349B0000}"/>
    <cellStyle name="Normal 2 8 5 3 2 2" xfId="40018" xr:uid="{00000000-0005-0000-0000-0000359B0000}"/>
    <cellStyle name="Normal 2 8 5 3 2 2 2" xfId="40019" xr:uid="{00000000-0005-0000-0000-0000369B0000}"/>
    <cellStyle name="Normal 2 8 5 3 2 2 2 2" xfId="40020" xr:uid="{00000000-0005-0000-0000-0000379B0000}"/>
    <cellStyle name="Normal 2 8 5 3 2 2 2 3" xfId="40021" xr:uid="{00000000-0005-0000-0000-0000389B0000}"/>
    <cellStyle name="Normal 2 8 5 3 2 2 2 4" xfId="40022" xr:uid="{00000000-0005-0000-0000-0000399B0000}"/>
    <cellStyle name="Normal 2 8 5 3 2 2 2 5" xfId="40023" xr:uid="{00000000-0005-0000-0000-00003A9B0000}"/>
    <cellStyle name="Normal 2 8 5 3 2 2 3" xfId="40024" xr:uid="{00000000-0005-0000-0000-00003B9B0000}"/>
    <cellStyle name="Normal 2 8 5 3 2 2 4" xfId="40025" xr:uid="{00000000-0005-0000-0000-00003C9B0000}"/>
    <cellStyle name="Normal 2 8 5 3 2 2 5" xfId="40026" xr:uid="{00000000-0005-0000-0000-00003D9B0000}"/>
    <cellStyle name="Normal 2 8 5 3 2 2 6" xfId="40027" xr:uid="{00000000-0005-0000-0000-00003E9B0000}"/>
    <cellStyle name="Normal 2 8 5 3 2 2 7" xfId="40028" xr:uid="{00000000-0005-0000-0000-00003F9B0000}"/>
    <cellStyle name="Normal 2 8 5 3 2 2 8" xfId="40029" xr:uid="{00000000-0005-0000-0000-0000409B0000}"/>
    <cellStyle name="Normal 2 8 5 3 2 3" xfId="40030" xr:uid="{00000000-0005-0000-0000-0000419B0000}"/>
    <cellStyle name="Normal 2 8 5 3 2 3 2" xfId="40031" xr:uid="{00000000-0005-0000-0000-0000429B0000}"/>
    <cellStyle name="Normal 2 8 5 3 2 3 2 2" xfId="40032" xr:uid="{00000000-0005-0000-0000-0000439B0000}"/>
    <cellStyle name="Normal 2 8 5 3 2 3 2 3" xfId="40033" xr:uid="{00000000-0005-0000-0000-0000449B0000}"/>
    <cellStyle name="Normal 2 8 5 3 2 3 2 4" xfId="40034" xr:uid="{00000000-0005-0000-0000-0000459B0000}"/>
    <cellStyle name="Normal 2 8 5 3 2 3 2 5" xfId="40035" xr:uid="{00000000-0005-0000-0000-0000469B0000}"/>
    <cellStyle name="Normal 2 8 5 3 2 3 3" xfId="40036" xr:uid="{00000000-0005-0000-0000-0000479B0000}"/>
    <cellStyle name="Normal 2 8 5 3 2 3 4" xfId="40037" xr:uid="{00000000-0005-0000-0000-0000489B0000}"/>
    <cellStyle name="Normal 2 8 5 3 2 3 5" xfId="40038" xr:uid="{00000000-0005-0000-0000-0000499B0000}"/>
    <cellStyle name="Normal 2 8 5 3 2 3 6" xfId="40039" xr:uid="{00000000-0005-0000-0000-00004A9B0000}"/>
    <cellStyle name="Normal 2 8 5 3 2 3 7" xfId="40040" xr:uid="{00000000-0005-0000-0000-00004B9B0000}"/>
    <cellStyle name="Normal 2 8 5 3 2 3 8" xfId="40041" xr:uid="{00000000-0005-0000-0000-00004C9B0000}"/>
    <cellStyle name="Normal 2 8 5 3 2 4" xfId="40042" xr:uid="{00000000-0005-0000-0000-00004D9B0000}"/>
    <cellStyle name="Normal 2 8 5 3 2 4 2" xfId="40043" xr:uid="{00000000-0005-0000-0000-00004E9B0000}"/>
    <cellStyle name="Normal 2 8 5 3 2 4 3" xfId="40044" xr:uid="{00000000-0005-0000-0000-00004F9B0000}"/>
    <cellStyle name="Normal 2 8 5 3 2 4 4" xfId="40045" xr:uid="{00000000-0005-0000-0000-0000509B0000}"/>
    <cellStyle name="Normal 2 8 5 3 2 4 5" xfId="40046" xr:uid="{00000000-0005-0000-0000-0000519B0000}"/>
    <cellStyle name="Normal 2 8 5 3 2 5" xfId="40047" xr:uid="{00000000-0005-0000-0000-0000529B0000}"/>
    <cellStyle name="Normal 2 8 5 3 2 6" xfId="40048" xr:uid="{00000000-0005-0000-0000-0000539B0000}"/>
    <cellStyle name="Normal 2 8 5 3 2 7" xfId="40049" xr:uid="{00000000-0005-0000-0000-0000549B0000}"/>
    <cellStyle name="Normal 2 8 5 3 2 8" xfId="40050" xr:uid="{00000000-0005-0000-0000-0000559B0000}"/>
    <cellStyle name="Normal 2 8 5 3 2 9" xfId="40051" xr:uid="{00000000-0005-0000-0000-0000569B0000}"/>
    <cellStyle name="Normal 2 8 5 3 3" xfId="40052" xr:uid="{00000000-0005-0000-0000-0000579B0000}"/>
    <cellStyle name="Normal 2 8 5 3 3 2" xfId="40053" xr:uid="{00000000-0005-0000-0000-0000589B0000}"/>
    <cellStyle name="Normal 2 8 5 3 3 2 2" xfId="40054" xr:uid="{00000000-0005-0000-0000-0000599B0000}"/>
    <cellStyle name="Normal 2 8 5 3 3 2 3" xfId="40055" xr:uid="{00000000-0005-0000-0000-00005A9B0000}"/>
    <cellStyle name="Normal 2 8 5 3 3 2 4" xfId="40056" xr:uid="{00000000-0005-0000-0000-00005B9B0000}"/>
    <cellStyle name="Normal 2 8 5 3 3 2 5" xfId="40057" xr:uid="{00000000-0005-0000-0000-00005C9B0000}"/>
    <cellStyle name="Normal 2 8 5 3 3 3" xfId="40058" xr:uid="{00000000-0005-0000-0000-00005D9B0000}"/>
    <cellStyle name="Normal 2 8 5 3 3 4" xfId="40059" xr:uid="{00000000-0005-0000-0000-00005E9B0000}"/>
    <cellStyle name="Normal 2 8 5 3 3 5" xfId="40060" xr:uid="{00000000-0005-0000-0000-00005F9B0000}"/>
    <cellStyle name="Normal 2 8 5 3 3 6" xfId="40061" xr:uid="{00000000-0005-0000-0000-0000609B0000}"/>
    <cellStyle name="Normal 2 8 5 3 3 7" xfId="40062" xr:uid="{00000000-0005-0000-0000-0000619B0000}"/>
    <cellStyle name="Normal 2 8 5 3 3 8" xfId="40063" xr:uid="{00000000-0005-0000-0000-0000629B0000}"/>
    <cellStyle name="Normal 2 8 5 3 4" xfId="40064" xr:uid="{00000000-0005-0000-0000-0000639B0000}"/>
    <cellStyle name="Normal 2 8 5 3 4 2" xfId="40065" xr:uid="{00000000-0005-0000-0000-0000649B0000}"/>
    <cellStyle name="Normal 2 8 5 3 4 2 2" xfId="40066" xr:uid="{00000000-0005-0000-0000-0000659B0000}"/>
    <cellStyle name="Normal 2 8 5 3 4 2 3" xfId="40067" xr:uid="{00000000-0005-0000-0000-0000669B0000}"/>
    <cellStyle name="Normal 2 8 5 3 4 2 4" xfId="40068" xr:uid="{00000000-0005-0000-0000-0000679B0000}"/>
    <cellStyle name="Normal 2 8 5 3 4 2 5" xfId="40069" xr:uid="{00000000-0005-0000-0000-0000689B0000}"/>
    <cellStyle name="Normal 2 8 5 3 4 3" xfId="40070" xr:uid="{00000000-0005-0000-0000-0000699B0000}"/>
    <cellStyle name="Normal 2 8 5 3 4 4" xfId="40071" xr:uid="{00000000-0005-0000-0000-00006A9B0000}"/>
    <cellStyle name="Normal 2 8 5 3 4 5" xfId="40072" xr:uid="{00000000-0005-0000-0000-00006B9B0000}"/>
    <cellStyle name="Normal 2 8 5 3 4 6" xfId="40073" xr:uid="{00000000-0005-0000-0000-00006C9B0000}"/>
    <cellStyle name="Normal 2 8 5 3 4 7" xfId="40074" xr:uid="{00000000-0005-0000-0000-00006D9B0000}"/>
    <cellStyle name="Normal 2 8 5 3 4 8" xfId="40075" xr:uid="{00000000-0005-0000-0000-00006E9B0000}"/>
    <cellStyle name="Normal 2 8 5 3 5" xfId="40076" xr:uid="{00000000-0005-0000-0000-00006F9B0000}"/>
    <cellStyle name="Normal 2 8 5 3 5 2" xfId="40077" xr:uid="{00000000-0005-0000-0000-0000709B0000}"/>
    <cellStyle name="Normal 2 8 5 3 5 3" xfId="40078" xr:uid="{00000000-0005-0000-0000-0000719B0000}"/>
    <cellStyle name="Normal 2 8 5 3 5 4" xfId="40079" xr:uid="{00000000-0005-0000-0000-0000729B0000}"/>
    <cellStyle name="Normal 2 8 5 3 5 5" xfId="40080" xr:uid="{00000000-0005-0000-0000-0000739B0000}"/>
    <cellStyle name="Normal 2 8 5 3 6" xfId="40081" xr:uid="{00000000-0005-0000-0000-0000749B0000}"/>
    <cellStyle name="Normal 2 8 5 3 7" xfId="40082" xr:uid="{00000000-0005-0000-0000-0000759B0000}"/>
    <cellStyle name="Normal 2 8 5 3 8" xfId="40083" xr:uid="{00000000-0005-0000-0000-0000769B0000}"/>
    <cellStyle name="Normal 2 8 5 3 9" xfId="40084" xr:uid="{00000000-0005-0000-0000-0000779B0000}"/>
    <cellStyle name="Normal 2 8 5 4" xfId="40085" xr:uid="{00000000-0005-0000-0000-0000789B0000}"/>
    <cellStyle name="Normal 2 8 5 4 10" xfId="40086" xr:uid="{00000000-0005-0000-0000-0000799B0000}"/>
    <cellStyle name="Normal 2 8 5 4 2" xfId="40087" xr:uid="{00000000-0005-0000-0000-00007A9B0000}"/>
    <cellStyle name="Normal 2 8 5 4 2 2" xfId="40088" xr:uid="{00000000-0005-0000-0000-00007B9B0000}"/>
    <cellStyle name="Normal 2 8 5 4 2 2 2" xfId="40089" xr:uid="{00000000-0005-0000-0000-00007C9B0000}"/>
    <cellStyle name="Normal 2 8 5 4 2 2 3" xfId="40090" xr:uid="{00000000-0005-0000-0000-00007D9B0000}"/>
    <cellStyle name="Normal 2 8 5 4 2 2 4" xfId="40091" xr:uid="{00000000-0005-0000-0000-00007E9B0000}"/>
    <cellStyle name="Normal 2 8 5 4 2 2 5" xfId="40092" xr:uid="{00000000-0005-0000-0000-00007F9B0000}"/>
    <cellStyle name="Normal 2 8 5 4 2 3" xfId="40093" xr:uid="{00000000-0005-0000-0000-0000809B0000}"/>
    <cellStyle name="Normal 2 8 5 4 2 4" xfId="40094" xr:uid="{00000000-0005-0000-0000-0000819B0000}"/>
    <cellStyle name="Normal 2 8 5 4 2 5" xfId="40095" xr:uid="{00000000-0005-0000-0000-0000829B0000}"/>
    <cellStyle name="Normal 2 8 5 4 2 6" xfId="40096" xr:uid="{00000000-0005-0000-0000-0000839B0000}"/>
    <cellStyle name="Normal 2 8 5 4 2 7" xfId="40097" xr:uid="{00000000-0005-0000-0000-0000849B0000}"/>
    <cellStyle name="Normal 2 8 5 4 2 8" xfId="40098" xr:uid="{00000000-0005-0000-0000-0000859B0000}"/>
    <cellStyle name="Normal 2 8 5 4 3" xfId="40099" xr:uid="{00000000-0005-0000-0000-0000869B0000}"/>
    <cellStyle name="Normal 2 8 5 4 3 2" xfId="40100" xr:uid="{00000000-0005-0000-0000-0000879B0000}"/>
    <cellStyle name="Normal 2 8 5 4 3 2 2" xfId="40101" xr:uid="{00000000-0005-0000-0000-0000889B0000}"/>
    <cellStyle name="Normal 2 8 5 4 3 2 3" xfId="40102" xr:uid="{00000000-0005-0000-0000-0000899B0000}"/>
    <cellStyle name="Normal 2 8 5 4 3 2 4" xfId="40103" xr:uid="{00000000-0005-0000-0000-00008A9B0000}"/>
    <cellStyle name="Normal 2 8 5 4 3 2 5" xfId="40104" xr:uid="{00000000-0005-0000-0000-00008B9B0000}"/>
    <cellStyle name="Normal 2 8 5 4 3 3" xfId="40105" xr:uid="{00000000-0005-0000-0000-00008C9B0000}"/>
    <cellStyle name="Normal 2 8 5 4 3 4" xfId="40106" xr:uid="{00000000-0005-0000-0000-00008D9B0000}"/>
    <cellStyle name="Normal 2 8 5 4 3 5" xfId="40107" xr:uid="{00000000-0005-0000-0000-00008E9B0000}"/>
    <cellStyle name="Normal 2 8 5 4 3 6" xfId="40108" xr:uid="{00000000-0005-0000-0000-00008F9B0000}"/>
    <cellStyle name="Normal 2 8 5 4 3 7" xfId="40109" xr:uid="{00000000-0005-0000-0000-0000909B0000}"/>
    <cellStyle name="Normal 2 8 5 4 3 8" xfId="40110" xr:uid="{00000000-0005-0000-0000-0000919B0000}"/>
    <cellStyle name="Normal 2 8 5 4 4" xfId="40111" xr:uid="{00000000-0005-0000-0000-0000929B0000}"/>
    <cellStyle name="Normal 2 8 5 4 4 2" xfId="40112" xr:uid="{00000000-0005-0000-0000-0000939B0000}"/>
    <cellStyle name="Normal 2 8 5 4 4 3" xfId="40113" xr:uid="{00000000-0005-0000-0000-0000949B0000}"/>
    <cellStyle name="Normal 2 8 5 4 4 4" xfId="40114" xr:uid="{00000000-0005-0000-0000-0000959B0000}"/>
    <cellStyle name="Normal 2 8 5 4 4 5" xfId="40115" xr:uid="{00000000-0005-0000-0000-0000969B0000}"/>
    <cellStyle name="Normal 2 8 5 4 5" xfId="40116" xr:uid="{00000000-0005-0000-0000-0000979B0000}"/>
    <cellStyle name="Normal 2 8 5 4 6" xfId="40117" xr:uid="{00000000-0005-0000-0000-0000989B0000}"/>
    <cellStyle name="Normal 2 8 5 4 7" xfId="40118" xr:uid="{00000000-0005-0000-0000-0000999B0000}"/>
    <cellStyle name="Normal 2 8 5 4 8" xfId="40119" xr:uid="{00000000-0005-0000-0000-00009A9B0000}"/>
    <cellStyle name="Normal 2 8 5 4 9" xfId="40120" xr:uid="{00000000-0005-0000-0000-00009B9B0000}"/>
    <cellStyle name="Normal 2 8 5 5" xfId="40121" xr:uid="{00000000-0005-0000-0000-00009C9B0000}"/>
    <cellStyle name="Normal 2 8 5 5 2" xfId="40122" xr:uid="{00000000-0005-0000-0000-00009D9B0000}"/>
    <cellStyle name="Normal 2 8 5 5 2 2" xfId="40123" xr:uid="{00000000-0005-0000-0000-00009E9B0000}"/>
    <cellStyle name="Normal 2 8 5 5 2 3" xfId="40124" xr:uid="{00000000-0005-0000-0000-00009F9B0000}"/>
    <cellStyle name="Normal 2 8 5 5 2 4" xfId="40125" xr:uid="{00000000-0005-0000-0000-0000A09B0000}"/>
    <cellStyle name="Normal 2 8 5 5 2 5" xfId="40126" xr:uid="{00000000-0005-0000-0000-0000A19B0000}"/>
    <cellStyle name="Normal 2 8 5 5 3" xfId="40127" xr:uid="{00000000-0005-0000-0000-0000A29B0000}"/>
    <cellStyle name="Normal 2 8 5 5 4" xfId="40128" xr:uid="{00000000-0005-0000-0000-0000A39B0000}"/>
    <cellStyle name="Normal 2 8 5 5 5" xfId="40129" xr:uid="{00000000-0005-0000-0000-0000A49B0000}"/>
    <cellStyle name="Normal 2 8 5 5 6" xfId="40130" xr:uid="{00000000-0005-0000-0000-0000A59B0000}"/>
    <cellStyle name="Normal 2 8 5 5 7" xfId="40131" xr:uid="{00000000-0005-0000-0000-0000A69B0000}"/>
    <cellStyle name="Normal 2 8 5 5 8" xfId="40132" xr:uid="{00000000-0005-0000-0000-0000A79B0000}"/>
    <cellStyle name="Normal 2 8 5 6" xfId="40133" xr:uid="{00000000-0005-0000-0000-0000A89B0000}"/>
    <cellStyle name="Normal 2 8 5 6 2" xfId="40134" xr:uid="{00000000-0005-0000-0000-0000A99B0000}"/>
    <cellStyle name="Normal 2 8 5 6 2 2" xfId="40135" xr:uid="{00000000-0005-0000-0000-0000AA9B0000}"/>
    <cellStyle name="Normal 2 8 5 6 2 3" xfId="40136" xr:uid="{00000000-0005-0000-0000-0000AB9B0000}"/>
    <cellStyle name="Normal 2 8 5 6 2 4" xfId="40137" xr:uid="{00000000-0005-0000-0000-0000AC9B0000}"/>
    <cellStyle name="Normal 2 8 5 6 2 5" xfId="40138" xr:uid="{00000000-0005-0000-0000-0000AD9B0000}"/>
    <cellStyle name="Normal 2 8 5 6 3" xfId="40139" xr:uid="{00000000-0005-0000-0000-0000AE9B0000}"/>
    <cellStyle name="Normal 2 8 5 6 4" xfId="40140" xr:uid="{00000000-0005-0000-0000-0000AF9B0000}"/>
    <cellStyle name="Normal 2 8 5 6 5" xfId="40141" xr:uid="{00000000-0005-0000-0000-0000B09B0000}"/>
    <cellStyle name="Normal 2 8 5 6 6" xfId="40142" xr:uid="{00000000-0005-0000-0000-0000B19B0000}"/>
    <cellStyle name="Normal 2 8 5 6 7" xfId="40143" xr:uid="{00000000-0005-0000-0000-0000B29B0000}"/>
    <cellStyle name="Normal 2 8 5 6 8" xfId="40144" xr:uid="{00000000-0005-0000-0000-0000B39B0000}"/>
    <cellStyle name="Normal 2 8 5 7" xfId="40145" xr:uid="{00000000-0005-0000-0000-0000B49B0000}"/>
    <cellStyle name="Normal 2 8 5 7 2" xfId="40146" xr:uid="{00000000-0005-0000-0000-0000B59B0000}"/>
    <cellStyle name="Normal 2 8 5 7 3" xfId="40147" xr:uid="{00000000-0005-0000-0000-0000B69B0000}"/>
    <cellStyle name="Normal 2 8 5 7 4" xfId="40148" xr:uid="{00000000-0005-0000-0000-0000B79B0000}"/>
    <cellStyle name="Normal 2 8 5 7 5" xfId="40149" xr:uid="{00000000-0005-0000-0000-0000B89B0000}"/>
    <cellStyle name="Normal 2 8 5 8" xfId="40150" xr:uid="{00000000-0005-0000-0000-0000B99B0000}"/>
    <cellStyle name="Normal 2 8 5 9" xfId="40151" xr:uid="{00000000-0005-0000-0000-0000BA9B0000}"/>
    <cellStyle name="Normal 2 8 6" xfId="40152" xr:uid="{00000000-0005-0000-0000-0000BB9B0000}"/>
    <cellStyle name="Normal 2 8 6 10" xfId="40153" xr:uid="{00000000-0005-0000-0000-0000BC9B0000}"/>
    <cellStyle name="Normal 2 8 6 11" xfId="40154" xr:uid="{00000000-0005-0000-0000-0000BD9B0000}"/>
    <cellStyle name="Normal 2 8 6 12" xfId="40155" xr:uid="{00000000-0005-0000-0000-0000BE9B0000}"/>
    <cellStyle name="Normal 2 8 6 13" xfId="40156" xr:uid="{00000000-0005-0000-0000-0000BF9B0000}"/>
    <cellStyle name="Normal 2 8 6 2" xfId="40157" xr:uid="{00000000-0005-0000-0000-0000C09B0000}"/>
    <cellStyle name="Normal 2 8 6 2 10" xfId="40158" xr:uid="{00000000-0005-0000-0000-0000C19B0000}"/>
    <cellStyle name="Normal 2 8 6 2 11" xfId="40159" xr:uid="{00000000-0005-0000-0000-0000C29B0000}"/>
    <cellStyle name="Normal 2 8 6 2 2" xfId="40160" xr:uid="{00000000-0005-0000-0000-0000C39B0000}"/>
    <cellStyle name="Normal 2 8 6 2 2 10" xfId="40161" xr:uid="{00000000-0005-0000-0000-0000C49B0000}"/>
    <cellStyle name="Normal 2 8 6 2 2 2" xfId="40162" xr:uid="{00000000-0005-0000-0000-0000C59B0000}"/>
    <cellStyle name="Normal 2 8 6 2 2 2 2" xfId="40163" xr:uid="{00000000-0005-0000-0000-0000C69B0000}"/>
    <cellStyle name="Normal 2 8 6 2 2 2 2 2" xfId="40164" xr:uid="{00000000-0005-0000-0000-0000C79B0000}"/>
    <cellStyle name="Normal 2 8 6 2 2 2 2 3" xfId="40165" xr:uid="{00000000-0005-0000-0000-0000C89B0000}"/>
    <cellStyle name="Normal 2 8 6 2 2 2 2 4" xfId="40166" xr:uid="{00000000-0005-0000-0000-0000C99B0000}"/>
    <cellStyle name="Normal 2 8 6 2 2 2 2 5" xfId="40167" xr:uid="{00000000-0005-0000-0000-0000CA9B0000}"/>
    <cellStyle name="Normal 2 8 6 2 2 2 3" xfId="40168" xr:uid="{00000000-0005-0000-0000-0000CB9B0000}"/>
    <cellStyle name="Normal 2 8 6 2 2 2 4" xfId="40169" xr:uid="{00000000-0005-0000-0000-0000CC9B0000}"/>
    <cellStyle name="Normal 2 8 6 2 2 2 5" xfId="40170" xr:uid="{00000000-0005-0000-0000-0000CD9B0000}"/>
    <cellStyle name="Normal 2 8 6 2 2 2 6" xfId="40171" xr:uid="{00000000-0005-0000-0000-0000CE9B0000}"/>
    <cellStyle name="Normal 2 8 6 2 2 2 7" xfId="40172" xr:uid="{00000000-0005-0000-0000-0000CF9B0000}"/>
    <cellStyle name="Normal 2 8 6 2 2 2 8" xfId="40173" xr:uid="{00000000-0005-0000-0000-0000D09B0000}"/>
    <cellStyle name="Normal 2 8 6 2 2 3" xfId="40174" xr:uid="{00000000-0005-0000-0000-0000D19B0000}"/>
    <cellStyle name="Normal 2 8 6 2 2 3 2" xfId="40175" xr:uid="{00000000-0005-0000-0000-0000D29B0000}"/>
    <cellStyle name="Normal 2 8 6 2 2 3 2 2" xfId="40176" xr:uid="{00000000-0005-0000-0000-0000D39B0000}"/>
    <cellStyle name="Normal 2 8 6 2 2 3 2 3" xfId="40177" xr:uid="{00000000-0005-0000-0000-0000D49B0000}"/>
    <cellStyle name="Normal 2 8 6 2 2 3 2 4" xfId="40178" xr:uid="{00000000-0005-0000-0000-0000D59B0000}"/>
    <cellStyle name="Normal 2 8 6 2 2 3 2 5" xfId="40179" xr:uid="{00000000-0005-0000-0000-0000D69B0000}"/>
    <cellStyle name="Normal 2 8 6 2 2 3 3" xfId="40180" xr:uid="{00000000-0005-0000-0000-0000D79B0000}"/>
    <cellStyle name="Normal 2 8 6 2 2 3 4" xfId="40181" xr:uid="{00000000-0005-0000-0000-0000D89B0000}"/>
    <cellStyle name="Normal 2 8 6 2 2 3 5" xfId="40182" xr:uid="{00000000-0005-0000-0000-0000D99B0000}"/>
    <cellStyle name="Normal 2 8 6 2 2 3 6" xfId="40183" xr:uid="{00000000-0005-0000-0000-0000DA9B0000}"/>
    <cellStyle name="Normal 2 8 6 2 2 3 7" xfId="40184" xr:uid="{00000000-0005-0000-0000-0000DB9B0000}"/>
    <cellStyle name="Normal 2 8 6 2 2 3 8" xfId="40185" xr:uid="{00000000-0005-0000-0000-0000DC9B0000}"/>
    <cellStyle name="Normal 2 8 6 2 2 4" xfId="40186" xr:uid="{00000000-0005-0000-0000-0000DD9B0000}"/>
    <cellStyle name="Normal 2 8 6 2 2 4 2" xfId="40187" xr:uid="{00000000-0005-0000-0000-0000DE9B0000}"/>
    <cellStyle name="Normal 2 8 6 2 2 4 3" xfId="40188" xr:uid="{00000000-0005-0000-0000-0000DF9B0000}"/>
    <cellStyle name="Normal 2 8 6 2 2 4 4" xfId="40189" xr:uid="{00000000-0005-0000-0000-0000E09B0000}"/>
    <cellStyle name="Normal 2 8 6 2 2 4 5" xfId="40190" xr:uid="{00000000-0005-0000-0000-0000E19B0000}"/>
    <cellStyle name="Normal 2 8 6 2 2 5" xfId="40191" xr:uid="{00000000-0005-0000-0000-0000E29B0000}"/>
    <cellStyle name="Normal 2 8 6 2 2 6" xfId="40192" xr:uid="{00000000-0005-0000-0000-0000E39B0000}"/>
    <cellStyle name="Normal 2 8 6 2 2 7" xfId="40193" xr:uid="{00000000-0005-0000-0000-0000E49B0000}"/>
    <cellStyle name="Normal 2 8 6 2 2 8" xfId="40194" xr:uid="{00000000-0005-0000-0000-0000E59B0000}"/>
    <cellStyle name="Normal 2 8 6 2 2 9" xfId="40195" xr:uid="{00000000-0005-0000-0000-0000E69B0000}"/>
    <cellStyle name="Normal 2 8 6 2 3" xfId="40196" xr:uid="{00000000-0005-0000-0000-0000E79B0000}"/>
    <cellStyle name="Normal 2 8 6 2 3 2" xfId="40197" xr:uid="{00000000-0005-0000-0000-0000E89B0000}"/>
    <cellStyle name="Normal 2 8 6 2 3 2 2" xfId="40198" xr:uid="{00000000-0005-0000-0000-0000E99B0000}"/>
    <cellStyle name="Normal 2 8 6 2 3 2 3" xfId="40199" xr:uid="{00000000-0005-0000-0000-0000EA9B0000}"/>
    <cellStyle name="Normal 2 8 6 2 3 2 4" xfId="40200" xr:uid="{00000000-0005-0000-0000-0000EB9B0000}"/>
    <cellStyle name="Normal 2 8 6 2 3 2 5" xfId="40201" xr:uid="{00000000-0005-0000-0000-0000EC9B0000}"/>
    <cellStyle name="Normal 2 8 6 2 3 3" xfId="40202" xr:uid="{00000000-0005-0000-0000-0000ED9B0000}"/>
    <cellStyle name="Normal 2 8 6 2 3 4" xfId="40203" xr:uid="{00000000-0005-0000-0000-0000EE9B0000}"/>
    <cellStyle name="Normal 2 8 6 2 3 5" xfId="40204" xr:uid="{00000000-0005-0000-0000-0000EF9B0000}"/>
    <cellStyle name="Normal 2 8 6 2 3 6" xfId="40205" xr:uid="{00000000-0005-0000-0000-0000F09B0000}"/>
    <cellStyle name="Normal 2 8 6 2 3 7" xfId="40206" xr:uid="{00000000-0005-0000-0000-0000F19B0000}"/>
    <cellStyle name="Normal 2 8 6 2 3 8" xfId="40207" xr:uid="{00000000-0005-0000-0000-0000F29B0000}"/>
    <cellStyle name="Normal 2 8 6 2 4" xfId="40208" xr:uid="{00000000-0005-0000-0000-0000F39B0000}"/>
    <cellStyle name="Normal 2 8 6 2 4 2" xfId="40209" xr:uid="{00000000-0005-0000-0000-0000F49B0000}"/>
    <cellStyle name="Normal 2 8 6 2 4 2 2" xfId="40210" xr:uid="{00000000-0005-0000-0000-0000F59B0000}"/>
    <cellStyle name="Normal 2 8 6 2 4 2 3" xfId="40211" xr:uid="{00000000-0005-0000-0000-0000F69B0000}"/>
    <cellStyle name="Normal 2 8 6 2 4 2 4" xfId="40212" xr:uid="{00000000-0005-0000-0000-0000F79B0000}"/>
    <cellStyle name="Normal 2 8 6 2 4 2 5" xfId="40213" xr:uid="{00000000-0005-0000-0000-0000F89B0000}"/>
    <cellStyle name="Normal 2 8 6 2 4 3" xfId="40214" xr:uid="{00000000-0005-0000-0000-0000F99B0000}"/>
    <cellStyle name="Normal 2 8 6 2 4 4" xfId="40215" xr:uid="{00000000-0005-0000-0000-0000FA9B0000}"/>
    <cellStyle name="Normal 2 8 6 2 4 5" xfId="40216" xr:uid="{00000000-0005-0000-0000-0000FB9B0000}"/>
    <cellStyle name="Normal 2 8 6 2 4 6" xfId="40217" xr:uid="{00000000-0005-0000-0000-0000FC9B0000}"/>
    <cellStyle name="Normal 2 8 6 2 4 7" xfId="40218" xr:uid="{00000000-0005-0000-0000-0000FD9B0000}"/>
    <cellStyle name="Normal 2 8 6 2 4 8" xfId="40219" xr:uid="{00000000-0005-0000-0000-0000FE9B0000}"/>
    <cellStyle name="Normal 2 8 6 2 5" xfId="40220" xr:uid="{00000000-0005-0000-0000-0000FF9B0000}"/>
    <cellStyle name="Normal 2 8 6 2 5 2" xfId="40221" xr:uid="{00000000-0005-0000-0000-0000009C0000}"/>
    <cellStyle name="Normal 2 8 6 2 5 3" xfId="40222" xr:uid="{00000000-0005-0000-0000-0000019C0000}"/>
    <cellStyle name="Normal 2 8 6 2 5 4" xfId="40223" xr:uid="{00000000-0005-0000-0000-0000029C0000}"/>
    <cellStyle name="Normal 2 8 6 2 5 5" xfId="40224" xr:uid="{00000000-0005-0000-0000-0000039C0000}"/>
    <cellStyle name="Normal 2 8 6 2 6" xfId="40225" xr:uid="{00000000-0005-0000-0000-0000049C0000}"/>
    <cellStyle name="Normal 2 8 6 2 7" xfId="40226" xr:uid="{00000000-0005-0000-0000-0000059C0000}"/>
    <cellStyle name="Normal 2 8 6 2 8" xfId="40227" xr:uid="{00000000-0005-0000-0000-0000069C0000}"/>
    <cellStyle name="Normal 2 8 6 2 9" xfId="40228" xr:uid="{00000000-0005-0000-0000-0000079C0000}"/>
    <cellStyle name="Normal 2 8 6 3" xfId="40229" xr:uid="{00000000-0005-0000-0000-0000089C0000}"/>
    <cellStyle name="Normal 2 8 6 3 10" xfId="40230" xr:uid="{00000000-0005-0000-0000-0000099C0000}"/>
    <cellStyle name="Normal 2 8 6 3 11" xfId="40231" xr:uid="{00000000-0005-0000-0000-00000A9C0000}"/>
    <cellStyle name="Normal 2 8 6 3 2" xfId="40232" xr:uid="{00000000-0005-0000-0000-00000B9C0000}"/>
    <cellStyle name="Normal 2 8 6 3 2 10" xfId="40233" xr:uid="{00000000-0005-0000-0000-00000C9C0000}"/>
    <cellStyle name="Normal 2 8 6 3 2 2" xfId="40234" xr:uid="{00000000-0005-0000-0000-00000D9C0000}"/>
    <cellStyle name="Normal 2 8 6 3 2 2 2" xfId="40235" xr:uid="{00000000-0005-0000-0000-00000E9C0000}"/>
    <cellStyle name="Normal 2 8 6 3 2 2 2 2" xfId="40236" xr:uid="{00000000-0005-0000-0000-00000F9C0000}"/>
    <cellStyle name="Normal 2 8 6 3 2 2 2 3" xfId="40237" xr:uid="{00000000-0005-0000-0000-0000109C0000}"/>
    <cellStyle name="Normal 2 8 6 3 2 2 2 4" xfId="40238" xr:uid="{00000000-0005-0000-0000-0000119C0000}"/>
    <cellStyle name="Normal 2 8 6 3 2 2 2 5" xfId="40239" xr:uid="{00000000-0005-0000-0000-0000129C0000}"/>
    <cellStyle name="Normal 2 8 6 3 2 2 3" xfId="40240" xr:uid="{00000000-0005-0000-0000-0000139C0000}"/>
    <cellStyle name="Normal 2 8 6 3 2 2 4" xfId="40241" xr:uid="{00000000-0005-0000-0000-0000149C0000}"/>
    <cellStyle name="Normal 2 8 6 3 2 2 5" xfId="40242" xr:uid="{00000000-0005-0000-0000-0000159C0000}"/>
    <cellStyle name="Normal 2 8 6 3 2 2 6" xfId="40243" xr:uid="{00000000-0005-0000-0000-0000169C0000}"/>
    <cellStyle name="Normal 2 8 6 3 2 2 7" xfId="40244" xr:uid="{00000000-0005-0000-0000-0000179C0000}"/>
    <cellStyle name="Normal 2 8 6 3 2 2 8" xfId="40245" xr:uid="{00000000-0005-0000-0000-0000189C0000}"/>
    <cellStyle name="Normal 2 8 6 3 2 3" xfId="40246" xr:uid="{00000000-0005-0000-0000-0000199C0000}"/>
    <cellStyle name="Normal 2 8 6 3 2 3 2" xfId="40247" xr:uid="{00000000-0005-0000-0000-00001A9C0000}"/>
    <cellStyle name="Normal 2 8 6 3 2 3 2 2" xfId="40248" xr:uid="{00000000-0005-0000-0000-00001B9C0000}"/>
    <cellStyle name="Normal 2 8 6 3 2 3 2 3" xfId="40249" xr:uid="{00000000-0005-0000-0000-00001C9C0000}"/>
    <cellStyle name="Normal 2 8 6 3 2 3 2 4" xfId="40250" xr:uid="{00000000-0005-0000-0000-00001D9C0000}"/>
    <cellStyle name="Normal 2 8 6 3 2 3 2 5" xfId="40251" xr:uid="{00000000-0005-0000-0000-00001E9C0000}"/>
    <cellStyle name="Normal 2 8 6 3 2 3 3" xfId="40252" xr:uid="{00000000-0005-0000-0000-00001F9C0000}"/>
    <cellStyle name="Normal 2 8 6 3 2 3 4" xfId="40253" xr:uid="{00000000-0005-0000-0000-0000209C0000}"/>
    <cellStyle name="Normal 2 8 6 3 2 3 5" xfId="40254" xr:uid="{00000000-0005-0000-0000-0000219C0000}"/>
    <cellStyle name="Normal 2 8 6 3 2 3 6" xfId="40255" xr:uid="{00000000-0005-0000-0000-0000229C0000}"/>
    <cellStyle name="Normal 2 8 6 3 2 3 7" xfId="40256" xr:uid="{00000000-0005-0000-0000-0000239C0000}"/>
    <cellStyle name="Normal 2 8 6 3 2 3 8" xfId="40257" xr:uid="{00000000-0005-0000-0000-0000249C0000}"/>
    <cellStyle name="Normal 2 8 6 3 2 4" xfId="40258" xr:uid="{00000000-0005-0000-0000-0000259C0000}"/>
    <cellStyle name="Normal 2 8 6 3 2 4 2" xfId="40259" xr:uid="{00000000-0005-0000-0000-0000269C0000}"/>
    <cellStyle name="Normal 2 8 6 3 2 4 3" xfId="40260" xr:uid="{00000000-0005-0000-0000-0000279C0000}"/>
    <cellStyle name="Normal 2 8 6 3 2 4 4" xfId="40261" xr:uid="{00000000-0005-0000-0000-0000289C0000}"/>
    <cellStyle name="Normal 2 8 6 3 2 4 5" xfId="40262" xr:uid="{00000000-0005-0000-0000-0000299C0000}"/>
    <cellStyle name="Normal 2 8 6 3 2 5" xfId="40263" xr:uid="{00000000-0005-0000-0000-00002A9C0000}"/>
    <cellStyle name="Normal 2 8 6 3 2 6" xfId="40264" xr:uid="{00000000-0005-0000-0000-00002B9C0000}"/>
    <cellStyle name="Normal 2 8 6 3 2 7" xfId="40265" xr:uid="{00000000-0005-0000-0000-00002C9C0000}"/>
    <cellStyle name="Normal 2 8 6 3 2 8" xfId="40266" xr:uid="{00000000-0005-0000-0000-00002D9C0000}"/>
    <cellStyle name="Normal 2 8 6 3 2 9" xfId="40267" xr:uid="{00000000-0005-0000-0000-00002E9C0000}"/>
    <cellStyle name="Normal 2 8 6 3 3" xfId="40268" xr:uid="{00000000-0005-0000-0000-00002F9C0000}"/>
    <cellStyle name="Normal 2 8 6 3 3 2" xfId="40269" xr:uid="{00000000-0005-0000-0000-0000309C0000}"/>
    <cellStyle name="Normal 2 8 6 3 3 2 2" xfId="40270" xr:uid="{00000000-0005-0000-0000-0000319C0000}"/>
    <cellStyle name="Normal 2 8 6 3 3 2 3" xfId="40271" xr:uid="{00000000-0005-0000-0000-0000329C0000}"/>
    <cellStyle name="Normal 2 8 6 3 3 2 4" xfId="40272" xr:uid="{00000000-0005-0000-0000-0000339C0000}"/>
    <cellStyle name="Normal 2 8 6 3 3 2 5" xfId="40273" xr:uid="{00000000-0005-0000-0000-0000349C0000}"/>
    <cellStyle name="Normal 2 8 6 3 3 3" xfId="40274" xr:uid="{00000000-0005-0000-0000-0000359C0000}"/>
    <cellStyle name="Normal 2 8 6 3 3 4" xfId="40275" xr:uid="{00000000-0005-0000-0000-0000369C0000}"/>
    <cellStyle name="Normal 2 8 6 3 3 5" xfId="40276" xr:uid="{00000000-0005-0000-0000-0000379C0000}"/>
    <cellStyle name="Normal 2 8 6 3 3 6" xfId="40277" xr:uid="{00000000-0005-0000-0000-0000389C0000}"/>
    <cellStyle name="Normal 2 8 6 3 3 7" xfId="40278" xr:uid="{00000000-0005-0000-0000-0000399C0000}"/>
    <cellStyle name="Normal 2 8 6 3 3 8" xfId="40279" xr:uid="{00000000-0005-0000-0000-00003A9C0000}"/>
    <cellStyle name="Normal 2 8 6 3 4" xfId="40280" xr:uid="{00000000-0005-0000-0000-00003B9C0000}"/>
    <cellStyle name="Normal 2 8 6 3 4 2" xfId="40281" xr:uid="{00000000-0005-0000-0000-00003C9C0000}"/>
    <cellStyle name="Normal 2 8 6 3 4 2 2" xfId="40282" xr:uid="{00000000-0005-0000-0000-00003D9C0000}"/>
    <cellStyle name="Normal 2 8 6 3 4 2 3" xfId="40283" xr:uid="{00000000-0005-0000-0000-00003E9C0000}"/>
    <cellStyle name="Normal 2 8 6 3 4 2 4" xfId="40284" xr:uid="{00000000-0005-0000-0000-00003F9C0000}"/>
    <cellStyle name="Normal 2 8 6 3 4 2 5" xfId="40285" xr:uid="{00000000-0005-0000-0000-0000409C0000}"/>
    <cellStyle name="Normal 2 8 6 3 4 3" xfId="40286" xr:uid="{00000000-0005-0000-0000-0000419C0000}"/>
    <cellStyle name="Normal 2 8 6 3 4 4" xfId="40287" xr:uid="{00000000-0005-0000-0000-0000429C0000}"/>
    <cellStyle name="Normal 2 8 6 3 4 5" xfId="40288" xr:uid="{00000000-0005-0000-0000-0000439C0000}"/>
    <cellStyle name="Normal 2 8 6 3 4 6" xfId="40289" xr:uid="{00000000-0005-0000-0000-0000449C0000}"/>
    <cellStyle name="Normal 2 8 6 3 4 7" xfId="40290" xr:uid="{00000000-0005-0000-0000-0000459C0000}"/>
    <cellStyle name="Normal 2 8 6 3 4 8" xfId="40291" xr:uid="{00000000-0005-0000-0000-0000469C0000}"/>
    <cellStyle name="Normal 2 8 6 3 5" xfId="40292" xr:uid="{00000000-0005-0000-0000-0000479C0000}"/>
    <cellStyle name="Normal 2 8 6 3 5 2" xfId="40293" xr:uid="{00000000-0005-0000-0000-0000489C0000}"/>
    <cellStyle name="Normal 2 8 6 3 5 3" xfId="40294" xr:uid="{00000000-0005-0000-0000-0000499C0000}"/>
    <cellStyle name="Normal 2 8 6 3 5 4" xfId="40295" xr:uid="{00000000-0005-0000-0000-00004A9C0000}"/>
    <cellStyle name="Normal 2 8 6 3 5 5" xfId="40296" xr:uid="{00000000-0005-0000-0000-00004B9C0000}"/>
    <cellStyle name="Normal 2 8 6 3 6" xfId="40297" xr:uid="{00000000-0005-0000-0000-00004C9C0000}"/>
    <cellStyle name="Normal 2 8 6 3 7" xfId="40298" xr:uid="{00000000-0005-0000-0000-00004D9C0000}"/>
    <cellStyle name="Normal 2 8 6 3 8" xfId="40299" xr:uid="{00000000-0005-0000-0000-00004E9C0000}"/>
    <cellStyle name="Normal 2 8 6 3 9" xfId="40300" xr:uid="{00000000-0005-0000-0000-00004F9C0000}"/>
    <cellStyle name="Normal 2 8 6 4" xfId="40301" xr:uid="{00000000-0005-0000-0000-0000509C0000}"/>
    <cellStyle name="Normal 2 8 6 4 10" xfId="40302" xr:uid="{00000000-0005-0000-0000-0000519C0000}"/>
    <cellStyle name="Normal 2 8 6 4 2" xfId="40303" xr:uid="{00000000-0005-0000-0000-0000529C0000}"/>
    <cellStyle name="Normal 2 8 6 4 2 2" xfId="40304" xr:uid="{00000000-0005-0000-0000-0000539C0000}"/>
    <cellStyle name="Normal 2 8 6 4 2 2 2" xfId="40305" xr:uid="{00000000-0005-0000-0000-0000549C0000}"/>
    <cellStyle name="Normal 2 8 6 4 2 2 3" xfId="40306" xr:uid="{00000000-0005-0000-0000-0000559C0000}"/>
    <cellStyle name="Normal 2 8 6 4 2 2 4" xfId="40307" xr:uid="{00000000-0005-0000-0000-0000569C0000}"/>
    <cellStyle name="Normal 2 8 6 4 2 2 5" xfId="40308" xr:uid="{00000000-0005-0000-0000-0000579C0000}"/>
    <cellStyle name="Normal 2 8 6 4 2 3" xfId="40309" xr:uid="{00000000-0005-0000-0000-0000589C0000}"/>
    <cellStyle name="Normal 2 8 6 4 2 4" xfId="40310" xr:uid="{00000000-0005-0000-0000-0000599C0000}"/>
    <cellStyle name="Normal 2 8 6 4 2 5" xfId="40311" xr:uid="{00000000-0005-0000-0000-00005A9C0000}"/>
    <cellStyle name="Normal 2 8 6 4 2 6" xfId="40312" xr:uid="{00000000-0005-0000-0000-00005B9C0000}"/>
    <cellStyle name="Normal 2 8 6 4 2 7" xfId="40313" xr:uid="{00000000-0005-0000-0000-00005C9C0000}"/>
    <cellStyle name="Normal 2 8 6 4 2 8" xfId="40314" xr:uid="{00000000-0005-0000-0000-00005D9C0000}"/>
    <cellStyle name="Normal 2 8 6 4 3" xfId="40315" xr:uid="{00000000-0005-0000-0000-00005E9C0000}"/>
    <cellStyle name="Normal 2 8 6 4 3 2" xfId="40316" xr:uid="{00000000-0005-0000-0000-00005F9C0000}"/>
    <cellStyle name="Normal 2 8 6 4 3 2 2" xfId="40317" xr:uid="{00000000-0005-0000-0000-0000609C0000}"/>
    <cellStyle name="Normal 2 8 6 4 3 2 3" xfId="40318" xr:uid="{00000000-0005-0000-0000-0000619C0000}"/>
    <cellStyle name="Normal 2 8 6 4 3 2 4" xfId="40319" xr:uid="{00000000-0005-0000-0000-0000629C0000}"/>
    <cellStyle name="Normal 2 8 6 4 3 2 5" xfId="40320" xr:uid="{00000000-0005-0000-0000-0000639C0000}"/>
    <cellStyle name="Normal 2 8 6 4 3 3" xfId="40321" xr:uid="{00000000-0005-0000-0000-0000649C0000}"/>
    <cellStyle name="Normal 2 8 6 4 3 4" xfId="40322" xr:uid="{00000000-0005-0000-0000-0000659C0000}"/>
    <cellStyle name="Normal 2 8 6 4 3 5" xfId="40323" xr:uid="{00000000-0005-0000-0000-0000669C0000}"/>
    <cellStyle name="Normal 2 8 6 4 3 6" xfId="40324" xr:uid="{00000000-0005-0000-0000-0000679C0000}"/>
    <cellStyle name="Normal 2 8 6 4 3 7" xfId="40325" xr:uid="{00000000-0005-0000-0000-0000689C0000}"/>
    <cellStyle name="Normal 2 8 6 4 3 8" xfId="40326" xr:uid="{00000000-0005-0000-0000-0000699C0000}"/>
    <cellStyle name="Normal 2 8 6 4 4" xfId="40327" xr:uid="{00000000-0005-0000-0000-00006A9C0000}"/>
    <cellStyle name="Normal 2 8 6 4 4 2" xfId="40328" xr:uid="{00000000-0005-0000-0000-00006B9C0000}"/>
    <cellStyle name="Normal 2 8 6 4 4 3" xfId="40329" xr:uid="{00000000-0005-0000-0000-00006C9C0000}"/>
    <cellStyle name="Normal 2 8 6 4 4 4" xfId="40330" xr:uid="{00000000-0005-0000-0000-00006D9C0000}"/>
    <cellStyle name="Normal 2 8 6 4 4 5" xfId="40331" xr:uid="{00000000-0005-0000-0000-00006E9C0000}"/>
    <cellStyle name="Normal 2 8 6 4 5" xfId="40332" xr:uid="{00000000-0005-0000-0000-00006F9C0000}"/>
    <cellStyle name="Normal 2 8 6 4 6" xfId="40333" xr:uid="{00000000-0005-0000-0000-0000709C0000}"/>
    <cellStyle name="Normal 2 8 6 4 7" xfId="40334" xr:uid="{00000000-0005-0000-0000-0000719C0000}"/>
    <cellStyle name="Normal 2 8 6 4 8" xfId="40335" xr:uid="{00000000-0005-0000-0000-0000729C0000}"/>
    <cellStyle name="Normal 2 8 6 4 9" xfId="40336" xr:uid="{00000000-0005-0000-0000-0000739C0000}"/>
    <cellStyle name="Normal 2 8 6 5" xfId="40337" xr:uid="{00000000-0005-0000-0000-0000749C0000}"/>
    <cellStyle name="Normal 2 8 6 5 2" xfId="40338" xr:uid="{00000000-0005-0000-0000-0000759C0000}"/>
    <cellStyle name="Normal 2 8 6 5 2 2" xfId="40339" xr:uid="{00000000-0005-0000-0000-0000769C0000}"/>
    <cellStyle name="Normal 2 8 6 5 2 3" xfId="40340" xr:uid="{00000000-0005-0000-0000-0000779C0000}"/>
    <cellStyle name="Normal 2 8 6 5 2 4" xfId="40341" xr:uid="{00000000-0005-0000-0000-0000789C0000}"/>
    <cellStyle name="Normal 2 8 6 5 2 5" xfId="40342" xr:uid="{00000000-0005-0000-0000-0000799C0000}"/>
    <cellStyle name="Normal 2 8 6 5 3" xfId="40343" xr:uid="{00000000-0005-0000-0000-00007A9C0000}"/>
    <cellStyle name="Normal 2 8 6 5 4" xfId="40344" xr:uid="{00000000-0005-0000-0000-00007B9C0000}"/>
    <cellStyle name="Normal 2 8 6 5 5" xfId="40345" xr:uid="{00000000-0005-0000-0000-00007C9C0000}"/>
    <cellStyle name="Normal 2 8 6 5 6" xfId="40346" xr:uid="{00000000-0005-0000-0000-00007D9C0000}"/>
    <cellStyle name="Normal 2 8 6 5 7" xfId="40347" xr:uid="{00000000-0005-0000-0000-00007E9C0000}"/>
    <cellStyle name="Normal 2 8 6 5 8" xfId="40348" xr:uid="{00000000-0005-0000-0000-00007F9C0000}"/>
    <cellStyle name="Normal 2 8 6 6" xfId="40349" xr:uid="{00000000-0005-0000-0000-0000809C0000}"/>
    <cellStyle name="Normal 2 8 6 6 2" xfId="40350" xr:uid="{00000000-0005-0000-0000-0000819C0000}"/>
    <cellStyle name="Normal 2 8 6 6 2 2" xfId="40351" xr:uid="{00000000-0005-0000-0000-0000829C0000}"/>
    <cellStyle name="Normal 2 8 6 6 2 3" xfId="40352" xr:uid="{00000000-0005-0000-0000-0000839C0000}"/>
    <cellStyle name="Normal 2 8 6 6 2 4" xfId="40353" xr:uid="{00000000-0005-0000-0000-0000849C0000}"/>
    <cellStyle name="Normal 2 8 6 6 2 5" xfId="40354" xr:uid="{00000000-0005-0000-0000-0000859C0000}"/>
    <cellStyle name="Normal 2 8 6 6 3" xfId="40355" xr:uid="{00000000-0005-0000-0000-0000869C0000}"/>
    <cellStyle name="Normal 2 8 6 6 4" xfId="40356" xr:uid="{00000000-0005-0000-0000-0000879C0000}"/>
    <cellStyle name="Normal 2 8 6 6 5" xfId="40357" xr:uid="{00000000-0005-0000-0000-0000889C0000}"/>
    <cellStyle name="Normal 2 8 6 6 6" xfId="40358" xr:uid="{00000000-0005-0000-0000-0000899C0000}"/>
    <cellStyle name="Normal 2 8 6 6 7" xfId="40359" xr:uid="{00000000-0005-0000-0000-00008A9C0000}"/>
    <cellStyle name="Normal 2 8 6 6 8" xfId="40360" xr:uid="{00000000-0005-0000-0000-00008B9C0000}"/>
    <cellStyle name="Normal 2 8 6 7" xfId="40361" xr:uid="{00000000-0005-0000-0000-00008C9C0000}"/>
    <cellStyle name="Normal 2 8 6 7 2" xfId="40362" xr:uid="{00000000-0005-0000-0000-00008D9C0000}"/>
    <cellStyle name="Normal 2 8 6 7 3" xfId="40363" xr:uid="{00000000-0005-0000-0000-00008E9C0000}"/>
    <cellStyle name="Normal 2 8 6 7 4" xfId="40364" xr:uid="{00000000-0005-0000-0000-00008F9C0000}"/>
    <cellStyle name="Normal 2 8 6 7 5" xfId="40365" xr:uid="{00000000-0005-0000-0000-0000909C0000}"/>
    <cellStyle name="Normal 2 8 6 8" xfId="40366" xr:uid="{00000000-0005-0000-0000-0000919C0000}"/>
    <cellStyle name="Normal 2 8 6 9" xfId="40367" xr:uid="{00000000-0005-0000-0000-0000929C0000}"/>
    <cellStyle name="Normal 2 8 7" xfId="40368" xr:uid="{00000000-0005-0000-0000-0000939C0000}"/>
    <cellStyle name="Normal 2 8 7 10" xfId="40369" xr:uid="{00000000-0005-0000-0000-0000949C0000}"/>
    <cellStyle name="Normal 2 8 7 11" xfId="40370" xr:uid="{00000000-0005-0000-0000-0000959C0000}"/>
    <cellStyle name="Normal 2 8 7 12" xfId="40371" xr:uid="{00000000-0005-0000-0000-0000969C0000}"/>
    <cellStyle name="Normal 2 8 7 13" xfId="40372" xr:uid="{00000000-0005-0000-0000-0000979C0000}"/>
    <cellStyle name="Normal 2 8 7 2" xfId="40373" xr:uid="{00000000-0005-0000-0000-0000989C0000}"/>
    <cellStyle name="Normal 2 8 7 2 10" xfId="40374" xr:uid="{00000000-0005-0000-0000-0000999C0000}"/>
    <cellStyle name="Normal 2 8 7 2 11" xfId="40375" xr:uid="{00000000-0005-0000-0000-00009A9C0000}"/>
    <cellStyle name="Normal 2 8 7 2 2" xfId="40376" xr:uid="{00000000-0005-0000-0000-00009B9C0000}"/>
    <cellStyle name="Normal 2 8 7 2 2 10" xfId="40377" xr:uid="{00000000-0005-0000-0000-00009C9C0000}"/>
    <cellStyle name="Normal 2 8 7 2 2 2" xfId="40378" xr:uid="{00000000-0005-0000-0000-00009D9C0000}"/>
    <cellStyle name="Normal 2 8 7 2 2 2 2" xfId="40379" xr:uid="{00000000-0005-0000-0000-00009E9C0000}"/>
    <cellStyle name="Normal 2 8 7 2 2 2 2 2" xfId="40380" xr:uid="{00000000-0005-0000-0000-00009F9C0000}"/>
    <cellStyle name="Normal 2 8 7 2 2 2 2 3" xfId="40381" xr:uid="{00000000-0005-0000-0000-0000A09C0000}"/>
    <cellStyle name="Normal 2 8 7 2 2 2 2 4" xfId="40382" xr:uid="{00000000-0005-0000-0000-0000A19C0000}"/>
    <cellStyle name="Normal 2 8 7 2 2 2 2 5" xfId="40383" xr:uid="{00000000-0005-0000-0000-0000A29C0000}"/>
    <cellStyle name="Normal 2 8 7 2 2 2 3" xfId="40384" xr:uid="{00000000-0005-0000-0000-0000A39C0000}"/>
    <cellStyle name="Normal 2 8 7 2 2 2 4" xfId="40385" xr:uid="{00000000-0005-0000-0000-0000A49C0000}"/>
    <cellStyle name="Normal 2 8 7 2 2 2 5" xfId="40386" xr:uid="{00000000-0005-0000-0000-0000A59C0000}"/>
    <cellStyle name="Normal 2 8 7 2 2 2 6" xfId="40387" xr:uid="{00000000-0005-0000-0000-0000A69C0000}"/>
    <cellStyle name="Normal 2 8 7 2 2 2 7" xfId="40388" xr:uid="{00000000-0005-0000-0000-0000A79C0000}"/>
    <cellStyle name="Normal 2 8 7 2 2 2 8" xfId="40389" xr:uid="{00000000-0005-0000-0000-0000A89C0000}"/>
    <cellStyle name="Normal 2 8 7 2 2 3" xfId="40390" xr:uid="{00000000-0005-0000-0000-0000A99C0000}"/>
    <cellStyle name="Normal 2 8 7 2 2 3 2" xfId="40391" xr:uid="{00000000-0005-0000-0000-0000AA9C0000}"/>
    <cellStyle name="Normal 2 8 7 2 2 3 2 2" xfId="40392" xr:uid="{00000000-0005-0000-0000-0000AB9C0000}"/>
    <cellStyle name="Normal 2 8 7 2 2 3 2 3" xfId="40393" xr:uid="{00000000-0005-0000-0000-0000AC9C0000}"/>
    <cellStyle name="Normal 2 8 7 2 2 3 2 4" xfId="40394" xr:uid="{00000000-0005-0000-0000-0000AD9C0000}"/>
    <cellStyle name="Normal 2 8 7 2 2 3 2 5" xfId="40395" xr:uid="{00000000-0005-0000-0000-0000AE9C0000}"/>
    <cellStyle name="Normal 2 8 7 2 2 3 3" xfId="40396" xr:uid="{00000000-0005-0000-0000-0000AF9C0000}"/>
    <cellStyle name="Normal 2 8 7 2 2 3 4" xfId="40397" xr:uid="{00000000-0005-0000-0000-0000B09C0000}"/>
    <cellStyle name="Normal 2 8 7 2 2 3 5" xfId="40398" xr:uid="{00000000-0005-0000-0000-0000B19C0000}"/>
    <cellStyle name="Normal 2 8 7 2 2 3 6" xfId="40399" xr:uid="{00000000-0005-0000-0000-0000B29C0000}"/>
    <cellStyle name="Normal 2 8 7 2 2 3 7" xfId="40400" xr:uid="{00000000-0005-0000-0000-0000B39C0000}"/>
    <cellStyle name="Normal 2 8 7 2 2 3 8" xfId="40401" xr:uid="{00000000-0005-0000-0000-0000B49C0000}"/>
    <cellStyle name="Normal 2 8 7 2 2 4" xfId="40402" xr:uid="{00000000-0005-0000-0000-0000B59C0000}"/>
    <cellStyle name="Normal 2 8 7 2 2 4 2" xfId="40403" xr:uid="{00000000-0005-0000-0000-0000B69C0000}"/>
    <cellStyle name="Normal 2 8 7 2 2 4 3" xfId="40404" xr:uid="{00000000-0005-0000-0000-0000B79C0000}"/>
    <cellStyle name="Normal 2 8 7 2 2 4 4" xfId="40405" xr:uid="{00000000-0005-0000-0000-0000B89C0000}"/>
    <cellStyle name="Normal 2 8 7 2 2 4 5" xfId="40406" xr:uid="{00000000-0005-0000-0000-0000B99C0000}"/>
    <cellStyle name="Normal 2 8 7 2 2 5" xfId="40407" xr:uid="{00000000-0005-0000-0000-0000BA9C0000}"/>
    <cellStyle name="Normal 2 8 7 2 2 6" xfId="40408" xr:uid="{00000000-0005-0000-0000-0000BB9C0000}"/>
    <cellStyle name="Normal 2 8 7 2 2 7" xfId="40409" xr:uid="{00000000-0005-0000-0000-0000BC9C0000}"/>
    <cellStyle name="Normal 2 8 7 2 2 8" xfId="40410" xr:uid="{00000000-0005-0000-0000-0000BD9C0000}"/>
    <cellStyle name="Normal 2 8 7 2 2 9" xfId="40411" xr:uid="{00000000-0005-0000-0000-0000BE9C0000}"/>
    <cellStyle name="Normal 2 8 7 2 3" xfId="40412" xr:uid="{00000000-0005-0000-0000-0000BF9C0000}"/>
    <cellStyle name="Normal 2 8 7 2 3 2" xfId="40413" xr:uid="{00000000-0005-0000-0000-0000C09C0000}"/>
    <cellStyle name="Normal 2 8 7 2 3 2 2" xfId="40414" xr:uid="{00000000-0005-0000-0000-0000C19C0000}"/>
    <cellStyle name="Normal 2 8 7 2 3 2 3" xfId="40415" xr:uid="{00000000-0005-0000-0000-0000C29C0000}"/>
    <cellStyle name="Normal 2 8 7 2 3 2 4" xfId="40416" xr:uid="{00000000-0005-0000-0000-0000C39C0000}"/>
    <cellStyle name="Normal 2 8 7 2 3 2 5" xfId="40417" xr:uid="{00000000-0005-0000-0000-0000C49C0000}"/>
    <cellStyle name="Normal 2 8 7 2 3 3" xfId="40418" xr:uid="{00000000-0005-0000-0000-0000C59C0000}"/>
    <cellStyle name="Normal 2 8 7 2 3 4" xfId="40419" xr:uid="{00000000-0005-0000-0000-0000C69C0000}"/>
    <cellStyle name="Normal 2 8 7 2 3 5" xfId="40420" xr:uid="{00000000-0005-0000-0000-0000C79C0000}"/>
    <cellStyle name="Normal 2 8 7 2 3 6" xfId="40421" xr:uid="{00000000-0005-0000-0000-0000C89C0000}"/>
    <cellStyle name="Normal 2 8 7 2 3 7" xfId="40422" xr:uid="{00000000-0005-0000-0000-0000C99C0000}"/>
    <cellStyle name="Normal 2 8 7 2 3 8" xfId="40423" xr:uid="{00000000-0005-0000-0000-0000CA9C0000}"/>
    <cellStyle name="Normal 2 8 7 2 4" xfId="40424" xr:uid="{00000000-0005-0000-0000-0000CB9C0000}"/>
    <cellStyle name="Normal 2 8 7 2 4 2" xfId="40425" xr:uid="{00000000-0005-0000-0000-0000CC9C0000}"/>
    <cellStyle name="Normal 2 8 7 2 4 2 2" xfId="40426" xr:uid="{00000000-0005-0000-0000-0000CD9C0000}"/>
    <cellStyle name="Normal 2 8 7 2 4 2 3" xfId="40427" xr:uid="{00000000-0005-0000-0000-0000CE9C0000}"/>
    <cellStyle name="Normal 2 8 7 2 4 2 4" xfId="40428" xr:uid="{00000000-0005-0000-0000-0000CF9C0000}"/>
    <cellStyle name="Normal 2 8 7 2 4 2 5" xfId="40429" xr:uid="{00000000-0005-0000-0000-0000D09C0000}"/>
    <cellStyle name="Normal 2 8 7 2 4 3" xfId="40430" xr:uid="{00000000-0005-0000-0000-0000D19C0000}"/>
    <cellStyle name="Normal 2 8 7 2 4 4" xfId="40431" xr:uid="{00000000-0005-0000-0000-0000D29C0000}"/>
    <cellStyle name="Normal 2 8 7 2 4 5" xfId="40432" xr:uid="{00000000-0005-0000-0000-0000D39C0000}"/>
    <cellStyle name="Normal 2 8 7 2 4 6" xfId="40433" xr:uid="{00000000-0005-0000-0000-0000D49C0000}"/>
    <cellStyle name="Normal 2 8 7 2 4 7" xfId="40434" xr:uid="{00000000-0005-0000-0000-0000D59C0000}"/>
    <cellStyle name="Normal 2 8 7 2 4 8" xfId="40435" xr:uid="{00000000-0005-0000-0000-0000D69C0000}"/>
    <cellStyle name="Normal 2 8 7 2 5" xfId="40436" xr:uid="{00000000-0005-0000-0000-0000D79C0000}"/>
    <cellStyle name="Normal 2 8 7 2 5 2" xfId="40437" xr:uid="{00000000-0005-0000-0000-0000D89C0000}"/>
    <cellStyle name="Normal 2 8 7 2 5 3" xfId="40438" xr:uid="{00000000-0005-0000-0000-0000D99C0000}"/>
    <cellStyle name="Normal 2 8 7 2 5 4" xfId="40439" xr:uid="{00000000-0005-0000-0000-0000DA9C0000}"/>
    <cellStyle name="Normal 2 8 7 2 5 5" xfId="40440" xr:uid="{00000000-0005-0000-0000-0000DB9C0000}"/>
    <cellStyle name="Normal 2 8 7 2 6" xfId="40441" xr:uid="{00000000-0005-0000-0000-0000DC9C0000}"/>
    <cellStyle name="Normal 2 8 7 2 7" xfId="40442" xr:uid="{00000000-0005-0000-0000-0000DD9C0000}"/>
    <cellStyle name="Normal 2 8 7 2 8" xfId="40443" xr:uid="{00000000-0005-0000-0000-0000DE9C0000}"/>
    <cellStyle name="Normal 2 8 7 2 9" xfId="40444" xr:uid="{00000000-0005-0000-0000-0000DF9C0000}"/>
    <cellStyle name="Normal 2 8 7 3" xfId="40445" xr:uid="{00000000-0005-0000-0000-0000E09C0000}"/>
    <cellStyle name="Normal 2 8 7 3 10" xfId="40446" xr:uid="{00000000-0005-0000-0000-0000E19C0000}"/>
    <cellStyle name="Normal 2 8 7 3 11" xfId="40447" xr:uid="{00000000-0005-0000-0000-0000E29C0000}"/>
    <cellStyle name="Normal 2 8 7 3 2" xfId="40448" xr:uid="{00000000-0005-0000-0000-0000E39C0000}"/>
    <cellStyle name="Normal 2 8 7 3 2 10" xfId="40449" xr:uid="{00000000-0005-0000-0000-0000E49C0000}"/>
    <cellStyle name="Normal 2 8 7 3 2 2" xfId="40450" xr:uid="{00000000-0005-0000-0000-0000E59C0000}"/>
    <cellStyle name="Normal 2 8 7 3 2 2 2" xfId="40451" xr:uid="{00000000-0005-0000-0000-0000E69C0000}"/>
    <cellStyle name="Normal 2 8 7 3 2 2 2 2" xfId="40452" xr:uid="{00000000-0005-0000-0000-0000E79C0000}"/>
    <cellStyle name="Normal 2 8 7 3 2 2 2 3" xfId="40453" xr:uid="{00000000-0005-0000-0000-0000E89C0000}"/>
    <cellStyle name="Normal 2 8 7 3 2 2 2 4" xfId="40454" xr:uid="{00000000-0005-0000-0000-0000E99C0000}"/>
    <cellStyle name="Normal 2 8 7 3 2 2 2 5" xfId="40455" xr:uid="{00000000-0005-0000-0000-0000EA9C0000}"/>
    <cellStyle name="Normal 2 8 7 3 2 2 3" xfId="40456" xr:uid="{00000000-0005-0000-0000-0000EB9C0000}"/>
    <cellStyle name="Normal 2 8 7 3 2 2 4" xfId="40457" xr:uid="{00000000-0005-0000-0000-0000EC9C0000}"/>
    <cellStyle name="Normal 2 8 7 3 2 2 5" xfId="40458" xr:uid="{00000000-0005-0000-0000-0000ED9C0000}"/>
    <cellStyle name="Normal 2 8 7 3 2 2 6" xfId="40459" xr:uid="{00000000-0005-0000-0000-0000EE9C0000}"/>
    <cellStyle name="Normal 2 8 7 3 2 2 7" xfId="40460" xr:uid="{00000000-0005-0000-0000-0000EF9C0000}"/>
    <cellStyle name="Normal 2 8 7 3 2 2 8" xfId="40461" xr:uid="{00000000-0005-0000-0000-0000F09C0000}"/>
    <cellStyle name="Normal 2 8 7 3 2 3" xfId="40462" xr:uid="{00000000-0005-0000-0000-0000F19C0000}"/>
    <cellStyle name="Normal 2 8 7 3 2 3 2" xfId="40463" xr:uid="{00000000-0005-0000-0000-0000F29C0000}"/>
    <cellStyle name="Normal 2 8 7 3 2 3 2 2" xfId="40464" xr:uid="{00000000-0005-0000-0000-0000F39C0000}"/>
    <cellStyle name="Normal 2 8 7 3 2 3 2 3" xfId="40465" xr:uid="{00000000-0005-0000-0000-0000F49C0000}"/>
    <cellStyle name="Normal 2 8 7 3 2 3 2 4" xfId="40466" xr:uid="{00000000-0005-0000-0000-0000F59C0000}"/>
    <cellStyle name="Normal 2 8 7 3 2 3 2 5" xfId="40467" xr:uid="{00000000-0005-0000-0000-0000F69C0000}"/>
    <cellStyle name="Normal 2 8 7 3 2 3 3" xfId="40468" xr:uid="{00000000-0005-0000-0000-0000F79C0000}"/>
    <cellStyle name="Normal 2 8 7 3 2 3 4" xfId="40469" xr:uid="{00000000-0005-0000-0000-0000F89C0000}"/>
    <cellStyle name="Normal 2 8 7 3 2 3 5" xfId="40470" xr:uid="{00000000-0005-0000-0000-0000F99C0000}"/>
    <cellStyle name="Normal 2 8 7 3 2 3 6" xfId="40471" xr:uid="{00000000-0005-0000-0000-0000FA9C0000}"/>
    <cellStyle name="Normal 2 8 7 3 2 3 7" xfId="40472" xr:uid="{00000000-0005-0000-0000-0000FB9C0000}"/>
    <cellStyle name="Normal 2 8 7 3 2 3 8" xfId="40473" xr:uid="{00000000-0005-0000-0000-0000FC9C0000}"/>
    <cellStyle name="Normal 2 8 7 3 2 4" xfId="40474" xr:uid="{00000000-0005-0000-0000-0000FD9C0000}"/>
    <cellStyle name="Normal 2 8 7 3 2 4 2" xfId="40475" xr:uid="{00000000-0005-0000-0000-0000FE9C0000}"/>
    <cellStyle name="Normal 2 8 7 3 2 4 3" xfId="40476" xr:uid="{00000000-0005-0000-0000-0000FF9C0000}"/>
    <cellStyle name="Normal 2 8 7 3 2 4 4" xfId="40477" xr:uid="{00000000-0005-0000-0000-0000009D0000}"/>
    <cellStyle name="Normal 2 8 7 3 2 4 5" xfId="40478" xr:uid="{00000000-0005-0000-0000-0000019D0000}"/>
    <cellStyle name="Normal 2 8 7 3 2 5" xfId="40479" xr:uid="{00000000-0005-0000-0000-0000029D0000}"/>
    <cellStyle name="Normal 2 8 7 3 2 6" xfId="40480" xr:uid="{00000000-0005-0000-0000-0000039D0000}"/>
    <cellStyle name="Normal 2 8 7 3 2 7" xfId="40481" xr:uid="{00000000-0005-0000-0000-0000049D0000}"/>
    <cellStyle name="Normal 2 8 7 3 2 8" xfId="40482" xr:uid="{00000000-0005-0000-0000-0000059D0000}"/>
    <cellStyle name="Normal 2 8 7 3 2 9" xfId="40483" xr:uid="{00000000-0005-0000-0000-0000069D0000}"/>
    <cellStyle name="Normal 2 8 7 3 3" xfId="40484" xr:uid="{00000000-0005-0000-0000-0000079D0000}"/>
    <cellStyle name="Normal 2 8 7 3 3 2" xfId="40485" xr:uid="{00000000-0005-0000-0000-0000089D0000}"/>
    <cellStyle name="Normal 2 8 7 3 3 2 2" xfId="40486" xr:uid="{00000000-0005-0000-0000-0000099D0000}"/>
    <cellStyle name="Normal 2 8 7 3 3 2 3" xfId="40487" xr:uid="{00000000-0005-0000-0000-00000A9D0000}"/>
    <cellStyle name="Normal 2 8 7 3 3 2 4" xfId="40488" xr:uid="{00000000-0005-0000-0000-00000B9D0000}"/>
    <cellStyle name="Normal 2 8 7 3 3 2 5" xfId="40489" xr:uid="{00000000-0005-0000-0000-00000C9D0000}"/>
    <cellStyle name="Normal 2 8 7 3 3 3" xfId="40490" xr:uid="{00000000-0005-0000-0000-00000D9D0000}"/>
    <cellStyle name="Normal 2 8 7 3 3 4" xfId="40491" xr:uid="{00000000-0005-0000-0000-00000E9D0000}"/>
    <cellStyle name="Normal 2 8 7 3 3 5" xfId="40492" xr:uid="{00000000-0005-0000-0000-00000F9D0000}"/>
    <cellStyle name="Normal 2 8 7 3 3 6" xfId="40493" xr:uid="{00000000-0005-0000-0000-0000109D0000}"/>
    <cellStyle name="Normal 2 8 7 3 3 7" xfId="40494" xr:uid="{00000000-0005-0000-0000-0000119D0000}"/>
    <cellStyle name="Normal 2 8 7 3 3 8" xfId="40495" xr:uid="{00000000-0005-0000-0000-0000129D0000}"/>
    <cellStyle name="Normal 2 8 7 3 4" xfId="40496" xr:uid="{00000000-0005-0000-0000-0000139D0000}"/>
    <cellStyle name="Normal 2 8 7 3 4 2" xfId="40497" xr:uid="{00000000-0005-0000-0000-0000149D0000}"/>
    <cellStyle name="Normal 2 8 7 3 4 2 2" xfId="40498" xr:uid="{00000000-0005-0000-0000-0000159D0000}"/>
    <cellStyle name="Normal 2 8 7 3 4 2 3" xfId="40499" xr:uid="{00000000-0005-0000-0000-0000169D0000}"/>
    <cellStyle name="Normal 2 8 7 3 4 2 4" xfId="40500" xr:uid="{00000000-0005-0000-0000-0000179D0000}"/>
    <cellStyle name="Normal 2 8 7 3 4 2 5" xfId="40501" xr:uid="{00000000-0005-0000-0000-0000189D0000}"/>
    <cellStyle name="Normal 2 8 7 3 4 3" xfId="40502" xr:uid="{00000000-0005-0000-0000-0000199D0000}"/>
    <cellStyle name="Normal 2 8 7 3 4 4" xfId="40503" xr:uid="{00000000-0005-0000-0000-00001A9D0000}"/>
    <cellStyle name="Normal 2 8 7 3 4 5" xfId="40504" xr:uid="{00000000-0005-0000-0000-00001B9D0000}"/>
    <cellStyle name="Normal 2 8 7 3 4 6" xfId="40505" xr:uid="{00000000-0005-0000-0000-00001C9D0000}"/>
    <cellStyle name="Normal 2 8 7 3 4 7" xfId="40506" xr:uid="{00000000-0005-0000-0000-00001D9D0000}"/>
    <cellStyle name="Normal 2 8 7 3 4 8" xfId="40507" xr:uid="{00000000-0005-0000-0000-00001E9D0000}"/>
    <cellStyle name="Normal 2 8 7 3 5" xfId="40508" xr:uid="{00000000-0005-0000-0000-00001F9D0000}"/>
    <cellStyle name="Normal 2 8 7 3 5 2" xfId="40509" xr:uid="{00000000-0005-0000-0000-0000209D0000}"/>
    <cellStyle name="Normal 2 8 7 3 5 3" xfId="40510" xr:uid="{00000000-0005-0000-0000-0000219D0000}"/>
    <cellStyle name="Normal 2 8 7 3 5 4" xfId="40511" xr:uid="{00000000-0005-0000-0000-0000229D0000}"/>
    <cellStyle name="Normal 2 8 7 3 5 5" xfId="40512" xr:uid="{00000000-0005-0000-0000-0000239D0000}"/>
    <cellStyle name="Normal 2 8 7 3 6" xfId="40513" xr:uid="{00000000-0005-0000-0000-0000249D0000}"/>
    <cellStyle name="Normal 2 8 7 3 7" xfId="40514" xr:uid="{00000000-0005-0000-0000-0000259D0000}"/>
    <cellStyle name="Normal 2 8 7 3 8" xfId="40515" xr:uid="{00000000-0005-0000-0000-0000269D0000}"/>
    <cellStyle name="Normal 2 8 7 3 9" xfId="40516" xr:uid="{00000000-0005-0000-0000-0000279D0000}"/>
    <cellStyle name="Normal 2 8 7 4" xfId="40517" xr:uid="{00000000-0005-0000-0000-0000289D0000}"/>
    <cellStyle name="Normal 2 8 7 4 10" xfId="40518" xr:uid="{00000000-0005-0000-0000-0000299D0000}"/>
    <cellStyle name="Normal 2 8 7 4 2" xfId="40519" xr:uid="{00000000-0005-0000-0000-00002A9D0000}"/>
    <cellStyle name="Normal 2 8 7 4 2 2" xfId="40520" xr:uid="{00000000-0005-0000-0000-00002B9D0000}"/>
    <cellStyle name="Normal 2 8 7 4 2 2 2" xfId="40521" xr:uid="{00000000-0005-0000-0000-00002C9D0000}"/>
    <cellStyle name="Normal 2 8 7 4 2 2 3" xfId="40522" xr:uid="{00000000-0005-0000-0000-00002D9D0000}"/>
    <cellStyle name="Normal 2 8 7 4 2 2 4" xfId="40523" xr:uid="{00000000-0005-0000-0000-00002E9D0000}"/>
    <cellStyle name="Normal 2 8 7 4 2 2 5" xfId="40524" xr:uid="{00000000-0005-0000-0000-00002F9D0000}"/>
    <cellStyle name="Normal 2 8 7 4 2 3" xfId="40525" xr:uid="{00000000-0005-0000-0000-0000309D0000}"/>
    <cellStyle name="Normal 2 8 7 4 2 4" xfId="40526" xr:uid="{00000000-0005-0000-0000-0000319D0000}"/>
    <cellStyle name="Normal 2 8 7 4 2 5" xfId="40527" xr:uid="{00000000-0005-0000-0000-0000329D0000}"/>
    <cellStyle name="Normal 2 8 7 4 2 6" xfId="40528" xr:uid="{00000000-0005-0000-0000-0000339D0000}"/>
    <cellStyle name="Normal 2 8 7 4 2 7" xfId="40529" xr:uid="{00000000-0005-0000-0000-0000349D0000}"/>
    <cellStyle name="Normal 2 8 7 4 2 8" xfId="40530" xr:uid="{00000000-0005-0000-0000-0000359D0000}"/>
    <cellStyle name="Normal 2 8 7 4 3" xfId="40531" xr:uid="{00000000-0005-0000-0000-0000369D0000}"/>
    <cellStyle name="Normal 2 8 7 4 3 2" xfId="40532" xr:uid="{00000000-0005-0000-0000-0000379D0000}"/>
    <cellStyle name="Normal 2 8 7 4 3 2 2" xfId="40533" xr:uid="{00000000-0005-0000-0000-0000389D0000}"/>
    <cellStyle name="Normal 2 8 7 4 3 2 3" xfId="40534" xr:uid="{00000000-0005-0000-0000-0000399D0000}"/>
    <cellStyle name="Normal 2 8 7 4 3 2 4" xfId="40535" xr:uid="{00000000-0005-0000-0000-00003A9D0000}"/>
    <cellStyle name="Normal 2 8 7 4 3 2 5" xfId="40536" xr:uid="{00000000-0005-0000-0000-00003B9D0000}"/>
    <cellStyle name="Normal 2 8 7 4 3 3" xfId="40537" xr:uid="{00000000-0005-0000-0000-00003C9D0000}"/>
    <cellStyle name="Normal 2 8 7 4 3 4" xfId="40538" xr:uid="{00000000-0005-0000-0000-00003D9D0000}"/>
    <cellStyle name="Normal 2 8 7 4 3 5" xfId="40539" xr:uid="{00000000-0005-0000-0000-00003E9D0000}"/>
    <cellStyle name="Normal 2 8 7 4 3 6" xfId="40540" xr:uid="{00000000-0005-0000-0000-00003F9D0000}"/>
    <cellStyle name="Normal 2 8 7 4 3 7" xfId="40541" xr:uid="{00000000-0005-0000-0000-0000409D0000}"/>
    <cellStyle name="Normal 2 8 7 4 3 8" xfId="40542" xr:uid="{00000000-0005-0000-0000-0000419D0000}"/>
    <cellStyle name="Normal 2 8 7 4 4" xfId="40543" xr:uid="{00000000-0005-0000-0000-0000429D0000}"/>
    <cellStyle name="Normal 2 8 7 4 4 2" xfId="40544" xr:uid="{00000000-0005-0000-0000-0000439D0000}"/>
    <cellStyle name="Normal 2 8 7 4 4 3" xfId="40545" xr:uid="{00000000-0005-0000-0000-0000449D0000}"/>
    <cellStyle name="Normal 2 8 7 4 4 4" xfId="40546" xr:uid="{00000000-0005-0000-0000-0000459D0000}"/>
    <cellStyle name="Normal 2 8 7 4 4 5" xfId="40547" xr:uid="{00000000-0005-0000-0000-0000469D0000}"/>
    <cellStyle name="Normal 2 8 7 4 5" xfId="40548" xr:uid="{00000000-0005-0000-0000-0000479D0000}"/>
    <cellStyle name="Normal 2 8 7 4 6" xfId="40549" xr:uid="{00000000-0005-0000-0000-0000489D0000}"/>
    <cellStyle name="Normal 2 8 7 4 7" xfId="40550" xr:uid="{00000000-0005-0000-0000-0000499D0000}"/>
    <cellStyle name="Normal 2 8 7 4 8" xfId="40551" xr:uid="{00000000-0005-0000-0000-00004A9D0000}"/>
    <cellStyle name="Normal 2 8 7 4 9" xfId="40552" xr:uid="{00000000-0005-0000-0000-00004B9D0000}"/>
    <cellStyle name="Normal 2 8 7 5" xfId="40553" xr:uid="{00000000-0005-0000-0000-00004C9D0000}"/>
    <cellStyle name="Normal 2 8 7 5 2" xfId="40554" xr:uid="{00000000-0005-0000-0000-00004D9D0000}"/>
    <cellStyle name="Normal 2 8 7 5 2 2" xfId="40555" xr:uid="{00000000-0005-0000-0000-00004E9D0000}"/>
    <cellStyle name="Normal 2 8 7 5 2 3" xfId="40556" xr:uid="{00000000-0005-0000-0000-00004F9D0000}"/>
    <cellStyle name="Normal 2 8 7 5 2 4" xfId="40557" xr:uid="{00000000-0005-0000-0000-0000509D0000}"/>
    <cellStyle name="Normal 2 8 7 5 2 5" xfId="40558" xr:uid="{00000000-0005-0000-0000-0000519D0000}"/>
    <cellStyle name="Normal 2 8 7 5 3" xfId="40559" xr:uid="{00000000-0005-0000-0000-0000529D0000}"/>
    <cellStyle name="Normal 2 8 7 5 4" xfId="40560" xr:uid="{00000000-0005-0000-0000-0000539D0000}"/>
    <cellStyle name="Normal 2 8 7 5 5" xfId="40561" xr:uid="{00000000-0005-0000-0000-0000549D0000}"/>
    <cellStyle name="Normal 2 8 7 5 6" xfId="40562" xr:uid="{00000000-0005-0000-0000-0000559D0000}"/>
    <cellStyle name="Normal 2 8 7 5 7" xfId="40563" xr:uid="{00000000-0005-0000-0000-0000569D0000}"/>
    <cellStyle name="Normal 2 8 7 5 8" xfId="40564" xr:uid="{00000000-0005-0000-0000-0000579D0000}"/>
    <cellStyle name="Normal 2 8 7 6" xfId="40565" xr:uid="{00000000-0005-0000-0000-0000589D0000}"/>
    <cellStyle name="Normal 2 8 7 6 2" xfId="40566" xr:uid="{00000000-0005-0000-0000-0000599D0000}"/>
    <cellStyle name="Normal 2 8 7 6 2 2" xfId="40567" xr:uid="{00000000-0005-0000-0000-00005A9D0000}"/>
    <cellStyle name="Normal 2 8 7 6 2 3" xfId="40568" xr:uid="{00000000-0005-0000-0000-00005B9D0000}"/>
    <cellStyle name="Normal 2 8 7 6 2 4" xfId="40569" xr:uid="{00000000-0005-0000-0000-00005C9D0000}"/>
    <cellStyle name="Normal 2 8 7 6 2 5" xfId="40570" xr:uid="{00000000-0005-0000-0000-00005D9D0000}"/>
    <cellStyle name="Normal 2 8 7 6 3" xfId="40571" xr:uid="{00000000-0005-0000-0000-00005E9D0000}"/>
    <cellStyle name="Normal 2 8 7 6 4" xfId="40572" xr:uid="{00000000-0005-0000-0000-00005F9D0000}"/>
    <cellStyle name="Normal 2 8 7 6 5" xfId="40573" xr:uid="{00000000-0005-0000-0000-0000609D0000}"/>
    <cellStyle name="Normal 2 8 7 6 6" xfId="40574" xr:uid="{00000000-0005-0000-0000-0000619D0000}"/>
    <cellStyle name="Normal 2 8 7 6 7" xfId="40575" xr:uid="{00000000-0005-0000-0000-0000629D0000}"/>
    <cellStyle name="Normal 2 8 7 6 8" xfId="40576" xr:uid="{00000000-0005-0000-0000-0000639D0000}"/>
    <cellStyle name="Normal 2 8 7 7" xfId="40577" xr:uid="{00000000-0005-0000-0000-0000649D0000}"/>
    <cellStyle name="Normal 2 8 7 7 2" xfId="40578" xr:uid="{00000000-0005-0000-0000-0000659D0000}"/>
    <cellStyle name="Normal 2 8 7 7 3" xfId="40579" xr:uid="{00000000-0005-0000-0000-0000669D0000}"/>
    <cellStyle name="Normal 2 8 7 7 4" xfId="40580" xr:uid="{00000000-0005-0000-0000-0000679D0000}"/>
    <cellStyle name="Normal 2 8 7 7 5" xfId="40581" xr:uid="{00000000-0005-0000-0000-0000689D0000}"/>
    <cellStyle name="Normal 2 8 7 8" xfId="40582" xr:uid="{00000000-0005-0000-0000-0000699D0000}"/>
    <cellStyle name="Normal 2 8 7 9" xfId="40583" xr:uid="{00000000-0005-0000-0000-00006A9D0000}"/>
    <cellStyle name="Normal 2 8 8" xfId="40584" xr:uid="{00000000-0005-0000-0000-00006B9D0000}"/>
    <cellStyle name="Normal 2 8 8 10" xfId="40585" xr:uid="{00000000-0005-0000-0000-00006C9D0000}"/>
    <cellStyle name="Normal 2 8 8 11" xfId="40586" xr:uid="{00000000-0005-0000-0000-00006D9D0000}"/>
    <cellStyle name="Normal 2 8 8 12" xfId="40587" xr:uid="{00000000-0005-0000-0000-00006E9D0000}"/>
    <cellStyle name="Normal 2 8 8 13" xfId="40588" xr:uid="{00000000-0005-0000-0000-00006F9D0000}"/>
    <cellStyle name="Normal 2 8 8 2" xfId="40589" xr:uid="{00000000-0005-0000-0000-0000709D0000}"/>
    <cellStyle name="Normal 2 8 8 2 10" xfId="40590" xr:uid="{00000000-0005-0000-0000-0000719D0000}"/>
    <cellStyle name="Normal 2 8 8 2 11" xfId="40591" xr:uid="{00000000-0005-0000-0000-0000729D0000}"/>
    <cellStyle name="Normal 2 8 8 2 2" xfId="40592" xr:uid="{00000000-0005-0000-0000-0000739D0000}"/>
    <cellStyle name="Normal 2 8 8 2 2 10" xfId="40593" xr:uid="{00000000-0005-0000-0000-0000749D0000}"/>
    <cellStyle name="Normal 2 8 8 2 2 2" xfId="40594" xr:uid="{00000000-0005-0000-0000-0000759D0000}"/>
    <cellStyle name="Normal 2 8 8 2 2 2 2" xfId="40595" xr:uid="{00000000-0005-0000-0000-0000769D0000}"/>
    <cellStyle name="Normal 2 8 8 2 2 2 2 2" xfId="40596" xr:uid="{00000000-0005-0000-0000-0000779D0000}"/>
    <cellStyle name="Normal 2 8 8 2 2 2 2 3" xfId="40597" xr:uid="{00000000-0005-0000-0000-0000789D0000}"/>
    <cellStyle name="Normal 2 8 8 2 2 2 2 4" xfId="40598" xr:uid="{00000000-0005-0000-0000-0000799D0000}"/>
    <cellStyle name="Normal 2 8 8 2 2 2 2 5" xfId="40599" xr:uid="{00000000-0005-0000-0000-00007A9D0000}"/>
    <cellStyle name="Normal 2 8 8 2 2 2 3" xfId="40600" xr:uid="{00000000-0005-0000-0000-00007B9D0000}"/>
    <cellStyle name="Normal 2 8 8 2 2 2 4" xfId="40601" xr:uid="{00000000-0005-0000-0000-00007C9D0000}"/>
    <cellStyle name="Normal 2 8 8 2 2 2 5" xfId="40602" xr:uid="{00000000-0005-0000-0000-00007D9D0000}"/>
    <cellStyle name="Normal 2 8 8 2 2 2 6" xfId="40603" xr:uid="{00000000-0005-0000-0000-00007E9D0000}"/>
    <cellStyle name="Normal 2 8 8 2 2 2 7" xfId="40604" xr:uid="{00000000-0005-0000-0000-00007F9D0000}"/>
    <cellStyle name="Normal 2 8 8 2 2 2 8" xfId="40605" xr:uid="{00000000-0005-0000-0000-0000809D0000}"/>
    <cellStyle name="Normal 2 8 8 2 2 3" xfId="40606" xr:uid="{00000000-0005-0000-0000-0000819D0000}"/>
    <cellStyle name="Normal 2 8 8 2 2 3 2" xfId="40607" xr:uid="{00000000-0005-0000-0000-0000829D0000}"/>
    <cellStyle name="Normal 2 8 8 2 2 3 2 2" xfId="40608" xr:uid="{00000000-0005-0000-0000-0000839D0000}"/>
    <cellStyle name="Normal 2 8 8 2 2 3 2 3" xfId="40609" xr:uid="{00000000-0005-0000-0000-0000849D0000}"/>
    <cellStyle name="Normal 2 8 8 2 2 3 2 4" xfId="40610" xr:uid="{00000000-0005-0000-0000-0000859D0000}"/>
    <cellStyle name="Normal 2 8 8 2 2 3 2 5" xfId="40611" xr:uid="{00000000-0005-0000-0000-0000869D0000}"/>
    <cellStyle name="Normal 2 8 8 2 2 3 3" xfId="40612" xr:uid="{00000000-0005-0000-0000-0000879D0000}"/>
    <cellStyle name="Normal 2 8 8 2 2 3 4" xfId="40613" xr:uid="{00000000-0005-0000-0000-0000889D0000}"/>
    <cellStyle name="Normal 2 8 8 2 2 3 5" xfId="40614" xr:uid="{00000000-0005-0000-0000-0000899D0000}"/>
    <cellStyle name="Normal 2 8 8 2 2 3 6" xfId="40615" xr:uid="{00000000-0005-0000-0000-00008A9D0000}"/>
    <cellStyle name="Normal 2 8 8 2 2 3 7" xfId="40616" xr:uid="{00000000-0005-0000-0000-00008B9D0000}"/>
    <cellStyle name="Normal 2 8 8 2 2 3 8" xfId="40617" xr:uid="{00000000-0005-0000-0000-00008C9D0000}"/>
    <cellStyle name="Normal 2 8 8 2 2 4" xfId="40618" xr:uid="{00000000-0005-0000-0000-00008D9D0000}"/>
    <cellStyle name="Normal 2 8 8 2 2 4 2" xfId="40619" xr:uid="{00000000-0005-0000-0000-00008E9D0000}"/>
    <cellStyle name="Normal 2 8 8 2 2 4 3" xfId="40620" xr:uid="{00000000-0005-0000-0000-00008F9D0000}"/>
    <cellStyle name="Normal 2 8 8 2 2 4 4" xfId="40621" xr:uid="{00000000-0005-0000-0000-0000909D0000}"/>
    <cellStyle name="Normal 2 8 8 2 2 4 5" xfId="40622" xr:uid="{00000000-0005-0000-0000-0000919D0000}"/>
    <cellStyle name="Normal 2 8 8 2 2 5" xfId="40623" xr:uid="{00000000-0005-0000-0000-0000929D0000}"/>
    <cellStyle name="Normal 2 8 8 2 2 6" xfId="40624" xr:uid="{00000000-0005-0000-0000-0000939D0000}"/>
    <cellStyle name="Normal 2 8 8 2 2 7" xfId="40625" xr:uid="{00000000-0005-0000-0000-0000949D0000}"/>
    <cellStyle name="Normal 2 8 8 2 2 8" xfId="40626" xr:uid="{00000000-0005-0000-0000-0000959D0000}"/>
    <cellStyle name="Normal 2 8 8 2 2 9" xfId="40627" xr:uid="{00000000-0005-0000-0000-0000969D0000}"/>
    <cellStyle name="Normal 2 8 8 2 3" xfId="40628" xr:uid="{00000000-0005-0000-0000-0000979D0000}"/>
    <cellStyle name="Normal 2 8 8 2 3 2" xfId="40629" xr:uid="{00000000-0005-0000-0000-0000989D0000}"/>
    <cellStyle name="Normal 2 8 8 2 3 2 2" xfId="40630" xr:uid="{00000000-0005-0000-0000-0000999D0000}"/>
    <cellStyle name="Normal 2 8 8 2 3 2 3" xfId="40631" xr:uid="{00000000-0005-0000-0000-00009A9D0000}"/>
    <cellStyle name="Normal 2 8 8 2 3 2 4" xfId="40632" xr:uid="{00000000-0005-0000-0000-00009B9D0000}"/>
    <cellStyle name="Normal 2 8 8 2 3 2 5" xfId="40633" xr:uid="{00000000-0005-0000-0000-00009C9D0000}"/>
    <cellStyle name="Normal 2 8 8 2 3 3" xfId="40634" xr:uid="{00000000-0005-0000-0000-00009D9D0000}"/>
    <cellStyle name="Normal 2 8 8 2 3 4" xfId="40635" xr:uid="{00000000-0005-0000-0000-00009E9D0000}"/>
    <cellStyle name="Normal 2 8 8 2 3 5" xfId="40636" xr:uid="{00000000-0005-0000-0000-00009F9D0000}"/>
    <cellStyle name="Normal 2 8 8 2 3 6" xfId="40637" xr:uid="{00000000-0005-0000-0000-0000A09D0000}"/>
    <cellStyle name="Normal 2 8 8 2 3 7" xfId="40638" xr:uid="{00000000-0005-0000-0000-0000A19D0000}"/>
    <cellStyle name="Normal 2 8 8 2 3 8" xfId="40639" xr:uid="{00000000-0005-0000-0000-0000A29D0000}"/>
    <cellStyle name="Normal 2 8 8 2 4" xfId="40640" xr:uid="{00000000-0005-0000-0000-0000A39D0000}"/>
    <cellStyle name="Normal 2 8 8 2 4 2" xfId="40641" xr:uid="{00000000-0005-0000-0000-0000A49D0000}"/>
    <cellStyle name="Normal 2 8 8 2 4 2 2" xfId="40642" xr:uid="{00000000-0005-0000-0000-0000A59D0000}"/>
    <cellStyle name="Normal 2 8 8 2 4 2 3" xfId="40643" xr:uid="{00000000-0005-0000-0000-0000A69D0000}"/>
    <cellStyle name="Normal 2 8 8 2 4 2 4" xfId="40644" xr:uid="{00000000-0005-0000-0000-0000A79D0000}"/>
    <cellStyle name="Normal 2 8 8 2 4 2 5" xfId="40645" xr:uid="{00000000-0005-0000-0000-0000A89D0000}"/>
    <cellStyle name="Normal 2 8 8 2 4 3" xfId="40646" xr:uid="{00000000-0005-0000-0000-0000A99D0000}"/>
    <cellStyle name="Normal 2 8 8 2 4 4" xfId="40647" xr:uid="{00000000-0005-0000-0000-0000AA9D0000}"/>
    <cellStyle name="Normal 2 8 8 2 4 5" xfId="40648" xr:uid="{00000000-0005-0000-0000-0000AB9D0000}"/>
    <cellStyle name="Normal 2 8 8 2 4 6" xfId="40649" xr:uid="{00000000-0005-0000-0000-0000AC9D0000}"/>
    <cellStyle name="Normal 2 8 8 2 4 7" xfId="40650" xr:uid="{00000000-0005-0000-0000-0000AD9D0000}"/>
    <cellStyle name="Normal 2 8 8 2 4 8" xfId="40651" xr:uid="{00000000-0005-0000-0000-0000AE9D0000}"/>
    <cellStyle name="Normal 2 8 8 2 5" xfId="40652" xr:uid="{00000000-0005-0000-0000-0000AF9D0000}"/>
    <cellStyle name="Normal 2 8 8 2 5 2" xfId="40653" xr:uid="{00000000-0005-0000-0000-0000B09D0000}"/>
    <cellStyle name="Normal 2 8 8 2 5 3" xfId="40654" xr:uid="{00000000-0005-0000-0000-0000B19D0000}"/>
    <cellStyle name="Normal 2 8 8 2 5 4" xfId="40655" xr:uid="{00000000-0005-0000-0000-0000B29D0000}"/>
    <cellStyle name="Normal 2 8 8 2 5 5" xfId="40656" xr:uid="{00000000-0005-0000-0000-0000B39D0000}"/>
    <cellStyle name="Normal 2 8 8 2 6" xfId="40657" xr:uid="{00000000-0005-0000-0000-0000B49D0000}"/>
    <cellStyle name="Normal 2 8 8 2 7" xfId="40658" xr:uid="{00000000-0005-0000-0000-0000B59D0000}"/>
    <cellStyle name="Normal 2 8 8 2 8" xfId="40659" xr:uid="{00000000-0005-0000-0000-0000B69D0000}"/>
    <cellStyle name="Normal 2 8 8 2 9" xfId="40660" xr:uid="{00000000-0005-0000-0000-0000B79D0000}"/>
    <cellStyle name="Normal 2 8 8 3" xfId="40661" xr:uid="{00000000-0005-0000-0000-0000B89D0000}"/>
    <cellStyle name="Normal 2 8 8 3 10" xfId="40662" xr:uid="{00000000-0005-0000-0000-0000B99D0000}"/>
    <cellStyle name="Normal 2 8 8 3 11" xfId="40663" xr:uid="{00000000-0005-0000-0000-0000BA9D0000}"/>
    <cellStyle name="Normal 2 8 8 3 2" xfId="40664" xr:uid="{00000000-0005-0000-0000-0000BB9D0000}"/>
    <cellStyle name="Normal 2 8 8 3 2 10" xfId="40665" xr:uid="{00000000-0005-0000-0000-0000BC9D0000}"/>
    <cellStyle name="Normal 2 8 8 3 2 2" xfId="40666" xr:uid="{00000000-0005-0000-0000-0000BD9D0000}"/>
    <cellStyle name="Normal 2 8 8 3 2 2 2" xfId="40667" xr:uid="{00000000-0005-0000-0000-0000BE9D0000}"/>
    <cellStyle name="Normal 2 8 8 3 2 2 2 2" xfId="40668" xr:uid="{00000000-0005-0000-0000-0000BF9D0000}"/>
    <cellStyle name="Normal 2 8 8 3 2 2 2 3" xfId="40669" xr:uid="{00000000-0005-0000-0000-0000C09D0000}"/>
    <cellStyle name="Normal 2 8 8 3 2 2 2 4" xfId="40670" xr:uid="{00000000-0005-0000-0000-0000C19D0000}"/>
    <cellStyle name="Normal 2 8 8 3 2 2 2 5" xfId="40671" xr:uid="{00000000-0005-0000-0000-0000C29D0000}"/>
    <cellStyle name="Normal 2 8 8 3 2 2 3" xfId="40672" xr:uid="{00000000-0005-0000-0000-0000C39D0000}"/>
    <cellStyle name="Normal 2 8 8 3 2 2 4" xfId="40673" xr:uid="{00000000-0005-0000-0000-0000C49D0000}"/>
    <cellStyle name="Normal 2 8 8 3 2 2 5" xfId="40674" xr:uid="{00000000-0005-0000-0000-0000C59D0000}"/>
    <cellStyle name="Normal 2 8 8 3 2 2 6" xfId="40675" xr:uid="{00000000-0005-0000-0000-0000C69D0000}"/>
    <cellStyle name="Normal 2 8 8 3 2 2 7" xfId="40676" xr:uid="{00000000-0005-0000-0000-0000C79D0000}"/>
    <cellStyle name="Normal 2 8 8 3 2 2 8" xfId="40677" xr:uid="{00000000-0005-0000-0000-0000C89D0000}"/>
    <cellStyle name="Normal 2 8 8 3 2 3" xfId="40678" xr:uid="{00000000-0005-0000-0000-0000C99D0000}"/>
    <cellStyle name="Normal 2 8 8 3 2 3 2" xfId="40679" xr:uid="{00000000-0005-0000-0000-0000CA9D0000}"/>
    <cellStyle name="Normal 2 8 8 3 2 3 2 2" xfId="40680" xr:uid="{00000000-0005-0000-0000-0000CB9D0000}"/>
    <cellStyle name="Normal 2 8 8 3 2 3 2 3" xfId="40681" xr:uid="{00000000-0005-0000-0000-0000CC9D0000}"/>
    <cellStyle name="Normal 2 8 8 3 2 3 2 4" xfId="40682" xr:uid="{00000000-0005-0000-0000-0000CD9D0000}"/>
    <cellStyle name="Normal 2 8 8 3 2 3 2 5" xfId="40683" xr:uid="{00000000-0005-0000-0000-0000CE9D0000}"/>
    <cellStyle name="Normal 2 8 8 3 2 3 3" xfId="40684" xr:uid="{00000000-0005-0000-0000-0000CF9D0000}"/>
    <cellStyle name="Normal 2 8 8 3 2 3 4" xfId="40685" xr:uid="{00000000-0005-0000-0000-0000D09D0000}"/>
    <cellStyle name="Normal 2 8 8 3 2 3 5" xfId="40686" xr:uid="{00000000-0005-0000-0000-0000D19D0000}"/>
    <cellStyle name="Normal 2 8 8 3 2 3 6" xfId="40687" xr:uid="{00000000-0005-0000-0000-0000D29D0000}"/>
    <cellStyle name="Normal 2 8 8 3 2 3 7" xfId="40688" xr:uid="{00000000-0005-0000-0000-0000D39D0000}"/>
    <cellStyle name="Normal 2 8 8 3 2 3 8" xfId="40689" xr:uid="{00000000-0005-0000-0000-0000D49D0000}"/>
    <cellStyle name="Normal 2 8 8 3 2 4" xfId="40690" xr:uid="{00000000-0005-0000-0000-0000D59D0000}"/>
    <cellStyle name="Normal 2 8 8 3 2 4 2" xfId="40691" xr:uid="{00000000-0005-0000-0000-0000D69D0000}"/>
    <cellStyle name="Normal 2 8 8 3 2 4 3" xfId="40692" xr:uid="{00000000-0005-0000-0000-0000D79D0000}"/>
    <cellStyle name="Normal 2 8 8 3 2 4 4" xfId="40693" xr:uid="{00000000-0005-0000-0000-0000D89D0000}"/>
    <cellStyle name="Normal 2 8 8 3 2 4 5" xfId="40694" xr:uid="{00000000-0005-0000-0000-0000D99D0000}"/>
    <cellStyle name="Normal 2 8 8 3 2 5" xfId="40695" xr:uid="{00000000-0005-0000-0000-0000DA9D0000}"/>
    <cellStyle name="Normal 2 8 8 3 2 6" xfId="40696" xr:uid="{00000000-0005-0000-0000-0000DB9D0000}"/>
    <cellStyle name="Normal 2 8 8 3 2 7" xfId="40697" xr:uid="{00000000-0005-0000-0000-0000DC9D0000}"/>
    <cellStyle name="Normal 2 8 8 3 2 8" xfId="40698" xr:uid="{00000000-0005-0000-0000-0000DD9D0000}"/>
    <cellStyle name="Normal 2 8 8 3 2 9" xfId="40699" xr:uid="{00000000-0005-0000-0000-0000DE9D0000}"/>
    <cellStyle name="Normal 2 8 8 3 3" xfId="40700" xr:uid="{00000000-0005-0000-0000-0000DF9D0000}"/>
    <cellStyle name="Normal 2 8 8 3 3 2" xfId="40701" xr:uid="{00000000-0005-0000-0000-0000E09D0000}"/>
    <cellStyle name="Normal 2 8 8 3 3 2 2" xfId="40702" xr:uid="{00000000-0005-0000-0000-0000E19D0000}"/>
    <cellStyle name="Normal 2 8 8 3 3 2 3" xfId="40703" xr:uid="{00000000-0005-0000-0000-0000E29D0000}"/>
    <cellStyle name="Normal 2 8 8 3 3 2 4" xfId="40704" xr:uid="{00000000-0005-0000-0000-0000E39D0000}"/>
    <cellStyle name="Normal 2 8 8 3 3 2 5" xfId="40705" xr:uid="{00000000-0005-0000-0000-0000E49D0000}"/>
    <cellStyle name="Normal 2 8 8 3 3 3" xfId="40706" xr:uid="{00000000-0005-0000-0000-0000E59D0000}"/>
    <cellStyle name="Normal 2 8 8 3 3 4" xfId="40707" xr:uid="{00000000-0005-0000-0000-0000E69D0000}"/>
    <cellStyle name="Normal 2 8 8 3 3 5" xfId="40708" xr:uid="{00000000-0005-0000-0000-0000E79D0000}"/>
    <cellStyle name="Normal 2 8 8 3 3 6" xfId="40709" xr:uid="{00000000-0005-0000-0000-0000E89D0000}"/>
    <cellStyle name="Normal 2 8 8 3 3 7" xfId="40710" xr:uid="{00000000-0005-0000-0000-0000E99D0000}"/>
    <cellStyle name="Normal 2 8 8 3 3 8" xfId="40711" xr:uid="{00000000-0005-0000-0000-0000EA9D0000}"/>
    <cellStyle name="Normal 2 8 8 3 4" xfId="40712" xr:uid="{00000000-0005-0000-0000-0000EB9D0000}"/>
    <cellStyle name="Normal 2 8 8 3 4 2" xfId="40713" xr:uid="{00000000-0005-0000-0000-0000EC9D0000}"/>
    <cellStyle name="Normal 2 8 8 3 4 2 2" xfId="40714" xr:uid="{00000000-0005-0000-0000-0000ED9D0000}"/>
    <cellStyle name="Normal 2 8 8 3 4 2 3" xfId="40715" xr:uid="{00000000-0005-0000-0000-0000EE9D0000}"/>
    <cellStyle name="Normal 2 8 8 3 4 2 4" xfId="40716" xr:uid="{00000000-0005-0000-0000-0000EF9D0000}"/>
    <cellStyle name="Normal 2 8 8 3 4 2 5" xfId="40717" xr:uid="{00000000-0005-0000-0000-0000F09D0000}"/>
    <cellStyle name="Normal 2 8 8 3 4 3" xfId="40718" xr:uid="{00000000-0005-0000-0000-0000F19D0000}"/>
    <cellStyle name="Normal 2 8 8 3 4 4" xfId="40719" xr:uid="{00000000-0005-0000-0000-0000F29D0000}"/>
    <cellStyle name="Normal 2 8 8 3 4 5" xfId="40720" xr:uid="{00000000-0005-0000-0000-0000F39D0000}"/>
    <cellStyle name="Normal 2 8 8 3 4 6" xfId="40721" xr:uid="{00000000-0005-0000-0000-0000F49D0000}"/>
    <cellStyle name="Normal 2 8 8 3 4 7" xfId="40722" xr:uid="{00000000-0005-0000-0000-0000F59D0000}"/>
    <cellStyle name="Normal 2 8 8 3 4 8" xfId="40723" xr:uid="{00000000-0005-0000-0000-0000F69D0000}"/>
    <cellStyle name="Normal 2 8 8 3 5" xfId="40724" xr:uid="{00000000-0005-0000-0000-0000F79D0000}"/>
    <cellStyle name="Normal 2 8 8 3 5 2" xfId="40725" xr:uid="{00000000-0005-0000-0000-0000F89D0000}"/>
    <cellStyle name="Normal 2 8 8 3 5 3" xfId="40726" xr:uid="{00000000-0005-0000-0000-0000F99D0000}"/>
    <cellStyle name="Normal 2 8 8 3 5 4" xfId="40727" xr:uid="{00000000-0005-0000-0000-0000FA9D0000}"/>
    <cellStyle name="Normal 2 8 8 3 5 5" xfId="40728" xr:uid="{00000000-0005-0000-0000-0000FB9D0000}"/>
    <cellStyle name="Normal 2 8 8 3 6" xfId="40729" xr:uid="{00000000-0005-0000-0000-0000FC9D0000}"/>
    <cellStyle name="Normal 2 8 8 3 7" xfId="40730" xr:uid="{00000000-0005-0000-0000-0000FD9D0000}"/>
    <cellStyle name="Normal 2 8 8 3 8" xfId="40731" xr:uid="{00000000-0005-0000-0000-0000FE9D0000}"/>
    <cellStyle name="Normal 2 8 8 3 9" xfId="40732" xr:uid="{00000000-0005-0000-0000-0000FF9D0000}"/>
    <cellStyle name="Normal 2 8 8 4" xfId="40733" xr:uid="{00000000-0005-0000-0000-0000009E0000}"/>
    <cellStyle name="Normal 2 8 8 4 10" xfId="40734" xr:uid="{00000000-0005-0000-0000-0000019E0000}"/>
    <cellStyle name="Normal 2 8 8 4 2" xfId="40735" xr:uid="{00000000-0005-0000-0000-0000029E0000}"/>
    <cellStyle name="Normal 2 8 8 4 2 2" xfId="40736" xr:uid="{00000000-0005-0000-0000-0000039E0000}"/>
    <cellStyle name="Normal 2 8 8 4 2 2 2" xfId="40737" xr:uid="{00000000-0005-0000-0000-0000049E0000}"/>
    <cellStyle name="Normal 2 8 8 4 2 2 3" xfId="40738" xr:uid="{00000000-0005-0000-0000-0000059E0000}"/>
    <cellStyle name="Normal 2 8 8 4 2 2 4" xfId="40739" xr:uid="{00000000-0005-0000-0000-0000069E0000}"/>
    <cellStyle name="Normal 2 8 8 4 2 2 5" xfId="40740" xr:uid="{00000000-0005-0000-0000-0000079E0000}"/>
    <cellStyle name="Normal 2 8 8 4 2 3" xfId="40741" xr:uid="{00000000-0005-0000-0000-0000089E0000}"/>
    <cellStyle name="Normal 2 8 8 4 2 4" xfId="40742" xr:uid="{00000000-0005-0000-0000-0000099E0000}"/>
    <cellStyle name="Normal 2 8 8 4 2 5" xfId="40743" xr:uid="{00000000-0005-0000-0000-00000A9E0000}"/>
    <cellStyle name="Normal 2 8 8 4 2 6" xfId="40744" xr:uid="{00000000-0005-0000-0000-00000B9E0000}"/>
    <cellStyle name="Normal 2 8 8 4 2 7" xfId="40745" xr:uid="{00000000-0005-0000-0000-00000C9E0000}"/>
    <cellStyle name="Normal 2 8 8 4 2 8" xfId="40746" xr:uid="{00000000-0005-0000-0000-00000D9E0000}"/>
    <cellStyle name="Normal 2 8 8 4 3" xfId="40747" xr:uid="{00000000-0005-0000-0000-00000E9E0000}"/>
    <cellStyle name="Normal 2 8 8 4 3 2" xfId="40748" xr:uid="{00000000-0005-0000-0000-00000F9E0000}"/>
    <cellStyle name="Normal 2 8 8 4 3 2 2" xfId="40749" xr:uid="{00000000-0005-0000-0000-0000109E0000}"/>
    <cellStyle name="Normal 2 8 8 4 3 2 3" xfId="40750" xr:uid="{00000000-0005-0000-0000-0000119E0000}"/>
    <cellStyle name="Normal 2 8 8 4 3 2 4" xfId="40751" xr:uid="{00000000-0005-0000-0000-0000129E0000}"/>
    <cellStyle name="Normal 2 8 8 4 3 2 5" xfId="40752" xr:uid="{00000000-0005-0000-0000-0000139E0000}"/>
    <cellStyle name="Normal 2 8 8 4 3 3" xfId="40753" xr:uid="{00000000-0005-0000-0000-0000149E0000}"/>
    <cellStyle name="Normal 2 8 8 4 3 4" xfId="40754" xr:uid="{00000000-0005-0000-0000-0000159E0000}"/>
    <cellStyle name="Normal 2 8 8 4 3 5" xfId="40755" xr:uid="{00000000-0005-0000-0000-0000169E0000}"/>
    <cellStyle name="Normal 2 8 8 4 3 6" xfId="40756" xr:uid="{00000000-0005-0000-0000-0000179E0000}"/>
    <cellStyle name="Normal 2 8 8 4 3 7" xfId="40757" xr:uid="{00000000-0005-0000-0000-0000189E0000}"/>
    <cellStyle name="Normal 2 8 8 4 3 8" xfId="40758" xr:uid="{00000000-0005-0000-0000-0000199E0000}"/>
    <cellStyle name="Normal 2 8 8 4 4" xfId="40759" xr:uid="{00000000-0005-0000-0000-00001A9E0000}"/>
    <cellStyle name="Normal 2 8 8 4 4 2" xfId="40760" xr:uid="{00000000-0005-0000-0000-00001B9E0000}"/>
    <cellStyle name="Normal 2 8 8 4 4 3" xfId="40761" xr:uid="{00000000-0005-0000-0000-00001C9E0000}"/>
    <cellStyle name="Normal 2 8 8 4 4 4" xfId="40762" xr:uid="{00000000-0005-0000-0000-00001D9E0000}"/>
    <cellStyle name="Normal 2 8 8 4 4 5" xfId="40763" xr:uid="{00000000-0005-0000-0000-00001E9E0000}"/>
    <cellStyle name="Normal 2 8 8 4 5" xfId="40764" xr:uid="{00000000-0005-0000-0000-00001F9E0000}"/>
    <cellStyle name="Normal 2 8 8 4 6" xfId="40765" xr:uid="{00000000-0005-0000-0000-0000209E0000}"/>
    <cellStyle name="Normal 2 8 8 4 7" xfId="40766" xr:uid="{00000000-0005-0000-0000-0000219E0000}"/>
    <cellStyle name="Normal 2 8 8 4 8" xfId="40767" xr:uid="{00000000-0005-0000-0000-0000229E0000}"/>
    <cellStyle name="Normal 2 8 8 4 9" xfId="40768" xr:uid="{00000000-0005-0000-0000-0000239E0000}"/>
    <cellStyle name="Normal 2 8 8 5" xfId="40769" xr:uid="{00000000-0005-0000-0000-0000249E0000}"/>
    <cellStyle name="Normal 2 8 8 5 2" xfId="40770" xr:uid="{00000000-0005-0000-0000-0000259E0000}"/>
    <cellStyle name="Normal 2 8 8 5 2 2" xfId="40771" xr:uid="{00000000-0005-0000-0000-0000269E0000}"/>
    <cellStyle name="Normal 2 8 8 5 2 3" xfId="40772" xr:uid="{00000000-0005-0000-0000-0000279E0000}"/>
    <cellStyle name="Normal 2 8 8 5 2 4" xfId="40773" xr:uid="{00000000-0005-0000-0000-0000289E0000}"/>
    <cellStyle name="Normal 2 8 8 5 2 5" xfId="40774" xr:uid="{00000000-0005-0000-0000-0000299E0000}"/>
    <cellStyle name="Normal 2 8 8 5 3" xfId="40775" xr:uid="{00000000-0005-0000-0000-00002A9E0000}"/>
    <cellStyle name="Normal 2 8 8 5 4" xfId="40776" xr:uid="{00000000-0005-0000-0000-00002B9E0000}"/>
    <cellStyle name="Normal 2 8 8 5 5" xfId="40777" xr:uid="{00000000-0005-0000-0000-00002C9E0000}"/>
    <cellStyle name="Normal 2 8 8 5 6" xfId="40778" xr:uid="{00000000-0005-0000-0000-00002D9E0000}"/>
    <cellStyle name="Normal 2 8 8 5 7" xfId="40779" xr:uid="{00000000-0005-0000-0000-00002E9E0000}"/>
    <cellStyle name="Normal 2 8 8 5 8" xfId="40780" xr:uid="{00000000-0005-0000-0000-00002F9E0000}"/>
    <cellStyle name="Normal 2 8 8 6" xfId="40781" xr:uid="{00000000-0005-0000-0000-0000309E0000}"/>
    <cellStyle name="Normal 2 8 8 6 2" xfId="40782" xr:uid="{00000000-0005-0000-0000-0000319E0000}"/>
    <cellStyle name="Normal 2 8 8 6 2 2" xfId="40783" xr:uid="{00000000-0005-0000-0000-0000329E0000}"/>
    <cellStyle name="Normal 2 8 8 6 2 3" xfId="40784" xr:uid="{00000000-0005-0000-0000-0000339E0000}"/>
    <cellStyle name="Normal 2 8 8 6 2 4" xfId="40785" xr:uid="{00000000-0005-0000-0000-0000349E0000}"/>
    <cellStyle name="Normal 2 8 8 6 2 5" xfId="40786" xr:uid="{00000000-0005-0000-0000-0000359E0000}"/>
    <cellStyle name="Normal 2 8 8 6 3" xfId="40787" xr:uid="{00000000-0005-0000-0000-0000369E0000}"/>
    <cellStyle name="Normal 2 8 8 6 4" xfId="40788" xr:uid="{00000000-0005-0000-0000-0000379E0000}"/>
    <cellStyle name="Normal 2 8 8 6 5" xfId="40789" xr:uid="{00000000-0005-0000-0000-0000389E0000}"/>
    <cellStyle name="Normal 2 8 8 6 6" xfId="40790" xr:uid="{00000000-0005-0000-0000-0000399E0000}"/>
    <cellStyle name="Normal 2 8 8 6 7" xfId="40791" xr:uid="{00000000-0005-0000-0000-00003A9E0000}"/>
    <cellStyle name="Normal 2 8 8 6 8" xfId="40792" xr:uid="{00000000-0005-0000-0000-00003B9E0000}"/>
    <cellStyle name="Normal 2 8 8 7" xfId="40793" xr:uid="{00000000-0005-0000-0000-00003C9E0000}"/>
    <cellStyle name="Normal 2 8 8 7 2" xfId="40794" xr:uid="{00000000-0005-0000-0000-00003D9E0000}"/>
    <cellStyle name="Normal 2 8 8 7 3" xfId="40795" xr:uid="{00000000-0005-0000-0000-00003E9E0000}"/>
    <cellStyle name="Normal 2 8 8 7 4" xfId="40796" xr:uid="{00000000-0005-0000-0000-00003F9E0000}"/>
    <cellStyle name="Normal 2 8 8 7 5" xfId="40797" xr:uid="{00000000-0005-0000-0000-0000409E0000}"/>
    <cellStyle name="Normal 2 8 8 8" xfId="40798" xr:uid="{00000000-0005-0000-0000-0000419E0000}"/>
    <cellStyle name="Normal 2 8 8 9" xfId="40799" xr:uid="{00000000-0005-0000-0000-0000429E0000}"/>
    <cellStyle name="Normal 2 8 9" xfId="40800" xr:uid="{00000000-0005-0000-0000-0000439E0000}"/>
    <cellStyle name="Normal 2 8 9 10" xfId="40801" xr:uid="{00000000-0005-0000-0000-0000449E0000}"/>
    <cellStyle name="Normal 2 8 9 11" xfId="40802" xr:uid="{00000000-0005-0000-0000-0000459E0000}"/>
    <cellStyle name="Normal 2 8 9 2" xfId="40803" xr:uid="{00000000-0005-0000-0000-0000469E0000}"/>
    <cellStyle name="Normal 2 8 9 2 10" xfId="40804" xr:uid="{00000000-0005-0000-0000-0000479E0000}"/>
    <cellStyle name="Normal 2 8 9 2 2" xfId="40805" xr:uid="{00000000-0005-0000-0000-0000489E0000}"/>
    <cellStyle name="Normal 2 8 9 2 2 2" xfId="40806" xr:uid="{00000000-0005-0000-0000-0000499E0000}"/>
    <cellStyle name="Normal 2 8 9 2 2 2 2" xfId="40807" xr:uid="{00000000-0005-0000-0000-00004A9E0000}"/>
    <cellStyle name="Normal 2 8 9 2 2 2 3" xfId="40808" xr:uid="{00000000-0005-0000-0000-00004B9E0000}"/>
    <cellStyle name="Normal 2 8 9 2 2 2 4" xfId="40809" xr:uid="{00000000-0005-0000-0000-00004C9E0000}"/>
    <cellStyle name="Normal 2 8 9 2 2 2 5" xfId="40810" xr:uid="{00000000-0005-0000-0000-00004D9E0000}"/>
    <cellStyle name="Normal 2 8 9 2 2 3" xfId="40811" xr:uid="{00000000-0005-0000-0000-00004E9E0000}"/>
    <cellStyle name="Normal 2 8 9 2 2 4" xfId="40812" xr:uid="{00000000-0005-0000-0000-00004F9E0000}"/>
    <cellStyle name="Normal 2 8 9 2 2 5" xfId="40813" xr:uid="{00000000-0005-0000-0000-0000509E0000}"/>
    <cellStyle name="Normal 2 8 9 2 2 6" xfId="40814" xr:uid="{00000000-0005-0000-0000-0000519E0000}"/>
    <cellStyle name="Normal 2 8 9 2 2 7" xfId="40815" xr:uid="{00000000-0005-0000-0000-0000529E0000}"/>
    <cellStyle name="Normal 2 8 9 2 2 8" xfId="40816" xr:uid="{00000000-0005-0000-0000-0000539E0000}"/>
    <cellStyle name="Normal 2 8 9 2 3" xfId="40817" xr:uid="{00000000-0005-0000-0000-0000549E0000}"/>
    <cellStyle name="Normal 2 8 9 2 3 2" xfId="40818" xr:uid="{00000000-0005-0000-0000-0000559E0000}"/>
    <cellStyle name="Normal 2 8 9 2 3 2 2" xfId="40819" xr:uid="{00000000-0005-0000-0000-0000569E0000}"/>
    <cellStyle name="Normal 2 8 9 2 3 2 3" xfId="40820" xr:uid="{00000000-0005-0000-0000-0000579E0000}"/>
    <cellStyle name="Normal 2 8 9 2 3 2 4" xfId="40821" xr:uid="{00000000-0005-0000-0000-0000589E0000}"/>
    <cellStyle name="Normal 2 8 9 2 3 2 5" xfId="40822" xr:uid="{00000000-0005-0000-0000-0000599E0000}"/>
    <cellStyle name="Normal 2 8 9 2 3 3" xfId="40823" xr:uid="{00000000-0005-0000-0000-00005A9E0000}"/>
    <cellStyle name="Normal 2 8 9 2 3 4" xfId="40824" xr:uid="{00000000-0005-0000-0000-00005B9E0000}"/>
    <cellStyle name="Normal 2 8 9 2 3 5" xfId="40825" xr:uid="{00000000-0005-0000-0000-00005C9E0000}"/>
    <cellStyle name="Normal 2 8 9 2 3 6" xfId="40826" xr:uid="{00000000-0005-0000-0000-00005D9E0000}"/>
    <cellStyle name="Normal 2 8 9 2 3 7" xfId="40827" xr:uid="{00000000-0005-0000-0000-00005E9E0000}"/>
    <cellStyle name="Normal 2 8 9 2 3 8" xfId="40828" xr:uid="{00000000-0005-0000-0000-00005F9E0000}"/>
    <cellStyle name="Normal 2 8 9 2 4" xfId="40829" xr:uid="{00000000-0005-0000-0000-0000609E0000}"/>
    <cellStyle name="Normal 2 8 9 2 4 2" xfId="40830" xr:uid="{00000000-0005-0000-0000-0000619E0000}"/>
    <cellStyle name="Normal 2 8 9 2 4 3" xfId="40831" xr:uid="{00000000-0005-0000-0000-0000629E0000}"/>
    <cellStyle name="Normal 2 8 9 2 4 4" xfId="40832" xr:uid="{00000000-0005-0000-0000-0000639E0000}"/>
    <cellStyle name="Normal 2 8 9 2 4 5" xfId="40833" xr:uid="{00000000-0005-0000-0000-0000649E0000}"/>
    <cellStyle name="Normal 2 8 9 2 5" xfId="40834" xr:uid="{00000000-0005-0000-0000-0000659E0000}"/>
    <cellStyle name="Normal 2 8 9 2 6" xfId="40835" xr:uid="{00000000-0005-0000-0000-0000669E0000}"/>
    <cellStyle name="Normal 2 8 9 2 7" xfId="40836" xr:uid="{00000000-0005-0000-0000-0000679E0000}"/>
    <cellStyle name="Normal 2 8 9 2 8" xfId="40837" xr:uid="{00000000-0005-0000-0000-0000689E0000}"/>
    <cellStyle name="Normal 2 8 9 2 9" xfId="40838" xr:uid="{00000000-0005-0000-0000-0000699E0000}"/>
    <cellStyle name="Normal 2 8 9 3" xfId="40839" xr:uid="{00000000-0005-0000-0000-00006A9E0000}"/>
    <cellStyle name="Normal 2 8 9 3 2" xfId="40840" xr:uid="{00000000-0005-0000-0000-00006B9E0000}"/>
    <cellStyle name="Normal 2 8 9 3 2 2" xfId="40841" xr:uid="{00000000-0005-0000-0000-00006C9E0000}"/>
    <cellStyle name="Normal 2 8 9 3 2 3" xfId="40842" xr:uid="{00000000-0005-0000-0000-00006D9E0000}"/>
    <cellStyle name="Normal 2 8 9 3 2 4" xfId="40843" xr:uid="{00000000-0005-0000-0000-00006E9E0000}"/>
    <cellStyle name="Normal 2 8 9 3 2 5" xfId="40844" xr:uid="{00000000-0005-0000-0000-00006F9E0000}"/>
    <cellStyle name="Normal 2 8 9 3 3" xfId="40845" xr:uid="{00000000-0005-0000-0000-0000709E0000}"/>
    <cellStyle name="Normal 2 8 9 3 4" xfId="40846" xr:uid="{00000000-0005-0000-0000-0000719E0000}"/>
    <cellStyle name="Normal 2 8 9 3 5" xfId="40847" xr:uid="{00000000-0005-0000-0000-0000729E0000}"/>
    <cellStyle name="Normal 2 8 9 3 6" xfId="40848" xr:uid="{00000000-0005-0000-0000-0000739E0000}"/>
    <cellStyle name="Normal 2 8 9 3 7" xfId="40849" xr:uid="{00000000-0005-0000-0000-0000749E0000}"/>
    <cellStyle name="Normal 2 8 9 3 8" xfId="40850" xr:uid="{00000000-0005-0000-0000-0000759E0000}"/>
    <cellStyle name="Normal 2 8 9 4" xfId="40851" xr:uid="{00000000-0005-0000-0000-0000769E0000}"/>
    <cellStyle name="Normal 2 8 9 4 2" xfId="40852" xr:uid="{00000000-0005-0000-0000-0000779E0000}"/>
    <cellStyle name="Normal 2 8 9 4 2 2" xfId="40853" xr:uid="{00000000-0005-0000-0000-0000789E0000}"/>
    <cellStyle name="Normal 2 8 9 4 2 3" xfId="40854" xr:uid="{00000000-0005-0000-0000-0000799E0000}"/>
    <cellStyle name="Normal 2 8 9 4 2 4" xfId="40855" xr:uid="{00000000-0005-0000-0000-00007A9E0000}"/>
    <cellStyle name="Normal 2 8 9 4 2 5" xfId="40856" xr:uid="{00000000-0005-0000-0000-00007B9E0000}"/>
    <cellStyle name="Normal 2 8 9 4 3" xfId="40857" xr:uid="{00000000-0005-0000-0000-00007C9E0000}"/>
    <cellStyle name="Normal 2 8 9 4 4" xfId="40858" xr:uid="{00000000-0005-0000-0000-00007D9E0000}"/>
    <cellStyle name="Normal 2 8 9 4 5" xfId="40859" xr:uid="{00000000-0005-0000-0000-00007E9E0000}"/>
    <cellStyle name="Normal 2 8 9 4 6" xfId="40860" xr:uid="{00000000-0005-0000-0000-00007F9E0000}"/>
    <cellStyle name="Normal 2 8 9 4 7" xfId="40861" xr:uid="{00000000-0005-0000-0000-0000809E0000}"/>
    <cellStyle name="Normal 2 8 9 4 8" xfId="40862" xr:uid="{00000000-0005-0000-0000-0000819E0000}"/>
    <cellStyle name="Normal 2 8 9 5" xfId="40863" xr:uid="{00000000-0005-0000-0000-0000829E0000}"/>
    <cellStyle name="Normal 2 8 9 5 2" xfId="40864" xr:uid="{00000000-0005-0000-0000-0000839E0000}"/>
    <cellStyle name="Normal 2 8 9 5 3" xfId="40865" xr:uid="{00000000-0005-0000-0000-0000849E0000}"/>
    <cellStyle name="Normal 2 8 9 5 4" xfId="40866" xr:uid="{00000000-0005-0000-0000-0000859E0000}"/>
    <cellStyle name="Normal 2 8 9 5 5" xfId="40867" xr:uid="{00000000-0005-0000-0000-0000869E0000}"/>
    <cellStyle name="Normal 2 8 9 6" xfId="40868" xr:uid="{00000000-0005-0000-0000-0000879E0000}"/>
    <cellStyle name="Normal 2 8 9 7" xfId="40869" xr:uid="{00000000-0005-0000-0000-0000889E0000}"/>
    <cellStyle name="Normal 2 8 9 8" xfId="40870" xr:uid="{00000000-0005-0000-0000-0000899E0000}"/>
    <cellStyle name="Normal 2 8 9 9" xfId="40871" xr:uid="{00000000-0005-0000-0000-00008A9E0000}"/>
    <cellStyle name="Normal 2 9" xfId="891" xr:uid="{00000000-0005-0000-0000-00008B9E0000}"/>
    <cellStyle name="Normal 2 9 10" xfId="40872" xr:uid="{00000000-0005-0000-0000-00008C9E0000}"/>
    <cellStyle name="Normal 2 9 11" xfId="40873" xr:uid="{00000000-0005-0000-0000-00008D9E0000}"/>
    <cellStyle name="Normal 2 9 12" xfId="40874" xr:uid="{00000000-0005-0000-0000-00008E9E0000}"/>
    <cellStyle name="Normal 2 9 13" xfId="40875" xr:uid="{00000000-0005-0000-0000-00008F9E0000}"/>
    <cellStyle name="Normal 2 9 14" xfId="40876" xr:uid="{00000000-0005-0000-0000-0000909E0000}"/>
    <cellStyle name="Normal 2 9 15" xfId="40877" xr:uid="{00000000-0005-0000-0000-0000919E0000}"/>
    <cellStyle name="Normal 2 9 2" xfId="892" xr:uid="{00000000-0005-0000-0000-0000929E0000}"/>
    <cellStyle name="Normal 2 9 2 10" xfId="40878" xr:uid="{00000000-0005-0000-0000-0000939E0000}"/>
    <cellStyle name="Normal 2 9 2 11" xfId="40879" xr:uid="{00000000-0005-0000-0000-0000949E0000}"/>
    <cellStyle name="Normal 2 9 2 12" xfId="40880" xr:uid="{00000000-0005-0000-0000-0000959E0000}"/>
    <cellStyle name="Normal 2 9 2 13" xfId="40881" xr:uid="{00000000-0005-0000-0000-0000969E0000}"/>
    <cellStyle name="Normal 2 9 2 2" xfId="40882" xr:uid="{00000000-0005-0000-0000-0000979E0000}"/>
    <cellStyle name="Normal 2 9 2 2 10" xfId="40883" xr:uid="{00000000-0005-0000-0000-0000989E0000}"/>
    <cellStyle name="Normal 2 9 2 2 11" xfId="40884" xr:uid="{00000000-0005-0000-0000-0000999E0000}"/>
    <cellStyle name="Normal 2 9 2 2 2" xfId="40885" xr:uid="{00000000-0005-0000-0000-00009A9E0000}"/>
    <cellStyle name="Normal 2 9 2 2 2 10" xfId="40886" xr:uid="{00000000-0005-0000-0000-00009B9E0000}"/>
    <cellStyle name="Normal 2 9 2 2 2 2" xfId="40887" xr:uid="{00000000-0005-0000-0000-00009C9E0000}"/>
    <cellStyle name="Normal 2 9 2 2 2 2 2" xfId="40888" xr:uid="{00000000-0005-0000-0000-00009D9E0000}"/>
    <cellStyle name="Normal 2 9 2 2 2 2 2 2" xfId="40889" xr:uid="{00000000-0005-0000-0000-00009E9E0000}"/>
    <cellStyle name="Normal 2 9 2 2 2 2 2 3" xfId="40890" xr:uid="{00000000-0005-0000-0000-00009F9E0000}"/>
    <cellStyle name="Normal 2 9 2 2 2 2 2 4" xfId="40891" xr:uid="{00000000-0005-0000-0000-0000A09E0000}"/>
    <cellStyle name="Normal 2 9 2 2 2 2 2 5" xfId="40892" xr:uid="{00000000-0005-0000-0000-0000A19E0000}"/>
    <cellStyle name="Normal 2 9 2 2 2 2 3" xfId="40893" xr:uid="{00000000-0005-0000-0000-0000A29E0000}"/>
    <cellStyle name="Normal 2 9 2 2 2 2 4" xfId="40894" xr:uid="{00000000-0005-0000-0000-0000A39E0000}"/>
    <cellStyle name="Normal 2 9 2 2 2 2 5" xfId="40895" xr:uid="{00000000-0005-0000-0000-0000A49E0000}"/>
    <cellStyle name="Normal 2 9 2 2 2 2 6" xfId="40896" xr:uid="{00000000-0005-0000-0000-0000A59E0000}"/>
    <cellStyle name="Normal 2 9 2 2 2 2 7" xfId="40897" xr:uid="{00000000-0005-0000-0000-0000A69E0000}"/>
    <cellStyle name="Normal 2 9 2 2 2 2 8" xfId="40898" xr:uid="{00000000-0005-0000-0000-0000A79E0000}"/>
    <cellStyle name="Normal 2 9 2 2 2 3" xfId="40899" xr:uid="{00000000-0005-0000-0000-0000A89E0000}"/>
    <cellStyle name="Normal 2 9 2 2 2 3 2" xfId="40900" xr:uid="{00000000-0005-0000-0000-0000A99E0000}"/>
    <cellStyle name="Normal 2 9 2 2 2 3 2 2" xfId="40901" xr:uid="{00000000-0005-0000-0000-0000AA9E0000}"/>
    <cellStyle name="Normal 2 9 2 2 2 3 2 3" xfId="40902" xr:uid="{00000000-0005-0000-0000-0000AB9E0000}"/>
    <cellStyle name="Normal 2 9 2 2 2 3 2 4" xfId="40903" xr:uid="{00000000-0005-0000-0000-0000AC9E0000}"/>
    <cellStyle name="Normal 2 9 2 2 2 3 2 5" xfId="40904" xr:uid="{00000000-0005-0000-0000-0000AD9E0000}"/>
    <cellStyle name="Normal 2 9 2 2 2 3 3" xfId="40905" xr:uid="{00000000-0005-0000-0000-0000AE9E0000}"/>
    <cellStyle name="Normal 2 9 2 2 2 3 4" xfId="40906" xr:uid="{00000000-0005-0000-0000-0000AF9E0000}"/>
    <cellStyle name="Normal 2 9 2 2 2 3 5" xfId="40907" xr:uid="{00000000-0005-0000-0000-0000B09E0000}"/>
    <cellStyle name="Normal 2 9 2 2 2 3 6" xfId="40908" xr:uid="{00000000-0005-0000-0000-0000B19E0000}"/>
    <cellStyle name="Normal 2 9 2 2 2 3 7" xfId="40909" xr:uid="{00000000-0005-0000-0000-0000B29E0000}"/>
    <cellStyle name="Normal 2 9 2 2 2 3 8" xfId="40910" xr:uid="{00000000-0005-0000-0000-0000B39E0000}"/>
    <cellStyle name="Normal 2 9 2 2 2 4" xfId="40911" xr:uid="{00000000-0005-0000-0000-0000B49E0000}"/>
    <cellStyle name="Normal 2 9 2 2 2 4 2" xfId="40912" xr:uid="{00000000-0005-0000-0000-0000B59E0000}"/>
    <cellStyle name="Normal 2 9 2 2 2 4 3" xfId="40913" xr:uid="{00000000-0005-0000-0000-0000B69E0000}"/>
    <cellStyle name="Normal 2 9 2 2 2 4 4" xfId="40914" xr:uid="{00000000-0005-0000-0000-0000B79E0000}"/>
    <cellStyle name="Normal 2 9 2 2 2 4 5" xfId="40915" xr:uid="{00000000-0005-0000-0000-0000B89E0000}"/>
    <cellStyle name="Normal 2 9 2 2 2 5" xfId="40916" xr:uid="{00000000-0005-0000-0000-0000B99E0000}"/>
    <cellStyle name="Normal 2 9 2 2 2 6" xfId="40917" xr:uid="{00000000-0005-0000-0000-0000BA9E0000}"/>
    <cellStyle name="Normal 2 9 2 2 2 7" xfId="40918" xr:uid="{00000000-0005-0000-0000-0000BB9E0000}"/>
    <cellStyle name="Normal 2 9 2 2 2 8" xfId="40919" xr:uid="{00000000-0005-0000-0000-0000BC9E0000}"/>
    <cellStyle name="Normal 2 9 2 2 2 9" xfId="40920" xr:uid="{00000000-0005-0000-0000-0000BD9E0000}"/>
    <cellStyle name="Normal 2 9 2 2 3" xfId="40921" xr:uid="{00000000-0005-0000-0000-0000BE9E0000}"/>
    <cellStyle name="Normal 2 9 2 2 3 2" xfId="40922" xr:uid="{00000000-0005-0000-0000-0000BF9E0000}"/>
    <cellStyle name="Normal 2 9 2 2 3 2 2" xfId="40923" xr:uid="{00000000-0005-0000-0000-0000C09E0000}"/>
    <cellStyle name="Normal 2 9 2 2 3 2 3" xfId="40924" xr:uid="{00000000-0005-0000-0000-0000C19E0000}"/>
    <cellStyle name="Normal 2 9 2 2 3 2 4" xfId="40925" xr:uid="{00000000-0005-0000-0000-0000C29E0000}"/>
    <cellStyle name="Normal 2 9 2 2 3 2 5" xfId="40926" xr:uid="{00000000-0005-0000-0000-0000C39E0000}"/>
    <cellStyle name="Normal 2 9 2 2 3 3" xfId="40927" xr:uid="{00000000-0005-0000-0000-0000C49E0000}"/>
    <cellStyle name="Normal 2 9 2 2 3 4" xfId="40928" xr:uid="{00000000-0005-0000-0000-0000C59E0000}"/>
    <cellStyle name="Normal 2 9 2 2 3 5" xfId="40929" xr:uid="{00000000-0005-0000-0000-0000C69E0000}"/>
    <cellStyle name="Normal 2 9 2 2 3 6" xfId="40930" xr:uid="{00000000-0005-0000-0000-0000C79E0000}"/>
    <cellStyle name="Normal 2 9 2 2 3 7" xfId="40931" xr:uid="{00000000-0005-0000-0000-0000C89E0000}"/>
    <cellStyle name="Normal 2 9 2 2 3 8" xfId="40932" xr:uid="{00000000-0005-0000-0000-0000C99E0000}"/>
    <cellStyle name="Normal 2 9 2 2 4" xfId="40933" xr:uid="{00000000-0005-0000-0000-0000CA9E0000}"/>
    <cellStyle name="Normal 2 9 2 2 4 2" xfId="40934" xr:uid="{00000000-0005-0000-0000-0000CB9E0000}"/>
    <cellStyle name="Normal 2 9 2 2 4 2 2" xfId="40935" xr:uid="{00000000-0005-0000-0000-0000CC9E0000}"/>
    <cellStyle name="Normal 2 9 2 2 4 2 3" xfId="40936" xr:uid="{00000000-0005-0000-0000-0000CD9E0000}"/>
    <cellStyle name="Normal 2 9 2 2 4 2 4" xfId="40937" xr:uid="{00000000-0005-0000-0000-0000CE9E0000}"/>
    <cellStyle name="Normal 2 9 2 2 4 2 5" xfId="40938" xr:uid="{00000000-0005-0000-0000-0000CF9E0000}"/>
    <cellStyle name="Normal 2 9 2 2 4 3" xfId="40939" xr:uid="{00000000-0005-0000-0000-0000D09E0000}"/>
    <cellStyle name="Normal 2 9 2 2 4 4" xfId="40940" xr:uid="{00000000-0005-0000-0000-0000D19E0000}"/>
    <cellStyle name="Normal 2 9 2 2 4 5" xfId="40941" xr:uid="{00000000-0005-0000-0000-0000D29E0000}"/>
    <cellStyle name="Normal 2 9 2 2 4 6" xfId="40942" xr:uid="{00000000-0005-0000-0000-0000D39E0000}"/>
    <cellStyle name="Normal 2 9 2 2 4 7" xfId="40943" xr:uid="{00000000-0005-0000-0000-0000D49E0000}"/>
    <cellStyle name="Normal 2 9 2 2 4 8" xfId="40944" xr:uid="{00000000-0005-0000-0000-0000D59E0000}"/>
    <cellStyle name="Normal 2 9 2 2 5" xfId="40945" xr:uid="{00000000-0005-0000-0000-0000D69E0000}"/>
    <cellStyle name="Normal 2 9 2 2 5 2" xfId="40946" xr:uid="{00000000-0005-0000-0000-0000D79E0000}"/>
    <cellStyle name="Normal 2 9 2 2 5 3" xfId="40947" xr:uid="{00000000-0005-0000-0000-0000D89E0000}"/>
    <cellStyle name="Normal 2 9 2 2 5 4" xfId="40948" xr:uid="{00000000-0005-0000-0000-0000D99E0000}"/>
    <cellStyle name="Normal 2 9 2 2 5 5" xfId="40949" xr:uid="{00000000-0005-0000-0000-0000DA9E0000}"/>
    <cellStyle name="Normal 2 9 2 2 6" xfId="40950" xr:uid="{00000000-0005-0000-0000-0000DB9E0000}"/>
    <cellStyle name="Normal 2 9 2 2 7" xfId="40951" xr:uid="{00000000-0005-0000-0000-0000DC9E0000}"/>
    <cellStyle name="Normal 2 9 2 2 8" xfId="40952" xr:uid="{00000000-0005-0000-0000-0000DD9E0000}"/>
    <cellStyle name="Normal 2 9 2 2 9" xfId="40953" xr:uid="{00000000-0005-0000-0000-0000DE9E0000}"/>
    <cellStyle name="Normal 2 9 2 3" xfId="40954" xr:uid="{00000000-0005-0000-0000-0000DF9E0000}"/>
    <cellStyle name="Normal 2 9 2 3 10" xfId="40955" xr:uid="{00000000-0005-0000-0000-0000E09E0000}"/>
    <cellStyle name="Normal 2 9 2 3 11" xfId="40956" xr:uid="{00000000-0005-0000-0000-0000E19E0000}"/>
    <cellStyle name="Normal 2 9 2 3 2" xfId="40957" xr:uid="{00000000-0005-0000-0000-0000E29E0000}"/>
    <cellStyle name="Normal 2 9 2 3 2 10" xfId="40958" xr:uid="{00000000-0005-0000-0000-0000E39E0000}"/>
    <cellStyle name="Normal 2 9 2 3 2 2" xfId="40959" xr:uid="{00000000-0005-0000-0000-0000E49E0000}"/>
    <cellStyle name="Normal 2 9 2 3 2 2 2" xfId="40960" xr:uid="{00000000-0005-0000-0000-0000E59E0000}"/>
    <cellStyle name="Normal 2 9 2 3 2 2 2 2" xfId="40961" xr:uid="{00000000-0005-0000-0000-0000E69E0000}"/>
    <cellStyle name="Normal 2 9 2 3 2 2 2 3" xfId="40962" xr:uid="{00000000-0005-0000-0000-0000E79E0000}"/>
    <cellStyle name="Normal 2 9 2 3 2 2 2 4" xfId="40963" xr:uid="{00000000-0005-0000-0000-0000E89E0000}"/>
    <cellStyle name="Normal 2 9 2 3 2 2 2 5" xfId="40964" xr:uid="{00000000-0005-0000-0000-0000E99E0000}"/>
    <cellStyle name="Normal 2 9 2 3 2 2 3" xfId="40965" xr:uid="{00000000-0005-0000-0000-0000EA9E0000}"/>
    <cellStyle name="Normal 2 9 2 3 2 2 4" xfId="40966" xr:uid="{00000000-0005-0000-0000-0000EB9E0000}"/>
    <cellStyle name="Normal 2 9 2 3 2 2 5" xfId="40967" xr:uid="{00000000-0005-0000-0000-0000EC9E0000}"/>
    <cellStyle name="Normal 2 9 2 3 2 2 6" xfId="40968" xr:uid="{00000000-0005-0000-0000-0000ED9E0000}"/>
    <cellStyle name="Normal 2 9 2 3 2 2 7" xfId="40969" xr:uid="{00000000-0005-0000-0000-0000EE9E0000}"/>
    <cellStyle name="Normal 2 9 2 3 2 2 8" xfId="40970" xr:uid="{00000000-0005-0000-0000-0000EF9E0000}"/>
    <cellStyle name="Normal 2 9 2 3 2 3" xfId="40971" xr:uid="{00000000-0005-0000-0000-0000F09E0000}"/>
    <cellStyle name="Normal 2 9 2 3 2 3 2" xfId="40972" xr:uid="{00000000-0005-0000-0000-0000F19E0000}"/>
    <cellStyle name="Normal 2 9 2 3 2 3 2 2" xfId="40973" xr:uid="{00000000-0005-0000-0000-0000F29E0000}"/>
    <cellStyle name="Normal 2 9 2 3 2 3 2 3" xfId="40974" xr:uid="{00000000-0005-0000-0000-0000F39E0000}"/>
    <cellStyle name="Normal 2 9 2 3 2 3 2 4" xfId="40975" xr:uid="{00000000-0005-0000-0000-0000F49E0000}"/>
    <cellStyle name="Normal 2 9 2 3 2 3 2 5" xfId="40976" xr:uid="{00000000-0005-0000-0000-0000F59E0000}"/>
    <cellStyle name="Normal 2 9 2 3 2 3 3" xfId="40977" xr:uid="{00000000-0005-0000-0000-0000F69E0000}"/>
    <cellStyle name="Normal 2 9 2 3 2 3 4" xfId="40978" xr:uid="{00000000-0005-0000-0000-0000F79E0000}"/>
    <cellStyle name="Normal 2 9 2 3 2 3 5" xfId="40979" xr:uid="{00000000-0005-0000-0000-0000F89E0000}"/>
    <cellStyle name="Normal 2 9 2 3 2 3 6" xfId="40980" xr:uid="{00000000-0005-0000-0000-0000F99E0000}"/>
    <cellStyle name="Normal 2 9 2 3 2 3 7" xfId="40981" xr:uid="{00000000-0005-0000-0000-0000FA9E0000}"/>
    <cellStyle name="Normal 2 9 2 3 2 3 8" xfId="40982" xr:uid="{00000000-0005-0000-0000-0000FB9E0000}"/>
    <cellStyle name="Normal 2 9 2 3 2 4" xfId="40983" xr:uid="{00000000-0005-0000-0000-0000FC9E0000}"/>
    <cellStyle name="Normal 2 9 2 3 2 4 2" xfId="40984" xr:uid="{00000000-0005-0000-0000-0000FD9E0000}"/>
    <cellStyle name="Normal 2 9 2 3 2 4 3" xfId="40985" xr:uid="{00000000-0005-0000-0000-0000FE9E0000}"/>
    <cellStyle name="Normal 2 9 2 3 2 4 4" xfId="40986" xr:uid="{00000000-0005-0000-0000-0000FF9E0000}"/>
    <cellStyle name="Normal 2 9 2 3 2 4 5" xfId="40987" xr:uid="{00000000-0005-0000-0000-0000009F0000}"/>
    <cellStyle name="Normal 2 9 2 3 2 5" xfId="40988" xr:uid="{00000000-0005-0000-0000-0000019F0000}"/>
    <cellStyle name="Normal 2 9 2 3 2 6" xfId="40989" xr:uid="{00000000-0005-0000-0000-0000029F0000}"/>
    <cellStyle name="Normal 2 9 2 3 2 7" xfId="40990" xr:uid="{00000000-0005-0000-0000-0000039F0000}"/>
    <cellStyle name="Normal 2 9 2 3 2 8" xfId="40991" xr:uid="{00000000-0005-0000-0000-0000049F0000}"/>
    <cellStyle name="Normal 2 9 2 3 2 9" xfId="40992" xr:uid="{00000000-0005-0000-0000-0000059F0000}"/>
    <cellStyle name="Normal 2 9 2 3 3" xfId="40993" xr:uid="{00000000-0005-0000-0000-0000069F0000}"/>
    <cellStyle name="Normal 2 9 2 3 3 2" xfId="40994" xr:uid="{00000000-0005-0000-0000-0000079F0000}"/>
    <cellStyle name="Normal 2 9 2 3 3 2 2" xfId="40995" xr:uid="{00000000-0005-0000-0000-0000089F0000}"/>
    <cellStyle name="Normal 2 9 2 3 3 2 3" xfId="40996" xr:uid="{00000000-0005-0000-0000-0000099F0000}"/>
    <cellStyle name="Normal 2 9 2 3 3 2 4" xfId="40997" xr:uid="{00000000-0005-0000-0000-00000A9F0000}"/>
    <cellStyle name="Normal 2 9 2 3 3 2 5" xfId="40998" xr:uid="{00000000-0005-0000-0000-00000B9F0000}"/>
    <cellStyle name="Normal 2 9 2 3 3 3" xfId="40999" xr:uid="{00000000-0005-0000-0000-00000C9F0000}"/>
    <cellStyle name="Normal 2 9 2 3 3 4" xfId="41000" xr:uid="{00000000-0005-0000-0000-00000D9F0000}"/>
    <cellStyle name="Normal 2 9 2 3 3 5" xfId="41001" xr:uid="{00000000-0005-0000-0000-00000E9F0000}"/>
    <cellStyle name="Normal 2 9 2 3 3 6" xfId="41002" xr:uid="{00000000-0005-0000-0000-00000F9F0000}"/>
    <cellStyle name="Normal 2 9 2 3 3 7" xfId="41003" xr:uid="{00000000-0005-0000-0000-0000109F0000}"/>
    <cellStyle name="Normal 2 9 2 3 3 8" xfId="41004" xr:uid="{00000000-0005-0000-0000-0000119F0000}"/>
    <cellStyle name="Normal 2 9 2 3 4" xfId="41005" xr:uid="{00000000-0005-0000-0000-0000129F0000}"/>
    <cellStyle name="Normal 2 9 2 3 4 2" xfId="41006" xr:uid="{00000000-0005-0000-0000-0000139F0000}"/>
    <cellStyle name="Normal 2 9 2 3 4 2 2" xfId="41007" xr:uid="{00000000-0005-0000-0000-0000149F0000}"/>
    <cellStyle name="Normal 2 9 2 3 4 2 3" xfId="41008" xr:uid="{00000000-0005-0000-0000-0000159F0000}"/>
    <cellStyle name="Normal 2 9 2 3 4 2 4" xfId="41009" xr:uid="{00000000-0005-0000-0000-0000169F0000}"/>
    <cellStyle name="Normal 2 9 2 3 4 2 5" xfId="41010" xr:uid="{00000000-0005-0000-0000-0000179F0000}"/>
    <cellStyle name="Normal 2 9 2 3 4 3" xfId="41011" xr:uid="{00000000-0005-0000-0000-0000189F0000}"/>
    <cellStyle name="Normal 2 9 2 3 4 4" xfId="41012" xr:uid="{00000000-0005-0000-0000-0000199F0000}"/>
    <cellStyle name="Normal 2 9 2 3 4 5" xfId="41013" xr:uid="{00000000-0005-0000-0000-00001A9F0000}"/>
    <cellStyle name="Normal 2 9 2 3 4 6" xfId="41014" xr:uid="{00000000-0005-0000-0000-00001B9F0000}"/>
    <cellStyle name="Normal 2 9 2 3 4 7" xfId="41015" xr:uid="{00000000-0005-0000-0000-00001C9F0000}"/>
    <cellStyle name="Normal 2 9 2 3 4 8" xfId="41016" xr:uid="{00000000-0005-0000-0000-00001D9F0000}"/>
    <cellStyle name="Normal 2 9 2 3 5" xfId="41017" xr:uid="{00000000-0005-0000-0000-00001E9F0000}"/>
    <cellStyle name="Normal 2 9 2 3 5 2" xfId="41018" xr:uid="{00000000-0005-0000-0000-00001F9F0000}"/>
    <cellStyle name="Normal 2 9 2 3 5 3" xfId="41019" xr:uid="{00000000-0005-0000-0000-0000209F0000}"/>
    <cellStyle name="Normal 2 9 2 3 5 4" xfId="41020" xr:uid="{00000000-0005-0000-0000-0000219F0000}"/>
    <cellStyle name="Normal 2 9 2 3 5 5" xfId="41021" xr:uid="{00000000-0005-0000-0000-0000229F0000}"/>
    <cellStyle name="Normal 2 9 2 3 6" xfId="41022" xr:uid="{00000000-0005-0000-0000-0000239F0000}"/>
    <cellStyle name="Normal 2 9 2 3 7" xfId="41023" xr:uid="{00000000-0005-0000-0000-0000249F0000}"/>
    <cellStyle name="Normal 2 9 2 3 8" xfId="41024" xr:uid="{00000000-0005-0000-0000-0000259F0000}"/>
    <cellStyle name="Normal 2 9 2 3 9" xfId="41025" xr:uid="{00000000-0005-0000-0000-0000269F0000}"/>
    <cellStyle name="Normal 2 9 2 4" xfId="41026" xr:uid="{00000000-0005-0000-0000-0000279F0000}"/>
    <cellStyle name="Normal 2 9 2 4 10" xfId="41027" xr:uid="{00000000-0005-0000-0000-0000289F0000}"/>
    <cellStyle name="Normal 2 9 2 4 2" xfId="41028" xr:uid="{00000000-0005-0000-0000-0000299F0000}"/>
    <cellStyle name="Normal 2 9 2 4 2 2" xfId="41029" xr:uid="{00000000-0005-0000-0000-00002A9F0000}"/>
    <cellStyle name="Normal 2 9 2 4 2 2 2" xfId="41030" xr:uid="{00000000-0005-0000-0000-00002B9F0000}"/>
    <cellStyle name="Normal 2 9 2 4 2 2 3" xfId="41031" xr:uid="{00000000-0005-0000-0000-00002C9F0000}"/>
    <cellStyle name="Normal 2 9 2 4 2 2 4" xfId="41032" xr:uid="{00000000-0005-0000-0000-00002D9F0000}"/>
    <cellStyle name="Normal 2 9 2 4 2 2 5" xfId="41033" xr:uid="{00000000-0005-0000-0000-00002E9F0000}"/>
    <cellStyle name="Normal 2 9 2 4 2 3" xfId="41034" xr:uid="{00000000-0005-0000-0000-00002F9F0000}"/>
    <cellStyle name="Normal 2 9 2 4 2 4" xfId="41035" xr:uid="{00000000-0005-0000-0000-0000309F0000}"/>
    <cellStyle name="Normal 2 9 2 4 2 5" xfId="41036" xr:uid="{00000000-0005-0000-0000-0000319F0000}"/>
    <cellStyle name="Normal 2 9 2 4 2 6" xfId="41037" xr:uid="{00000000-0005-0000-0000-0000329F0000}"/>
    <cellStyle name="Normal 2 9 2 4 2 7" xfId="41038" xr:uid="{00000000-0005-0000-0000-0000339F0000}"/>
    <cellStyle name="Normal 2 9 2 4 2 8" xfId="41039" xr:uid="{00000000-0005-0000-0000-0000349F0000}"/>
    <cellStyle name="Normal 2 9 2 4 3" xfId="41040" xr:uid="{00000000-0005-0000-0000-0000359F0000}"/>
    <cellStyle name="Normal 2 9 2 4 3 2" xfId="41041" xr:uid="{00000000-0005-0000-0000-0000369F0000}"/>
    <cellStyle name="Normal 2 9 2 4 3 2 2" xfId="41042" xr:uid="{00000000-0005-0000-0000-0000379F0000}"/>
    <cellStyle name="Normal 2 9 2 4 3 2 3" xfId="41043" xr:uid="{00000000-0005-0000-0000-0000389F0000}"/>
    <cellStyle name="Normal 2 9 2 4 3 2 4" xfId="41044" xr:uid="{00000000-0005-0000-0000-0000399F0000}"/>
    <cellStyle name="Normal 2 9 2 4 3 2 5" xfId="41045" xr:uid="{00000000-0005-0000-0000-00003A9F0000}"/>
    <cellStyle name="Normal 2 9 2 4 3 3" xfId="41046" xr:uid="{00000000-0005-0000-0000-00003B9F0000}"/>
    <cellStyle name="Normal 2 9 2 4 3 4" xfId="41047" xr:uid="{00000000-0005-0000-0000-00003C9F0000}"/>
    <cellStyle name="Normal 2 9 2 4 3 5" xfId="41048" xr:uid="{00000000-0005-0000-0000-00003D9F0000}"/>
    <cellStyle name="Normal 2 9 2 4 3 6" xfId="41049" xr:uid="{00000000-0005-0000-0000-00003E9F0000}"/>
    <cellStyle name="Normal 2 9 2 4 3 7" xfId="41050" xr:uid="{00000000-0005-0000-0000-00003F9F0000}"/>
    <cellStyle name="Normal 2 9 2 4 3 8" xfId="41051" xr:uid="{00000000-0005-0000-0000-0000409F0000}"/>
    <cellStyle name="Normal 2 9 2 4 4" xfId="41052" xr:uid="{00000000-0005-0000-0000-0000419F0000}"/>
    <cellStyle name="Normal 2 9 2 4 4 2" xfId="41053" xr:uid="{00000000-0005-0000-0000-0000429F0000}"/>
    <cellStyle name="Normal 2 9 2 4 4 3" xfId="41054" xr:uid="{00000000-0005-0000-0000-0000439F0000}"/>
    <cellStyle name="Normal 2 9 2 4 4 4" xfId="41055" xr:uid="{00000000-0005-0000-0000-0000449F0000}"/>
    <cellStyle name="Normal 2 9 2 4 4 5" xfId="41056" xr:uid="{00000000-0005-0000-0000-0000459F0000}"/>
    <cellStyle name="Normal 2 9 2 4 5" xfId="41057" xr:uid="{00000000-0005-0000-0000-0000469F0000}"/>
    <cellStyle name="Normal 2 9 2 4 6" xfId="41058" xr:uid="{00000000-0005-0000-0000-0000479F0000}"/>
    <cellStyle name="Normal 2 9 2 4 7" xfId="41059" xr:uid="{00000000-0005-0000-0000-0000489F0000}"/>
    <cellStyle name="Normal 2 9 2 4 8" xfId="41060" xr:uid="{00000000-0005-0000-0000-0000499F0000}"/>
    <cellStyle name="Normal 2 9 2 4 9" xfId="41061" xr:uid="{00000000-0005-0000-0000-00004A9F0000}"/>
    <cellStyle name="Normal 2 9 2 5" xfId="41062" xr:uid="{00000000-0005-0000-0000-00004B9F0000}"/>
    <cellStyle name="Normal 2 9 2 5 2" xfId="41063" xr:uid="{00000000-0005-0000-0000-00004C9F0000}"/>
    <cellStyle name="Normal 2 9 2 5 2 2" xfId="41064" xr:uid="{00000000-0005-0000-0000-00004D9F0000}"/>
    <cellStyle name="Normal 2 9 2 5 2 3" xfId="41065" xr:uid="{00000000-0005-0000-0000-00004E9F0000}"/>
    <cellStyle name="Normal 2 9 2 5 2 4" xfId="41066" xr:uid="{00000000-0005-0000-0000-00004F9F0000}"/>
    <cellStyle name="Normal 2 9 2 5 2 5" xfId="41067" xr:uid="{00000000-0005-0000-0000-0000509F0000}"/>
    <cellStyle name="Normal 2 9 2 5 3" xfId="41068" xr:uid="{00000000-0005-0000-0000-0000519F0000}"/>
    <cellStyle name="Normal 2 9 2 5 4" xfId="41069" xr:uid="{00000000-0005-0000-0000-0000529F0000}"/>
    <cellStyle name="Normal 2 9 2 5 5" xfId="41070" xr:uid="{00000000-0005-0000-0000-0000539F0000}"/>
    <cellStyle name="Normal 2 9 2 5 6" xfId="41071" xr:uid="{00000000-0005-0000-0000-0000549F0000}"/>
    <cellStyle name="Normal 2 9 2 5 7" xfId="41072" xr:uid="{00000000-0005-0000-0000-0000559F0000}"/>
    <cellStyle name="Normal 2 9 2 5 8" xfId="41073" xr:uid="{00000000-0005-0000-0000-0000569F0000}"/>
    <cellStyle name="Normal 2 9 2 6" xfId="41074" xr:uid="{00000000-0005-0000-0000-0000579F0000}"/>
    <cellStyle name="Normal 2 9 2 6 2" xfId="41075" xr:uid="{00000000-0005-0000-0000-0000589F0000}"/>
    <cellStyle name="Normal 2 9 2 6 2 2" xfId="41076" xr:uid="{00000000-0005-0000-0000-0000599F0000}"/>
    <cellStyle name="Normal 2 9 2 6 2 3" xfId="41077" xr:uid="{00000000-0005-0000-0000-00005A9F0000}"/>
    <cellStyle name="Normal 2 9 2 6 2 4" xfId="41078" xr:uid="{00000000-0005-0000-0000-00005B9F0000}"/>
    <cellStyle name="Normal 2 9 2 6 2 5" xfId="41079" xr:uid="{00000000-0005-0000-0000-00005C9F0000}"/>
    <cellStyle name="Normal 2 9 2 6 3" xfId="41080" xr:uid="{00000000-0005-0000-0000-00005D9F0000}"/>
    <cellStyle name="Normal 2 9 2 6 4" xfId="41081" xr:uid="{00000000-0005-0000-0000-00005E9F0000}"/>
    <cellStyle name="Normal 2 9 2 6 5" xfId="41082" xr:uid="{00000000-0005-0000-0000-00005F9F0000}"/>
    <cellStyle name="Normal 2 9 2 6 6" xfId="41083" xr:uid="{00000000-0005-0000-0000-0000609F0000}"/>
    <cellStyle name="Normal 2 9 2 6 7" xfId="41084" xr:uid="{00000000-0005-0000-0000-0000619F0000}"/>
    <cellStyle name="Normal 2 9 2 6 8" xfId="41085" xr:uid="{00000000-0005-0000-0000-0000629F0000}"/>
    <cellStyle name="Normal 2 9 2 7" xfId="41086" xr:uid="{00000000-0005-0000-0000-0000639F0000}"/>
    <cellStyle name="Normal 2 9 2 7 2" xfId="41087" xr:uid="{00000000-0005-0000-0000-0000649F0000}"/>
    <cellStyle name="Normal 2 9 2 7 3" xfId="41088" xr:uid="{00000000-0005-0000-0000-0000659F0000}"/>
    <cellStyle name="Normal 2 9 2 7 4" xfId="41089" xr:uid="{00000000-0005-0000-0000-0000669F0000}"/>
    <cellStyle name="Normal 2 9 2 7 5" xfId="41090" xr:uid="{00000000-0005-0000-0000-0000679F0000}"/>
    <cellStyle name="Normal 2 9 2 8" xfId="41091" xr:uid="{00000000-0005-0000-0000-0000689F0000}"/>
    <cellStyle name="Normal 2 9 2 9" xfId="41092" xr:uid="{00000000-0005-0000-0000-0000699F0000}"/>
    <cellStyle name="Normal 2 9 3" xfId="893" xr:uid="{00000000-0005-0000-0000-00006A9F0000}"/>
    <cellStyle name="Normal 2 9 3 10" xfId="41093" xr:uid="{00000000-0005-0000-0000-00006B9F0000}"/>
    <cellStyle name="Normal 2 9 3 11" xfId="41094" xr:uid="{00000000-0005-0000-0000-00006C9F0000}"/>
    <cellStyle name="Normal 2 9 3 12" xfId="41095" xr:uid="{00000000-0005-0000-0000-00006D9F0000}"/>
    <cellStyle name="Normal 2 9 3 13" xfId="41096" xr:uid="{00000000-0005-0000-0000-00006E9F0000}"/>
    <cellStyle name="Normal 2 9 3 2" xfId="41097" xr:uid="{00000000-0005-0000-0000-00006F9F0000}"/>
    <cellStyle name="Normal 2 9 3 2 10" xfId="41098" xr:uid="{00000000-0005-0000-0000-0000709F0000}"/>
    <cellStyle name="Normal 2 9 3 2 11" xfId="41099" xr:uid="{00000000-0005-0000-0000-0000719F0000}"/>
    <cellStyle name="Normal 2 9 3 2 2" xfId="41100" xr:uid="{00000000-0005-0000-0000-0000729F0000}"/>
    <cellStyle name="Normal 2 9 3 2 2 10" xfId="41101" xr:uid="{00000000-0005-0000-0000-0000739F0000}"/>
    <cellStyle name="Normal 2 9 3 2 2 2" xfId="41102" xr:uid="{00000000-0005-0000-0000-0000749F0000}"/>
    <cellStyle name="Normal 2 9 3 2 2 2 2" xfId="41103" xr:uid="{00000000-0005-0000-0000-0000759F0000}"/>
    <cellStyle name="Normal 2 9 3 2 2 2 2 2" xfId="41104" xr:uid="{00000000-0005-0000-0000-0000769F0000}"/>
    <cellStyle name="Normal 2 9 3 2 2 2 2 3" xfId="41105" xr:uid="{00000000-0005-0000-0000-0000779F0000}"/>
    <cellStyle name="Normal 2 9 3 2 2 2 2 4" xfId="41106" xr:uid="{00000000-0005-0000-0000-0000789F0000}"/>
    <cellStyle name="Normal 2 9 3 2 2 2 2 5" xfId="41107" xr:uid="{00000000-0005-0000-0000-0000799F0000}"/>
    <cellStyle name="Normal 2 9 3 2 2 2 3" xfId="41108" xr:uid="{00000000-0005-0000-0000-00007A9F0000}"/>
    <cellStyle name="Normal 2 9 3 2 2 2 4" xfId="41109" xr:uid="{00000000-0005-0000-0000-00007B9F0000}"/>
    <cellStyle name="Normal 2 9 3 2 2 2 5" xfId="41110" xr:uid="{00000000-0005-0000-0000-00007C9F0000}"/>
    <cellStyle name="Normal 2 9 3 2 2 2 6" xfId="41111" xr:uid="{00000000-0005-0000-0000-00007D9F0000}"/>
    <cellStyle name="Normal 2 9 3 2 2 2 7" xfId="41112" xr:uid="{00000000-0005-0000-0000-00007E9F0000}"/>
    <cellStyle name="Normal 2 9 3 2 2 2 8" xfId="41113" xr:uid="{00000000-0005-0000-0000-00007F9F0000}"/>
    <cellStyle name="Normal 2 9 3 2 2 3" xfId="41114" xr:uid="{00000000-0005-0000-0000-0000809F0000}"/>
    <cellStyle name="Normal 2 9 3 2 2 3 2" xfId="41115" xr:uid="{00000000-0005-0000-0000-0000819F0000}"/>
    <cellStyle name="Normal 2 9 3 2 2 3 2 2" xfId="41116" xr:uid="{00000000-0005-0000-0000-0000829F0000}"/>
    <cellStyle name="Normal 2 9 3 2 2 3 2 3" xfId="41117" xr:uid="{00000000-0005-0000-0000-0000839F0000}"/>
    <cellStyle name="Normal 2 9 3 2 2 3 2 4" xfId="41118" xr:uid="{00000000-0005-0000-0000-0000849F0000}"/>
    <cellStyle name="Normal 2 9 3 2 2 3 2 5" xfId="41119" xr:uid="{00000000-0005-0000-0000-0000859F0000}"/>
    <cellStyle name="Normal 2 9 3 2 2 3 3" xfId="41120" xr:uid="{00000000-0005-0000-0000-0000869F0000}"/>
    <cellStyle name="Normal 2 9 3 2 2 3 4" xfId="41121" xr:uid="{00000000-0005-0000-0000-0000879F0000}"/>
    <cellStyle name="Normal 2 9 3 2 2 3 5" xfId="41122" xr:uid="{00000000-0005-0000-0000-0000889F0000}"/>
    <cellStyle name="Normal 2 9 3 2 2 3 6" xfId="41123" xr:uid="{00000000-0005-0000-0000-0000899F0000}"/>
    <cellStyle name="Normal 2 9 3 2 2 3 7" xfId="41124" xr:uid="{00000000-0005-0000-0000-00008A9F0000}"/>
    <cellStyle name="Normal 2 9 3 2 2 3 8" xfId="41125" xr:uid="{00000000-0005-0000-0000-00008B9F0000}"/>
    <cellStyle name="Normal 2 9 3 2 2 4" xfId="41126" xr:uid="{00000000-0005-0000-0000-00008C9F0000}"/>
    <cellStyle name="Normal 2 9 3 2 2 4 2" xfId="41127" xr:uid="{00000000-0005-0000-0000-00008D9F0000}"/>
    <cellStyle name="Normal 2 9 3 2 2 4 3" xfId="41128" xr:uid="{00000000-0005-0000-0000-00008E9F0000}"/>
    <cellStyle name="Normal 2 9 3 2 2 4 4" xfId="41129" xr:uid="{00000000-0005-0000-0000-00008F9F0000}"/>
    <cellStyle name="Normal 2 9 3 2 2 4 5" xfId="41130" xr:uid="{00000000-0005-0000-0000-0000909F0000}"/>
    <cellStyle name="Normal 2 9 3 2 2 5" xfId="41131" xr:uid="{00000000-0005-0000-0000-0000919F0000}"/>
    <cellStyle name="Normal 2 9 3 2 2 6" xfId="41132" xr:uid="{00000000-0005-0000-0000-0000929F0000}"/>
    <cellStyle name="Normal 2 9 3 2 2 7" xfId="41133" xr:uid="{00000000-0005-0000-0000-0000939F0000}"/>
    <cellStyle name="Normal 2 9 3 2 2 8" xfId="41134" xr:uid="{00000000-0005-0000-0000-0000949F0000}"/>
    <cellStyle name="Normal 2 9 3 2 2 9" xfId="41135" xr:uid="{00000000-0005-0000-0000-0000959F0000}"/>
    <cellStyle name="Normal 2 9 3 2 3" xfId="41136" xr:uid="{00000000-0005-0000-0000-0000969F0000}"/>
    <cellStyle name="Normal 2 9 3 2 3 2" xfId="41137" xr:uid="{00000000-0005-0000-0000-0000979F0000}"/>
    <cellStyle name="Normal 2 9 3 2 3 2 2" xfId="41138" xr:uid="{00000000-0005-0000-0000-0000989F0000}"/>
    <cellStyle name="Normal 2 9 3 2 3 2 3" xfId="41139" xr:uid="{00000000-0005-0000-0000-0000999F0000}"/>
    <cellStyle name="Normal 2 9 3 2 3 2 4" xfId="41140" xr:uid="{00000000-0005-0000-0000-00009A9F0000}"/>
    <cellStyle name="Normal 2 9 3 2 3 2 5" xfId="41141" xr:uid="{00000000-0005-0000-0000-00009B9F0000}"/>
    <cellStyle name="Normal 2 9 3 2 3 3" xfId="41142" xr:uid="{00000000-0005-0000-0000-00009C9F0000}"/>
    <cellStyle name="Normal 2 9 3 2 3 4" xfId="41143" xr:uid="{00000000-0005-0000-0000-00009D9F0000}"/>
    <cellStyle name="Normal 2 9 3 2 3 5" xfId="41144" xr:uid="{00000000-0005-0000-0000-00009E9F0000}"/>
    <cellStyle name="Normal 2 9 3 2 3 6" xfId="41145" xr:uid="{00000000-0005-0000-0000-00009F9F0000}"/>
    <cellStyle name="Normal 2 9 3 2 3 7" xfId="41146" xr:uid="{00000000-0005-0000-0000-0000A09F0000}"/>
    <cellStyle name="Normal 2 9 3 2 3 8" xfId="41147" xr:uid="{00000000-0005-0000-0000-0000A19F0000}"/>
    <cellStyle name="Normal 2 9 3 2 4" xfId="41148" xr:uid="{00000000-0005-0000-0000-0000A29F0000}"/>
    <cellStyle name="Normal 2 9 3 2 4 2" xfId="41149" xr:uid="{00000000-0005-0000-0000-0000A39F0000}"/>
    <cellStyle name="Normal 2 9 3 2 4 2 2" xfId="41150" xr:uid="{00000000-0005-0000-0000-0000A49F0000}"/>
    <cellStyle name="Normal 2 9 3 2 4 2 3" xfId="41151" xr:uid="{00000000-0005-0000-0000-0000A59F0000}"/>
    <cellStyle name="Normal 2 9 3 2 4 2 4" xfId="41152" xr:uid="{00000000-0005-0000-0000-0000A69F0000}"/>
    <cellStyle name="Normal 2 9 3 2 4 2 5" xfId="41153" xr:uid="{00000000-0005-0000-0000-0000A79F0000}"/>
    <cellStyle name="Normal 2 9 3 2 4 3" xfId="41154" xr:uid="{00000000-0005-0000-0000-0000A89F0000}"/>
    <cellStyle name="Normal 2 9 3 2 4 4" xfId="41155" xr:uid="{00000000-0005-0000-0000-0000A99F0000}"/>
    <cellStyle name="Normal 2 9 3 2 4 5" xfId="41156" xr:uid="{00000000-0005-0000-0000-0000AA9F0000}"/>
    <cellStyle name="Normal 2 9 3 2 4 6" xfId="41157" xr:uid="{00000000-0005-0000-0000-0000AB9F0000}"/>
    <cellStyle name="Normal 2 9 3 2 4 7" xfId="41158" xr:uid="{00000000-0005-0000-0000-0000AC9F0000}"/>
    <cellStyle name="Normal 2 9 3 2 4 8" xfId="41159" xr:uid="{00000000-0005-0000-0000-0000AD9F0000}"/>
    <cellStyle name="Normal 2 9 3 2 5" xfId="41160" xr:uid="{00000000-0005-0000-0000-0000AE9F0000}"/>
    <cellStyle name="Normal 2 9 3 2 5 2" xfId="41161" xr:uid="{00000000-0005-0000-0000-0000AF9F0000}"/>
    <cellStyle name="Normal 2 9 3 2 5 3" xfId="41162" xr:uid="{00000000-0005-0000-0000-0000B09F0000}"/>
    <cellStyle name="Normal 2 9 3 2 5 4" xfId="41163" xr:uid="{00000000-0005-0000-0000-0000B19F0000}"/>
    <cellStyle name="Normal 2 9 3 2 5 5" xfId="41164" xr:uid="{00000000-0005-0000-0000-0000B29F0000}"/>
    <cellStyle name="Normal 2 9 3 2 6" xfId="41165" xr:uid="{00000000-0005-0000-0000-0000B39F0000}"/>
    <cellStyle name="Normal 2 9 3 2 7" xfId="41166" xr:uid="{00000000-0005-0000-0000-0000B49F0000}"/>
    <cellStyle name="Normal 2 9 3 2 8" xfId="41167" xr:uid="{00000000-0005-0000-0000-0000B59F0000}"/>
    <cellStyle name="Normal 2 9 3 2 9" xfId="41168" xr:uid="{00000000-0005-0000-0000-0000B69F0000}"/>
    <cellStyle name="Normal 2 9 3 3" xfId="41169" xr:uid="{00000000-0005-0000-0000-0000B79F0000}"/>
    <cellStyle name="Normal 2 9 3 3 10" xfId="41170" xr:uid="{00000000-0005-0000-0000-0000B89F0000}"/>
    <cellStyle name="Normal 2 9 3 3 11" xfId="41171" xr:uid="{00000000-0005-0000-0000-0000B99F0000}"/>
    <cellStyle name="Normal 2 9 3 3 2" xfId="41172" xr:uid="{00000000-0005-0000-0000-0000BA9F0000}"/>
    <cellStyle name="Normal 2 9 3 3 2 10" xfId="41173" xr:uid="{00000000-0005-0000-0000-0000BB9F0000}"/>
    <cellStyle name="Normal 2 9 3 3 2 2" xfId="41174" xr:uid="{00000000-0005-0000-0000-0000BC9F0000}"/>
    <cellStyle name="Normal 2 9 3 3 2 2 2" xfId="41175" xr:uid="{00000000-0005-0000-0000-0000BD9F0000}"/>
    <cellStyle name="Normal 2 9 3 3 2 2 2 2" xfId="41176" xr:uid="{00000000-0005-0000-0000-0000BE9F0000}"/>
    <cellStyle name="Normal 2 9 3 3 2 2 2 3" xfId="41177" xr:uid="{00000000-0005-0000-0000-0000BF9F0000}"/>
    <cellStyle name="Normal 2 9 3 3 2 2 2 4" xfId="41178" xr:uid="{00000000-0005-0000-0000-0000C09F0000}"/>
    <cellStyle name="Normal 2 9 3 3 2 2 2 5" xfId="41179" xr:uid="{00000000-0005-0000-0000-0000C19F0000}"/>
    <cellStyle name="Normal 2 9 3 3 2 2 3" xfId="41180" xr:uid="{00000000-0005-0000-0000-0000C29F0000}"/>
    <cellStyle name="Normal 2 9 3 3 2 2 4" xfId="41181" xr:uid="{00000000-0005-0000-0000-0000C39F0000}"/>
    <cellStyle name="Normal 2 9 3 3 2 2 5" xfId="41182" xr:uid="{00000000-0005-0000-0000-0000C49F0000}"/>
    <cellStyle name="Normal 2 9 3 3 2 2 6" xfId="41183" xr:uid="{00000000-0005-0000-0000-0000C59F0000}"/>
    <cellStyle name="Normal 2 9 3 3 2 2 7" xfId="41184" xr:uid="{00000000-0005-0000-0000-0000C69F0000}"/>
    <cellStyle name="Normal 2 9 3 3 2 2 8" xfId="41185" xr:uid="{00000000-0005-0000-0000-0000C79F0000}"/>
    <cellStyle name="Normal 2 9 3 3 2 3" xfId="41186" xr:uid="{00000000-0005-0000-0000-0000C89F0000}"/>
    <cellStyle name="Normal 2 9 3 3 2 3 2" xfId="41187" xr:uid="{00000000-0005-0000-0000-0000C99F0000}"/>
    <cellStyle name="Normal 2 9 3 3 2 3 2 2" xfId="41188" xr:uid="{00000000-0005-0000-0000-0000CA9F0000}"/>
    <cellStyle name="Normal 2 9 3 3 2 3 2 3" xfId="41189" xr:uid="{00000000-0005-0000-0000-0000CB9F0000}"/>
    <cellStyle name="Normal 2 9 3 3 2 3 2 4" xfId="41190" xr:uid="{00000000-0005-0000-0000-0000CC9F0000}"/>
    <cellStyle name="Normal 2 9 3 3 2 3 2 5" xfId="41191" xr:uid="{00000000-0005-0000-0000-0000CD9F0000}"/>
    <cellStyle name="Normal 2 9 3 3 2 3 3" xfId="41192" xr:uid="{00000000-0005-0000-0000-0000CE9F0000}"/>
    <cellStyle name="Normal 2 9 3 3 2 3 4" xfId="41193" xr:uid="{00000000-0005-0000-0000-0000CF9F0000}"/>
    <cellStyle name="Normal 2 9 3 3 2 3 5" xfId="41194" xr:uid="{00000000-0005-0000-0000-0000D09F0000}"/>
    <cellStyle name="Normal 2 9 3 3 2 3 6" xfId="41195" xr:uid="{00000000-0005-0000-0000-0000D19F0000}"/>
    <cellStyle name="Normal 2 9 3 3 2 3 7" xfId="41196" xr:uid="{00000000-0005-0000-0000-0000D29F0000}"/>
    <cellStyle name="Normal 2 9 3 3 2 3 8" xfId="41197" xr:uid="{00000000-0005-0000-0000-0000D39F0000}"/>
    <cellStyle name="Normal 2 9 3 3 2 4" xfId="41198" xr:uid="{00000000-0005-0000-0000-0000D49F0000}"/>
    <cellStyle name="Normal 2 9 3 3 2 4 2" xfId="41199" xr:uid="{00000000-0005-0000-0000-0000D59F0000}"/>
    <cellStyle name="Normal 2 9 3 3 2 4 3" xfId="41200" xr:uid="{00000000-0005-0000-0000-0000D69F0000}"/>
    <cellStyle name="Normal 2 9 3 3 2 4 4" xfId="41201" xr:uid="{00000000-0005-0000-0000-0000D79F0000}"/>
    <cellStyle name="Normal 2 9 3 3 2 4 5" xfId="41202" xr:uid="{00000000-0005-0000-0000-0000D89F0000}"/>
    <cellStyle name="Normal 2 9 3 3 2 5" xfId="41203" xr:uid="{00000000-0005-0000-0000-0000D99F0000}"/>
    <cellStyle name="Normal 2 9 3 3 2 6" xfId="41204" xr:uid="{00000000-0005-0000-0000-0000DA9F0000}"/>
    <cellStyle name="Normal 2 9 3 3 2 7" xfId="41205" xr:uid="{00000000-0005-0000-0000-0000DB9F0000}"/>
    <cellStyle name="Normal 2 9 3 3 2 8" xfId="41206" xr:uid="{00000000-0005-0000-0000-0000DC9F0000}"/>
    <cellStyle name="Normal 2 9 3 3 2 9" xfId="41207" xr:uid="{00000000-0005-0000-0000-0000DD9F0000}"/>
    <cellStyle name="Normal 2 9 3 3 3" xfId="41208" xr:uid="{00000000-0005-0000-0000-0000DE9F0000}"/>
    <cellStyle name="Normal 2 9 3 3 3 2" xfId="41209" xr:uid="{00000000-0005-0000-0000-0000DF9F0000}"/>
    <cellStyle name="Normal 2 9 3 3 3 2 2" xfId="41210" xr:uid="{00000000-0005-0000-0000-0000E09F0000}"/>
    <cellStyle name="Normal 2 9 3 3 3 2 3" xfId="41211" xr:uid="{00000000-0005-0000-0000-0000E19F0000}"/>
    <cellStyle name="Normal 2 9 3 3 3 2 4" xfId="41212" xr:uid="{00000000-0005-0000-0000-0000E29F0000}"/>
    <cellStyle name="Normal 2 9 3 3 3 2 5" xfId="41213" xr:uid="{00000000-0005-0000-0000-0000E39F0000}"/>
    <cellStyle name="Normal 2 9 3 3 3 3" xfId="41214" xr:uid="{00000000-0005-0000-0000-0000E49F0000}"/>
    <cellStyle name="Normal 2 9 3 3 3 4" xfId="41215" xr:uid="{00000000-0005-0000-0000-0000E59F0000}"/>
    <cellStyle name="Normal 2 9 3 3 3 5" xfId="41216" xr:uid="{00000000-0005-0000-0000-0000E69F0000}"/>
    <cellStyle name="Normal 2 9 3 3 3 6" xfId="41217" xr:uid="{00000000-0005-0000-0000-0000E79F0000}"/>
    <cellStyle name="Normal 2 9 3 3 3 7" xfId="41218" xr:uid="{00000000-0005-0000-0000-0000E89F0000}"/>
    <cellStyle name="Normal 2 9 3 3 3 8" xfId="41219" xr:uid="{00000000-0005-0000-0000-0000E99F0000}"/>
    <cellStyle name="Normal 2 9 3 3 4" xfId="41220" xr:uid="{00000000-0005-0000-0000-0000EA9F0000}"/>
    <cellStyle name="Normal 2 9 3 3 4 2" xfId="41221" xr:uid="{00000000-0005-0000-0000-0000EB9F0000}"/>
    <cellStyle name="Normal 2 9 3 3 4 2 2" xfId="41222" xr:uid="{00000000-0005-0000-0000-0000EC9F0000}"/>
    <cellStyle name="Normal 2 9 3 3 4 2 3" xfId="41223" xr:uid="{00000000-0005-0000-0000-0000ED9F0000}"/>
    <cellStyle name="Normal 2 9 3 3 4 2 4" xfId="41224" xr:uid="{00000000-0005-0000-0000-0000EE9F0000}"/>
    <cellStyle name="Normal 2 9 3 3 4 2 5" xfId="41225" xr:uid="{00000000-0005-0000-0000-0000EF9F0000}"/>
    <cellStyle name="Normal 2 9 3 3 4 3" xfId="41226" xr:uid="{00000000-0005-0000-0000-0000F09F0000}"/>
    <cellStyle name="Normal 2 9 3 3 4 4" xfId="41227" xr:uid="{00000000-0005-0000-0000-0000F19F0000}"/>
    <cellStyle name="Normal 2 9 3 3 4 5" xfId="41228" xr:uid="{00000000-0005-0000-0000-0000F29F0000}"/>
    <cellStyle name="Normal 2 9 3 3 4 6" xfId="41229" xr:uid="{00000000-0005-0000-0000-0000F39F0000}"/>
    <cellStyle name="Normal 2 9 3 3 4 7" xfId="41230" xr:uid="{00000000-0005-0000-0000-0000F49F0000}"/>
    <cellStyle name="Normal 2 9 3 3 4 8" xfId="41231" xr:uid="{00000000-0005-0000-0000-0000F59F0000}"/>
    <cellStyle name="Normal 2 9 3 3 5" xfId="41232" xr:uid="{00000000-0005-0000-0000-0000F69F0000}"/>
    <cellStyle name="Normal 2 9 3 3 5 2" xfId="41233" xr:uid="{00000000-0005-0000-0000-0000F79F0000}"/>
    <cellStyle name="Normal 2 9 3 3 5 3" xfId="41234" xr:uid="{00000000-0005-0000-0000-0000F89F0000}"/>
    <cellStyle name="Normal 2 9 3 3 5 4" xfId="41235" xr:uid="{00000000-0005-0000-0000-0000F99F0000}"/>
    <cellStyle name="Normal 2 9 3 3 5 5" xfId="41236" xr:uid="{00000000-0005-0000-0000-0000FA9F0000}"/>
    <cellStyle name="Normal 2 9 3 3 6" xfId="41237" xr:uid="{00000000-0005-0000-0000-0000FB9F0000}"/>
    <cellStyle name="Normal 2 9 3 3 7" xfId="41238" xr:uid="{00000000-0005-0000-0000-0000FC9F0000}"/>
    <cellStyle name="Normal 2 9 3 3 8" xfId="41239" xr:uid="{00000000-0005-0000-0000-0000FD9F0000}"/>
    <cellStyle name="Normal 2 9 3 3 9" xfId="41240" xr:uid="{00000000-0005-0000-0000-0000FE9F0000}"/>
    <cellStyle name="Normal 2 9 3 4" xfId="41241" xr:uid="{00000000-0005-0000-0000-0000FF9F0000}"/>
    <cellStyle name="Normal 2 9 3 4 10" xfId="41242" xr:uid="{00000000-0005-0000-0000-000000A00000}"/>
    <cellStyle name="Normal 2 9 3 4 2" xfId="41243" xr:uid="{00000000-0005-0000-0000-000001A00000}"/>
    <cellStyle name="Normal 2 9 3 4 2 2" xfId="41244" xr:uid="{00000000-0005-0000-0000-000002A00000}"/>
    <cellStyle name="Normal 2 9 3 4 2 2 2" xfId="41245" xr:uid="{00000000-0005-0000-0000-000003A00000}"/>
    <cellStyle name="Normal 2 9 3 4 2 2 3" xfId="41246" xr:uid="{00000000-0005-0000-0000-000004A00000}"/>
    <cellStyle name="Normal 2 9 3 4 2 2 4" xfId="41247" xr:uid="{00000000-0005-0000-0000-000005A00000}"/>
    <cellStyle name="Normal 2 9 3 4 2 2 5" xfId="41248" xr:uid="{00000000-0005-0000-0000-000006A00000}"/>
    <cellStyle name="Normal 2 9 3 4 2 3" xfId="41249" xr:uid="{00000000-0005-0000-0000-000007A00000}"/>
    <cellStyle name="Normal 2 9 3 4 2 4" xfId="41250" xr:uid="{00000000-0005-0000-0000-000008A00000}"/>
    <cellStyle name="Normal 2 9 3 4 2 5" xfId="41251" xr:uid="{00000000-0005-0000-0000-000009A00000}"/>
    <cellStyle name="Normal 2 9 3 4 2 6" xfId="41252" xr:uid="{00000000-0005-0000-0000-00000AA00000}"/>
    <cellStyle name="Normal 2 9 3 4 2 7" xfId="41253" xr:uid="{00000000-0005-0000-0000-00000BA00000}"/>
    <cellStyle name="Normal 2 9 3 4 2 8" xfId="41254" xr:uid="{00000000-0005-0000-0000-00000CA00000}"/>
    <cellStyle name="Normal 2 9 3 4 3" xfId="41255" xr:uid="{00000000-0005-0000-0000-00000DA00000}"/>
    <cellStyle name="Normal 2 9 3 4 3 2" xfId="41256" xr:uid="{00000000-0005-0000-0000-00000EA00000}"/>
    <cellStyle name="Normal 2 9 3 4 3 2 2" xfId="41257" xr:uid="{00000000-0005-0000-0000-00000FA00000}"/>
    <cellStyle name="Normal 2 9 3 4 3 2 3" xfId="41258" xr:uid="{00000000-0005-0000-0000-000010A00000}"/>
    <cellStyle name="Normal 2 9 3 4 3 2 4" xfId="41259" xr:uid="{00000000-0005-0000-0000-000011A00000}"/>
    <cellStyle name="Normal 2 9 3 4 3 2 5" xfId="41260" xr:uid="{00000000-0005-0000-0000-000012A00000}"/>
    <cellStyle name="Normal 2 9 3 4 3 3" xfId="41261" xr:uid="{00000000-0005-0000-0000-000013A00000}"/>
    <cellStyle name="Normal 2 9 3 4 3 4" xfId="41262" xr:uid="{00000000-0005-0000-0000-000014A00000}"/>
    <cellStyle name="Normal 2 9 3 4 3 5" xfId="41263" xr:uid="{00000000-0005-0000-0000-000015A00000}"/>
    <cellStyle name="Normal 2 9 3 4 3 6" xfId="41264" xr:uid="{00000000-0005-0000-0000-000016A00000}"/>
    <cellStyle name="Normal 2 9 3 4 3 7" xfId="41265" xr:uid="{00000000-0005-0000-0000-000017A00000}"/>
    <cellStyle name="Normal 2 9 3 4 3 8" xfId="41266" xr:uid="{00000000-0005-0000-0000-000018A00000}"/>
    <cellStyle name="Normal 2 9 3 4 4" xfId="41267" xr:uid="{00000000-0005-0000-0000-000019A00000}"/>
    <cellStyle name="Normal 2 9 3 4 4 2" xfId="41268" xr:uid="{00000000-0005-0000-0000-00001AA00000}"/>
    <cellStyle name="Normal 2 9 3 4 4 3" xfId="41269" xr:uid="{00000000-0005-0000-0000-00001BA00000}"/>
    <cellStyle name="Normal 2 9 3 4 4 4" xfId="41270" xr:uid="{00000000-0005-0000-0000-00001CA00000}"/>
    <cellStyle name="Normal 2 9 3 4 4 5" xfId="41271" xr:uid="{00000000-0005-0000-0000-00001DA00000}"/>
    <cellStyle name="Normal 2 9 3 4 5" xfId="41272" xr:uid="{00000000-0005-0000-0000-00001EA00000}"/>
    <cellStyle name="Normal 2 9 3 4 6" xfId="41273" xr:uid="{00000000-0005-0000-0000-00001FA00000}"/>
    <cellStyle name="Normal 2 9 3 4 7" xfId="41274" xr:uid="{00000000-0005-0000-0000-000020A00000}"/>
    <cellStyle name="Normal 2 9 3 4 8" xfId="41275" xr:uid="{00000000-0005-0000-0000-000021A00000}"/>
    <cellStyle name="Normal 2 9 3 4 9" xfId="41276" xr:uid="{00000000-0005-0000-0000-000022A00000}"/>
    <cellStyle name="Normal 2 9 3 5" xfId="41277" xr:uid="{00000000-0005-0000-0000-000023A00000}"/>
    <cellStyle name="Normal 2 9 3 5 2" xfId="41278" xr:uid="{00000000-0005-0000-0000-000024A00000}"/>
    <cellStyle name="Normal 2 9 3 5 2 2" xfId="41279" xr:uid="{00000000-0005-0000-0000-000025A00000}"/>
    <cellStyle name="Normal 2 9 3 5 2 3" xfId="41280" xr:uid="{00000000-0005-0000-0000-000026A00000}"/>
    <cellStyle name="Normal 2 9 3 5 2 4" xfId="41281" xr:uid="{00000000-0005-0000-0000-000027A00000}"/>
    <cellStyle name="Normal 2 9 3 5 2 5" xfId="41282" xr:uid="{00000000-0005-0000-0000-000028A00000}"/>
    <cellStyle name="Normal 2 9 3 5 3" xfId="41283" xr:uid="{00000000-0005-0000-0000-000029A00000}"/>
    <cellStyle name="Normal 2 9 3 5 4" xfId="41284" xr:uid="{00000000-0005-0000-0000-00002AA00000}"/>
    <cellStyle name="Normal 2 9 3 5 5" xfId="41285" xr:uid="{00000000-0005-0000-0000-00002BA00000}"/>
    <cellStyle name="Normal 2 9 3 5 6" xfId="41286" xr:uid="{00000000-0005-0000-0000-00002CA00000}"/>
    <cellStyle name="Normal 2 9 3 5 7" xfId="41287" xr:uid="{00000000-0005-0000-0000-00002DA00000}"/>
    <cellStyle name="Normal 2 9 3 5 8" xfId="41288" xr:uid="{00000000-0005-0000-0000-00002EA00000}"/>
    <cellStyle name="Normal 2 9 3 6" xfId="41289" xr:uid="{00000000-0005-0000-0000-00002FA00000}"/>
    <cellStyle name="Normal 2 9 3 6 2" xfId="41290" xr:uid="{00000000-0005-0000-0000-000030A00000}"/>
    <cellStyle name="Normal 2 9 3 6 2 2" xfId="41291" xr:uid="{00000000-0005-0000-0000-000031A00000}"/>
    <cellStyle name="Normal 2 9 3 6 2 3" xfId="41292" xr:uid="{00000000-0005-0000-0000-000032A00000}"/>
    <cellStyle name="Normal 2 9 3 6 2 4" xfId="41293" xr:uid="{00000000-0005-0000-0000-000033A00000}"/>
    <cellStyle name="Normal 2 9 3 6 2 5" xfId="41294" xr:uid="{00000000-0005-0000-0000-000034A00000}"/>
    <cellStyle name="Normal 2 9 3 6 3" xfId="41295" xr:uid="{00000000-0005-0000-0000-000035A00000}"/>
    <cellStyle name="Normal 2 9 3 6 4" xfId="41296" xr:uid="{00000000-0005-0000-0000-000036A00000}"/>
    <cellStyle name="Normal 2 9 3 6 5" xfId="41297" xr:uid="{00000000-0005-0000-0000-000037A00000}"/>
    <cellStyle name="Normal 2 9 3 6 6" xfId="41298" xr:uid="{00000000-0005-0000-0000-000038A00000}"/>
    <cellStyle name="Normal 2 9 3 6 7" xfId="41299" xr:uid="{00000000-0005-0000-0000-000039A00000}"/>
    <cellStyle name="Normal 2 9 3 6 8" xfId="41300" xr:uid="{00000000-0005-0000-0000-00003AA00000}"/>
    <cellStyle name="Normal 2 9 3 7" xfId="41301" xr:uid="{00000000-0005-0000-0000-00003BA00000}"/>
    <cellStyle name="Normal 2 9 3 7 2" xfId="41302" xr:uid="{00000000-0005-0000-0000-00003CA00000}"/>
    <cellStyle name="Normal 2 9 3 7 3" xfId="41303" xr:uid="{00000000-0005-0000-0000-00003DA00000}"/>
    <cellStyle name="Normal 2 9 3 7 4" xfId="41304" xr:uid="{00000000-0005-0000-0000-00003EA00000}"/>
    <cellStyle name="Normal 2 9 3 7 5" xfId="41305" xr:uid="{00000000-0005-0000-0000-00003FA00000}"/>
    <cellStyle name="Normal 2 9 3 8" xfId="41306" xr:uid="{00000000-0005-0000-0000-000040A00000}"/>
    <cellStyle name="Normal 2 9 3 9" xfId="41307" xr:uid="{00000000-0005-0000-0000-000041A00000}"/>
    <cellStyle name="Normal 2 9 4" xfId="894" xr:uid="{00000000-0005-0000-0000-000042A00000}"/>
    <cellStyle name="Normal 2 9 4 10" xfId="41308" xr:uid="{00000000-0005-0000-0000-000043A00000}"/>
    <cellStyle name="Normal 2 9 4 11" xfId="41309" xr:uid="{00000000-0005-0000-0000-000044A00000}"/>
    <cellStyle name="Normal 2 9 4 2" xfId="41310" xr:uid="{00000000-0005-0000-0000-000045A00000}"/>
    <cellStyle name="Normal 2 9 4 2 10" xfId="41311" xr:uid="{00000000-0005-0000-0000-000046A00000}"/>
    <cellStyle name="Normal 2 9 4 2 2" xfId="41312" xr:uid="{00000000-0005-0000-0000-000047A00000}"/>
    <cellStyle name="Normal 2 9 4 2 2 2" xfId="41313" xr:uid="{00000000-0005-0000-0000-000048A00000}"/>
    <cellStyle name="Normal 2 9 4 2 2 2 2" xfId="41314" xr:uid="{00000000-0005-0000-0000-000049A00000}"/>
    <cellStyle name="Normal 2 9 4 2 2 2 3" xfId="41315" xr:uid="{00000000-0005-0000-0000-00004AA00000}"/>
    <cellStyle name="Normal 2 9 4 2 2 2 4" xfId="41316" xr:uid="{00000000-0005-0000-0000-00004BA00000}"/>
    <cellStyle name="Normal 2 9 4 2 2 2 5" xfId="41317" xr:uid="{00000000-0005-0000-0000-00004CA00000}"/>
    <cellStyle name="Normal 2 9 4 2 2 3" xfId="41318" xr:uid="{00000000-0005-0000-0000-00004DA00000}"/>
    <cellStyle name="Normal 2 9 4 2 2 4" xfId="41319" xr:uid="{00000000-0005-0000-0000-00004EA00000}"/>
    <cellStyle name="Normal 2 9 4 2 2 5" xfId="41320" xr:uid="{00000000-0005-0000-0000-00004FA00000}"/>
    <cellStyle name="Normal 2 9 4 2 2 6" xfId="41321" xr:uid="{00000000-0005-0000-0000-000050A00000}"/>
    <cellStyle name="Normal 2 9 4 2 2 7" xfId="41322" xr:uid="{00000000-0005-0000-0000-000051A00000}"/>
    <cellStyle name="Normal 2 9 4 2 2 8" xfId="41323" xr:uid="{00000000-0005-0000-0000-000052A00000}"/>
    <cellStyle name="Normal 2 9 4 2 3" xfId="41324" xr:uid="{00000000-0005-0000-0000-000053A00000}"/>
    <cellStyle name="Normal 2 9 4 2 3 2" xfId="41325" xr:uid="{00000000-0005-0000-0000-000054A00000}"/>
    <cellStyle name="Normal 2 9 4 2 3 2 2" xfId="41326" xr:uid="{00000000-0005-0000-0000-000055A00000}"/>
    <cellStyle name="Normal 2 9 4 2 3 2 3" xfId="41327" xr:uid="{00000000-0005-0000-0000-000056A00000}"/>
    <cellStyle name="Normal 2 9 4 2 3 2 4" xfId="41328" xr:uid="{00000000-0005-0000-0000-000057A00000}"/>
    <cellStyle name="Normal 2 9 4 2 3 2 5" xfId="41329" xr:uid="{00000000-0005-0000-0000-000058A00000}"/>
    <cellStyle name="Normal 2 9 4 2 3 3" xfId="41330" xr:uid="{00000000-0005-0000-0000-000059A00000}"/>
    <cellStyle name="Normal 2 9 4 2 3 4" xfId="41331" xr:uid="{00000000-0005-0000-0000-00005AA00000}"/>
    <cellStyle name="Normal 2 9 4 2 3 5" xfId="41332" xr:uid="{00000000-0005-0000-0000-00005BA00000}"/>
    <cellStyle name="Normal 2 9 4 2 3 6" xfId="41333" xr:uid="{00000000-0005-0000-0000-00005CA00000}"/>
    <cellStyle name="Normal 2 9 4 2 3 7" xfId="41334" xr:uid="{00000000-0005-0000-0000-00005DA00000}"/>
    <cellStyle name="Normal 2 9 4 2 3 8" xfId="41335" xr:uid="{00000000-0005-0000-0000-00005EA00000}"/>
    <cellStyle name="Normal 2 9 4 2 4" xfId="41336" xr:uid="{00000000-0005-0000-0000-00005FA00000}"/>
    <cellStyle name="Normal 2 9 4 2 4 2" xfId="41337" xr:uid="{00000000-0005-0000-0000-000060A00000}"/>
    <cellStyle name="Normal 2 9 4 2 4 3" xfId="41338" xr:uid="{00000000-0005-0000-0000-000061A00000}"/>
    <cellStyle name="Normal 2 9 4 2 4 4" xfId="41339" xr:uid="{00000000-0005-0000-0000-000062A00000}"/>
    <cellStyle name="Normal 2 9 4 2 4 5" xfId="41340" xr:uid="{00000000-0005-0000-0000-000063A00000}"/>
    <cellStyle name="Normal 2 9 4 2 5" xfId="41341" xr:uid="{00000000-0005-0000-0000-000064A00000}"/>
    <cellStyle name="Normal 2 9 4 2 6" xfId="41342" xr:uid="{00000000-0005-0000-0000-000065A00000}"/>
    <cellStyle name="Normal 2 9 4 2 7" xfId="41343" xr:uid="{00000000-0005-0000-0000-000066A00000}"/>
    <cellStyle name="Normal 2 9 4 2 8" xfId="41344" xr:uid="{00000000-0005-0000-0000-000067A00000}"/>
    <cellStyle name="Normal 2 9 4 2 9" xfId="41345" xr:uid="{00000000-0005-0000-0000-000068A00000}"/>
    <cellStyle name="Normal 2 9 4 3" xfId="41346" xr:uid="{00000000-0005-0000-0000-000069A00000}"/>
    <cellStyle name="Normal 2 9 4 3 2" xfId="41347" xr:uid="{00000000-0005-0000-0000-00006AA00000}"/>
    <cellStyle name="Normal 2 9 4 3 2 2" xfId="41348" xr:uid="{00000000-0005-0000-0000-00006BA00000}"/>
    <cellStyle name="Normal 2 9 4 3 2 3" xfId="41349" xr:uid="{00000000-0005-0000-0000-00006CA00000}"/>
    <cellStyle name="Normal 2 9 4 3 2 4" xfId="41350" xr:uid="{00000000-0005-0000-0000-00006DA00000}"/>
    <cellStyle name="Normal 2 9 4 3 2 5" xfId="41351" xr:uid="{00000000-0005-0000-0000-00006EA00000}"/>
    <cellStyle name="Normal 2 9 4 3 3" xfId="41352" xr:uid="{00000000-0005-0000-0000-00006FA00000}"/>
    <cellStyle name="Normal 2 9 4 3 4" xfId="41353" xr:uid="{00000000-0005-0000-0000-000070A00000}"/>
    <cellStyle name="Normal 2 9 4 3 5" xfId="41354" xr:uid="{00000000-0005-0000-0000-000071A00000}"/>
    <cellStyle name="Normal 2 9 4 3 6" xfId="41355" xr:uid="{00000000-0005-0000-0000-000072A00000}"/>
    <cellStyle name="Normal 2 9 4 3 7" xfId="41356" xr:uid="{00000000-0005-0000-0000-000073A00000}"/>
    <cellStyle name="Normal 2 9 4 3 8" xfId="41357" xr:uid="{00000000-0005-0000-0000-000074A00000}"/>
    <cellStyle name="Normal 2 9 4 4" xfId="41358" xr:uid="{00000000-0005-0000-0000-000075A00000}"/>
    <cellStyle name="Normal 2 9 4 4 2" xfId="41359" xr:uid="{00000000-0005-0000-0000-000076A00000}"/>
    <cellStyle name="Normal 2 9 4 4 2 2" xfId="41360" xr:uid="{00000000-0005-0000-0000-000077A00000}"/>
    <cellStyle name="Normal 2 9 4 4 2 3" xfId="41361" xr:uid="{00000000-0005-0000-0000-000078A00000}"/>
    <cellStyle name="Normal 2 9 4 4 2 4" xfId="41362" xr:uid="{00000000-0005-0000-0000-000079A00000}"/>
    <cellStyle name="Normal 2 9 4 4 2 5" xfId="41363" xr:uid="{00000000-0005-0000-0000-00007AA00000}"/>
    <cellStyle name="Normal 2 9 4 4 3" xfId="41364" xr:uid="{00000000-0005-0000-0000-00007BA00000}"/>
    <cellStyle name="Normal 2 9 4 4 4" xfId="41365" xr:uid="{00000000-0005-0000-0000-00007CA00000}"/>
    <cellStyle name="Normal 2 9 4 4 5" xfId="41366" xr:uid="{00000000-0005-0000-0000-00007DA00000}"/>
    <cellStyle name="Normal 2 9 4 4 6" xfId="41367" xr:uid="{00000000-0005-0000-0000-00007EA00000}"/>
    <cellStyle name="Normal 2 9 4 4 7" xfId="41368" xr:uid="{00000000-0005-0000-0000-00007FA00000}"/>
    <cellStyle name="Normal 2 9 4 4 8" xfId="41369" xr:uid="{00000000-0005-0000-0000-000080A00000}"/>
    <cellStyle name="Normal 2 9 4 5" xfId="41370" xr:uid="{00000000-0005-0000-0000-000081A00000}"/>
    <cellStyle name="Normal 2 9 4 5 2" xfId="41371" xr:uid="{00000000-0005-0000-0000-000082A00000}"/>
    <cellStyle name="Normal 2 9 4 5 3" xfId="41372" xr:uid="{00000000-0005-0000-0000-000083A00000}"/>
    <cellStyle name="Normal 2 9 4 5 4" xfId="41373" xr:uid="{00000000-0005-0000-0000-000084A00000}"/>
    <cellStyle name="Normal 2 9 4 5 5" xfId="41374" xr:uid="{00000000-0005-0000-0000-000085A00000}"/>
    <cellStyle name="Normal 2 9 4 6" xfId="41375" xr:uid="{00000000-0005-0000-0000-000086A00000}"/>
    <cellStyle name="Normal 2 9 4 7" xfId="41376" xr:uid="{00000000-0005-0000-0000-000087A00000}"/>
    <cellStyle name="Normal 2 9 4 8" xfId="41377" xr:uid="{00000000-0005-0000-0000-000088A00000}"/>
    <cellStyle name="Normal 2 9 4 9" xfId="41378" xr:uid="{00000000-0005-0000-0000-000089A00000}"/>
    <cellStyle name="Normal 2 9 5" xfId="41379" xr:uid="{00000000-0005-0000-0000-00008AA00000}"/>
    <cellStyle name="Normal 2 9 5 10" xfId="41380" xr:uid="{00000000-0005-0000-0000-00008BA00000}"/>
    <cellStyle name="Normal 2 9 5 11" xfId="41381" xr:uid="{00000000-0005-0000-0000-00008CA00000}"/>
    <cellStyle name="Normal 2 9 5 2" xfId="41382" xr:uid="{00000000-0005-0000-0000-00008DA00000}"/>
    <cellStyle name="Normal 2 9 5 2 10" xfId="41383" xr:uid="{00000000-0005-0000-0000-00008EA00000}"/>
    <cellStyle name="Normal 2 9 5 2 2" xfId="41384" xr:uid="{00000000-0005-0000-0000-00008FA00000}"/>
    <cellStyle name="Normal 2 9 5 2 2 2" xfId="41385" xr:uid="{00000000-0005-0000-0000-000090A00000}"/>
    <cellStyle name="Normal 2 9 5 2 2 2 2" xfId="41386" xr:uid="{00000000-0005-0000-0000-000091A00000}"/>
    <cellStyle name="Normal 2 9 5 2 2 2 3" xfId="41387" xr:uid="{00000000-0005-0000-0000-000092A00000}"/>
    <cellStyle name="Normal 2 9 5 2 2 2 4" xfId="41388" xr:uid="{00000000-0005-0000-0000-000093A00000}"/>
    <cellStyle name="Normal 2 9 5 2 2 2 5" xfId="41389" xr:uid="{00000000-0005-0000-0000-000094A00000}"/>
    <cellStyle name="Normal 2 9 5 2 2 3" xfId="41390" xr:uid="{00000000-0005-0000-0000-000095A00000}"/>
    <cellStyle name="Normal 2 9 5 2 2 4" xfId="41391" xr:uid="{00000000-0005-0000-0000-000096A00000}"/>
    <cellStyle name="Normal 2 9 5 2 2 5" xfId="41392" xr:uid="{00000000-0005-0000-0000-000097A00000}"/>
    <cellStyle name="Normal 2 9 5 2 2 6" xfId="41393" xr:uid="{00000000-0005-0000-0000-000098A00000}"/>
    <cellStyle name="Normal 2 9 5 2 2 7" xfId="41394" xr:uid="{00000000-0005-0000-0000-000099A00000}"/>
    <cellStyle name="Normal 2 9 5 2 2 8" xfId="41395" xr:uid="{00000000-0005-0000-0000-00009AA00000}"/>
    <cellStyle name="Normal 2 9 5 2 3" xfId="41396" xr:uid="{00000000-0005-0000-0000-00009BA00000}"/>
    <cellStyle name="Normal 2 9 5 2 3 2" xfId="41397" xr:uid="{00000000-0005-0000-0000-00009CA00000}"/>
    <cellStyle name="Normal 2 9 5 2 3 2 2" xfId="41398" xr:uid="{00000000-0005-0000-0000-00009DA00000}"/>
    <cellStyle name="Normal 2 9 5 2 3 2 3" xfId="41399" xr:uid="{00000000-0005-0000-0000-00009EA00000}"/>
    <cellStyle name="Normal 2 9 5 2 3 2 4" xfId="41400" xr:uid="{00000000-0005-0000-0000-00009FA00000}"/>
    <cellStyle name="Normal 2 9 5 2 3 2 5" xfId="41401" xr:uid="{00000000-0005-0000-0000-0000A0A00000}"/>
    <cellStyle name="Normal 2 9 5 2 3 3" xfId="41402" xr:uid="{00000000-0005-0000-0000-0000A1A00000}"/>
    <cellStyle name="Normal 2 9 5 2 3 4" xfId="41403" xr:uid="{00000000-0005-0000-0000-0000A2A00000}"/>
    <cellStyle name="Normal 2 9 5 2 3 5" xfId="41404" xr:uid="{00000000-0005-0000-0000-0000A3A00000}"/>
    <cellStyle name="Normal 2 9 5 2 3 6" xfId="41405" xr:uid="{00000000-0005-0000-0000-0000A4A00000}"/>
    <cellStyle name="Normal 2 9 5 2 3 7" xfId="41406" xr:uid="{00000000-0005-0000-0000-0000A5A00000}"/>
    <cellStyle name="Normal 2 9 5 2 3 8" xfId="41407" xr:uid="{00000000-0005-0000-0000-0000A6A00000}"/>
    <cellStyle name="Normal 2 9 5 2 4" xfId="41408" xr:uid="{00000000-0005-0000-0000-0000A7A00000}"/>
    <cellStyle name="Normal 2 9 5 2 4 2" xfId="41409" xr:uid="{00000000-0005-0000-0000-0000A8A00000}"/>
    <cellStyle name="Normal 2 9 5 2 4 3" xfId="41410" xr:uid="{00000000-0005-0000-0000-0000A9A00000}"/>
    <cellStyle name="Normal 2 9 5 2 4 4" xfId="41411" xr:uid="{00000000-0005-0000-0000-0000AAA00000}"/>
    <cellStyle name="Normal 2 9 5 2 4 5" xfId="41412" xr:uid="{00000000-0005-0000-0000-0000ABA00000}"/>
    <cellStyle name="Normal 2 9 5 2 5" xfId="41413" xr:uid="{00000000-0005-0000-0000-0000ACA00000}"/>
    <cellStyle name="Normal 2 9 5 2 6" xfId="41414" xr:uid="{00000000-0005-0000-0000-0000ADA00000}"/>
    <cellStyle name="Normal 2 9 5 2 7" xfId="41415" xr:uid="{00000000-0005-0000-0000-0000AEA00000}"/>
    <cellStyle name="Normal 2 9 5 2 8" xfId="41416" xr:uid="{00000000-0005-0000-0000-0000AFA00000}"/>
    <cellStyle name="Normal 2 9 5 2 9" xfId="41417" xr:uid="{00000000-0005-0000-0000-0000B0A00000}"/>
    <cellStyle name="Normal 2 9 5 3" xfId="41418" xr:uid="{00000000-0005-0000-0000-0000B1A00000}"/>
    <cellStyle name="Normal 2 9 5 3 2" xfId="41419" xr:uid="{00000000-0005-0000-0000-0000B2A00000}"/>
    <cellStyle name="Normal 2 9 5 3 2 2" xfId="41420" xr:uid="{00000000-0005-0000-0000-0000B3A00000}"/>
    <cellStyle name="Normal 2 9 5 3 2 3" xfId="41421" xr:uid="{00000000-0005-0000-0000-0000B4A00000}"/>
    <cellStyle name="Normal 2 9 5 3 2 4" xfId="41422" xr:uid="{00000000-0005-0000-0000-0000B5A00000}"/>
    <cellStyle name="Normal 2 9 5 3 2 5" xfId="41423" xr:uid="{00000000-0005-0000-0000-0000B6A00000}"/>
    <cellStyle name="Normal 2 9 5 3 3" xfId="41424" xr:uid="{00000000-0005-0000-0000-0000B7A00000}"/>
    <cellStyle name="Normal 2 9 5 3 4" xfId="41425" xr:uid="{00000000-0005-0000-0000-0000B8A00000}"/>
    <cellStyle name="Normal 2 9 5 3 5" xfId="41426" xr:uid="{00000000-0005-0000-0000-0000B9A00000}"/>
    <cellStyle name="Normal 2 9 5 3 6" xfId="41427" xr:uid="{00000000-0005-0000-0000-0000BAA00000}"/>
    <cellStyle name="Normal 2 9 5 3 7" xfId="41428" xr:uid="{00000000-0005-0000-0000-0000BBA00000}"/>
    <cellStyle name="Normal 2 9 5 3 8" xfId="41429" xr:uid="{00000000-0005-0000-0000-0000BCA00000}"/>
    <cellStyle name="Normal 2 9 5 4" xfId="41430" xr:uid="{00000000-0005-0000-0000-0000BDA00000}"/>
    <cellStyle name="Normal 2 9 5 4 2" xfId="41431" xr:uid="{00000000-0005-0000-0000-0000BEA00000}"/>
    <cellStyle name="Normal 2 9 5 4 2 2" xfId="41432" xr:uid="{00000000-0005-0000-0000-0000BFA00000}"/>
    <cellStyle name="Normal 2 9 5 4 2 3" xfId="41433" xr:uid="{00000000-0005-0000-0000-0000C0A00000}"/>
    <cellStyle name="Normal 2 9 5 4 2 4" xfId="41434" xr:uid="{00000000-0005-0000-0000-0000C1A00000}"/>
    <cellStyle name="Normal 2 9 5 4 2 5" xfId="41435" xr:uid="{00000000-0005-0000-0000-0000C2A00000}"/>
    <cellStyle name="Normal 2 9 5 4 3" xfId="41436" xr:uid="{00000000-0005-0000-0000-0000C3A00000}"/>
    <cellStyle name="Normal 2 9 5 4 4" xfId="41437" xr:uid="{00000000-0005-0000-0000-0000C4A00000}"/>
    <cellStyle name="Normal 2 9 5 4 5" xfId="41438" xr:uid="{00000000-0005-0000-0000-0000C5A00000}"/>
    <cellStyle name="Normal 2 9 5 4 6" xfId="41439" xr:uid="{00000000-0005-0000-0000-0000C6A00000}"/>
    <cellStyle name="Normal 2 9 5 4 7" xfId="41440" xr:uid="{00000000-0005-0000-0000-0000C7A00000}"/>
    <cellStyle name="Normal 2 9 5 4 8" xfId="41441" xr:uid="{00000000-0005-0000-0000-0000C8A00000}"/>
    <cellStyle name="Normal 2 9 5 5" xfId="41442" xr:uid="{00000000-0005-0000-0000-0000C9A00000}"/>
    <cellStyle name="Normal 2 9 5 5 2" xfId="41443" xr:uid="{00000000-0005-0000-0000-0000CAA00000}"/>
    <cellStyle name="Normal 2 9 5 5 3" xfId="41444" xr:uid="{00000000-0005-0000-0000-0000CBA00000}"/>
    <cellStyle name="Normal 2 9 5 5 4" xfId="41445" xr:uid="{00000000-0005-0000-0000-0000CCA00000}"/>
    <cellStyle name="Normal 2 9 5 5 5" xfId="41446" xr:uid="{00000000-0005-0000-0000-0000CDA00000}"/>
    <cellStyle name="Normal 2 9 5 6" xfId="41447" xr:uid="{00000000-0005-0000-0000-0000CEA00000}"/>
    <cellStyle name="Normal 2 9 5 7" xfId="41448" xr:uid="{00000000-0005-0000-0000-0000CFA00000}"/>
    <cellStyle name="Normal 2 9 5 8" xfId="41449" xr:uid="{00000000-0005-0000-0000-0000D0A00000}"/>
    <cellStyle name="Normal 2 9 5 9" xfId="41450" xr:uid="{00000000-0005-0000-0000-0000D1A00000}"/>
    <cellStyle name="Normal 2 9 6" xfId="41451" xr:uid="{00000000-0005-0000-0000-0000D2A00000}"/>
    <cellStyle name="Normal 2 9 6 10" xfId="41452" xr:uid="{00000000-0005-0000-0000-0000D3A00000}"/>
    <cellStyle name="Normal 2 9 6 2" xfId="41453" xr:uid="{00000000-0005-0000-0000-0000D4A00000}"/>
    <cellStyle name="Normal 2 9 6 2 2" xfId="41454" xr:uid="{00000000-0005-0000-0000-0000D5A00000}"/>
    <cellStyle name="Normal 2 9 6 2 2 2" xfId="41455" xr:uid="{00000000-0005-0000-0000-0000D6A00000}"/>
    <cellStyle name="Normal 2 9 6 2 2 3" xfId="41456" xr:uid="{00000000-0005-0000-0000-0000D7A00000}"/>
    <cellStyle name="Normal 2 9 6 2 2 4" xfId="41457" xr:uid="{00000000-0005-0000-0000-0000D8A00000}"/>
    <cellStyle name="Normal 2 9 6 2 2 5" xfId="41458" xr:uid="{00000000-0005-0000-0000-0000D9A00000}"/>
    <cellStyle name="Normal 2 9 6 2 3" xfId="41459" xr:uid="{00000000-0005-0000-0000-0000DAA00000}"/>
    <cellStyle name="Normal 2 9 6 2 4" xfId="41460" xr:uid="{00000000-0005-0000-0000-0000DBA00000}"/>
    <cellStyle name="Normal 2 9 6 2 5" xfId="41461" xr:uid="{00000000-0005-0000-0000-0000DCA00000}"/>
    <cellStyle name="Normal 2 9 6 2 6" xfId="41462" xr:uid="{00000000-0005-0000-0000-0000DDA00000}"/>
    <cellStyle name="Normal 2 9 6 2 7" xfId="41463" xr:uid="{00000000-0005-0000-0000-0000DEA00000}"/>
    <cellStyle name="Normal 2 9 6 2 8" xfId="41464" xr:uid="{00000000-0005-0000-0000-0000DFA00000}"/>
    <cellStyle name="Normal 2 9 6 3" xfId="41465" xr:uid="{00000000-0005-0000-0000-0000E0A00000}"/>
    <cellStyle name="Normal 2 9 6 3 2" xfId="41466" xr:uid="{00000000-0005-0000-0000-0000E1A00000}"/>
    <cellStyle name="Normal 2 9 6 3 2 2" xfId="41467" xr:uid="{00000000-0005-0000-0000-0000E2A00000}"/>
    <cellStyle name="Normal 2 9 6 3 2 3" xfId="41468" xr:uid="{00000000-0005-0000-0000-0000E3A00000}"/>
    <cellStyle name="Normal 2 9 6 3 2 4" xfId="41469" xr:uid="{00000000-0005-0000-0000-0000E4A00000}"/>
    <cellStyle name="Normal 2 9 6 3 2 5" xfId="41470" xr:uid="{00000000-0005-0000-0000-0000E5A00000}"/>
    <cellStyle name="Normal 2 9 6 3 3" xfId="41471" xr:uid="{00000000-0005-0000-0000-0000E6A00000}"/>
    <cellStyle name="Normal 2 9 6 3 4" xfId="41472" xr:uid="{00000000-0005-0000-0000-0000E7A00000}"/>
    <cellStyle name="Normal 2 9 6 3 5" xfId="41473" xr:uid="{00000000-0005-0000-0000-0000E8A00000}"/>
    <cellStyle name="Normal 2 9 6 3 6" xfId="41474" xr:uid="{00000000-0005-0000-0000-0000E9A00000}"/>
    <cellStyle name="Normal 2 9 6 3 7" xfId="41475" xr:uid="{00000000-0005-0000-0000-0000EAA00000}"/>
    <cellStyle name="Normal 2 9 6 3 8" xfId="41476" xr:uid="{00000000-0005-0000-0000-0000EBA00000}"/>
    <cellStyle name="Normal 2 9 6 4" xfId="41477" xr:uid="{00000000-0005-0000-0000-0000ECA00000}"/>
    <cellStyle name="Normal 2 9 6 4 2" xfId="41478" xr:uid="{00000000-0005-0000-0000-0000EDA00000}"/>
    <cellStyle name="Normal 2 9 6 4 3" xfId="41479" xr:uid="{00000000-0005-0000-0000-0000EEA00000}"/>
    <cellStyle name="Normal 2 9 6 4 4" xfId="41480" xr:uid="{00000000-0005-0000-0000-0000EFA00000}"/>
    <cellStyle name="Normal 2 9 6 4 5" xfId="41481" xr:uid="{00000000-0005-0000-0000-0000F0A00000}"/>
    <cellStyle name="Normal 2 9 6 5" xfId="41482" xr:uid="{00000000-0005-0000-0000-0000F1A00000}"/>
    <cellStyle name="Normal 2 9 6 6" xfId="41483" xr:uid="{00000000-0005-0000-0000-0000F2A00000}"/>
    <cellStyle name="Normal 2 9 6 7" xfId="41484" xr:uid="{00000000-0005-0000-0000-0000F3A00000}"/>
    <cellStyle name="Normal 2 9 6 8" xfId="41485" xr:uid="{00000000-0005-0000-0000-0000F4A00000}"/>
    <cellStyle name="Normal 2 9 6 9" xfId="41486" xr:uid="{00000000-0005-0000-0000-0000F5A00000}"/>
    <cellStyle name="Normal 2 9 7" xfId="41487" xr:uid="{00000000-0005-0000-0000-0000F6A00000}"/>
    <cellStyle name="Normal 2 9 7 2" xfId="41488" xr:uid="{00000000-0005-0000-0000-0000F7A00000}"/>
    <cellStyle name="Normal 2 9 7 2 2" xfId="41489" xr:uid="{00000000-0005-0000-0000-0000F8A00000}"/>
    <cellStyle name="Normal 2 9 7 2 3" xfId="41490" xr:uid="{00000000-0005-0000-0000-0000F9A00000}"/>
    <cellStyle name="Normal 2 9 7 2 4" xfId="41491" xr:uid="{00000000-0005-0000-0000-0000FAA00000}"/>
    <cellStyle name="Normal 2 9 7 2 5" xfId="41492" xr:uid="{00000000-0005-0000-0000-0000FBA00000}"/>
    <cellStyle name="Normal 2 9 7 3" xfId="41493" xr:uid="{00000000-0005-0000-0000-0000FCA00000}"/>
    <cellStyle name="Normal 2 9 7 4" xfId="41494" xr:uid="{00000000-0005-0000-0000-0000FDA00000}"/>
    <cellStyle name="Normal 2 9 7 5" xfId="41495" xr:uid="{00000000-0005-0000-0000-0000FEA00000}"/>
    <cellStyle name="Normal 2 9 7 6" xfId="41496" xr:uid="{00000000-0005-0000-0000-0000FFA00000}"/>
    <cellStyle name="Normal 2 9 7 7" xfId="41497" xr:uid="{00000000-0005-0000-0000-000000A10000}"/>
    <cellStyle name="Normal 2 9 7 8" xfId="41498" xr:uid="{00000000-0005-0000-0000-000001A10000}"/>
    <cellStyle name="Normal 2 9 8" xfId="41499" xr:uid="{00000000-0005-0000-0000-000002A10000}"/>
    <cellStyle name="Normal 2 9 8 2" xfId="41500" xr:uid="{00000000-0005-0000-0000-000003A10000}"/>
    <cellStyle name="Normal 2 9 8 2 2" xfId="41501" xr:uid="{00000000-0005-0000-0000-000004A10000}"/>
    <cellStyle name="Normal 2 9 8 2 3" xfId="41502" xr:uid="{00000000-0005-0000-0000-000005A10000}"/>
    <cellStyle name="Normal 2 9 8 2 4" xfId="41503" xr:uid="{00000000-0005-0000-0000-000006A10000}"/>
    <cellStyle name="Normal 2 9 8 2 5" xfId="41504" xr:uid="{00000000-0005-0000-0000-000007A10000}"/>
    <cellStyle name="Normal 2 9 8 3" xfId="41505" xr:uid="{00000000-0005-0000-0000-000008A10000}"/>
    <cellStyle name="Normal 2 9 8 4" xfId="41506" xr:uid="{00000000-0005-0000-0000-000009A10000}"/>
    <cellStyle name="Normal 2 9 8 5" xfId="41507" xr:uid="{00000000-0005-0000-0000-00000AA10000}"/>
    <cellStyle name="Normal 2 9 8 6" xfId="41508" xr:uid="{00000000-0005-0000-0000-00000BA10000}"/>
    <cellStyle name="Normal 2 9 8 7" xfId="41509" xr:uid="{00000000-0005-0000-0000-00000CA10000}"/>
    <cellStyle name="Normal 2 9 8 8" xfId="41510" xr:uid="{00000000-0005-0000-0000-00000DA10000}"/>
    <cellStyle name="Normal 2 9 9" xfId="41511" xr:uid="{00000000-0005-0000-0000-00000EA10000}"/>
    <cellStyle name="Normal 2 9 9 2" xfId="41512" xr:uid="{00000000-0005-0000-0000-00000FA10000}"/>
    <cellStyle name="Normal 2 9 9 3" xfId="41513" xr:uid="{00000000-0005-0000-0000-000010A10000}"/>
    <cellStyle name="Normal 2 9 9 4" xfId="41514" xr:uid="{00000000-0005-0000-0000-000011A10000}"/>
    <cellStyle name="Normal 2 9 9 5" xfId="41515" xr:uid="{00000000-0005-0000-0000-000012A10000}"/>
    <cellStyle name="Normal 2_1-BOQ." xfId="895" xr:uid="{00000000-0005-0000-0000-000013A10000}"/>
    <cellStyle name="Normal 20" xfId="896" xr:uid="{00000000-0005-0000-0000-000014A10000}"/>
    <cellStyle name="Normal 20 2" xfId="897" xr:uid="{00000000-0005-0000-0000-000015A10000}"/>
    <cellStyle name="Normal 21" xfId="898" xr:uid="{00000000-0005-0000-0000-000016A10000}"/>
    <cellStyle name="Normal 21 2" xfId="899" xr:uid="{00000000-0005-0000-0000-000017A10000}"/>
    <cellStyle name="Normal 21 3" xfId="41516" xr:uid="{00000000-0005-0000-0000-000018A10000}"/>
    <cellStyle name="Normal 22" xfId="900" xr:uid="{00000000-0005-0000-0000-000019A10000}"/>
    <cellStyle name="Normal 22 2" xfId="41517" xr:uid="{00000000-0005-0000-0000-00001AA10000}"/>
    <cellStyle name="Normal 22 2 2" xfId="41518" xr:uid="{00000000-0005-0000-0000-00001BA10000}"/>
    <cellStyle name="Normal 22 3" xfId="41519" xr:uid="{00000000-0005-0000-0000-00001CA10000}"/>
    <cellStyle name="Normal 22_METODOLOGI" xfId="41520" xr:uid="{00000000-0005-0000-0000-00001DA10000}"/>
    <cellStyle name="Normal 23" xfId="901" xr:uid="{00000000-0005-0000-0000-00001EA10000}"/>
    <cellStyle name="Normal 23 2" xfId="902" xr:uid="{00000000-0005-0000-0000-00001FA10000}"/>
    <cellStyle name="Normal 23 2 2" xfId="42643" xr:uid="{00000000-0005-0000-0000-000020A10000}"/>
    <cellStyle name="Normal 24" xfId="903" xr:uid="{00000000-0005-0000-0000-000021A10000}"/>
    <cellStyle name="Normal 24 2" xfId="904" xr:uid="{00000000-0005-0000-0000-000022A10000}"/>
    <cellStyle name="Normal 24 3" xfId="905" xr:uid="{00000000-0005-0000-0000-000023A10000}"/>
    <cellStyle name="Normal 24 3 2" xfId="906" xr:uid="{00000000-0005-0000-0000-000024A10000}"/>
    <cellStyle name="Normal 25" xfId="907" xr:uid="{00000000-0005-0000-0000-000025A10000}"/>
    <cellStyle name="Normal 26" xfId="908" xr:uid="{00000000-0005-0000-0000-000026A10000}"/>
    <cellStyle name="Normal 26 2" xfId="41521" xr:uid="{00000000-0005-0000-0000-000027A10000}"/>
    <cellStyle name="Normal 27" xfId="909" xr:uid="{00000000-0005-0000-0000-000028A10000}"/>
    <cellStyle name="Normal 28" xfId="910" xr:uid="{00000000-0005-0000-0000-000029A10000}"/>
    <cellStyle name="Normal 28 2" xfId="911" xr:uid="{00000000-0005-0000-0000-00002AA10000}"/>
    <cellStyle name="Normal 28 2 2" xfId="912" xr:uid="{00000000-0005-0000-0000-00002BA10000}"/>
    <cellStyle name="Normal 29" xfId="913" xr:uid="{00000000-0005-0000-0000-00002CA10000}"/>
    <cellStyle name="Normal 3" xfId="914" xr:uid="{00000000-0005-0000-0000-00002DA10000}"/>
    <cellStyle name="Normal 3 10" xfId="915" xr:uid="{00000000-0005-0000-0000-00002EA10000}"/>
    <cellStyle name="Normal 3 11" xfId="916" xr:uid="{00000000-0005-0000-0000-00002FA10000}"/>
    <cellStyle name="Normal 3 12" xfId="917" xr:uid="{00000000-0005-0000-0000-000030A10000}"/>
    <cellStyle name="Normal 3 13" xfId="41522" xr:uid="{00000000-0005-0000-0000-000031A10000}"/>
    <cellStyle name="Normal 3 14" xfId="41523" xr:uid="{00000000-0005-0000-0000-000032A10000}"/>
    <cellStyle name="Normal 3 15" xfId="41524" xr:uid="{00000000-0005-0000-0000-000033A10000}"/>
    <cellStyle name="Normal 3 16" xfId="41525" xr:uid="{00000000-0005-0000-0000-000034A10000}"/>
    <cellStyle name="Normal 3 17" xfId="41526" xr:uid="{00000000-0005-0000-0000-000035A10000}"/>
    <cellStyle name="Normal 3 18" xfId="41527" xr:uid="{00000000-0005-0000-0000-000036A10000}"/>
    <cellStyle name="Normal 3 19" xfId="41528" xr:uid="{00000000-0005-0000-0000-000037A10000}"/>
    <cellStyle name="Normal 3 2" xfId="918" xr:uid="{00000000-0005-0000-0000-000038A10000}"/>
    <cellStyle name="Normal 3 2 2" xfId="919" xr:uid="{00000000-0005-0000-0000-000039A10000}"/>
    <cellStyle name="Normal 3 2 2 2" xfId="920" xr:uid="{00000000-0005-0000-0000-00003AA10000}"/>
    <cellStyle name="Normal 3 2 2 3" xfId="921" xr:uid="{00000000-0005-0000-0000-00003BA10000}"/>
    <cellStyle name="Normal 3 2 2 4" xfId="922" xr:uid="{00000000-0005-0000-0000-00003CA10000}"/>
    <cellStyle name="Normal 3 2 3" xfId="923" xr:uid="{00000000-0005-0000-0000-00003DA10000}"/>
    <cellStyle name="Normal 3 2 3 2" xfId="924" xr:uid="{00000000-0005-0000-0000-00003EA10000}"/>
    <cellStyle name="Normal 3 2 3 3" xfId="925" xr:uid="{00000000-0005-0000-0000-00003FA10000}"/>
    <cellStyle name="Normal 3 2 3 4" xfId="926" xr:uid="{00000000-0005-0000-0000-000040A10000}"/>
    <cellStyle name="Normal 3 2 4" xfId="927" xr:uid="{00000000-0005-0000-0000-000041A10000}"/>
    <cellStyle name="Normal 3 2 5" xfId="928" xr:uid="{00000000-0005-0000-0000-000042A10000}"/>
    <cellStyle name="Normal 3 2 6" xfId="929" xr:uid="{00000000-0005-0000-0000-000043A10000}"/>
    <cellStyle name="Normal 3 2 7" xfId="930" xr:uid="{00000000-0005-0000-0000-000044A10000}"/>
    <cellStyle name="Normal 3 2 8" xfId="931" xr:uid="{00000000-0005-0000-0000-000045A10000}"/>
    <cellStyle name="Normal 3 2_1-BOQ." xfId="932" xr:uid="{00000000-0005-0000-0000-000046A10000}"/>
    <cellStyle name="Normal 3 20" xfId="41529" xr:uid="{00000000-0005-0000-0000-000047A10000}"/>
    <cellStyle name="Normal 3 21" xfId="41530" xr:uid="{00000000-0005-0000-0000-000048A10000}"/>
    <cellStyle name="Normal 3 3" xfId="933" xr:uid="{00000000-0005-0000-0000-000049A10000}"/>
    <cellStyle name="Normal 3 3 2" xfId="934" xr:uid="{00000000-0005-0000-0000-00004AA10000}"/>
    <cellStyle name="Normal 3 3 3" xfId="935" xr:uid="{00000000-0005-0000-0000-00004BA10000}"/>
    <cellStyle name="Normal 3 3 4" xfId="936" xr:uid="{00000000-0005-0000-0000-00004CA10000}"/>
    <cellStyle name="Normal 3 3 5" xfId="937" xr:uid="{00000000-0005-0000-0000-00004DA10000}"/>
    <cellStyle name="Normal 3 3 6" xfId="41531" xr:uid="{00000000-0005-0000-0000-00004EA10000}"/>
    <cellStyle name="Normal 3 4" xfId="938" xr:uid="{00000000-0005-0000-0000-00004FA10000}"/>
    <cellStyle name="Normal 3 4 2" xfId="939" xr:uid="{00000000-0005-0000-0000-000050A10000}"/>
    <cellStyle name="Normal 3 4 3" xfId="940" xr:uid="{00000000-0005-0000-0000-000051A10000}"/>
    <cellStyle name="Normal 3 4 4" xfId="941" xr:uid="{00000000-0005-0000-0000-000052A10000}"/>
    <cellStyle name="Normal 3 4 5" xfId="942" xr:uid="{00000000-0005-0000-0000-000053A10000}"/>
    <cellStyle name="Normal 3 5" xfId="943" xr:uid="{00000000-0005-0000-0000-000054A10000}"/>
    <cellStyle name="Normal 3 6" xfId="944" xr:uid="{00000000-0005-0000-0000-000055A10000}"/>
    <cellStyle name="Normal 3 6 2" xfId="41532" xr:uid="{00000000-0005-0000-0000-000056A10000}"/>
    <cellStyle name="Normal 3 7" xfId="945" xr:uid="{00000000-0005-0000-0000-000057A10000}"/>
    <cellStyle name="Normal 3 8" xfId="946" xr:uid="{00000000-0005-0000-0000-000058A10000}"/>
    <cellStyle name="Normal 3 9" xfId="947" xr:uid="{00000000-0005-0000-0000-000059A10000}"/>
    <cellStyle name="Normal 3_1-BOQ." xfId="948" xr:uid="{00000000-0005-0000-0000-00005AA10000}"/>
    <cellStyle name="Normal 30" xfId="949" xr:uid="{00000000-0005-0000-0000-00005BA10000}"/>
    <cellStyle name="Normal 31" xfId="950" xr:uid="{00000000-0005-0000-0000-00005CA10000}"/>
    <cellStyle name="Normal 32" xfId="951" xr:uid="{00000000-0005-0000-0000-00005DA10000}"/>
    <cellStyle name="Normal 33" xfId="952" xr:uid="{00000000-0005-0000-0000-00005EA10000}"/>
    <cellStyle name="Normal 33 2" xfId="41533" xr:uid="{00000000-0005-0000-0000-00005FA10000}"/>
    <cellStyle name="Normal 34" xfId="953" xr:uid="{00000000-0005-0000-0000-000060A10000}"/>
    <cellStyle name="Normal 35" xfId="954" xr:uid="{00000000-0005-0000-0000-000061A10000}"/>
    <cellStyle name="Normal 35 2" xfId="41534" xr:uid="{00000000-0005-0000-0000-000062A10000}"/>
    <cellStyle name="Normal 36" xfId="955" xr:uid="{00000000-0005-0000-0000-000063A10000}"/>
    <cellStyle name="Normal 36 2" xfId="956" xr:uid="{00000000-0005-0000-0000-000064A10000}"/>
    <cellStyle name="Normal 37" xfId="957" xr:uid="{00000000-0005-0000-0000-000065A10000}"/>
    <cellStyle name="Normal 37 2" xfId="41535" xr:uid="{00000000-0005-0000-0000-000066A10000}"/>
    <cellStyle name="Normal 38" xfId="958" xr:uid="{00000000-0005-0000-0000-000067A10000}"/>
    <cellStyle name="Normal 39" xfId="959" xr:uid="{00000000-0005-0000-0000-000068A10000}"/>
    <cellStyle name="Normal 39 10" xfId="41536" xr:uid="{00000000-0005-0000-0000-000069A10000}"/>
    <cellStyle name="Normal 39 11" xfId="41537" xr:uid="{00000000-0005-0000-0000-00006AA10000}"/>
    <cellStyle name="Normal 39 2" xfId="41538" xr:uid="{00000000-0005-0000-0000-00006BA10000}"/>
    <cellStyle name="Normal 39 2 2" xfId="41539" xr:uid="{00000000-0005-0000-0000-00006CA10000}"/>
    <cellStyle name="Normal 39 3" xfId="41540" xr:uid="{00000000-0005-0000-0000-00006DA10000}"/>
    <cellStyle name="Normal 39 3 2" xfId="41541" xr:uid="{00000000-0005-0000-0000-00006EA10000}"/>
    <cellStyle name="Normal 39 4" xfId="41542" xr:uid="{00000000-0005-0000-0000-00006FA10000}"/>
    <cellStyle name="Normal 39 4 2" xfId="41543" xr:uid="{00000000-0005-0000-0000-000070A10000}"/>
    <cellStyle name="Normal 39 5" xfId="41544" xr:uid="{00000000-0005-0000-0000-000071A10000}"/>
    <cellStyle name="Normal 39 5 2" xfId="41545" xr:uid="{00000000-0005-0000-0000-000072A10000}"/>
    <cellStyle name="Normal 39 6" xfId="41546" xr:uid="{00000000-0005-0000-0000-000073A10000}"/>
    <cellStyle name="Normal 39 7" xfId="41547" xr:uid="{00000000-0005-0000-0000-000074A10000}"/>
    <cellStyle name="Normal 39 8" xfId="41548" xr:uid="{00000000-0005-0000-0000-000075A10000}"/>
    <cellStyle name="Normal 39 8 2" xfId="41549" xr:uid="{00000000-0005-0000-0000-000076A10000}"/>
    <cellStyle name="Normal 39 9" xfId="41550" xr:uid="{00000000-0005-0000-0000-000077A10000}"/>
    <cellStyle name="Normal 4" xfId="960" xr:uid="{00000000-0005-0000-0000-000078A10000}"/>
    <cellStyle name="Normal 4 10" xfId="41551" xr:uid="{00000000-0005-0000-0000-000079A10000}"/>
    <cellStyle name="Normal 4 11" xfId="41552" xr:uid="{00000000-0005-0000-0000-00007AA10000}"/>
    <cellStyle name="Normal 4 12" xfId="41553" xr:uid="{00000000-0005-0000-0000-00007BA10000}"/>
    <cellStyle name="Normal 4 13" xfId="41554" xr:uid="{00000000-0005-0000-0000-00007CA10000}"/>
    <cellStyle name="Normal 4 14" xfId="41555" xr:uid="{00000000-0005-0000-0000-00007DA10000}"/>
    <cellStyle name="Normal 4 15" xfId="41556" xr:uid="{00000000-0005-0000-0000-00007EA10000}"/>
    <cellStyle name="Normal 4 16" xfId="41557" xr:uid="{00000000-0005-0000-0000-00007FA10000}"/>
    <cellStyle name="Normal 4 17" xfId="41558" xr:uid="{00000000-0005-0000-0000-000080A10000}"/>
    <cellStyle name="Normal 4 18" xfId="41559" xr:uid="{00000000-0005-0000-0000-000081A10000}"/>
    <cellStyle name="Normal 4 19" xfId="41560" xr:uid="{00000000-0005-0000-0000-000082A10000}"/>
    <cellStyle name="Normal 4 2" xfId="961" xr:uid="{00000000-0005-0000-0000-000083A10000}"/>
    <cellStyle name="Normal 4 2 2" xfId="962" xr:uid="{00000000-0005-0000-0000-000084A10000}"/>
    <cellStyle name="Normal 4 2 3" xfId="963" xr:uid="{00000000-0005-0000-0000-000085A10000}"/>
    <cellStyle name="Normal 4 2 4" xfId="964" xr:uid="{00000000-0005-0000-0000-000086A10000}"/>
    <cellStyle name="Normal 4 2 5" xfId="965" xr:uid="{00000000-0005-0000-0000-000087A10000}"/>
    <cellStyle name="Normal 4 20" xfId="41561" xr:uid="{00000000-0005-0000-0000-000088A10000}"/>
    <cellStyle name="Normal 4 3" xfId="966" xr:uid="{00000000-0005-0000-0000-000089A10000}"/>
    <cellStyle name="Normal 4 3 2" xfId="967" xr:uid="{00000000-0005-0000-0000-00008AA10000}"/>
    <cellStyle name="Normal 4 3 3" xfId="968" xr:uid="{00000000-0005-0000-0000-00008BA10000}"/>
    <cellStyle name="Normal 4 3 4" xfId="969" xr:uid="{00000000-0005-0000-0000-00008CA10000}"/>
    <cellStyle name="Normal 4 4" xfId="970" xr:uid="{00000000-0005-0000-0000-00008DA10000}"/>
    <cellStyle name="Normal 4 4 2" xfId="971" xr:uid="{00000000-0005-0000-0000-00008EA10000}"/>
    <cellStyle name="Normal 4 4 3" xfId="972" xr:uid="{00000000-0005-0000-0000-00008FA10000}"/>
    <cellStyle name="Normal 4 4 4" xfId="973" xr:uid="{00000000-0005-0000-0000-000090A10000}"/>
    <cellStyle name="Normal 4 5" xfId="974" xr:uid="{00000000-0005-0000-0000-000091A10000}"/>
    <cellStyle name="Normal 4 5 2" xfId="41562" xr:uid="{00000000-0005-0000-0000-000092A10000}"/>
    <cellStyle name="Normal 4 5 3" xfId="41563" xr:uid="{00000000-0005-0000-0000-000093A10000}"/>
    <cellStyle name="Normal 4 6" xfId="975" xr:uid="{00000000-0005-0000-0000-000094A10000}"/>
    <cellStyle name="Normal 4 7" xfId="976" xr:uid="{00000000-0005-0000-0000-000095A10000}"/>
    <cellStyle name="Normal 4 8" xfId="977" xr:uid="{00000000-0005-0000-0000-000096A10000}"/>
    <cellStyle name="Normal 4 9" xfId="41564" xr:uid="{00000000-0005-0000-0000-000097A10000}"/>
    <cellStyle name="Normal 4_1-BOQ." xfId="978" xr:uid="{00000000-0005-0000-0000-000098A10000}"/>
    <cellStyle name="Normal 40" xfId="979" xr:uid="{00000000-0005-0000-0000-000099A10000}"/>
    <cellStyle name="Normal 40 2" xfId="41565" xr:uid="{00000000-0005-0000-0000-00009AA10000}"/>
    <cellStyle name="Normal 40 3" xfId="41566" xr:uid="{00000000-0005-0000-0000-00009BA10000}"/>
    <cellStyle name="Normal 40 4" xfId="41567" xr:uid="{00000000-0005-0000-0000-00009CA10000}"/>
    <cellStyle name="Normal 41" xfId="980" xr:uid="{00000000-0005-0000-0000-00009DA10000}"/>
    <cellStyle name="Normal 41 2" xfId="41568" xr:uid="{00000000-0005-0000-0000-00009EA10000}"/>
    <cellStyle name="Normal 41 3" xfId="41569" xr:uid="{00000000-0005-0000-0000-00009FA10000}"/>
    <cellStyle name="Normal 41 4" xfId="41570" xr:uid="{00000000-0005-0000-0000-0000A0A10000}"/>
    <cellStyle name="Normal 42" xfId="981" xr:uid="{00000000-0005-0000-0000-0000A1A10000}"/>
    <cellStyle name="Normal 42 2" xfId="41571" xr:uid="{00000000-0005-0000-0000-0000A2A10000}"/>
    <cellStyle name="Normal 43" xfId="982" xr:uid="{00000000-0005-0000-0000-0000A3A10000}"/>
    <cellStyle name="Normal 43 2" xfId="41572" xr:uid="{00000000-0005-0000-0000-0000A4A10000}"/>
    <cellStyle name="Normal 44" xfId="983" xr:uid="{00000000-0005-0000-0000-0000A5A10000}"/>
    <cellStyle name="Normal 44 2" xfId="41573" xr:uid="{00000000-0005-0000-0000-0000A6A10000}"/>
    <cellStyle name="Normal 44 2 2" xfId="41574" xr:uid="{00000000-0005-0000-0000-0000A7A10000}"/>
    <cellStyle name="Normal 44 3" xfId="41575" xr:uid="{00000000-0005-0000-0000-0000A8A10000}"/>
    <cellStyle name="Normal 45" xfId="984" xr:uid="{00000000-0005-0000-0000-0000A9A10000}"/>
    <cellStyle name="Normal 45 2" xfId="985" xr:uid="{00000000-0005-0000-0000-0000AAA10000}"/>
    <cellStyle name="Normal 46" xfId="986" xr:uid="{00000000-0005-0000-0000-0000ABA10000}"/>
    <cellStyle name="Normal 47" xfId="987" xr:uid="{00000000-0005-0000-0000-0000ACA10000}"/>
    <cellStyle name="Normal 47 2" xfId="988" xr:uid="{00000000-0005-0000-0000-0000ADA10000}"/>
    <cellStyle name="Normal 48" xfId="989" xr:uid="{00000000-0005-0000-0000-0000AEA10000}"/>
    <cellStyle name="Normal 48 2" xfId="41576" xr:uid="{00000000-0005-0000-0000-0000AFA10000}"/>
    <cellStyle name="Normal 49" xfId="990" xr:uid="{00000000-0005-0000-0000-0000B0A10000}"/>
    <cellStyle name="Normal 5" xfId="991" xr:uid="{00000000-0005-0000-0000-0000B1A10000}"/>
    <cellStyle name="Normal 5 10" xfId="41577" xr:uid="{00000000-0005-0000-0000-0000B2A10000}"/>
    <cellStyle name="Normal 5 11" xfId="41578" xr:uid="{00000000-0005-0000-0000-0000B3A10000}"/>
    <cellStyle name="Normal 5 12" xfId="41579" xr:uid="{00000000-0005-0000-0000-0000B4A10000}"/>
    <cellStyle name="Normal 5 13" xfId="41580" xr:uid="{00000000-0005-0000-0000-0000B5A10000}"/>
    <cellStyle name="Normal 5 14" xfId="41581" xr:uid="{00000000-0005-0000-0000-0000B6A10000}"/>
    <cellStyle name="Normal 5 15" xfId="41582" xr:uid="{00000000-0005-0000-0000-0000B7A10000}"/>
    <cellStyle name="Normal 5 16" xfId="41583" xr:uid="{00000000-0005-0000-0000-0000B8A10000}"/>
    <cellStyle name="Normal 5 17" xfId="41584" xr:uid="{00000000-0005-0000-0000-0000B9A10000}"/>
    <cellStyle name="Normal 5 18" xfId="41585" xr:uid="{00000000-0005-0000-0000-0000BAA10000}"/>
    <cellStyle name="Normal 5 19" xfId="41586" xr:uid="{00000000-0005-0000-0000-0000BBA10000}"/>
    <cellStyle name="Normal 5 2" xfId="992" xr:uid="{00000000-0005-0000-0000-0000BCA10000}"/>
    <cellStyle name="Normal 5 2 2" xfId="993" xr:uid="{00000000-0005-0000-0000-0000BDA10000}"/>
    <cellStyle name="Normal 5 2 3" xfId="994" xr:uid="{00000000-0005-0000-0000-0000BEA10000}"/>
    <cellStyle name="Normal 5 2 4" xfId="995" xr:uid="{00000000-0005-0000-0000-0000BFA10000}"/>
    <cellStyle name="Normal 5 2 5" xfId="996" xr:uid="{00000000-0005-0000-0000-0000C0A10000}"/>
    <cellStyle name="Normal 5 20" xfId="41587" xr:uid="{00000000-0005-0000-0000-0000C1A10000}"/>
    <cellStyle name="Normal 5 21" xfId="41588" xr:uid="{00000000-0005-0000-0000-0000C2A10000}"/>
    <cellStyle name="Normal 5 3" xfId="997" xr:uid="{00000000-0005-0000-0000-0000C3A10000}"/>
    <cellStyle name="Normal 5 3 2" xfId="998" xr:uid="{00000000-0005-0000-0000-0000C4A10000}"/>
    <cellStyle name="Normal 5 3 3" xfId="999" xr:uid="{00000000-0005-0000-0000-0000C5A10000}"/>
    <cellStyle name="Normal 5 3 4" xfId="1000" xr:uid="{00000000-0005-0000-0000-0000C6A10000}"/>
    <cellStyle name="Normal 5 4" xfId="1001" xr:uid="{00000000-0005-0000-0000-0000C7A10000}"/>
    <cellStyle name="Normal 5 5" xfId="1002" xr:uid="{00000000-0005-0000-0000-0000C8A10000}"/>
    <cellStyle name="Normal 5 5 2" xfId="41589" xr:uid="{00000000-0005-0000-0000-0000C9A10000}"/>
    <cellStyle name="Normal 5 5 3" xfId="41590" xr:uid="{00000000-0005-0000-0000-0000CAA10000}"/>
    <cellStyle name="Normal 5 6" xfId="1003" xr:uid="{00000000-0005-0000-0000-0000CBA10000}"/>
    <cellStyle name="Normal 5 7" xfId="1004" xr:uid="{00000000-0005-0000-0000-0000CCA10000}"/>
    <cellStyle name="Normal 5 8" xfId="41591" xr:uid="{00000000-0005-0000-0000-0000CDA10000}"/>
    <cellStyle name="Normal 5 9" xfId="41592" xr:uid="{00000000-0005-0000-0000-0000CEA10000}"/>
    <cellStyle name="Normal 5_1-BOQ." xfId="1005" xr:uid="{00000000-0005-0000-0000-0000CFA10000}"/>
    <cellStyle name="Normal 50" xfId="1006" xr:uid="{00000000-0005-0000-0000-0000D0A10000}"/>
    <cellStyle name="Normal 51" xfId="1007" xr:uid="{00000000-0005-0000-0000-0000D1A10000}"/>
    <cellStyle name="Normal 52" xfId="1008" xr:uid="{00000000-0005-0000-0000-0000D2A10000}"/>
    <cellStyle name="Normal 53" xfId="1009" xr:uid="{00000000-0005-0000-0000-0000D3A10000}"/>
    <cellStyle name="Normal 54" xfId="1010" xr:uid="{00000000-0005-0000-0000-0000D4A10000}"/>
    <cellStyle name="Normal 55" xfId="1011" xr:uid="{00000000-0005-0000-0000-0000D5A10000}"/>
    <cellStyle name="Normal 56" xfId="1012" xr:uid="{00000000-0005-0000-0000-0000D6A10000}"/>
    <cellStyle name="Normal 56 2" xfId="1013" xr:uid="{00000000-0005-0000-0000-0000D7A10000}"/>
    <cellStyle name="Normal 56 2 2" xfId="1014" xr:uid="{00000000-0005-0000-0000-0000D8A10000}"/>
    <cellStyle name="Normal 57" xfId="1015" xr:uid="{00000000-0005-0000-0000-0000D9A10000}"/>
    <cellStyle name="Normal 58" xfId="1016" xr:uid="{00000000-0005-0000-0000-0000DAA10000}"/>
    <cellStyle name="Normal 59" xfId="1017" xr:uid="{00000000-0005-0000-0000-0000DBA10000}"/>
    <cellStyle name="Normal 6" xfId="1018" xr:uid="{00000000-0005-0000-0000-0000DCA10000}"/>
    <cellStyle name="Normal 6 10" xfId="41593" xr:uid="{00000000-0005-0000-0000-0000DDA10000}"/>
    <cellStyle name="Normal 6 11" xfId="41594" xr:uid="{00000000-0005-0000-0000-0000DEA10000}"/>
    <cellStyle name="Normal 6 12" xfId="41595" xr:uid="{00000000-0005-0000-0000-0000DFA10000}"/>
    <cellStyle name="Normal 6 13" xfId="41596" xr:uid="{00000000-0005-0000-0000-0000E0A10000}"/>
    <cellStyle name="Normal 6 14" xfId="41597" xr:uid="{00000000-0005-0000-0000-0000E1A10000}"/>
    <cellStyle name="Normal 6 15" xfId="41598" xr:uid="{00000000-0005-0000-0000-0000E2A10000}"/>
    <cellStyle name="Normal 6 16" xfId="41599" xr:uid="{00000000-0005-0000-0000-0000E3A10000}"/>
    <cellStyle name="Normal 6 17" xfId="41600" xr:uid="{00000000-0005-0000-0000-0000E4A10000}"/>
    <cellStyle name="Normal 6 18" xfId="41601" xr:uid="{00000000-0005-0000-0000-0000E5A10000}"/>
    <cellStyle name="Normal 6 19" xfId="41602" xr:uid="{00000000-0005-0000-0000-0000E6A10000}"/>
    <cellStyle name="Normal 6 2" xfId="1019" xr:uid="{00000000-0005-0000-0000-0000E7A10000}"/>
    <cellStyle name="Normal 6 2 10" xfId="41603" xr:uid="{00000000-0005-0000-0000-0000E8A10000}"/>
    <cellStyle name="Normal 6 2 11" xfId="41604" xr:uid="{00000000-0005-0000-0000-0000E9A10000}"/>
    <cellStyle name="Normal 6 2 12" xfId="41605" xr:uid="{00000000-0005-0000-0000-0000EAA10000}"/>
    <cellStyle name="Normal 6 2 13" xfId="41606" xr:uid="{00000000-0005-0000-0000-0000EBA10000}"/>
    <cellStyle name="Normal 6 2 2" xfId="1020" xr:uid="{00000000-0005-0000-0000-0000ECA10000}"/>
    <cellStyle name="Normal 6 2 2 2" xfId="41607" xr:uid="{00000000-0005-0000-0000-0000EDA10000}"/>
    <cellStyle name="Normal 6 2 3" xfId="1021" xr:uid="{00000000-0005-0000-0000-0000EEA10000}"/>
    <cellStyle name="Normal 6 2 4" xfId="1022" xr:uid="{00000000-0005-0000-0000-0000EFA10000}"/>
    <cellStyle name="Normal 6 2 5" xfId="41608" xr:uid="{00000000-0005-0000-0000-0000F0A10000}"/>
    <cellStyle name="Normal 6 2 6" xfId="41609" xr:uid="{00000000-0005-0000-0000-0000F1A10000}"/>
    <cellStyle name="Normal 6 2 7" xfId="41610" xr:uid="{00000000-0005-0000-0000-0000F2A10000}"/>
    <cellStyle name="Normal 6 2 8" xfId="41611" xr:uid="{00000000-0005-0000-0000-0000F3A10000}"/>
    <cellStyle name="Normal 6 2 9" xfId="41612" xr:uid="{00000000-0005-0000-0000-0000F4A10000}"/>
    <cellStyle name="Normal 6 20" xfId="41613" xr:uid="{00000000-0005-0000-0000-0000F5A10000}"/>
    <cellStyle name="Normal 6 21" xfId="41614" xr:uid="{00000000-0005-0000-0000-0000F6A10000}"/>
    <cellStyle name="Normal 6 3" xfId="1023" xr:uid="{00000000-0005-0000-0000-0000F7A10000}"/>
    <cellStyle name="Normal 6 3 2" xfId="1024" xr:uid="{00000000-0005-0000-0000-0000F8A10000}"/>
    <cellStyle name="Normal 6 3 3" xfId="1025" xr:uid="{00000000-0005-0000-0000-0000F9A10000}"/>
    <cellStyle name="Normal 6 3 4" xfId="1026" xr:uid="{00000000-0005-0000-0000-0000FAA10000}"/>
    <cellStyle name="Normal 6 3 5" xfId="41615" xr:uid="{00000000-0005-0000-0000-0000FBA10000}"/>
    <cellStyle name="Normal 6 3 6" xfId="41616" xr:uid="{00000000-0005-0000-0000-0000FCA10000}"/>
    <cellStyle name="Normal 6 3 7" xfId="41617" xr:uid="{00000000-0005-0000-0000-0000FDA10000}"/>
    <cellStyle name="Normal 6 3 8" xfId="41618" xr:uid="{00000000-0005-0000-0000-0000FEA10000}"/>
    <cellStyle name="Normal 6 3 9" xfId="41619" xr:uid="{00000000-0005-0000-0000-0000FFA10000}"/>
    <cellStyle name="Normal 6 4" xfId="1027" xr:uid="{00000000-0005-0000-0000-000000A20000}"/>
    <cellStyle name="Normal 6 4 2" xfId="41620" xr:uid="{00000000-0005-0000-0000-000001A20000}"/>
    <cellStyle name="Normal 6 4 3" xfId="41621" xr:uid="{00000000-0005-0000-0000-000002A20000}"/>
    <cellStyle name="Normal 6 5" xfId="1028" xr:uid="{00000000-0005-0000-0000-000003A20000}"/>
    <cellStyle name="Normal 6 5 2" xfId="41622" xr:uid="{00000000-0005-0000-0000-000004A20000}"/>
    <cellStyle name="Normal 6 5 3" xfId="41623" xr:uid="{00000000-0005-0000-0000-000005A20000}"/>
    <cellStyle name="Normal 6 6" xfId="1029" xr:uid="{00000000-0005-0000-0000-000006A20000}"/>
    <cellStyle name="Normal 6 6 2" xfId="41624" xr:uid="{00000000-0005-0000-0000-000007A20000}"/>
    <cellStyle name="Normal 6 6 3" xfId="41625" xr:uid="{00000000-0005-0000-0000-000008A20000}"/>
    <cellStyle name="Normal 6 6 4" xfId="41626" xr:uid="{00000000-0005-0000-0000-000009A20000}"/>
    <cellStyle name="Normal 6 7" xfId="1030" xr:uid="{00000000-0005-0000-0000-00000AA20000}"/>
    <cellStyle name="Normal 6 7 2" xfId="41627" xr:uid="{00000000-0005-0000-0000-00000BA20000}"/>
    <cellStyle name="Normal 6 7 3" xfId="41628" xr:uid="{00000000-0005-0000-0000-00000CA20000}"/>
    <cellStyle name="Normal 6 8" xfId="41629" xr:uid="{00000000-0005-0000-0000-00000DA20000}"/>
    <cellStyle name="Normal 6 8 2" xfId="41630" xr:uid="{00000000-0005-0000-0000-00000EA20000}"/>
    <cellStyle name="Normal 6 8 3" xfId="41631" xr:uid="{00000000-0005-0000-0000-00000FA20000}"/>
    <cellStyle name="Normal 6 9" xfId="41632" xr:uid="{00000000-0005-0000-0000-000010A20000}"/>
    <cellStyle name="Normal 6 9 2" xfId="41633" xr:uid="{00000000-0005-0000-0000-000011A20000}"/>
    <cellStyle name="Normal 6 9 3" xfId="41634" xr:uid="{00000000-0005-0000-0000-000012A20000}"/>
    <cellStyle name="Normal 6_1-BOQ." xfId="1031" xr:uid="{00000000-0005-0000-0000-000013A20000}"/>
    <cellStyle name="Normal 60" xfId="1032" xr:uid="{00000000-0005-0000-0000-000014A20000}"/>
    <cellStyle name="Normal 61" xfId="41635" xr:uid="{00000000-0005-0000-0000-000015A20000}"/>
    <cellStyle name="Normal 62" xfId="1206" xr:uid="{00000000-0005-0000-0000-000016A20000}"/>
    <cellStyle name="Normal 62 2" xfId="42613" xr:uid="{00000000-0005-0000-0000-000017A20000}"/>
    <cellStyle name="Normal 63" xfId="42614" xr:uid="{00000000-0005-0000-0000-000018A20000}"/>
    <cellStyle name="Normal 64" xfId="42616" xr:uid="{00000000-0005-0000-0000-000019A20000}"/>
    <cellStyle name="Normal 7" xfId="1033" xr:uid="{00000000-0005-0000-0000-00001AA20000}"/>
    <cellStyle name="Normal 7 10" xfId="41636" xr:uid="{00000000-0005-0000-0000-00001BA20000}"/>
    <cellStyle name="Normal 7 11" xfId="41637" xr:uid="{00000000-0005-0000-0000-00001CA20000}"/>
    <cellStyle name="Normal 7 2" xfId="1034" xr:uid="{00000000-0005-0000-0000-00001DA20000}"/>
    <cellStyle name="Normal 7 2 10" xfId="41638" xr:uid="{00000000-0005-0000-0000-00001EA20000}"/>
    <cellStyle name="Normal 7 2 2" xfId="1035" xr:uid="{00000000-0005-0000-0000-00001FA20000}"/>
    <cellStyle name="Normal 7 2 2 2" xfId="41639" xr:uid="{00000000-0005-0000-0000-000020A20000}"/>
    <cellStyle name="Normal 7 2 2 2 2" xfId="41640" xr:uid="{00000000-0005-0000-0000-000021A20000}"/>
    <cellStyle name="Normal 7 2 2 2 3" xfId="41641" xr:uid="{00000000-0005-0000-0000-000022A20000}"/>
    <cellStyle name="Normal 7 2 2 2 4" xfId="41642" xr:uid="{00000000-0005-0000-0000-000023A20000}"/>
    <cellStyle name="Normal 7 2 2 2 5" xfId="41643" xr:uid="{00000000-0005-0000-0000-000024A20000}"/>
    <cellStyle name="Normal 7 2 2 3" xfId="41644" xr:uid="{00000000-0005-0000-0000-000025A20000}"/>
    <cellStyle name="Normal 7 2 2 4" xfId="41645" xr:uid="{00000000-0005-0000-0000-000026A20000}"/>
    <cellStyle name="Normal 7 2 2 5" xfId="41646" xr:uid="{00000000-0005-0000-0000-000027A20000}"/>
    <cellStyle name="Normal 7 2 2 6" xfId="41647" xr:uid="{00000000-0005-0000-0000-000028A20000}"/>
    <cellStyle name="Normal 7 2 2 7" xfId="41648" xr:uid="{00000000-0005-0000-0000-000029A20000}"/>
    <cellStyle name="Normal 7 2 2 8" xfId="41649" xr:uid="{00000000-0005-0000-0000-00002AA20000}"/>
    <cellStyle name="Normal 7 2 3" xfId="1036" xr:uid="{00000000-0005-0000-0000-00002BA20000}"/>
    <cellStyle name="Normal 7 2 3 2" xfId="41650" xr:uid="{00000000-0005-0000-0000-00002CA20000}"/>
    <cellStyle name="Normal 7 2 3 2 2" xfId="41651" xr:uid="{00000000-0005-0000-0000-00002DA20000}"/>
    <cellStyle name="Normal 7 2 3 2 3" xfId="41652" xr:uid="{00000000-0005-0000-0000-00002EA20000}"/>
    <cellStyle name="Normal 7 2 3 2 4" xfId="41653" xr:uid="{00000000-0005-0000-0000-00002FA20000}"/>
    <cellStyle name="Normal 7 2 3 2 5" xfId="41654" xr:uid="{00000000-0005-0000-0000-000030A20000}"/>
    <cellStyle name="Normal 7 2 3 3" xfId="41655" xr:uid="{00000000-0005-0000-0000-000031A20000}"/>
    <cellStyle name="Normal 7 2 3 4" xfId="41656" xr:uid="{00000000-0005-0000-0000-000032A20000}"/>
    <cellStyle name="Normal 7 2 3 5" xfId="41657" xr:uid="{00000000-0005-0000-0000-000033A20000}"/>
    <cellStyle name="Normal 7 2 3 6" xfId="41658" xr:uid="{00000000-0005-0000-0000-000034A20000}"/>
    <cellStyle name="Normal 7 2 3 7" xfId="41659" xr:uid="{00000000-0005-0000-0000-000035A20000}"/>
    <cellStyle name="Normal 7 2 3 8" xfId="41660" xr:uid="{00000000-0005-0000-0000-000036A20000}"/>
    <cellStyle name="Normal 7 2 4" xfId="1037" xr:uid="{00000000-0005-0000-0000-000037A20000}"/>
    <cellStyle name="Normal 7 2 4 2" xfId="41661" xr:uid="{00000000-0005-0000-0000-000038A20000}"/>
    <cellStyle name="Normal 7 2 4 3" xfId="41662" xr:uid="{00000000-0005-0000-0000-000039A20000}"/>
    <cellStyle name="Normal 7 2 4 4" xfId="41663" xr:uid="{00000000-0005-0000-0000-00003AA20000}"/>
    <cellStyle name="Normal 7 2 4 5" xfId="41664" xr:uid="{00000000-0005-0000-0000-00003BA20000}"/>
    <cellStyle name="Normal 7 2 5" xfId="41665" xr:uid="{00000000-0005-0000-0000-00003CA20000}"/>
    <cellStyle name="Normal 7 2 6" xfId="41666" xr:uid="{00000000-0005-0000-0000-00003DA20000}"/>
    <cellStyle name="Normal 7 2 7" xfId="41667" xr:uid="{00000000-0005-0000-0000-00003EA20000}"/>
    <cellStyle name="Normal 7 2 8" xfId="41668" xr:uid="{00000000-0005-0000-0000-00003FA20000}"/>
    <cellStyle name="Normal 7 2 9" xfId="41669" xr:uid="{00000000-0005-0000-0000-000040A20000}"/>
    <cellStyle name="Normal 7 3" xfId="1038" xr:uid="{00000000-0005-0000-0000-000041A20000}"/>
    <cellStyle name="Normal 7 3 2" xfId="41670" xr:uid="{00000000-0005-0000-0000-000042A20000}"/>
    <cellStyle name="Normal 7 3 2 2" xfId="41671" xr:uid="{00000000-0005-0000-0000-000043A20000}"/>
    <cellStyle name="Normal 7 3 2 3" xfId="41672" xr:uid="{00000000-0005-0000-0000-000044A20000}"/>
    <cellStyle name="Normal 7 3 2 4" xfId="41673" xr:uid="{00000000-0005-0000-0000-000045A20000}"/>
    <cellStyle name="Normal 7 3 2 5" xfId="41674" xr:uid="{00000000-0005-0000-0000-000046A20000}"/>
    <cellStyle name="Normal 7 3 3" xfId="41675" xr:uid="{00000000-0005-0000-0000-000047A20000}"/>
    <cellStyle name="Normal 7 3 4" xfId="41676" xr:uid="{00000000-0005-0000-0000-000048A20000}"/>
    <cellStyle name="Normal 7 3 5" xfId="41677" xr:uid="{00000000-0005-0000-0000-000049A20000}"/>
    <cellStyle name="Normal 7 3 6" xfId="41678" xr:uid="{00000000-0005-0000-0000-00004AA20000}"/>
    <cellStyle name="Normal 7 3 7" xfId="41679" xr:uid="{00000000-0005-0000-0000-00004BA20000}"/>
    <cellStyle name="Normal 7 3 8" xfId="41680" xr:uid="{00000000-0005-0000-0000-00004CA20000}"/>
    <cellStyle name="Normal 7 4" xfId="1039" xr:uid="{00000000-0005-0000-0000-00004DA20000}"/>
    <cellStyle name="Normal 7 4 2" xfId="41681" xr:uid="{00000000-0005-0000-0000-00004EA20000}"/>
    <cellStyle name="Normal 7 4 2 2" xfId="41682" xr:uid="{00000000-0005-0000-0000-00004FA20000}"/>
    <cellStyle name="Normal 7 4 2 3" xfId="41683" xr:uid="{00000000-0005-0000-0000-000050A20000}"/>
    <cellStyle name="Normal 7 4 2 4" xfId="41684" xr:uid="{00000000-0005-0000-0000-000051A20000}"/>
    <cellStyle name="Normal 7 4 2 5" xfId="41685" xr:uid="{00000000-0005-0000-0000-000052A20000}"/>
    <cellStyle name="Normal 7 4 3" xfId="41686" xr:uid="{00000000-0005-0000-0000-000053A20000}"/>
    <cellStyle name="Normal 7 4 4" xfId="41687" xr:uid="{00000000-0005-0000-0000-000054A20000}"/>
    <cellStyle name="Normal 7 4 5" xfId="41688" xr:uid="{00000000-0005-0000-0000-000055A20000}"/>
    <cellStyle name="Normal 7 4 6" xfId="41689" xr:uid="{00000000-0005-0000-0000-000056A20000}"/>
    <cellStyle name="Normal 7 4 7" xfId="41690" xr:uid="{00000000-0005-0000-0000-000057A20000}"/>
    <cellStyle name="Normal 7 4 8" xfId="41691" xr:uid="{00000000-0005-0000-0000-000058A20000}"/>
    <cellStyle name="Normal 7 5" xfId="1040" xr:uid="{00000000-0005-0000-0000-000059A20000}"/>
    <cellStyle name="Normal 7 5 2" xfId="41692" xr:uid="{00000000-0005-0000-0000-00005AA20000}"/>
    <cellStyle name="Normal 7 5 3" xfId="41693" xr:uid="{00000000-0005-0000-0000-00005BA20000}"/>
    <cellStyle name="Normal 7 5 4" xfId="41694" xr:uid="{00000000-0005-0000-0000-00005CA20000}"/>
    <cellStyle name="Normal 7 5 5" xfId="41695" xr:uid="{00000000-0005-0000-0000-00005DA20000}"/>
    <cellStyle name="Normal 7 6" xfId="1041" xr:uid="{00000000-0005-0000-0000-00005EA20000}"/>
    <cellStyle name="Normal 7 7" xfId="41696" xr:uid="{00000000-0005-0000-0000-00005FA20000}"/>
    <cellStyle name="Normal 7 8" xfId="41697" xr:uid="{00000000-0005-0000-0000-000060A20000}"/>
    <cellStyle name="Normal 7 9" xfId="41698" xr:uid="{00000000-0005-0000-0000-000061A20000}"/>
    <cellStyle name="Normal 7_ANALISA KUMPLIT" xfId="41699" xr:uid="{00000000-0005-0000-0000-000062A20000}"/>
    <cellStyle name="Normal 8" xfId="1042" xr:uid="{00000000-0005-0000-0000-000063A20000}"/>
    <cellStyle name="Normal 8 2" xfId="1043" xr:uid="{00000000-0005-0000-0000-000064A20000}"/>
    <cellStyle name="Normal 8 2 2" xfId="1044" xr:uid="{00000000-0005-0000-0000-000065A20000}"/>
    <cellStyle name="Normal 8 2 3" xfId="1045" xr:uid="{00000000-0005-0000-0000-000066A20000}"/>
    <cellStyle name="Normal 8 2 4" xfId="1046" xr:uid="{00000000-0005-0000-0000-000067A20000}"/>
    <cellStyle name="Normal 8 3" xfId="1047" xr:uid="{00000000-0005-0000-0000-000068A20000}"/>
    <cellStyle name="Normal 8 4" xfId="1048" xr:uid="{00000000-0005-0000-0000-000069A20000}"/>
    <cellStyle name="Normal 8 5" xfId="1049" xr:uid="{00000000-0005-0000-0000-00006AA20000}"/>
    <cellStyle name="Normal 8 6" xfId="1050" xr:uid="{00000000-0005-0000-0000-00006BA20000}"/>
    <cellStyle name="Normal 8 7" xfId="1051" xr:uid="{00000000-0005-0000-0000-00006CA20000}"/>
    <cellStyle name="Normal 8_DINKES ACEH TAMIANG SNI" xfId="1052" xr:uid="{00000000-0005-0000-0000-00006DA20000}"/>
    <cellStyle name="Normal 9" xfId="1053" xr:uid="{00000000-0005-0000-0000-00006EA20000}"/>
    <cellStyle name="Normal 9 2" xfId="1054" xr:uid="{00000000-0005-0000-0000-00006FA20000}"/>
    <cellStyle name="Normal 9 2 2" xfId="1055" xr:uid="{00000000-0005-0000-0000-000070A20000}"/>
    <cellStyle name="Normal 9 2 3" xfId="1056" xr:uid="{00000000-0005-0000-0000-000071A20000}"/>
    <cellStyle name="Normal 9 2 4" xfId="1057" xr:uid="{00000000-0005-0000-0000-000072A20000}"/>
    <cellStyle name="Normal 9 2 5" xfId="42644" xr:uid="{00000000-0005-0000-0000-000073A20000}"/>
    <cellStyle name="Normal 9 3" xfId="1058" xr:uid="{00000000-0005-0000-0000-000074A20000}"/>
    <cellStyle name="Normal 9 3 2" xfId="41700" xr:uid="{00000000-0005-0000-0000-000075A20000}"/>
    <cellStyle name="Normal 9 3 2 2" xfId="41701" xr:uid="{00000000-0005-0000-0000-000076A20000}"/>
    <cellStyle name="Normal 9 3 2 3" xfId="41702" xr:uid="{00000000-0005-0000-0000-000077A20000}"/>
    <cellStyle name="Normal 9 3 3" xfId="41703" xr:uid="{00000000-0005-0000-0000-000078A20000}"/>
    <cellStyle name="Normal 9 3 4" xfId="41704" xr:uid="{00000000-0005-0000-0000-000079A20000}"/>
    <cellStyle name="Normal 9 4" xfId="1059" xr:uid="{00000000-0005-0000-0000-00007AA20000}"/>
    <cellStyle name="Normal 9 5" xfId="1060" xr:uid="{00000000-0005-0000-0000-00007BA20000}"/>
    <cellStyle name="Normal 9 6" xfId="1061" xr:uid="{00000000-0005-0000-0000-00007CA20000}"/>
    <cellStyle name="Normal 9_BACK UP-RMH" xfId="41705" xr:uid="{00000000-0005-0000-0000-00007DA20000}"/>
    <cellStyle name="Normal Bold" xfId="41706" xr:uid="{00000000-0005-0000-0000-00007EA20000}"/>
    <cellStyle name="Normal Pct" xfId="41707" xr:uid="{00000000-0005-0000-0000-00007FA20000}"/>
    <cellStyle name="Normal_Analisa Harga Satuan (version 2)" xfId="42649" xr:uid="{00000000-0005-0000-0000-000080A20000}"/>
    <cellStyle name="Normal02" xfId="41708" xr:uid="{00000000-0005-0000-0000-000081A20000}"/>
    <cellStyle name="Normal02 10" xfId="41709" xr:uid="{00000000-0005-0000-0000-000082A20000}"/>
    <cellStyle name="Normal02 11" xfId="41710" xr:uid="{00000000-0005-0000-0000-000083A20000}"/>
    <cellStyle name="Normal02 12" xfId="41711" xr:uid="{00000000-0005-0000-0000-000084A20000}"/>
    <cellStyle name="Normal02 13" xfId="41712" xr:uid="{00000000-0005-0000-0000-000085A20000}"/>
    <cellStyle name="Normal02 14" xfId="41713" xr:uid="{00000000-0005-0000-0000-000086A20000}"/>
    <cellStyle name="Normal02 15" xfId="41714" xr:uid="{00000000-0005-0000-0000-000087A20000}"/>
    <cellStyle name="Normal02 16" xfId="41715" xr:uid="{00000000-0005-0000-0000-000088A20000}"/>
    <cellStyle name="Normal02 17" xfId="41716" xr:uid="{00000000-0005-0000-0000-000089A20000}"/>
    <cellStyle name="Normal02 18" xfId="41717" xr:uid="{00000000-0005-0000-0000-00008AA20000}"/>
    <cellStyle name="Normal02 19" xfId="41718" xr:uid="{00000000-0005-0000-0000-00008BA20000}"/>
    <cellStyle name="Normal02 2" xfId="41719" xr:uid="{00000000-0005-0000-0000-00008CA20000}"/>
    <cellStyle name="Normal02 3" xfId="41720" xr:uid="{00000000-0005-0000-0000-00008DA20000}"/>
    <cellStyle name="Normal02 4" xfId="41721" xr:uid="{00000000-0005-0000-0000-00008EA20000}"/>
    <cellStyle name="Normal02 5" xfId="41722" xr:uid="{00000000-0005-0000-0000-00008FA20000}"/>
    <cellStyle name="Normal02 6" xfId="41723" xr:uid="{00000000-0005-0000-0000-000090A20000}"/>
    <cellStyle name="Normal02 7" xfId="41724" xr:uid="{00000000-0005-0000-0000-000091A20000}"/>
    <cellStyle name="Normal02 8" xfId="41725" xr:uid="{00000000-0005-0000-0000-000092A20000}"/>
    <cellStyle name="Normal02 9" xfId="41726" xr:uid="{00000000-0005-0000-0000-000093A20000}"/>
    <cellStyle name="Normal1" xfId="41727" xr:uid="{00000000-0005-0000-0000-000094A20000}"/>
    <cellStyle name="Normal2" xfId="41728" xr:uid="{00000000-0005-0000-0000-000095A20000}"/>
    <cellStyle name="Normal3" xfId="41729" xr:uid="{00000000-0005-0000-0000-000096A20000}"/>
    <cellStyle name="Note 10" xfId="41730" xr:uid="{00000000-0005-0000-0000-000097A20000}"/>
    <cellStyle name="Note 10 10" xfId="41731" xr:uid="{00000000-0005-0000-0000-000098A20000}"/>
    <cellStyle name="Note 10 11" xfId="41732" xr:uid="{00000000-0005-0000-0000-000099A20000}"/>
    <cellStyle name="Note 10 12" xfId="41733" xr:uid="{00000000-0005-0000-0000-00009AA20000}"/>
    <cellStyle name="Note 10 13" xfId="41734" xr:uid="{00000000-0005-0000-0000-00009BA20000}"/>
    <cellStyle name="Note 10 14" xfId="41735" xr:uid="{00000000-0005-0000-0000-00009CA20000}"/>
    <cellStyle name="Note 10 15" xfId="41736" xr:uid="{00000000-0005-0000-0000-00009DA20000}"/>
    <cellStyle name="Note 10 16" xfId="41737" xr:uid="{00000000-0005-0000-0000-00009EA20000}"/>
    <cellStyle name="Note 10 2" xfId="41738" xr:uid="{00000000-0005-0000-0000-00009FA20000}"/>
    <cellStyle name="Note 10 3" xfId="41739" xr:uid="{00000000-0005-0000-0000-0000A0A20000}"/>
    <cellStyle name="Note 10 4" xfId="41740" xr:uid="{00000000-0005-0000-0000-0000A1A20000}"/>
    <cellStyle name="Note 10 5" xfId="41741" xr:uid="{00000000-0005-0000-0000-0000A2A20000}"/>
    <cellStyle name="Note 10 6" xfId="41742" xr:uid="{00000000-0005-0000-0000-0000A3A20000}"/>
    <cellStyle name="Note 10 7" xfId="41743" xr:uid="{00000000-0005-0000-0000-0000A4A20000}"/>
    <cellStyle name="Note 10 8" xfId="41744" xr:uid="{00000000-0005-0000-0000-0000A5A20000}"/>
    <cellStyle name="Note 10 9" xfId="41745" xr:uid="{00000000-0005-0000-0000-0000A6A20000}"/>
    <cellStyle name="Note 11" xfId="41746" xr:uid="{00000000-0005-0000-0000-0000A7A20000}"/>
    <cellStyle name="Note 11 10" xfId="41747" xr:uid="{00000000-0005-0000-0000-0000A8A20000}"/>
    <cellStyle name="Note 11 11" xfId="41748" xr:uid="{00000000-0005-0000-0000-0000A9A20000}"/>
    <cellStyle name="Note 11 12" xfId="41749" xr:uid="{00000000-0005-0000-0000-0000AAA20000}"/>
    <cellStyle name="Note 11 13" xfId="41750" xr:uid="{00000000-0005-0000-0000-0000ABA20000}"/>
    <cellStyle name="Note 11 14" xfId="41751" xr:uid="{00000000-0005-0000-0000-0000ACA20000}"/>
    <cellStyle name="Note 11 15" xfId="41752" xr:uid="{00000000-0005-0000-0000-0000ADA20000}"/>
    <cellStyle name="Note 11 16" xfId="41753" xr:uid="{00000000-0005-0000-0000-0000AEA20000}"/>
    <cellStyle name="Note 11 2" xfId="41754" xr:uid="{00000000-0005-0000-0000-0000AFA20000}"/>
    <cellStyle name="Note 11 3" xfId="41755" xr:uid="{00000000-0005-0000-0000-0000B0A20000}"/>
    <cellStyle name="Note 11 4" xfId="41756" xr:uid="{00000000-0005-0000-0000-0000B1A20000}"/>
    <cellStyle name="Note 11 5" xfId="41757" xr:uid="{00000000-0005-0000-0000-0000B2A20000}"/>
    <cellStyle name="Note 11 6" xfId="41758" xr:uid="{00000000-0005-0000-0000-0000B3A20000}"/>
    <cellStyle name="Note 11 7" xfId="41759" xr:uid="{00000000-0005-0000-0000-0000B4A20000}"/>
    <cellStyle name="Note 11 8" xfId="41760" xr:uid="{00000000-0005-0000-0000-0000B5A20000}"/>
    <cellStyle name="Note 11 9" xfId="41761" xr:uid="{00000000-0005-0000-0000-0000B6A20000}"/>
    <cellStyle name="Note 12" xfId="41762" xr:uid="{00000000-0005-0000-0000-0000B7A20000}"/>
    <cellStyle name="Note 12 10" xfId="41763" xr:uid="{00000000-0005-0000-0000-0000B8A20000}"/>
    <cellStyle name="Note 12 11" xfId="41764" xr:uid="{00000000-0005-0000-0000-0000B9A20000}"/>
    <cellStyle name="Note 12 12" xfId="41765" xr:uid="{00000000-0005-0000-0000-0000BAA20000}"/>
    <cellStyle name="Note 12 13" xfId="41766" xr:uid="{00000000-0005-0000-0000-0000BBA20000}"/>
    <cellStyle name="Note 12 14" xfId="41767" xr:uid="{00000000-0005-0000-0000-0000BCA20000}"/>
    <cellStyle name="Note 12 15" xfId="41768" xr:uid="{00000000-0005-0000-0000-0000BDA20000}"/>
    <cellStyle name="Note 12 16" xfId="41769" xr:uid="{00000000-0005-0000-0000-0000BEA20000}"/>
    <cellStyle name="Note 12 2" xfId="41770" xr:uid="{00000000-0005-0000-0000-0000BFA20000}"/>
    <cellStyle name="Note 12 3" xfId="41771" xr:uid="{00000000-0005-0000-0000-0000C0A20000}"/>
    <cellStyle name="Note 12 4" xfId="41772" xr:uid="{00000000-0005-0000-0000-0000C1A20000}"/>
    <cellStyle name="Note 12 5" xfId="41773" xr:uid="{00000000-0005-0000-0000-0000C2A20000}"/>
    <cellStyle name="Note 12 6" xfId="41774" xr:uid="{00000000-0005-0000-0000-0000C3A20000}"/>
    <cellStyle name="Note 12 7" xfId="41775" xr:uid="{00000000-0005-0000-0000-0000C4A20000}"/>
    <cellStyle name="Note 12 8" xfId="41776" xr:uid="{00000000-0005-0000-0000-0000C5A20000}"/>
    <cellStyle name="Note 12 9" xfId="41777" xr:uid="{00000000-0005-0000-0000-0000C6A20000}"/>
    <cellStyle name="Note 13" xfId="41778" xr:uid="{00000000-0005-0000-0000-0000C7A20000}"/>
    <cellStyle name="Note 13 10" xfId="41779" xr:uid="{00000000-0005-0000-0000-0000C8A20000}"/>
    <cellStyle name="Note 13 11" xfId="41780" xr:uid="{00000000-0005-0000-0000-0000C9A20000}"/>
    <cellStyle name="Note 13 12" xfId="41781" xr:uid="{00000000-0005-0000-0000-0000CAA20000}"/>
    <cellStyle name="Note 13 13" xfId="41782" xr:uid="{00000000-0005-0000-0000-0000CBA20000}"/>
    <cellStyle name="Note 13 14" xfId="41783" xr:uid="{00000000-0005-0000-0000-0000CCA20000}"/>
    <cellStyle name="Note 13 15" xfId="41784" xr:uid="{00000000-0005-0000-0000-0000CDA20000}"/>
    <cellStyle name="Note 13 16" xfId="41785" xr:uid="{00000000-0005-0000-0000-0000CEA20000}"/>
    <cellStyle name="Note 13 2" xfId="41786" xr:uid="{00000000-0005-0000-0000-0000CFA20000}"/>
    <cellStyle name="Note 13 3" xfId="41787" xr:uid="{00000000-0005-0000-0000-0000D0A20000}"/>
    <cellStyle name="Note 13 4" xfId="41788" xr:uid="{00000000-0005-0000-0000-0000D1A20000}"/>
    <cellStyle name="Note 13 5" xfId="41789" xr:uid="{00000000-0005-0000-0000-0000D2A20000}"/>
    <cellStyle name="Note 13 6" xfId="41790" xr:uid="{00000000-0005-0000-0000-0000D3A20000}"/>
    <cellStyle name="Note 13 7" xfId="41791" xr:uid="{00000000-0005-0000-0000-0000D4A20000}"/>
    <cellStyle name="Note 13 8" xfId="41792" xr:uid="{00000000-0005-0000-0000-0000D5A20000}"/>
    <cellStyle name="Note 13 9" xfId="41793" xr:uid="{00000000-0005-0000-0000-0000D6A20000}"/>
    <cellStyle name="note 2" xfId="1062" xr:uid="{00000000-0005-0000-0000-0000D7A20000}"/>
    <cellStyle name="Note 2 10" xfId="41794" xr:uid="{00000000-0005-0000-0000-0000D8A20000}"/>
    <cellStyle name="Note 2 11" xfId="41795" xr:uid="{00000000-0005-0000-0000-0000D9A20000}"/>
    <cellStyle name="Note 2 12" xfId="41796" xr:uid="{00000000-0005-0000-0000-0000DAA20000}"/>
    <cellStyle name="Note 2 13" xfId="41797" xr:uid="{00000000-0005-0000-0000-0000DBA20000}"/>
    <cellStyle name="Note 2 14" xfId="41798" xr:uid="{00000000-0005-0000-0000-0000DCA20000}"/>
    <cellStyle name="Note 2 15" xfId="41799" xr:uid="{00000000-0005-0000-0000-0000DDA20000}"/>
    <cellStyle name="Note 2 16" xfId="41800" xr:uid="{00000000-0005-0000-0000-0000DEA20000}"/>
    <cellStyle name="Note 2 2" xfId="1063" xr:uid="{00000000-0005-0000-0000-0000DFA20000}"/>
    <cellStyle name="Note 2 3" xfId="41801" xr:uid="{00000000-0005-0000-0000-0000E0A20000}"/>
    <cellStyle name="Note 2 4" xfId="41802" xr:uid="{00000000-0005-0000-0000-0000E1A20000}"/>
    <cellStyle name="Note 2 5" xfId="41803" xr:uid="{00000000-0005-0000-0000-0000E2A20000}"/>
    <cellStyle name="Note 2 6" xfId="41804" xr:uid="{00000000-0005-0000-0000-0000E3A20000}"/>
    <cellStyle name="Note 2 7" xfId="41805" xr:uid="{00000000-0005-0000-0000-0000E4A20000}"/>
    <cellStyle name="Note 2 8" xfId="41806" xr:uid="{00000000-0005-0000-0000-0000E5A20000}"/>
    <cellStyle name="Note 2 9" xfId="41807" xr:uid="{00000000-0005-0000-0000-0000E6A20000}"/>
    <cellStyle name="note 3" xfId="1064" xr:uid="{00000000-0005-0000-0000-0000E7A20000}"/>
    <cellStyle name="Note 3 10" xfId="41808" xr:uid="{00000000-0005-0000-0000-0000E8A20000}"/>
    <cellStyle name="Note 3 11" xfId="41809" xr:uid="{00000000-0005-0000-0000-0000E9A20000}"/>
    <cellStyle name="Note 3 12" xfId="41810" xr:uid="{00000000-0005-0000-0000-0000EAA20000}"/>
    <cellStyle name="Note 3 13" xfId="41811" xr:uid="{00000000-0005-0000-0000-0000EBA20000}"/>
    <cellStyle name="Note 3 14" xfId="41812" xr:uid="{00000000-0005-0000-0000-0000ECA20000}"/>
    <cellStyle name="Note 3 15" xfId="41813" xr:uid="{00000000-0005-0000-0000-0000EDA20000}"/>
    <cellStyle name="Note 3 16" xfId="41814" xr:uid="{00000000-0005-0000-0000-0000EEA20000}"/>
    <cellStyle name="Note 3 2" xfId="41815" xr:uid="{00000000-0005-0000-0000-0000EFA20000}"/>
    <cellStyle name="Note 3 3" xfId="41816" xr:uid="{00000000-0005-0000-0000-0000F0A20000}"/>
    <cellStyle name="Note 3 4" xfId="41817" xr:uid="{00000000-0005-0000-0000-0000F1A20000}"/>
    <cellStyle name="Note 3 5" xfId="41818" xr:uid="{00000000-0005-0000-0000-0000F2A20000}"/>
    <cellStyle name="Note 3 6" xfId="41819" xr:uid="{00000000-0005-0000-0000-0000F3A20000}"/>
    <cellStyle name="Note 3 7" xfId="41820" xr:uid="{00000000-0005-0000-0000-0000F4A20000}"/>
    <cellStyle name="Note 3 8" xfId="41821" xr:uid="{00000000-0005-0000-0000-0000F5A20000}"/>
    <cellStyle name="Note 3 9" xfId="41822" xr:uid="{00000000-0005-0000-0000-0000F6A20000}"/>
    <cellStyle name="note 4" xfId="1065" xr:uid="{00000000-0005-0000-0000-0000F7A20000}"/>
    <cellStyle name="Note 4 10" xfId="41823" xr:uid="{00000000-0005-0000-0000-0000F8A20000}"/>
    <cellStyle name="Note 4 11" xfId="41824" xr:uid="{00000000-0005-0000-0000-0000F9A20000}"/>
    <cellStyle name="Note 4 12" xfId="41825" xr:uid="{00000000-0005-0000-0000-0000FAA20000}"/>
    <cellStyle name="Note 4 13" xfId="41826" xr:uid="{00000000-0005-0000-0000-0000FBA20000}"/>
    <cellStyle name="Note 4 14" xfId="41827" xr:uid="{00000000-0005-0000-0000-0000FCA20000}"/>
    <cellStyle name="Note 4 15" xfId="41828" xr:uid="{00000000-0005-0000-0000-0000FDA20000}"/>
    <cellStyle name="Note 4 16" xfId="41829" xr:uid="{00000000-0005-0000-0000-0000FEA20000}"/>
    <cellStyle name="Note 4 2" xfId="41830" xr:uid="{00000000-0005-0000-0000-0000FFA20000}"/>
    <cellStyle name="Note 4 3" xfId="41831" xr:uid="{00000000-0005-0000-0000-000000A30000}"/>
    <cellStyle name="Note 4 4" xfId="41832" xr:uid="{00000000-0005-0000-0000-000001A30000}"/>
    <cellStyle name="Note 4 5" xfId="41833" xr:uid="{00000000-0005-0000-0000-000002A30000}"/>
    <cellStyle name="Note 4 6" xfId="41834" xr:uid="{00000000-0005-0000-0000-000003A30000}"/>
    <cellStyle name="Note 4 7" xfId="41835" xr:uid="{00000000-0005-0000-0000-000004A30000}"/>
    <cellStyle name="Note 4 8" xfId="41836" xr:uid="{00000000-0005-0000-0000-000005A30000}"/>
    <cellStyle name="Note 4 9" xfId="41837" xr:uid="{00000000-0005-0000-0000-000006A30000}"/>
    <cellStyle name="note 5" xfId="1066" xr:uid="{00000000-0005-0000-0000-000007A30000}"/>
    <cellStyle name="Note 5 10" xfId="41838" xr:uid="{00000000-0005-0000-0000-000008A30000}"/>
    <cellStyle name="Note 5 11" xfId="41839" xr:uid="{00000000-0005-0000-0000-000009A30000}"/>
    <cellStyle name="Note 5 12" xfId="41840" xr:uid="{00000000-0005-0000-0000-00000AA30000}"/>
    <cellStyle name="Note 5 13" xfId="41841" xr:uid="{00000000-0005-0000-0000-00000BA30000}"/>
    <cellStyle name="Note 5 14" xfId="41842" xr:uid="{00000000-0005-0000-0000-00000CA30000}"/>
    <cellStyle name="Note 5 15" xfId="41843" xr:uid="{00000000-0005-0000-0000-00000DA30000}"/>
    <cellStyle name="Note 5 16" xfId="41844" xr:uid="{00000000-0005-0000-0000-00000EA30000}"/>
    <cellStyle name="Note 5 2" xfId="41845" xr:uid="{00000000-0005-0000-0000-00000FA30000}"/>
    <cellStyle name="Note 5 3" xfId="41846" xr:uid="{00000000-0005-0000-0000-000010A30000}"/>
    <cellStyle name="Note 5 4" xfId="41847" xr:uid="{00000000-0005-0000-0000-000011A30000}"/>
    <cellStyle name="Note 5 5" xfId="41848" xr:uid="{00000000-0005-0000-0000-000012A30000}"/>
    <cellStyle name="Note 5 6" xfId="41849" xr:uid="{00000000-0005-0000-0000-000013A30000}"/>
    <cellStyle name="Note 5 7" xfId="41850" xr:uid="{00000000-0005-0000-0000-000014A30000}"/>
    <cellStyle name="Note 5 8" xfId="41851" xr:uid="{00000000-0005-0000-0000-000015A30000}"/>
    <cellStyle name="Note 5 9" xfId="41852" xr:uid="{00000000-0005-0000-0000-000016A30000}"/>
    <cellStyle name="note 6" xfId="1067" xr:uid="{00000000-0005-0000-0000-000017A30000}"/>
    <cellStyle name="Note 6 10" xfId="41853" xr:uid="{00000000-0005-0000-0000-000018A30000}"/>
    <cellStyle name="Note 6 11" xfId="41854" xr:uid="{00000000-0005-0000-0000-000019A30000}"/>
    <cellStyle name="Note 6 12" xfId="41855" xr:uid="{00000000-0005-0000-0000-00001AA30000}"/>
    <cellStyle name="Note 6 13" xfId="41856" xr:uid="{00000000-0005-0000-0000-00001BA30000}"/>
    <cellStyle name="Note 6 14" xfId="41857" xr:uid="{00000000-0005-0000-0000-00001CA30000}"/>
    <cellStyle name="Note 6 15" xfId="41858" xr:uid="{00000000-0005-0000-0000-00001DA30000}"/>
    <cellStyle name="Note 6 16" xfId="41859" xr:uid="{00000000-0005-0000-0000-00001EA30000}"/>
    <cellStyle name="Note 6 2" xfId="41860" xr:uid="{00000000-0005-0000-0000-00001FA30000}"/>
    <cellStyle name="Note 6 3" xfId="41861" xr:uid="{00000000-0005-0000-0000-000020A30000}"/>
    <cellStyle name="Note 6 4" xfId="41862" xr:uid="{00000000-0005-0000-0000-000021A30000}"/>
    <cellStyle name="Note 6 5" xfId="41863" xr:uid="{00000000-0005-0000-0000-000022A30000}"/>
    <cellStyle name="Note 6 6" xfId="41864" xr:uid="{00000000-0005-0000-0000-000023A30000}"/>
    <cellStyle name="Note 6 7" xfId="41865" xr:uid="{00000000-0005-0000-0000-000024A30000}"/>
    <cellStyle name="Note 6 8" xfId="41866" xr:uid="{00000000-0005-0000-0000-000025A30000}"/>
    <cellStyle name="Note 6 9" xfId="41867" xr:uid="{00000000-0005-0000-0000-000026A30000}"/>
    <cellStyle name="Note 7" xfId="1068" xr:uid="{00000000-0005-0000-0000-000027A30000}"/>
    <cellStyle name="Note 7 10" xfId="41868" xr:uid="{00000000-0005-0000-0000-000028A30000}"/>
    <cellStyle name="Note 7 11" xfId="41869" xr:uid="{00000000-0005-0000-0000-000029A30000}"/>
    <cellStyle name="Note 7 12" xfId="41870" xr:uid="{00000000-0005-0000-0000-00002AA30000}"/>
    <cellStyle name="Note 7 13" xfId="41871" xr:uid="{00000000-0005-0000-0000-00002BA30000}"/>
    <cellStyle name="Note 7 14" xfId="41872" xr:uid="{00000000-0005-0000-0000-00002CA30000}"/>
    <cellStyle name="Note 7 15" xfId="41873" xr:uid="{00000000-0005-0000-0000-00002DA30000}"/>
    <cellStyle name="Note 7 16" xfId="41874" xr:uid="{00000000-0005-0000-0000-00002EA30000}"/>
    <cellStyle name="Note 7 2" xfId="41875" xr:uid="{00000000-0005-0000-0000-00002FA30000}"/>
    <cellStyle name="Note 7 3" xfId="41876" xr:uid="{00000000-0005-0000-0000-000030A30000}"/>
    <cellStyle name="Note 7 4" xfId="41877" xr:uid="{00000000-0005-0000-0000-000031A30000}"/>
    <cellStyle name="Note 7 5" xfId="41878" xr:uid="{00000000-0005-0000-0000-000032A30000}"/>
    <cellStyle name="Note 7 6" xfId="41879" xr:uid="{00000000-0005-0000-0000-000033A30000}"/>
    <cellStyle name="Note 7 7" xfId="41880" xr:uid="{00000000-0005-0000-0000-000034A30000}"/>
    <cellStyle name="Note 7 8" xfId="41881" xr:uid="{00000000-0005-0000-0000-000035A30000}"/>
    <cellStyle name="Note 7 9" xfId="41882" xr:uid="{00000000-0005-0000-0000-000036A30000}"/>
    <cellStyle name="Note 8" xfId="1069" xr:uid="{00000000-0005-0000-0000-000037A30000}"/>
    <cellStyle name="Note 8 10" xfId="41883" xr:uid="{00000000-0005-0000-0000-000038A30000}"/>
    <cellStyle name="Note 8 11" xfId="41884" xr:uid="{00000000-0005-0000-0000-000039A30000}"/>
    <cellStyle name="Note 8 12" xfId="41885" xr:uid="{00000000-0005-0000-0000-00003AA30000}"/>
    <cellStyle name="Note 8 13" xfId="41886" xr:uid="{00000000-0005-0000-0000-00003BA30000}"/>
    <cellStyle name="Note 8 14" xfId="41887" xr:uid="{00000000-0005-0000-0000-00003CA30000}"/>
    <cellStyle name="Note 8 15" xfId="41888" xr:uid="{00000000-0005-0000-0000-00003DA30000}"/>
    <cellStyle name="Note 8 16" xfId="41889" xr:uid="{00000000-0005-0000-0000-00003EA30000}"/>
    <cellStyle name="Note 8 2" xfId="41890" xr:uid="{00000000-0005-0000-0000-00003FA30000}"/>
    <cellStyle name="Note 8 3" xfId="41891" xr:uid="{00000000-0005-0000-0000-000040A30000}"/>
    <cellStyle name="Note 8 4" xfId="41892" xr:uid="{00000000-0005-0000-0000-000041A30000}"/>
    <cellStyle name="Note 8 5" xfId="41893" xr:uid="{00000000-0005-0000-0000-000042A30000}"/>
    <cellStyle name="Note 8 6" xfId="41894" xr:uid="{00000000-0005-0000-0000-000043A30000}"/>
    <cellStyle name="Note 8 7" xfId="41895" xr:uid="{00000000-0005-0000-0000-000044A30000}"/>
    <cellStyle name="Note 8 8" xfId="41896" xr:uid="{00000000-0005-0000-0000-000045A30000}"/>
    <cellStyle name="Note 8 9" xfId="41897" xr:uid="{00000000-0005-0000-0000-000046A30000}"/>
    <cellStyle name="Note 9" xfId="1070" xr:uid="{00000000-0005-0000-0000-000047A30000}"/>
    <cellStyle name="Note 9 10" xfId="41898" xr:uid="{00000000-0005-0000-0000-000048A30000}"/>
    <cellStyle name="Note 9 11" xfId="41899" xr:uid="{00000000-0005-0000-0000-000049A30000}"/>
    <cellStyle name="Note 9 12" xfId="41900" xr:uid="{00000000-0005-0000-0000-00004AA30000}"/>
    <cellStyle name="Note 9 13" xfId="41901" xr:uid="{00000000-0005-0000-0000-00004BA30000}"/>
    <cellStyle name="Note 9 14" xfId="41902" xr:uid="{00000000-0005-0000-0000-00004CA30000}"/>
    <cellStyle name="Note 9 15" xfId="41903" xr:uid="{00000000-0005-0000-0000-00004DA30000}"/>
    <cellStyle name="Note 9 16" xfId="41904" xr:uid="{00000000-0005-0000-0000-00004EA30000}"/>
    <cellStyle name="Note 9 2" xfId="41905" xr:uid="{00000000-0005-0000-0000-00004FA30000}"/>
    <cellStyle name="Note 9 3" xfId="41906" xr:uid="{00000000-0005-0000-0000-000050A30000}"/>
    <cellStyle name="Note 9 4" xfId="41907" xr:uid="{00000000-0005-0000-0000-000051A30000}"/>
    <cellStyle name="Note 9 5" xfId="41908" xr:uid="{00000000-0005-0000-0000-000052A30000}"/>
    <cellStyle name="Note 9 6" xfId="41909" xr:uid="{00000000-0005-0000-0000-000053A30000}"/>
    <cellStyle name="Note 9 7" xfId="41910" xr:uid="{00000000-0005-0000-0000-000054A30000}"/>
    <cellStyle name="Note 9 8" xfId="41911" xr:uid="{00000000-0005-0000-0000-000055A30000}"/>
    <cellStyle name="Note 9 9" xfId="41912" xr:uid="{00000000-0005-0000-0000-000056A30000}"/>
    <cellStyle name="NPPESalesPct" xfId="41913" xr:uid="{00000000-0005-0000-0000-000057A30000}"/>
    <cellStyle name="Nr" xfId="41914" xr:uid="{00000000-0005-0000-0000-000058A30000}"/>
    <cellStyle name="Num-0" xfId="1071" xr:uid="{00000000-0005-0000-0000-000059A30000}"/>
    <cellStyle name="Num-0 10" xfId="41915" xr:uid="{00000000-0005-0000-0000-00005AA30000}"/>
    <cellStyle name="Num-0 11" xfId="41916" xr:uid="{00000000-0005-0000-0000-00005BA30000}"/>
    <cellStyle name="Num-0 12" xfId="41917" xr:uid="{00000000-0005-0000-0000-00005CA30000}"/>
    <cellStyle name="Num-0 13" xfId="41918" xr:uid="{00000000-0005-0000-0000-00005DA30000}"/>
    <cellStyle name="Num-0 14" xfId="41919" xr:uid="{00000000-0005-0000-0000-00005EA30000}"/>
    <cellStyle name="Num-0 15" xfId="41920" xr:uid="{00000000-0005-0000-0000-00005FA30000}"/>
    <cellStyle name="Num-0 16" xfId="41921" xr:uid="{00000000-0005-0000-0000-000060A30000}"/>
    <cellStyle name="Num-0 17" xfId="41922" xr:uid="{00000000-0005-0000-0000-000061A30000}"/>
    <cellStyle name="Num-0 18" xfId="41923" xr:uid="{00000000-0005-0000-0000-000062A30000}"/>
    <cellStyle name="Num-0 2" xfId="41924" xr:uid="{00000000-0005-0000-0000-000063A30000}"/>
    <cellStyle name="Num-0 3" xfId="41925" xr:uid="{00000000-0005-0000-0000-000064A30000}"/>
    <cellStyle name="Num-0 4" xfId="41926" xr:uid="{00000000-0005-0000-0000-000065A30000}"/>
    <cellStyle name="Num-0 5" xfId="41927" xr:uid="{00000000-0005-0000-0000-000066A30000}"/>
    <cellStyle name="Num-0 6" xfId="41928" xr:uid="{00000000-0005-0000-0000-000067A30000}"/>
    <cellStyle name="Num-0 7" xfId="41929" xr:uid="{00000000-0005-0000-0000-000068A30000}"/>
    <cellStyle name="Num-0 8" xfId="41930" xr:uid="{00000000-0005-0000-0000-000069A30000}"/>
    <cellStyle name="Num-0 9" xfId="41931" xr:uid="{00000000-0005-0000-0000-00006AA30000}"/>
    <cellStyle name="NWI%S" xfId="41932" xr:uid="{00000000-0005-0000-0000-00006BA30000}"/>
    <cellStyle name="Œ…‹æØ‚è [0.00]_App-orig" xfId="41933" xr:uid="{00000000-0005-0000-0000-00006CA30000}"/>
    <cellStyle name="Œ…‹æØ‚è_App-orig" xfId="41934" xr:uid="{00000000-0005-0000-0000-00006DA30000}"/>
    <cellStyle name="Output 10" xfId="41935" xr:uid="{00000000-0005-0000-0000-00006EA30000}"/>
    <cellStyle name="Output 10 10" xfId="41936" xr:uid="{00000000-0005-0000-0000-00006FA30000}"/>
    <cellStyle name="Output 10 11" xfId="41937" xr:uid="{00000000-0005-0000-0000-000070A30000}"/>
    <cellStyle name="Output 10 12" xfId="41938" xr:uid="{00000000-0005-0000-0000-000071A30000}"/>
    <cellStyle name="Output 10 13" xfId="41939" xr:uid="{00000000-0005-0000-0000-000072A30000}"/>
    <cellStyle name="Output 10 14" xfId="41940" xr:uid="{00000000-0005-0000-0000-000073A30000}"/>
    <cellStyle name="Output 10 15" xfId="41941" xr:uid="{00000000-0005-0000-0000-000074A30000}"/>
    <cellStyle name="Output 10 16" xfId="41942" xr:uid="{00000000-0005-0000-0000-000075A30000}"/>
    <cellStyle name="Output 10 2" xfId="41943" xr:uid="{00000000-0005-0000-0000-000076A30000}"/>
    <cellStyle name="Output 10 3" xfId="41944" xr:uid="{00000000-0005-0000-0000-000077A30000}"/>
    <cellStyle name="Output 10 4" xfId="41945" xr:uid="{00000000-0005-0000-0000-000078A30000}"/>
    <cellStyle name="Output 10 5" xfId="41946" xr:uid="{00000000-0005-0000-0000-000079A30000}"/>
    <cellStyle name="Output 10 6" xfId="41947" xr:uid="{00000000-0005-0000-0000-00007AA30000}"/>
    <cellStyle name="Output 10 7" xfId="41948" xr:uid="{00000000-0005-0000-0000-00007BA30000}"/>
    <cellStyle name="Output 10 8" xfId="41949" xr:uid="{00000000-0005-0000-0000-00007CA30000}"/>
    <cellStyle name="Output 10 9" xfId="41950" xr:uid="{00000000-0005-0000-0000-00007DA30000}"/>
    <cellStyle name="Output 11" xfId="41951" xr:uid="{00000000-0005-0000-0000-00007EA30000}"/>
    <cellStyle name="Output 11 10" xfId="41952" xr:uid="{00000000-0005-0000-0000-00007FA30000}"/>
    <cellStyle name="Output 11 11" xfId="41953" xr:uid="{00000000-0005-0000-0000-000080A30000}"/>
    <cellStyle name="Output 11 12" xfId="41954" xr:uid="{00000000-0005-0000-0000-000081A30000}"/>
    <cellStyle name="Output 11 13" xfId="41955" xr:uid="{00000000-0005-0000-0000-000082A30000}"/>
    <cellStyle name="Output 11 14" xfId="41956" xr:uid="{00000000-0005-0000-0000-000083A30000}"/>
    <cellStyle name="Output 11 15" xfId="41957" xr:uid="{00000000-0005-0000-0000-000084A30000}"/>
    <cellStyle name="Output 11 16" xfId="41958" xr:uid="{00000000-0005-0000-0000-000085A30000}"/>
    <cellStyle name="Output 11 2" xfId="41959" xr:uid="{00000000-0005-0000-0000-000086A30000}"/>
    <cellStyle name="Output 11 3" xfId="41960" xr:uid="{00000000-0005-0000-0000-000087A30000}"/>
    <cellStyle name="Output 11 4" xfId="41961" xr:uid="{00000000-0005-0000-0000-000088A30000}"/>
    <cellStyle name="Output 11 5" xfId="41962" xr:uid="{00000000-0005-0000-0000-000089A30000}"/>
    <cellStyle name="Output 11 6" xfId="41963" xr:uid="{00000000-0005-0000-0000-00008AA30000}"/>
    <cellStyle name="Output 11 7" xfId="41964" xr:uid="{00000000-0005-0000-0000-00008BA30000}"/>
    <cellStyle name="Output 11 8" xfId="41965" xr:uid="{00000000-0005-0000-0000-00008CA30000}"/>
    <cellStyle name="Output 11 9" xfId="41966" xr:uid="{00000000-0005-0000-0000-00008DA30000}"/>
    <cellStyle name="Output 12" xfId="41967" xr:uid="{00000000-0005-0000-0000-00008EA30000}"/>
    <cellStyle name="Output 12 10" xfId="41968" xr:uid="{00000000-0005-0000-0000-00008FA30000}"/>
    <cellStyle name="Output 12 11" xfId="41969" xr:uid="{00000000-0005-0000-0000-000090A30000}"/>
    <cellStyle name="Output 12 12" xfId="41970" xr:uid="{00000000-0005-0000-0000-000091A30000}"/>
    <cellStyle name="Output 12 13" xfId="41971" xr:uid="{00000000-0005-0000-0000-000092A30000}"/>
    <cellStyle name="Output 12 14" xfId="41972" xr:uid="{00000000-0005-0000-0000-000093A30000}"/>
    <cellStyle name="Output 12 15" xfId="41973" xr:uid="{00000000-0005-0000-0000-000094A30000}"/>
    <cellStyle name="Output 12 16" xfId="41974" xr:uid="{00000000-0005-0000-0000-000095A30000}"/>
    <cellStyle name="Output 12 2" xfId="41975" xr:uid="{00000000-0005-0000-0000-000096A30000}"/>
    <cellStyle name="Output 12 3" xfId="41976" xr:uid="{00000000-0005-0000-0000-000097A30000}"/>
    <cellStyle name="Output 12 4" xfId="41977" xr:uid="{00000000-0005-0000-0000-000098A30000}"/>
    <cellStyle name="Output 12 5" xfId="41978" xr:uid="{00000000-0005-0000-0000-000099A30000}"/>
    <cellStyle name="Output 12 6" xfId="41979" xr:uid="{00000000-0005-0000-0000-00009AA30000}"/>
    <cellStyle name="Output 12 7" xfId="41980" xr:uid="{00000000-0005-0000-0000-00009BA30000}"/>
    <cellStyle name="Output 12 8" xfId="41981" xr:uid="{00000000-0005-0000-0000-00009CA30000}"/>
    <cellStyle name="Output 12 9" xfId="41982" xr:uid="{00000000-0005-0000-0000-00009DA30000}"/>
    <cellStyle name="Output 13" xfId="41983" xr:uid="{00000000-0005-0000-0000-00009EA30000}"/>
    <cellStyle name="Output 13 10" xfId="41984" xr:uid="{00000000-0005-0000-0000-00009FA30000}"/>
    <cellStyle name="Output 13 11" xfId="41985" xr:uid="{00000000-0005-0000-0000-0000A0A30000}"/>
    <cellStyle name="Output 13 12" xfId="41986" xr:uid="{00000000-0005-0000-0000-0000A1A30000}"/>
    <cellStyle name="Output 13 13" xfId="41987" xr:uid="{00000000-0005-0000-0000-0000A2A30000}"/>
    <cellStyle name="Output 13 14" xfId="41988" xr:uid="{00000000-0005-0000-0000-0000A3A30000}"/>
    <cellStyle name="Output 13 15" xfId="41989" xr:uid="{00000000-0005-0000-0000-0000A4A30000}"/>
    <cellStyle name="Output 13 16" xfId="41990" xr:uid="{00000000-0005-0000-0000-0000A5A30000}"/>
    <cellStyle name="Output 13 2" xfId="41991" xr:uid="{00000000-0005-0000-0000-0000A6A30000}"/>
    <cellStyle name="Output 13 3" xfId="41992" xr:uid="{00000000-0005-0000-0000-0000A7A30000}"/>
    <cellStyle name="Output 13 4" xfId="41993" xr:uid="{00000000-0005-0000-0000-0000A8A30000}"/>
    <cellStyle name="Output 13 5" xfId="41994" xr:uid="{00000000-0005-0000-0000-0000A9A30000}"/>
    <cellStyle name="Output 13 6" xfId="41995" xr:uid="{00000000-0005-0000-0000-0000AAA30000}"/>
    <cellStyle name="Output 13 7" xfId="41996" xr:uid="{00000000-0005-0000-0000-0000ABA30000}"/>
    <cellStyle name="Output 13 8" xfId="41997" xr:uid="{00000000-0005-0000-0000-0000ACA30000}"/>
    <cellStyle name="Output 13 9" xfId="41998" xr:uid="{00000000-0005-0000-0000-0000ADA30000}"/>
    <cellStyle name="Output 2" xfId="1072" xr:uid="{00000000-0005-0000-0000-0000AEA30000}"/>
    <cellStyle name="Output 2 10" xfId="41999" xr:uid="{00000000-0005-0000-0000-0000AFA30000}"/>
    <cellStyle name="Output 2 11" xfId="42000" xr:uid="{00000000-0005-0000-0000-0000B0A30000}"/>
    <cellStyle name="Output 2 12" xfId="42001" xr:uid="{00000000-0005-0000-0000-0000B1A30000}"/>
    <cellStyle name="Output 2 13" xfId="42002" xr:uid="{00000000-0005-0000-0000-0000B2A30000}"/>
    <cellStyle name="Output 2 14" xfId="42003" xr:uid="{00000000-0005-0000-0000-0000B3A30000}"/>
    <cellStyle name="Output 2 15" xfId="42004" xr:uid="{00000000-0005-0000-0000-0000B4A30000}"/>
    <cellStyle name="Output 2 16" xfId="42005" xr:uid="{00000000-0005-0000-0000-0000B5A30000}"/>
    <cellStyle name="Output 2 2" xfId="42006" xr:uid="{00000000-0005-0000-0000-0000B6A30000}"/>
    <cellStyle name="Output 2 3" xfId="42007" xr:uid="{00000000-0005-0000-0000-0000B7A30000}"/>
    <cellStyle name="Output 2 4" xfId="42008" xr:uid="{00000000-0005-0000-0000-0000B8A30000}"/>
    <cellStyle name="Output 2 5" xfId="42009" xr:uid="{00000000-0005-0000-0000-0000B9A30000}"/>
    <cellStyle name="Output 2 6" xfId="42010" xr:uid="{00000000-0005-0000-0000-0000BAA30000}"/>
    <cellStyle name="Output 2 7" xfId="42011" xr:uid="{00000000-0005-0000-0000-0000BBA30000}"/>
    <cellStyle name="Output 2 8" xfId="42012" xr:uid="{00000000-0005-0000-0000-0000BCA30000}"/>
    <cellStyle name="Output 2 9" xfId="42013" xr:uid="{00000000-0005-0000-0000-0000BDA30000}"/>
    <cellStyle name="Output 3" xfId="42014" xr:uid="{00000000-0005-0000-0000-0000BEA30000}"/>
    <cellStyle name="Output 3 10" xfId="42015" xr:uid="{00000000-0005-0000-0000-0000BFA30000}"/>
    <cellStyle name="Output 3 11" xfId="42016" xr:uid="{00000000-0005-0000-0000-0000C0A30000}"/>
    <cellStyle name="Output 3 12" xfId="42017" xr:uid="{00000000-0005-0000-0000-0000C1A30000}"/>
    <cellStyle name="Output 3 13" xfId="42018" xr:uid="{00000000-0005-0000-0000-0000C2A30000}"/>
    <cellStyle name="Output 3 14" xfId="42019" xr:uid="{00000000-0005-0000-0000-0000C3A30000}"/>
    <cellStyle name="Output 3 15" xfId="42020" xr:uid="{00000000-0005-0000-0000-0000C4A30000}"/>
    <cellStyle name="Output 3 16" xfId="42021" xr:uid="{00000000-0005-0000-0000-0000C5A30000}"/>
    <cellStyle name="Output 3 2" xfId="42022" xr:uid="{00000000-0005-0000-0000-0000C6A30000}"/>
    <cellStyle name="Output 3 3" xfId="42023" xr:uid="{00000000-0005-0000-0000-0000C7A30000}"/>
    <cellStyle name="Output 3 4" xfId="42024" xr:uid="{00000000-0005-0000-0000-0000C8A30000}"/>
    <cellStyle name="Output 3 5" xfId="42025" xr:uid="{00000000-0005-0000-0000-0000C9A30000}"/>
    <cellStyle name="Output 3 6" xfId="42026" xr:uid="{00000000-0005-0000-0000-0000CAA30000}"/>
    <cellStyle name="Output 3 7" xfId="42027" xr:uid="{00000000-0005-0000-0000-0000CBA30000}"/>
    <cellStyle name="Output 3 8" xfId="42028" xr:uid="{00000000-0005-0000-0000-0000CCA30000}"/>
    <cellStyle name="Output 3 9" xfId="42029" xr:uid="{00000000-0005-0000-0000-0000CDA30000}"/>
    <cellStyle name="Output 4" xfId="42030" xr:uid="{00000000-0005-0000-0000-0000CEA30000}"/>
    <cellStyle name="Output 4 10" xfId="42031" xr:uid="{00000000-0005-0000-0000-0000CFA30000}"/>
    <cellStyle name="Output 4 11" xfId="42032" xr:uid="{00000000-0005-0000-0000-0000D0A30000}"/>
    <cellStyle name="Output 4 12" xfId="42033" xr:uid="{00000000-0005-0000-0000-0000D1A30000}"/>
    <cellStyle name="Output 4 13" xfId="42034" xr:uid="{00000000-0005-0000-0000-0000D2A30000}"/>
    <cellStyle name="Output 4 14" xfId="42035" xr:uid="{00000000-0005-0000-0000-0000D3A30000}"/>
    <cellStyle name="Output 4 15" xfId="42036" xr:uid="{00000000-0005-0000-0000-0000D4A30000}"/>
    <cellStyle name="Output 4 16" xfId="42037" xr:uid="{00000000-0005-0000-0000-0000D5A30000}"/>
    <cellStyle name="Output 4 2" xfId="42038" xr:uid="{00000000-0005-0000-0000-0000D6A30000}"/>
    <cellStyle name="Output 4 3" xfId="42039" xr:uid="{00000000-0005-0000-0000-0000D7A30000}"/>
    <cellStyle name="Output 4 4" xfId="42040" xr:uid="{00000000-0005-0000-0000-0000D8A30000}"/>
    <cellStyle name="Output 4 5" xfId="42041" xr:uid="{00000000-0005-0000-0000-0000D9A30000}"/>
    <cellStyle name="Output 4 6" xfId="42042" xr:uid="{00000000-0005-0000-0000-0000DAA30000}"/>
    <cellStyle name="Output 4 7" xfId="42043" xr:uid="{00000000-0005-0000-0000-0000DBA30000}"/>
    <cellStyle name="Output 4 8" xfId="42044" xr:uid="{00000000-0005-0000-0000-0000DCA30000}"/>
    <cellStyle name="Output 4 9" xfId="42045" xr:uid="{00000000-0005-0000-0000-0000DDA30000}"/>
    <cellStyle name="Output 5" xfId="42046" xr:uid="{00000000-0005-0000-0000-0000DEA30000}"/>
    <cellStyle name="Output 5 10" xfId="42047" xr:uid="{00000000-0005-0000-0000-0000DFA30000}"/>
    <cellStyle name="Output 5 11" xfId="42048" xr:uid="{00000000-0005-0000-0000-0000E0A30000}"/>
    <cellStyle name="Output 5 12" xfId="42049" xr:uid="{00000000-0005-0000-0000-0000E1A30000}"/>
    <cellStyle name="Output 5 13" xfId="42050" xr:uid="{00000000-0005-0000-0000-0000E2A30000}"/>
    <cellStyle name="Output 5 14" xfId="42051" xr:uid="{00000000-0005-0000-0000-0000E3A30000}"/>
    <cellStyle name="Output 5 15" xfId="42052" xr:uid="{00000000-0005-0000-0000-0000E4A30000}"/>
    <cellStyle name="Output 5 16" xfId="42053" xr:uid="{00000000-0005-0000-0000-0000E5A30000}"/>
    <cellStyle name="Output 5 2" xfId="42054" xr:uid="{00000000-0005-0000-0000-0000E6A30000}"/>
    <cellStyle name="Output 5 3" xfId="42055" xr:uid="{00000000-0005-0000-0000-0000E7A30000}"/>
    <cellStyle name="Output 5 4" xfId="42056" xr:uid="{00000000-0005-0000-0000-0000E8A30000}"/>
    <cellStyle name="Output 5 5" xfId="42057" xr:uid="{00000000-0005-0000-0000-0000E9A30000}"/>
    <cellStyle name="Output 5 6" xfId="42058" xr:uid="{00000000-0005-0000-0000-0000EAA30000}"/>
    <cellStyle name="Output 5 7" xfId="42059" xr:uid="{00000000-0005-0000-0000-0000EBA30000}"/>
    <cellStyle name="Output 5 8" xfId="42060" xr:uid="{00000000-0005-0000-0000-0000ECA30000}"/>
    <cellStyle name="Output 5 9" xfId="42061" xr:uid="{00000000-0005-0000-0000-0000EDA30000}"/>
    <cellStyle name="Output 6" xfId="42062" xr:uid="{00000000-0005-0000-0000-0000EEA30000}"/>
    <cellStyle name="Output 6 10" xfId="42063" xr:uid="{00000000-0005-0000-0000-0000EFA30000}"/>
    <cellStyle name="Output 6 11" xfId="42064" xr:uid="{00000000-0005-0000-0000-0000F0A30000}"/>
    <cellStyle name="Output 6 12" xfId="42065" xr:uid="{00000000-0005-0000-0000-0000F1A30000}"/>
    <cellStyle name="Output 6 13" xfId="42066" xr:uid="{00000000-0005-0000-0000-0000F2A30000}"/>
    <cellStyle name="Output 6 14" xfId="42067" xr:uid="{00000000-0005-0000-0000-0000F3A30000}"/>
    <cellStyle name="Output 6 15" xfId="42068" xr:uid="{00000000-0005-0000-0000-0000F4A30000}"/>
    <cellStyle name="Output 6 16" xfId="42069" xr:uid="{00000000-0005-0000-0000-0000F5A30000}"/>
    <cellStyle name="Output 6 2" xfId="42070" xr:uid="{00000000-0005-0000-0000-0000F6A30000}"/>
    <cellStyle name="Output 6 3" xfId="42071" xr:uid="{00000000-0005-0000-0000-0000F7A30000}"/>
    <cellStyle name="Output 6 4" xfId="42072" xr:uid="{00000000-0005-0000-0000-0000F8A30000}"/>
    <cellStyle name="Output 6 5" xfId="42073" xr:uid="{00000000-0005-0000-0000-0000F9A30000}"/>
    <cellStyle name="Output 6 6" xfId="42074" xr:uid="{00000000-0005-0000-0000-0000FAA30000}"/>
    <cellStyle name="Output 6 7" xfId="42075" xr:uid="{00000000-0005-0000-0000-0000FBA30000}"/>
    <cellStyle name="Output 6 8" xfId="42076" xr:uid="{00000000-0005-0000-0000-0000FCA30000}"/>
    <cellStyle name="Output 6 9" xfId="42077" xr:uid="{00000000-0005-0000-0000-0000FDA30000}"/>
    <cellStyle name="Output 7" xfId="42078" xr:uid="{00000000-0005-0000-0000-0000FEA30000}"/>
    <cellStyle name="Output 7 10" xfId="42079" xr:uid="{00000000-0005-0000-0000-0000FFA30000}"/>
    <cellStyle name="Output 7 11" xfId="42080" xr:uid="{00000000-0005-0000-0000-000000A40000}"/>
    <cellStyle name="Output 7 12" xfId="42081" xr:uid="{00000000-0005-0000-0000-000001A40000}"/>
    <cellStyle name="Output 7 13" xfId="42082" xr:uid="{00000000-0005-0000-0000-000002A40000}"/>
    <cellStyle name="Output 7 14" xfId="42083" xr:uid="{00000000-0005-0000-0000-000003A40000}"/>
    <cellStyle name="Output 7 15" xfId="42084" xr:uid="{00000000-0005-0000-0000-000004A40000}"/>
    <cellStyle name="Output 7 16" xfId="42085" xr:uid="{00000000-0005-0000-0000-000005A40000}"/>
    <cellStyle name="Output 7 2" xfId="42086" xr:uid="{00000000-0005-0000-0000-000006A40000}"/>
    <cellStyle name="Output 7 3" xfId="42087" xr:uid="{00000000-0005-0000-0000-000007A40000}"/>
    <cellStyle name="Output 7 4" xfId="42088" xr:uid="{00000000-0005-0000-0000-000008A40000}"/>
    <cellStyle name="Output 7 5" xfId="42089" xr:uid="{00000000-0005-0000-0000-000009A40000}"/>
    <cellStyle name="Output 7 6" xfId="42090" xr:uid="{00000000-0005-0000-0000-00000AA40000}"/>
    <cellStyle name="Output 7 7" xfId="42091" xr:uid="{00000000-0005-0000-0000-00000BA40000}"/>
    <cellStyle name="Output 7 8" xfId="42092" xr:uid="{00000000-0005-0000-0000-00000CA40000}"/>
    <cellStyle name="Output 7 9" xfId="42093" xr:uid="{00000000-0005-0000-0000-00000DA40000}"/>
    <cellStyle name="Output 8" xfId="42094" xr:uid="{00000000-0005-0000-0000-00000EA40000}"/>
    <cellStyle name="Output 8 10" xfId="42095" xr:uid="{00000000-0005-0000-0000-00000FA40000}"/>
    <cellStyle name="Output 8 11" xfId="42096" xr:uid="{00000000-0005-0000-0000-000010A40000}"/>
    <cellStyle name="Output 8 12" xfId="42097" xr:uid="{00000000-0005-0000-0000-000011A40000}"/>
    <cellStyle name="Output 8 13" xfId="42098" xr:uid="{00000000-0005-0000-0000-000012A40000}"/>
    <cellStyle name="Output 8 14" xfId="42099" xr:uid="{00000000-0005-0000-0000-000013A40000}"/>
    <cellStyle name="Output 8 15" xfId="42100" xr:uid="{00000000-0005-0000-0000-000014A40000}"/>
    <cellStyle name="Output 8 16" xfId="42101" xr:uid="{00000000-0005-0000-0000-000015A40000}"/>
    <cellStyle name="Output 8 2" xfId="42102" xr:uid="{00000000-0005-0000-0000-000016A40000}"/>
    <cellStyle name="Output 8 3" xfId="42103" xr:uid="{00000000-0005-0000-0000-000017A40000}"/>
    <cellStyle name="Output 8 4" xfId="42104" xr:uid="{00000000-0005-0000-0000-000018A40000}"/>
    <cellStyle name="Output 8 5" xfId="42105" xr:uid="{00000000-0005-0000-0000-000019A40000}"/>
    <cellStyle name="Output 8 6" xfId="42106" xr:uid="{00000000-0005-0000-0000-00001AA40000}"/>
    <cellStyle name="Output 8 7" xfId="42107" xr:uid="{00000000-0005-0000-0000-00001BA40000}"/>
    <cellStyle name="Output 8 8" xfId="42108" xr:uid="{00000000-0005-0000-0000-00001CA40000}"/>
    <cellStyle name="Output 8 9" xfId="42109" xr:uid="{00000000-0005-0000-0000-00001DA40000}"/>
    <cellStyle name="Output 9" xfId="42110" xr:uid="{00000000-0005-0000-0000-00001EA40000}"/>
    <cellStyle name="Output 9 10" xfId="42111" xr:uid="{00000000-0005-0000-0000-00001FA40000}"/>
    <cellStyle name="Output 9 11" xfId="42112" xr:uid="{00000000-0005-0000-0000-000020A40000}"/>
    <cellStyle name="Output 9 12" xfId="42113" xr:uid="{00000000-0005-0000-0000-000021A40000}"/>
    <cellStyle name="Output 9 13" xfId="42114" xr:uid="{00000000-0005-0000-0000-000022A40000}"/>
    <cellStyle name="Output 9 14" xfId="42115" xr:uid="{00000000-0005-0000-0000-000023A40000}"/>
    <cellStyle name="Output 9 15" xfId="42116" xr:uid="{00000000-0005-0000-0000-000024A40000}"/>
    <cellStyle name="Output 9 16" xfId="42117" xr:uid="{00000000-0005-0000-0000-000025A40000}"/>
    <cellStyle name="Output 9 2" xfId="42118" xr:uid="{00000000-0005-0000-0000-000026A40000}"/>
    <cellStyle name="Output 9 3" xfId="42119" xr:uid="{00000000-0005-0000-0000-000027A40000}"/>
    <cellStyle name="Output 9 4" xfId="42120" xr:uid="{00000000-0005-0000-0000-000028A40000}"/>
    <cellStyle name="Output 9 5" xfId="42121" xr:uid="{00000000-0005-0000-0000-000029A40000}"/>
    <cellStyle name="Output 9 6" xfId="42122" xr:uid="{00000000-0005-0000-0000-00002AA40000}"/>
    <cellStyle name="Output 9 7" xfId="42123" xr:uid="{00000000-0005-0000-0000-00002BA40000}"/>
    <cellStyle name="Output 9 8" xfId="42124" xr:uid="{00000000-0005-0000-0000-00002CA40000}"/>
    <cellStyle name="Output 9 9" xfId="42125" xr:uid="{00000000-0005-0000-0000-00002DA40000}"/>
    <cellStyle name="pc1" xfId="42126" xr:uid="{00000000-0005-0000-0000-00002EA40000}"/>
    <cellStyle name="per.style" xfId="1073" xr:uid="{00000000-0005-0000-0000-00002FA40000}"/>
    <cellStyle name="Percent" xfId="42650" builtinId="5"/>
    <cellStyle name="Percent [0]" xfId="42127" xr:uid="{00000000-0005-0000-0000-000031A40000}"/>
    <cellStyle name="Percent [1]" xfId="42128" xr:uid="{00000000-0005-0000-0000-000032A40000}"/>
    <cellStyle name="Percent [2]" xfId="1074" xr:uid="{00000000-0005-0000-0000-000033A40000}"/>
    <cellStyle name="Percent [2] 10" xfId="42129" xr:uid="{00000000-0005-0000-0000-000034A40000}"/>
    <cellStyle name="Percent [2] 11" xfId="42130" xr:uid="{00000000-0005-0000-0000-000035A40000}"/>
    <cellStyle name="Percent [2] 12" xfId="42131" xr:uid="{00000000-0005-0000-0000-000036A40000}"/>
    <cellStyle name="Percent [2] 13" xfId="42132" xr:uid="{00000000-0005-0000-0000-000037A40000}"/>
    <cellStyle name="Percent [2] 14" xfId="42133" xr:uid="{00000000-0005-0000-0000-000038A40000}"/>
    <cellStyle name="Percent [2] 15" xfId="42134" xr:uid="{00000000-0005-0000-0000-000039A40000}"/>
    <cellStyle name="Percent [2] 16" xfId="42135" xr:uid="{00000000-0005-0000-0000-00003AA40000}"/>
    <cellStyle name="Percent [2] 17" xfId="42136" xr:uid="{00000000-0005-0000-0000-00003BA40000}"/>
    <cellStyle name="Percent [2] 18" xfId="42137" xr:uid="{00000000-0005-0000-0000-00003CA40000}"/>
    <cellStyle name="Percent [2] 19" xfId="42138" xr:uid="{00000000-0005-0000-0000-00003DA40000}"/>
    <cellStyle name="Percent [2] 2" xfId="42139" xr:uid="{00000000-0005-0000-0000-00003EA40000}"/>
    <cellStyle name="Percent [2] 20" xfId="42140" xr:uid="{00000000-0005-0000-0000-00003FA40000}"/>
    <cellStyle name="Percent [2] 21" xfId="42141" xr:uid="{00000000-0005-0000-0000-000040A40000}"/>
    <cellStyle name="Percent [2] 22" xfId="42142" xr:uid="{00000000-0005-0000-0000-000041A40000}"/>
    <cellStyle name="Percent [2] 23" xfId="42143" xr:uid="{00000000-0005-0000-0000-000042A40000}"/>
    <cellStyle name="Percent [2] 24" xfId="42144" xr:uid="{00000000-0005-0000-0000-000043A40000}"/>
    <cellStyle name="Percent [2] 25" xfId="42145" xr:uid="{00000000-0005-0000-0000-000044A40000}"/>
    <cellStyle name="Percent [2] 26" xfId="42146" xr:uid="{00000000-0005-0000-0000-000045A40000}"/>
    <cellStyle name="Percent [2] 27" xfId="42147" xr:uid="{00000000-0005-0000-0000-000046A40000}"/>
    <cellStyle name="Percent [2] 28" xfId="42148" xr:uid="{00000000-0005-0000-0000-000047A40000}"/>
    <cellStyle name="Percent [2] 29" xfId="42149" xr:uid="{00000000-0005-0000-0000-000048A40000}"/>
    <cellStyle name="Percent [2] 3" xfId="42150" xr:uid="{00000000-0005-0000-0000-000049A40000}"/>
    <cellStyle name="Percent [2] 30" xfId="42151" xr:uid="{00000000-0005-0000-0000-00004AA40000}"/>
    <cellStyle name="Percent [2] 31" xfId="42152" xr:uid="{00000000-0005-0000-0000-00004BA40000}"/>
    <cellStyle name="Percent [2] 32" xfId="42153" xr:uid="{00000000-0005-0000-0000-00004CA40000}"/>
    <cellStyle name="Percent [2] 33" xfId="42154" xr:uid="{00000000-0005-0000-0000-00004DA40000}"/>
    <cellStyle name="Percent [2] 4" xfId="42155" xr:uid="{00000000-0005-0000-0000-00004EA40000}"/>
    <cellStyle name="Percent [2] 5" xfId="42156" xr:uid="{00000000-0005-0000-0000-00004FA40000}"/>
    <cellStyle name="Percent [2] 6" xfId="42157" xr:uid="{00000000-0005-0000-0000-000050A40000}"/>
    <cellStyle name="Percent [2] 7" xfId="42158" xr:uid="{00000000-0005-0000-0000-000051A40000}"/>
    <cellStyle name="Percent [2] 8" xfId="42159" xr:uid="{00000000-0005-0000-0000-000052A40000}"/>
    <cellStyle name="Percent [2] 9" xfId="42160" xr:uid="{00000000-0005-0000-0000-000053A40000}"/>
    <cellStyle name="Percent 10" xfId="1075" xr:uid="{00000000-0005-0000-0000-000054A40000}"/>
    <cellStyle name="Percent 11" xfId="1076" xr:uid="{00000000-0005-0000-0000-000055A40000}"/>
    <cellStyle name="Percent 12" xfId="1077" xr:uid="{00000000-0005-0000-0000-000056A40000}"/>
    <cellStyle name="Percent 13" xfId="1078" xr:uid="{00000000-0005-0000-0000-000057A40000}"/>
    <cellStyle name="Percent 14" xfId="1079" xr:uid="{00000000-0005-0000-0000-000058A40000}"/>
    <cellStyle name="Percent 15" xfId="1080" xr:uid="{00000000-0005-0000-0000-000059A40000}"/>
    <cellStyle name="Percent 16" xfId="1081" xr:uid="{00000000-0005-0000-0000-00005AA40000}"/>
    <cellStyle name="Percent 17" xfId="1082" xr:uid="{00000000-0005-0000-0000-00005BA40000}"/>
    <cellStyle name="Percent 18" xfId="1083" xr:uid="{00000000-0005-0000-0000-00005CA40000}"/>
    <cellStyle name="Percent 19" xfId="1084" xr:uid="{00000000-0005-0000-0000-00005DA40000}"/>
    <cellStyle name="Percent 2" xfId="1085" xr:uid="{00000000-0005-0000-0000-00005EA40000}"/>
    <cellStyle name="Percent 2 2" xfId="1086" xr:uid="{00000000-0005-0000-0000-00005FA40000}"/>
    <cellStyle name="Percent 2 2 2" xfId="42646" xr:uid="{00000000-0005-0000-0000-000060A40000}"/>
    <cellStyle name="Percent 2 3" xfId="1087" xr:uid="{00000000-0005-0000-0000-000061A40000}"/>
    <cellStyle name="Percent 2 3 2" xfId="42161" xr:uid="{00000000-0005-0000-0000-000062A40000}"/>
    <cellStyle name="Percent 2 3 3" xfId="42162" xr:uid="{00000000-0005-0000-0000-000063A40000}"/>
    <cellStyle name="Percent 2 3 4" xfId="42163" xr:uid="{00000000-0005-0000-0000-000064A40000}"/>
    <cellStyle name="Percent 2 4" xfId="1088" xr:uid="{00000000-0005-0000-0000-000065A40000}"/>
    <cellStyle name="Percent 2 5" xfId="1089" xr:uid="{00000000-0005-0000-0000-000066A40000}"/>
    <cellStyle name="Percent 2 6" xfId="42645" xr:uid="{00000000-0005-0000-0000-000067A40000}"/>
    <cellStyle name="Percent 20" xfId="1090" xr:uid="{00000000-0005-0000-0000-000068A40000}"/>
    <cellStyle name="Percent 21" xfId="1091" xr:uid="{00000000-0005-0000-0000-000069A40000}"/>
    <cellStyle name="Percent 22" xfId="1092" xr:uid="{00000000-0005-0000-0000-00006AA40000}"/>
    <cellStyle name="Percent 23" xfId="1093" xr:uid="{00000000-0005-0000-0000-00006BA40000}"/>
    <cellStyle name="Percent 24" xfId="1094" xr:uid="{00000000-0005-0000-0000-00006CA40000}"/>
    <cellStyle name="Percent 25" xfId="1095" xr:uid="{00000000-0005-0000-0000-00006DA40000}"/>
    <cellStyle name="Percent 26" xfId="1096" xr:uid="{00000000-0005-0000-0000-00006EA40000}"/>
    <cellStyle name="Percent 27" xfId="1097" xr:uid="{00000000-0005-0000-0000-00006FA40000}"/>
    <cellStyle name="Percent 28" xfId="1098" xr:uid="{00000000-0005-0000-0000-000070A40000}"/>
    <cellStyle name="Percent 29" xfId="1099" xr:uid="{00000000-0005-0000-0000-000071A40000}"/>
    <cellStyle name="Percent 3" xfId="1100" xr:uid="{00000000-0005-0000-0000-000072A40000}"/>
    <cellStyle name="Percent 30" xfId="1101" xr:uid="{00000000-0005-0000-0000-000073A40000}"/>
    <cellStyle name="Percent 31" xfId="1102" xr:uid="{00000000-0005-0000-0000-000074A40000}"/>
    <cellStyle name="Percent 32" xfId="1103" xr:uid="{00000000-0005-0000-0000-000075A40000}"/>
    <cellStyle name="Percent 4" xfId="1104" xr:uid="{00000000-0005-0000-0000-000076A40000}"/>
    <cellStyle name="Percent 4 2" xfId="1105" xr:uid="{00000000-0005-0000-0000-000077A40000}"/>
    <cellStyle name="Percent 4 3" xfId="1106" xr:uid="{00000000-0005-0000-0000-000078A40000}"/>
    <cellStyle name="Percent 4 3 2" xfId="1107" xr:uid="{00000000-0005-0000-0000-000079A40000}"/>
    <cellStyle name="Percent 5" xfId="1108" xr:uid="{00000000-0005-0000-0000-00007AA40000}"/>
    <cellStyle name="Percent 5 2" xfId="42164" xr:uid="{00000000-0005-0000-0000-00007BA40000}"/>
    <cellStyle name="Percent 5 3" xfId="42165" xr:uid="{00000000-0005-0000-0000-00007CA40000}"/>
    <cellStyle name="Percent 5 4" xfId="42166" xr:uid="{00000000-0005-0000-0000-00007DA40000}"/>
    <cellStyle name="Percent 6" xfId="1109" xr:uid="{00000000-0005-0000-0000-00007EA40000}"/>
    <cellStyle name="Percent 6 2" xfId="42167" xr:uid="{00000000-0005-0000-0000-00007FA40000}"/>
    <cellStyle name="Percent 7" xfId="1110" xr:uid="{00000000-0005-0000-0000-000080A40000}"/>
    <cellStyle name="Percent 8" xfId="1111" xr:uid="{00000000-0005-0000-0000-000081A40000}"/>
    <cellStyle name="Percent 9" xfId="1112" xr:uid="{00000000-0005-0000-0000-000082A40000}"/>
    <cellStyle name="PERCENTAGE" xfId="1113" xr:uid="{00000000-0005-0000-0000-000083A40000}"/>
    <cellStyle name="PERCENTAGE 2" xfId="42168" xr:uid="{00000000-0005-0000-0000-000084A40000}"/>
    <cellStyle name="PercentSales" xfId="42169" xr:uid="{00000000-0005-0000-0000-000085A40000}"/>
    <cellStyle name="Perhitungan" xfId="1114" xr:uid="{00000000-0005-0000-0000-000086A40000}"/>
    <cellStyle name="Perhitungan 2" xfId="1115" xr:uid="{00000000-0005-0000-0000-000087A40000}"/>
    <cellStyle name="Perhitungan 3" xfId="1116" xr:uid="{00000000-0005-0000-0000-000088A40000}"/>
    <cellStyle name="pound_mu" xfId="1117" xr:uid="{00000000-0005-0000-0000-000089A40000}"/>
    <cellStyle name="PSChar" xfId="42170" xr:uid="{00000000-0005-0000-0000-00008AA40000}"/>
    <cellStyle name="PSDate" xfId="42171" xr:uid="{00000000-0005-0000-0000-00008BA40000}"/>
    <cellStyle name="Quantité" xfId="42172" xr:uid="{00000000-0005-0000-0000-00008CA40000}"/>
    <cellStyle name="Rate" xfId="42173" xr:uid="{00000000-0005-0000-0000-00008DA40000}"/>
    <cellStyle name="RateBold" xfId="42174" xr:uid="{00000000-0005-0000-0000-00008EA40000}"/>
    <cellStyle name="Red font" xfId="42175" xr:uid="{00000000-0005-0000-0000-00008FA40000}"/>
    <cellStyle name="regstoresfromspecstores" xfId="1118" xr:uid="{00000000-0005-0000-0000-000090A40000}"/>
    <cellStyle name="Reset  - Style7" xfId="1119" xr:uid="{00000000-0005-0000-0000-000091A40000}"/>
    <cellStyle name="RevList" xfId="1120" xr:uid="{00000000-0005-0000-0000-000092A40000}"/>
    <cellStyle name="RevList 2" xfId="1121" xr:uid="{00000000-0005-0000-0000-000093A40000}"/>
    <cellStyle name="S/Titre" xfId="42176" xr:uid="{00000000-0005-0000-0000-000094A40000}"/>
    <cellStyle name="SATU" xfId="1122" xr:uid="{00000000-0005-0000-0000-000095A40000}"/>
    <cellStyle name="SATU 2" xfId="1123" xr:uid="{00000000-0005-0000-0000-000096A40000}"/>
    <cellStyle name="SATU 3" xfId="1124" xr:uid="{00000000-0005-0000-0000-000097A40000}"/>
    <cellStyle name="Section Title" xfId="42177" xr:uid="{00000000-0005-0000-0000-000098A40000}"/>
    <cellStyle name="Sel Tertaut" xfId="1125" xr:uid="{00000000-0005-0000-0000-000099A40000}"/>
    <cellStyle name="SHADEDSTORES" xfId="1126" xr:uid="{00000000-0005-0000-0000-00009AA40000}"/>
    <cellStyle name="SHADEDSTORES 10" xfId="42178" xr:uid="{00000000-0005-0000-0000-00009BA40000}"/>
    <cellStyle name="SHADEDSTORES 11" xfId="42179" xr:uid="{00000000-0005-0000-0000-00009CA40000}"/>
    <cellStyle name="SHADEDSTORES 12" xfId="42180" xr:uid="{00000000-0005-0000-0000-00009DA40000}"/>
    <cellStyle name="SHADEDSTORES 2" xfId="1127" xr:uid="{00000000-0005-0000-0000-00009EA40000}"/>
    <cellStyle name="SHADEDSTORES 3" xfId="42181" xr:uid="{00000000-0005-0000-0000-00009FA40000}"/>
    <cellStyle name="SHADEDSTORES 4" xfId="42182" xr:uid="{00000000-0005-0000-0000-0000A0A40000}"/>
    <cellStyle name="SHADEDSTORES 5" xfId="42183" xr:uid="{00000000-0005-0000-0000-0000A1A40000}"/>
    <cellStyle name="SHADEDSTORES 6" xfId="42184" xr:uid="{00000000-0005-0000-0000-0000A2A40000}"/>
    <cellStyle name="SHADEDSTORES 7" xfId="42185" xr:uid="{00000000-0005-0000-0000-0000A3A40000}"/>
    <cellStyle name="SHADEDSTORES 8" xfId="42186" xr:uid="{00000000-0005-0000-0000-0000A4A40000}"/>
    <cellStyle name="SHADEDSTORES 9" xfId="42187" xr:uid="{00000000-0005-0000-0000-0000A5A40000}"/>
    <cellStyle name="Sheet Title" xfId="1128" xr:uid="{00000000-0005-0000-0000-0000A6A40000}"/>
    <cellStyle name="specstores" xfId="1129" xr:uid="{00000000-0005-0000-0000-0000A7A40000}"/>
    <cellStyle name="Standard_SCCSUM06.XLS" xfId="42188" xr:uid="{00000000-0005-0000-0000-0000A8A40000}"/>
    <cellStyle name="Strange" xfId="42189" xr:uid="{00000000-0005-0000-0000-0000A9A40000}"/>
    <cellStyle name="STYL0 - Style1" xfId="42190" xr:uid="{00000000-0005-0000-0000-0000AAA40000}"/>
    <cellStyle name="STYL1 - Style2" xfId="42191" xr:uid="{00000000-0005-0000-0000-0000ABA40000}"/>
    <cellStyle name="STYL2 - Style3" xfId="42192" xr:uid="{00000000-0005-0000-0000-0000ACA40000}"/>
    <cellStyle name="STYL3 - Style4" xfId="42193" xr:uid="{00000000-0005-0000-0000-0000ADA40000}"/>
    <cellStyle name="STYL4 - Style5" xfId="42194" xr:uid="{00000000-0005-0000-0000-0000AEA40000}"/>
    <cellStyle name="STYL5 - Style6" xfId="42195" xr:uid="{00000000-0005-0000-0000-0000AFA40000}"/>
    <cellStyle name="STYL6 - Style7" xfId="42196" xr:uid="{00000000-0005-0000-0000-0000B0A40000}"/>
    <cellStyle name="STYL7 - Style8" xfId="42197" xr:uid="{00000000-0005-0000-0000-0000B1A40000}"/>
    <cellStyle name="Style 1" xfId="1130" xr:uid="{00000000-0005-0000-0000-0000B2A40000}"/>
    <cellStyle name="Style 2" xfId="42198" xr:uid="{00000000-0005-0000-0000-0000B3A40000}"/>
    <cellStyle name="Style 3" xfId="42199" xr:uid="{00000000-0005-0000-0000-0000B4A40000}"/>
    <cellStyle name="Style 4" xfId="42200" xr:uid="{00000000-0005-0000-0000-0000B5A40000}"/>
    <cellStyle name="Style 5" xfId="42201" xr:uid="{00000000-0005-0000-0000-0000B6A40000}"/>
    <cellStyle name="Subtitle" xfId="42202" xr:uid="{00000000-0005-0000-0000-0000B7A40000}"/>
    <cellStyle name="Subtotal" xfId="1131" xr:uid="{00000000-0005-0000-0000-0000B8A40000}"/>
    <cellStyle name="sum" xfId="1132" xr:uid="{00000000-0005-0000-0000-0000B9A40000}"/>
    <cellStyle name="sum 2" xfId="1133" xr:uid="{00000000-0005-0000-0000-0000BAA40000}"/>
    <cellStyle name="sum 3" xfId="1134" xr:uid="{00000000-0005-0000-0000-0000BBA40000}"/>
    <cellStyle name="sum 4" xfId="1135" xr:uid="{00000000-0005-0000-0000-0000BCA40000}"/>
    <cellStyle name="sum 5" xfId="1136" xr:uid="{00000000-0005-0000-0000-0000BDA40000}"/>
    <cellStyle name="sum 6" xfId="1137" xr:uid="{00000000-0005-0000-0000-0000BEA40000}"/>
    <cellStyle name="sum8" xfId="42203" xr:uid="{00000000-0005-0000-0000-0000BFA40000}"/>
    <cellStyle name="Summary_back" xfId="42204" xr:uid="{00000000-0005-0000-0000-0000C0A40000}"/>
    <cellStyle name="T" xfId="42205" xr:uid="{00000000-0005-0000-0000-0000C1A40000}"/>
    <cellStyle name="T 10" xfId="42206" xr:uid="{00000000-0005-0000-0000-0000C2A40000}"/>
    <cellStyle name="T 11" xfId="42207" xr:uid="{00000000-0005-0000-0000-0000C3A40000}"/>
    <cellStyle name="T 12" xfId="42208" xr:uid="{00000000-0005-0000-0000-0000C4A40000}"/>
    <cellStyle name="T 13" xfId="42209" xr:uid="{00000000-0005-0000-0000-0000C5A40000}"/>
    <cellStyle name="T 14" xfId="42210" xr:uid="{00000000-0005-0000-0000-0000C6A40000}"/>
    <cellStyle name="T 15" xfId="42211" xr:uid="{00000000-0005-0000-0000-0000C7A40000}"/>
    <cellStyle name="T 16" xfId="42212" xr:uid="{00000000-0005-0000-0000-0000C8A40000}"/>
    <cellStyle name="T 2" xfId="42213" xr:uid="{00000000-0005-0000-0000-0000C9A40000}"/>
    <cellStyle name="T 3" xfId="42214" xr:uid="{00000000-0005-0000-0000-0000CAA40000}"/>
    <cellStyle name="T 4" xfId="42215" xr:uid="{00000000-0005-0000-0000-0000CBA40000}"/>
    <cellStyle name="T 5" xfId="42216" xr:uid="{00000000-0005-0000-0000-0000CCA40000}"/>
    <cellStyle name="T 6" xfId="42217" xr:uid="{00000000-0005-0000-0000-0000CDA40000}"/>
    <cellStyle name="T 7" xfId="42218" xr:uid="{00000000-0005-0000-0000-0000CEA40000}"/>
    <cellStyle name="T 8" xfId="42219" xr:uid="{00000000-0005-0000-0000-0000CFA40000}"/>
    <cellStyle name="T 9" xfId="42220" xr:uid="{00000000-0005-0000-0000-0000D0A40000}"/>
    <cellStyle name="T_Book1" xfId="42221" xr:uid="{00000000-0005-0000-0000-0000D1A40000}"/>
    <cellStyle name="T_Book1 10" xfId="42222" xr:uid="{00000000-0005-0000-0000-0000D2A40000}"/>
    <cellStyle name="T_Book1 11" xfId="42223" xr:uid="{00000000-0005-0000-0000-0000D3A40000}"/>
    <cellStyle name="T_Book1 12" xfId="42224" xr:uid="{00000000-0005-0000-0000-0000D4A40000}"/>
    <cellStyle name="T_Book1 13" xfId="42225" xr:uid="{00000000-0005-0000-0000-0000D5A40000}"/>
    <cellStyle name="T_Book1 14" xfId="42226" xr:uid="{00000000-0005-0000-0000-0000D6A40000}"/>
    <cellStyle name="T_Book1 15" xfId="42227" xr:uid="{00000000-0005-0000-0000-0000D7A40000}"/>
    <cellStyle name="T_Book1 16" xfId="42228" xr:uid="{00000000-0005-0000-0000-0000D8A40000}"/>
    <cellStyle name="T_Book1 2" xfId="42229" xr:uid="{00000000-0005-0000-0000-0000D9A40000}"/>
    <cellStyle name="T_Book1 3" xfId="42230" xr:uid="{00000000-0005-0000-0000-0000DAA40000}"/>
    <cellStyle name="T_Book1 4" xfId="42231" xr:uid="{00000000-0005-0000-0000-0000DBA40000}"/>
    <cellStyle name="T_Book1 5" xfId="42232" xr:uid="{00000000-0005-0000-0000-0000DCA40000}"/>
    <cellStyle name="T_Book1 6" xfId="42233" xr:uid="{00000000-0005-0000-0000-0000DDA40000}"/>
    <cellStyle name="T_Book1 7" xfId="42234" xr:uid="{00000000-0005-0000-0000-0000DEA40000}"/>
    <cellStyle name="T_Book1 8" xfId="42235" xr:uid="{00000000-0005-0000-0000-0000DFA40000}"/>
    <cellStyle name="T_Book1 9" xfId="42236" xr:uid="{00000000-0005-0000-0000-0000E0A40000}"/>
    <cellStyle name="T_Book1_Copy of Pasca Sarjana Unimed 15%PP-2009" xfId="42237" xr:uid="{00000000-0005-0000-0000-0000E1A40000}"/>
    <cellStyle name="T_Book1_Copy of Pasca Sarjana Unimed 15%PP-2009_1" xfId="42238" xr:uid="{00000000-0005-0000-0000-0000E2A40000}"/>
    <cellStyle name="T_Book1_Copy of Pasca Sarjana Unimed 15%PP-2009_Copy of Pasca Sarjana Unimed 15%PP-2009" xfId="42239" xr:uid="{00000000-0005-0000-0000-0000E3A40000}"/>
    <cellStyle name="T_Book1_Copy of Pasca Sarjana Unimed 15%PP-2009_daftar analisa SNI lengkap" xfId="42240" xr:uid="{00000000-0005-0000-0000-0000E4A40000}"/>
    <cellStyle name="T_Book1_daftar analisa SNI lengkap" xfId="42241" xr:uid="{00000000-0005-0000-0000-0000E5A40000}"/>
    <cellStyle name="T_Book1_ICOI AHMAD" xfId="42242" xr:uid="{00000000-0005-0000-0000-0000E6A40000}"/>
    <cellStyle name="T_Book1_RAB PASCA EDIT" xfId="42243" xr:uid="{00000000-0005-0000-0000-0000E7A40000}"/>
    <cellStyle name="T_Book1_RAB PASCA EDIT_daftar analisa SNI lengkap" xfId="42244" xr:uid="{00000000-0005-0000-0000-0000E8A40000}"/>
    <cellStyle name="T_Book1_RAB PASCA EDIT_ICOI AHMAD" xfId="42245" xr:uid="{00000000-0005-0000-0000-0000E9A40000}"/>
    <cellStyle name="T_Book1_REKAP TOTAL" xfId="42246" xr:uid="{00000000-0005-0000-0000-0000EAA40000}"/>
    <cellStyle name="T_Book1_REKAP TOTAL 10" xfId="42247" xr:uid="{00000000-0005-0000-0000-0000EBA40000}"/>
    <cellStyle name="T_Book1_REKAP TOTAL 11" xfId="42248" xr:uid="{00000000-0005-0000-0000-0000ECA40000}"/>
    <cellStyle name="T_Book1_REKAP TOTAL 12" xfId="42249" xr:uid="{00000000-0005-0000-0000-0000EDA40000}"/>
    <cellStyle name="T_Book1_REKAP TOTAL 13" xfId="42250" xr:uid="{00000000-0005-0000-0000-0000EEA40000}"/>
    <cellStyle name="T_Book1_REKAP TOTAL 14" xfId="42251" xr:uid="{00000000-0005-0000-0000-0000EFA40000}"/>
    <cellStyle name="T_Book1_REKAP TOTAL 15" xfId="42252" xr:uid="{00000000-0005-0000-0000-0000F0A40000}"/>
    <cellStyle name="T_Book1_REKAP TOTAL 16" xfId="42253" xr:uid="{00000000-0005-0000-0000-0000F1A40000}"/>
    <cellStyle name="T_Book1_REKAP TOTAL 2" xfId="42254" xr:uid="{00000000-0005-0000-0000-0000F2A40000}"/>
    <cellStyle name="T_Book1_REKAP TOTAL 3" xfId="42255" xr:uid="{00000000-0005-0000-0000-0000F3A40000}"/>
    <cellStyle name="T_Book1_REKAP TOTAL 4" xfId="42256" xr:uid="{00000000-0005-0000-0000-0000F4A40000}"/>
    <cellStyle name="T_Book1_REKAP TOTAL 5" xfId="42257" xr:uid="{00000000-0005-0000-0000-0000F5A40000}"/>
    <cellStyle name="T_Book1_REKAP TOTAL 6" xfId="42258" xr:uid="{00000000-0005-0000-0000-0000F6A40000}"/>
    <cellStyle name="T_Book1_REKAP TOTAL 7" xfId="42259" xr:uid="{00000000-0005-0000-0000-0000F7A40000}"/>
    <cellStyle name="T_Book1_REKAP TOTAL 8" xfId="42260" xr:uid="{00000000-0005-0000-0000-0000F8A40000}"/>
    <cellStyle name="T_Book1_REKAP TOTAL 9" xfId="42261" xr:uid="{00000000-0005-0000-0000-0000F9A40000}"/>
    <cellStyle name="T_Book1_STR Tangga ( PCA )" xfId="42262" xr:uid="{00000000-0005-0000-0000-0000FAA40000}"/>
    <cellStyle name="T_Book1_STR Tangga ( PCA ) 2" xfId="42263" xr:uid="{00000000-0005-0000-0000-0000FBA40000}"/>
    <cellStyle name="T_Book1_STR Tangga ( PCA ) 3" xfId="42264" xr:uid="{00000000-0005-0000-0000-0000FCA40000}"/>
    <cellStyle name="T_Book1_STR Tangga ( PCA ) 4" xfId="42265" xr:uid="{00000000-0005-0000-0000-0000FDA40000}"/>
    <cellStyle name="T_Book1_STR Tangga ( PCA ) 5" xfId="42266" xr:uid="{00000000-0005-0000-0000-0000FEA40000}"/>
    <cellStyle name="T_Book1_STR Tangga ( PCA ) 6" xfId="42267" xr:uid="{00000000-0005-0000-0000-0000FFA40000}"/>
    <cellStyle name="T_Book1_STR Tangga ( PCA ) 7" xfId="42268" xr:uid="{00000000-0005-0000-0000-000000A50000}"/>
    <cellStyle name="t_BQ_SAMEL_BNI_BEKASI_email" xfId="42269" xr:uid="{00000000-0005-0000-0000-000001A50000}"/>
    <cellStyle name="t_BQ_SAMEL_BNI_BEKASI_email 10" xfId="42270" xr:uid="{00000000-0005-0000-0000-000002A50000}"/>
    <cellStyle name="t_BQ_SAMEL_BNI_BEKASI_email 2" xfId="42271" xr:uid="{00000000-0005-0000-0000-000003A50000}"/>
    <cellStyle name="t_BQ_SAMEL_BNI_BEKASI_email 3" xfId="42272" xr:uid="{00000000-0005-0000-0000-000004A50000}"/>
    <cellStyle name="t_BQ_SAMEL_BNI_BEKASI_email 4" xfId="42273" xr:uid="{00000000-0005-0000-0000-000005A50000}"/>
    <cellStyle name="t_BQ_SAMEL_BNI_BEKASI_email 5" xfId="42274" xr:uid="{00000000-0005-0000-0000-000006A50000}"/>
    <cellStyle name="t_BQ_SAMEL_BNI_BEKASI_email 6" xfId="42275" xr:uid="{00000000-0005-0000-0000-000007A50000}"/>
    <cellStyle name="t_BQ_SAMEL_BNI_BEKASI_email 7" xfId="42276" xr:uid="{00000000-0005-0000-0000-000008A50000}"/>
    <cellStyle name="t_BQ_SAMEL_BNI_BEKASI_email 8" xfId="42277" xr:uid="{00000000-0005-0000-0000-000009A50000}"/>
    <cellStyle name="t_BQ_SAMEL_BNI_BEKASI_email 9" xfId="42278" xr:uid="{00000000-0005-0000-0000-00000AA50000}"/>
    <cellStyle name="T_Copy of Pasca Sarjana Unimed 15%PP-2009" xfId="42279" xr:uid="{00000000-0005-0000-0000-00000BA50000}"/>
    <cellStyle name="T_Copy of Pasca Sarjana Unimed 15%PP-2009_1" xfId="42280" xr:uid="{00000000-0005-0000-0000-00000CA50000}"/>
    <cellStyle name="T_Copy of Pasca Sarjana Unimed 15%PP-2009_Copy of Pasca Sarjana Unimed 15%PP-2009" xfId="42281" xr:uid="{00000000-0005-0000-0000-00000DA50000}"/>
    <cellStyle name="T_Copy of Pasca Sarjana Unimed 15%PP-2009_daftar analisa SNI lengkap" xfId="42282" xr:uid="{00000000-0005-0000-0000-00000EA50000}"/>
    <cellStyle name="T_daftar analisa SNI lengkap" xfId="42283" xr:uid="{00000000-0005-0000-0000-00000FA50000}"/>
    <cellStyle name="T_ICOI AHMAD" xfId="42284" xr:uid="{00000000-0005-0000-0000-000010A50000}"/>
    <cellStyle name="T_RAB PASCA EDIT" xfId="42285" xr:uid="{00000000-0005-0000-0000-000011A50000}"/>
    <cellStyle name="T_RAPK FINAL DVO Pipe Rack" xfId="42286" xr:uid="{00000000-0005-0000-0000-000012A50000}"/>
    <cellStyle name="T_RAPK FINAL DVO Pipe Rack 10" xfId="42287" xr:uid="{00000000-0005-0000-0000-000013A50000}"/>
    <cellStyle name="T_RAPK FINAL DVO Pipe Rack 11" xfId="42288" xr:uid="{00000000-0005-0000-0000-000014A50000}"/>
    <cellStyle name="T_RAPK FINAL DVO Pipe Rack 12" xfId="42289" xr:uid="{00000000-0005-0000-0000-000015A50000}"/>
    <cellStyle name="T_RAPK FINAL DVO Pipe Rack 13" xfId="42290" xr:uid="{00000000-0005-0000-0000-000016A50000}"/>
    <cellStyle name="T_RAPK FINAL DVO Pipe Rack 14" xfId="42291" xr:uid="{00000000-0005-0000-0000-000017A50000}"/>
    <cellStyle name="T_RAPK FINAL DVO Pipe Rack 15" xfId="42292" xr:uid="{00000000-0005-0000-0000-000018A50000}"/>
    <cellStyle name="T_RAPK FINAL DVO Pipe Rack 16" xfId="42293" xr:uid="{00000000-0005-0000-0000-000019A50000}"/>
    <cellStyle name="T_RAPK FINAL DVO Pipe Rack 2" xfId="42294" xr:uid="{00000000-0005-0000-0000-00001AA50000}"/>
    <cellStyle name="T_RAPK FINAL DVO Pipe Rack 3" xfId="42295" xr:uid="{00000000-0005-0000-0000-00001BA50000}"/>
    <cellStyle name="T_RAPK FINAL DVO Pipe Rack 4" xfId="42296" xr:uid="{00000000-0005-0000-0000-00001CA50000}"/>
    <cellStyle name="T_RAPK FINAL DVO Pipe Rack 5" xfId="42297" xr:uid="{00000000-0005-0000-0000-00001DA50000}"/>
    <cellStyle name="T_RAPK FINAL DVO Pipe Rack 6" xfId="42298" xr:uid="{00000000-0005-0000-0000-00001EA50000}"/>
    <cellStyle name="T_RAPK FINAL DVO Pipe Rack 7" xfId="42299" xr:uid="{00000000-0005-0000-0000-00001FA50000}"/>
    <cellStyle name="T_RAPK FINAL DVO Pipe Rack 8" xfId="42300" xr:uid="{00000000-0005-0000-0000-000020A50000}"/>
    <cellStyle name="T_RAPK FINAL DVO Pipe Rack 9" xfId="42301" xr:uid="{00000000-0005-0000-0000-000021A50000}"/>
    <cellStyle name="T_SKBDN Batam" xfId="42302" xr:uid="{00000000-0005-0000-0000-000022A50000}"/>
    <cellStyle name="T_SKBDN Batam 2" xfId="42303" xr:uid="{00000000-0005-0000-0000-000023A50000}"/>
    <cellStyle name="T_SKBDN Batam 3" xfId="42304" xr:uid="{00000000-0005-0000-0000-000024A50000}"/>
    <cellStyle name="T_SKBDN Batam 4" xfId="42305" xr:uid="{00000000-0005-0000-0000-000025A50000}"/>
    <cellStyle name="T_SKBDN Batam 5" xfId="42306" xr:uid="{00000000-0005-0000-0000-000026A50000}"/>
    <cellStyle name="T_SKBDN Batam 6" xfId="42307" xr:uid="{00000000-0005-0000-0000-000027A50000}"/>
    <cellStyle name="T_SKBDN Batam 7" xfId="42308" xr:uid="{00000000-0005-0000-0000-000028A50000}"/>
    <cellStyle name="Table" xfId="1138" xr:uid="{00000000-0005-0000-0000-000029A50000}"/>
    <cellStyle name="Table  - Style6" xfId="1139" xr:uid="{00000000-0005-0000-0000-00002AA50000}"/>
    <cellStyle name="Table  - Style6 10" xfId="42309" xr:uid="{00000000-0005-0000-0000-00002BA50000}"/>
    <cellStyle name="Table  - Style6 11" xfId="42310" xr:uid="{00000000-0005-0000-0000-00002CA50000}"/>
    <cellStyle name="Table  - Style6 12" xfId="42311" xr:uid="{00000000-0005-0000-0000-00002DA50000}"/>
    <cellStyle name="Table  - Style6 13" xfId="42312" xr:uid="{00000000-0005-0000-0000-00002EA50000}"/>
    <cellStyle name="Table  - Style6 14" xfId="42313" xr:uid="{00000000-0005-0000-0000-00002FA50000}"/>
    <cellStyle name="Table  - Style6 15" xfId="42314" xr:uid="{00000000-0005-0000-0000-000030A50000}"/>
    <cellStyle name="Table  - Style6 16" xfId="42315" xr:uid="{00000000-0005-0000-0000-000031A50000}"/>
    <cellStyle name="Table  - Style6 2" xfId="42316" xr:uid="{00000000-0005-0000-0000-000032A50000}"/>
    <cellStyle name="Table  - Style6 3" xfId="42317" xr:uid="{00000000-0005-0000-0000-000033A50000}"/>
    <cellStyle name="Table  - Style6 4" xfId="42318" xr:uid="{00000000-0005-0000-0000-000034A50000}"/>
    <cellStyle name="Table  - Style6 5" xfId="42319" xr:uid="{00000000-0005-0000-0000-000035A50000}"/>
    <cellStyle name="Table  - Style6 6" xfId="42320" xr:uid="{00000000-0005-0000-0000-000036A50000}"/>
    <cellStyle name="Table  - Style6 7" xfId="42321" xr:uid="{00000000-0005-0000-0000-000037A50000}"/>
    <cellStyle name="Table  - Style6 8" xfId="42322" xr:uid="{00000000-0005-0000-0000-000038A50000}"/>
    <cellStyle name="Table  - Style6 9" xfId="42323" xr:uid="{00000000-0005-0000-0000-000039A50000}"/>
    <cellStyle name="Table 10" xfId="42324" xr:uid="{00000000-0005-0000-0000-00003AA50000}"/>
    <cellStyle name="Table 11" xfId="42325" xr:uid="{00000000-0005-0000-0000-00003BA50000}"/>
    <cellStyle name="Table 12" xfId="42326" xr:uid="{00000000-0005-0000-0000-00003CA50000}"/>
    <cellStyle name="Table 13" xfId="42327" xr:uid="{00000000-0005-0000-0000-00003DA50000}"/>
    <cellStyle name="Table 14" xfId="42328" xr:uid="{00000000-0005-0000-0000-00003EA50000}"/>
    <cellStyle name="Table 15" xfId="42329" xr:uid="{00000000-0005-0000-0000-00003FA50000}"/>
    <cellStyle name="Table 16" xfId="42330" xr:uid="{00000000-0005-0000-0000-000040A50000}"/>
    <cellStyle name="Table 2" xfId="42331" xr:uid="{00000000-0005-0000-0000-000041A50000}"/>
    <cellStyle name="Table 3" xfId="42332" xr:uid="{00000000-0005-0000-0000-000042A50000}"/>
    <cellStyle name="Table 4" xfId="42333" xr:uid="{00000000-0005-0000-0000-000043A50000}"/>
    <cellStyle name="Table 5" xfId="42334" xr:uid="{00000000-0005-0000-0000-000044A50000}"/>
    <cellStyle name="Table 6" xfId="42335" xr:uid="{00000000-0005-0000-0000-000045A50000}"/>
    <cellStyle name="Table 7" xfId="42336" xr:uid="{00000000-0005-0000-0000-000046A50000}"/>
    <cellStyle name="Table 8" xfId="42337" xr:uid="{00000000-0005-0000-0000-000047A50000}"/>
    <cellStyle name="Table 9" xfId="42338" xr:uid="{00000000-0005-0000-0000-000048A50000}"/>
    <cellStyle name="Tajuk 1" xfId="1140" xr:uid="{00000000-0005-0000-0000-000049A50000}"/>
    <cellStyle name="Tajuk 2" xfId="1141" xr:uid="{00000000-0005-0000-0000-00004AA50000}"/>
    <cellStyle name="Tajuk 3" xfId="1142" xr:uid="{00000000-0005-0000-0000-00004BA50000}"/>
    <cellStyle name="Tajuk 4" xfId="1143" xr:uid="{00000000-0005-0000-0000-00004CA50000}"/>
    <cellStyle name="Teks Penjelasan" xfId="1144" xr:uid="{00000000-0005-0000-0000-00004DA50000}"/>
    <cellStyle name="Teks Peringatan" xfId="1145" xr:uid="{00000000-0005-0000-0000-00004EA50000}"/>
    <cellStyle name="Test [green]" xfId="42339" xr:uid="{00000000-0005-0000-0000-00004FA50000}"/>
    <cellStyle name="TFCF" xfId="42340" xr:uid="{00000000-0005-0000-0000-000050A50000}"/>
    <cellStyle name="tgl" xfId="42341" xr:uid="{00000000-0005-0000-0000-000051A50000}"/>
    <cellStyle name="th" xfId="42342" xr:uid="{00000000-0005-0000-0000-000052A50000}"/>
    <cellStyle name="th 10" xfId="42343" xr:uid="{00000000-0005-0000-0000-000053A50000}"/>
    <cellStyle name="th 11" xfId="42344" xr:uid="{00000000-0005-0000-0000-000054A50000}"/>
    <cellStyle name="th 12" xfId="42345" xr:uid="{00000000-0005-0000-0000-000055A50000}"/>
    <cellStyle name="th 13" xfId="42346" xr:uid="{00000000-0005-0000-0000-000056A50000}"/>
    <cellStyle name="th 14" xfId="42347" xr:uid="{00000000-0005-0000-0000-000057A50000}"/>
    <cellStyle name="th 15" xfId="42348" xr:uid="{00000000-0005-0000-0000-000058A50000}"/>
    <cellStyle name="th 16" xfId="42349" xr:uid="{00000000-0005-0000-0000-000059A50000}"/>
    <cellStyle name="th 2" xfId="42350" xr:uid="{00000000-0005-0000-0000-00005AA50000}"/>
    <cellStyle name="th 3" xfId="42351" xr:uid="{00000000-0005-0000-0000-00005BA50000}"/>
    <cellStyle name="th 4" xfId="42352" xr:uid="{00000000-0005-0000-0000-00005CA50000}"/>
    <cellStyle name="th 5" xfId="42353" xr:uid="{00000000-0005-0000-0000-00005DA50000}"/>
    <cellStyle name="th 6" xfId="42354" xr:uid="{00000000-0005-0000-0000-00005EA50000}"/>
    <cellStyle name="th 7" xfId="42355" xr:uid="{00000000-0005-0000-0000-00005FA50000}"/>
    <cellStyle name="th 8" xfId="42356" xr:uid="{00000000-0005-0000-0000-000060A50000}"/>
    <cellStyle name="th 9" xfId="42357" xr:uid="{00000000-0005-0000-0000-000061A50000}"/>
    <cellStyle name="þ_x001d_ð+&amp;„ý›&amp;}ý_x000b__x0008__x0011__x000b_å_x000b__x0007__x0001__x0001_" xfId="1146" xr:uid="{00000000-0005-0000-0000-000062A50000}"/>
    <cellStyle name="þ_x001d_ð+&amp;„ý›&amp;}ý_x000b__x0008__x0011__x000b_å_x000b__x0007__x0001__x0001_?_x0002_ÿÿÿÿÿÿÿÿÿÿÿÿÿÿÿ_x0001_(_x0002_{_x000c_???ˆ_x001e_ÿÿÿÿ????_x0007_???????????????Í!Ë??????????           ?????           ?????????_x000d_?????????????????????????????????????????????????????????????????????????????????????????????????????????????????????" xfId="42358" xr:uid="{00000000-0005-0000-0000-000063A50000}"/>
    <cellStyle name="þ_x001d_ð+&amp;„ý›&amp;}ý_x000b__x0008__x0011__x000b_å_x000b__x0007__x0001__x0001_?_x0002_ÿÿÿÿÿÿÿÿÿÿÿÿÿÿÿ_x0001_(_x0002_{_x000c_???ˆ_x001e_ÿÿÿÿ????_x0007_???????????????Í!Ë??????????           ?????           ?????????_x000d_????????????????????????????????????????????????????????????????????????????????????????????????????????????????????? 1" xfId="42359" xr:uid="{00000000-0005-0000-0000-000064A50000}"/>
    <cellStyle name="Title  - Style1" xfId="1147" xr:uid="{00000000-0005-0000-0000-000065A50000}"/>
    <cellStyle name="Title 10" xfId="42360" xr:uid="{00000000-0005-0000-0000-000066A50000}"/>
    <cellStyle name="Title 11" xfId="42361" xr:uid="{00000000-0005-0000-0000-000067A50000}"/>
    <cellStyle name="Title 12" xfId="42362" xr:uid="{00000000-0005-0000-0000-000068A50000}"/>
    <cellStyle name="Title 13" xfId="42363" xr:uid="{00000000-0005-0000-0000-000069A50000}"/>
    <cellStyle name="Title 2" xfId="1148" xr:uid="{00000000-0005-0000-0000-00006AA50000}"/>
    <cellStyle name="Title 3" xfId="1149" xr:uid="{00000000-0005-0000-0000-00006BA50000}"/>
    <cellStyle name="Title 4" xfId="1150" xr:uid="{00000000-0005-0000-0000-00006CA50000}"/>
    <cellStyle name="Title 5" xfId="42364" xr:uid="{00000000-0005-0000-0000-00006DA50000}"/>
    <cellStyle name="Title 6" xfId="42365" xr:uid="{00000000-0005-0000-0000-00006EA50000}"/>
    <cellStyle name="Title 7" xfId="42366" xr:uid="{00000000-0005-0000-0000-00006FA50000}"/>
    <cellStyle name="Title 8" xfId="42367" xr:uid="{00000000-0005-0000-0000-000070A50000}"/>
    <cellStyle name="Title 9" xfId="42368" xr:uid="{00000000-0005-0000-0000-000071A50000}"/>
    <cellStyle name="Title Row" xfId="42369" xr:uid="{00000000-0005-0000-0000-000072A50000}"/>
    <cellStyle name="Title Row 2" xfId="42370" xr:uid="{00000000-0005-0000-0000-000073A50000}"/>
    <cellStyle name="Total 10" xfId="1151" xr:uid="{00000000-0005-0000-0000-000074A50000}"/>
    <cellStyle name="Total 10 10" xfId="42371" xr:uid="{00000000-0005-0000-0000-000075A50000}"/>
    <cellStyle name="Total 10 11" xfId="42372" xr:uid="{00000000-0005-0000-0000-000076A50000}"/>
    <cellStyle name="Total 10 12" xfId="42373" xr:uid="{00000000-0005-0000-0000-000077A50000}"/>
    <cellStyle name="Total 10 13" xfId="42374" xr:uid="{00000000-0005-0000-0000-000078A50000}"/>
    <cellStyle name="Total 10 14" xfId="42375" xr:uid="{00000000-0005-0000-0000-000079A50000}"/>
    <cellStyle name="Total 10 15" xfId="42376" xr:uid="{00000000-0005-0000-0000-00007AA50000}"/>
    <cellStyle name="Total 10 16" xfId="42377" xr:uid="{00000000-0005-0000-0000-00007BA50000}"/>
    <cellStyle name="Total 10 2" xfId="42378" xr:uid="{00000000-0005-0000-0000-00007CA50000}"/>
    <cellStyle name="Total 10 3" xfId="42379" xr:uid="{00000000-0005-0000-0000-00007DA50000}"/>
    <cellStyle name="Total 10 4" xfId="42380" xr:uid="{00000000-0005-0000-0000-00007EA50000}"/>
    <cellStyle name="Total 10 5" xfId="42381" xr:uid="{00000000-0005-0000-0000-00007FA50000}"/>
    <cellStyle name="Total 10 6" xfId="42382" xr:uid="{00000000-0005-0000-0000-000080A50000}"/>
    <cellStyle name="Total 10 7" xfId="42383" xr:uid="{00000000-0005-0000-0000-000081A50000}"/>
    <cellStyle name="Total 10 8" xfId="42384" xr:uid="{00000000-0005-0000-0000-000082A50000}"/>
    <cellStyle name="Total 10 9" xfId="42385" xr:uid="{00000000-0005-0000-0000-000083A50000}"/>
    <cellStyle name="Total 11" xfId="42386" xr:uid="{00000000-0005-0000-0000-000084A50000}"/>
    <cellStyle name="Total 11 10" xfId="42387" xr:uid="{00000000-0005-0000-0000-000085A50000}"/>
    <cellStyle name="Total 11 11" xfId="42388" xr:uid="{00000000-0005-0000-0000-000086A50000}"/>
    <cellStyle name="Total 11 12" xfId="42389" xr:uid="{00000000-0005-0000-0000-000087A50000}"/>
    <cellStyle name="Total 11 13" xfId="42390" xr:uid="{00000000-0005-0000-0000-000088A50000}"/>
    <cellStyle name="Total 11 14" xfId="42391" xr:uid="{00000000-0005-0000-0000-000089A50000}"/>
    <cellStyle name="Total 11 15" xfId="42392" xr:uid="{00000000-0005-0000-0000-00008AA50000}"/>
    <cellStyle name="Total 11 16" xfId="42393" xr:uid="{00000000-0005-0000-0000-00008BA50000}"/>
    <cellStyle name="Total 11 2" xfId="42394" xr:uid="{00000000-0005-0000-0000-00008CA50000}"/>
    <cellStyle name="Total 11 3" xfId="42395" xr:uid="{00000000-0005-0000-0000-00008DA50000}"/>
    <cellStyle name="Total 11 4" xfId="42396" xr:uid="{00000000-0005-0000-0000-00008EA50000}"/>
    <cellStyle name="Total 11 5" xfId="42397" xr:uid="{00000000-0005-0000-0000-00008FA50000}"/>
    <cellStyle name="Total 11 6" xfId="42398" xr:uid="{00000000-0005-0000-0000-000090A50000}"/>
    <cellStyle name="Total 11 7" xfId="42399" xr:uid="{00000000-0005-0000-0000-000091A50000}"/>
    <cellStyle name="Total 11 8" xfId="42400" xr:uid="{00000000-0005-0000-0000-000092A50000}"/>
    <cellStyle name="Total 11 9" xfId="42401" xr:uid="{00000000-0005-0000-0000-000093A50000}"/>
    <cellStyle name="Total 12" xfId="42402" xr:uid="{00000000-0005-0000-0000-000094A50000}"/>
    <cellStyle name="Total 12 10" xfId="42403" xr:uid="{00000000-0005-0000-0000-000095A50000}"/>
    <cellStyle name="Total 12 11" xfId="42404" xr:uid="{00000000-0005-0000-0000-000096A50000}"/>
    <cellStyle name="Total 12 12" xfId="42405" xr:uid="{00000000-0005-0000-0000-000097A50000}"/>
    <cellStyle name="Total 12 13" xfId="42406" xr:uid="{00000000-0005-0000-0000-000098A50000}"/>
    <cellStyle name="Total 12 14" xfId="42407" xr:uid="{00000000-0005-0000-0000-000099A50000}"/>
    <cellStyle name="Total 12 15" xfId="42408" xr:uid="{00000000-0005-0000-0000-00009AA50000}"/>
    <cellStyle name="Total 12 16" xfId="42409" xr:uid="{00000000-0005-0000-0000-00009BA50000}"/>
    <cellStyle name="Total 12 2" xfId="42410" xr:uid="{00000000-0005-0000-0000-00009CA50000}"/>
    <cellStyle name="Total 12 3" xfId="42411" xr:uid="{00000000-0005-0000-0000-00009DA50000}"/>
    <cellStyle name="Total 12 4" xfId="42412" xr:uid="{00000000-0005-0000-0000-00009EA50000}"/>
    <cellStyle name="Total 12 5" xfId="42413" xr:uid="{00000000-0005-0000-0000-00009FA50000}"/>
    <cellStyle name="Total 12 6" xfId="42414" xr:uid="{00000000-0005-0000-0000-0000A0A50000}"/>
    <cellStyle name="Total 12 7" xfId="42415" xr:uid="{00000000-0005-0000-0000-0000A1A50000}"/>
    <cellStyle name="Total 12 8" xfId="42416" xr:uid="{00000000-0005-0000-0000-0000A2A50000}"/>
    <cellStyle name="Total 12 9" xfId="42417" xr:uid="{00000000-0005-0000-0000-0000A3A50000}"/>
    <cellStyle name="Total 13" xfId="42418" xr:uid="{00000000-0005-0000-0000-0000A4A50000}"/>
    <cellStyle name="Total 13 10" xfId="42419" xr:uid="{00000000-0005-0000-0000-0000A5A50000}"/>
    <cellStyle name="Total 13 11" xfId="42420" xr:uid="{00000000-0005-0000-0000-0000A6A50000}"/>
    <cellStyle name="Total 13 12" xfId="42421" xr:uid="{00000000-0005-0000-0000-0000A7A50000}"/>
    <cellStyle name="Total 13 13" xfId="42422" xr:uid="{00000000-0005-0000-0000-0000A8A50000}"/>
    <cellStyle name="Total 13 14" xfId="42423" xr:uid="{00000000-0005-0000-0000-0000A9A50000}"/>
    <cellStyle name="Total 13 15" xfId="42424" xr:uid="{00000000-0005-0000-0000-0000AAA50000}"/>
    <cellStyle name="Total 13 16" xfId="42425" xr:uid="{00000000-0005-0000-0000-0000ABA50000}"/>
    <cellStyle name="Total 13 2" xfId="42426" xr:uid="{00000000-0005-0000-0000-0000ACA50000}"/>
    <cellStyle name="Total 13 3" xfId="42427" xr:uid="{00000000-0005-0000-0000-0000ADA50000}"/>
    <cellStyle name="Total 13 4" xfId="42428" xr:uid="{00000000-0005-0000-0000-0000AEA50000}"/>
    <cellStyle name="Total 13 5" xfId="42429" xr:uid="{00000000-0005-0000-0000-0000AFA50000}"/>
    <cellStyle name="Total 13 6" xfId="42430" xr:uid="{00000000-0005-0000-0000-0000B0A50000}"/>
    <cellStyle name="Total 13 7" xfId="42431" xr:uid="{00000000-0005-0000-0000-0000B1A50000}"/>
    <cellStyle name="Total 13 8" xfId="42432" xr:uid="{00000000-0005-0000-0000-0000B2A50000}"/>
    <cellStyle name="Total 13 9" xfId="42433" xr:uid="{00000000-0005-0000-0000-0000B3A50000}"/>
    <cellStyle name="Total 2" xfId="1152" xr:uid="{00000000-0005-0000-0000-0000B4A50000}"/>
    <cellStyle name="Total 2 10" xfId="42434" xr:uid="{00000000-0005-0000-0000-0000B5A50000}"/>
    <cellStyle name="Total 2 11" xfId="42435" xr:uid="{00000000-0005-0000-0000-0000B6A50000}"/>
    <cellStyle name="Total 2 12" xfId="42436" xr:uid="{00000000-0005-0000-0000-0000B7A50000}"/>
    <cellStyle name="Total 2 13" xfId="42437" xr:uid="{00000000-0005-0000-0000-0000B8A50000}"/>
    <cellStyle name="Total 2 14" xfId="42438" xr:uid="{00000000-0005-0000-0000-0000B9A50000}"/>
    <cellStyle name="Total 2 15" xfId="42439" xr:uid="{00000000-0005-0000-0000-0000BAA50000}"/>
    <cellStyle name="Total 2 16" xfId="42440" xr:uid="{00000000-0005-0000-0000-0000BBA50000}"/>
    <cellStyle name="Total 2 17" xfId="42441" xr:uid="{00000000-0005-0000-0000-0000BCA50000}"/>
    <cellStyle name="Total 2 18" xfId="42442" xr:uid="{00000000-0005-0000-0000-0000BDA50000}"/>
    <cellStyle name="Total 2 19" xfId="42443" xr:uid="{00000000-0005-0000-0000-0000BEA50000}"/>
    <cellStyle name="Total 2 2" xfId="1153" xr:uid="{00000000-0005-0000-0000-0000BFA50000}"/>
    <cellStyle name="Total 2 2 10" xfId="42444" xr:uid="{00000000-0005-0000-0000-0000C0A50000}"/>
    <cellStyle name="Total 2 2 2" xfId="1154" xr:uid="{00000000-0005-0000-0000-0000C1A50000}"/>
    <cellStyle name="Total 2 2 3" xfId="1155" xr:uid="{00000000-0005-0000-0000-0000C2A50000}"/>
    <cellStyle name="Total 2 2 4" xfId="1156" xr:uid="{00000000-0005-0000-0000-0000C3A50000}"/>
    <cellStyle name="Total 2 2 5" xfId="42445" xr:uid="{00000000-0005-0000-0000-0000C4A50000}"/>
    <cellStyle name="Total 2 2 6" xfId="42446" xr:uid="{00000000-0005-0000-0000-0000C5A50000}"/>
    <cellStyle name="Total 2 2 7" xfId="42447" xr:uid="{00000000-0005-0000-0000-0000C6A50000}"/>
    <cellStyle name="Total 2 2 8" xfId="42448" xr:uid="{00000000-0005-0000-0000-0000C7A50000}"/>
    <cellStyle name="Total 2 2 9" xfId="42449" xr:uid="{00000000-0005-0000-0000-0000C8A50000}"/>
    <cellStyle name="Total 2 20" xfId="42450" xr:uid="{00000000-0005-0000-0000-0000C9A50000}"/>
    <cellStyle name="Total 2 21" xfId="42451" xr:uid="{00000000-0005-0000-0000-0000CAA50000}"/>
    <cellStyle name="Total 2 22" xfId="42452" xr:uid="{00000000-0005-0000-0000-0000CBA50000}"/>
    <cellStyle name="Total 2 23" xfId="42453" xr:uid="{00000000-0005-0000-0000-0000CCA50000}"/>
    <cellStyle name="Total 2 24" xfId="42454" xr:uid="{00000000-0005-0000-0000-0000CDA50000}"/>
    <cellStyle name="Total 2 3" xfId="1157" xr:uid="{00000000-0005-0000-0000-0000CEA50000}"/>
    <cellStyle name="Total 2 4" xfId="1158" xr:uid="{00000000-0005-0000-0000-0000CFA50000}"/>
    <cellStyle name="Total 2 5" xfId="1159" xr:uid="{00000000-0005-0000-0000-0000D0A50000}"/>
    <cellStyle name="Total 2 6" xfId="1160" xr:uid="{00000000-0005-0000-0000-0000D1A50000}"/>
    <cellStyle name="Total 2 7" xfId="42455" xr:uid="{00000000-0005-0000-0000-0000D2A50000}"/>
    <cellStyle name="Total 2 8" xfId="42456" xr:uid="{00000000-0005-0000-0000-0000D3A50000}"/>
    <cellStyle name="Total 2 9" xfId="42457" xr:uid="{00000000-0005-0000-0000-0000D4A50000}"/>
    <cellStyle name="Total 3" xfId="1161" xr:uid="{00000000-0005-0000-0000-0000D5A50000}"/>
    <cellStyle name="Total 3 10" xfId="42458" xr:uid="{00000000-0005-0000-0000-0000D6A50000}"/>
    <cellStyle name="Total 3 11" xfId="42459" xr:uid="{00000000-0005-0000-0000-0000D7A50000}"/>
    <cellStyle name="Total 3 12" xfId="42460" xr:uid="{00000000-0005-0000-0000-0000D8A50000}"/>
    <cellStyle name="Total 3 13" xfId="42461" xr:uid="{00000000-0005-0000-0000-0000D9A50000}"/>
    <cellStyle name="Total 3 14" xfId="42462" xr:uid="{00000000-0005-0000-0000-0000DAA50000}"/>
    <cellStyle name="Total 3 15" xfId="42463" xr:uid="{00000000-0005-0000-0000-0000DBA50000}"/>
    <cellStyle name="Total 3 16" xfId="42464" xr:uid="{00000000-0005-0000-0000-0000DCA50000}"/>
    <cellStyle name="Total 3 2" xfId="1162" xr:uid="{00000000-0005-0000-0000-0000DDA50000}"/>
    <cellStyle name="Total 3 3" xfId="1163" xr:uid="{00000000-0005-0000-0000-0000DEA50000}"/>
    <cellStyle name="Total 3 4" xfId="1164" xr:uid="{00000000-0005-0000-0000-0000DFA50000}"/>
    <cellStyle name="Total 3 5" xfId="42465" xr:uid="{00000000-0005-0000-0000-0000E0A50000}"/>
    <cellStyle name="Total 3 6" xfId="42466" xr:uid="{00000000-0005-0000-0000-0000E1A50000}"/>
    <cellStyle name="Total 3 7" xfId="42467" xr:uid="{00000000-0005-0000-0000-0000E2A50000}"/>
    <cellStyle name="Total 3 8" xfId="42468" xr:uid="{00000000-0005-0000-0000-0000E3A50000}"/>
    <cellStyle name="Total 3 9" xfId="42469" xr:uid="{00000000-0005-0000-0000-0000E4A50000}"/>
    <cellStyle name="Total 4" xfId="1165" xr:uid="{00000000-0005-0000-0000-0000E5A50000}"/>
    <cellStyle name="Total 4 10" xfId="42470" xr:uid="{00000000-0005-0000-0000-0000E6A50000}"/>
    <cellStyle name="Total 4 11" xfId="42471" xr:uid="{00000000-0005-0000-0000-0000E7A50000}"/>
    <cellStyle name="Total 4 12" xfId="42472" xr:uid="{00000000-0005-0000-0000-0000E8A50000}"/>
    <cellStyle name="Total 4 13" xfId="42473" xr:uid="{00000000-0005-0000-0000-0000E9A50000}"/>
    <cellStyle name="Total 4 14" xfId="42474" xr:uid="{00000000-0005-0000-0000-0000EAA50000}"/>
    <cellStyle name="Total 4 15" xfId="42475" xr:uid="{00000000-0005-0000-0000-0000EBA50000}"/>
    <cellStyle name="Total 4 16" xfId="42476" xr:uid="{00000000-0005-0000-0000-0000ECA50000}"/>
    <cellStyle name="Total 4 2" xfId="1166" xr:uid="{00000000-0005-0000-0000-0000EDA50000}"/>
    <cellStyle name="Total 4 3" xfId="1167" xr:uid="{00000000-0005-0000-0000-0000EEA50000}"/>
    <cellStyle name="Total 4 4" xfId="1168" xr:uid="{00000000-0005-0000-0000-0000EFA50000}"/>
    <cellStyle name="Total 4 5" xfId="42477" xr:uid="{00000000-0005-0000-0000-0000F0A50000}"/>
    <cellStyle name="Total 4 6" xfId="42478" xr:uid="{00000000-0005-0000-0000-0000F1A50000}"/>
    <cellStyle name="Total 4 7" xfId="42479" xr:uid="{00000000-0005-0000-0000-0000F2A50000}"/>
    <cellStyle name="Total 4 8" xfId="42480" xr:uid="{00000000-0005-0000-0000-0000F3A50000}"/>
    <cellStyle name="Total 4 9" xfId="42481" xr:uid="{00000000-0005-0000-0000-0000F4A50000}"/>
    <cellStyle name="Total 5" xfId="1169" xr:uid="{00000000-0005-0000-0000-0000F5A50000}"/>
    <cellStyle name="Total 5 10" xfId="42482" xr:uid="{00000000-0005-0000-0000-0000F6A50000}"/>
    <cellStyle name="Total 5 11" xfId="42483" xr:uid="{00000000-0005-0000-0000-0000F7A50000}"/>
    <cellStyle name="Total 5 12" xfId="42484" xr:uid="{00000000-0005-0000-0000-0000F8A50000}"/>
    <cellStyle name="Total 5 13" xfId="42485" xr:uid="{00000000-0005-0000-0000-0000F9A50000}"/>
    <cellStyle name="Total 5 14" xfId="42486" xr:uid="{00000000-0005-0000-0000-0000FAA50000}"/>
    <cellStyle name="Total 5 15" xfId="42487" xr:uid="{00000000-0005-0000-0000-0000FBA50000}"/>
    <cellStyle name="Total 5 16" xfId="42488" xr:uid="{00000000-0005-0000-0000-0000FCA50000}"/>
    <cellStyle name="Total 5 2" xfId="1170" xr:uid="{00000000-0005-0000-0000-0000FDA50000}"/>
    <cellStyle name="Total 5 3" xfId="1171" xr:uid="{00000000-0005-0000-0000-0000FEA50000}"/>
    <cellStyle name="Total 5 4" xfId="1172" xr:uid="{00000000-0005-0000-0000-0000FFA50000}"/>
    <cellStyle name="Total 5 5" xfId="42489" xr:uid="{00000000-0005-0000-0000-000000A60000}"/>
    <cellStyle name="Total 5 6" xfId="42490" xr:uid="{00000000-0005-0000-0000-000001A60000}"/>
    <cellStyle name="Total 5 7" xfId="42491" xr:uid="{00000000-0005-0000-0000-000002A60000}"/>
    <cellStyle name="Total 5 8" xfId="42492" xr:uid="{00000000-0005-0000-0000-000003A60000}"/>
    <cellStyle name="Total 5 9" xfId="42493" xr:uid="{00000000-0005-0000-0000-000004A60000}"/>
    <cellStyle name="Total 6" xfId="1173" xr:uid="{00000000-0005-0000-0000-000005A60000}"/>
    <cellStyle name="Total 6 10" xfId="42494" xr:uid="{00000000-0005-0000-0000-000006A60000}"/>
    <cellStyle name="Total 6 11" xfId="42495" xr:uid="{00000000-0005-0000-0000-000007A60000}"/>
    <cellStyle name="Total 6 12" xfId="42496" xr:uid="{00000000-0005-0000-0000-000008A60000}"/>
    <cellStyle name="Total 6 13" xfId="42497" xr:uid="{00000000-0005-0000-0000-000009A60000}"/>
    <cellStyle name="Total 6 14" xfId="42498" xr:uid="{00000000-0005-0000-0000-00000AA60000}"/>
    <cellStyle name="Total 6 15" xfId="42499" xr:uid="{00000000-0005-0000-0000-00000BA60000}"/>
    <cellStyle name="Total 6 16" xfId="42500" xr:uid="{00000000-0005-0000-0000-00000CA60000}"/>
    <cellStyle name="Total 6 2" xfId="1174" xr:uid="{00000000-0005-0000-0000-00000DA60000}"/>
    <cellStyle name="Total 6 3" xfId="1175" xr:uid="{00000000-0005-0000-0000-00000EA60000}"/>
    <cellStyle name="Total 6 4" xfId="1176" xr:uid="{00000000-0005-0000-0000-00000FA60000}"/>
    <cellStyle name="Total 6 5" xfId="42501" xr:uid="{00000000-0005-0000-0000-000010A60000}"/>
    <cellStyle name="Total 6 6" xfId="42502" xr:uid="{00000000-0005-0000-0000-000011A60000}"/>
    <cellStyle name="Total 6 7" xfId="42503" xr:uid="{00000000-0005-0000-0000-000012A60000}"/>
    <cellStyle name="Total 6 8" xfId="42504" xr:uid="{00000000-0005-0000-0000-000013A60000}"/>
    <cellStyle name="Total 6 9" xfId="42505" xr:uid="{00000000-0005-0000-0000-000014A60000}"/>
    <cellStyle name="Total 7" xfId="1177" xr:uid="{00000000-0005-0000-0000-000015A60000}"/>
    <cellStyle name="Total 7 10" xfId="42506" xr:uid="{00000000-0005-0000-0000-000016A60000}"/>
    <cellStyle name="Total 7 11" xfId="42507" xr:uid="{00000000-0005-0000-0000-000017A60000}"/>
    <cellStyle name="Total 7 12" xfId="42508" xr:uid="{00000000-0005-0000-0000-000018A60000}"/>
    <cellStyle name="Total 7 13" xfId="42509" xr:uid="{00000000-0005-0000-0000-000019A60000}"/>
    <cellStyle name="Total 7 14" xfId="42510" xr:uid="{00000000-0005-0000-0000-00001AA60000}"/>
    <cellStyle name="Total 7 15" xfId="42511" xr:uid="{00000000-0005-0000-0000-00001BA60000}"/>
    <cellStyle name="Total 7 16" xfId="42512" xr:uid="{00000000-0005-0000-0000-00001CA60000}"/>
    <cellStyle name="Total 7 2" xfId="1178" xr:uid="{00000000-0005-0000-0000-00001DA60000}"/>
    <cellStyle name="Total 7 3" xfId="1179" xr:uid="{00000000-0005-0000-0000-00001EA60000}"/>
    <cellStyle name="Total 7 4" xfId="1180" xr:uid="{00000000-0005-0000-0000-00001FA60000}"/>
    <cellStyle name="Total 7 5" xfId="42513" xr:uid="{00000000-0005-0000-0000-000020A60000}"/>
    <cellStyle name="Total 7 6" xfId="42514" xr:uid="{00000000-0005-0000-0000-000021A60000}"/>
    <cellStyle name="Total 7 7" xfId="42515" xr:uid="{00000000-0005-0000-0000-000022A60000}"/>
    <cellStyle name="Total 7 8" xfId="42516" xr:uid="{00000000-0005-0000-0000-000023A60000}"/>
    <cellStyle name="Total 7 9" xfId="42517" xr:uid="{00000000-0005-0000-0000-000024A60000}"/>
    <cellStyle name="Total 8" xfId="1181" xr:uid="{00000000-0005-0000-0000-000025A60000}"/>
    <cellStyle name="Total 8 10" xfId="42518" xr:uid="{00000000-0005-0000-0000-000026A60000}"/>
    <cellStyle name="Total 8 11" xfId="42519" xr:uid="{00000000-0005-0000-0000-000027A60000}"/>
    <cellStyle name="Total 8 12" xfId="42520" xr:uid="{00000000-0005-0000-0000-000028A60000}"/>
    <cellStyle name="Total 8 13" xfId="42521" xr:uid="{00000000-0005-0000-0000-000029A60000}"/>
    <cellStyle name="Total 8 14" xfId="42522" xr:uid="{00000000-0005-0000-0000-00002AA60000}"/>
    <cellStyle name="Total 8 15" xfId="42523" xr:uid="{00000000-0005-0000-0000-00002BA60000}"/>
    <cellStyle name="Total 8 16" xfId="42524" xr:uid="{00000000-0005-0000-0000-00002CA60000}"/>
    <cellStyle name="Total 8 2" xfId="1182" xr:uid="{00000000-0005-0000-0000-00002DA60000}"/>
    <cellStyle name="Total 8 3" xfId="1183" xr:uid="{00000000-0005-0000-0000-00002EA60000}"/>
    <cellStyle name="Total 8 4" xfId="1184" xr:uid="{00000000-0005-0000-0000-00002FA60000}"/>
    <cellStyle name="Total 8 5" xfId="42525" xr:uid="{00000000-0005-0000-0000-000030A60000}"/>
    <cellStyle name="Total 8 6" xfId="42526" xr:uid="{00000000-0005-0000-0000-000031A60000}"/>
    <cellStyle name="Total 8 7" xfId="42527" xr:uid="{00000000-0005-0000-0000-000032A60000}"/>
    <cellStyle name="Total 8 8" xfId="42528" xr:uid="{00000000-0005-0000-0000-000033A60000}"/>
    <cellStyle name="Total 8 9" xfId="42529" xr:uid="{00000000-0005-0000-0000-000034A60000}"/>
    <cellStyle name="Total 9" xfId="1185" xr:uid="{00000000-0005-0000-0000-000035A60000}"/>
    <cellStyle name="Total 9 10" xfId="42530" xr:uid="{00000000-0005-0000-0000-000036A60000}"/>
    <cellStyle name="Total 9 11" xfId="42531" xr:uid="{00000000-0005-0000-0000-000037A60000}"/>
    <cellStyle name="Total 9 12" xfId="42532" xr:uid="{00000000-0005-0000-0000-000038A60000}"/>
    <cellStyle name="Total 9 13" xfId="42533" xr:uid="{00000000-0005-0000-0000-000039A60000}"/>
    <cellStyle name="Total 9 14" xfId="42534" xr:uid="{00000000-0005-0000-0000-00003AA60000}"/>
    <cellStyle name="Total 9 15" xfId="42535" xr:uid="{00000000-0005-0000-0000-00003BA60000}"/>
    <cellStyle name="Total 9 16" xfId="42536" xr:uid="{00000000-0005-0000-0000-00003CA60000}"/>
    <cellStyle name="Total 9 2" xfId="1186" xr:uid="{00000000-0005-0000-0000-00003DA60000}"/>
    <cellStyle name="Total 9 3" xfId="1187" xr:uid="{00000000-0005-0000-0000-00003EA60000}"/>
    <cellStyle name="Total 9 4" xfId="1188" xr:uid="{00000000-0005-0000-0000-00003FA60000}"/>
    <cellStyle name="Total 9 5" xfId="42537" xr:uid="{00000000-0005-0000-0000-000040A60000}"/>
    <cellStyle name="Total 9 6" xfId="42538" xr:uid="{00000000-0005-0000-0000-000041A60000}"/>
    <cellStyle name="Total 9 7" xfId="42539" xr:uid="{00000000-0005-0000-0000-000042A60000}"/>
    <cellStyle name="Total 9 8" xfId="42540" xr:uid="{00000000-0005-0000-0000-000043A60000}"/>
    <cellStyle name="Total 9 9" xfId="42541" xr:uid="{00000000-0005-0000-0000-000044A60000}"/>
    <cellStyle name="totalbold" xfId="42542" xr:uid="{00000000-0005-0000-0000-000045A60000}"/>
    <cellStyle name="TotCol - Style5" xfId="1189" xr:uid="{00000000-0005-0000-0000-000046A60000}"/>
    <cellStyle name="TotRow - Style4" xfId="1190" xr:uid="{00000000-0005-0000-0000-000047A60000}"/>
    <cellStyle name="TotRow - Style4 10" xfId="42543" xr:uid="{00000000-0005-0000-0000-000048A60000}"/>
    <cellStyle name="TotRow - Style4 11" xfId="42544" xr:uid="{00000000-0005-0000-0000-000049A60000}"/>
    <cellStyle name="TotRow - Style4 12" xfId="42545" xr:uid="{00000000-0005-0000-0000-00004AA60000}"/>
    <cellStyle name="TotRow - Style4 13" xfId="42546" xr:uid="{00000000-0005-0000-0000-00004BA60000}"/>
    <cellStyle name="TotRow - Style4 14" xfId="42547" xr:uid="{00000000-0005-0000-0000-00004CA60000}"/>
    <cellStyle name="TotRow - Style4 15" xfId="42548" xr:uid="{00000000-0005-0000-0000-00004DA60000}"/>
    <cellStyle name="TotRow - Style4 16" xfId="42549" xr:uid="{00000000-0005-0000-0000-00004EA60000}"/>
    <cellStyle name="TotRow - Style4 2" xfId="42550" xr:uid="{00000000-0005-0000-0000-00004FA60000}"/>
    <cellStyle name="TotRow - Style4 3" xfId="42551" xr:uid="{00000000-0005-0000-0000-000050A60000}"/>
    <cellStyle name="TotRow - Style4 4" xfId="42552" xr:uid="{00000000-0005-0000-0000-000051A60000}"/>
    <cellStyle name="TotRow - Style4 5" xfId="42553" xr:uid="{00000000-0005-0000-0000-000052A60000}"/>
    <cellStyle name="TotRow - Style4 6" xfId="42554" xr:uid="{00000000-0005-0000-0000-000053A60000}"/>
    <cellStyle name="TotRow - Style4 7" xfId="42555" xr:uid="{00000000-0005-0000-0000-000054A60000}"/>
    <cellStyle name="TotRow - Style4 8" xfId="42556" xr:uid="{00000000-0005-0000-0000-000055A60000}"/>
    <cellStyle name="TotRow - Style4 9" xfId="42557" xr:uid="{00000000-0005-0000-0000-000056A60000}"/>
    <cellStyle name="Tusental (0)_laroux" xfId="42558" xr:uid="{00000000-0005-0000-0000-000057A60000}"/>
    <cellStyle name="Tusental_laroux" xfId="42559" xr:uid="{00000000-0005-0000-0000-000058A60000}"/>
    <cellStyle name="Uang Muka" xfId="1191" xr:uid="{00000000-0005-0000-0000-000059A60000}"/>
    <cellStyle name="uni" xfId="42560" xr:uid="{00000000-0005-0000-0000-00005AA60000}"/>
    <cellStyle name="Unit" xfId="1192" xr:uid="{00000000-0005-0000-0000-00005BA60000}"/>
    <cellStyle name="Unit 2" xfId="1193" xr:uid="{00000000-0005-0000-0000-00005CA60000}"/>
    <cellStyle name="Unit 3" xfId="1194" xr:uid="{00000000-0005-0000-0000-00005DA60000}"/>
    <cellStyle name="Unit 4" xfId="1195" xr:uid="{00000000-0005-0000-0000-00005EA60000}"/>
    <cellStyle name="Unit 5" xfId="1196" xr:uid="{00000000-0005-0000-0000-00005FA60000}"/>
    <cellStyle name="Unit 6" xfId="1197" xr:uid="{00000000-0005-0000-0000-000060A60000}"/>
    <cellStyle name="User_Defined_A" xfId="1198" xr:uid="{00000000-0005-0000-0000-000061A60000}"/>
    <cellStyle name="V" xfId="1199" xr:uid="{00000000-0005-0000-0000-000062A60000}"/>
    <cellStyle name="Valuta (0)_laroux" xfId="42561" xr:uid="{00000000-0005-0000-0000-000063A60000}"/>
    <cellStyle name="Valuta_laroux" xfId="42562" xr:uid="{00000000-0005-0000-0000-000064A60000}"/>
    <cellStyle name="viet" xfId="42563" xr:uid="{00000000-0005-0000-0000-000065A60000}"/>
    <cellStyle name="viet2" xfId="42564" xr:uid="{00000000-0005-0000-0000-000066A60000}"/>
    <cellStyle name="viet2 10" xfId="42565" xr:uid="{00000000-0005-0000-0000-000067A60000}"/>
    <cellStyle name="viet2 11" xfId="42566" xr:uid="{00000000-0005-0000-0000-000068A60000}"/>
    <cellStyle name="viet2 12" xfId="42567" xr:uid="{00000000-0005-0000-0000-000069A60000}"/>
    <cellStyle name="viet2 13" xfId="42568" xr:uid="{00000000-0005-0000-0000-00006AA60000}"/>
    <cellStyle name="viet2 14" xfId="42569" xr:uid="{00000000-0005-0000-0000-00006BA60000}"/>
    <cellStyle name="viet2 15" xfId="42570" xr:uid="{00000000-0005-0000-0000-00006CA60000}"/>
    <cellStyle name="viet2 16" xfId="42571" xr:uid="{00000000-0005-0000-0000-00006DA60000}"/>
    <cellStyle name="viet2 2" xfId="42572" xr:uid="{00000000-0005-0000-0000-00006EA60000}"/>
    <cellStyle name="viet2 3" xfId="42573" xr:uid="{00000000-0005-0000-0000-00006FA60000}"/>
    <cellStyle name="viet2 4" xfId="42574" xr:uid="{00000000-0005-0000-0000-000070A60000}"/>
    <cellStyle name="viet2 5" xfId="42575" xr:uid="{00000000-0005-0000-0000-000071A60000}"/>
    <cellStyle name="viet2 6" xfId="42576" xr:uid="{00000000-0005-0000-0000-000072A60000}"/>
    <cellStyle name="viet2 7" xfId="42577" xr:uid="{00000000-0005-0000-0000-000073A60000}"/>
    <cellStyle name="viet2 8" xfId="42578" xr:uid="{00000000-0005-0000-0000-000074A60000}"/>
    <cellStyle name="viet2 9" xfId="42579" xr:uid="{00000000-0005-0000-0000-000075A60000}"/>
    <cellStyle name="Währung [0]_Central Install 6-up" xfId="42580" xr:uid="{00000000-0005-0000-0000-000076A60000}"/>
    <cellStyle name="Währung_Central Install 6-up" xfId="42581" xr:uid="{00000000-0005-0000-0000-000077A60000}"/>
    <cellStyle name="Warning Text 10" xfId="42582" xr:uid="{00000000-0005-0000-0000-000078A60000}"/>
    <cellStyle name="Warning Text 11" xfId="42583" xr:uid="{00000000-0005-0000-0000-000079A60000}"/>
    <cellStyle name="Warning Text 12" xfId="42584" xr:uid="{00000000-0005-0000-0000-00007AA60000}"/>
    <cellStyle name="Warning Text 13" xfId="42585" xr:uid="{00000000-0005-0000-0000-00007BA60000}"/>
    <cellStyle name="Warning Text 2" xfId="1200" xr:uid="{00000000-0005-0000-0000-00007CA60000}"/>
    <cellStyle name="Warning Text 3" xfId="42586" xr:uid="{00000000-0005-0000-0000-00007DA60000}"/>
    <cellStyle name="Warning Text 4" xfId="42587" xr:uid="{00000000-0005-0000-0000-00007EA60000}"/>
    <cellStyle name="Warning Text 5" xfId="42588" xr:uid="{00000000-0005-0000-0000-00007FA60000}"/>
    <cellStyle name="Warning Text 6" xfId="42589" xr:uid="{00000000-0005-0000-0000-000080A60000}"/>
    <cellStyle name="Warning Text 7" xfId="42590" xr:uid="{00000000-0005-0000-0000-000081A60000}"/>
    <cellStyle name="Warning Text 8" xfId="42591" xr:uid="{00000000-0005-0000-0000-000082A60000}"/>
    <cellStyle name="Warning Text 9" xfId="42592" xr:uid="{00000000-0005-0000-0000-000083A60000}"/>
    <cellStyle name="Wawan" xfId="42593" xr:uid="{00000000-0005-0000-0000-000084A60000}"/>
    <cellStyle name="WHead - Style2" xfId="1201" xr:uid="{00000000-0005-0000-0000-000085A60000}"/>
    <cellStyle name="White" xfId="42594" xr:uid="{00000000-0005-0000-0000-000086A60000}"/>
    <cellStyle name="똿뗦먛귟 [0.00]_PRODUCT DETAIL Q1" xfId="42595" xr:uid="{00000000-0005-0000-0000-000087A60000}"/>
    <cellStyle name="똿뗦먛귟_PRODUCT DETAIL Q1" xfId="42596" xr:uid="{00000000-0005-0000-0000-000088A60000}"/>
    <cellStyle name="믅됞 [0.00]_PRODUCT DETAIL Q1" xfId="42597" xr:uid="{00000000-0005-0000-0000-000089A60000}"/>
    <cellStyle name="믅됞_PRODUCT DETAIL Q1" xfId="42598" xr:uid="{00000000-0005-0000-0000-00008AA60000}"/>
    <cellStyle name="백분율_95" xfId="42599" xr:uid="{00000000-0005-0000-0000-00008BA60000}"/>
    <cellStyle name="뷭?_BOOKSHIP" xfId="42600" xr:uid="{00000000-0005-0000-0000-00008CA60000}"/>
    <cellStyle name="쉼표 [0]_Invoice Form" xfId="1202" xr:uid="{00000000-0005-0000-0000-00008DA60000}"/>
    <cellStyle name="콤마 [0]_1202" xfId="42601" xr:uid="{00000000-0005-0000-0000-00008EA60000}"/>
    <cellStyle name="콤마_1202" xfId="42602" xr:uid="{00000000-0005-0000-0000-00008FA60000}"/>
    <cellStyle name="통화 [0]_1202" xfId="42603" xr:uid="{00000000-0005-0000-0000-000090A60000}"/>
    <cellStyle name="통화_1202" xfId="42604" xr:uid="{00000000-0005-0000-0000-000091A60000}"/>
    <cellStyle name="표준_(정보부문)월별인원계획" xfId="42605" xr:uid="{00000000-0005-0000-0000-000092A60000}"/>
    <cellStyle name="一般_Book1" xfId="42606" xr:uid="{00000000-0005-0000-0000-000093A60000}"/>
    <cellStyle name="千分位[0]_Book1" xfId="42607" xr:uid="{00000000-0005-0000-0000-000094A60000}"/>
    <cellStyle name="千分位_Book1" xfId="42608" xr:uid="{00000000-0005-0000-0000-000095A60000}"/>
    <cellStyle name="未定義" xfId="1203" xr:uid="{00000000-0005-0000-0000-000096A60000}"/>
    <cellStyle name="桁区切り_Constr.Cost Estimated" xfId="42609" xr:uid="{00000000-0005-0000-0000-000097A60000}"/>
    <cellStyle name="標準_051210  Progress control (Package-6 Lot-4) Simple Version" xfId="42610" xr:uid="{00000000-0005-0000-0000-000098A60000}"/>
    <cellStyle name="貨幣 [0]_Book1" xfId="42611" xr:uid="{00000000-0005-0000-0000-000099A60000}"/>
    <cellStyle name="貨幣_Book1" xfId="42612" xr:uid="{00000000-0005-0000-0000-00009AA6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externalLink" Target="externalLinks/externalLink31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324" Type="http://schemas.openxmlformats.org/officeDocument/2006/relationships/externalLink" Target="externalLinks/externalLink56.xml"/><Relationship Id="rId366" Type="http://schemas.openxmlformats.org/officeDocument/2006/relationships/sharedStrings" Target="sharedStrings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268" Type="http://schemas.openxmlformats.org/officeDocument/2006/relationships/worksheet" Target="worksheets/sheet268.xml"/><Relationship Id="rId32" Type="http://schemas.openxmlformats.org/officeDocument/2006/relationships/worksheet" Target="worksheets/sheet32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335" Type="http://schemas.openxmlformats.org/officeDocument/2006/relationships/externalLink" Target="externalLinks/externalLink67.xml"/><Relationship Id="rId5" Type="http://schemas.openxmlformats.org/officeDocument/2006/relationships/worksheet" Target="worksheets/sheet5.xml"/><Relationship Id="rId181" Type="http://schemas.openxmlformats.org/officeDocument/2006/relationships/worksheet" Target="worksheets/sheet181.xml"/><Relationship Id="rId237" Type="http://schemas.openxmlformats.org/officeDocument/2006/relationships/worksheet" Target="worksheets/sheet237.xml"/><Relationship Id="rId279" Type="http://schemas.openxmlformats.org/officeDocument/2006/relationships/externalLink" Target="externalLinks/externalLink11.xml"/><Relationship Id="rId43" Type="http://schemas.openxmlformats.org/officeDocument/2006/relationships/worksheet" Target="worksheets/sheet43.xml"/><Relationship Id="rId139" Type="http://schemas.openxmlformats.org/officeDocument/2006/relationships/worksheet" Target="worksheets/sheet139.xml"/><Relationship Id="rId290" Type="http://schemas.openxmlformats.org/officeDocument/2006/relationships/externalLink" Target="externalLinks/externalLink22.xml"/><Relationship Id="rId304" Type="http://schemas.openxmlformats.org/officeDocument/2006/relationships/externalLink" Target="externalLinks/externalLink36.xml"/><Relationship Id="rId346" Type="http://schemas.openxmlformats.org/officeDocument/2006/relationships/externalLink" Target="externalLinks/externalLink78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48" Type="http://schemas.openxmlformats.org/officeDocument/2006/relationships/worksheet" Target="worksheets/sheet248.xml"/><Relationship Id="rId12" Type="http://schemas.openxmlformats.org/officeDocument/2006/relationships/worksheet" Target="worksheets/sheet12.xml"/><Relationship Id="rId108" Type="http://schemas.openxmlformats.org/officeDocument/2006/relationships/worksheet" Target="worksheets/sheet108.xml"/><Relationship Id="rId315" Type="http://schemas.openxmlformats.org/officeDocument/2006/relationships/externalLink" Target="externalLinks/externalLink47.xml"/><Relationship Id="rId357" Type="http://schemas.openxmlformats.org/officeDocument/2006/relationships/externalLink" Target="externalLinks/externalLink89.xml"/><Relationship Id="rId54" Type="http://schemas.openxmlformats.org/officeDocument/2006/relationships/worksheet" Target="worksheets/sheet54.xml"/><Relationship Id="rId96" Type="http://schemas.openxmlformats.org/officeDocument/2006/relationships/worksheet" Target="worksheets/sheet96.xml"/><Relationship Id="rId161" Type="http://schemas.openxmlformats.org/officeDocument/2006/relationships/worksheet" Target="worksheets/sheet161.xml"/><Relationship Id="rId217" Type="http://schemas.openxmlformats.org/officeDocument/2006/relationships/worksheet" Target="worksheets/sheet217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externalLink" Target="externalLinks/externalLink2.xml"/><Relationship Id="rId326" Type="http://schemas.openxmlformats.org/officeDocument/2006/relationships/externalLink" Target="externalLinks/externalLink58.xml"/><Relationship Id="rId65" Type="http://schemas.openxmlformats.org/officeDocument/2006/relationships/worksheet" Target="worksheets/sheet65.xml"/><Relationship Id="rId130" Type="http://schemas.openxmlformats.org/officeDocument/2006/relationships/worksheet" Target="worksheets/sheet130.xml"/><Relationship Id="rId172" Type="http://schemas.openxmlformats.org/officeDocument/2006/relationships/worksheet" Target="worksheets/sheet172.xml"/><Relationship Id="rId228" Type="http://schemas.openxmlformats.org/officeDocument/2006/relationships/worksheet" Target="worksheets/sheet228.xml"/><Relationship Id="rId281" Type="http://schemas.openxmlformats.org/officeDocument/2006/relationships/externalLink" Target="externalLinks/externalLink13.xml"/><Relationship Id="rId337" Type="http://schemas.openxmlformats.org/officeDocument/2006/relationships/externalLink" Target="externalLinks/externalLink69.xml"/><Relationship Id="rId34" Type="http://schemas.openxmlformats.org/officeDocument/2006/relationships/worksheet" Target="worksheets/sheet34.xml"/><Relationship Id="rId76" Type="http://schemas.openxmlformats.org/officeDocument/2006/relationships/worksheet" Target="worksheets/sheet76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83" Type="http://schemas.openxmlformats.org/officeDocument/2006/relationships/worksheet" Target="worksheets/sheet183.xml"/><Relationship Id="rId239" Type="http://schemas.openxmlformats.org/officeDocument/2006/relationships/worksheet" Target="worksheets/sheet239.xml"/><Relationship Id="rId250" Type="http://schemas.openxmlformats.org/officeDocument/2006/relationships/worksheet" Target="worksheets/sheet250.xml"/><Relationship Id="rId292" Type="http://schemas.openxmlformats.org/officeDocument/2006/relationships/externalLink" Target="externalLinks/externalLink24.xml"/><Relationship Id="rId306" Type="http://schemas.openxmlformats.org/officeDocument/2006/relationships/externalLink" Target="externalLinks/externalLink38.xml"/><Relationship Id="rId45" Type="http://schemas.openxmlformats.org/officeDocument/2006/relationships/worksheet" Target="worksheets/sheet45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348" Type="http://schemas.openxmlformats.org/officeDocument/2006/relationships/externalLink" Target="externalLinks/externalLink80.xml"/><Relationship Id="rId152" Type="http://schemas.openxmlformats.org/officeDocument/2006/relationships/worksheet" Target="worksheets/sheet152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56" Type="http://schemas.openxmlformats.org/officeDocument/2006/relationships/worksheet" Target="worksheets/sheet56.xml"/><Relationship Id="rId317" Type="http://schemas.openxmlformats.org/officeDocument/2006/relationships/externalLink" Target="externalLinks/externalLink49.xml"/><Relationship Id="rId359" Type="http://schemas.openxmlformats.org/officeDocument/2006/relationships/externalLink" Target="externalLinks/externalLink91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63" Type="http://schemas.openxmlformats.org/officeDocument/2006/relationships/worksheet" Target="worksheets/sheet163.xml"/><Relationship Id="rId219" Type="http://schemas.openxmlformats.org/officeDocument/2006/relationships/worksheet" Target="worksheets/sheet219.xml"/><Relationship Id="rId230" Type="http://schemas.openxmlformats.org/officeDocument/2006/relationships/worksheet" Target="worksheets/sheet230.xml"/><Relationship Id="rId25" Type="http://schemas.openxmlformats.org/officeDocument/2006/relationships/worksheet" Target="worksheets/sheet25.xml"/><Relationship Id="rId67" Type="http://schemas.openxmlformats.org/officeDocument/2006/relationships/worksheet" Target="worksheets/sheet67.xml"/><Relationship Id="rId272" Type="http://schemas.openxmlformats.org/officeDocument/2006/relationships/externalLink" Target="externalLinks/externalLink4.xml"/><Relationship Id="rId328" Type="http://schemas.openxmlformats.org/officeDocument/2006/relationships/externalLink" Target="externalLinks/externalLink60.xml"/><Relationship Id="rId132" Type="http://schemas.openxmlformats.org/officeDocument/2006/relationships/worksheet" Target="worksheets/sheet132.xml"/><Relationship Id="rId174" Type="http://schemas.openxmlformats.org/officeDocument/2006/relationships/worksheet" Target="worksheets/sheet174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283" Type="http://schemas.openxmlformats.org/officeDocument/2006/relationships/externalLink" Target="externalLinks/externalLink15.xml"/><Relationship Id="rId318" Type="http://schemas.openxmlformats.org/officeDocument/2006/relationships/externalLink" Target="externalLinks/externalLink50.xml"/><Relationship Id="rId339" Type="http://schemas.openxmlformats.org/officeDocument/2006/relationships/externalLink" Target="externalLinks/externalLink71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350" Type="http://schemas.openxmlformats.org/officeDocument/2006/relationships/externalLink" Target="externalLinks/externalLink82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externalLink" Target="externalLinks/externalLink5.xml"/><Relationship Id="rId294" Type="http://schemas.openxmlformats.org/officeDocument/2006/relationships/externalLink" Target="externalLinks/externalLink26.xml"/><Relationship Id="rId308" Type="http://schemas.openxmlformats.org/officeDocument/2006/relationships/externalLink" Target="externalLinks/externalLink40.xml"/><Relationship Id="rId329" Type="http://schemas.openxmlformats.org/officeDocument/2006/relationships/externalLink" Target="externalLinks/externalLink61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340" Type="http://schemas.openxmlformats.org/officeDocument/2006/relationships/externalLink" Target="externalLinks/externalLink72.xml"/><Relationship Id="rId361" Type="http://schemas.openxmlformats.org/officeDocument/2006/relationships/externalLink" Target="externalLinks/externalLink93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externalLink" Target="externalLinks/externalLink16.xml"/><Relationship Id="rId319" Type="http://schemas.openxmlformats.org/officeDocument/2006/relationships/externalLink" Target="externalLinks/externalLink51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330" Type="http://schemas.openxmlformats.org/officeDocument/2006/relationships/externalLink" Target="externalLinks/externalLink62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351" Type="http://schemas.openxmlformats.org/officeDocument/2006/relationships/externalLink" Target="externalLinks/externalLink83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externalLink" Target="externalLinks/externalLink6.xml"/><Relationship Id="rId295" Type="http://schemas.openxmlformats.org/officeDocument/2006/relationships/externalLink" Target="externalLinks/externalLink27.xml"/><Relationship Id="rId309" Type="http://schemas.openxmlformats.org/officeDocument/2006/relationships/externalLink" Target="externalLinks/externalLink41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320" Type="http://schemas.openxmlformats.org/officeDocument/2006/relationships/externalLink" Target="externalLinks/externalLink52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341" Type="http://schemas.openxmlformats.org/officeDocument/2006/relationships/externalLink" Target="externalLinks/externalLink73.xml"/><Relationship Id="rId362" Type="http://schemas.openxmlformats.org/officeDocument/2006/relationships/externalLink" Target="externalLinks/externalLink94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externalLink" Target="externalLinks/externalLink17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externalLink" Target="externalLinks/externalLink42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331" Type="http://schemas.openxmlformats.org/officeDocument/2006/relationships/externalLink" Target="externalLinks/externalLink63.xml"/><Relationship Id="rId352" Type="http://schemas.openxmlformats.org/officeDocument/2006/relationships/externalLink" Target="externalLinks/externalLink84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externalLink" Target="externalLinks/externalLink7.xml"/><Relationship Id="rId296" Type="http://schemas.openxmlformats.org/officeDocument/2006/relationships/externalLink" Target="externalLinks/externalLink28.xml"/><Relationship Id="rId300" Type="http://schemas.openxmlformats.org/officeDocument/2006/relationships/externalLink" Target="externalLinks/externalLink32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321" Type="http://schemas.openxmlformats.org/officeDocument/2006/relationships/externalLink" Target="externalLinks/externalLink53.xml"/><Relationship Id="rId342" Type="http://schemas.openxmlformats.org/officeDocument/2006/relationships/externalLink" Target="externalLinks/externalLink74.xml"/><Relationship Id="rId363" Type="http://schemas.openxmlformats.org/officeDocument/2006/relationships/externalLink" Target="externalLinks/externalLink95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externalLink" Target="externalLinks/externalLink18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externalLink" Target="externalLinks/externalLink43.xml"/><Relationship Id="rId332" Type="http://schemas.openxmlformats.org/officeDocument/2006/relationships/externalLink" Target="externalLinks/externalLink64.xml"/><Relationship Id="rId353" Type="http://schemas.openxmlformats.org/officeDocument/2006/relationships/externalLink" Target="externalLinks/externalLink85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externalLink" Target="externalLinks/externalLink8.xml"/><Relationship Id="rId297" Type="http://schemas.openxmlformats.org/officeDocument/2006/relationships/externalLink" Target="externalLinks/externalLink29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externalLink" Target="externalLinks/externalLink33.xml"/><Relationship Id="rId322" Type="http://schemas.openxmlformats.org/officeDocument/2006/relationships/externalLink" Target="externalLinks/externalLink54.xml"/><Relationship Id="rId343" Type="http://schemas.openxmlformats.org/officeDocument/2006/relationships/externalLink" Target="externalLinks/externalLink75.xml"/><Relationship Id="rId364" Type="http://schemas.openxmlformats.org/officeDocument/2006/relationships/theme" Target="theme/theme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externalLink" Target="externalLinks/externalLink19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312" Type="http://schemas.openxmlformats.org/officeDocument/2006/relationships/externalLink" Target="externalLinks/externalLink44.xml"/><Relationship Id="rId333" Type="http://schemas.openxmlformats.org/officeDocument/2006/relationships/externalLink" Target="externalLinks/externalLink65.xml"/><Relationship Id="rId354" Type="http://schemas.openxmlformats.org/officeDocument/2006/relationships/externalLink" Target="externalLinks/externalLink86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externalLink" Target="externalLinks/externalLink9.xml"/><Relationship Id="rId298" Type="http://schemas.openxmlformats.org/officeDocument/2006/relationships/externalLink" Target="externalLinks/externalLink30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302" Type="http://schemas.openxmlformats.org/officeDocument/2006/relationships/externalLink" Target="externalLinks/externalLink34.xml"/><Relationship Id="rId323" Type="http://schemas.openxmlformats.org/officeDocument/2006/relationships/externalLink" Target="externalLinks/externalLink55.xml"/><Relationship Id="rId344" Type="http://schemas.openxmlformats.org/officeDocument/2006/relationships/externalLink" Target="externalLinks/externalLink7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365" Type="http://schemas.openxmlformats.org/officeDocument/2006/relationships/styles" Target="styles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externalLink" Target="externalLinks/externalLink20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313" Type="http://schemas.openxmlformats.org/officeDocument/2006/relationships/externalLink" Target="externalLinks/externalLink45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334" Type="http://schemas.openxmlformats.org/officeDocument/2006/relationships/externalLink" Target="externalLinks/externalLink66.xml"/><Relationship Id="rId355" Type="http://schemas.openxmlformats.org/officeDocument/2006/relationships/externalLink" Target="externalLinks/externalLink87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externalLink" Target="externalLinks/externalLink10.xml"/><Relationship Id="rId303" Type="http://schemas.openxmlformats.org/officeDocument/2006/relationships/externalLink" Target="externalLinks/externalLink35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345" Type="http://schemas.openxmlformats.org/officeDocument/2006/relationships/externalLink" Target="externalLinks/externalLink77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89" Type="http://schemas.openxmlformats.org/officeDocument/2006/relationships/externalLink" Target="externalLinks/externalLink21.xml"/><Relationship Id="rId11" Type="http://schemas.openxmlformats.org/officeDocument/2006/relationships/worksheet" Target="worksheets/sheet11.xml"/><Relationship Id="rId53" Type="http://schemas.openxmlformats.org/officeDocument/2006/relationships/worksheet" Target="worksheets/sheet53.xml"/><Relationship Id="rId149" Type="http://schemas.openxmlformats.org/officeDocument/2006/relationships/worksheet" Target="worksheets/sheet149.xml"/><Relationship Id="rId314" Type="http://schemas.openxmlformats.org/officeDocument/2006/relationships/externalLink" Target="externalLinks/externalLink46.xml"/><Relationship Id="rId356" Type="http://schemas.openxmlformats.org/officeDocument/2006/relationships/externalLink" Target="externalLinks/externalLink88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16" Type="http://schemas.openxmlformats.org/officeDocument/2006/relationships/worksheet" Target="worksheets/sheet216.xml"/><Relationship Id="rId258" Type="http://schemas.openxmlformats.org/officeDocument/2006/relationships/worksheet" Target="worksheets/sheet258.xml"/><Relationship Id="rId22" Type="http://schemas.openxmlformats.org/officeDocument/2006/relationships/worksheet" Target="worksheets/sheet22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325" Type="http://schemas.openxmlformats.org/officeDocument/2006/relationships/externalLink" Target="externalLinks/externalLink57.xml"/><Relationship Id="rId367" Type="http://schemas.openxmlformats.org/officeDocument/2006/relationships/calcChain" Target="calcChain.xml"/><Relationship Id="rId171" Type="http://schemas.openxmlformats.org/officeDocument/2006/relationships/worksheet" Target="worksheets/sheet171.xml"/><Relationship Id="rId227" Type="http://schemas.openxmlformats.org/officeDocument/2006/relationships/worksheet" Target="worksheets/sheet227.xml"/><Relationship Id="rId269" Type="http://schemas.openxmlformats.org/officeDocument/2006/relationships/externalLink" Target="externalLinks/externalLink1.xml"/><Relationship Id="rId33" Type="http://schemas.openxmlformats.org/officeDocument/2006/relationships/worksheet" Target="worksheets/sheet33.xml"/><Relationship Id="rId129" Type="http://schemas.openxmlformats.org/officeDocument/2006/relationships/worksheet" Target="worksheets/sheet129.xml"/><Relationship Id="rId280" Type="http://schemas.openxmlformats.org/officeDocument/2006/relationships/externalLink" Target="externalLinks/externalLink12.xml"/><Relationship Id="rId336" Type="http://schemas.openxmlformats.org/officeDocument/2006/relationships/externalLink" Target="externalLinks/externalLink68.xml"/><Relationship Id="rId75" Type="http://schemas.openxmlformats.org/officeDocument/2006/relationships/worksheet" Target="worksheets/sheet75.xml"/><Relationship Id="rId140" Type="http://schemas.openxmlformats.org/officeDocument/2006/relationships/worksheet" Target="worksheets/sheet140.xml"/><Relationship Id="rId182" Type="http://schemas.openxmlformats.org/officeDocument/2006/relationships/worksheet" Target="worksheets/sheet182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91" Type="http://schemas.openxmlformats.org/officeDocument/2006/relationships/externalLink" Target="externalLinks/externalLink23.xml"/><Relationship Id="rId305" Type="http://schemas.openxmlformats.org/officeDocument/2006/relationships/externalLink" Target="externalLinks/externalLink37.xml"/><Relationship Id="rId347" Type="http://schemas.openxmlformats.org/officeDocument/2006/relationships/externalLink" Target="externalLinks/externalLink79.xml"/><Relationship Id="rId44" Type="http://schemas.openxmlformats.org/officeDocument/2006/relationships/worksheet" Target="worksheets/sheet44.xml"/><Relationship Id="rId86" Type="http://schemas.openxmlformats.org/officeDocument/2006/relationships/worksheet" Target="worksheets/sheet86.xml"/><Relationship Id="rId151" Type="http://schemas.openxmlformats.org/officeDocument/2006/relationships/worksheet" Target="worksheets/sheet151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316" Type="http://schemas.openxmlformats.org/officeDocument/2006/relationships/externalLink" Target="externalLinks/externalLink48.xml"/><Relationship Id="rId55" Type="http://schemas.openxmlformats.org/officeDocument/2006/relationships/worksheet" Target="worksheets/sheet55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358" Type="http://schemas.openxmlformats.org/officeDocument/2006/relationships/externalLink" Target="externalLinks/externalLink90.xml"/><Relationship Id="rId162" Type="http://schemas.openxmlformats.org/officeDocument/2006/relationships/worksheet" Target="worksheets/sheet162.xml"/><Relationship Id="rId218" Type="http://schemas.openxmlformats.org/officeDocument/2006/relationships/worksheet" Target="worksheets/sheet218.xml"/><Relationship Id="rId271" Type="http://schemas.openxmlformats.org/officeDocument/2006/relationships/externalLink" Target="externalLinks/externalLink3.xml"/><Relationship Id="rId24" Type="http://schemas.openxmlformats.org/officeDocument/2006/relationships/worksheet" Target="worksheets/sheet24.xml"/><Relationship Id="rId66" Type="http://schemas.openxmlformats.org/officeDocument/2006/relationships/worksheet" Target="worksheets/sheet66.xml"/><Relationship Id="rId131" Type="http://schemas.openxmlformats.org/officeDocument/2006/relationships/worksheet" Target="worksheets/sheet131.xml"/><Relationship Id="rId327" Type="http://schemas.openxmlformats.org/officeDocument/2006/relationships/externalLink" Target="externalLinks/externalLink59.xml"/><Relationship Id="rId173" Type="http://schemas.openxmlformats.org/officeDocument/2006/relationships/worksheet" Target="worksheets/sheet173.xml"/><Relationship Id="rId229" Type="http://schemas.openxmlformats.org/officeDocument/2006/relationships/worksheet" Target="worksheets/sheet229.xml"/><Relationship Id="rId240" Type="http://schemas.openxmlformats.org/officeDocument/2006/relationships/worksheet" Target="worksheets/sheet240.xml"/><Relationship Id="rId35" Type="http://schemas.openxmlformats.org/officeDocument/2006/relationships/worksheet" Target="worksheets/sheet35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externalLink" Target="externalLinks/externalLink14.xml"/><Relationship Id="rId338" Type="http://schemas.openxmlformats.org/officeDocument/2006/relationships/externalLink" Target="externalLinks/externalLink70.xml"/><Relationship Id="rId8" Type="http://schemas.openxmlformats.org/officeDocument/2006/relationships/worksheet" Target="worksheets/sheet8.xml"/><Relationship Id="rId142" Type="http://schemas.openxmlformats.org/officeDocument/2006/relationships/worksheet" Target="worksheets/sheet142.xml"/><Relationship Id="rId184" Type="http://schemas.openxmlformats.org/officeDocument/2006/relationships/worksheet" Target="worksheets/sheet184.xml"/><Relationship Id="rId251" Type="http://schemas.openxmlformats.org/officeDocument/2006/relationships/worksheet" Target="worksheets/sheet251.xml"/><Relationship Id="rId46" Type="http://schemas.openxmlformats.org/officeDocument/2006/relationships/worksheet" Target="worksheets/sheet46.xml"/><Relationship Id="rId293" Type="http://schemas.openxmlformats.org/officeDocument/2006/relationships/externalLink" Target="externalLinks/externalLink25.xml"/><Relationship Id="rId307" Type="http://schemas.openxmlformats.org/officeDocument/2006/relationships/externalLink" Target="externalLinks/externalLink39.xml"/><Relationship Id="rId349" Type="http://schemas.openxmlformats.org/officeDocument/2006/relationships/externalLink" Target="externalLinks/externalLink81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53" Type="http://schemas.openxmlformats.org/officeDocument/2006/relationships/worksheet" Target="worksheets/sheet153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360" Type="http://schemas.openxmlformats.org/officeDocument/2006/relationships/externalLink" Target="externalLinks/externalLink9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675409</xdr:colOff>
      <xdr:row>23</xdr:row>
      <xdr:rowOff>181840</xdr:rowOff>
    </xdr:from>
    <xdr:to>
      <xdr:col>4</xdr:col>
      <xdr:colOff>2998788</xdr:colOff>
      <xdr:row>34</xdr:row>
      <xdr:rowOff>103909</xdr:rowOff>
    </xdr:to>
    <xdr:sp macro="" textlink="">
      <xdr:nvSpPr>
        <xdr:cNvPr id="2" name="Text Box 57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>
          <a:spLocks noChangeArrowheads="1"/>
        </xdr:cNvSpPr>
      </xdr:nvSpPr>
      <xdr:spPr>
        <a:xfrm>
          <a:off x="5550477" y="6901295"/>
          <a:ext cx="2323379" cy="2026228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27432" bIns="0" anchor="t" upright="1"/>
        <a:lstStyle/>
        <a:p>
          <a:pPr algn="ctr" rtl="0">
            <a:lnSpc>
              <a:spcPts val="1200"/>
            </a:lnSpc>
            <a:defRPr sz="1000"/>
          </a:pPr>
          <a:r>
            <a:rPr lang="en-US" sz="1100" b="0" i="0" u="none" strike="noStrike" baseline="0">
              <a:solidFill>
                <a:sysClr val="windowText" lastClr="000000"/>
              </a:solidFill>
              <a:latin typeface="Arial Narrow" panose="020B0606020202030204" pitchFamily="34" charset="0"/>
              <a:ea typeface="Tahoma" panose="020B0604030504040204"/>
              <a:cs typeface="Times New Roman" panose="02020603050405020304" pitchFamily="18" charset="0"/>
            </a:rPr>
            <a:t>Dibuat Oleh </a:t>
          </a:r>
          <a:r>
            <a:rPr lang="en-US" sz="1200" b="0" i="0" u="none" strike="noStrike" baseline="0">
              <a:solidFill>
                <a:sysClr val="windowText" lastClr="000000"/>
              </a:solidFill>
              <a:latin typeface="Arial Narrow" panose="020B0606020202030204" pitchFamily="34" charset="0"/>
              <a:ea typeface="Tahoma" panose="020B0604030504040204"/>
              <a:cs typeface="Times New Roman" panose="02020603050405020304" pitchFamily="18" charset="0"/>
            </a:rPr>
            <a:t>:</a:t>
          </a:r>
        </a:p>
        <a:p>
          <a:pPr algn="ctr" rtl="0">
            <a:lnSpc>
              <a:spcPts val="1200"/>
            </a:lnSpc>
            <a:defRPr sz="1000"/>
          </a:pPr>
          <a:r>
            <a:rPr lang="en-US" sz="1200" b="1" i="0" u="none" strike="noStrike" baseline="0">
              <a:solidFill>
                <a:sysClr val="windowText" lastClr="000000"/>
              </a:solidFill>
              <a:latin typeface="Arial Narrow" panose="020B0606020202030204" pitchFamily="34" charset="0"/>
              <a:ea typeface="Tahoma" panose="020B0604030504040204"/>
              <a:cs typeface="Times New Roman" panose="02020603050405020304" pitchFamily="18" charset="0"/>
            </a:rPr>
            <a:t>CV. PELITA BUANA</a:t>
          </a:r>
        </a:p>
        <a:p>
          <a:pPr algn="ctr" rtl="0">
            <a:lnSpc>
              <a:spcPts val="1200"/>
            </a:lnSpc>
            <a:defRPr sz="1000"/>
          </a:pPr>
          <a:endParaRPr lang="en-US" sz="1100" b="0" i="0" u="none" strike="noStrike" baseline="0">
            <a:solidFill>
              <a:sysClr val="windowText" lastClr="000000"/>
            </a:solidFill>
            <a:latin typeface="Arial Narrow" panose="020B0606020202030204" pitchFamily="34" charset="0"/>
            <a:ea typeface="Tahoma" panose="020B0604030504040204"/>
            <a:cs typeface="Arial Narrow" panose="020B0606020202030204" charset="0"/>
          </a:endParaRPr>
        </a:p>
        <a:p>
          <a:pPr algn="ctr" rtl="0">
            <a:lnSpc>
              <a:spcPts val="1200"/>
            </a:lnSpc>
            <a:defRPr sz="1000"/>
          </a:pPr>
          <a:r>
            <a:rPr lang="en-US" sz="1100" b="1" i="0" u="none" strike="noStrike" baseline="0">
              <a:solidFill>
                <a:sysClr val="windowText" lastClr="000000"/>
              </a:solidFill>
              <a:latin typeface="Arial Narrow" panose="020B0606020202030204" pitchFamily="34" charset="0"/>
              <a:ea typeface="Tahoma" panose="020B0604030504040204"/>
              <a:cs typeface="Arial Narrow" panose="020B0606020202030204" charset="0"/>
            </a:rPr>
            <a:t> </a:t>
          </a:r>
          <a:endParaRPr lang="en-US" sz="1100" b="0" i="0" u="none" strike="noStrike" baseline="0">
            <a:solidFill>
              <a:sysClr val="windowText" lastClr="000000"/>
            </a:solidFill>
            <a:latin typeface="Arial Narrow" panose="020B0606020202030204" pitchFamily="34" charset="0"/>
            <a:ea typeface="Tahoma" panose="020B0604030504040204"/>
            <a:cs typeface="Arial Narrow" panose="020B0606020202030204" charset="0"/>
          </a:endParaRPr>
        </a:p>
        <a:p>
          <a:pPr algn="ctr" rtl="0">
            <a:lnSpc>
              <a:spcPts val="1200"/>
            </a:lnSpc>
            <a:defRPr sz="1000"/>
          </a:pPr>
          <a:endParaRPr lang="en-US" sz="1100" b="0" i="0" u="none" strike="noStrike" baseline="0">
            <a:solidFill>
              <a:sysClr val="windowText" lastClr="000000"/>
            </a:solidFill>
            <a:latin typeface="Arial Narrow" panose="020B0606020202030204" pitchFamily="34" charset="0"/>
            <a:ea typeface="Tahoma" panose="020B0604030504040204"/>
            <a:cs typeface="Arial Narrow" panose="020B0606020202030204" charset="0"/>
          </a:endParaRPr>
        </a:p>
        <a:p>
          <a:pPr algn="ctr" rtl="0">
            <a:lnSpc>
              <a:spcPts val="1200"/>
            </a:lnSpc>
            <a:defRPr sz="1000"/>
          </a:pPr>
          <a:endParaRPr lang="en-US" sz="1100" b="0" i="0" u="none" strike="noStrike" baseline="0">
            <a:solidFill>
              <a:sysClr val="windowText" lastClr="000000"/>
            </a:solidFill>
            <a:latin typeface="Arial Narrow" panose="020B0606020202030204" pitchFamily="34" charset="0"/>
            <a:ea typeface="Tahoma" panose="020B0604030504040204"/>
            <a:cs typeface="Arial Narrow" panose="020B0606020202030204" charset="0"/>
          </a:endParaRPr>
        </a:p>
        <a:p>
          <a:pPr algn="ctr" rtl="0">
            <a:lnSpc>
              <a:spcPts val="1200"/>
            </a:lnSpc>
            <a:defRPr sz="1000"/>
          </a:pPr>
          <a:endParaRPr lang="en-US" sz="1100" b="0" i="0" u="none" strike="noStrike" baseline="0">
            <a:solidFill>
              <a:sysClr val="windowText" lastClr="000000"/>
            </a:solidFill>
            <a:latin typeface="Arial Narrow" panose="020B0606020202030204" pitchFamily="34" charset="0"/>
            <a:ea typeface="Tahoma" panose="020B0604030504040204"/>
            <a:cs typeface="Arial Narrow" panose="020B0606020202030204" charset="0"/>
          </a:endParaRPr>
        </a:p>
        <a:p>
          <a:pPr algn="ctr" rtl="0">
            <a:lnSpc>
              <a:spcPts val="1200"/>
            </a:lnSpc>
            <a:defRPr sz="1000"/>
          </a:pPr>
          <a:endParaRPr lang="en-US" sz="1100" b="0" i="0" u="none" strike="noStrike" baseline="0">
            <a:solidFill>
              <a:sysClr val="windowText" lastClr="000000"/>
            </a:solidFill>
            <a:latin typeface="Arial Narrow" panose="020B0606020202030204" pitchFamily="34" charset="0"/>
            <a:ea typeface="Tahoma" panose="020B0604030504040204"/>
            <a:cs typeface="Arial Narrow" panose="020B0606020202030204" charset="0"/>
          </a:endParaRPr>
        </a:p>
        <a:p>
          <a:pPr algn="ctr" rtl="0">
            <a:lnSpc>
              <a:spcPts val="1200"/>
            </a:lnSpc>
            <a:defRPr sz="1000"/>
          </a:pPr>
          <a:endParaRPr lang="en-US" sz="1100" b="0" i="0" u="none" strike="noStrike" baseline="0">
            <a:solidFill>
              <a:sysClr val="windowText" lastClr="000000"/>
            </a:solidFill>
            <a:latin typeface="Arial Narrow" panose="020B0606020202030204" pitchFamily="34" charset="0"/>
            <a:ea typeface="Tahoma" panose="020B0604030504040204"/>
            <a:cs typeface="Times New Roman" panose="02020603050405020304" pitchFamily="18" charset="0"/>
          </a:endParaRPr>
        </a:p>
        <a:p>
          <a:pPr algn="ctr" rtl="0">
            <a:lnSpc>
              <a:spcPts val="1100"/>
            </a:lnSpc>
            <a:defRPr sz="1000"/>
          </a:pPr>
          <a:r>
            <a:rPr lang="en-US" sz="1200" b="1" i="0" u="sng" strike="noStrike" baseline="0">
              <a:solidFill>
                <a:sysClr val="windowText" lastClr="000000"/>
              </a:solidFill>
              <a:latin typeface="Arial Narrow" panose="020B0606020202030204" pitchFamily="34" charset="0"/>
              <a:ea typeface="Tahoma" panose="020B0604030504040204"/>
              <a:cs typeface="Times New Roman" panose="02020603050405020304" pitchFamily="18" charset="0"/>
            </a:rPr>
            <a:t>IRWANSYAH, ST, MT</a:t>
          </a:r>
          <a:endParaRPr lang="en-US" sz="1200" b="1" i="0" u="none" strike="noStrike" baseline="0">
            <a:solidFill>
              <a:sysClr val="windowText" lastClr="000000"/>
            </a:solidFill>
            <a:latin typeface="Arial Narrow" panose="020B0606020202030204" pitchFamily="34" charset="0"/>
            <a:ea typeface="Tahoma" panose="020B0604030504040204"/>
            <a:cs typeface="Times New Roman" panose="02020603050405020304" pitchFamily="18" charset="0"/>
          </a:endParaRPr>
        </a:p>
        <a:p>
          <a:pPr algn="ctr" rtl="0">
            <a:lnSpc>
              <a:spcPts val="1100"/>
            </a:lnSpc>
            <a:defRPr sz="1000"/>
          </a:pPr>
          <a:r>
            <a:rPr lang="en-US" sz="1100" b="0" i="0" u="none" strike="noStrike" baseline="0">
              <a:solidFill>
                <a:sysClr val="windowText" lastClr="000000"/>
              </a:solidFill>
              <a:latin typeface="Arial Narrow" panose="020B0606020202030204" pitchFamily="34" charset="0"/>
              <a:ea typeface="Tahoma" panose="020B0604030504040204"/>
              <a:cs typeface="Times New Roman" panose="02020603050405020304" pitchFamily="18" charset="0"/>
            </a:rPr>
            <a:t>Team Leader</a:t>
          </a:r>
        </a:p>
      </xdr:txBody>
    </xdr:sp>
    <xdr:clientData/>
  </xdr:twoCellAnchor>
  <xdr:twoCellAnchor>
    <xdr:from>
      <xdr:col>0</xdr:col>
      <xdr:colOff>104775</xdr:colOff>
      <xdr:row>23</xdr:row>
      <xdr:rowOff>19051</xdr:rowOff>
    </xdr:from>
    <xdr:to>
      <xdr:col>3</xdr:col>
      <xdr:colOff>565150</xdr:colOff>
      <xdr:row>33</xdr:row>
      <xdr:rowOff>145616</xdr:rowOff>
    </xdr:to>
    <xdr:sp macro="" textlink="">
      <xdr:nvSpPr>
        <xdr:cNvPr id="3" name="Text Box 57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 txBox="1">
          <a:spLocks noChangeArrowheads="1"/>
        </xdr:cNvSpPr>
      </xdr:nvSpPr>
      <xdr:spPr>
        <a:xfrm>
          <a:off x="104775" y="6937665"/>
          <a:ext cx="2521239" cy="2048883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1100" b="0" i="0" u="none" strike="noStrike" baseline="0">
              <a:solidFill>
                <a:sysClr val="windowText" lastClr="000000"/>
              </a:solidFill>
              <a:latin typeface="Arial Narrow" panose="020B0606020202030204" pitchFamily="34" charset="0"/>
              <a:ea typeface="Tahoma" panose="020B0604030504040204"/>
              <a:cs typeface="Times New Roman" panose="02020603050405020304" pitchFamily="18" charset="0"/>
            </a:rPr>
            <a:t>Diperiksa Oleh :</a:t>
          </a:r>
        </a:p>
        <a:p>
          <a:pPr algn="ctr" rtl="0">
            <a:defRPr sz="1000"/>
          </a:pPr>
          <a:r>
            <a:rPr lang="en-US" sz="1100" b="0" i="0" u="none" strike="noStrike" baseline="0">
              <a:solidFill>
                <a:sysClr val="windowText" lastClr="000000"/>
              </a:solidFill>
              <a:latin typeface="Arial Narrow" panose="020B0606020202030204" pitchFamily="34" charset="0"/>
              <a:ea typeface="Tahoma" panose="020B0604030504040204"/>
              <a:cs typeface="Times New Roman" panose="02020603050405020304" pitchFamily="18" charset="0"/>
            </a:rPr>
            <a:t>Konsultan Perencana</a:t>
          </a:r>
        </a:p>
        <a:p>
          <a:pPr algn="ctr" rtl="0">
            <a:defRPr sz="1000"/>
          </a:pPr>
          <a:r>
            <a:rPr lang="en-US" sz="1200" b="1" i="0" u="none" strike="noStrike" baseline="0">
              <a:solidFill>
                <a:sysClr val="windowText" lastClr="000000"/>
              </a:solidFill>
              <a:latin typeface="Arial Narrow" panose="020B0606020202030204" pitchFamily="34" charset="0"/>
              <a:ea typeface="Tahoma" panose="020B0604030504040204"/>
              <a:cs typeface="Times New Roman" panose="02020603050405020304" pitchFamily="18" charset="0"/>
            </a:rPr>
            <a:t>CV. PELITA BUANA</a:t>
          </a:r>
        </a:p>
        <a:p>
          <a:pPr algn="ctr" rtl="0">
            <a:defRPr sz="1000"/>
          </a:pPr>
          <a:endParaRPr lang="en-US" sz="1100" b="0" i="0" u="none" strike="noStrike" baseline="0">
            <a:solidFill>
              <a:sysClr val="windowText" lastClr="000000"/>
            </a:solidFill>
            <a:latin typeface="Arial Narrow" panose="020B0606020202030204" pitchFamily="34" charset="0"/>
            <a:ea typeface="Tahoma" panose="020B0604030504040204"/>
            <a:cs typeface="Arial Narrow" panose="020B0606020202030204" charset="0"/>
          </a:endParaRPr>
        </a:p>
        <a:p>
          <a:pPr algn="ctr" rtl="0">
            <a:defRPr sz="1000"/>
          </a:pPr>
          <a:endParaRPr lang="en-US" sz="1100" b="0" i="0" u="none" strike="noStrike" baseline="0">
            <a:solidFill>
              <a:sysClr val="windowText" lastClr="000000"/>
            </a:solidFill>
            <a:latin typeface="Arial Narrow" panose="020B0606020202030204" pitchFamily="34" charset="0"/>
            <a:ea typeface="Tahoma" panose="020B0604030504040204"/>
            <a:cs typeface="Arial Narrow" panose="020B0606020202030204" charset="0"/>
          </a:endParaRPr>
        </a:p>
        <a:p>
          <a:pPr algn="ctr" rtl="0">
            <a:defRPr sz="1000"/>
          </a:pPr>
          <a:endParaRPr lang="en-US" sz="1100" b="0" i="0" u="none" strike="noStrike" baseline="0">
            <a:solidFill>
              <a:sysClr val="windowText" lastClr="000000"/>
            </a:solidFill>
            <a:latin typeface="Arial Narrow" panose="020B0606020202030204" pitchFamily="34" charset="0"/>
            <a:ea typeface="Tahoma" panose="020B0604030504040204"/>
            <a:cs typeface="Arial Narrow" panose="020B0606020202030204" charset="0"/>
          </a:endParaRPr>
        </a:p>
        <a:p>
          <a:pPr algn="ctr" rtl="0">
            <a:defRPr sz="1000"/>
          </a:pPr>
          <a:endParaRPr lang="en-US" sz="1100" b="0" i="0" u="none" strike="noStrike" baseline="0">
            <a:solidFill>
              <a:sysClr val="windowText" lastClr="000000"/>
            </a:solidFill>
            <a:latin typeface="Arial Narrow" panose="020B0606020202030204" pitchFamily="34" charset="0"/>
            <a:ea typeface="Tahoma" panose="020B0604030504040204"/>
            <a:cs typeface="Arial Narrow" panose="020B0606020202030204" charset="0"/>
          </a:endParaRPr>
        </a:p>
        <a:p>
          <a:pPr algn="ctr" rtl="0">
            <a:defRPr sz="1000"/>
          </a:pPr>
          <a:endParaRPr lang="en-US" sz="1100" b="0" i="0" u="none" strike="noStrike" baseline="0">
            <a:solidFill>
              <a:sysClr val="windowText" lastClr="000000"/>
            </a:solidFill>
            <a:latin typeface="Arial Narrow" panose="020B0606020202030204" pitchFamily="34" charset="0"/>
            <a:ea typeface="Tahoma" panose="020B0604030504040204"/>
            <a:cs typeface="Arial Narrow" panose="020B0606020202030204" charset="0"/>
          </a:endParaRPr>
        </a:p>
        <a:p>
          <a:pPr algn="ctr" rtl="0">
            <a:defRPr sz="1000"/>
          </a:pPr>
          <a:endParaRPr lang="en-US" sz="1100" b="1" i="0" u="sng" strike="noStrike" baseline="0">
            <a:solidFill>
              <a:sysClr val="windowText" lastClr="000000"/>
            </a:solidFill>
            <a:latin typeface="Arial Narrow" panose="020B0606020202030204" pitchFamily="34" charset="0"/>
            <a:ea typeface="Tahoma" panose="020B0604030504040204"/>
            <a:cs typeface="Arial Narrow" panose="020B0606020202030204" charset="0"/>
          </a:endParaRPr>
        </a:p>
        <a:p>
          <a:pPr algn="ctr" rtl="0">
            <a:defRPr sz="1000"/>
          </a:pPr>
          <a:r>
            <a:rPr lang="en-US" sz="1200" b="1" i="0" u="sng" strike="noStrike" baseline="0">
              <a:solidFill>
                <a:sysClr val="windowText" lastClr="000000"/>
              </a:solidFill>
              <a:latin typeface="Arial Narrow" panose="020B0606020202030204" pitchFamily="34" charset="0"/>
              <a:ea typeface="Tahoma" panose="020B0604030504040204"/>
              <a:cs typeface="Times New Roman" panose="02020603050405020304" pitchFamily="18" charset="0"/>
            </a:rPr>
            <a:t>RONI HARIANCE, ST</a:t>
          </a:r>
        </a:p>
        <a:p>
          <a:pPr algn="ctr" rtl="0">
            <a:defRPr sz="1000"/>
          </a:pPr>
          <a:r>
            <a:rPr lang="en-US" sz="1100" b="0" i="0" u="none" strike="noStrike" baseline="0">
              <a:solidFill>
                <a:sysClr val="windowText" lastClr="000000"/>
              </a:solidFill>
              <a:latin typeface="Arial Narrow" panose="020B0606020202030204" pitchFamily="34" charset="0"/>
              <a:ea typeface="Tahoma" panose="020B0604030504040204"/>
              <a:cs typeface="Times New Roman" panose="02020603050405020304" pitchFamily="18" charset="0"/>
            </a:rPr>
            <a:t>Wakil Direktur</a:t>
          </a:r>
        </a:p>
      </xdr:txBody>
    </xdr:sp>
    <xdr:clientData/>
  </xdr:twoCellAnchor>
  <xdr:twoCellAnchor>
    <xdr:from>
      <xdr:col>0</xdr:col>
      <xdr:colOff>101310</xdr:colOff>
      <xdr:row>33</xdr:row>
      <xdr:rowOff>176646</xdr:rowOff>
    </xdr:from>
    <xdr:to>
      <xdr:col>3</xdr:col>
      <xdr:colOff>839931</xdr:colOff>
      <xdr:row>46</xdr:row>
      <xdr:rowOff>102178</xdr:rowOff>
    </xdr:to>
    <xdr:sp macro="" textlink="">
      <xdr:nvSpPr>
        <xdr:cNvPr id="4" name="Text Box 57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 txBox="1">
          <a:spLocks noChangeArrowheads="1"/>
        </xdr:cNvSpPr>
      </xdr:nvSpPr>
      <xdr:spPr>
        <a:xfrm>
          <a:off x="101310" y="10108623"/>
          <a:ext cx="2262621" cy="2402032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27432" bIns="0" anchor="t" upright="1"/>
        <a:lstStyle>
          <a:defPPr>
            <a:defRPr lang="en-US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r>
            <a:rPr lang="en-US" sz="1100" b="0" i="0" u="none" strike="noStrike" baseline="0">
              <a:solidFill>
                <a:sysClr val="windowText" lastClr="000000"/>
              </a:solidFill>
              <a:latin typeface="Arial Narrow" panose="020B0606020202030204" pitchFamily="34" charset="0"/>
              <a:ea typeface="Tahoma" panose="020B0604030504040204"/>
              <a:cs typeface="Times New Roman" panose="02020603050405020304" pitchFamily="18" charset="0"/>
            </a:rPr>
            <a:t>Diketahui Oleh :</a:t>
          </a:r>
        </a:p>
        <a:p>
          <a:pPr algn="ctr" rtl="0">
            <a:defRPr sz="1000"/>
          </a:pPr>
          <a:r>
            <a:rPr lang="en-US" sz="1100" b="1" i="0" u="none" strike="noStrike" baseline="0">
              <a:solidFill>
                <a:sysClr val="windowText" lastClr="000000"/>
              </a:solidFill>
              <a:latin typeface="Arial Narrow" panose="020B0606020202030204" pitchFamily="34" charset="0"/>
              <a:ea typeface="Tahoma" panose="020B0604030504040204"/>
              <a:cs typeface="Times New Roman" panose="02020603050405020304" pitchFamily="18" charset="0"/>
            </a:rPr>
            <a:t>Pejabat Pelaksana Teknis Kegiatan </a:t>
          </a:r>
        </a:p>
        <a:p>
          <a:pPr algn="ctr" rtl="0">
            <a:defRPr sz="1000"/>
          </a:pPr>
          <a:r>
            <a:rPr lang="en-US" sz="1100" b="1" i="0" u="none" strike="noStrike" baseline="0">
              <a:solidFill>
                <a:sysClr val="windowText" lastClr="000000"/>
              </a:solidFill>
              <a:latin typeface="Arial Narrow" panose="020B0606020202030204" pitchFamily="34" charset="0"/>
              <a:ea typeface="Tahoma" panose="020B0604030504040204"/>
              <a:cs typeface="Times New Roman" panose="02020603050405020304" pitchFamily="18" charset="0"/>
            </a:rPr>
            <a:t>( PPTK )</a:t>
          </a:r>
        </a:p>
        <a:p>
          <a:pPr algn="ctr" rtl="0">
            <a:defRPr sz="1000"/>
          </a:pPr>
          <a:endParaRPr lang="en-US" sz="1100" b="0" i="0" u="none" strike="noStrike" baseline="0">
            <a:solidFill>
              <a:sysClr val="windowText" lastClr="000000"/>
            </a:solidFill>
            <a:latin typeface="Arial Narrow" panose="020B0606020202030204" pitchFamily="34" charset="0"/>
            <a:ea typeface="Tahoma" panose="020B0604030504040204"/>
            <a:cs typeface="Times New Roman" panose="02020603050405020304" pitchFamily="18" charset="0"/>
          </a:endParaRPr>
        </a:p>
        <a:p>
          <a:pPr algn="ctr" rtl="0">
            <a:defRPr sz="1000"/>
          </a:pPr>
          <a:r>
            <a:rPr lang="en-US" sz="1100" b="1" i="0" u="none" strike="noStrike" baseline="0">
              <a:solidFill>
                <a:sysClr val="windowText" lastClr="000000"/>
              </a:solidFill>
              <a:latin typeface="Arial Narrow" panose="020B0606020202030204" pitchFamily="34" charset="0"/>
              <a:ea typeface="Tahoma" panose="020B0604030504040204"/>
              <a:cs typeface="Times New Roman" panose="02020603050405020304" pitchFamily="18" charset="0"/>
            </a:rPr>
            <a:t> </a:t>
          </a:r>
          <a:endParaRPr lang="en-US" sz="1100" b="0" i="0" u="none" strike="noStrike" baseline="0">
            <a:solidFill>
              <a:sysClr val="windowText" lastClr="000000"/>
            </a:solidFill>
            <a:latin typeface="Arial Narrow" panose="020B0606020202030204" pitchFamily="34" charset="0"/>
            <a:ea typeface="Tahoma" panose="020B0604030504040204"/>
            <a:cs typeface="Times New Roman" panose="02020603050405020304" pitchFamily="18" charset="0"/>
          </a:endParaRPr>
        </a:p>
        <a:p>
          <a:pPr algn="ctr" rtl="0">
            <a:defRPr sz="1000"/>
          </a:pPr>
          <a:endParaRPr lang="en-US" sz="1100" b="0" i="0" u="none" strike="noStrike" baseline="0">
            <a:solidFill>
              <a:sysClr val="windowText" lastClr="000000"/>
            </a:solidFill>
            <a:latin typeface="Arial Narrow" panose="020B0606020202030204" pitchFamily="34" charset="0"/>
            <a:ea typeface="Tahoma" panose="020B0604030504040204"/>
            <a:cs typeface="Times New Roman" panose="02020603050405020304" pitchFamily="18" charset="0"/>
          </a:endParaRPr>
        </a:p>
        <a:p>
          <a:pPr algn="ctr" rtl="0">
            <a:defRPr sz="1000"/>
          </a:pPr>
          <a:endParaRPr lang="en-US" sz="1100" b="0" i="0" u="none" strike="noStrike" baseline="0">
            <a:solidFill>
              <a:sysClr val="windowText" lastClr="000000"/>
            </a:solidFill>
            <a:latin typeface="Arial Narrow" panose="020B0606020202030204" pitchFamily="34" charset="0"/>
            <a:ea typeface="Tahoma" panose="020B0604030504040204"/>
            <a:cs typeface="Times New Roman" panose="02020603050405020304" pitchFamily="18" charset="0"/>
          </a:endParaRPr>
        </a:p>
        <a:p>
          <a:pPr algn="ctr" rtl="0">
            <a:defRPr sz="1000"/>
          </a:pPr>
          <a:endParaRPr lang="en-US" sz="1100" b="0" i="0" u="none" strike="noStrike" baseline="0">
            <a:solidFill>
              <a:sysClr val="windowText" lastClr="000000"/>
            </a:solidFill>
            <a:latin typeface="Arial Narrow" panose="020B0606020202030204" pitchFamily="34" charset="0"/>
            <a:ea typeface="Tahoma" panose="020B0604030504040204"/>
            <a:cs typeface="Times New Roman" panose="02020603050405020304" pitchFamily="18" charset="0"/>
          </a:endParaRPr>
        </a:p>
        <a:p>
          <a:pPr algn="ctr" rtl="0">
            <a:defRPr sz="1000"/>
          </a:pPr>
          <a:endParaRPr lang="en-US" sz="1100" b="0" i="0" u="none" strike="noStrike" baseline="0">
            <a:solidFill>
              <a:sysClr val="windowText" lastClr="000000"/>
            </a:solidFill>
            <a:latin typeface="Arial Narrow" panose="020B0606020202030204" pitchFamily="34" charset="0"/>
            <a:ea typeface="Tahoma" panose="020B0604030504040204"/>
            <a:cs typeface="Times New Roman" panose="02020603050405020304" pitchFamily="18" charset="0"/>
          </a:endParaRPr>
        </a:p>
        <a:p>
          <a:pPr algn="ctr" rtl="0">
            <a:defRPr sz="1000"/>
          </a:pPr>
          <a:endParaRPr lang="en-US" sz="1100" b="0" i="0" u="none" strike="noStrike" baseline="0">
            <a:solidFill>
              <a:sysClr val="windowText" lastClr="000000"/>
            </a:solidFill>
            <a:latin typeface="Arial Narrow" panose="020B0606020202030204" pitchFamily="34" charset="0"/>
            <a:ea typeface="Tahoma" panose="020B0604030504040204"/>
            <a:cs typeface="Times New Roman" panose="02020603050405020304" pitchFamily="18" charset="0"/>
          </a:endParaRPr>
        </a:p>
        <a:p>
          <a:pPr algn="ctr" rtl="0">
            <a:defRPr sz="1000"/>
          </a:pPr>
          <a:endParaRPr lang="en-US" sz="1100" b="0" i="0" u="none" strike="noStrike" baseline="0">
            <a:solidFill>
              <a:sysClr val="windowText" lastClr="000000"/>
            </a:solidFill>
            <a:latin typeface="Arial Narrow" panose="020B0606020202030204" pitchFamily="34" charset="0"/>
            <a:ea typeface="Tahoma" panose="020B0604030504040204"/>
            <a:cs typeface="Times New Roman" panose="02020603050405020304" pitchFamily="18" charset="0"/>
          </a:endParaRPr>
        </a:p>
        <a:p>
          <a:pPr algn="ctr" rtl="0">
            <a:defRPr sz="1000"/>
          </a:pPr>
          <a:endParaRPr lang="en-US" sz="1100" b="0" i="0" u="none" strike="noStrike" baseline="0">
            <a:solidFill>
              <a:sysClr val="windowText" lastClr="000000"/>
            </a:solidFill>
            <a:latin typeface="Arial Narrow" panose="020B0606020202030204" pitchFamily="34" charset="0"/>
            <a:ea typeface="Tahoma" panose="020B0604030504040204"/>
            <a:cs typeface="Times New Roman" panose="02020603050405020304" pitchFamily="18" charset="0"/>
          </a:endParaRPr>
        </a:p>
        <a:p>
          <a:pPr algn="ctr" rtl="0">
            <a:defRPr sz="1000"/>
          </a:pPr>
          <a:r>
            <a:rPr lang="en-US" sz="1200" b="1" i="0" u="sng" strike="noStrike" baseline="0">
              <a:solidFill>
                <a:sysClr val="windowText" lastClr="000000"/>
              </a:solidFill>
              <a:latin typeface="Arial Narrow" panose="020B0606020202030204" pitchFamily="34" charset="0"/>
              <a:ea typeface="Tahoma" panose="020B0604030504040204"/>
              <a:cs typeface="Times New Roman" panose="02020603050405020304" pitchFamily="18" charset="0"/>
            </a:rPr>
            <a:t>MUHAMMAD HAIKAL, ST</a:t>
          </a:r>
          <a:endParaRPr lang="en-US" sz="1200" b="1" i="0" u="none" strike="noStrike" baseline="0">
            <a:solidFill>
              <a:sysClr val="windowText" lastClr="000000"/>
            </a:solidFill>
            <a:latin typeface="Arial Narrow" panose="020B0606020202030204" pitchFamily="34" charset="0"/>
            <a:ea typeface="Tahoma" panose="020B0604030504040204"/>
            <a:cs typeface="Times New Roman" panose="02020603050405020304" pitchFamily="18" charset="0"/>
          </a:endParaRPr>
        </a:p>
        <a:p>
          <a:pPr algn="ctr" rtl="0">
            <a:defRPr sz="1000"/>
          </a:pPr>
          <a:r>
            <a:rPr lang="en-US" sz="1100" b="0" i="0" u="none" strike="noStrike" baseline="0">
              <a:solidFill>
                <a:sysClr val="windowText" lastClr="000000"/>
              </a:solidFill>
              <a:latin typeface="Arial Narrow" panose="020B0606020202030204" pitchFamily="34" charset="0"/>
              <a:ea typeface="Tahoma" panose="020B0604030504040204"/>
              <a:cs typeface="Times New Roman" panose="02020603050405020304" pitchFamily="18" charset="0"/>
            </a:rPr>
            <a:t>NIP. 19770303 200909 1 003</a:t>
          </a:r>
        </a:p>
      </xdr:txBody>
    </xdr:sp>
    <xdr:clientData/>
  </xdr:twoCellAnchor>
  <xdr:twoCellAnchor>
    <xdr:from>
      <xdr:col>4</xdr:col>
      <xdr:colOff>429491</xdr:colOff>
      <xdr:row>33</xdr:row>
      <xdr:rowOff>167122</xdr:rowOff>
    </xdr:from>
    <xdr:to>
      <xdr:col>4</xdr:col>
      <xdr:colOff>3566824</xdr:colOff>
      <xdr:row>47</xdr:row>
      <xdr:rowOff>11259</xdr:rowOff>
    </xdr:to>
    <xdr:sp macro="" textlink="">
      <xdr:nvSpPr>
        <xdr:cNvPr id="5" name="Text Box 57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>
          <a:spLocks noChangeArrowheads="1"/>
        </xdr:cNvSpPr>
      </xdr:nvSpPr>
      <xdr:spPr>
        <a:xfrm>
          <a:off x="5434446" y="10099099"/>
          <a:ext cx="3137333" cy="2511137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1100" b="0" i="0" u="none" strike="noStrike" baseline="0">
              <a:solidFill>
                <a:sysClr val="windowText" lastClr="000000"/>
              </a:solidFill>
              <a:latin typeface="Arial Narrow" panose="020B0606020202030204" pitchFamily="34" charset="0"/>
              <a:ea typeface="Tahoma" panose="020B0604030504040204"/>
              <a:cs typeface="Times New Roman" panose="02020603050405020304" pitchFamily="18" charset="0"/>
            </a:rPr>
            <a:t>Disetujui Oleh :</a:t>
          </a:r>
        </a:p>
        <a:p>
          <a:pPr algn="ctr" rtl="0">
            <a:defRPr sz="1000"/>
          </a:pPr>
          <a:r>
            <a:rPr lang="en-US" sz="1100" b="1" i="0" u="none" strike="noStrike" baseline="0">
              <a:solidFill>
                <a:sysClr val="windowText" lastClr="000000"/>
              </a:solidFill>
              <a:latin typeface="Arial Narrow" panose="020B0606020202030204" pitchFamily="34" charset="0"/>
              <a:ea typeface="Tahoma" panose="020B0604030504040204"/>
              <a:cs typeface="Times New Roman" panose="02020603050405020304" pitchFamily="18" charset="0"/>
            </a:rPr>
            <a:t>PROVINSI SUMATERA UTARA</a:t>
          </a:r>
        </a:p>
        <a:p>
          <a:pPr algn="ctr" rtl="0">
            <a:defRPr sz="1000"/>
          </a:pPr>
          <a:r>
            <a:rPr lang="en-US" sz="1100" b="0" i="0" u="none" strike="noStrike" baseline="0">
              <a:solidFill>
                <a:sysClr val="windowText" lastClr="000000"/>
              </a:solidFill>
              <a:latin typeface="Arial Narrow" panose="020B0606020202030204" pitchFamily="34" charset="0"/>
              <a:ea typeface="Tahoma" panose="020B0604030504040204"/>
              <a:cs typeface="Times New Roman" panose="02020603050405020304" pitchFamily="18" charset="0"/>
            </a:rPr>
            <a:t>DINAS PEMUDA DAN OLAHRAGA</a:t>
          </a:r>
        </a:p>
        <a:p>
          <a:pPr algn="ctr" rtl="0">
            <a:defRPr sz="1000"/>
          </a:pPr>
          <a:r>
            <a:rPr lang="en-US" sz="1100" b="1" i="0" u="none" strike="noStrike" baseline="0">
              <a:solidFill>
                <a:sysClr val="windowText" lastClr="000000"/>
              </a:solidFill>
              <a:latin typeface="Arial Narrow" panose="020B0606020202030204" pitchFamily="34" charset="0"/>
              <a:ea typeface="Tahoma" panose="020B0604030504040204"/>
              <a:cs typeface="Times New Roman" panose="02020603050405020304" pitchFamily="18" charset="0"/>
            </a:rPr>
            <a:t>Pengguna Anggaran / Pejabat Pembuat Komitmen</a:t>
          </a:r>
        </a:p>
        <a:p>
          <a:pPr algn="ctr" rtl="0">
            <a:defRPr sz="1000"/>
          </a:pPr>
          <a:r>
            <a:rPr lang="en-US" sz="1100" b="1" i="0" u="none" strike="noStrike" baseline="0">
              <a:solidFill>
                <a:sysClr val="windowText" lastClr="000000"/>
              </a:solidFill>
              <a:latin typeface="Arial Narrow" panose="020B0606020202030204" pitchFamily="34" charset="0"/>
              <a:ea typeface="Tahoma" panose="020B0604030504040204"/>
              <a:cs typeface="Times New Roman" panose="02020603050405020304" pitchFamily="18" charset="0"/>
            </a:rPr>
            <a:t> ( PA/PPK )</a:t>
          </a:r>
        </a:p>
        <a:p>
          <a:pPr algn="ctr" rtl="0">
            <a:defRPr sz="1000"/>
          </a:pPr>
          <a:r>
            <a:rPr lang="en-US" sz="1100" b="1" i="0" u="none" strike="noStrike" baseline="0">
              <a:solidFill>
                <a:sysClr val="windowText" lastClr="000000"/>
              </a:solidFill>
              <a:latin typeface="Arial Narrow" panose="020B0606020202030204" pitchFamily="34" charset="0"/>
              <a:ea typeface="Tahoma" panose="020B0604030504040204"/>
              <a:cs typeface="Arial Narrow" panose="020B0606020202030204" charset="0"/>
            </a:rPr>
            <a:t> </a:t>
          </a:r>
          <a:endParaRPr lang="en-US" sz="1100" b="0" i="0" u="none" strike="noStrike" baseline="0">
            <a:solidFill>
              <a:sysClr val="windowText" lastClr="000000"/>
            </a:solidFill>
            <a:latin typeface="Arial Narrow" panose="020B0606020202030204" pitchFamily="34" charset="0"/>
            <a:ea typeface="Tahoma" panose="020B0604030504040204"/>
            <a:cs typeface="Arial Narrow" panose="020B0606020202030204" charset="0"/>
          </a:endParaRPr>
        </a:p>
        <a:p>
          <a:pPr algn="ctr" rtl="0">
            <a:defRPr sz="1000"/>
          </a:pPr>
          <a:endParaRPr lang="en-US" sz="1100" b="0" i="0" u="none" strike="noStrike" baseline="0">
            <a:solidFill>
              <a:sysClr val="windowText" lastClr="000000"/>
            </a:solidFill>
            <a:latin typeface="Arial Narrow" panose="020B0606020202030204" pitchFamily="34" charset="0"/>
            <a:ea typeface="Tahoma" panose="020B0604030504040204"/>
            <a:cs typeface="Arial Narrow" panose="020B0606020202030204" charset="0"/>
          </a:endParaRPr>
        </a:p>
        <a:p>
          <a:pPr algn="ctr" rtl="0">
            <a:defRPr sz="1000"/>
          </a:pPr>
          <a:endParaRPr lang="en-US" sz="1100" b="0" i="0" u="none" strike="noStrike" baseline="0">
            <a:solidFill>
              <a:sysClr val="windowText" lastClr="000000"/>
            </a:solidFill>
            <a:latin typeface="Arial Narrow" panose="020B0606020202030204" pitchFamily="34" charset="0"/>
            <a:ea typeface="Tahoma" panose="020B0604030504040204"/>
            <a:cs typeface="Arial Narrow" panose="020B0606020202030204" charset="0"/>
          </a:endParaRPr>
        </a:p>
        <a:p>
          <a:pPr algn="ctr" rtl="0">
            <a:defRPr sz="1000"/>
          </a:pPr>
          <a:endParaRPr lang="en-US" sz="1100" b="0" i="0" u="none" strike="noStrike" baseline="0">
            <a:solidFill>
              <a:sysClr val="windowText" lastClr="000000"/>
            </a:solidFill>
            <a:latin typeface="Arial Narrow" panose="020B0606020202030204" pitchFamily="34" charset="0"/>
            <a:ea typeface="Tahoma" panose="020B0604030504040204"/>
            <a:cs typeface="Arial Narrow" panose="020B0606020202030204" charset="0"/>
          </a:endParaRPr>
        </a:p>
        <a:p>
          <a:pPr algn="ctr" rtl="0">
            <a:defRPr sz="1000"/>
          </a:pPr>
          <a:endParaRPr lang="en-US" sz="1100" b="0" i="0" u="none" strike="noStrike" baseline="0">
            <a:solidFill>
              <a:sysClr val="windowText" lastClr="000000"/>
            </a:solidFill>
            <a:latin typeface="Arial Narrow" panose="020B0606020202030204" pitchFamily="34" charset="0"/>
            <a:ea typeface="Tahoma" panose="020B0604030504040204"/>
            <a:cs typeface="Arial Narrow" panose="020B0606020202030204" charset="0"/>
          </a:endParaRPr>
        </a:p>
        <a:p>
          <a:pPr algn="ctr" rtl="0">
            <a:defRPr sz="1000"/>
          </a:pPr>
          <a:endParaRPr lang="en-US" sz="1100" b="0" i="0" u="none" strike="noStrike" baseline="0">
            <a:solidFill>
              <a:sysClr val="windowText" lastClr="000000"/>
            </a:solidFill>
            <a:latin typeface="Arial Narrow" panose="020B0606020202030204" pitchFamily="34" charset="0"/>
            <a:ea typeface="Tahoma" panose="020B0604030504040204"/>
            <a:cs typeface="Arial Narrow" panose="020B0606020202030204" charset="0"/>
          </a:endParaRPr>
        </a:p>
        <a:p>
          <a:pPr algn="ctr" rtl="0">
            <a:defRPr sz="1000"/>
          </a:pPr>
          <a:endParaRPr lang="en-US" sz="1100" b="0" i="0" u="none" strike="noStrike" baseline="0">
            <a:solidFill>
              <a:sysClr val="windowText" lastClr="000000"/>
            </a:solidFill>
            <a:latin typeface="Arial Narrow" panose="020B0606020202030204" pitchFamily="34" charset="0"/>
            <a:ea typeface="Tahoma" panose="020B0604030504040204"/>
            <a:cs typeface="Arial Narrow" panose="020B0606020202030204" charset="0"/>
          </a:endParaRPr>
        </a:p>
        <a:p>
          <a:pPr algn="ctr" rtl="0">
            <a:defRPr sz="1000"/>
          </a:pPr>
          <a:r>
            <a:rPr lang="en-US" sz="1200" b="1" i="0" u="sng" strike="noStrike" baseline="0">
              <a:solidFill>
                <a:sysClr val="windowText" lastClr="000000"/>
              </a:solidFill>
              <a:latin typeface="Arial Narrow" panose="020B0606020202030204" pitchFamily="34" charset="0"/>
              <a:ea typeface="Tahoma" panose="020B0604030504040204"/>
              <a:cs typeface="Times New Roman" panose="02020603050405020304" pitchFamily="18" charset="0"/>
            </a:rPr>
            <a:t>RICKI R HARIANJA,SE. MM</a:t>
          </a:r>
          <a:endParaRPr lang="en-US" sz="1200" b="0" i="0" u="none" strike="noStrike" baseline="0">
            <a:solidFill>
              <a:sysClr val="windowText" lastClr="000000"/>
            </a:solidFill>
            <a:latin typeface="Arial Narrow" panose="020B0606020202030204" pitchFamily="34" charset="0"/>
            <a:ea typeface="Tahoma" panose="020B0604030504040204"/>
            <a:cs typeface="Times New Roman" panose="02020603050405020304" pitchFamily="18" charset="0"/>
          </a:endParaRPr>
        </a:p>
        <a:p>
          <a:pPr algn="ctr" rtl="0">
            <a:defRPr sz="1000"/>
          </a:pPr>
          <a:r>
            <a:rPr lang="en-US" sz="1100" b="0" i="0" u="none" strike="noStrike" baseline="0">
              <a:solidFill>
                <a:sysClr val="windowText" lastClr="000000"/>
              </a:solidFill>
              <a:latin typeface="Arial Narrow" panose="020B0606020202030204" pitchFamily="34" charset="0"/>
              <a:ea typeface="Tahoma" panose="020B0604030504040204"/>
              <a:cs typeface="Times New Roman" panose="02020603050405020304" pitchFamily="18" charset="0"/>
            </a:rPr>
            <a:t>NIP. 19840529 200805 1 001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FIRMAN\KODYA-BRR%202006\KODYA-2006\MANDIRI-Lamie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zefri\pdanp%202009-2011\p&amp;p%202011\p&amp;p%202011\smkn%20galang%203%20rkb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tender%20perkim\dari%20konsultan\01.%20SBS%20OK\Konsultan\RAB\GREPS\FINAL%20RAB\hutaambasang-sibokkare1.xls" TargetMode="External"/></Relationships>
</file>

<file path=xl/externalLinks/_rels/externalLink12.xml.rels><?xml version="1.0" encoding="UTF-8" standalone="yes"?>
<Relationships xmlns="http://schemas.openxmlformats.org/package/2006/relationships"><Relationship Id="rId2" Type="http://schemas.microsoft.com/office/2019/04/relationships/externalLinkLongPath" Target="file:///C:\Users\Win-10\Downloads\Users\MY\Videos\Downloads\2022\BPBD%20PROVINSI%20SUMUT\FINAL%20LAPORAN%20BPBD\ANL%20UPDATE\DISPORASU\SARANA\LAMPU\KOLAM%20SELAYANG\tender%20perkim\dari%20konsultan\01.%20SBS%20OK\Konsultan\RAB\GREPS\FINAL%20RAB\hutaambasang-sibokkare1.xls?F081EAF4" TargetMode="External"/><Relationship Id="rId1" Type="http://schemas.openxmlformats.org/officeDocument/2006/relationships/externalLinkPath" Target="file:///\\F081EAF4\hutaambasang-sibokkare1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in-10\Downloads\Users\MY\Videos\Downloads\ALTAR\TES%20ALANLISA%20PHA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CC\PRICE%20ADJUSTMENT%20MFC-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tender%20perkim\dari%20konsultan\01.%20SBS%20OK\REHAB%20BERAT%20PUSKESMAS%20Tutuk%20Siadong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in-10\Downloads\Users\MY\Videos\Downloads\JOSEP%20NAINGGOLAN\2012\2012\RAB%20DAN%20COVER\MENURUNG_DATA\AHS%20Jemb%20Sei%20Parit%20II%20SPEC%20DES%2020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AldhO\Kuala\Pemel.%20Periodik\Gajah%20-%20Dogang%20Segmen%20I%20minta%20TOLONG.XLS" TargetMode="External"/></Relationships>
</file>

<file path=xl/externalLinks/_rels/externalLink18.xml.rels><?xml version="1.0" encoding="UTF-8" standalone="yes"?>
<Relationships xmlns="http://schemas.openxmlformats.org/package/2006/relationships"><Relationship Id="rId2" Type="http://schemas.microsoft.com/office/2019/04/relationships/externalLinkLongPath" Target="file:///C:\Users\Win-10\Downloads\Users\MY\Videos\Downloads\2022\BPBD%20PROVINSI%20SUMUT\FINAL%20LAPORAN%20BPBD\ANL%20UPDATE\backup%20c\my%20document\LAPORAN%20%20PROYEK\Laporan%20Proyek%202010\BANDAR%20PULAU\Tawaran%202010\Tg%20Balai%202010\Tg%20Kasau\PT.Rizki%20Rizka%20Jaya.xls?DCD88A4F" TargetMode="External"/><Relationship Id="rId1" Type="http://schemas.openxmlformats.org/officeDocument/2006/relationships/externalLinkPath" Target="file:///\\DCD88A4F\PT.Rizki%20Rizka%20Jaya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ceh%20Utara\PROGRES%20EXPOSE%20SEP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tender%20perkim\dari%20konsultan\01.%20SBS%20OK\REHAB%20BERAT%20PUSKESMAS%20Tutuk%20Siadong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in-10\Downloads\Users\MY\Videos\Downloads\2022\BPBD%20PROVINSI%20SUMUT\FINAL%20LAPORAN%20BPBD\ANL%20UPDATE\backup%20c\my%20document\DATA%202009\BERKAS%20TAWAR%202009\TAWARAN\Tj.%20BALAI\Indrapura\PT.AMARTA%20JAYA%20PUTRA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in-10\Downloads\Users\MY\Videos\Downloads\2022\BPBD%20PROVINSI%20SUMUT\FINAL%20LAPORAN%20BPBD\ANL%20UPDATE\tender%20perkim\dari%20konsultan\01.%20SBS%20OK\Konsultan\RAB\GREPS\FINAL%20RAB\hutaambasang-sibokkare1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in-10\Downloads\Users\MY\Videos\Downloads\2022\BPBD%20PROVINSI%20SUMUT\FINAL%20LAPORAN%20BPBD\ANL%20UPDATE\DISPORASU\SARANA\LAMPU\KOLAM%20SELAYANG\DINAS%20PERUMAHAN%20DAN%20PEMUKIMAN\jalan%20setapak%20sni%202013%20(REVISI)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in-10\Downloads\Users\MY\Videos\Downloads\2022\BPBD%20PROVINSI%20SUMUT\FINAL%20LAPORAN%20BPBD\ANL%20UPDATE\PROJECT_Q\Project%202011\Emri\Rudin%20Belawan\rudin_sni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2006\RAB\AEK%20KUO\115487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in-10\Downloads\Users\MY\Videos\Downloads\2022\BPBD%20PROVINSI%20SUMUT\FINAL%20LAPORAN%20BPBD\ANL%20UPDATE\Dokumen\Data\2011%20Tender%20Kontraktor\Kanwil%20Pajak%20Tahap%206\OE\OE%20Final\EE_32_Revisi%20Terakhir%20(30052011)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AldhO\Kuala\Pemel.%20Periodik\RAB%20Pd%20Cermin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in-10\Downloads\Users\MY\Videos\Downloads\2022\BPBD%20PROVINSI%20SUMUT\FINAL%20LAPORAN%20BPBD\ANL%20UPDATE\backup%20c\my%20document\Data%202009\TAWARAN%2009\Kis-Bts.Sim\PT.MENARA%20FAZIRA%20ABADI%20%20(%2097.79)\1-BOQ%20Kis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in-10\Downloads\Users\MY\Videos\Downloads\2022\BPBD%20PROVINSI%20SUMUT\FINAL%20LAPORAN%20BPBD\ANL%20UPDATE\fakhrul\2013\tender\PNWRN\sekolah\SDN%20060951\SDN%20060951%20(1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in-10\Downloads\Users\MY\Videos\Downloads\2022\BPBD%20PROVINSI%20SUMUT\FINAL%20LAPORAN%20BPBD\ANL%20UPDATE\DISPORASU\SARANA\LAMPU\KOLAM%20SELAYANG\fakhrul\2013\tender\PNWRN\sekolah\SDN%20060951\SDN%20060951%20(1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tender%20perkim\dari%20konsultan\01.%20SBS%20OK\PAKET-2008\LAPORAN%20ORR%20SAMOSIR%20FINAL\LAPORAN%20PELELANGAN\RAB-FINAL\EE-SAMOSIR-ORR\OE-EE\1-BOQ.xls" TargetMode="External"/></Relationships>
</file>

<file path=xl/externalLinks/_rels/externalLink30.xml.rels><?xml version="1.0" encoding="UTF-8" standalone="yes"?>
<Relationships xmlns="http://schemas.openxmlformats.org/package/2006/relationships"><Relationship Id="rId2" Type="http://schemas.microsoft.com/office/2019/04/relationships/externalLinkLongPath" Target="file:///C:\Users\Win-10\Downloads\Users\MY\Videos\Downloads\2022\BPBD%20PROVINSI%20SUMUT\FINAL%20LAPORAN%20BPBD\ANL%20UPDATE\EDY\GEDUNG%20GSG%20TAHAP%20VII\SKEDUL\happy@cc.com\My%20Documents\www.data_ambo.com\eskalasi\MCF-2\Peride%20I%20sd%20Juli%202001\ALMFE2.xls?10E55256" TargetMode="External"/><Relationship Id="rId1" Type="http://schemas.openxmlformats.org/officeDocument/2006/relationships/externalLinkPath" Target="file:///\\10E55256\ALMFE2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in-10\Downloads\Users\MY\Videos\Downloads\2022\BPBD%20PROVINSI%20SUMUT\FINAL%20LAPORAN%20BPBD\ANL%20UPDATE\tender%20perkim\dari%20konsultan\01.%20SBS%20OK\REHAB%20BERAT%20PUSKESMAS%20Tutuk%20Siadong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in-10\Downloads\Users\MY\Videos\Downloads\REHAB%20BERAT%20PUSKESMAS%20SIRAI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FIRMAN\KODYA-BRR%202006\HPJI%20FILE\3-DIV10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in-10\Downloads\Users\MY\Videos\Downloads\JOSEP%20NAINGGOLAN\2012\2012\RAB%20DAN%20COVER\freddy\_2012\Air%20BErsih%20Balige_2012\06-DATA%202011\02-SAMOSIR\DINAS%20PU\JALAN\RAB\KEC.%20PALIPI\RAB%20HT%20PANGGABEAN-DS%20HATOGUAN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AldhO\Kuala\Pemel.%20Periodik\EE-Pd%20Cermin-I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in-10\Downloads\Users\MY\Videos\Downloads\2022\BPBD%20PROVINSI%20SUMUT\FINAL%20LAPORAN%20BPBD\ANL%20UPDATE\CEK%20LEEEEEM\FORMAT%20RAB%20PNPM-PPK%20SEUNAGAN%202007\A.PAYA%20UNDAN\Poelkerja\RAB%20Coll\RAB%20GOR.xls" TargetMode="External"/></Relationships>
</file>

<file path=xl/externalLinks/_rels/externalLink37.xml.rels><?xml version="1.0" encoding="UTF-8" standalone="yes"?>
<Relationships xmlns="http://schemas.openxmlformats.org/package/2006/relationships"><Relationship Id="rId2" Type="http://schemas.microsoft.com/office/2019/04/relationships/externalLinkLongPath" Target="file:///C:\Users\Win-10\Downloads\Users\MY\Videos\Downloads\2022\BPBD%20PROVINSI%20SUMUT\FINAL%20LAPORAN%20BPBD\ANL%20UPDATE\Document\RYWANDYS%20FILES\Assosiation%20Data\Vinot\08%20DED%20SImalungun\Vinot\03%20Simalungun%20Project\About%20Hitungan\Hitungan%20Reservoar.xls?C1C4263C" TargetMode="External"/><Relationship Id="rId1" Type="http://schemas.openxmlformats.org/officeDocument/2006/relationships/externalLinkPath" Target="file:///\\C1C4263C\Hitungan%20Reservoar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mdi\proyek-2\DATA%20ANALISIS\RAB%20&amp;%20ESTIMATE\RAB%206%20RUSUN%20Menpera\Rusunawa%20UNJA%20JAMBI%20Sumatera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in-10\Downloads\Users\MY\Videos\Downloads\2022\BPBD%20PROVINSI%20SUMUT\FINAL%20LAPORAN%20BPBD\ANL%20UPDATE\CEK%20LEEEEEM\FORMAT%20RAB%20PNPM-PPK%20SEUNAGAN%202007\A.PAYA%20UNDAN\MOLANA\Donyaaa\OWEN\R%20M%2006\cv%20TIGA%20SAUDARApakai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in-10\Downloads\Users\MY\Videos\Downloads\2022\BPBD%20PROVINSI%20SUMUT\FINAL%20LAPORAN%20BPBD\ANL%20UPDATE\PROJECT_Q\Project%202016\Dinas%20Tarukim%20Medan\sd%20negeri%20066433%20Medan%20Denai%20OK\ANALISA%20HARGA%202016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2006\Contoh%20RAB%231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in-10\Downloads\Users\MY\Videos\Downloads\Users\User\AppData\Local\Temp\PROJECT_Q\Project%202011\Emri\Rudin%20Belawan\rudin_sni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in-10\Downloads\Users\MY\Videos\Downloads\2022\BPBD%20PROVINSI%20SUMUT\FINAL%20LAPORAN%20BPBD\ANL%20UPDATE\EDY\GEDUNG%20GSG%20TAHAP%20VII\SKEDUL\THOMS@DM%20TEK.COM\COST%20ADJUSTMENT\OK%20MFC-2\UP10%20olah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2006\RAB%2306\KAMPUNG%20RAKYAT\11223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in-10\Downloads\Users\MY\Videos\Downloads\data\PROYEK\Ancol\Opname2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in-10\Downloads\Users\MY\Videos\Downloads\RAB\DraftRAB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in-10\Downloads\Users\MY\Videos\Downloads\RAB%20Renovasi%20revitalisasi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in-10\Downloads\Users\MY\Videos\Downloads\2022\BPBD%20PROVINSI%20SUMUT\FINAL%20LAPORAN%20BPBD\ANL%20UPDATE\backup%20c\my%20document\Data%202009\TAWARAN%2009\Kis-Bts.Sim\PT.MENARA%20FAZIRA%20ABADI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in-10\Downloads\Users\MY\Videos\Downloads\Documents%20and%20Settings\margin\My%20Documents\Harian\Rab%20Harianr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\RYWANDYS%20FILES\Personal%20&amp;%20Project%20Folder\DED%20SIMALUNGUN%2028%20Agust\Tanah%20Jawa\Assosiation%20Data\Vinot\08%20DED%20SImalungun\Vinot\03%20Simalungun%20Project\About%20Hit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in-10\Downloads\Users\MY\Videos\Downloads\2016\ANALISA%20HARGA%202016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in-10\Downloads\Users\MY\Videos\Downloads\2022\BPBD%20PROVINSI%20SUMUT\FINAL%20LAPORAN%20BPBD\ANL%20UPDATE\2018\DATA\analisa\DINAS%20PERUMAHAN%20DAN%20PEMUKIMAN\jalan%20setapak%20sni%202013%20(REVISI)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in-10\Downloads\Users\MY\Videos\Downloads\2022\BPBD%20PROVINSI%20SUMUT\FINAL%20LAPORAN%20BPBD\ANL%20UPDATE\backup%20c\my%20document\ANALISA%20BARU%20DINAS%202009\07%20-%20SOFTWARE%20SPEK%20KHUSUS\AHS%20ASBUTON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in-10\Downloads\Users\MY\Videos\Downloads\2022\BPBD%20PROVINSI%20SUMUT\FINAL%20LAPORAN%20BPBD\ANL%20UPDATE\backup%20c\my%20document\PAHS2006\Copy%20of%20PAHS2006%20R2%20draft(MIS)new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in-10\Downloads\Users\MY\Videos\Downloads\PAHS2006\Copy%20of%20PAHS2006%20R2%20draft(MIS)new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2006\KIMPRASDA%202006\RAB%2306\KUALUH%20SELATAN\SUMUR%23BOR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in-10\Downloads\Users\MY\Videos\Downloads\2022\BPBD%20PROVINSI%20SUMUT\FINAL%20LAPORAN%20BPBD\ANL%20UPDATE\backup%20c\my%20document\Divisi%202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in-10\Downloads\Users\MY\Videos\Downloads\Divisi%203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in-10\Downloads\Users\MY\Videos\Downloads\2022\BPBD%20PROVINSI%20SUMUT\FINAL%20LAPORAN%20BPBD\ANL%20UPDATE\backup%20c\my%20document\Divisi%203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in-10\Downloads\Users\MY\Videos\Downloads\Divisi%204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in-10\Downloads\Users\MY\Videos\Downloads\2022\BPBD%20PROVINSI%20SUMUT\FINAL%20LAPORAN%20BPBD\ANL%20UPDATE\backup%20c\my%20document\Divisi%205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\RYWANDYS%20FILES\Assosiation%20Data\Vinot\08%20DED%20SImalungun\Vinot\03%20Simalungun%20Project\About%20Hitungan\Hitungan%20Reservoar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in-10\Downloads\Users\MY\Videos\Downloads\Divisi%205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in-10\Downloads\Users\MY\Videos\Downloads\RETOOLING\3-DIV6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in-10\Downloads\Users\MY\Videos\Downloads\RETOOLING\3-DIV7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SURVEY%20PERENCANAAN%202007\RAB%202007\Rab%20Kimprasda\Balai%20Pertemuan%20Kt.%20Pinang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in-10\Downloads\Users\MY\Videos\Downloads\2022\BPBD%20PROVINSI%20SUMUT\FINAL%20LAPORAN%20BPBD\ANL%20UPDATE\CEK%20LEEEEEM\FORMAT%20RAB%20PNPM-PPK%20SEUNAGAN%202007\A.PAYA%20UNDAN\Poelkerja\RAB%20Coll\Rab%20UGD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in-10\Downloads\Users\MY\Videos\Downloads\Laporan%202007\Paket%20PU\Sipagabu\SIPAGABU%20KJ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in-10\Downloads\Users\MY\Videos\Downloads\2022\BPBD%20PROVINSI%20SUMUT\FINAL%20LAPORAN%20BPBD\ANL%20UPDATE\perkim\2014\kios%20buku\kios%20bukubaru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in-10\Downloads\Users\MY\Videos\Downloads\2022\BPBD%20PROVINSI%20SUMUT\FINAL%20LAPORAN%20BPBD\ANL%20UPDATE\DISPORASU\SARANA\LAMPU\KOLAM%20SELAYANG\perkim\2014\kios%20buku\kios%20bukubaru.xls" TargetMode="External"/></Relationships>
</file>

<file path=xl/externalLinks/_rels/externalLink68.xml.rels><?xml version="1.0" encoding="UTF-8" standalone="yes"?>
<Relationships xmlns="http://schemas.openxmlformats.org/package/2006/relationships"><Relationship Id="rId2" Type="http://schemas.microsoft.com/office/2019/04/relationships/externalLinkLongPath" Target="file:///C:\Users\Win-10\Downloads\Users\MY\Videos\Downloads\2022\BPBD%20PROVINSI%20SUMUT\FINAL%20LAPORAN%20BPBD\ANL%20UPDATE\EDY\GEDUNG%20GSG%20TAHAP%20VII\SKEDUL\Folder%20Work\happy@cc.com\My%20Documents\www.data_ambo.com\eskalasi\Price%20Adjustment\Summary.xls?66980663" TargetMode="External"/><Relationship Id="rId1" Type="http://schemas.openxmlformats.org/officeDocument/2006/relationships/externalLinkPath" Target="file:///\\66980663\Summary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sadi\DATA%20S-D%20(D)\DATA%20ANALISIS\RAB%20&amp;%20ESTIMATE\RAB%206%20RUSUN%20Menpera\Rusunawa%20UNJA%20JAMBI%20Sumatera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in-10\Downloads\Users\MY\Videos\Downloads\2022\BPBD%20PROVINSI%20SUMUT\FINAL%20LAPORAN%20BPBD\ANL%20UPDATE\2018\DATA\analisa\tender%20perkim\dari%20konsultan\01.%20SBS%20OK\REHAB%20BERAT%20PUSKESMAS%20Tutuk%20Siadong.xls" TargetMode="External"/></Relationships>
</file>

<file path=xl/externalLinks/_rels/externalLink70.xml.rels><?xml version="1.0" encoding="UTF-8" standalone="yes"?>
<Relationships xmlns="http://schemas.openxmlformats.org/package/2006/relationships"><Relationship Id="rId2" Type="http://schemas.microsoft.com/office/2019/04/relationships/externalLinkLongPath" Target="file:///C:\Users\Win-10\Downloads\Users\MY\Videos\Downloads\2022\BPBD%20PROVINSI%20SUMUT\FINAL%20LAPORAN%20BPBD\ANL%20UPDATE\DISPORASU\SARANA\LAMPU\KOLAM%20SELAYANG\WARSIMAN\2017\SWAKELOLA%20GEDUNG\Arie\Project\SAMOSIR\Perencanaan\BOW%20Tarukim%202010.xls?E78E0F0C" TargetMode="External"/><Relationship Id="rId1" Type="http://schemas.openxmlformats.org/officeDocument/2006/relationships/externalLinkPath" Target="file:///\\E78E0F0C\BOW%20Tarukim%202010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2006%2306\RAB%2306\RANTAU%20SELATAN\ASRAMA%23HAJI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2006\RAB%2306\KUALUH%20LEIDONG\RUANG%20KERJA%20PLUS%20CAMAT%20LEIDONG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in-10\Downloads\Users\MY\Videos\Downloads\2022\BPBD%20PROVINSI%20SUMUT\FINAL%20LAPORAN%20BPBD\ANL%20UPDATE\My%20Documents\PROYEK%20P&amp;P\Adm%20Proyek%20P&amp;P\PROG.%20ANALISA\ANALISA%20WIN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wan\d.data%20adm\Proyek%202001-2002%20(EST)\Pasca%20Sarjana\E-E1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wan\d.data%20adm\Proyek%202001-2002%20(EST)\BAA\RAB\Harga%20-%20BAA1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in-10\Downloads\Users\MY\Videos\Downloads\PROYEK%20(CAIL)\DIKNAS%202007-%20REVISI%20FINAL%20!!\CINCAI-CINCAI\Pertanggal%2026-12-07%20Final%20OK%20!\SIBAGINDAR\Puramot%20Jaya%20-01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2006\RAB%2306\RANTAU%20SELATAN\DIAGNOSTIK%20RSUD%20RAPAT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my_project\diskes\DELI%20SERDANG%20MEMBANGUN\123R5W\WORK\P3DT\P3DT2000\Master%20OE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in-10\Downloads\Users\MY\Videos\Downloads\2022\BPBD%20PROVINSI%20SUMUT\FINAL%20LAPORAN%20BPBD\ANL%20UPDATE\P3DT\Addendum\Bima.xls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microsoft.com/office/2019/04/relationships/externalLinkLongPath" Target="file:///C:\Users\Win-10\Downloads\Users\MY\Videos\Downloads\2022\BPBD%20PROVINSI%20SUMUT\FINAL%20LAPORAN%20BPBD\ANL%20UPDATE\DISPORASU\SARANA\LAMPU\KOLAM%20SELAYANG\tender%20perkim\dari%20konsultan\01.%20SBS%20OK\REHAB%20BERAT%20PUSKESMAS%20Tutuk%20Siadong.xls?3F9C2F17" TargetMode="External"/><Relationship Id="rId1" Type="http://schemas.openxmlformats.org/officeDocument/2006/relationships/externalLinkPath" Target="file:///\\3F9C2F17\REHAB%20BERAT%20PUSKESMAS%20Tutuk%20Siadong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in-10\Downloads\Users\MY\Videos\Downloads\JOSEP%20NAINGGOLAN\2012\2012\RAB%20DAN%20COVER\freddy\_2012\Air%20BErsih%20Balige_2012\06-DATA%202011\02-SAMOSIR\DINAS%20PU\JALAN\RAB\KEC.%20PALIPI\RAB%20simanuk-manuk1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in-10\Downloads\Users\MY\Videos\Downloads\2022\BPBD%20PROVINSI%20SUMUT\FINAL%20LAPORAN%20BPBD\ANL%20UPDATE\tender%20perkim\dari%20konsultan\01.%20SBS%20OK\NumpangData%20Juni%202009up\Analisa001\ANALISA%20SNI%20INDONESIA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in-10\Downloads\Users\MY\Videos\Downloads\2022\BPBD%20PROVINSI%20SUMUT\FINAL%20LAPORAN%20BPBD\ANL%20UPDATE\EDY\GEDUNG%20GSG%20TAHAP%20VII\SKEDUL\Documents%20and%20Settings\Indra%20007\My%20Documents\UP10%20olah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in-10\Downloads\Users\MY\Videos\Downloads\Data\2011\RAB%20RUTAN%20KLAS%20I%20MEDAN\Penawaran%20Rutan%202011\00.%20Penawaran%20SBS\Konsultan\RAB\GREPS\FINAL%20RAB\hutaambasang-sibokkare1.xls" TargetMode="External"/></Relationships>
</file>

<file path=xl/externalLinks/_rels/externalLink84.xml.rels><?xml version="1.0" encoding="UTF-8" standalone="yes"?>
<Relationships xmlns="http://schemas.openxmlformats.org/package/2006/relationships"><Relationship Id="rId2" Type="http://schemas.microsoft.com/office/2019/04/relationships/externalLinkLongPath" Target="file:///C:\Users\Win-10\Downloads\Users\MY\Videos\Downloads\2022\BPBD%20PROVINSI%20SUMUT\FINAL%20LAPORAN%20BPBD\ANL%20UPDATE\backup%20c\my%20document\Documents%20and%20Settings\user\My%20Documents\LAP%20HARGA%20SAT\ANL%20HARGA%20SATUAN\EXCEL-PAHS\PANDUAN%20BQ\EE%20FO%20Pamanukan\3-DIV3.xls?ABE079C4" TargetMode="External"/><Relationship Id="rId1" Type="http://schemas.openxmlformats.org/officeDocument/2006/relationships/externalLinkPath" Target="file:///\\ABE079C4\3-DIV3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in-10\Downloads\Users\MY\Videos\Downloads\Documents%20and%20Settings\user\My%20Documents\LAP%20HARGA%20SAT\ANL%20HARGA%20SATUAN\EXCEL-PAHS\PANDUAN%20BQ\EE%20FO%20Pamanukan\3-DIV3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2006\RAB%2306\BILAH%20HULU\Pustu%20Kampung%20Dalam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in-10\Downloads\Users\MY\Videos\Downloads\2022\BPBD%20PROVINSI%20SUMUT\FINAL%20LAPORAN%20BPBD\ANL%20UPDATE\COST%20ADJUSTMENT\COST%20ADJUSTMENT%20FOR%20APRIL%2021,%202004%20UP%20TO%20OCTOBER%2020,2004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in-10\Downloads\Users\MY\Videos\Downloads\2022\BPBD%20PROVINSI%20SUMUT\FINAL%20LAPORAN%20BPBD\ANL%20UPDATE\DISPORASU\SARANA\LAMPU\KOLAM%20SELAYANG\tender%20perkim\dari%20konsultan\01.%20SBS%20OK\2a%20set%2009%20print%20(BQ)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in-10\Downloads\Users\MY\Videos\Downloads\Document\RYWANDYS%20FILES\HITUNGAN%20%20PIKUL%20DAN%20ANGKUT%20VERSI%20RUDY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KEGIATAN\G%20A%20M%20B%20A%20R\BM%20DAK%2009\BQ%20JLN.%20Guhang-Cotmane%20awal\1-BOQ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in-10\Downloads\Users\MY\Videos\Downloads\2022\BPBD%20PROVINSI%20SUMUT\FINAL%20LAPORAN%20BPBD\ANL%20UPDATE\DISPORASU\SARANA\LAMPU\KOLAM%20SELAYANG\Document\RYWANDYS%20FILES\HITUNGAN%20%20PIKUL%20DAN%20ANGKUT%20VERSI%20RUDY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tender%20perkim\dari%20konsultan\01.%20SBS%20OK\NumpangData%20Juni%202009up\Analisa001\ANALISA%20SNI%20INDONESIA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in-10\Downloads\Users\MY\Videos\Downloads\2022\BPBD%20PROVINSI%20SUMUT\FINAL%20LAPORAN%20BPBD\ANL%20UPDATE\Document\RYWANDYS%20FILES\DAFTAR%20ANALISA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in-10\Downloads\Users\MY\Videos\Downloads\2022\BPBD%20PROVINSI%20SUMUT\FINAL%20LAPORAN%20BPBD\ANL%20UPDATE\DISPORASU\SARANA\LAMPU\KOLAM%20SELAYANG\Document\RYWANDYS%20FILES\DAFTAR%20ANALISA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in-10\Downloads\Users\MY\Videos\Downloads\2022\BPBD%20PROVINSI%20SUMUT\FINAL%20LAPORAN%20BPBD\ANL%20UPDATE\DISPORASU\SARANA\LAMPU\KOLAM%20SELAYANG\WARSIMAN\2018\analisa\RAB%20GEDUNG%202017\SEKOLAH\20.%20REHAB%20SMPN%2027.xlsx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in-10\Downloads\Users\MY\Videos\Downloads\2022\BPBD%20PROVINSI%20SUMUT\FINAL%20LAPORAN%20BPBD\ANL%20UPDATE\DISPORASU\SARANA\LAMPU\KOLAM%20SELAYANG\WARSIMAN\2018\analisa\ANALISA%202018-buat%20fahru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4"/>
      <sheetName val="Sheet3"/>
      <sheetName val="Sheet5"/>
      <sheetName val="Sheet2"/>
      <sheetName val="Sheet1"/>
      <sheetName val="A"/>
    </sheetNames>
    <sheetDataSet>
      <sheetData sheetId="0"/>
      <sheetData sheetId="1"/>
      <sheetData sheetId="2"/>
      <sheetData sheetId="3"/>
      <sheetData sheetId="4"/>
      <sheetData sheetId="5">
        <row r="1">
          <cell r="Q1" t="str">
            <v>LAMPIRAN 2(a)  PENAWARAN</v>
          </cell>
          <cell r="AP1" t="str">
            <v>REKAPITULASI</v>
          </cell>
        </row>
        <row r="2">
          <cell r="Q2" t="str">
            <v>( Lampiran ini dipergunakan semata-mata untuk evaluasi penawaran )</v>
          </cell>
          <cell r="AG2" t="str">
            <v>DAFTAR KUANTITAS DAN HARGA</v>
          </cell>
          <cell r="AP2" t="str">
            <v>DAFTAR KUANTITAS DAN HARGA</v>
          </cell>
        </row>
        <row r="4">
          <cell r="Q4" t="str">
            <v>DAFTAR HARGA SATUAN UPAH</v>
          </cell>
          <cell r="AG4" t="str">
            <v>PENAWAR</v>
          </cell>
          <cell r="AH4" t="str">
            <v>:</v>
          </cell>
          <cell r="AI4" t="str">
            <v>CV. MANDIRI KARYA UTAMA</v>
          </cell>
        </row>
        <row r="5">
          <cell r="AG5" t="str">
            <v>PROYEK</v>
          </cell>
          <cell r="AH5" t="str">
            <v>:</v>
          </cell>
          <cell r="AI5" t="str">
            <v>PENINGKATAN JALAN DAN PENGGANTIAN JEMBATAN DPU CAB. VI ACEH BARAT</v>
          </cell>
          <cell r="AP5" t="str">
            <v>PENAWAR</v>
          </cell>
          <cell r="AQ5" t="str">
            <v>:</v>
          </cell>
          <cell r="AR5" t="str">
            <v>CV. MANDIRI KARYA UTAMA</v>
          </cell>
        </row>
        <row r="6">
          <cell r="Q6" t="str">
            <v>PROYEK</v>
          </cell>
          <cell r="R6" t="str">
            <v>:</v>
          </cell>
          <cell r="S6" t="str">
            <v>PENINGKATAN JALAN DAN PENGGANTIAN JEMBATAN DPU CAB. VI ACEH BARAT</v>
          </cell>
          <cell r="AG6" t="str">
            <v>PEKERJAAN</v>
          </cell>
          <cell r="AH6" t="str">
            <v>:</v>
          </cell>
          <cell r="AI6" t="str">
            <v>PENINGKATAN JALAN KUALA TUHA - LAMIE, KM. 45+000 s/d 47+000</v>
          </cell>
          <cell r="AP6" t="str">
            <v>PROYEK</v>
          </cell>
          <cell r="AQ6" t="str">
            <v>:</v>
          </cell>
          <cell r="AR6" t="str">
            <v>PENINGKATAN JALAN DAN PENGGANTIAN JEMBATAN DPU CAB. VI ACEH BARAT</v>
          </cell>
        </row>
        <row r="7">
          <cell r="W7" t="str">
            <v>NAMA PENAWAR</v>
          </cell>
          <cell r="Y7" t="str">
            <v>:</v>
          </cell>
          <cell r="Z7" t="str">
            <v>CV. MANDIRI KARYA UTAMA</v>
          </cell>
          <cell r="AG7" t="str">
            <v>PROPINSI</v>
          </cell>
          <cell r="AH7" t="str">
            <v>:</v>
          </cell>
          <cell r="AI7" t="str">
            <v>DAERAH ISTIMEWA ACEH</v>
          </cell>
          <cell r="AP7" t="str">
            <v>PEKERJAAN</v>
          </cell>
          <cell r="AQ7" t="str">
            <v>:</v>
          </cell>
          <cell r="AR7" t="str">
            <v>PENINGKATAN JALAN KUALA TUHA - LAMIE, KM. 45+000 s/d 47+000</v>
          </cell>
        </row>
        <row r="8">
          <cell r="Q8" t="str">
            <v>PEKERJAAN</v>
          </cell>
          <cell r="R8" t="str">
            <v>:</v>
          </cell>
          <cell r="S8" t="str">
            <v>PENINGKATAN JALAN KUALA TUHA - LAMIE, KM. 45+000 s/d 47+000</v>
          </cell>
          <cell r="W8" t="str">
            <v>PROYEK</v>
          </cell>
          <cell r="Y8" t="str">
            <v>:</v>
          </cell>
          <cell r="Z8" t="str">
            <v>PENINGKATAN JALAN DAN PENGGANTIAN JEMBATAN DPU CAB. VI ACEH BARAT</v>
          </cell>
          <cell r="AG8" t="str">
            <v>LOKASI</v>
          </cell>
          <cell r="AH8" t="str">
            <v>:</v>
          </cell>
          <cell r="AI8" t="str">
            <v>KABUPATEN ACEH BARAT</v>
          </cell>
          <cell r="AP8" t="str">
            <v>PROPINSI</v>
          </cell>
          <cell r="AQ8" t="str">
            <v>:</v>
          </cell>
          <cell r="AR8" t="str">
            <v>DAERAH ISTIMEWA ACEH</v>
          </cell>
        </row>
        <row r="9">
          <cell r="W9" t="str">
            <v>NO. MATA PEMBAYARAN</v>
          </cell>
          <cell r="Y9" t="str">
            <v>:</v>
          </cell>
          <cell r="Z9" t="str">
            <v>1.2</v>
          </cell>
          <cell r="AG9" t="str">
            <v>TH. ANGG.</v>
          </cell>
          <cell r="AH9" t="str">
            <v>:</v>
          </cell>
          <cell r="AI9">
            <v>2000</v>
          </cell>
          <cell r="AP9" t="str">
            <v>LOKASI</v>
          </cell>
          <cell r="AQ9" t="str">
            <v>:</v>
          </cell>
          <cell r="AR9" t="str">
            <v>KABUPATEN ACEH BARAT</v>
          </cell>
        </row>
        <row r="10">
          <cell r="U10" t="str">
            <v>HARGA</v>
          </cell>
          <cell r="W10" t="str">
            <v>JENIS PEKERJAAN</v>
          </cell>
          <cell r="Y10" t="str">
            <v>:</v>
          </cell>
          <cell r="Z10" t="str">
            <v>MOBILISASI</v>
          </cell>
          <cell r="AP10" t="str">
            <v>TH. ANGG.</v>
          </cell>
          <cell r="AQ10" t="str">
            <v>:</v>
          </cell>
          <cell r="AR10">
            <v>2000</v>
          </cell>
        </row>
        <row r="11">
          <cell r="Q11" t="str">
            <v>NO.</v>
          </cell>
          <cell r="R11" t="str">
            <v>U R A I A N</v>
          </cell>
          <cell r="T11" t="str">
            <v>SATUAN</v>
          </cell>
          <cell r="U11" t="str">
            <v>SATUAN</v>
          </cell>
          <cell r="W11" t="str">
            <v>SATUAN PEKERJAAN</v>
          </cell>
          <cell r="Y11" t="str">
            <v>:</v>
          </cell>
          <cell r="Z11" t="str">
            <v>LUMP SUM</v>
          </cell>
          <cell r="AG11" t="str">
            <v>MATA</v>
          </cell>
          <cell r="AL11" t="str">
            <v>HARGA</v>
          </cell>
          <cell r="AM11" t="str">
            <v>JUMLAH</v>
          </cell>
        </row>
        <row r="12">
          <cell r="U12" t="str">
            <v>(Rp.)</v>
          </cell>
          <cell r="W12" t="str">
            <v>PRODUKSI HARIAN/JAM</v>
          </cell>
          <cell r="Y12" t="str">
            <v>:</v>
          </cell>
          <cell r="AG12" t="str">
            <v>PEMBA-</v>
          </cell>
          <cell r="AI12" t="str">
            <v>U R A I A N</v>
          </cell>
          <cell r="AJ12" t="str">
            <v>SATUAN</v>
          </cell>
          <cell r="AK12" t="str">
            <v>PERKIRAAN</v>
          </cell>
          <cell r="AL12" t="str">
            <v>SATUAN</v>
          </cell>
          <cell r="AM12" t="str">
            <v>HARGA-HARGA</v>
          </cell>
        </row>
        <row r="13">
          <cell r="AG13" t="str">
            <v>YARAN</v>
          </cell>
          <cell r="AK13" t="str">
            <v>KUANTITAS</v>
          </cell>
          <cell r="AL13" t="str">
            <v>( Rp.)</v>
          </cell>
          <cell r="AM13" t="str">
            <v>PENAWARAN (Rp)</v>
          </cell>
          <cell r="AP13" t="str">
            <v>NO</v>
          </cell>
          <cell r="AR13" t="str">
            <v>U R A I A N      P E K E R J A A N</v>
          </cell>
        </row>
        <row r="14">
          <cell r="AC14" t="str">
            <v>HARGA</v>
          </cell>
          <cell r="AD14" t="str">
            <v>JUMLAH</v>
          </cell>
          <cell r="AG14" t="str">
            <v>a</v>
          </cell>
          <cell r="AI14" t="str">
            <v>b</v>
          </cell>
          <cell r="AJ14" t="str">
            <v>c</v>
          </cell>
          <cell r="AK14" t="str">
            <v>d</v>
          </cell>
          <cell r="AL14" t="str">
            <v>e</v>
          </cell>
          <cell r="AM14" t="str">
            <v>f = (d x e)</v>
          </cell>
          <cell r="AP14" t="str">
            <v>BAB</v>
          </cell>
        </row>
        <row r="15">
          <cell r="Q15" t="str">
            <v>1.</v>
          </cell>
          <cell r="R15" t="str">
            <v>Pekerja</v>
          </cell>
          <cell r="T15" t="str">
            <v>Jam</v>
          </cell>
          <cell r="U15">
            <v>1700</v>
          </cell>
          <cell r="W15" t="str">
            <v>NO</v>
          </cell>
          <cell r="X15" t="str">
            <v>U  R  A  I  A  N</v>
          </cell>
          <cell r="AA15" t="str">
            <v>SATUAN</v>
          </cell>
          <cell r="AB15" t="str">
            <v>KUANTITAS</v>
          </cell>
          <cell r="AC15" t="str">
            <v>SATUAN</v>
          </cell>
          <cell r="AD15" t="str">
            <v>HARGA</v>
          </cell>
        </row>
        <row r="16">
          <cell r="Q16" t="str">
            <v>2.</v>
          </cell>
          <cell r="R16" t="str">
            <v>Tukang</v>
          </cell>
          <cell r="T16" t="str">
            <v>Jam</v>
          </cell>
          <cell r="U16">
            <v>1900</v>
          </cell>
          <cell r="AC16" t="str">
            <v>(Rp.)</v>
          </cell>
          <cell r="AD16" t="str">
            <v>(Rp.)</v>
          </cell>
          <cell r="AG16" t="str">
            <v>BAB. 1</v>
          </cell>
          <cell r="AI16" t="str">
            <v xml:space="preserve">  U  M  U  M</v>
          </cell>
        </row>
        <row r="17">
          <cell r="Q17" t="str">
            <v>3.</v>
          </cell>
          <cell r="R17" t="str">
            <v>Kepala Tukang</v>
          </cell>
          <cell r="T17" t="str">
            <v>Jam</v>
          </cell>
          <cell r="U17">
            <v>2150</v>
          </cell>
          <cell r="AP17" t="str">
            <v>1.</v>
          </cell>
          <cell r="AR17" t="str">
            <v xml:space="preserve">     U M U M</v>
          </cell>
        </row>
        <row r="18">
          <cell r="Q18" t="str">
            <v>4.</v>
          </cell>
          <cell r="R18" t="str">
            <v>Mandor</v>
          </cell>
          <cell r="T18" t="str">
            <v>Jam</v>
          </cell>
          <cell r="U18">
            <v>1900</v>
          </cell>
          <cell r="W18" t="str">
            <v>A.</v>
          </cell>
          <cell r="X18" t="str">
            <v xml:space="preserve">  Pembelian atau sewa tanah</v>
          </cell>
          <cell r="AA18" t="str">
            <v>M2</v>
          </cell>
          <cell r="AG18" t="str">
            <v>1.2</v>
          </cell>
          <cell r="AI18" t="str">
            <v xml:space="preserve">  Mobilisasi</v>
          </cell>
          <cell r="AJ18" t="str">
            <v>Ls</v>
          </cell>
          <cell r="AK18">
            <v>1</v>
          </cell>
          <cell r="AL18">
            <v>10800000</v>
          </cell>
          <cell r="AM18">
            <v>10800000</v>
          </cell>
        </row>
        <row r="19">
          <cell r="Q19" t="str">
            <v>5.</v>
          </cell>
          <cell r="R19" t="str">
            <v>Operator</v>
          </cell>
          <cell r="T19" t="str">
            <v>Jam</v>
          </cell>
          <cell r="U19">
            <v>4285</v>
          </cell>
          <cell r="AP19" t="str">
            <v>2.</v>
          </cell>
          <cell r="AR19" t="str">
            <v xml:space="preserve">     D R A I N A S E</v>
          </cell>
        </row>
        <row r="20">
          <cell r="Q20" t="str">
            <v>6.</v>
          </cell>
          <cell r="R20" t="str">
            <v>Pembantu Operator</v>
          </cell>
          <cell r="T20" t="str">
            <v>Jam</v>
          </cell>
          <cell r="U20">
            <v>2850</v>
          </cell>
        </row>
        <row r="21">
          <cell r="Q21" t="str">
            <v>7.</v>
          </cell>
          <cell r="R21" t="str">
            <v>Sopir/Driver</v>
          </cell>
          <cell r="T21" t="str">
            <v>Jam</v>
          </cell>
          <cell r="U21">
            <v>4285</v>
          </cell>
          <cell r="W21" t="str">
            <v>B.</v>
          </cell>
          <cell r="X21" t="str">
            <v xml:space="preserve">  Peralatan.</v>
          </cell>
          <cell r="AP21" t="str">
            <v>3.</v>
          </cell>
          <cell r="AR21" t="str">
            <v xml:space="preserve">     PEKERJAAN TANAH</v>
          </cell>
        </row>
        <row r="22">
          <cell r="Q22" t="str">
            <v>8.</v>
          </cell>
          <cell r="R22" t="str">
            <v>Pembantu Sopir/Driver</v>
          </cell>
          <cell r="T22" t="str">
            <v>Jam</v>
          </cell>
          <cell r="U22">
            <v>2850</v>
          </cell>
          <cell r="X22" t="str">
            <v xml:space="preserve">  Sesuai Lampiran 2(a)-2</v>
          </cell>
          <cell r="AA22" t="str">
            <v>Ls</v>
          </cell>
          <cell r="AB22">
            <v>1</v>
          </cell>
          <cell r="AC22">
            <v>3800000</v>
          </cell>
          <cell r="AD22">
            <v>3800000</v>
          </cell>
          <cell r="AI22" t="str">
            <v xml:space="preserve">  Sub Total Harga Bab. 1 ( Dipindahkan ke Rekapitulasi Daftar Kuantitas dan Harga )</v>
          </cell>
          <cell r="AM22">
            <v>10800000</v>
          </cell>
        </row>
        <row r="23">
          <cell r="Q23" t="str">
            <v>9.</v>
          </cell>
          <cell r="R23" t="str">
            <v>Mekanik</v>
          </cell>
          <cell r="T23" t="str">
            <v>Jam</v>
          </cell>
          <cell r="U23">
            <v>4000</v>
          </cell>
          <cell r="AP23" t="str">
            <v>4.</v>
          </cell>
          <cell r="AR23" t="str">
            <v xml:space="preserve">     BAHU JALAN</v>
          </cell>
        </row>
        <row r="25">
          <cell r="W25" t="str">
            <v>C.</v>
          </cell>
          <cell r="X25" t="str">
            <v xml:space="preserve">  Fasilitas Kontraktor.</v>
          </cell>
          <cell r="AG25" t="str">
            <v>BAB. 2</v>
          </cell>
          <cell r="AI25" t="str">
            <v xml:space="preserve">  DRAINASE</v>
          </cell>
          <cell r="AP25" t="str">
            <v>5.</v>
          </cell>
          <cell r="AR25" t="str">
            <v xml:space="preserve">     PERKERASAN BERBUTIR</v>
          </cell>
        </row>
        <row r="26">
          <cell r="W26" t="str">
            <v>1.</v>
          </cell>
          <cell r="X26" t="str">
            <v xml:space="preserve">  Base Camp</v>
          </cell>
          <cell r="AA26" t="str">
            <v>Ls</v>
          </cell>
          <cell r="AB26">
            <v>1</v>
          </cell>
          <cell r="AC26">
            <v>2000000</v>
          </cell>
          <cell r="AD26">
            <v>2000000</v>
          </cell>
        </row>
        <row r="27">
          <cell r="W27" t="str">
            <v>2.</v>
          </cell>
          <cell r="X27" t="str">
            <v xml:space="preserve">  Kantor</v>
          </cell>
          <cell r="AA27" t="str">
            <v>Ls</v>
          </cell>
          <cell r="AB27">
            <v>1</v>
          </cell>
          <cell r="AC27">
            <v>2000000</v>
          </cell>
          <cell r="AD27">
            <v>2000000</v>
          </cell>
          <cell r="AG27" t="str">
            <v>2.1 (1)</v>
          </cell>
          <cell r="AI27" t="str">
            <v xml:space="preserve">  Pekerjaan Galian untuk selokan Drainase &amp;</v>
          </cell>
          <cell r="AP27" t="str">
            <v>6.</v>
          </cell>
          <cell r="AR27" t="str">
            <v xml:space="preserve">     PERKERASAN ASPAL</v>
          </cell>
        </row>
        <row r="28">
          <cell r="W28" t="str">
            <v>3.</v>
          </cell>
          <cell r="X28" t="str">
            <v xml:space="preserve">  Barak</v>
          </cell>
          <cell r="AA28" t="str">
            <v>M2</v>
          </cell>
          <cell r="AI28" t="str">
            <v xml:space="preserve">  Saluran Air</v>
          </cell>
          <cell r="AJ28" t="str">
            <v>M3</v>
          </cell>
          <cell r="AK28">
            <v>1500</v>
          </cell>
          <cell r="AL28">
            <v>6565</v>
          </cell>
          <cell r="AM28">
            <v>9847500</v>
          </cell>
        </row>
        <row r="29">
          <cell r="W29" t="str">
            <v>4.</v>
          </cell>
          <cell r="X29" t="str">
            <v xml:space="preserve">  Workshop/Bengkel</v>
          </cell>
          <cell r="AA29" t="str">
            <v>M2</v>
          </cell>
          <cell r="AP29" t="str">
            <v>7.</v>
          </cell>
          <cell r="AR29" t="str">
            <v xml:space="preserve">     PEKERJAAN STRUKTUR</v>
          </cell>
        </row>
        <row r="30">
          <cell r="W30" t="str">
            <v>5.</v>
          </cell>
          <cell r="X30" t="str">
            <v xml:space="preserve">  Gudang dan lain-lain</v>
          </cell>
          <cell r="AA30" t="str">
            <v>M2</v>
          </cell>
          <cell r="AG30" t="str">
            <v>2.2</v>
          </cell>
          <cell r="AI30" t="str">
            <v xml:space="preserve">  Pekerjaan Pasangan batu dengan Mortal</v>
          </cell>
          <cell r="AJ30" t="str">
            <v>M3</v>
          </cell>
        </row>
        <row r="31">
          <cell r="AP31" t="str">
            <v>8.</v>
          </cell>
          <cell r="AR31" t="str">
            <v xml:space="preserve">     PERKUATAN DAN PEKERJAAN MINOR</v>
          </cell>
        </row>
        <row r="32">
          <cell r="AG32" t="str">
            <v>2.3 (1)</v>
          </cell>
          <cell r="AI32" t="str">
            <v xml:space="preserve">  Gorong-gorong Pipa beton bertulang</v>
          </cell>
          <cell r="AJ32" t="str">
            <v>M'</v>
          </cell>
        </row>
        <row r="33">
          <cell r="W33" t="str">
            <v>D.</v>
          </cell>
          <cell r="X33" t="str">
            <v xml:space="preserve">  Fasilitas Laboratorium dan Layanan.</v>
          </cell>
          <cell r="AI33" t="str">
            <v xml:space="preserve">  diameter &lt; 45 cm</v>
          </cell>
          <cell r="AP33" t="str">
            <v>9.</v>
          </cell>
          <cell r="AR33" t="str">
            <v xml:space="preserve">     PEKERJAAN HARIAN</v>
          </cell>
        </row>
        <row r="34">
          <cell r="W34" t="str">
            <v>1.</v>
          </cell>
          <cell r="X34" t="str">
            <v xml:space="preserve">  Kantor</v>
          </cell>
          <cell r="AA34" t="str">
            <v>M2</v>
          </cell>
        </row>
        <row r="35">
          <cell r="W35" t="str">
            <v>2.</v>
          </cell>
          <cell r="X35" t="str">
            <v xml:space="preserve">  Akomudasi utk. Wkl. Direksi Teknik</v>
          </cell>
          <cell r="AA35" t="str">
            <v>M2</v>
          </cell>
          <cell r="AG35" t="str">
            <v>2.3 (2)</v>
          </cell>
          <cell r="AI35" t="str">
            <v xml:space="preserve">  Gorong-gorong Pipa beton bertulang</v>
          </cell>
          <cell r="AJ35" t="str">
            <v>M'</v>
          </cell>
          <cell r="AP35" t="str">
            <v>10.</v>
          </cell>
          <cell r="AR35" t="str">
            <v xml:space="preserve">     PEKERJAAN PEMELIHARAAN RUTIN</v>
          </cell>
        </row>
        <row r="36">
          <cell r="W36" t="str">
            <v>3.</v>
          </cell>
          <cell r="X36" t="str">
            <v xml:space="preserve">  Ruang Laboratorium</v>
          </cell>
          <cell r="AA36" t="str">
            <v>M2</v>
          </cell>
          <cell r="AI36" t="str">
            <v xml:space="preserve">  diameter &lt; 45 - 75 cm</v>
          </cell>
        </row>
        <row r="37">
          <cell r="T37" t="str">
            <v>ACEH BESAR,   22  AGUSTUS  2000</v>
          </cell>
          <cell r="W37" t="str">
            <v>4.</v>
          </cell>
          <cell r="X37" t="str">
            <v xml:space="preserve">  Peralatan Laboratorium</v>
          </cell>
          <cell r="AA37" t="str">
            <v>Unit</v>
          </cell>
          <cell r="AP37" t="str">
            <v>(A)</v>
          </cell>
          <cell r="AR37" t="str">
            <v xml:space="preserve">     JUMLAH HARGA PENAWARAN ( TERMASUK BIAYA UMUM &amp; KEUNTUNGAN )</v>
          </cell>
        </row>
        <row r="38">
          <cell r="T38" t="str">
            <v>CV. MANDIRI KARYA UTAMA</v>
          </cell>
          <cell r="W38" t="str">
            <v>5.</v>
          </cell>
          <cell r="X38" t="str">
            <v xml:space="preserve">  Perabotan dan Layanan</v>
          </cell>
          <cell r="AA38" t="str">
            <v>Unit</v>
          </cell>
          <cell r="AG38" t="str">
            <v>2.3 (3)</v>
          </cell>
          <cell r="AI38" t="str">
            <v xml:space="preserve">  Gorong-gorong pipa beton bertulang</v>
          </cell>
          <cell r="AJ38" t="str">
            <v>M'</v>
          </cell>
          <cell r="AP38" t="str">
            <v>(B)</v>
          </cell>
          <cell r="AR38" t="str">
            <v xml:space="preserve">     PAJAK PERTAMBAHAN NILAI ( PPN ) = 10% x ( A )</v>
          </cell>
        </row>
        <row r="39">
          <cell r="AI39" t="str">
            <v xml:space="preserve">  diameter &lt; 75 - 120 cm</v>
          </cell>
          <cell r="AP39" t="str">
            <v>(C)</v>
          </cell>
          <cell r="AR39" t="str">
            <v xml:space="preserve">     JUMLAH TOTAL HARGA PENAWARAN = ( A ) + ( B )</v>
          </cell>
        </row>
        <row r="40">
          <cell r="AP40" t="str">
            <v>(D)</v>
          </cell>
          <cell r="AR40" t="str">
            <v xml:space="preserve">     DIBULATKAN</v>
          </cell>
        </row>
        <row r="41">
          <cell r="W41" t="str">
            <v>E.</v>
          </cell>
          <cell r="X41" t="str">
            <v xml:space="preserve">  Mata Pekerjaan Mobilisasi Lainnya.</v>
          </cell>
          <cell r="AG41" t="str">
            <v>2.3 (4)</v>
          </cell>
          <cell r="AI41" t="str">
            <v xml:space="preserve">  Gorong-gorong Pipa Baja gelombang</v>
          </cell>
          <cell r="AJ41" t="str">
            <v>Ton</v>
          </cell>
        </row>
        <row r="42">
          <cell r="AP42" t="str">
            <v>TERBILANG  :    LIMA RATUS ENAM PULUH DELAPAN JUTA SEMBILAN RATUS SEMBILAN PULUH TIGA RIBU RUPIAH,-</v>
          </cell>
        </row>
        <row r="43">
          <cell r="AG43" t="str">
            <v>2.4 (1)</v>
          </cell>
          <cell r="AI43" t="str">
            <v xml:space="preserve">  Urugan berongga atau Material penyaring</v>
          </cell>
          <cell r="AJ43" t="str">
            <v>M3</v>
          </cell>
        </row>
        <row r="44">
          <cell r="T44" t="str">
            <v>( IBRAHIM T. M. AMIN )</v>
          </cell>
          <cell r="W44" t="str">
            <v>F.</v>
          </cell>
          <cell r="X44" t="str">
            <v xml:space="preserve">  Demobilisasi</v>
          </cell>
          <cell r="AA44" t="str">
            <v>Ls</v>
          </cell>
          <cell r="AB44">
            <v>1</v>
          </cell>
          <cell r="AC44">
            <v>3000000</v>
          </cell>
          <cell r="AD44">
            <v>3000000</v>
          </cell>
        </row>
        <row r="45">
          <cell r="T45" t="str">
            <v>D i r e k t u r</v>
          </cell>
          <cell r="AG45" t="str">
            <v>2.4 (2)</v>
          </cell>
          <cell r="AI45" t="str">
            <v xml:space="preserve">  Pekerjaan drainase dibawah permukaan</v>
          </cell>
          <cell r="AJ45" t="str">
            <v>M2</v>
          </cell>
        </row>
        <row r="46">
          <cell r="AI46" t="str">
            <v xml:space="preserve">  Material penyaring plastik</v>
          </cell>
        </row>
        <row r="47">
          <cell r="W47" t="str">
            <v>G.</v>
          </cell>
          <cell r="X47" t="str">
            <v xml:space="preserve">  JUMLAH ( A + B + C + D + E + F )</v>
          </cell>
          <cell r="AD47">
            <v>10800000</v>
          </cell>
        </row>
        <row r="48">
          <cell r="AG48" t="str">
            <v>2.4 (3)</v>
          </cell>
          <cell r="AI48" t="str">
            <v xml:space="preserve">  Pipa untuk Pekerjaan Drainase di bawah</v>
          </cell>
          <cell r="AJ48" t="str">
            <v>M'</v>
          </cell>
        </row>
        <row r="49">
          <cell r="AI49" t="str">
            <v xml:space="preserve">  permukaan</v>
          </cell>
          <cell r="AJ49" t="str">
            <v/>
          </cell>
        </row>
        <row r="50">
          <cell r="W50" t="str">
            <v>H.</v>
          </cell>
          <cell r="X50" t="str">
            <v xml:space="preserve">  HARGA LUMPSUM = G</v>
          </cell>
          <cell r="AD50">
            <v>10800000</v>
          </cell>
        </row>
        <row r="51">
          <cell r="AS51" t="str">
            <v>ACEH BESAR,   22  AGUSTUS  2000</v>
          </cell>
        </row>
        <row r="52">
          <cell r="AS52" t="str">
            <v>CV. MANDIRI KARYA UTAMA</v>
          </cell>
        </row>
        <row r="53">
          <cell r="W53" t="str">
            <v>I.</v>
          </cell>
          <cell r="X53" t="str">
            <v xml:space="preserve">  TOTAL BIAYA MOBILISASI ( DIBULATKAN )</v>
          </cell>
          <cell r="AD53">
            <v>10800000</v>
          </cell>
        </row>
        <row r="58">
          <cell r="AS58" t="str">
            <v>( IBRAHIM T. M. AMIN )</v>
          </cell>
        </row>
        <row r="59">
          <cell r="AS59" t="str">
            <v>D i r e k t u r</v>
          </cell>
        </row>
        <row r="78">
          <cell r="W78" t="str">
            <v>LAMPIRAN  2(a)-2  PENAWARAN</v>
          </cell>
          <cell r="AX78" t="str">
            <v>LAMPIRAN 2(d)-2  PENAWARAN</v>
          </cell>
        </row>
        <row r="79">
          <cell r="W79" t="str">
            <v>( Lampiran ini dipergunakan semata-mata untuk Evaluasi Penawaran )</v>
          </cell>
          <cell r="AG79" t="str">
            <v>DAFTAR KUANTITAS DAN HARGA</v>
          </cell>
          <cell r="AX79" t="str">
            <v>(Lampiran ini dipergunakan semata-mata untuk evaluasi penawaran)</v>
          </cell>
        </row>
        <row r="81">
          <cell r="W81" t="str">
            <v>ANALISA HARGA LUMP SUM UNTUK MOBILISASI</v>
          </cell>
          <cell r="AG81" t="str">
            <v>PENAWAR</v>
          </cell>
          <cell r="AH81" t="str">
            <v>:</v>
          </cell>
          <cell r="AI81" t="str">
            <v>CV. MANDIRI KARYA UTAMA</v>
          </cell>
          <cell r="AX81" t="str">
            <v>KONFIRMASI KAPASITAS PLANT PENCAMPUR ASPAL</v>
          </cell>
        </row>
        <row r="82">
          <cell r="AG82" t="str">
            <v>PROYEK</v>
          </cell>
          <cell r="AH82" t="str">
            <v>:</v>
          </cell>
          <cell r="AI82" t="str">
            <v>PENINGKATAN JALAN DAN PENGGANTIAN JEMBATAN DPU CAB. VI ACEH BARAT</v>
          </cell>
        </row>
        <row r="83">
          <cell r="W83" t="str">
            <v>NAMA PENAWAR</v>
          </cell>
          <cell r="Y83" t="str">
            <v>:</v>
          </cell>
          <cell r="Z83" t="str">
            <v>CV. MANDIRI KARYA UTAMA</v>
          </cell>
          <cell r="AG83" t="str">
            <v>PEKERJAAN</v>
          </cell>
          <cell r="AH83" t="str">
            <v>:</v>
          </cell>
          <cell r="AI83" t="str">
            <v>PENINGKATAN JALAN KUALA TUHA - LAMIE, KM. 45+000 s/d 47+000</v>
          </cell>
        </row>
        <row r="84">
          <cell r="W84" t="str">
            <v>PROYEK</v>
          </cell>
          <cell r="Y84" t="str">
            <v>:</v>
          </cell>
          <cell r="Z84" t="str">
            <v>PENINGKATAN JALAN DAN PENGGANTIAN JEMBATAN DPU CAB. VI ACEH BARAT</v>
          </cell>
          <cell r="AG84" t="str">
            <v>PROPINSI</v>
          </cell>
          <cell r="AH84" t="str">
            <v>:</v>
          </cell>
          <cell r="AI84" t="str">
            <v>DAERAH ISTIMEWA ACEH</v>
          </cell>
          <cell r="AX84" t="str">
            <v>NAMA PENAWAR</v>
          </cell>
          <cell r="BA84" t="str">
            <v>CV. MANDIRI KARYA UTAMA</v>
          </cell>
        </row>
        <row r="85">
          <cell r="W85" t="str">
            <v>NO. MATA PEMBAYARAN</v>
          </cell>
          <cell r="Y85" t="str">
            <v>:</v>
          </cell>
          <cell r="Z85" t="str">
            <v>1.2</v>
          </cell>
          <cell r="AG85" t="str">
            <v>LOKASI</v>
          </cell>
          <cell r="AH85" t="str">
            <v>:</v>
          </cell>
          <cell r="AI85" t="str">
            <v>KABUPATEN ACEH BARAT</v>
          </cell>
          <cell r="AX85" t="str">
            <v/>
          </cell>
        </row>
        <row r="86">
          <cell r="W86" t="str">
            <v>JENIS PEKERJAAN</v>
          </cell>
          <cell r="Y86" t="str">
            <v>:</v>
          </cell>
          <cell r="Z86" t="str">
            <v>MOBILISASI</v>
          </cell>
          <cell r="AG86" t="str">
            <v>TH. ANGG.</v>
          </cell>
          <cell r="AH86" t="str">
            <v>:</v>
          </cell>
          <cell r="AI86">
            <v>2000</v>
          </cell>
          <cell r="AX86" t="str">
            <v>1.</v>
          </cell>
          <cell r="AY86" t="str">
            <v>Waktu bekerja yang tersedia</v>
          </cell>
        </row>
        <row r="87">
          <cell r="W87" t="str">
            <v>SATUAN PEKERJAAN</v>
          </cell>
          <cell r="Y87" t="str">
            <v>:</v>
          </cell>
          <cell r="Z87" t="str">
            <v>LUMP SUM</v>
          </cell>
          <cell r="AX87" t="str">
            <v>(a)</v>
          </cell>
          <cell r="AY87" t="str">
            <v>Jangka Waktu Pelaksanaan</v>
          </cell>
          <cell r="BO87" t="str">
            <v>=</v>
          </cell>
          <cell r="BP87">
            <v>100</v>
          </cell>
          <cell r="BQ87" t="str">
            <v>hari</v>
          </cell>
        </row>
        <row r="88">
          <cell r="W88" t="str">
            <v>PRODUKSI HARIAN/JAM</v>
          </cell>
          <cell r="Y88" t="str">
            <v>:</v>
          </cell>
          <cell r="AG88" t="str">
            <v>MATA</v>
          </cell>
          <cell r="AL88" t="str">
            <v>HARGA</v>
          </cell>
          <cell r="AM88" t="str">
            <v>JUMLAH</v>
          </cell>
          <cell r="AX88" t="str">
            <v>(b)</v>
          </cell>
          <cell r="AY88" t="str">
            <v>Mobilisasi dan Jangka Waktu Pemasangan Peralatan dan Persediaan Material ( min=120 hari )</v>
          </cell>
          <cell r="BO88" t="str">
            <v>=</v>
          </cell>
          <cell r="BP88" t="str">
            <v>-</v>
          </cell>
          <cell r="BQ88" t="str">
            <v>hari</v>
          </cell>
        </row>
        <row r="89">
          <cell r="AG89" t="str">
            <v>PEMBA-</v>
          </cell>
          <cell r="AI89" t="str">
            <v>U R A I A N</v>
          </cell>
          <cell r="AJ89" t="str">
            <v>SATUAN</v>
          </cell>
          <cell r="AK89" t="str">
            <v>PERKIRAAN</v>
          </cell>
          <cell r="AL89" t="str">
            <v>SATUAN</v>
          </cell>
          <cell r="AM89" t="str">
            <v>HARGA-HARGA</v>
          </cell>
          <cell r="AX89" t="str">
            <v>(c)</v>
          </cell>
          <cell r="AY89" t="str">
            <v>Demobilisasi / Waktu tidak Produktif pada akhir Masa Kontrak ( min=30 hari )</v>
          </cell>
          <cell r="BO89" t="str">
            <v>=</v>
          </cell>
          <cell r="BP89">
            <v>10</v>
          </cell>
          <cell r="BQ89" t="str">
            <v>hari</v>
          </cell>
        </row>
        <row r="90">
          <cell r="AC90" t="str">
            <v>HARGA</v>
          </cell>
          <cell r="AD90" t="str">
            <v>JUMLAH</v>
          </cell>
          <cell r="AG90" t="str">
            <v>YARAN</v>
          </cell>
          <cell r="AK90" t="str">
            <v>KUANTITAS</v>
          </cell>
          <cell r="AL90" t="str">
            <v>( Rp.)</v>
          </cell>
          <cell r="AM90" t="str">
            <v>PENAWARAN (Rp)</v>
          </cell>
          <cell r="AX90" t="str">
            <v>(d)</v>
          </cell>
          <cell r="AY90" t="str">
            <v>Hari-hari libur, kerusakan-kerusakan / gangguan-gangguan, dsb.</v>
          </cell>
          <cell r="BO90" t="str">
            <v>=</v>
          </cell>
          <cell r="BP90">
            <v>10</v>
          </cell>
          <cell r="BQ90" t="str">
            <v>hari</v>
          </cell>
        </row>
        <row r="91">
          <cell r="W91" t="str">
            <v>NO</v>
          </cell>
          <cell r="X91" t="str">
            <v>U R A I A N</v>
          </cell>
          <cell r="AA91" t="str">
            <v>SATUAN</v>
          </cell>
          <cell r="AB91" t="str">
            <v>KUANTITAS</v>
          </cell>
          <cell r="AC91" t="str">
            <v>SATUAN</v>
          </cell>
          <cell r="AD91" t="str">
            <v>HARGA</v>
          </cell>
          <cell r="AG91" t="str">
            <v>a</v>
          </cell>
          <cell r="AI91" t="str">
            <v>b</v>
          </cell>
          <cell r="AJ91" t="str">
            <v>c</v>
          </cell>
          <cell r="AK91" t="str">
            <v>d</v>
          </cell>
          <cell r="AL91" t="str">
            <v>e</v>
          </cell>
          <cell r="AM91" t="str">
            <v>f = (d x e)</v>
          </cell>
          <cell r="AY91" t="str">
            <v>(e)</v>
          </cell>
          <cell r="AZ91" t="str">
            <v>Jumlah hari kerja yang sesungguhnya (a)-(b)-(c)-(d)</v>
          </cell>
          <cell r="BO91" t="str">
            <v>=</v>
          </cell>
          <cell r="BP91">
            <v>120</v>
          </cell>
          <cell r="BQ91" t="str">
            <v>hari</v>
          </cell>
        </row>
        <row r="92">
          <cell r="AC92" t="str">
            <v>(Rp.)</v>
          </cell>
          <cell r="AD92" t="str">
            <v>(Rp.)</v>
          </cell>
          <cell r="AY92" t="str">
            <v>[C]</v>
          </cell>
          <cell r="AZ92" t="str">
            <v>Jumlah jam kerja Plant yang sesungguhnya</v>
          </cell>
          <cell r="BM92">
            <v>8</v>
          </cell>
          <cell r="BN92" t="str">
            <v>jam/hari</v>
          </cell>
          <cell r="BO92" t="str">
            <v>=</v>
          </cell>
          <cell r="BP92">
            <v>960</v>
          </cell>
          <cell r="BQ92" t="str">
            <v>jam</v>
          </cell>
        </row>
        <row r="93">
          <cell r="AG93" t="str">
            <v>BAB. 3</v>
          </cell>
          <cell r="AI93" t="str">
            <v xml:space="preserve">  PEKERJAAN TANAH</v>
          </cell>
        </row>
        <row r="94">
          <cell r="W94" t="str">
            <v>B.</v>
          </cell>
          <cell r="X94" t="str">
            <v xml:space="preserve">  P e r a l a t a n :</v>
          </cell>
          <cell r="AX94" t="str">
            <v>2.</v>
          </cell>
          <cell r="AY94" t="str">
            <v>Kebutuhan Bahan Aspal Campuran Panas</v>
          </cell>
        </row>
        <row r="95">
          <cell r="AG95" t="str">
            <v>3.1 (1)</v>
          </cell>
          <cell r="AI95" t="str">
            <v xml:space="preserve">  Galian Biasa</v>
          </cell>
          <cell r="AJ95" t="str">
            <v>M3</v>
          </cell>
          <cell r="AK95">
            <v>800</v>
          </cell>
          <cell r="AL95">
            <v>6675</v>
          </cell>
          <cell r="AM95">
            <v>5340000</v>
          </cell>
          <cell r="AX95" t="str">
            <v>(1)</v>
          </cell>
          <cell r="AY95" t="str">
            <v>Latasir (HRSS)</v>
          </cell>
          <cell r="BF95" t="str">
            <v>m2</v>
          </cell>
          <cell r="BH95" t="str">
            <v>x</v>
          </cell>
          <cell r="BJ95">
            <v>1.4999999999999999E-2</v>
          </cell>
          <cell r="BK95" t="str">
            <v>x</v>
          </cell>
          <cell r="BL95">
            <v>2.25</v>
          </cell>
          <cell r="BM95" t="str">
            <v>x</v>
          </cell>
          <cell r="BN95" t="str">
            <v>W**</v>
          </cell>
          <cell r="BO95" t="str">
            <v>=</v>
          </cell>
          <cell r="BQ95" t="str">
            <v>ton</v>
          </cell>
        </row>
        <row r="96">
          <cell r="W96" t="str">
            <v>1</v>
          </cell>
          <cell r="X96" t="str">
            <v xml:space="preserve">  Asphalt Finisher, 80 ton/hr</v>
          </cell>
          <cell r="AA96" t="str">
            <v>Unit</v>
          </cell>
          <cell r="AB96">
            <v>1</v>
          </cell>
          <cell r="AC96">
            <v>500000</v>
          </cell>
          <cell r="AD96">
            <v>500000</v>
          </cell>
          <cell r="AX96" t="str">
            <v>(2)</v>
          </cell>
          <cell r="AY96" t="str">
            <v>Lataston (HRS)</v>
          </cell>
          <cell r="BF96" t="str">
            <v>m2</v>
          </cell>
          <cell r="BH96" t="str">
            <v>x</v>
          </cell>
          <cell r="BJ96">
            <v>0.03</v>
          </cell>
          <cell r="BK96" t="str">
            <v>x</v>
          </cell>
          <cell r="BL96">
            <v>2.25</v>
          </cell>
          <cell r="BM96" t="str">
            <v>x</v>
          </cell>
          <cell r="BN96" t="str">
            <v>W**</v>
          </cell>
          <cell r="BO96" t="str">
            <v>=</v>
          </cell>
          <cell r="BQ96" t="str">
            <v>ton</v>
          </cell>
        </row>
        <row r="97">
          <cell r="W97">
            <v>2</v>
          </cell>
          <cell r="X97" t="str">
            <v xml:space="preserve">  Asphalt Sprayer, 1000 lt</v>
          </cell>
          <cell r="AA97" t="str">
            <v>Unit</v>
          </cell>
          <cell r="AB97">
            <v>1</v>
          </cell>
          <cell r="AC97">
            <v>150000</v>
          </cell>
          <cell r="AD97">
            <v>150000</v>
          </cell>
          <cell r="AG97" t="str">
            <v>3.1 (2)</v>
          </cell>
          <cell r="AI97" t="str">
            <v xml:space="preserve">  Galian Cadas / Batuan</v>
          </cell>
          <cell r="AJ97" t="str">
            <v>M3</v>
          </cell>
          <cell r="AX97" t="str">
            <v>(3)</v>
          </cell>
          <cell r="AY97" t="str">
            <v>Aspal Beton (Laston), Wearing Course</v>
          </cell>
          <cell r="BE97">
            <v>0</v>
          </cell>
          <cell r="BF97" t="str">
            <v>m2</v>
          </cell>
          <cell r="BH97" t="str">
            <v>x</v>
          </cell>
          <cell r="BJ97">
            <v>0.04</v>
          </cell>
          <cell r="BK97" t="str">
            <v>x</v>
          </cell>
          <cell r="BL97">
            <v>2.2999999999999998</v>
          </cell>
          <cell r="BM97" t="str">
            <v>x</v>
          </cell>
          <cell r="BN97">
            <v>1.05</v>
          </cell>
          <cell r="BO97" t="str">
            <v>=</v>
          </cell>
          <cell r="BP97">
            <v>0</v>
          </cell>
          <cell r="BQ97" t="str">
            <v>ton</v>
          </cell>
        </row>
        <row r="98">
          <cell r="W98">
            <v>3</v>
          </cell>
          <cell r="X98" t="str">
            <v xml:space="preserve">  Air Compressor, 6000 lt/m</v>
          </cell>
          <cell r="AA98" t="str">
            <v>set</v>
          </cell>
          <cell r="AB98">
            <v>1</v>
          </cell>
          <cell r="AC98">
            <v>150000</v>
          </cell>
          <cell r="AD98">
            <v>150000</v>
          </cell>
          <cell r="AX98" t="str">
            <v>(4)</v>
          </cell>
          <cell r="AY98" t="str">
            <v>Aspal Beton (Laston), Binder Course</v>
          </cell>
          <cell r="BF98" t="str">
            <v>m2</v>
          </cell>
          <cell r="BH98" t="str">
            <v>x</v>
          </cell>
          <cell r="BJ98">
            <v>0.05</v>
          </cell>
          <cell r="BK98" t="str">
            <v>x</v>
          </cell>
          <cell r="BL98">
            <v>2.2999999999999998</v>
          </cell>
          <cell r="BM98" t="str">
            <v>x</v>
          </cell>
          <cell r="BN98" t="str">
            <v>W**</v>
          </cell>
          <cell r="BO98" t="str">
            <v>=</v>
          </cell>
          <cell r="BQ98" t="str">
            <v>ton</v>
          </cell>
        </row>
        <row r="99">
          <cell r="W99">
            <v>4</v>
          </cell>
          <cell r="X99" t="str">
            <v xml:space="preserve">  Dump Truck, 8 ton</v>
          </cell>
          <cell r="AA99" t="str">
            <v>Unit</v>
          </cell>
          <cell r="AB99">
            <v>4</v>
          </cell>
          <cell r="AC99">
            <v>150000</v>
          </cell>
          <cell r="AD99">
            <v>600000</v>
          </cell>
          <cell r="AG99" t="str">
            <v>3.2 (1)</v>
          </cell>
          <cell r="AI99" t="str">
            <v xml:space="preserve">  Urugan Biasa</v>
          </cell>
          <cell r="AJ99" t="str">
            <v>M3</v>
          </cell>
          <cell r="AK99">
            <v>1000</v>
          </cell>
          <cell r="AL99">
            <v>15089</v>
          </cell>
          <cell r="AM99">
            <v>15089000</v>
          </cell>
          <cell r="AX99" t="str">
            <v>(5)</v>
          </cell>
          <cell r="AY99" t="str">
            <v>Split Mastic Asphalt (SMA)  0/11</v>
          </cell>
          <cell r="BF99" t="str">
            <v>m2</v>
          </cell>
          <cell r="BH99" t="str">
            <v>x</v>
          </cell>
          <cell r="BJ99">
            <v>0.04</v>
          </cell>
          <cell r="BK99" t="str">
            <v>x</v>
          </cell>
          <cell r="BL99">
            <v>2.2999999999999998</v>
          </cell>
          <cell r="BM99" t="str">
            <v>x</v>
          </cell>
          <cell r="BN99" t="str">
            <v>W**</v>
          </cell>
          <cell r="BO99" t="str">
            <v>=</v>
          </cell>
          <cell r="BQ99" t="str">
            <v>ton</v>
          </cell>
        </row>
        <row r="100">
          <cell r="W100">
            <v>5</v>
          </cell>
          <cell r="X100" t="str">
            <v xml:space="preserve">  Motor Grader, 120 HP</v>
          </cell>
          <cell r="AA100" t="str">
            <v>Unit</v>
          </cell>
          <cell r="AB100">
            <v>1</v>
          </cell>
          <cell r="AC100">
            <v>300000</v>
          </cell>
          <cell r="AD100">
            <v>300000</v>
          </cell>
          <cell r="AX100" t="str">
            <v>(6)</v>
          </cell>
          <cell r="AY100" t="str">
            <v>Asphalt Treated Base Levelling (ATBL)</v>
          </cell>
          <cell r="BE100">
            <v>360</v>
          </cell>
          <cell r="BF100" t="str">
            <v>m3</v>
          </cell>
          <cell r="BI100" t="str">
            <v>x</v>
          </cell>
          <cell r="BJ100" t="str">
            <v/>
          </cell>
          <cell r="BL100">
            <v>2.2999999999999998</v>
          </cell>
          <cell r="BM100" t="str">
            <v>x</v>
          </cell>
          <cell r="BN100">
            <v>1.05</v>
          </cell>
          <cell r="BO100" t="str">
            <v>=</v>
          </cell>
          <cell r="BP100">
            <v>869.39999999999986</v>
          </cell>
          <cell r="BQ100" t="str">
            <v>ton</v>
          </cell>
        </row>
        <row r="101">
          <cell r="W101">
            <v>6</v>
          </cell>
          <cell r="X101" t="str">
            <v xml:space="preserve">  Wheel Loader, 1,2 m3</v>
          </cell>
          <cell r="AA101" t="str">
            <v>Unit</v>
          </cell>
          <cell r="AB101">
            <v>1</v>
          </cell>
          <cell r="AC101">
            <v>300000</v>
          </cell>
          <cell r="AD101">
            <v>300000</v>
          </cell>
          <cell r="AG101" t="str">
            <v>3.2 (2)</v>
          </cell>
          <cell r="AI101" t="str">
            <v xml:space="preserve">  Urugan Pilihan</v>
          </cell>
          <cell r="AJ101" t="str">
            <v>M3</v>
          </cell>
          <cell r="AK101">
            <v>500</v>
          </cell>
          <cell r="AL101">
            <v>18172</v>
          </cell>
          <cell r="AM101">
            <v>9086000</v>
          </cell>
          <cell r="AX101" t="str">
            <v>(7)</v>
          </cell>
          <cell r="AY101" t="str">
            <v>Lain-lain</v>
          </cell>
          <cell r="BO101" t="str">
            <v>=</v>
          </cell>
          <cell r="BQ101" t="str">
            <v>ton</v>
          </cell>
        </row>
        <row r="102">
          <cell r="W102">
            <v>7</v>
          </cell>
          <cell r="X102" t="str">
            <v xml:space="preserve">  Tandem Roller, 8 ton</v>
          </cell>
          <cell r="AA102" t="str">
            <v>Unit</v>
          </cell>
          <cell r="AB102">
            <v>1</v>
          </cell>
          <cell r="AC102">
            <v>300000</v>
          </cell>
          <cell r="AD102">
            <v>300000</v>
          </cell>
        </row>
        <row r="103">
          <cell r="W103">
            <v>8</v>
          </cell>
          <cell r="X103" t="str">
            <v xml:space="preserve">  Water Tanker, 5000 lt</v>
          </cell>
          <cell r="AA103" t="str">
            <v>Unit</v>
          </cell>
          <cell r="AB103">
            <v>1</v>
          </cell>
          <cell r="AC103">
            <v>150000</v>
          </cell>
          <cell r="AD103">
            <v>150000</v>
          </cell>
          <cell r="AG103" t="str">
            <v>3.3</v>
          </cell>
          <cell r="AI103" t="str">
            <v xml:space="preserve">  Penyiapan Badan Jalan</v>
          </cell>
          <cell r="AJ103" t="str">
            <v>M3</v>
          </cell>
          <cell r="AK103">
            <v>9000</v>
          </cell>
          <cell r="AL103">
            <v>533</v>
          </cell>
          <cell r="AM103">
            <v>4797000</v>
          </cell>
          <cell r="AY103" t="str">
            <v>[D]</v>
          </cell>
          <cell r="AZ103" t="str">
            <v>Jumlah Kebutuhan Aspal Campuran Panas</v>
          </cell>
          <cell r="BO103" t="str">
            <v>=</v>
          </cell>
          <cell r="BP103">
            <v>869.39999999999986</v>
          </cell>
          <cell r="BQ103" t="str">
            <v>ton</v>
          </cell>
        </row>
        <row r="104">
          <cell r="W104">
            <v>9</v>
          </cell>
          <cell r="X104" t="str">
            <v xml:space="preserve">  Concrete Mixer, 0,3 m3</v>
          </cell>
          <cell r="AA104" t="str">
            <v>Unit</v>
          </cell>
        </row>
        <row r="105">
          <cell r="W105">
            <v>10</v>
          </cell>
          <cell r="X105" t="str">
            <v xml:space="preserve">  Concrete Vibrator, 3 HP</v>
          </cell>
          <cell r="AA105" t="str">
            <v>Unit</v>
          </cell>
        </row>
        <row r="106">
          <cell r="W106">
            <v>11</v>
          </cell>
          <cell r="X106" t="str">
            <v xml:space="preserve">  Flat Bed Truck, 4 ton</v>
          </cell>
          <cell r="AA106" t="str">
            <v>Unit</v>
          </cell>
          <cell r="AX106" t="str">
            <v>3.</v>
          </cell>
          <cell r="AY106" t="str">
            <v>Kapasitas Plant Pencampur Aspal</v>
          </cell>
        </row>
        <row r="107">
          <cell r="W107">
            <v>12</v>
          </cell>
          <cell r="X107" t="str">
            <v xml:space="preserve">  Tyred Roller, 8 - 10 ton</v>
          </cell>
          <cell r="AA107" t="str">
            <v>Unit</v>
          </cell>
          <cell r="AB107">
            <v>1</v>
          </cell>
          <cell r="AC107">
            <v>300000</v>
          </cell>
          <cell r="AD107">
            <v>300000</v>
          </cell>
          <cell r="AI107" t="str">
            <v xml:space="preserve">  Sub Total Harga Bab. 3 ( Dipindahkan ke Rekapitulasi Daftar Kuantitas dan Harga )</v>
          </cell>
          <cell r="AM107">
            <v>34312000</v>
          </cell>
        </row>
        <row r="108">
          <cell r="W108">
            <v>13</v>
          </cell>
          <cell r="X108" t="str">
            <v xml:space="preserve">  Stell Wheel Roller, 10 ton</v>
          </cell>
          <cell r="AA108" t="str">
            <v>Unit</v>
          </cell>
          <cell r="AX108" t="str">
            <v>Kapasitas yang diperlukan                        [D] / [C]</v>
          </cell>
          <cell r="BC108" t="str">
            <v>:</v>
          </cell>
          <cell r="BD108">
            <v>0.9056249999999999</v>
          </cell>
          <cell r="BE108" t="str">
            <v>ton/jam</v>
          </cell>
        </row>
        <row r="109">
          <cell r="W109">
            <v>14</v>
          </cell>
          <cell r="X109" t="str">
            <v xml:space="preserve">  Vibratory Roller, 8 ton</v>
          </cell>
          <cell r="AA109" t="str">
            <v>Unit</v>
          </cell>
          <cell r="AB109">
            <v>1</v>
          </cell>
          <cell r="AC109">
            <v>300000</v>
          </cell>
          <cell r="AD109">
            <v>300000</v>
          </cell>
          <cell r="AX109" t="str">
            <v>Kebutuhan  Campuran Aspal/Jumlah Jam Kerja</v>
          </cell>
        </row>
        <row r="110">
          <cell r="W110">
            <v>15</v>
          </cell>
          <cell r="X110" t="str">
            <v xml:space="preserve">  Track Loader, 100 HP</v>
          </cell>
          <cell r="AA110" t="str">
            <v>Unit</v>
          </cell>
          <cell r="AG110" t="str">
            <v>BAB. 4</v>
          </cell>
          <cell r="AI110" t="str">
            <v xml:space="preserve">  BAHU JALAN</v>
          </cell>
        </row>
        <row r="111">
          <cell r="W111">
            <v>16</v>
          </cell>
          <cell r="X111" t="str">
            <v xml:space="preserve">  Buldozer, 120 HP</v>
          </cell>
          <cell r="AA111" t="str">
            <v>Unit</v>
          </cell>
          <cell r="AX111" t="str">
            <v>Kapasitas yang sesungguhnya</v>
          </cell>
          <cell r="BB111" t="str">
            <v>Plant  1</v>
          </cell>
          <cell r="BC111" t="str">
            <v>:</v>
          </cell>
          <cell r="BD111">
            <v>40</v>
          </cell>
          <cell r="BE111" t="str">
            <v>ton/jam</v>
          </cell>
        </row>
        <row r="112">
          <cell r="W112">
            <v>17</v>
          </cell>
          <cell r="X112" t="str">
            <v xml:space="preserve">  Excavator, 100 HP</v>
          </cell>
          <cell r="AA112" t="str">
            <v>Unit</v>
          </cell>
          <cell r="AB112">
            <v>1</v>
          </cell>
          <cell r="AC112">
            <v>600000</v>
          </cell>
          <cell r="AD112">
            <v>600000</v>
          </cell>
          <cell r="AG112" t="str">
            <v>4.1 (1)</v>
          </cell>
          <cell r="AI112" t="str">
            <v xml:space="preserve">  Lapis Pondasi Agregat Kelas A</v>
          </cell>
          <cell r="AJ112" t="str">
            <v>M3</v>
          </cell>
          <cell r="BB112" t="str">
            <v>Plant  2</v>
          </cell>
          <cell r="BC112" t="str">
            <v>:</v>
          </cell>
          <cell r="BE112" t="str">
            <v>ton/jam</v>
          </cell>
        </row>
        <row r="113">
          <cell r="W113">
            <v>18</v>
          </cell>
          <cell r="X113" t="str">
            <v xml:space="preserve">  Generator set, 200 kw</v>
          </cell>
          <cell r="AA113" t="str">
            <v>Unit</v>
          </cell>
          <cell r="BB113" t="str">
            <v>Lain-lain</v>
          </cell>
          <cell r="BC113" t="str">
            <v>:</v>
          </cell>
          <cell r="BE113" t="str">
            <v>ton/jam</v>
          </cell>
        </row>
        <row r="114">
          <cell r="W114">
            <v>19</v>
          </cell>
          <cell r="X114" t="str">
            <v xml:space="preserve">  C r a n e, 10 ton</v>
          </cell>
          <cell r="AA114" t="str">
            <v>Unit</v>
          </cell>
          <cell r="AG114" t="str">
            <v>4.1 (2)</v>
          </cell>
          <cell r="AI114" t="str">
            <v xml:space="preserve">  Lapis Pondasi Agregat Kelas B</v>
          </cell>
          <cell r="AJ114" t="str">
            <v>M3</v>
          </cell>
          <cell r="AX114" t="str">
            <v>Jumlah Kapasitas yang sesungguhnya</v>
          </cell>
          <cell r="BC114" t="str">
            <v>:</v>
          </cell>
          <cell r="BD114">
            <v>40</v>
          </cell>
          <cell r="BE114" t="str">
            <v>ton/jam</v>
          </cell>
        </row>
        <row r="115">
          <cell r="W115">
            <v>20</v>
          </cell>
          <cell r="X115" t="str">
            <v xml:space="preserve">  Scale Bridge, 35 ton</v>
          </cell>
          <cell r="AA115" t="str">
            <v>set</v>
          </cell>
        </row>
        <row r="116">
          <cell r="W116">
            <v>21</v>
          </cell>
          <cell r="X116" t="str">
            <v xml:space="preserve">  Survey Equipment</v>
          </cell>
          <cell r="AA116" t="str">
            <v>set</v>
          </cell>
          <cell r="AG116" t="str">
            <v>4.2 (1)</v>
          </cell>
          <cell r="AI116" t="str">
            <v xml:space="preserve">  Semen untuk Pondasi Tanah Semen</v>
          </cell>
          <cell r="AJ116" t="str">
            <v>Ton</v>
          </cell>
        </row>
        <row r="117">
          <cell r="W117">
            <v>22</v>
          </cell>
          <cell r="X117" t="str">
            <v xml:space="preserve">  Vibrator Compactor, 3 HP</v>
          </cell>
          <cell r="AA117" t="str">
            <v>Unit</v>
          </cell>
        </row>
        <row r="118">
          <cell r="W118">
            <v>23</v>
          </cell>
          <cell r="X118" t="str">
            <v xml:space="preserve">  Water Pump, 100 mm</v>
          </cell>
          <cell r="AA118" t="str">
            <v>Unit</v>
          </cell>
          <cell r="AG118" t="str">
            <v>4.2 (2)</v>
          </cell>
          <cell r="AI118" t="str">
            <v xml:space="preserve">  Pondasi Tanah Semen</v>
          </cell>
          <cell r="AJ118" t="str">
            <v>M3</v>
          </cell>
        </row>
        <row r="119">
          <cell r="W119">
            <v>24</v>
          </cell>
          <cell r="X119" t="str">
            <v xml:space="preserve">  Pick-up Truck, 1 ton</v>
          </cell>
          <cell r="AA119" t="str">
            <v>Unit</v>
          </cell>
          <cell r="AB119">
            <v>1</v>
          </cell>
          <cell r="AC119">
            <v>150000</v>
          </cell>
          <cell r="AD119">
            <v>150000</v>
          </cell>
        </row>
        <row r="120">
          <cell r="W120">
            <v>25</v>
          </cell>
          <cell r="X120" t="str">
            <v xml:space="preserve">  Stone Crusher, 60 ton/hr</v>
          </cell>
          <cell r="AA120" t="str">
            <v>set</v>
          </cell>
          <cell r="AG120" t="str">
            <v>4.3 (1)</v>
          </cell>
          <cell r="AI120" t="str">
            <v xml:space="preserve">  Laburan permukaan aspal satu lapis (Burtu)</v>
          </cell>
          <cell r="AJ120" t="str">
            <v>M2</v>
          </cell>
        </row>
        <row r="121">
          <cell r="W121">
            <v>26</v>
          </cell>
          <cell r="X121" t="str">
            <v xml:space="preserve">  Asphalt Mixing Plan, 40 ton/hr</v>
          </cell>
          <cell r="AA121" t="str">
            <v>set</v>
          </cell>
        </row>
        <row r="122">
          <cell r="X122" t="str">
            <v>JUMLAH UNTUK MATA PEMBAYARAN B DALAM LAMPIRAN 2a-1</v>
          </cell>
          <cell r="AD122">
            <v>3800000</v>
          </cell>
          <cell r="AG122" t="str">
            <v>4.3 (2)</v>
          </cell>
          <cell r="AI122" t="str">
            <v xml:space="preserve">  Material Aspal untuk Laburan Permukaan</v>
          </cell>
          <cell r="AJ122" t="str">
            <v>Liter</v>
          </cell>
        </row>
        <row r="124">
          <cell r="AG124" t="str">
            <v>4.3 (3)</v>
          </cell>
          <cell r="AI124" t="str">
            <v xml:space="preserve">  Lapis Resap Pengikat</v>
          </cell>
          <cell r="AJ124" t="str">
            <v>Liter</v>
          </cell>
        </row>
        <row r="128">
          <cell r="AI128" t="str">
            <v xml:space="preserve">  Sub Total Harga Bab. 4 ( Dipindahkan ke Rekapitulasi Daftar Kuantitas dan Harga )</v>
          </cell>
          <cell r="AM128">
            <v>0</v>
          </cell>
        </row>
        <row r="131">
          <cell r="AG131" t="str">
            <v>BAB. 5</v>
          </cell>
          <cell r="AI131" t="str">
            <v xml:space="preserve">  PERKERASAN BERBUTIR (PONDASI)</v>
          </cell>
          <cell r="BK131" t="str">
            <v>ACEH BESAR,   22  AGUSTUS  2000</v>
          </cell>
        </row>
        <row r="132">
          <cell r="BK132" t="str">
            <v>CV. MANDIRI KARYA UTAMA</v>
          </cell>
        </row>
        <row r="133">
          <cell r="AG133" t="str">
            <v>5.1 (1)</v>
          </cell>
          <cell r="AI133" t="str">
            <v xml:space="preserve">  Lapis Pondasi Agregat Kelas A</v>
          </cell>
          <cell r="AJ133" t="str">
            <v>M3</v>
          </cell>
          <cell r="AK133">
            <v>1800</v>
          </cell>
          <cell r="AL133">
            <v>68771</v>
          </cell>
          <cell r="AM133">
            <v>123787800</v>
          </cell>
        </row>
        <row r="135">
          <cell r="AG135" t="str">
            <v>5.1 (2)</v>
          </cell>
          <cell r="AI135" t="str">
            <v xml:space="preserve">  Lapis Pondasi Agregat Kelas B</v>
          </cell>
          <cell r="AJ135" t="str">
            <v>M3</v>
          </cell>
          <cell r="AK135">
            <v>1520</v>
          </cell>
          <cell r="AL135">
            <v>66102</v>
          </cell>
          <cell r="AM135">
            <v>100475040</v>
          </cell>
        </row>
        <row r="137">
          <cell r="AG137" t="str">
            <v>5.2 (1)</v>
          </cell>
          <cell r="AI137" t="str">
            <v xml:space="preserve">  Lapis Pondasi Jalan Kelas C1</v>
          </cell>
          <cell r="AJ137" t="str">
            <v>M3</v>
          </cell>
        </row>
        <row r="138">
          <cell r="BK138" t="str">
            <v>( IBRAHIM T. M. AMIN )</v>
          </cell>
        </row>
        <row r="139">
          <cell r="AG139" t="str">
            <v>5.2 (2)</v>
          </cell>
          <cell r="AI139" t="str">
            <v xml:space="preserve">  Lapis Pondasi Jalan Kelas C2</v>
          </cell>
          <cell r="AJ139" t="str">
            <v>M3</v>
          </cell>
          <cell r="BK139" t="str">
            <v>D i r e k t u r</v>
          </cell>
        </row>
        <row r="141">
          <cell r="AG141" t="str">
            <v>5.4 (1)</v>
          </cell>
          <cell r="AI141" t="str">
            <v xml:space="preserve">  Semen untuk Pondasi Tanah Semen</v>
          </cell>
          <cell r="AJ141" t="str">
            <v>Ton</v>
          </cell>
        </row>
        <row r="143">
          <cell r="AG143" t="str">
            <v>5.4 (2)</v>
          </cell>
          <cell r="AI143" t="str">
            <v xml:space="preserve">  Pondasi Tanah Semen</v>
          </cell>
          <cell r="AJ143" t="str">
            <v>M3</v>
          </cell>
        </row>
        <row r="145">
          <cell r="AG145" t="str">
            <v>5.4 (3)</v>
          </cell>
          <cell r="AI145" t="str">
            <v xml:space="preserve">  Beton Tumbuk</v>
          </cell>
          <cell r="AJ145" t="str">
            <v>M3</v>
          </cell>
        </row>
        <row r="149">
          <cell r="AI149" t="str">
            <v xml:space="preserve">  Sub Total Harga Bab. 5 ( Dipindahkan ke Rekapitulasi Daftar Kuantitas dan Harga )</v>
          </cell>
          <cell r="AM149">
            <v>224262840</v>
          </cell>
        </row>
        <row r="161">
          <cell r="AG161" t="str">
            <v>DAFTAR KUANTITAS DAN HARGA</v>
          </cell>
        </row>
        <row r="163">
          <cell r="AG163" t="str">
            <v>PENAWAR</v>
          </cell>
          <cell r="AH163" t="str">
            <v>:</v>
          </cell>
          <cell r="AI163" t="str">
            <v>CV. MANDIRI KARYA UTAMA</v>
          </cell>
        </row>
        <row r="164">
          <cell r="AG164" t="str">
            <v>PROYEK</v>
          </cell>
          <cell r="AH164" t="str">
            <v>:</v>
          </cell>
          <cell r="AI164" t="str">
            <v>PENINGKATAN JALAN DAN PENGGANTIAN JEMBATAN DPU CAB. VI ACEH BARAT</v>
          </cell>
        </row>
        <row r="165">
          <cell r="AG165" t="str">
            <v>PEKERJAAN</v>
          </cell>
          <cell r="AH165" t="str">
            <v>:</v>
          </cell>
          <cell r="AI165" t="str">
            <v>PENINGKATAN JALAN KUALA TUHA - LAMIE, KM. 45+000 s/d 47+000</v>
          </cell>
        </row>
        <row r="166">
          <cell r="AG166" t="str">
            <v>PROPINSI</v>
          </cell>
          <cell r="AH166" t="str">
            <v>:</v>
          </cell>
          <cell r="AI166" t="str">
            <v>DAERAH ISTIMEWA ACEH</v>
          </cell>
        </row>
        <row r="167">
          <cell r="AG167" t="str">
            <v>LOKASI</v>
          </cell>
          <cell r="AI167" t="str">
            <v>KABUPATEN ACEH BARAT</v>
          </cell>
        </row>
        <row r="168">
          <cell r="AG168" t="str">
            <v>TH. ANGG.</v>
          </cell>
          <cell r="AI168">
            <v>2000</v>
          </cell>
        </row>
        <row r="170">
          <cell r="AG170" t="str">
            <v>MATA</v>
          </cell>
          <cell r="AL170" t="str">
            <v>HARGA</v>
          </cell>
          <cell r="AM170" t="str">
            <v>JUMLAH</v>
          </cell>
        </row>
        <row r="171">
          <cell r="AG171" t="str">
            <v>PEMBA-</v>
          </cell>
          <cell r="AI171" t="str">
            <v>U R A I A N</v>
          </cell>
          <cell r="AJ171" t="str">
            <v>SATUAN</v>
          </cell>
          <cell r="AK171" t="str">
            <v>PERKIRAAN</v>
          </cell>
          <cell r="AL171" t="str">
            <v>SATUAN</v>
          </cell>
          <cell r="AM171" t="str">
            <v>HARGA-HARGA</v>
          </cell>
        </row>
        <row r="172">
          <cell r="AG172" t="str">
            <v>YARAN</v>
          </cell>
          <cell r="AK172" t="str">
            <v>KUANTITAS</v>
          </cell>
          <cell r="AL172" t="str">
            <v>( Rp.)</v>
          </cell>
          <cell r="AM172" t="str">
            <v>PENAWARAN (Rp)</v>
          </cell>
        </row>
        <row r="173">
          <cell r="AG173" t="str">
            <v>a</v>
          </cell>
          <cell r="AI173" t="str">
            <v>b</v>
          </cell>
          <cell r="AJ173" t="str">
            <v>c</v>
          </cell>
          <cell r="AK173" t="str">
            <v>d</v>
          </cell>
          <cell r="AL173" t="str">
            <v>e</v>
          </cell>
          <cell r="AM173" t="str">
            <v>f = (d x e)</v>
          </cell>
        </row>
        <row r="175">
          <cell r="AG175" t="str">
            <v>BAB. 6</v>
          </cell>
          <cell r="AI175" t="str">
            <v xml:space="preserve">  PERKERASAN ASPAL</v>
          </cell>
        </row>
        <row r="177">
          <cell r="AG177" t="str">
            <v>6.1 (1)</v>
          </cell>
          <cell r="AI177" t="str">
            <v xml:space="preserve">  Lapis Resap Pengikat</v>
          </cell>
          <cell r="AJ177" t="str">
            <v>Liter</v>
          </cell>
          <cell r="AK177">
            <v>8100</v>
          </cell>
          <cell r="AL177">
            <v>2267</v>
          </cell>
          <cell r="AM177">
            <v>18362700</v>
          </cell>
        </row>
        <row r="179">
          <cell r="AG179" t="str">
            <v>6.1 (2)</v>
          </cell>
          <cell r="AI179" t="str">
            <v xml:space="preserve">  Lapis Perekat</v>
          </cell>
          <cell r="AJ179" t="str">
            <v>Liter</v>
          </cell>
        </row>
        <row r="181">
          <cell r="AG181" t="str">
            <v>6.2 (1)</v>
          </cell>
          <cell r="AI181" t="str">
            <v xml:space="preserve">  Laburan permukaan aspal satu lapis (Burtu)</v>
          </cell>
          <cell r="AJ181" t="str">
            <v>M2</v>
          </cell>
        </row>
        <row r="183">
          <cell r="AG183" t="str">
            <v>6.2 (2)</v>
          </cell>
          <cell r="AI183" t="str">
            <v xml:space="preserve">  Laburan permukaan aspal dua lapis (Burda)</v>
          </cell>
          <cell r="AJ183" t="str">
            <v>M2</v>
          </cell>
        </row>
        <row r="185">
          <cell r="AG185" t="str">
            <v>6.2 (3)</v>
          </cell>
          <cell r="AI185" t="str">
            <v xml:space="preserve">  Material Aspal untuk laburan permukaan</v>
          </cell>
          <cell r="AJ185" t="str">
            <v>Liter</v>
          </cell>
        </row>
        <row r="187">
          <cell r="AG187" t="str">
            <v>6.3 (3)</v>
          </cell>
          <cell r="AI187" t="str">
            <v xml:space="preserve">  Lapis permukaan : HRS</v>
          </cell>
          <cell r="AJ187" t="str">
            <v>M2</v>
          </cell>
        </row>
        <row r="189">
          <cell r="AG189" t="str">
            <v>6.3 (4)</v>
          </cell>
          <cell r="AI189" t="str">
            <v xml:space="preserve">  Lapis permukaan : AC</v>
          </cell>
          <cell r="AJ189" t="str">
            <v>M2</v>
          </cell>
        </row>
        <row r="191">
          <cell r="AG191" t="str">
            <v>6.3 (5)</v>
          </cell>
          <cell r="AI191" t="str">
            <v xml:space="preserve">  Asphalt Treated Base : ATB</v>
          </cell>
          <cell r="AJ191" t="str">
            <v>M3</v>
          </cell>
          <cell r="AK191">
            <v>360</v>
          </cell>
          <cell r="AL191">
            <v>610226</v>
          </cell>
          <cell r="AM191">
            <v>219681360</v>
          </cell>
        </row>
        <row r="193">
          <cell r="AG193" t="str">
            <v>6.3 (5)a</v>
          </cell>
          <cell r="AI193" t="str">
            <v xml:space="preserve">  Asphalt Treated Base Leveling : ATBL</v>
          </cell>
          <cell r="AJ193" t="str">
            <v>Ton</v>
          </cell>
        </row>
        <row r="197">
          <cell r="AI197" t="str">
            <v xml:space="preserve">  Sub Total Harga Bab. 6 ( Dipindahkan ke Rekapitulasi Daftar Kuantitas dan Harga )</v>
          </cell>
          <cell r="AM197">
            <v>238044060</v>
          </cell>
        </row>
        <row r="200">
          <cell r="AG200" t="str">
            <v>BAB. 7</v>
          </cell>
          <cell r="AI200" t="str">
            <v xml:space="preserve">  S T R U K T U R</v>
          </cell>
        </row>
        <row r="202">
          <cell r="AG202" t="str">
            <v>7.1 (1)</v>
          </cell>
          <cell r="AI202" t="str">
            <v xml:space="preserve">  Beton Struktur Kelas K-225</v>
          </cell>
          <cell r="AJ202" t="str">
            <v>M3</v>
          </cell>
        </row>
        <row r="204">
          <cell r="AG204" t="str">
            <v>7.1 (2)</v>
          </cell>
          <cell r="AI204" t="str">
            <v xml:space="preserve">  Beton Tak Bertulang</v>
          </cell>
          <cell r="AJ204" t="str">
            <v>M3</v>
          </cell>
        </row>
        <row r="206">
          <cell r="AG206" t="str">
            <v>7.2</v>
          </cell>
          <cell r="AI206" t="str">
            <v xml:space="preserve">  Baja Tulangan</v>
          </cell>
          <cell r="AJ206" t="str">
            <v>Kg</v>
          </cell>
        </row>
        <row r="208">
          <cell r="AG208" t="str">
            <v>7.4</v>
          </cell>
          <cell r="AI208" t="str">
            <v xml:space="preserve">  Pasangan Batu (Stone Masonry)</v>
          </cell>
          <cell r="AJ208" t="str">
            <v>M3</v>
          </cell>
        </row>
        <row r="210">
          <cell r="AG210" t="str">
            <v>7.5 (1)</v>
          </cell>
          <cell r="AI210" t="str">
            <v xml:space="preserve">  Pas. Batu dengan isian (Grouted Rip Rap)</v>
          </cell>
          <cell r="AJ210" t="str">
            <v>M3</v>
          </cell>
        </row>
        <row r="212">
          <cell r="AG212" t="str">
            <v>7.5 (2)</v>
          </cell>
          <cell r="AI212" t="str">
            <v xml:space="preserve">  Pas. Batu Kosong (Non Grouted Rip Rap)</v>
          </cell>
          <cell r="AJ212" t="str">
            <v>M3</v>
          </cell>
        </row>
        <row r="214">
          <cell r="AG214" t="str">
            <v>7.5 (3)</v>
          </cell>
          <cell r="AI214" t="str">
            <v xml:space="preserve">  Bronjong (Gabion)</v>
          </cell>
          <cell r="AJ214" t="str">
            <v>M3</v>
          </cell>
        </row>
        <row r="216">
          <cell r="AG216" t="str">
            <v>7.5 (4)</v>
          </cell>
          <cell r="AI216" t="str">
            <v xml:space="preserve">  Geotektil untuk Perkuatan Tanah</v>
          </cell>
          <cell r="AJ216" t="str">
            <v>M2</v>
          </cell>
        </row>
        <row r="218">
          <cell r="AG218" t="str">
            <v>7.7 (1)</v>
          </cell>
          <cell r="AI218" t="str">
            <v xml:space="preserve">  Pasangan Struktur Jembatan Semi Per-</v>
          </cell>
          <cell r="AJ218" t="str">
            <v>Kg</v>
          </cell>
        </row>
        <row r="219">
          <cell r="AI219" t="str">
            <v xml:space="preserve">  manen</v>
          </cell>
        </row>
        <row r="221">
          <cell r="AG221" t="str">
            <v>7.7 (2)</v>
          </cell>
          <cell r="AI221" t="str">
            <v xml:space="preserve">  Pengangkutan Komponen Jembatan</v>
          </cell>
          <cell r="AJ221" t="str">
            <v>Ls</v>
          </cell>
        </row>
        <row r="222">
          <cell r="AG222" t="str">
            <v>7.7 (3)</v>
          </cell>
          <cell r="AI222" t="str">
            <v xml:space="preserve">  Boulder</v>
          </cell>
          <cell r="AJ222" t="str">
            <v>m3</v>
          </cell>
        </row>
        <row r="225">
          <cell r="AI225" t="str">
            <v xml:space="preserve">  Sub Total Harga Bab. 7 ( Dipindahkan ke Rekapitulasi Daftar Kuantitas dan Harga )</v>
          </cell>
          <cell r="AM225">
            <v>0</v>
          </cell>
        </row>
        <row r="243">
          <cell r="AG243" t="str">
            <v>DAFTAR KUANTITAS DAN HARGA</v>
          </cell>
        </row>
        <row r="245">
          <cell r="AG245" t="str">
            <v>PENAWAR</v>
          </cell>
          <cell r="AH245" t="str">
            <v>:</v>
          </cell>
          <cell r="AI245" t="str">
            <v>CV. MANDIRI KARYA UTAMA</v>
          </cell>
        </row>
        <row r="246">
          <cell r="AG246" t="str">
            <v>PROYEK</v>
          </cell>
          <cell r="AH246" t="str">
            <v>:</v>
          </cell>
          <cell r="AI246" t="str">
            <v>PENINGKATAN JALAN DAN PENGGANTIAN JEMBATAN DPU CAB. VI ACEH BARAT</v>
          </cell>
        </row>
        <row r="247">
          <cell r="AG247" t="str">
            <v>PEKERJAAN</v>
          </cell>
          <cell r="AH247" t="str">
            <v>:</v>
          </cell>
          <cell r="AI247" t="str">
            <v>PENINGKATAN JALAN KUALA TUHA - LAMIE, KM. 45+000 s/d 47+000</v>
          </cell>
        </row>
        <row r="248">
          <cell r="AG248" t="str">
            <v>PROPINSI</v>
          </cell>
          <cell r="AH248" t="str">
            <v>:</v>
          </cell>
          <cell r="AI248" t="str">
            <v>DAERAH ISTIMEWA ACEH</v>
          </cell>
        </row>
        <row r="249">
          <cell r="AG249" t="str">
            <v>LOKASI</v>
          </cell>
          <cell r="AH249" t="str">
            <v>:</v>
          </cell>
          <cell r="AI249" t="str">
            <v>KABUPATEN ACEH BARAT</v>
          </cell>
        </row>
        <row r="250">
          <cell r="AG250" t="str">
            <v>TH. ANGG.</v>
          </cell>
          <cell r="AH250" t="str">
            <v>:</v>
          </cell>
          <cell r="AI250">
            <v>2000</v>
          </cell>
        </row>
        <row r="252">
          <cell r="AG252" t="str">
            <v>MATA</v>
          </cell>
          <cell r="AL252" t="str">
            <v>HARGA</v>
          </cell>
          <cell r="AM252" t="str">
            <v>JUMLAH</v>
          </cell>
        </row>
        <row r="253">
          <cell r="AG253" t="str">
            <v>PEMBA-</v>
          </cell>
          <cell r="AI253" t="str">
            <v>U R A I A N</v>
          </cell>
          <cell r="AJ253" t="str">
            <v>SATUAN</v>
          </cell>
          <cell r="AK253" t="str">
            <v>PERKIRAAN</v>
          </cell>
          <cell r="AL253" t="str">
            <v>SATUAN</v>
          </cell>
          <cell r="AM253" t="str">
            <v>HARGA-HARGA</v>
          </cell>
        </row>
        <row r="254">
          <cell r="AG254" t="str">
            <v>YARAN</v>
          </cell>
          <cell r="AK254" t="str">
            <v>KUANTITAS</v>
          </cell>
          <cell r="AL254" t="str">
            <v>( Rp.)</v>
          </cell>
          <cell r="AM254" t="str">
            <v>PENAWARAN (Rp)</v>
          </cell>
        </row>
        <row r="255">
          <cell r="AG255" t="str">
            <v>a</v>
          </cell>
          <cell r="AI255" t="str">
            <v>b</v>
          </cell>
          <cell r="AJ255" t="str">
            <v>c</v>
          </cell>
          <cell r="AK255" t="str">
            <v>d</v>
          </cell>
          <cell r="AL255" t="str">
            <v>e</v>
          </cell>
          <cell r="AM255" t="str">
            <v>f = (d x e)</v>
          </cell>
        </row>
        <row r="258">
          <cell r="AG258" t="str">
            <v>BAB. 8</v>
          </cell>
          <cell r="AI258" t="str">
            <v xml:space="preserve">  PERKUATAN DAN PEKERJAAN MINOR</v>
          </cell>
        </row>
        <row r="260">
          <cell r="AG260" t="str">
            <v>8.1 (1)</v>
          </cell>
          <cell r="AI260" t="str">
            <v xml:space="preserve">  Lapis Pondasi Agregat Kelas A untuk</v>
          </cell>
          <cell r="AJ260" t="str">
            <v>M3</v>
          </cell>
        </row>
        <row r="261">
          <cell r="AI261" t="str">
            <v xml:space="preserve">  Pekerjaan  Minor</v>
          </cell>
        </row>
        <row r="263">
          <cell r="AG263" t="str">
            <v>8.1 (2)</v>
          </cell>
          <cell r="AI263" t="str">
            <v xml:space="preserve">  Lapis Pondasi Agregat Kelas B untuk</v>
          </cell>
          <cell r="AJ263" t="str">
            <v>M3</v>
          </cell>
        </row>
        <row r="264">
          <cell r="AI264" t="str">
            <v xml:space="preserve">  Pekerjaan  Minor</v>
          </cell>
        </row>
        <row r="266">
          <cell r="AG266" t="str">
            <v>8.1 (3)</v>
          </cell>
          <cell r="AI266" t="str">
            <v xml:space="preserve">  Agregat untuk Lapis Pondasi Jalan Tanpa</v>
          </cell>
          <cell r="AJ266" t="str">
            <v>M3</v>
          </cell>
        </row>
        <row r="267">
          <cell r="AI267" t="str">
            <v xml:space="preserve">  Penutup untuk Pekerjaan Minor</v>
          </cell>
        </row>
        <row r="269">
          <cell r="AG269" t="str">
            <v>8.1 (4)</v>
          </cell>
          <cell r="AI269" t="str">
            <v xml:space="preserve">  Waterbound Macadam untuk Pekerjaan</v>
          </cell>
          <cell r="AJ269" t="str">
            <v>M3</v>
          </cell>
        </row>
        <row r="270">
          <cell r="AI270" t="str">
            <v xml:space="preserve">  Minor</v>
          </cell>
        </row>
        <row r="272">
          <cell r="AG272" t="str">
            <v>8.1 (5)</v>
          </cell>
          <cell r="AI272" t="str">
            <v xml:space="preserve">  Campuran Aspal Panas untuk Pekerjaan</v>
          </cell>
          <cell r="AJ272" t="str">
            <v>M3</v>
          </cell>
        </row>
        <row r="273">
          <cell r="AI273" t="str">
            <v xml:space="preserve">  Minor</v>
          </cell>
        </row>
        <row r="275">
          <cell r="AG275" t="str">
            <v>8.1 (6)</v>
          </cell>
          <cell r="AI275" t="str">
            <v xml:space="preserve">  Lasbutag atau Latasbusir untuk Pekerjaan</v>
          </cell>
          <cell r="AJ275" t="str">
            <v>M3</v>
          </cell>
        </row>
        <row r="276">
          <cell r="AI276" t="str">
            <v xml:space="preserve">  Minor</v>
          </cell>
        </row>
        <row r="278">
          <cell r="AG278" t="str">
            <v>8.1 (7)</v>
          </cell>
          <cell r="AI278" t="str">
            <v xml:space="preserve">  Penetrasi   Macadam   untuk   Pekerjaan</v>
          </cell>
          <cell r="AJ278" t="str">
            <v>M3</v>
          </cell>
        </row>
        <row r="279">
          <cell r="AI279" t="str">
            <v xml:space="preserve">  Minor</v>
          </cell>
        </row>
        <row r="281">
          <cell r="AG281" t="str">
            <v>8.1 (8)</v>
          </cell>
          <cell r="AI281" t="str">
            <v xml:space="preserve">  Campuran Aspal Dingin untuk  Pekerjaan</v>
          </cell>
          <cell r="AJ281" t="str">
            <v>M3</v>
          </cell>
        </row>
        <row r="282">
          <cell r="AI282" t="str">
            <v xml:space="preserve">  Minor</v>
          </cell>
        </row>
        <row r="284">
          <cell r="AG284" t="str">
            <v>8.1 (9)</v>
          </cell>
          <cell r="AI284" t="str">
            <v xml:space="preserve">  Bitumen untuk Penutup Retak-retak</v>
          </cell>
          <cell r="AJ284" t="str">
            <v>Liter</v>
          </cell>
        </row>
        <row r="286">
          <cell r="AG286" t="str">
            <v>8.2</v>
          </cell>
          <cell r="AI286" t="str">
            <v xml:space="preserve">  Galian untuk Bahu Jalan dan Pekerjaan</v>
          </cell>
          <cell r="AJ286" t="str">
            <v>M2</v>
          </cell>
        </row>
        <row r="287">
          <cell r="AI287" t="str">
            <v xml:space="preserve">  minor lainnya</v>
          </cell>
        </row>
        <row r="289">
          <cell r="AG289" t="str">
            <v>8.3</v>
          </cell>
          <cell r="AI289" t="str">
            <v xml:space="preserve">  Stabilisasi dengan Tanaman</v>
          </cell>
          <cell r="AJ289" t="str">
            <v>M2</v>
          </cell>
        </row>
        <row r="291">
          <cell r="AG291" t="str">
            <v>8.4 (1)</v>
          </cell>
          <cell r="AI291" t="str">
            <v xml:space="preserve">  Marka Jalan</v>
          </cell>
          <cell r="AJ291" t="str">
            <v>M2</v>
          </cell>
        </row>
        <row r="293">
          <cell r="AG293" t="str">
            <v>8.4 (2)</v>
          </cell>
          <cell r="AI293" t="str">
            <v xml:space="preserve">  Rambu Jalan</v>
          </cell>
          <cell r="AJ293" t="str">
            <v>Buah</v>
          </cell>
        </row>
        <row r="295">
          <cell r="AG295" t="str">
            <v>8.4 (3)</v>
          </cell>
          <cell r="AI295" t="str">
            <v xml:space="preserve">  Patok Pengarah</v>
          </cell>
          <cell r="AJ295" t="str">
            <v>Buah</v>
          </cell>
        </row>
        <row r="297">
          <cell r="AG297" t="str">
            <v>8.4 (4)</v>
          </cell>
          <cell r="AI297" t="str">
            <v xml:space="preserve">  Patok Kilometer</v>
          </cell>
          <cell r="AJ297" t="str">
            <v>Buah</v>
          </cell>
        </row>
        <row r="299">
          <cell r="AG299" t="str">
            <v>8.4 (5)</v>
          </cell>
          <cell r="AI299" t="str">
            <v xml:space="preserve">  Rel  Pengaman</v>
          </cell>
          <cell r="AJ299" t="str">
            <v>M'</v>
          </cell>
        </row>
        <row r="301">
          <cell r="AG301" t="str">
            <v>8.5 (1)</v>
          </cell>
          <cell r="AI301" t="str">
            <v xml:space="preserve">  Perkuatan Lantai Jembatan Beton</v>
          </cell>
          <cell r="AJ301" t="str">
            <v>M2</v>
          </cell>
        </row>
        <row r="303">
          <cell r="AG303" t="str">
            <v>8.5 (2)</v>
          </cell>
          <cell r="AI303" t="str">
            <v xml:space="preserve">  Perkuatan Lantai Jembatan Kayu</v>
          </cell>
          <cell r="AJ303" t="str">
            <v>M2</v>
          </cell>
        </row>
        <row r="305">
          <cell r="AG305" t="str">
            <v>8.5 (3)</v>
          </cell>
          <cell r="AI305" t="str">
            <v xml:space="preserve">  Pengecatan Jembatan Struktur Baja</v>
          </cell>
          <cell r="AJ305" t="str">
            <v>M2</v>
          </cell>
        </row>
        <row r="309">
          <cell r="AI309" t="str">
            <v xml:space="preserve">  Sub Total Harga Bab. 8 ( Dipindahkan ke Rekapitulasi Daftar Kuantitas dan Harga )</v>
          </cell>
          <cell r="AM309">
            <v>0</v>
          </cell>
        </row>
        <row r="325">
          <cell r="AG325" t="str">
            <v>DAFTAR KUANTITAS DAN HARGA</v>
          </cell>
        </row>
        <row r="327">
          <cell r="AG327" t="str">
            <v>PENAWAR</v>
          </cell>
          <cell r="AH327" t="str">
            <v>:</v>
          </cell>
          <cell r="AI327" t="str">
            <v>CV. MANDIRI KARYA UTAMA</v>
          </cell>
        </row>
        <row r="328">
          <cell r="AG328" t="str">
            <v>PROYEK</v>
          </cell>
          <cell r="AH328" t="str">
            <v>:</v>
          </cell>
          <cell r="AI328" t="str">
            <v>PENINGKATAN JALAN DAN PENGGANTIAN JEMBATAN DPU CAB. VI ACEH BARAT</v>
          </cell>
        </row>
        <row r="329">
          <cell r="AG329" t="str">
            <v>PEKERJAAN</v>
          </cell>
          <cell r="AH329" t="str">
            <v>:</v>
          </cell>
          <cell r="AI329" t="str">
            <v>PENINGKATAN JALAN KUALA TUHA - LAMIE, KM. 45+000 s/d 47+000</v>
          </cell>
        </row>
        <row r="330">
          <cell r="AG330" t="str">
            <v>PROPINSI</v>
          </cell>
          <cell r="AH330" t="str">
            <v>:</v>
          </cell>
          <cell r="AI330" t="str">
            <v>DAERAH ISTIMEWA ACEH</v>
          </cell>
        </row>
        <row r="331">
          <cell r="AG331" t="str">
            <v>LOKASI</v>
          </cell>
          <cell r="AH331" t="str">
            <v>:</v>
          </cell>
          <cell r="AI331" t="str">
            <v>KABUPATEN ACEH BARAT</v>
          </cell>
        </row>
        <row r="332">
          <cell r="AG332" t="str">
            <v>TH. ANGG.</v>
          </cell>
          <cell r="AH332" t="str">
            <v>:</v>
          </cell>
          <cell r="AI332">
            <v>2000</v>
          </cell>
        </row>
        <row r="334">
          <cell r="AG334" t="str">
            <v>MATA</v>
          </cell>
          <cell r="AL334" t="str">
            <v>HARGA</v>
          </cell>
          <cell r="AM334" t="str">
            <v>JUMLAH</v>
          </cell>
        </row>
        <row r="335">
          <cell r="AG335" t="str">
            <v>PEMBA-</v>
          </cell>
          <cell r="AI335" t="str">
            <v>U R A I A N</v>
          </cell>
          <cell r="AJ335" t="str">
            <v>SATUAN</v>
          </cell>
          <cell r="AK335" t="str">
            <v>PERKIRAAN</v>
          </cell>
          <cell r="AL335" t="str">
            <v>SATUAN</v>
          </cell>
          <cell r="AM335" t="str">
            <v>HARGA-HARGA</v>
          </cell>
        </row>
        <row r="336">
          <cell r="AG336" t="str">
            <v>YARAN</v>
          </cell>
          <cell r="AK336" t="str">
            <v>KUANTITAS</v>
          </cell>
          <cell r="AL336" t="str">
            <v>( Rp.)</v>
          </cell>
          <cell r="AM336" t="str">
            <v>PENAWARAN (Rp)</v>
          </cell>
        </row>
        <row r="337">
          <cell r="AG337" t="str">
            <v>a</v>
          </cell>
          <cell r="AI337" t="str">
            <v>b</v>
          </cell>
          <cell r="AJ337" t="str">
            <v>c</v>
          </cell>
          <cell r="AK337" t="str">
            <v>d</v>
          </cell>
          <cell r="AL337" t="str">
            <v>e</v>
          </cell>
          <cell r="AM337" t="str">
            <v>f = (d x e)</v>
          </cell>
        </row>
        <row r="339">
          <cell r="AG339" t="str">
            <v>BAB. 9</v>
          </cell>
          <cell r="AI339" t="str">
            <v xml:space="preserve">  PEKERJAAN HARIAN</v>
          </cell>
        </row>
        <row r="341">
          <cell r="AG341" t="str">
            <v>9.1</v>
          </cell>
          <cell r="AI341" t="str">
            <v xml:space="preserve">  M  a  n  d  o  r</v>
          </cell>
          <cell r="AJ341" t="str">
            <v>Jam</v>
          </cell>
        </row>
        <row r="343">
          <cell r="AG343" t="str">
            <v>9.2</v>
          </cell>
          <cell r="AI343" t="str">
            <v xml:space="preserve">  Pekerja Biasa</v>
          </cell>
          <cell r="AJ343" t="str">
            <v>Jam</v>
          </cell>
        </row>
        <row r="345">
          <cell r="AG345" t="str">
            <v>9.3</v>
          </cell>
          <cell r="AI345" t="str">
            <v xml:space="preserve">  Tukang Kayu, Tukang Besi, dsb.</v>
          </cell>
          <cell r="AJ345" t="str">
            <v>Jam</v>
          </cell>
        </row>
        <row r="347">
          <cell r="AG347" t="str">
            <v>9.4</v>
          </cell>
          <cell r="AI347" t="str">
            <v xml:space="preserve">  Dump Truck, Kapasitas  3 - 4 m3</v>
          </cell>
          <cell r="AJ347" t="str">
            <v>Jam</v>
          </cell>
        </row>
        <row r="349">
          <cell r="AG349" t="str">
            <v>9.5</v>
          </cell>
          <cell r="AI349" t="str">
            <v xml:space="preserve">  Plat Bed Truck, Kapasitas  3 - 4 M3</v>
          </cell>
          <cell r="AJ349" t="str">
            <v>Jam</v>
          </cell>
        </row>
        <row r="351">
          <cell r="AG351" t="str">
            <v>9.6</v>
          </cell>
          <cell r="AI351" t="str">
            <v xml:space="preserve">  Water Tanker, Kapasitas 3000-4500 ltr</v>
          </cell>
          <cell r="AJ351" t="str">
            <v>Jam</v>
          </cell>
        </row>
        <row r="353">
          <cell r="AG353" t="str">
            <v>9.7</v>
          </cell>
          <cell r="AI353" t="str">
            <v xml:space="preserve">  Bulldozer, Kapasitas 100-150 HP</v>
          </cell>
          <cell r="AJ353" t="str">
            <v>Jam</v>
          </cell>
        </row>
        <row r="355">
          <cell r="AG355" t="str">
            <v>9.8</v>
          </cell>
          <cell r="AI355" t="str">
            <v xml:space="preserve">  Motor Greader, Kapasitas 75 - 100 HP</v>
          </cell>
          <cell r="AJ355" t="str">
            <v>Jam</v>
          </cell>
        </row>
        <row r="357">
          <cell r="AG357" t="str">
            <v>9.9</v>
          </cell>
          <cell r="AI357" t="str">
            <v xml:space="preserve">  Wheel Loader, Kapasitas 1,00 - 1,60 m3</v>
          </cell>
          <cell r="AJ357" t="str">
            <v>Jam</v>
          </cell>
        </row>
        <row r="359">
          <cell r="AG359" t="str">
            <v>9.10</v>
          </cell>
          <cell r="AI359" t="str">
            <v xml:space="preserve">  Track Loader, Kapasitas 75 - 100 HP</v>
          </cell>
          <cell r="AJ359" t="str">
            <v>Jam</v>
          </cell>
        </row>
        <row r="361">
          <cell r="AG361" t="str">
            <v>9.11</v>
          </cell>
          <cell r="AI361" t="str">
            <v xml:space="preserve">  Excavator, Kapasitas 80 - 140 HP</v>
          </cell>
          <cell r="AJ361" t="str">
            <v>Jam</v>
          </cell>
        </row>
        <row r="363">
          <cell r="AG363" t="str">
            <v>9.12</v>
          </cell>
          <cell r="AI363" t="str">
            <v xml:space="preserve">  Crane, Kapasitas 10 - 15 HP</v>
          </cell>
          <cell r="AJ363" t="str">
            <v>Jam</v>
          </cell>
        </row>
        <row r="365">
          <cell r="AG365" t="str">
            <v>9.13</v>
          </cell>
          <cell r="AI365" t="str">
            <v xml:space="preserve">  Steel Wheel Roller,  6 - 9 ton</v>
          </cell>
          <cell r="AJ365" t="str">
            <v>Jam</v>
          </cell>
        </row>
        <row r="367">
          <cell r="AG367" t="str">
            <v>9.14</v>
          </cell>
          <cell r="AI367" t="str">
            <v xml:space="preserve">  Vibratory Roller,  5 - 8 ton</v>
          </cell>
          <cell r="AJ367" t="str">
            <v>Jam</v>
          </cell>
        </row>
        <row r="369">
          <cell r="AG369" t="str">
            <v>9.15</v>
          </cell>
          <cell r="AI369" t="str">
            <v xml:space="preserve">  Vibratory Compactor, Kap. 1.5 - 3.0 HP </v>
          </cell>
          <cell r="AJ369" t="str">
            <v>Jam</v>
          </cell>
        </row>
        <row r="371">
          <cell r="AG371" t="str">
            <v>9.16</v>
          </cell>
          <cell r="AI371" t="str">
            <v xml:space="preserve">  Pneumatic Tyred Roller, Kap. 8 - 10 Ton</v>
          </cell>
          <cell r="AJ371" t="str">
            <v>Jam</v>
          </cell>
        </row>
        <row r="373">
          <cell r="AG373" t="str">
            <v>9.17</v>
          </cell>
          <cell r="AI373" t="str">
            <v xml:space="preserve">  Compressor, Kapasitas 4000-6500 l/jam</v>
          </cell>
          <cell r="AJ373" t="str">
            <v>Jam</v>
          </cell>
        </row>
        <row r="375">
          <cell r="AG375" t="str">
            <v>9.18</v>
          </cell>
          <cell r="AI375" t="str">
            <v xml:space="preserve">  Concrete Mixer, Kap. 0,3 - 0,6 m3</v>
          </cell>
          <cell r="AJ375" t="str">
            <v>Jam</v>
          </cell>
        </row>
        <row r="377">
          <cell r="AG377" t="str">
            <v>9.19</v>
          </cell>
          <cell r="AI377" t="str">
            <v xml:space="preserve">  Water Pump, Kap. 70 - 100 mm</v>
          </cell>
          <cell r="AJ377" t="str">
            <v>Jam</v>
          </cell>
        </row>
        <row r="385">
          <cell r="AI385" t="str">
            <v xml:space="preserve">  Sub Total Harga Bab. 9 ( Dipindahkan ke Rekapitulasi Daftar Kuantitas dan Harga )</v>
          </cell>
        </row>
        <row r="407">
          <cell r="AG407" t="str">
            <v>DAFTAR KUANTITAS DAN HARGA</v>
          </cell>
        </row>
        <row r="409">
          <cell r="AG409" t="str">
            <v>PENAWAR</v>
          </cell>
          <cell r="AI409" t="str">
            <v>CV. MANDIRI KARYA UTAMA</v>
          </cell>
        </row>
        <row r="410">
          <cell r="AG410" t="str">
            <v>PROYEK</v>
          </cell>
          <cell r="AI410" t="str">
            <v>PENINGKATAN JALAN DAN PENGGANTIAN JEMBATAN DPU CAB. VI ACEH BARAT</v>
          </cell>
        </row>
        <row r="411">
          <cell r="AG411" t="str">
            <v>PEKERJAAN</v>
          </cell>
          <cell r="AI411" t="str">
            <v>PENINGKATAN JALAN KUALA TUHA - LAMIE, KM. 45+000 s/d 47+000</v>
          </cell>
        </row>
        <row r="412">
          <cell r="AG412" t="str">
            <v>PROPINSI</v>
          </cell>
          <cell r="AI412" t="str">
            <v>DAERAH ISTIMEWA ACEH</v>
          </cell>
        </row>
        <row r="413">
          <cell r="AG413" t="str">
            <v>LOKASI</v>
          </cell>
          <cell r="AI413" t="str">
            <v>KABUPATEN ACEH BARAT</v>
          </cell>
        </row>
        <row r="414">
          <cell r="AG414" t="str">
            <v>TH. ANGG.</v>
          </cell>
          <cell r="AI414">
            <v>2000</v>
          </cell>
        </row>
        <row r="416">
          <cell r="AG416" t="str">
            <v>MATA</v>
          </cell>
          <cell r="AL416" t="str">
            <v>HARGA</v>
          </cell>
          <cell r="AM416" t="str">
            <v>JUMLAH</v>
          </cell>
        </row>
        <row r="417">
          <cell r="AG417" t="str">
            <v>PEMBA-</v>
          </cell>
          <cell r="AI417" t="str">
            <v>U R A I A N</v>
          </cell>
          <cell r="AJ417" t="str">
            <v>SATUAN</v>
          </cell>
          <cell r="AK417" t="str">
            <v>PERKIRAAN</v>
          </cell>
          <cell r="AL417" t="str">
            <v>SATUAN</v>
          </cell>
          <cell r="AM417" t="str">
            <v>HARGA-HARGA</v>
          </cell>
        </row>
        <row r="418">
          <cell r="AG418" t="str">
            <v>YARAN</v>
          </cell>
          <cell r="AK418" t="str">
            <v>KUANTITAS</v>
          </cell>
          <cell r="AL418" t="str">
            <v>( Rp.)</v>
          </cell>
          <cell r="AM418" t="str">
            <v>PENAWARAN (Rp)</v>
          </cell>
        </row>
        <row r="419">
          <cell r="AG419" t="str">
            <v>a</v>
          </cell>
          <cell r="AI419" t="str">
            <v>b</v>
          </cell>
          <cell r="AJ419" t="str">
            <v>c</v>
          </cell>
          <cell r="AK419" t="str">
            <v>d</v>
          </cell>
          <cell r="AL419" t="str">
            <v>e</v>
          </cell>
          <cell r="AM419" t="str">
            <v>f = (d x e)</v>
          </cell>
        </row>
        <row r="422">
          <cell r="AG422" t="str">
            <v>BAB. 10</v>
          </cell>
          <cell r="AI422" t="str">
            <v xml:space="preserve">  PEKERJAAN PEMELIHARAAN RUTIN</v>
          </cell>
        </row>
        <row r="424">
          <cell r="AG424" t="str">
            <v>10.1 (1)</v>
          </cell>
          <cell r="AI424" t="str">
            <v xml:space="preserve">  Pemeliharaan Rutin Perkerasan</v>
          </cell>
          <cell r="AJ424" t="str">
            <v>Ls</v>
          </cell>
        </row>
        <row r="426">
          <cell r="AG426" t="str">
            <v>10.1 (2)</v>
          </cell>
          <cell r="AI426" t="str">
            <v xml:space="preserve">  Pemeliharaan Rutin Bahu Jalan</v>
          </cell>
          <cell r="AJ426" t="str">
            <v>Ls</v>
          </cell>
        </row>
        <row r="428">
          <cell r="AG428" t="str">
            <v>10.1 (3)</v>
          </cell>
          <cell r="AI428" t="str">
            <v xml:space="preserve">  Pemeliharaan Rutin Selokan, Saluaran Air,</v>
          </cell>
          <cell r="AJ428" t="str">
            <v>Ls</v>
          </cell>
        </row>
        <row r="429">
          <cell r="AI429" t="str">
            <v xml:space="preserve">  Pemotongan dan Urugan</v>
          </cell>
        </row>
        <row r="431">
          <cell r="AG431" t="str">
            <v>10.1 (4)</v>
          </cell>
          <cell r="AI431" t="str">
            <v xml:space="preserve">  Pemeliharaan Rutin Perlengkapan Jalan</v>
          </cell>
          <cell r="AJ431" t="str">
            <v>Ls</v>
          </cell>
        </row>
        <row r="433">
          <cell r="AG433" t="str">
            <v>10.1 (5)</v>
          </cell>
          <cell r="AI433" t="str">
            <v xml:space="preserve">  Pemeliharaan Rutin Jembatan</v>
          </cell>
          <cell r="AJ433" t="str">
            <v>Ls</v>
          </cell>
        </row>
        <row r="437">
          <cell r="AI437" t="str">
            <v xml:space="preserve">  Sub Total Harga Bab. 10 ( Dipindahkan ke Rekapitulasi Daftar Kuantitas dan Harga )</v>
          </cell>
          <cell r="AM437">
            <v>0</v>
          </cell>
        </row>
        <row r="649">
          <cell r="AN649">
            <v>76</v>
          </cell>
          <cell r="AP649">
            <v>9</v>
          </cell>
          <cell r="AR649">
            <v>43</v>
          </cell>
          <cell r="AS649">
            <v>9</v>
          </cell>
          <cell r="AT649">
            <v>15</v>
          </cell>
        </row>
        <row r="703">
          <cell r="W703" t="str">
            <v>ANALISA HARGA SATUAN MATA PEMBAYARAN UTAMA</v>
          </cell>
        </row>
        <row r="705">
          <cell r="W705" t="str">
            <v>NAMA PENAWAR</v>
          </cell>
          <cell r="Z705" t="str">
            <v>CV. MANDIRI KARYA UTAMA</v>
          </cell>
        </row>
        <row r="706">
          <cell r="W706" t="str">
            <v>PROYEK</v>
          </cell>
          <cell r="Z706" t="str">
            <v>PENINGKATAN JALAN DAN PENGGANTIAN JEMBATAN DPU CAB. VI ACEH BARAT</v>
          </cell>
        </row>
        <row r="707">
          <cell r="W707" t="str">
            <v>NO. MATA PEMBAYARAN</v>
          </cell>
          <cell r="Z707" t="str">
            <v>6.1(1)</v>
          </cell>
        </row>
        <row r="708">
          <cell r="W708" t="str">
            <v>JENIS PEKERJAAN</v>
          </cell>
          <cell r="Z708" t="str">
            <v>PRIME COAT</v>
          </cell>
        </row>
        <row r="709">
          <cell r="W709" t="str">
            <v>SATUAN PEKERJAAN</v>
          </cell>
          <cell r="Z709" t="str">
            <v>LITER</v>
          </cell>
        </row>
        <row r="710">
          <cell r="W710" t="str">
            <v>PRODUKSI HARIAN/JAM</v>
          </cell>
        </row>
        <row r="712">
          <cell r="W712" t="str">
            <v>NO.</v>
          </cell>
          <cell r="X712" t="str">
            <v>U  R  A  I  A  N</v>
          </cell>
          <cell r="AA712" t="str">
            <v>SATUAN</v>
          </cell>
          <cell r="AB712" t="str">
            <v>KUANTITAS</v>
          </cell>
          <cell r="AC712" t="str">
            <v>HARGA SATUAN</v>
          </cell>
          <cell r="AD712" t="str">
            <v>JUMLAH HARGA</v>
          </cell>
        </row>
        <row r="713">
          <cell r="AC713" t="str">
            <v>(Rp.)</v>
          </cell>
          <cell r="AD713" t="str">
            <v>(Rp.)</v>
          </cell>
        </row>
        <row r="716">
          <cell r="W716" t="str">
            <v xml:space="preserve">A. </v>
          </cell>
          <cell r="X716" t="str">
            <v xml:space="preserve">  TENAGA KERJA</v>
          </cell>
        </row>
        <row r="717">
          <cell r="W717" t="str">
            <v>1.</v>
          </cell>
          <cell r="X717" t="str">
            <v xml:space="preserve">  Pekerja</v>
          </cell>
          <cell r="AA717" t="str">
            <v>Jam</v>
          </cell>
          <cell r="AB717">
            <v>4.3029259896729774E-2</v>
          </cell>
          <cell r="AC717">
            <v>1700</v>
          </cell>
          <cell r="AD717">
            <v>73.150000000000006</v>
          </cell>
        </row>
        <row r="718">
          <cell r="W718" t="str">
            <v>2.</v>
          </cell>
          <cell r="X718" t="str">
            <v xml:space="preserve">  Mandor</v>
          </cell>
          <cell r="AA718" t="str">
            <v>Jam</v>
          </cell>
          <cell r="AB718">
            <v>4.3029259896729772E-3</v>
          </cell>
          <cell r="AC718">
            <v>1900</v>
          </cell>
          <cell r="AD718">
            <v>8.18</v>
          </cell>
        </row>
        <row r="719">
          <cell r="X719" t="str">
            <v/>
          </cell>
        </row>
        <row r="722">
          <cell r="W722" t="str">
            <v>B.</v>
          </cell>
          <cell r="X722" t="str">
            <v xml:space="preserve">  B A H A N</v>
          </cell>
        </row>
        <row r="723">
          <cell r="W723" t="str">
            <v>1.</v>
          </cell>
          <cell r="X723" t="str">
            <v xml:space="preserve">  Aspal</v>
          </cell>
          <cell r="AA723" t="str">
            <v>kg</v>
          </cell>
          <cell r="AB723">
            <v>0.64200000000000002</v>
          </cell>
          <cell r="AC723">
            <v>2375</v>
          </cell>
          <cell r="AD723">
            <v>1524.75</v>
          </cell>
        </row>
        <row r="724">
          <cell r="W724" t="str">
            <v>2.</v>
          </cell>
          <cell r="X724" t="str">
            <v xml:space="preserve">  Kerosene</v>
          </cell>
          <cell r="AA724" t="str">
            <v>liter</v>
          </cell>
          <cell r="AB724">
            <v>0.48899999999999999</v>
          </cell>
          <cell r="AC724">
            <v>400</v>
          </cell>
          <cell r="AD724">
            <v>195.6</v>
          </cell>
        </row>
        <row r="730">
          <cell r="W730" t="str">
            <v>C.</v>
          </cell>
          <cell r="X730" t="str">
            <v xml:space="preserve">  PERALATAN</v>
          </cell>
        </row>
        <row r="731">
          <cell r="W731" t="str">
            <v>1.</v>
          </cell>
          <cell r="X731" t="str">
            <v xml:space="preserve">  Asphalt Sprayer</v>
          </cell>
          <cell r="AA731" t="str">
            <v>Jam</v>
          </cell>
          <cell r="AB731">
            <v>4.3029259896729772E-3</v>
          </cell>
          <cell r="AC731">
            <v>30795.644777777779</v>
          </cell>
          <cell r="AD731">
            <v>132.51</v>
          </cell>
        </row>
        <row r="732">
          <cell r="W732" t="str">
            <v>2.</v>
          </cell>
          <cell r="X732" t="str">
            <v xml:space="preserve">  Air Compressor</v>
          </cell>
          <cell r="AA732" t="str">
            <v>Jam</v>
          </cell>
          <cell r="AB732">
            <v>4.0160642570281121E-3</v>
          </cell>
          <cell r="AC732">
            <v>27488.716138915555</v>
          </cell>
          <cell r="AD732">
            <v>110.4</v>
          </cell>
        </row>
        <row r="733">
          <cell r="W733" t="str">
            <v>3.</v>
          </cell>
          <cell r="X733" t="str">
            <v xml:space="preserve">  Pick Up</v>
          </cell>
          <cell r="AA733" t="str">
            <v>Jam</v>
          </cell>
          <cell r="AB733">
            <v>4.0000000000000002E-4</v>
          </cell>
          <cell r="AC733">
            <v>41722.179083333336</v>
          </cell>
          <cell r="AD733">
            <v>16.690000000000001</v>
          </cell>
        </row>
        <row r="738">
          <cell r="W738" t="str">
            <v>D.</v>
          </cell>
          <cell r="X738" t="str">
            <v xml:space="preserve">  Jumlah ( A + B + C )</v>
          </cell>
          <cell r="AD738">
            <v>2061.2799999999997</v>
          </cell>
        </row>
        <row r="739">
          <cell r="W739" t="str">
            <v>E.</v>
          </cell>
          <cell r="X739" t="str">
            <v xml:space="preserve">  Biaya Umum dan Keuntungan = ( 10 % x D )</v>
          </cell>
          <cell r="AD739">
            <v>206.13</v>
          </cell>
        </row>
        <row r="740">
          <cell r="W740" t="str">
            <v>F.</v>
          </cell>
          <cell r="X740" t="str">
            <v xml:space="preserve">  Harga Satuan ( D + E )</v>
          </cell>
          <cell r="AD740">
            <v>2267.41</v>
          </cell>
        </row>
        <row r="741">
          <cell r="W741" t="str">
            <v>G.</v>
          </cell>
          <cell r="X741" t="str">
            <v xml:space="preserve">  DIBULATKAN</v>
          </cell>
          <cell r="AD741">
            <v>2267</v>
          </cell>
        </row>
        <row r="743">
          <cell r="W743" t="str">
            <v>Catatan :</v>
          </cell>
        </row>
        <row r="744">
          <cell r="W744" t="str">
            <v>-</v>
          </cell>
        </row>
        <row r="746">
          <cell r="W746" t="str">
            <v>-</v>
          </cell>
        </row>
        <row r="748">
          <cell r="W748" t="str">
            <v>-</v>
          </cell>
        </row>
        <row r="749">
          <cell r="W749" t="str">
            <v>-</v>
          </cell>
        </row>
        <row r="751">
          <cell r="W751" t="str">
            <v>-</v>
          </cell>
        </row>
        <row r="753">
          <cell r="W753" t="str">
            <v>-</v>
          </cell>
        </row>
        <row r="756">
          <cell r="W756" t="str">
            <v>-</v>
          </cell>
        </row>
        <row r="760">
          <cell r="AC760" t="str">
            <v>ACEH BESAR,   22  AGUSTUS  2000</v>
          </cell>
        </row>
        <row r="761">
          <cell r="AC761" t="str">
            <v>CV. MANDIRI KARYA UTAMA</v>
          </cell>
        </row>
        <row r="857">
          <cell r="W857" t="str">
            <v>ANALISA HARGA SATUAN MATA PEMBAYARAN UTAMA</v>
          </cell>
        </row>
        <row r="859">
          <cell r="W859" t="str">
            <v>NAMA PENAWAR</v>
          </cell>
          <cell r="Y859" t="str">
            <v>:</v>
          </cell>
          <cell r="Z859" t="str">
            <v>CV. MANDIRI KARYA UTAMA</v>
          </cell>
        </row>
        <row r="860">
          <cell r="W860" t="str">
            <v>PROYEK</v>
          </cell>
          <cell r="Y860" t="str">
            <v>:</v>
          </cell>
          <cell r="Z860" t="str">
            <v>PENINGKATAN JALAN DAN PENGGANTIAN JEMBATAN DPU CAB. VI ACEH BARAT</v>
          </cell>
        </row>
        <row r="861">
          <cell r="W861" t="str">
            <v>NO. MATA PEMBAYARAN</v>
          </cell>
          <cell r="Y861" t="str">
            <v>:</v>
          </cell>
          <cell r="Z861" t="str">
            <v>6.3(5)</v>
          </cell>
        </row>
        <row r="862">
          <cell r="W862" t="str">
            <v>JENIS PEKERJAAN</v>
          </cell>
          <cell r="Y862" t="str">
            <v>:</v>
          </cell>
          <cell r="Z862" t="str">
            <v>ASPHALT TREATED BASE (ATB)</v>
          </cell>
        </row>
        <row r="863">
          <cell r="W863" t="str">
            <v>SATUAN PEKERJAAN</v>
          </cell>
          <cell r="Y863" t="str">
            <v>:</v>
          </cell>
          <cell r="Z863" t="str">
            <v>m3</v>
          </cell>
        </row>
        <row r="864">
          <cell r="W864" t="str">
            <v>PRODUKSI HARIAN/JAM</v>
          </cell>
          <cell r="Y864" t="str">
            <v>:</v>
          </cell>
        </row>
        <row r="866">
          <cell r="W866" t="str">
            <v>NO.</v>
          </cell>
          <cell r="X866" t="str">
            <v>U  R  A  I  A  N</v>
          </cell>
          <cell r="AA866" t="str">
            <v>SATUAN</v>
          </cell>
          <cell r="AB866" t="str">
            <v>KUANTITAS</v>
          </cell>
          <cell r="AC866" t="str">
            <v>HARGA SATUAN</v>
          </cell>
          <cell r="AD866" t="str">
            <v>JUMLAH HARGA</v>
          </cell>
        </row>
        <row r="867">
          <cell r="AC867" t="str">
            <v>(Rp.)</v>
          </cell>
          <cell r="AD867" t="str">
            <v>(Rp.)</v>
          </cell>
        </row>
        <row r="869">
          <cell r="W869" t="str">
            <v xml:space="preserve">A. </v>
          </cell>
          <cell r="X869" t="str">
            <v xml:space="preserve">  TENAGA KERJA</v>
          </cell>
        </row>
        <row r="870">
          <cell r="W870" t="str">
            <v>1.</v>
          </cell>
          <cell r="X870" t="str">
            <v xml:space="preserve">  Pekerja</v>
          </cell>
          <cell r="AA870" t="str">
            <v>Jam</v>
          </cell>
          <cell r="AB870">
            <v>0.35714285714285715</v>
          </cell>
          <cell r="AC870">
            <v>1700</v>
          </cell>
          <cell r="AD870">
            <v>607.14</v>
          </cell>
        </row>
        <row r="871">
          <cell r="W871" t="str">
            <v>2.</v>
          </cell>
          <cell r="X871" t="str">
            <v xml:space="preserve">  Mandor</v>
          </cell>
          <cell r="AA871" t="str">
            <v>Jam</v>
          </cell>
          <cell r="AB871">
            <v>7.1428571428571425E-2</v>
          </cell>
          <cell r="AC871">
            <v>1900</v>
          </cell>
          <cell r="AD871">
            <v>135.71</v>
          </cell>
        </row>
        <row r="873">
          <cell r="X873" t="str">
            <v/>
          </cell>
        </row>
        <row r="875">
          <cell r="W875" t="str">
            <v>B.</v>
          </cell>
          <cell r="X875" t="str">
            <v xml:space="preserve">  B A H A N</v>
          </cell>
        </row>
        <row r="876">
          <cell r="W876" t="str">
            <v>1.</v>
          </cell>
          <cell r="X876" t="str">
            <v xml:space="preserve">  Agregat Kasar</v>
          </cell>
          <cell r="AA876" t="str">
            <v>m3</v>
          </cell>
          <cell r="AB876">
            <v>0.70299999999999996</v>
          </cell>
          <cell r="AC876">
            <v>50000</v>
          </cell>
          <cell r="AD876">
            <v>35150</v>
          </cell>
        </row>
        <row r="877">
          <cell r="W877" t="str">
            <v>2.</v>
          </cell>
          <cell r="X877" t="str">
            <v xml:space="preserve">  Agregat Halus</v>
          </cell>
          <cell r="AA877" t="str">
            <v>m3</v>
          </cell>
          <cell r="AB877">
            <v>0.53400000000000003</v>
          </cell>
          <cell r="AC877">
            <v>36000</v>
          </cell>
          <cell r="AD877">
            <v>19224</v>
          </cell>
        </row>
        <row r="878">
          <cell r="W878" t="str">
            <v>3.</v>
          </cell>
          <cell r="X878" t="str">
            <v xml:space="preserve">  Filler</v>
          </cell>
          <cell r="AA878" t="str">
            <v>kg</v>
          </cell>
          <cell r="AB878">
            <v>139.19999999999999</v>
          </cell>
          <cell r="AC878">
            <v>350</v>
          </cell>
          <cell r="AD878">
            <v>48720</v>
          </cell>
        </row>
        <row r="879">
          <cell r="W879" t="str">
            <v>4.</v>
          </cell>
          <cell r="X879" t="str">
            <v xml:space="preserve">  Aspal</v>
          </cell>
          <cell r="AA879" t="str">
            <v>kg</v>
          </cell>
          <cell r="AB879">
            <v>157</v>
          </cell>
          <cell r="AC879">
            <v>2375</v>
          </cell>
          <cell r="AD879">
            <v>372875</v>
          </cell>
        </row>
        <row r="882">
          <cell r="W882" t="str">
            <v>C.</v>
          </cell>
          <cell r="X882" t="str">
            <v xml:space="preserve">  PERALATAN</v>
          </cell>
        </row>
        <row r="883">
          <cell r="W883" t="str">
            <v>1.</v>
          </cell>
          <cell r="X883" t="str">
            <v xml:space="preserve">  Wheel Loader</v>
          </cell>
          <cell r="AA883" t="str">
            <v>Jam</v>
          </cell>
          <cell r="AB883">
            <v>2.2445874528905448E-2</v>
          </cell>
          <cell r="AC883">
            <v>61961.891192153329</v>
          </cell>
          <cell r="AD883">
            <v>1390.79</v>
          </cell>
        </row>
        <row r="884">
          <cell r="W884" t="str">
            <v>2.</v>
          </cell>
          <cell r="X884" t="str">
            <v xml:space="preserve">  Asphalt Mixing Plant</v>
          </cell>
          <cell r="AA884" t="str">
            <v>Jam</v>
          </cell>
          <cell r="AB884">
            <v>3.5714285714285712E-2</v>
          </cell>
          <cell r="AC884">
            <v>511690.04100000003</v>
          </cell>
          <cell r="AD884">
            <v>18274.64</v>
          </cell>
        </row>
        <row r="885">
          <cell r="W885" t="str">
            <v>3.</v>
          </cell>
          <cell r="X885" t="str">
            <v xml:space="preserve">  Dump Truck</v>
          </cell>
          <cell r="AA885" t="str">
            <v>Jam</v>
          </cell>
          <cell r="AB885">
            <v>1.19628125</v>
          </cell>
          <cell r="AC885">
            <v>41722.179083333336</v>
          </cell>
          <cell r="AD885">
            <v>49911.46</v>
          </cell>
        </row>
        <row r="886">
          <cell r="W886" t="str">
            <v>4.</v>
          </cell>
          <cell r="X886" t="str">
            <v xml:space="preserve">  Asphalt Finisher</v>
          </cell>
          <cell r="AA886" t="str">
            <v>Jam</v>
          </cell>
          <cell r="AB886">
            <v>9.0361454819278014E-2</v>
          </cell>
          <cell r="AC886">
            <v>62576.209076850006</v>
          </cell>
          <cell r="AD886">
            <v>5654.48</v>
          </cell>
        </row>
        <row r="887">
          <cell r="W887" t="str">
            <v>5.</v>
          </cell>
          <cell r="X887" t="str">
            <v xml:space="preserve">  Tandem Roller</v>
          </cell>
          <cell r="AA887" t="str">
            <v>Jam</v>
          </cell>
          <cell r="AB887">
            <v>2.5100401606425699E-2</v>
          </cell>
          <cell r="AC887">
            <v>24118.531999999999</v>
          </cell>
          <cell r="AD887">
            <v>605.38</v>
          </cell>
        </row>
        <row r="888">
          <cell r="W888" t="str">
            <v>6.</v>
          </cell>
          <cell r="X888" t="str">
            <v xml:space="preserve">  Tyred Roller</v>
          </cell>
          <cell r="AA888" t="str">
            <v>Jam</v>
          </cell>
          <cell r="AB888">
            <v>3.543586109142452E-2</v>
          </cell>
          <cell r="AC888">
            <v>33940.980355555555</v>
          </cell>
          <cell r="AD888">
            <v>1202.73</v>
          </cell>
        </row>
        <row r="889">
          <cell r="W889" t="str">
            <v>7.</v>
          </cell>
          <cell r="X889" t="str">
            <v xml:space="preserve">  Alat Bantu</v>
          </cell>
          <cell r="AA889" t="str">
            <v>Jam</v>
          </cell>
          <cell r="AB889">
            <v>1</v>
          </cell>
          <cell r="AC889">
            <v>1000</v>
          </cell>
          <cell r="AD889">
            <v>1000</v>
          </cell>
        </row>
        <row r="892">
          <cell r="W892" t="str">
            <v>D.</v>
          </cell>
          <cell r="X892" t="str">
            <v xml:space="preserve">  Jumlah ( A + B + C )</v>
          </cell>
          <cell r="AD892">
            <v>554751.32999999996</v>
          </cell>
        </row>
        <row r="893">
          <cell r="W893" t="str">
            <v>E.</v>
          </cell>
          <cell r="X893" t="str">
            <v xml:space="preserve">  Biaya Umum dan Keuntungan = ( 10 % x D )</v>
          </cell>
          <cell r="AD893">
            <v>55475.13</v>
          </cell>
        </row>
        <row r="894">
          <cell r="W894" t="str">
            <v>F.</v>
          </cell>
          <cell r="X894" t="str">
            <v xml:space="preserve">  Harga Satuan ( D + E )</v>
          </cell>
          <cell r="AD894">
            <v>610226.46</v>
          </cell>
        </row>
        <row r="895">
          <cell r="W895" t="str">
            <v>G.</v>
          </cell>
          <cell r="X895" t="str">
            <v xml:space="preserve">  DIBULATKAN</v>
          </cell>
          <cell r="AD895">
            <v>610226</v>
          </cell>
        </row>
        <row r="897">
          <cell r="W897" t="str">
            <v>Catatan :</v>
          </cell>
        </row>
        <row r="898">
          <cell r="W898" t="str">
            <v>-</v>
          </cell>
        </row>
        <row r="900">
          <cell r="W900" t="str">
            <v>-</v>
          </cell>
        </row>
        <row r="902">
          <cell r="W902" t="str">
            <v>-</v>
          </cell>
        </row>
        <row r="903">
          <cell r="W903" t="str">
            <v>-</v>
          </cell>
        </row>
        <row r="905">
          <cell r="W905" t="str">
            <v>-</v>
          </cell>
        </row>
        <row r="907">
          <cell r="W907" t="str">
            <v>-</v>
          </cell>
        </row>
        <row r="910">
          <cell r="W910" t="str">
            <v>-</v>
          </cell>
        </row>
        <row r="914">
          <cell r="AC914" t="str">
            <v>ACEH BESAR,   22  AGUSTUS  2000</v>
          </cell>
        </row>
        <row r="915">
          <cell r="AC915" t="str">
            <v>CV. MANDIRI KARYA UTAMA</v>
          </cell>
        </row>
        <row r="937">
          <cell r="W937" t="str">
            <v>ANALISA HARGA SATUAN MATA PEMBAYARAN UTAMA</v>
          </cell>
        </row>
        <row r="939">
          <cell r="W939" t="str">
            <v>NAMA PENAWAR</v>
          </cell>
          <cell r="Y939" t="str">
            <v>:</v>
          </cell>
          <cell r="Z939" t="str">
            <v>CV. MANDIRI KARYA UTAMA</v>
          </cell>
        </row>
        <row r="940">
          <cell r="W940" t="str">
            <v>PROYEK</v>
          </cell>
          <cell r="Y940" t="str">
            <v>:</v>
          </cell>
          <cell r="Z940" t="str">
            <v>PENINGKATAN JALAN DAN PENGGANTIAN JEMBATAN DPU CAB. VI ACEH BARAT</v>
          </cell>
        </row>
        <row r="941">
          <cell r="W941" t="str">
            <v>NO. MATA PEMBAYARAN</v>
          </cell>
          <cell r="Y941" t="str">
            <v>:</v>
          </cell>
          <cell r="Z941" t="str">
            <v>6.3 (4)</v>
          </cell>
        </row>
        <row r="942">
          <cell r="W942" t="str">
            <v>JENIS PEKERJAAN</v>
          </cell>
          <cell r="Y942" t="str">
            <v>:</v>
          </cell>
          <cell r="Z942" t="str">
            <v>Lapis Permukaan : AC</v>
          </cell>
        </row>
        <row r="943">
          <cell r="W943" t="str">
            <v>SATUAN PEKERJAAN</v>
          </cell>
          <cell r="Y943" t="str">
            <v>:</v>
          </cell>
          <cell r="Z943" t="str">
            <v>m2</v>
          </cell>
        </row>
        <row r="944">
          <cell r="W944" t="str">
            <v>PRODUKSI HARIAN/JAM</v>
          </cell>
          <cell r="Y944" t="str">
            <v>:</v>
          </cell>
        </row>
        <row r="946">
          <cell r="W946" t="str">
            <v>NO.</v>
          </cell>
          <cell r="X946" t="str">
            <v>U  R  A  I  A  N</v>
          </cell>
          <cell r="AA946" t="str">
            <v>SATUAN</v>
          </cell>
          <cell r="AB946" t="str">
            <v>KUANTITAS</v>
          </cell>
          <cell r="AC946" t="str">
            <v>HARGA SATUAN</v>
          </cell>
          <cell r="AD946" t="str">
            <v>JUMLAH HARGA</v>
          </cell>
        </row>
        <row r="947">
          <cell r="AC947" t="str">
            <v>(Rp.)</v>
          </cell>
          <cell r="AD947" t="str">
            <v>(Rp.)</v>
          </cell>
        </row>
        <row r="949">
          <cell r="W949" t="str">
            <v xml:space="preserve">A. </v>
          </cell>
          <cell r="X949" t="str">
            <v xml:space="preserve">  TENAGA KERJA</v>
          </cell>
        </row>
        <row r="950">
          <cell r="W950" t="str">
            <v>1.</v>
          </cell>
          <cell r="X950" t="str">
            <v xml:space="preserve">  Pekerja</v>
          </cell>
          <cell r="AA950" t="str">
            <v>Jam</v>
          </cell>
          <cell r="AB950">
            <v>3.8300000000000001E-2</v>
          </cell>
          <cell r="AC950">
            <v>1700</v>
          </cell>
          <cell r="AD950">
            <v>65.11</v>
          </cell>
        </row>
        <row r="951">
          <cell r="W951" t="str">
            <v>2.</v>
          </cell>
          <cell r="X951" t="str">
            <v xml:space="preserve">  Mandor</v>
          </cell>
          <cell r="AA951" t="str">
            <v>Jam</v>
          </cell>
          <cell r="AB951">
            <v>3.8E-3</v>
          </cell>
          <cell r="AC951">
            <v>1900</v>
          </cell>
          <cell r="AD951">
            <v>7.22</v>
          </cell>
        </row>
        <row r="953">
          <cell r="X953" t="str">
            <v/>
          </cell>
        </row>
        <row r="955">
          <cell r="W955" t="str">
            <v>B.</v>
          </cell>
          <cell r="X955" t="str">
            <v xml:space="preserve">  B A H A N</v>
          </cell>
        </row>
        <row r="956">
          <cell r="W956" t="str">
            <v>1.</v>
          </cell>
          <cell r="X956" t="str">
            <v xml:space="preserve">  Agregat Kasar</v>
          </cell>
          <cell r="AA956" t="str">
            <v>m3</v>
          </cell>
          <cell r="AB956">
            <v>3.3600000000000005E-2</v>
          </cell>
          <cell r="AC956">
            <v>50000</v>
          </cell>
          <cell r="AD956">
            <v>1680</v>
          </cell>
        </row>
        <row r="957">
          <cell r="W957" t="str">
            <v>2.</v>
          </cell>
          <cell r="X957" t="str">
            <v xml:space="preserve">  Agregat Halus</v>
          </cell>
          <cell r="AA957" t="str">
            <v>m3</v>
          </cell>
          <cell r="AB957">
            <v>1.49E-2</v>
          </cell>
          <cell r="AC957">
            <v>36000</v>
          </cell>
          <cell r="AD957">
            <v>536.4</v>
          </cell>
        </row>
        <row r="958">
          <cell r="W958" t="str">
            <v>3.</v>
          </cell>
          <cell r="X958" t="str">
            <v xml:space="preserve">  Filler</v>
          </cell>
          <cell r="AA958" t="str">
            <v>kg</v>
          </cell>
          <cell r="AB958">
            <v>4.8014999999999999</v>
          </cell>
          <cell r="AC958">
            <v>350</v>
          </cell>
          <cell r="AD958">
            <v>1680.53</v>
          </cell>
        </row>
        <row r="959">
          <cell r="W959" t="str">
            <v>4.</v>
          </cell>
          <cell r="X959" t="str">
            <v xml:space="preserve">  Aspal</v>
          </cell>
          <cell r="AA959" t="str">
            <v>kg</v>
          </cell>
          <cell r="AB959">
            <v>6.6150000000000002</v>
          </cell>
          <cell r="AC959">
            <v>2375</v>
          </cell>
          <cell r="AD959">
            <v>15710.63</v>
          </cell>
        </row>
        <row r="962">
          <cell r="W962" t="str">
            <v>C.</v>
          </cell>
          <cell r="X962" t="str">
            <v xml:space="preserve">  PERALATAN</v>
          </cell>
        </row>
        <row r="963">
          <cell r="W963" t="str">
            <v>1.</v>
          </cell>
          <cell r="X963" t="str">
            <v xml:space="preserve">  Wheel Loader</v>
          </cell>
          <cell r="AA963" t="str">
            <v>Jam</v>
          </cell>
          <cell r="AB963">
            <v>1E-3</v>
          </cell>
          <cell r="AC963">
            <v>61961.891192153329</v>
          </cell>
          <cell r="AD963">
            <v>61.96</v>
          </cell>
        </row>
        <row r="964">
          <cell r="W964" t="str">
            <v>2.</v>
          </cell>
          <cell r="X964" t="str">
            <v xml:space="preserve">  Asphalt Mixing Plant</v>
          </cell>
          <cell r="AA964" t="str">
            <v>Jam</v>
          </cell>
          <cell r="AB964">
            <v>1.5E-3</v>
          </cell>
          <cell r="AC964">
            <v>511690.04100000003</v>
          </cell>
          <cell r="AD964">
            <v>767.54</v>
          </cell>
        </row>
        <row r="965">
          <cell r="W965" t="str">
            <v>3.</v>
          </cell>
          <cell r="X965" t="str">
            <v xml:space="preserve">  Genset</v>
          </cell>
          <cell r="AA965" t="str">
            <v>Jam</v>
          </cell>
          <cell r="AB965">
            <v>1E-3</v>
          </cell>
          <cell r="AC965">
            <v>63202.772222222222</v>
          </cell>
          <cell r="AD965">
            <v>63.2</v>
          </cell>
        </row>
        <row r="966">
          <cell r="W966" t="str">
            <v>4.</v>
          </cell>
          <cell r="X966" t="str">
            <v xml:space="preserve">  Dump Truck</v>
          </cell>
          <cell r="AA966" t="str">
            <v>Jam</v>
          </cell>
          <cell r="AB966">
            <v>1.2200000000000001E-2</v>
          </cell>
          <cell r="AC966">
            <v>41722.179083333336</v>
          </cell>
          <cell r="AD966">
            <v>509.01</v>
          </cell>
        </row>
        <row r="967">
          <cell r="W967" t="str">
            <v>5.</v>
          </cell>
          <cell r="X967" t="str">
            <v xml:space="preserve">  Asphalt Finisher</v>
          </cell>
          <cell r="AA967" t="str">
            <v>Jam</v>
          </cell>
          <cell r="AB967">
            <v>2.4000000000000002E-3</v>
          </cell>
          <cell r="AC967">
            <v>62576.209076850006</v>
          </cell>
          <cell r="AD967">
            <v>150.18</v>
          </cell>
        </row>
        <row r="968">
          <cell r="W968" t="str">
            <v>6.</v>
          </cell>
          <cell r="X968" t="str">
            <v xml:space="preserve">  Tandem Roller</v>
          </cell>
          <cell r="AA968" t="str">
            <v>Jam</v>
          </cell>
          <cell r="AB968">
            <v>1E-3</v>
          </cell>
          <cell r="AC968">
            <v>24118.531999999999</v>
          </cell>
          <cell r="AD968">
            <v>24.12</v>
          </cell>
        </row>
        <row r="969">
          <cell r="W969" t="str">
            <v>7.</v>
          </cell>
          <cell r="X969" t="str">
            <v xml:space="preserve">  Pneumatic Tyred Roller</v>
          </cell>
          <cell r="AA969" t="str">
            <v>Jam</v>
          </cell>
          <cell r="AB969">
            <v>1E-3</v>
          </cell>
          <cell r="AC969">
            <v>33940.980355555555</v>
          </cell>
          <cell r="AD969">
            <v>33.94</v>
          </cell>
        </row>
        <row r="970">
          <cell r="W970" t="str">
            <v>8.</v>
          </cell>
          <cell r="X970" t="str">
            <v xml:space="preserve">  Alat Bantu</v>
          </cell>
          <cell r="AA970" t="str">
            <v>Jam</v>
          </cell>
          <cell r="AB970">
            <v>1</v>
          </cell>
          <cell r="AC970">
            <v>100</v>
          </cell>
          <cell r="AD970">
            <v>100</v>
          </cell>
        </row>
        <row r="972">
          <cell r="W972" t="str">
            <v>D.</v>
          </cell>
          <cell r="X972" t="str">
            <v xml:space="preserve">  Jumlah ( A + B + C )</v>
          </cell>
          <cell r="AD972">
            <v>21389.839999999997</v>
          </cell>
        </row>
        <row r="973">
          <cell r="W973" t="str">
            <v>E.</v>
          </cell>
          <cell r="X973" t="str">
            <v xml:space="preserve">  Biaya Umum dan Keuntungan = ( 10 % x D )</v>
          </cell>
          <cell r="AD973">
            <v>2138.98</v>
          </cell>
        </row>
        <row r="974">
          <cell r="W974" t="str">
            <v>F.</v>
          </cell>
          <cell r="X974" t="str">
            <v xml:space="preserve">  Harga Satuan ( D + E )</v>
          </cell>
          <cell r="AD974">
            <v>23528.819999999996</v>
          </cell>
        </row>
        <row r="975">
          <cell r="W975" t="str">
            <v>G.</v>
          </cell>
          <cell r="X975" t="str">
            <v xml:space="preserve">  D i b u l a t k a n</v>
          </cell>
          <cell r="AD975">
            <v>23529</v>
          </cell>
        </row>
        <row r="977">
          <cell r="W977" t="str">
            <v>Catatan :</v>
          </cell>
        </row>
        <row r="978">
          <cell r="W978" t="str">
            <v>-</v>
          </cell>
          <cell r="X978" t="str">
            <v>|Satuan dapat berdasarkan atas jam operasi untuk tenaga kerja dan peralatan, volume dan / atau</v>
          </cell>
        </row>
        <row r="979">
          <cell r="X979" t="str">
            <v>|ukuran berat untuk bahan-bahan.</v>
          </cell>
        </row>
        <row r="980">
          <cell r="W980" t="str">
            <v>-</v>
          </cell>
          <cell r="X980" t="str">
            <v>|Kuantitas satuan adalah kuantitas setiap komponen untuk menyelesaikan atau satuan pekerjaan</v>
          </cell>
        </row>
        <row r="981">
          <cell r="X981" t="str">
            <v>|dari nomor mata pembayaran.</v>
          </cell>
        </row>
        <row r="982">
          <cell r="W982" t="str">
            <v>-</v>
          </cell>
          <cell r="X982" t="str">
            <v>|Biaya Satuan sudah termasuk pengeluaran untuk seluruh pajak yang berkaitan (tetapi tidak termasuk</v>
          </cell>
        </row>
        <row r="983">
          <cell r="X983" t="str">
            <v>|PPN yang dibayarkan dari Kontrak) dan biaya-biaya lainnya.</v>
          </cell>
        </row>
        <row r="984">
          <cell r="W984" t="str">
            <v>-</v>
          </cell>
          <cell r="X984" t="str">
            <v>|Harga Satuan yang diajukan Peserta Lelang harus mencakup seluruh tambahan tenaga kerja,</v>
          </cell>
        </row>
        <row r="985">
          <cell r="X985" t="str">
            <v>|bahan, peralatan atau kerugian yang mungkin diperlukan untuk menyelesaikan pekerjaan sesuai</v>
          </cell>
        </row>
        <row r="986">
          <cell r="X986" t="str">
            <v>|dengan Spesifikasi dan Gambar.</v>
          </cell>
        </row>
        <row r="987">
          <cell r="W987" t="str">
            <v>-</v>
          </cell>
          <cell r="X987" t="str">
            <v>|Koefisien bahan tidak boleh diubah.</v>
          </cell>
        </row>
        <row r="988">
          <cell r="W988" t="str">
            <v>-</v>
          </cell>
          <cell r="X988" t="str">
            <v>|Jenis tenaga kerja dan peralatan dapat disesuaikan dengan Metode Pelaksanaan yang digunakan.</v>
          </cell>
        </row>
        <row r="991">
          <cell r="AC991">
            <v>0</v>
          </cell>
        </row>
        <row r="992">
          <cell r="AC992">
            <v>0</v>
          </cell>
        </row>
        <row r="1103">
          <cell r="X1103" t="str">
            <v xml:space="preserve">  Motor Grader</v>
          </cell>
          <cell r="AA1103" t="str">
            <v>Jam</v>
          </cell>
          <cell r="AB1103">
            <v>42</v>
          </cell>
          <cell r="AC1103">
            <v>70925.908490275557</v>
          </cell>
          <cell r="AD1103">
            <v>2978888.16</v>
          </cell>
        </row>
        <row r="1104">
          <cell r="X1104" t="str">
            <v xml:space="preserve">  Dump Truck</v>
          </cell>
          <cell r="AA1104" t="str">
            <v>Jam</v>
          </cell>
          <cell r="AB1104">
            <v>21</v>
          </cell>
          <cell r="AC1104">
            <v>41722.179083333336</v>
          </cell>
          <cell r="AD1104">
            <v>876165.76</v>
          </cell>
        </row>
        <row r="1107">
          <cell r="W1107" t="str">
            <v>A.</v>
          </cell>
          <cell r="X1107" t="str">
            <v xml:space="preserve">  JUMLAH ( I + II + III )</v>
          </cell>
          <cell r="AD1107">
            <v>8185053.9199999999</v>
          </cell>
        </row>
        <row r="1108">
          <cell r="W1108" t="str">
            <v>B.</v>
          </cell>
          <cell r="X1108" t="str">
            <v xml:space="preserve">  BIAYA UMUM DAN KEUNTUNGAN = ( 10 % x A )</v>
          </cell>
          <cell r="AD1108">
            <v>818505.39199999999</v>
          </cell>
        </row>
        <row r="1109">
          <cell r="W1109" t="str">
            <v>C.</v>
          </cell>
          <cell r="X1109" t="str">
            <v xml:space="preserve">  HARGA LUMPSUM TOTAL = ( A + B )</v>
          </cell>
          <cell r="AD1109">
            <v>9003559.311999999</v>
          </cell>
        </row>
        <row r="1110">
          <cell r="W1110" t="str">
            <v>D.</v>
          </cell>
          <cell r="X1110" t="str">
            <v xml:space="preserve">  HARGA LUMPSUM/BULAN UNTUK 3 BULAN PERTAMA = C / 8</v>
          </cell>
          <cell r="AD1110">
            <v>1125444.9139999999</v>
          </cell>
        </row>
        <row r="1111">
          <cell r="W1111" t="str">
            <v>E.</v>
          </cell>
          <cell r="X1111" t="str">
            <v xml:space="preserve">  HARGA LUMPSUM/BULAN UNTUK SISANYA SELAMA MASA PELAKSANAAN</v>
          </cell>
          <cell r="AD1111">
            <v>5627224.5699999994</v>
          </cell>
        </row>
        <row r="1112">
          <cell r="X1112" t="str">
            <v xml:space="preserve">  = 5/8 x C/( MASA PELAKSANAAN - 3 )</v>
          </cell>
        </row>
        <row r="1114">
          <cell r="W1114" t="str">
            <v>Catatan :</v>
          </cell>
        </row>
        <row r="1115">
          <cell r="W1115" t="str">
            <v>-</v>
          </cell>
          <cell r="X1115" t="str">
            <v>|Kuantitas-kuantitas yang dicantumkan harus diperkirakan oleh Peserta lelang.</v>
          </cell>
        </row>
        <row r="1116">
          <cell r="W1116" t="str">
            <v>-</v>
          </cell>
          <cell r="X1116" t="str">
            <v>|Harga Lump Sum yang diajukan Peserta lelang harus mencakup seluruh pajak yang berkaitan (tetapi tidak</v>
          </cell>
        </row>
        <row r="1117">
          <cell r="X1117" t="str">
            <v>|termasuk PPN yang dibayarkan dari Kontrak), bahan-bahan tambahan, tenaga kerja atau peralatan</v>
          </cell>
        </row>
        <row r="1118">
          <cell r="X1118" t="str">
            <v>|yang mungkin diperlukan.</v>
          </cell>
        </row>
        <row r="1119">
          <cell r="W1119" t="str">
            <v>-</v>
          </cell>
          <cell r="X1119" t="str">
            <v>|Mata Pekerjaan dan Kuantitas yang ditunjukkan dalam Analisa Harga di atas adalah perkiraan Peserta lelang</v>
          </cell>
        </row>
        <row r="1120">
          <cell r="X1120" t="str">
            <v>|semata-mata untuk menjadi dasar penetapan Mata Pembayaran Pekerjaan Pemeliharaan Rutin ini dan</v>
          </cell>
        </row>
        <row r="1121">
          <cell r="X1121" t="str">
            <v>|tidak perlu menggambarkan kebutuhan pekerjaan yang sesungguhnya. Pembayaran kepada Kontraktor</v>
          </cell>
        </row>
        <row r="1122">
          <cell r="X1122" t="str">
            <v>|berdasarkan kewajibannya untuk memelihara kondisi jalan agar tetap memuaskan sepanjang waktu</v>
          </cell>
        </row>
        <row r="1123">
          <cell r="X1123" t="str">
            <v>|sebagaimana ditentukan dalam Spesifikasi dan tidak perlu dikaitkan dengan kuantitas yang ditunjukkan</v>
          </cell>
        </row>
        <row r="1124">
          <cell r="X1124" t="str">
            <v>|dalam Analisa Harganya.</v>
          </cell>
        </row>
        <row r="1125">
          <cell r="W1125" t="str">
            <v>-</v>
          </cell>
          <cell r="X1125" t="str">
            <v>|Meskipun Analisa Harga di atas ditentukan untuk Masa Pelaksanaan, Kontraktor juga bertanggung jawab</v>
          </cell>
        </row>
        <row r="1126">
          <cell r="X1126" t="str">
            <v>|untuk Pekerjaan Pemeliharaan Rutin selama Masa Pemeliharaan sesuai dengan Spesifikasi. Namun</v>
          </cell>
        </row>
        <row r="1127">
          <cell r="X1127" t="str">
            <v>|demikian, tidak ada pembayaran terpisah untuk Pekerjaan Pemeliharaan Rutin selama Masa Pemeliharaan</v>
          </cell>
        </row>
        <row r="1128">
          <cell r="X1128" t="str">
            <v>|tersebut, sedangkan biaya yang dikeluarkan untuk Pekerjaan itu dianggap sudah termasuk dalam</v>
          </cell>
        </row>
        <row r="1129">
          <cell r="X1129" t="str">
            <v>|Harga-harga Satuan yang berkaitan.</v>
          </cell>
        </row>
        <row r="1136">
          <cell r="AC1136">
            <v>0</v>
          </cell>
        </row>
        <row r="1137">
          <cell r="AC1137">
            <v>0</v>
          </cell>
        </row>
        <row r="1143">
          <cell r="AC1143">
            <v>0</v>
          </cell>
        </row>
        <row r="1144">
          <cell r="AC1144">
            <v>0</v>
          </cell>
        </row>
        <row r="1150">
          <cell r="W1150" t="str">
            <v>LAMPIRAN  2(b)-4  PENAWARAN</v>
          </cell>
        </row>
        <row r="1151">
          <cell r="W1151" t="str">
            <v>( Lampiran ini dipergunakan semata-mata untuk Evaluasi Penawaran )</v>
          </cell>
        </row>
        <row r="1153">
          <cell r="W1153" t="str">
            <v>ANALISA HARGA LUMP SUM</v>
          </cell>
        </row>
        <row r="1154">
          <cell r="W1154" t="str">
            <v>UNTUK PEKERJAAN PEMELIHARAAN RUTIN</v>
          </cell>
        </row>
        <row r="1157">
          <cell r="W1157" t="str">
            <v>NAMA PENAWAR</v>
          </cell>
          <cell r="Z1157" t="str">
            <v>CV. MANDIRI KARYA UTAMA</v>
          </cell>
        </row>
        <row r="1158">
          <cell r="W1158" t="str">
            <v>PROYEK</v>
          </cell>
          <cell r="Z1158" t="str">
            <v>: 10.1(4)</v>
          </cell>
        </row>
        <row r="1159">
          <cell r="W1159" t="str">
            <v>NO. MATA PEMBAYARAN</v>
          </cell>
          <cell r="Z1159" t="str">
            <v>: Pemeliharaan Rutin terhadap Perlengkapan Jalan</v>
          </cell>
        </row>
        <row r="1160">
          <cell r="W1160" t="str">
            <v>JENIS PEKERJAAN</v>
          </cell>
          <cell r="Z1160" t="str">
            <v>: Lump Sum/Bulan</v>
          </cell>
        </row>
        <row r="1162">
          <cell r="AC1162" t="str">
            <v>BIAYA</v>
          </cell>
          <cell r="AD1162" t="str">
            <v>JUMLAH</v>
          </cell>
        </row>
        <row r="1163">
          <cell r="W1163" t="str">
            <v>NO</v>
          </cell>
          <cell r="X1163" t="str">
            <v>U R A I A N</v>
          </cell>
          <cell r="AA1163" t="str">
            <v>SATUAN</v>
          </cell>
          <cell r="AB1163" t="str">
            <v>KUANTITAS</v>
          </cell>
          <cell r="AC1163" t="str">
            <v>SATUAN</v>
          </cell>
          <cell r="AD1163" t="str">
            <v>HARGA</v>
          </cell>
        </row>
        <row r="1164">
          <cell r="AC1164" t="str">
            <v>(Rp.)</v>
          </cell>
          <cell r="AD1164" t="str">
            <v>(Rp.)</v>
          </cell>
        </row>
        <row r="1166">
          <cell r="W1166" t="str">
            <v>I.</v>
          </cell>
          <cell r="X1166" t="str">
            <v xml:space="preserve">  Bahan-bahan :</v>
          </cell>
        </row>
        <row r="1167">
          <cell r="X1167" t="str">
            <v xml:space="preserve">  Umum</v>
          </cell>
          <cell r="AA1167" t="str">
            <v>Ls</v>
          </cell>
          <cell r="AB1167">
            <v>1</v>
          </cell>
          <cell r="AC1167">
            <v>1000000</v>
          </cell>
          <cell r="AD1167">
            <v>1000000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l R.Adm Perubahan"/>
      <sheetName val="Volume 3 rkb Perubahan"/>
      <sheetName val="bahann"/>
      <sheetName val="RAB REVISI2"/>
      <sheetName val="rekap sni 2011"/>
      <sheetName val="RAB PERUBAHAN"/>
      <sheetName val="REKAP PERUBAHAN"/>
      <sheetName val="Vol R.Adm"/>
      <sheetName val="Volume 3 rkb"/>
      <sheetName val="REKAP"/>
      <sheetName val="BAHAN"/>
      <sheetName val="UPAH"/>
      <sheetName val="RAB"/>
      <sheetName val="ANALISA"/>
      <sheetName val="QU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4">
          <cell r="L14">
            <v>190767</v>
          </cell>
        </row>
        <row r="16">
          <cell r="L16">
            <v>251267</v>
          </cell>
        </row>
        <row r="25">
          <cell r="L25">
            <v>484</v>
          </cell>
        </row>
        <row r="27">
          <cell r="L27">
            <v>16516</v>
          </cell>
        </row>
        <row r="28">
          <cell r="L28">
            <v>20916</v>
          </cell>
        </row>
        <row r="31">
          <cell r="L31">
            <v>13694043</v>
          </cell>
        </row>
        <row r="32">
          <cell r="L32">
            <v>9016293</v>
          </cell>
        </row>
        <row r="33">
          <cell r="L33">
            <v>6714543</v>
          </cell>
        </row>
        <row r="40">
          <cell r="L40">
            <v>46000</v>
          </cell>
        </row>
        <row r="41">
          <cell r="L41">
            <v>24200</v>
          </cell>
        </row>
        <row r="42">
          <cell r="L42">
            <v>71500</v>
          </cell>
        </row>
        <row r="43">
          <cell r="L43">
            <v>38500</v>
          </cell>
        </row>
        <row r="44">
          <cell r="L44">
            <v>330</v>
          </cell>
        </row>
        <row r="50">
          <cell r="L50">
            <v>60500</v>
          </cell>
        </row>
        <row r="82">
          <cell r="L82">
            <v>88000</v>
          </cell>
        </row>
      </sheetData>
      <sheetData sheetId="11">
        <row r="15">
          <cell r="K15">
            <v>77000</v>
          </cell>
        </row>
        <row r="21">
          <cell r="K21">
            <v>66000</v>
          </cell>
        </row>
        <row r="23">
          <cell r="K23">
            <v>55000</v>
          </cell>
        </row>
      </sheetData>
      <sheetData sheetId="12"/>
      <sheetData sheetId="13"/>
      <sheetData sheetId="1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_boq"/>
      <sheetName val="penawaran"/>
      <sheetName val="Peralatan"/>
      <sheetName val="a-bahan"/>
      <sheetName val="a-bat"/>
      <sheetName val="a-hrg"/>
      <sheetName val="1-boq"/>
      <sheetName val="TS"/>
      <sheetName val="F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_boq"/>
      <sheetName val="penawaran"/>
      <sheetName val="Peralatan"/>
      <sheetName val="a-bahan"/>
      <sheetName val="a-bat"/>
      <sheetName val="a-hrg"/>
      <sheetName val="1-boq"/>
      <sheetName val="TS"/>
      <sheetName val="F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MAJOR"/>
      <sheetName val="%"/>
      <sheetName val="Rekap"/>
      <sheetName val="Informasi"/>
      <sheetName val="Peta Quarry"/>
      <sheetName val="Mobilisasi"/>
      <sheetName val="Perhitungan Mobilisasi Alat"/>
      <sheetName val="Lalu Lintas"/>
      <sheetName val="Jembatan Sementara"/>
      <sheetName val="BOQ"/>
      <sheetName val="D2"/>
      <sheetName val="D3"/>
      <sheetName val="D4"/>
      <sheetName val="D5"/>
      <sheetName val="D6"/>
      <sheetName val="D6 ASBT"/>
      <sheetName val="D7(1)"/>
      <sheetName val="D7(2)"/>
      <sheetName val="D7(3)"/>
      <sheetName val="D8(1)"/>
      <sheetName val="D8(2)"/>
      <sheetName val="D9"/>
      <sheetName val="D10 LS-Rutin"/>
      <sheetName val="D10 Kuantitas"/>
      <sheetName val="D10 Analisa HSP"/>
      <sheetName val="4-Basic Price"/>
      <sheetName val="4-Analisa Quarry"/>
      <sheetName val="4-formulir harga bahan"/>
      <sheetName val="5-ALAT(1)"/>
      <sheetName val="5-ALAT (2)"/>
      <sheetName val="Agg Halus &amp; Kasar"/>
      <sheetName val="Agg A"/>
      <sheetName val="Agg B"/>
      <sheetName val="Agg 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BPS"/>
      <sheetName val="WT"/>
      <sheetName val="MFC"/>
      <sheetName val="ADJ VOL"/>
      <sheetName val="1st"/>
      <sheetName val="2nd"/>
      <sheetName val="3rd"/>
      <sheetName val="4th"/>
      <sheetName val="5th"/>
      <sheetName val="6th"/>
      <sheetName val="SUM1"/>
      <sheetName val="SUM2"/>
      <sheetName val="SUM4"/>
      <sheetName val="SUM3"/>
      <sheetName val="SUM5"/>
      <sheetName val="SUM6"/>
      <sheetName val="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4">
          <cell r="B14" t="str">
            <v>A</v>
          </cell>
        </row>
        <row r="15">
          <cell r="B15" t="str">
            <v>A</v>
          </cell>
        </row>
        <row r="16">
          <cell r="B16" t="str">
            <v>A</v>
          </cell>
        </row>
        <row r="17">
          <cell r="B17" t="str">
            <v>A</v>
          </cell>
        </row>
        <row r="19">
          <cell r="B19" t="str">
            <v>A</v>
          </cell>
        </row>
        <row r="20">
          <cell r="B20" t="str">
            <v>A</v>
          </cell>
        </row>
        <row r="21">
          <cell r="B21" t="str">
            <v>A</v>
          </cell>
        </row>
        <row r="25">
          <cell r="B25" t="str">
            <v>B</v>
          </cell>
          <cell r="AU25">
            <v>0</v>
          </cell>
        </row>
        <row r="27">
          <cell r="B27" t="str">
            <v>B</v>
          </cell>
          <cell r="AU27">
            <v>0</v>
          </cell>
        </row>
        <row r="28">
          <cell r="B28" t="str">
            <v>B</v>
          </cell>
          <cell r="AU28">
            <v>0</v>
          </cell>
        </row>
        <row r="29">
          <cell r="B29" t="str">
            <v>B</v>
          </cell>
        </row>
        <row r="30">
          <cell r="B30" t="str">
            <v>B</v>
          </cell>
          <cell r="AU30">
            <v>0</v>
          </cell>
        </row>
        <row r="31">
          <cell r="B31" t="str">
            <v>B</v>
          </cell>
        </row>
        <row r="32">
          <cell r="B32" t="str">
            <v>B</v>
          </cell>
          <cell r="AU32">
            <v>0</v>
          </cell>
        </row>
        <row r="33">
          <cell r="B33" t="str">
            <v>B</v>
          </cell>
          <cell r="AU33">
            <v>0</v>
          </cell>
        </row>
        <row r="34">
          <cell r="B34" t="str">
            <v>B</v>
          </cell>
        </row>
        <row r="35">
          <cell r="B35" t="str">
            <v>B</v>
          </cell>
        </row>
        <row r="36">
          <cell r="B36" t="str">
            <v>B</v>
          </cell>
          <cell r="AU36">
            <v>0</v>
          </cell>
        </row>
        <row r="37">
          <cell r="B37" t="str">
            <v>B</v>
          </cell>
        </row>
        <row r="38">
          <cell r="B38" t="str">
            <v>B</v>
          </cell>
        </row>
        <row r="39">
          <cell r="B39" t="str">
            <v>B</v>
          </cell>
        </row>
        <row r="40">
          <cell r="B40" t="str">
            <v>B</v>
          </cell>
        </row>
        <row r="42">
          <cell r="B42" t="str">
            <v>B</v>
          </cell>
          <cell r="AU42">
            <v>0</v>
          </cell>
        </row>
        <row r="43">
          <cell r="B43" t="str">
            <v>B</v>
          </cell>
        </row>
        <row r="44">
          <cell r="B44" t="str">
            <v>B</v>
          </cell>
          <cell r="AU44">
            <v>0</v>
          </cell>
        </row>
        <row r="46">
          <cell r="B46" t="str">
            <v>B</v>
          </cell>
          <cell r="AU46">
            <v>0</v>
          </cell>
        </row>
        <row r="47">
          <cell r="B47" t="str">
            <v>B</v>
          </cell>
          <cell r="AU47">
            <v>0</v>
          </cell>
        </row>
        <row r="48">
          <cell r="B48" t="str">
            <v>B</v>
          </cell>
        </row>
        <row r="52">
          <cell r="B52" t="str">
            <v>B</v>
          </cell>
          <cell r="AU52">
            <v>0</v>
          </cell>
        </row>
        <row r="56">
          <cell r="B56" t="str">
            <v>C</v>
          </cell>
          <cell r="AU56">
            <v>0</v>
          </cell>
        </row>
        <row r="58">
          <cell r="B58" t="str">
            <v>C</v>
          </cell>
          <cell r="AU58">
            <v>0</v>
          </cell>
        </row>
        <row r="60">
          <cell r="B60" t="str">
            <v>C</v>
          </cell>
          <cell r="AU60">
            <v>0</v>
          </cell>
        </row>
        <row r="61">
          <cell r="B61" t="str">
            <v>C</v>
          </cell>
          <cell r="AU61">
            <v>0</v>
          </cell>
        </row>
        <row r="62">
          <cell r="B62" t="str">
            <v>C</v>
          </cell>
          <cell r="AU62">
            <v>0</v>
          </cell>
        </row>
        <row r="63">
          <cell r="B63" t="str">
            <v>C</v>
          </cell>
          <cell r="AU63">
            <v>0</v>
          </cell>
        </row>
        <row r="64">
          <cell r="B64" t="str">
            <v>C</v>
          </cell>
          <cell r="AU64">
            <v>0</v>
          </cell>
        </row>
        <row r="65">
          <cell r="B65" t="str">
            <v>C</v>
          </cell>
          <cell r="AU65">
            <v>0</v>
          </cell>
        </row>
        <row r="66">
          <cell r="B66" t="str">
            <v>C</v>
          </cell>
          <cell r="AU66">
            <v>0</v>
          </cell>
        </row>
        <row r="67">
          <cell r="B67" t="str">
            <v>C</v>
          </cell>
          <cell r="AU67">
            <v>0</v>
          </cell>
        </row>
        <row r="68">
          <cell r="B68" t="str">
            <v>C</v>
          </cell>
          <cell r="AU68">
            <v>0</v>
          </cell>
        </row>
        <row r="69">
          <cell r="B69" t="str">
            <v>C</v>
          </cell>
          <cell r="AU69">
            <v>0</v>
          </cell>
        </row>
        <row r="70">
          <cell r="B70" t="str">
            <v>C</v>
          </cell>
          <cell r="AU70">
            <v>0</v>
          </cell>
        </row>
        <row r="71">
          <cell r="B71" t="str">
            <v>C</v>
          </cell>
        </row>
        <row r="72">
          <cell r="B72" t="str">
            <v>C</v>
          </cell>
          <cell r="AU72">
            <v>0</v>
          </cell>
        </row>
        <row r="74">
          <cell r="B74" t="str">
            <v>C</v>
          </cell>
          <cell r="AU74">
            <v>0</v>
          </cell>
        </row>
        <row r="75">
          <cell r="B75" t="str">
            <v>C</v>
          </cell>
          <cell r="AU75">
            <v>0</v>
          </cell>
        </row>
        <row r="76">
          <cell r="B76" t="str">
            <v>C</v>
          </cell>
        </row>
        <row r="78">
          <cell r="B78" t="str">
            <v>C</v>
          </cell>
          <cell r="AU78">
            <v>0</v>
          </cell>
        </row>
        <row r="79">
          <cell r="B79" t="str">
            <v>C</v>
          </cell>
          <cell r="AU79">
            <v>0</v>
          </cell>
        </row>
        <row r="80">
          <cell r="B80" t="str">
            <v>C</v>
          </cell>
        </row>
        <row r="81">
          <cell r="B81" t="str">
            <v>C</v>
          </cell>
          <cell r="AU81">
            <v>0</v>
          </cell>
        </row>
        <row r="82">
          <cell r="B82" t="str">
            <v>C</v>
          </cell>
          <cell r="AU82">
            <v>0</v>
          </cell>
        </row>
        <row r="83">
          <cell r="B83" t="str">
            <v>C</v>
          </cell>
          <cell r="AU83">
            <v>0</v>
          </cell>
        </row>
        <row r="89">
          <cell r="B89" t="str">
            <v>D</v>
          </cell>
          <cell r="AU89">
            <v>0</v>
          </cell>
        </row>
        <row r="90">
          <cell r="B90" t="str">
            <v>D</v>
          </cell>
          <cell r="AU90">
            <v>0</v>
          </cell>
        </row>
        <row r="92">
          <cell r="B92" t="str">
            <v>D</v>
          </cell>
          <cell r="AU92">
            <v>0</v>
          </cell>
        </row>
        <row r="93">
          <cell r="B93" t="str">
            <v>D</v>
          </cell>
          <cell r="AU93">
            <v>0</v>
          </cell>
        </row>
        <row r="94">
          <cell r="B94" t="str">
            <v>D</v>
          </cell>
          <cell r="AU94">
            <v>0</v>
          </cell>
        </row>
        <row r="95">
          <cell r="B95" t="str">
            <v>D</v>
          </cell>
          <cell r="AU95">
            <v>0</v>
          </cell>
        </row>
        <row r="96">
          <cell r="B96" t="str">
            <v>D</v>
          </cell>
          <cell r="AU96">
            <v>0</v>
          </cell>
        </row>
        <row r="97">
          <cell r="B97" t="str">
            <v>D</v>
          </cell>
          <cell r="AU97">
            <v>0</v>
          </cell>
        </row>
        <row r="98">
          <cell r="B98" t="str">
            <v>D</v>
          </cell>
          <cell r="AU98">
            <v>0</v>
          </cell>
        </row>
        <row r="99">
          <cell r="B99" t="str">
            <v>D</v>
          </cell>
          <cell r="AU99">
            <v>0</v>
          </cell>
        </row>
        <row r="100">
          <cell r="B100" t="str">
            <v>D</v>
          </cell>
          <cell r="AU100">
            <v>0</v>
          </cell>
        </row>
        <row r="101">
          <cell r="B101" t="str">
            <v>D</v>
          </cell>
        </row>
        <row r="104">
          <cell r="B104" t="str">
            <v>D</v>
          </cell>
          <cell r="AU104">
            <v>0</v>
          </cell>
        </row>
        <row r="105">
          <cell r="B105" t="str">
            <v>D</v>
          </cell>
          <cell r="AU105">
            <v>0</v>
          </cell>
        </row>
        <row r="106">
          <cell r="B106" t="str">
            <v>D</v>
          </cell>
          <cell r="AU106">
            <v>0</v>
          </cell>
        </row>
        <row r="107">
          <cell r="B107" t="str">
            <v>D</v>
          </cell>
          <cell r="AU107">
            <v>0</v>
          </cell>
        </row>
        <row r="108">
          <cell r="B108" t="str">
            <v>D</v>
          </cell>
          <cell r="AU108">
            <v>0</v>
          </cell>
        </row>
        <row r="109">
          <cell r="B109" t="str">
            <v>D</v>
          </cell>
          <cell r="AU109">
            <v>0</v>
          </cell>
        </row>
        <row r="110">
          <cell r="B110" t="str">
            <v>D</v>
          </cell>
          <cell r="AU110">
            <v>0</v>
          </cell>
        </row>
        <row r="111">
          <cell r="B111" t="str">
            <v>D</v>
          </cell>
          <cell r="AU111">
            <v>0</v>
          </cell>
        </row>
        <row r="112">
          <cell r="B112" t="str">
            <v>D</v>
          </cell>
          <cell r="AU112">
            <v>0</v>
          </cell>
        </row>
        <row r="113">
          <cell r="B113" t="str">
            <v>D</v>
          </cell>
          <cell r="AU113">
            <v>0</v>
          </cell>
        </row>
        <row r="114">
          <cell r="B114" t="str">
            <v>D</v>
          </cell>
          <cell r="AU114">
            <v>0</v>
          </cell>
        </row>
        <row r="115">
          <cell r="B115" t="str">
            <v>D</v>
          </cell>
          <cell r="AU115">
            <v>0</v>
          </cell>
        </row>
        <row r="116">
          <cell r="B116" t="str">
            <v>D</v>
          </cell>
        </row>
        <row r="117">
          <cell r="B117" t="str">
            <v>D</v>
          </cell>
          <cell r="AU117">
            <v>0</v>
          </cell>
        </row>
        <row r="118">
          <cell r="B118" t="str">
            <v>D</v>
          </cell>
        </row>
        <row r="119">
          <cell r="B119" t="str">
            <v>D</v>
          </cell>
          <cell r="AU119">
            <v>0</v>
          </cell>
        </row>
        <row r="121">
          <cell r="B121" t="str">
            <v>D</v>
          </cell>
          <cell r="AU121">
            <v>0</v>
          </cell>
        </row>
        <row r="122">
          <cell r="B122" t="str">
            <v>D</v>
          </cell>
          <cell r="AU122">
            <v>0</v>
          </cell>
        </row>
        <row r="123">
          <cell r="B123" t="str">
            <v>D</v>
          </cell>
          <cell r="AU123">
            <v>0</v>
          </cell>
        </row>
        <row r="124">
          <cell r="B124" t="str">
            <v>D</v>
          </cell>
          <cell r="AU124">
            <v>0</v>
          </cell>
        </row>
        <row r="125">
          <cell r="B125" t="str">
            <v>D</v>
          </cell>
          <cell r="AU125">
            <v>0</v>
          </cell>
        </row>
        <row r="126">
          <cell r="B126" t="str">
            <v>D</v>
          </cell>
          <cell r="AU126">
            <v>0</v>
          </cell>
        </row>
        <row r="130">
          <cell r="B130" t="str">
            <v>E</v>
          </cell>
          <cell r="AU130">
            <v>0</v>
          </cell>
        </row>
        <row r="131">
          <cell r="B131" t="str">
            <v>E</v>
          </cell>
          <cell r="AU131">
            <v>0</v>
          </cell>
        </row>
        <row r="133">
          <cell r="B133" t="str">
            <v>E</v>
          </cell>
          <cell r="AU133">
            <v>0</v>
          </cell>
        </row>
        <row r="134">
          <cell r="B134" t="str">
            <v>E</v>
          </cell>
          <cell r="AU134">
            <v>0</v>
          </cell>
        </row>
        <row r="135">
          <cell r="B135" t="str">
            <v>E</v>
          </cell>
          <cell r="AU135">
            <v>0</v>
          </cell>
        </row>
        <row r="136">
          <cell r="B136" t="str">
            <v>E</v>
          </cell>
          <cell r="AU136">
            <v>0</v>
          </cell>
        </row>
        <row r="137">
          <cell r="B137" t="str">
            <v>E</v>
          </cell>
          <cell r="AU137">
            <v>0</v>
          </cell>
        </row>
        <row r="138">
          <cell r="B138" t="str">
            <v>E</v>
          </cell>
          <cell r="AU138">
            <v>0</v>
          </cell>
        </row>
        <row r="139">
          <cell r="B139" t="str">
            <v>E</v>
          </cell>
          <cell r="AU139">
            <v>0</v>
          </cell>
        </row>
        <row r="140">
          <cell r="B140" t="str">
            <v>E</v>
          </cell>
          <cell r="AU140">
            <v>0</v>
          </cell>
        </row>
        <row r="141">
          <cell r="B141" t="str">
            <v>E</v>
          </cell>
          <cell r="AU141">
            <v>0</v>
          </cell>
        </row>
        <row r="142">
          <cell r="B142" t="str">
            <v>E</v>
          </cell>
        </row>
        <row r="143">
          <cell r="B143" t="str">
            <v>E</v>
          </cell>
          <cell r="AU143">
            <v>0</v>
          </cell>
        </row>
        <row r="144">
          <cell r="B144" t="str">
            <v>E</v>
          </cell>
          <cell r="AU144">
            <v>0</v>
          </cell>
        </row>
        <row r="145">
          <cell r="B145" t="str">
            <v>E</v>
          </cell>
          <cell r="AU145">
            <v>0</v>
          </cell>
        </row>
        <row r="146">
          <cell r="B146" t="str">
            <v>E</v>
          </cell>
          <cell r="AU146">
            <v>0</v>
          </cell>
        </row>
        <row r="147">
          <cell r="B147" t="str">
            <v>E</v>
          </cell>
          <cell r="AU147">
            <v>0</v>
          </cell>
        </row>
        <row r="148">
          <cell r="B148" t="str">
            <v>E</v>
          </cell>
          <cell r="AU148">
            <v>0</v>
          </cell>
        </row>
        <row r="149">
          <cell r="B149" t="str">
            <v>E</v>
          </cell>
          <cell r="AU149">
            <v>0</v>
          </cell>
        </row>
        <row r="150">
          <cell r="B150" t="str">
            <v>E</v>
          </cell>
          <cell r="AU150">
            <v>0</v>
          </cell>
        </row>
        <row r="152">
          <cell r="B152" t="str">
            <v>E</v>
          </cell>
          <cell r="AU152">
            <v>0</v>
          </cell>
        </row>
        <row r="153">
          <cell r="B153" t="str">
            <v>E</v>
          </cell>
          <cell r="AU153">
            <v>0</v>
          </cell>
        </row>
        <row r="154">
          <cell r="B154" t="str">
            <v>E</v>
          </cell>
          <cell r="AU154">
            <v>0</v>
          </cell>
        </row>
        <row r="155">
          <cell r="B155" t="str">
            <v>E</v>
          </cell>
          <cell r="AU155">
            <v>0</v>
          </cell>
        </row>
        <row r="156">
          <cell r="B156" t="str">
            <v>E</v>
          </cell>
          <cell r="AU156">
            <v>0</v>
          </cell>
        </row>
        <row r="157">
          <cell r="B157" t="str">
            <v>E</v>
          </cell>
          <cell r="AU157">
            <v>0</v>
          </cell>
        </row>
        <row r="158">
          <cell r="B158" t="str">
            <v>E</v>
          </cell>
          <cell r="AU158">
            <v>0</v>
          </cell>
        </row>
        <row r="159">
          <cell r="B159" t="str">
            <v>E</v>
          </cell>
          <cell r="AU159">
            <v>0</v>
          </cell>
        </row>
        <row r="160">
          <cell r="B160" t="str">
            <v>E</v>
          </cell>
          <cell r="AU160">
            <v>0</v>
          </cell>
        </row>
        <row r="161">
          <cell r="B161" t="str">
            <v>E</v>
          </cell>
          <cell r="AU161">
            <v>0</v>
          </cell>
        </row>
        <row r="162">
          <cell r="B162" t="str">
            <v>E</v>
          </cell>
          <cell r="AU162">
            <v>0</v>
          </cell>
        </row>
        <row r="163">
          <cell r="B163" t="str">
            <v>E</v>
          </cell>
          <cell r="AU163">
            <v>0</v>
          </cell>
        </row>
        <row r="164">
          <cell r="B164" t="str">
            <v>E</v>
          </cell>
          <cell r="AU164">
            <v>0</v>
          </cell>
        </row>
        <row r="165">
          <cell r="B165" t="str">
            <v>E</v>
          </cell>
          <cell r="AU165">
            <v>0</v>
          </cell>
        </row>
        <row r="166">
          <cell r="B166" t="str">
            <v>E</v>
          </cell>
          <cell r="AU166">
            <v>0</v>
          </cell>
        </row>
        <row r="167">
          <cell r="B167" t="str">
            <v>E</v>
          </cell>
          <cell r="AU167">
            <v>0</v>
          </cell>
        </row>
        <row r="168">
          <cell r="B168" t="str">
            <v>E</v>
          </cell>
        </row>
        <row r="169">
          <cell r="B169" t="str">
            <v>E</v>
          </cell>
          <cell r="AU169">
            <v>0</v>
          </cell>
        </row>
        <row r="170">
          <cell r="B170" t="str">
            <v>E</v>
          </cell>
          <cell r="AU170">
            <v>0</v>
          </cell>
        </row>
        <row r="171">
          <cell r="B171" t="str">
            <v>E</v>
          </cell>
          <cell r="AU171">
            <v>0</v>
          </cell>
        </row>
        <row r="176">
          <cell r="B176" t="str">
            <v>E</v>
          </cell>
          <cell r="AU176">
            <v>0</v>
          </cell>
        </row>
        <row r="177">
          <cell r="B177" t="str">
            <v>E</v>
          </cell>
          <cell r="AU177">
            <v>0</v>
          </cell>
        </row>
        <row r="178">
          <cell r="B178" t="str">
            <v>E</v>
          </cell>
          <cell r="AU178">
            <v>0</v>
          </cell>
        </row>
        <row r="179">
          <cell r="B179" t="str">
            <v>E</v>
          </cell>
          <cell r="AU179">
            <v>0</v>
          </cell>
        </row>
        <row r="180">
          <cell r="B180" t="str">
            <v>E</v>
          </cell>
          <cell r="AU180">
            <v>0</v>
          </cell>
        </row>
        <row r="181">
          <cell r="B181" t="str">
            <v>E</v>
          </cell>
          <cell r="AU181">
            <v>0</v>
          </cell>
        </row>
        <row r="182">
          <cell r="B182" t="str">
            <v>E</v>
          </cell>
          <cell r="AU182">
            <v>0</v>
          </cell>
        </row>
        <row r="183">
          <cell r="B183" t="str">
            <v>E</v>
          </cell>
          <cell r="AU183">
            <v>0</v>
          </cell>
        </row>
        <row r="189">
          <cell r="B189" t="str">
            <v>F</v>
          </cell>
          <cell r="AU189">
            <v>0</v>
          </cell>
        </row>
        <row r="190">
          <cell r="B190" t="str">
            <v>F</v>
          </cell>
          <cell r="AU190">
            <v>0</v>
          </cell>
        </row>
        <row r="191">
          <cell r="B191" t="str">
            <v>F</v>
          </cell>
          <cell r="AU191">
            <v>0</v>
          </cell>
        </row>
        <row r="194">
          <cell r="B194" t="str">
            <v>F</v>
          </cell>
          <cell r="AU194">
            <v>0</v>
          </cell>
        </row>
        <row r="195">
          <cell r="B195" t="str">
            <v>F</v>
          </cell>
          <cell r="AU195">
            <v>0</v>
          </cell>
        </row>
        <row r="197">
          <cell r="B197" t="str">
            <v>F</v>
          </cell>
          <cell r="AU197">
            <v>0</v>
          </cell>
        </row>
        <row r="198">
          <cell r="B198" t="str">
            <v>F</v>
          </cell>
          <cell r="AU198">
            <v>0</v>
          </cell>
        </row>
        <row r="199">
          <cell r="B199" t="str">
            <v>F</v>
          </cell>
          <cell r="AU199">
            <v>0</v>
          </cell>
        </row>
        <row r="200">
          <cell r="B200" t="str">
            <v>F</v>
          </cell>
          <cell r="AU200">
            <v>0</v>
          </cell>
        </row>
        <row r="201">
          <cell r="B201" t="str">
            <v>F</v>
          </cell>
          <cell r="AU201">
            <v>0</v>
          </cell>
        </row>
        <row r="202">
          <cell r="B202" t="str">
            <v>F</v>
          </cell>
          <cell r="AU202">
            <v>0</v>
          </cell>
        </row>
        <row r="203">
          <cell r="B203" t="str">
            <v>F</v>
          </cell>
          <cell r="AU203">
            <v>0</v>
          </cell>
        </row>
        <row r="204">
          <cell r="B204" t="str">
            <v>F</v>
          </cell>
        </row>
        <row r="205">
          <cell r="B205" t="str">
            <v>F</v>
          </cell>
          <cell r="AU205">
            <v>0</v>
          </cell>
        </row>
        <row r="207">
          <cell r="B207" t="str">
            <v>F</v>
          </cell>
          <cell r="AU207">
            <v>0</v>
          </cell>
        </row>
        <row r="208">
          <cell r="B208" t="str">
            <v>F</v>
          </cell>
          <cell r="AU208">
            <v>0</v>
          </cell>
        </row>
        <row r="209">
          <cell r="B209" t="str">
            <v>F</v>
          </cell>
          <cell r="AU209">
            <v>0</v>
          </cell>
        </row>
        <row r="210">
          <cell r="B210" t="str">
            <v>F</v>
          </cell>
        </row>
        <row r="211">
          <cell r="B211" t="str">
            <v>F</v>
          </cell>
          <cell r="AU211">
            <v>0</v>
          </cell>
        </row>
        <row r="212">
          <cell r="B212" t="str">
            <v>F</v>
          </cell>
          <cell r="AU212">
            <v>0</v>
          </cell>
        </row>
        <row r="213">
          <cell r="B213" t="str">
            <v>F</v>
          </cell>
        </row>
        <row r="214">
          <cell r="B214" t="str">
            <v>F</v>
          </cell>
          <cell r="AU214">
            <v>0</v>
          </cell>
        </row>
        <row r="218">
          <cell r="B218" t="str">
            <v>F</v>
          </cell>
          <cell r="AU218">
            <v>0</v>
          </cell>
        </row>
        <row r="219">
          <cell r="B219" t="str">
            <v>F</v>
          </cell>
          <cell r="AU219">
            <v>0</v>
          </cell>
        </row>
        <row r="221">
          <cell r="B221" t="str">
            <v>F</v>
          </cell>
          <cell r="AU221">
            <v>0</v>
          </cell>
        </row>
        <row r="222">
          <cell r="B222" t="str">
            <v>F</v>
          </cell>
          <cell r="AU222">
            <v>0</v>
          </cell>
        </row>
        <row r="223">
          <cell r="B223" t="str">
            <v>F</v>
          </cell>
          <cell r="AU223">
            <v>0</v>
          </cell>
        </row>
        <row r="224">
          <cell r="B224" t="str">
            <v>F</v>
          </cell>
          <cell r="AU224">
            <v>0</v>
          </cell>
        </row>
        <row r="225">
          <cell r="B225" t="str">
            <v>F</v>
          </cell>
          <cell r="AU225">
            <v>0</v>
          </cell>
        </row>
        <row r="226">
          <cell r="B226" t="str">
            <v>F</v>
          </cell>
          <cell r="AU226">
            <v>0</v>
          </cell>
        </row>
        <row r="227">
          <cell r="B227" t="str">
            <v>F</v>
          </cell>
          <cell r="AU227">
            <v>0</v>
          </cell>
        </row>
        <row r="228">
          <cell r="B228" t="str">
            <v>F</v>
          </cell>
          <cell r="AU228">
            <v>0</v>
          </cell>
        </row>
        <row r="229">
          <cell r="B229" t="str">
            <v>F</v>
          </cell>
        </row>
        <row r="230">
          <cell r="B230" t="str">
            <v>F</v>
          </cell>
          <cell r="AU230">
            <v>0</v>
          </cell>
        </row>
        <row r="232">
          <cell r="B232" t="str">
            <v>F</v>
          </cell>
          <cell r="AU232">
            <v>0</v>
          </cell>
        </row>
        <row r="233">
          <cell r="B233" t="str">
            <v>F</v>
          </cell>
          <cell r="AU233">
            <v>0</v>
          </cell>
        </row>
        <row r="234">
          <cell r="B234" t="str">
            <v>F</v>
          </cell>
          <cell r="AU234">
            <v>0</v>
          </cell>
        </row>
        <row r="236">
          <cell r="B236" t="str">
            <v>F</v>
          </cell>
          <cell r="AU236">
            <v>0</v>
          </cell>
        </row>
        <row r="237">
          <cell r="B237" t="str">
            <v>F</v>
          </cell>
          <cell r="AU237">
            <v>0</v>
          </cell>
        </row>
        <row r="239">
          <cell r="B239" t="str">
            <v>F</v>
          </cell>
          <cell r="AU239">
            <v>0</v>
          </cell>
        </row>
        <row r="240">
          <cell r="B240" t="str">
            <v>F</v>
          </cell>
          <cell r="AU240">
            <v>0</v>
          </cell>
        </row>
        <row r="241">
          <cell r="B241" t="str">
            <v>F</v>
          </cell>
          <cell r="AU241">
            <v>0</v>
          </cell>
        </row>
        <row r="242">
          <cell r="B242" t="str">
            <v>F</v>
          </cell>
          <cell r="AU242">
            <v>0</v>
          </cell>
        </row>
        <row r="243">
          <cell r="B243" t="str">
            <v>F</v>
          </cell>
          <cell r="AU243">
            <v>0</v>
          </cell>
        </row>
        <row r="244">
          <cell r="B244" t="str">
            <v>F</v>
          </cell>
          <cell r="AU244">
            <v>0</v>
          </cell>
        </row>
        <row r="245">
          <cell r="B245" t="str">
            <v>F</v>
          </cell>
          <cell r="AU245">
            <v>0</v>
          </cell>
        </row>
        <row r="246">
          <cell r="B246" t="str">
            <v>F</v>
          </cell>
          <cell r="AU246">
            <v>0</v>
          </cell>
        </row>
        <row r="247">
          <cell r="B247" t="str">
            <v>F</v>
          </cell>
          <cell r="AU247">
            <v>0</v>
          </cell>
        </row>
        <row r="249">
          <cell r="B249" t="str">
            <v>F</v>
          </cell>
          <cell r="AU249">
            <v>0</v>
          </cell>
        </row>
        <row r="250">
          <cell r="B250" t="str">
            <v>F</v>
          </cell>
          <cell r="AU250">
            <v>0</v>
          </cell>
        </row>
        <row r="251">
          <cell r="B251" t="str">
            <v>F</v>
          </cell>
          <cell r="AU251">
            <v>0</v>
          </cell>
        </row>
        <row r="254">
          <cell r="B254" t="str">
            <v>F</v>
          </cell>
          <cell r="AU254">
            <v>0</v>
          </cell>
        </row>
        <row r="255">
          <cell r="B255" t="str">
            <v>F</v>
          </cell>
          <cell r="AU255">
            <v>0</v>
          </cell>
        </row>
        <row r="256">
          <cell r="B256" t="str">
            <v>F</v>
          </cell>
          <cell r="AU256">
            <v>0</v>
          </cell>
        </row>
        <row r="257">
          <cell r="B257" t="str">
            <v>F</v>
          </cell>
          <cell r="AU257">
            <v>0</v>
          </cell>
        </row>
        <row r="258">
          <cell r="B258" t="str">
            <v>F</v>
          </cell>
          <cell r="AU258">
            <v>0</v>
          </cell>
        </row>
        <row r="259">
          <cell r="B259" t="str">
            <v>F</v>
          </cell>
          <cell r="AU259">
            <v>0</v>
          </cell>
        </row>
        <row r="260">
          <cell r="B260" t="str">
            <v>F</v>
          </cell>
        </row>
        <row r="261">
          <cell r="B261" t="str">
            <v>F</v>
          </cell>
          <cell r="AU261">
            <v>0</v>
          </cell>
        </row>
        <row r="262">
          <cell r="B262" t="str">
            <v>F</v>
          </cell>
        </row>
        <row r="263">
          <cell r="B263" t="str">
            <v>F</v>
          </cell>
        </row>
        <row r="265">
          <cell r="B265" t="str">
            <v>F</v>
          </cell>
          <cell r="AU265">
            <v>0</v>
          </cell>
        </row>
        <row r="271">
          <cell r="B271" t="str">
            <v>H</v>
          </cell>
          <cell r="AU271">
            <v>0</v>
          </cell>
        </row>
        <row r="272">
          <cell r="B272" t="str">
            <v>H</v>
          </cell>
          <cell r="AU272">
            <v>0</v>
          </cell>
        </row>
        <row r="275">
          <cell r="B275" t="str">
            <v>H</v>
          </cell>
          <cell r="AU275">
            <v>0</v>
          </cell>
        </row>
        <row r="276">
          <cell r="B276" t="str">
            <v>H</v>
          </cell>
          <cell r="AU276">
            <v>0</v>
          </cell>
        </row>
        <row r="277">
          <cell r="B277" t="str">
            <v>H</v>
          </cell>
          <cell r="AU277">
            <v>0</v>
          </cell>
        </row>
        <row r="278">
          <cell r="B278" t="str">
            <v>H</v>
          </cell>
          <cell r="AU278">
            <v>0</v>
          </cell>
        </row>
        <row r="279">
          <cell r="B279" t="str">
            <v>H</v>
          </cell>
          <cell r="AU279">
            <v>0</v>
          </cell>
        </row>
        <row r="281">
          <cell r="B281" t="str">
            <v>H</v>
          </cell>
          <cell r="AU281">
            <v>0</v>
          </cell>
        </row>
        <row r="282">
          <cell r="B282" t="str">
            <v>H</v>
          </cell>
          <cell r="AU282">
            <v>0</v>
          </cell>
        </row>
        <row r="283">
          <cell r="B283" t="str">
            <v>H</v>
          </cell>
        </row>
        <row r="284">
          <cell r="B284" t="str">
            <v>H</v>
          </cell>
          <cell r="AU284">
            <v>0</v>
          </cell>
        </row>
        <row r="285">
          <cell r="B285" t="str">
            <v>H</v>
          </cell>
          <cell r="AU285">
            <v>0</v>
          </cell>
        </row>
        <row r="286">
          <cell r="B286" t="str">
            <v>H</v>
          </cell>
          <cell r="AU286">
            <v>0</v>
          </cell>
        </row>
        <row r="287">
          <cell r="B287" t="str">
            <v>H</v>
          </cell>
        </row>
        <row r="288">
          <cell r="B288" t="str">
            <v>H</v>
          </cell>
          <cell r="AU288">
            <v>0</v>
          </cell>
        </row>
        <row r="289">
          <cell r="B289" t="str">
            <v>H</v>
          </cell>
          <cell r="AU289">
            <v>0</v>
          </cell>
        </row>
        <row r="290">
          <cell r="B290" t="str">
            <v>H</v>
          </cell>
        </row>
        <row r="291">
          <cell r="B291" t="str">
            <v>H</v>
          </cell>
        </row>
        <row r="293">
          <cell r="B293" t="str">
            <v>H</v>
          </cell>
          <cell r="AU293">
            <v>0</v>
          </cell>
        </row>
        <row r="294">
          <cell r="B294" t="str">
            <v>H</v>
          </cell>
          <cell r="AU294">
            <v>0</v>
          </cell>
        </row>
        <row r="295">
          <cell r="B295" t="str">
            <v>H</v>
          </cell>
          <cell r="AU295">
            <v>0</v>
          </cell>
        </row>
        <row r="296">
          <cell r="B296" t="str">
            <v>H</v>
          </cell>
          <cell r="AU296">
            <v>0</v>
          </cell>
        </row>
        <row r="297">
          <cell r="B297" t="str">
            <v>H</v>
          </cell>
          <cell r="AU297">
            <v>0</v>
          </cell>
        </row>
        <row r="298">
          <cell r="B298" t="str">
            <v>H</v>
          </cell>
          <cell r="AU298">
            <v>0</v>
          </cell>
        </row>
        <row r="299">
          <cell r="B299" t="str">
            <v>H</v>
          </cell>
        </row>
        <row r="300">
          <cell r="B300" t="str">
            <v>H</v>
          </cell>
        </row>
        <row r="302">
          <cell r="B302" t="str">
            <v>H</v>
          </cell>
        </row>
        <row r="303">
          <cell r="B303" t="str">
            <v>H</v>
          </cell>
        </row>
        <row r="304">
          <cell r="B304" t="str">
            <v>H</v>
          </cell>
          <cell r="AU304">
            <v>0</v>
          </cell>
        </row>
        <row r="305">
          <cell r="B305" t="str">
            <v>H</v>
          </cell>
        </row>
        <row r="306">
          <cell r="B306" t="str">
            <v>H</v>
          </cell>
          <cell r="AU306">
            <v>0</v>
          </cell>
        </row>
        <row r="307">
          <cell r="B307" t="str">
            <v>H</v>
          </cell>
        </row>
        <row r="308">
          <cell r="B308" t="str">
            <v>H</v>
          </cell>
          <cell r="AU308">
            <v>0</v>
          </cell>
        </row>
        <row r="309">
          <cell r="B309" t="str">
            <v>H</v>
          </cell>
          <cell r="AU309">
            <v>0</v>
          </cell>
        </row>
        <row r="310">
          <cell r="B310" t="str">
            <v>H</v>
          </cell>
          <cell r="AU310">
            <v>0</v>
          </cell>
        </row>
        <row r="312">
          <cell r="B312" t="str">
            <v>H</v>
          </cell>
          <cell r="AU312">
            <v>0</v>
          </cell>
        </row>
        <row r="313">
          <cell r="B313" t="str">
            <v>H</v>
          </cell>
          <cell r="AU313">
            <v>0</v>
          </cell>
        </row>
        <row r="314">
          <cell r="B314" t="str">
            <v>H</v>
          </cell>
          <cell r="AU314">
            <v>0</v>
          </cell>
        </row>
        <row r="315">
          <cell r="B315" t="str">
            <v>H</v>
          </cell>
        </row>
        <row r="316">
          <cell r="B316" t="str">
            <v>H</v>
          </cell>
        </row>
        <row r="317">
          <cell r="B317" t="str">
            <v>H</v>
          </cell>
          <cell r="AU317">
            <v>0</v>
          </cell>
        </row>
        <row r="318">
          <cell r="B318" t="str">
            <v>H</v>
          </cell>
        </row>
        <row r="319">
          <cell r="B319" t="str">
            <v>H</v>
          </cell>
          <cell r="AU319">
            <v>0</v>
          </cell>
        </row>
        <row r="320">
          <cell r="B320" t="str">
            <v>H</v>
          </cell>
          <cell r="AU320">
            <v>0</v>
          </cell>
        </row>
        <row r="321">
          <cell r="B321" t="str">
            <v>H</v>
          </cell>
        </row>
        <row r="322">
          <cell r="B322" t="str">
            <v>H</v>
          </cell>
          <cell r="AU322">
            <v>0</v>
          </cell>
        </row>
        <row r="323">
          <cell r="B323" t="str">
            <v>H</v>
          </cell>
          <cell r="AU323">
            <v>0</v>
          </cell>
        </row>
        <row r="324">
          <cell r="B324" t="str">
            <v>H</v>
          </cell>
        </row>
        <row r="325">
          <cell r="B325" t="str">
            <v>H</v>
          </cell>
        </row>
        <row r="327">
          <cell r="B327" t="str">
            <v>H</v>
          </cell>
          <cell r="AU327">
            <v>0</v>
          </cell>
        </row>
        <row r="328">
          <cell r="B328" t="str">
            <v>H</v>
          </cell>
          <cell r="AU328">
            <v>0</v>
          </cell>
        </row>
        <row r="329">
          <cell r="B329" t="str">
            <v>H</v>
          </cell>
          <cell r="AU329">
            <v>0</v>
          </cell>
        </row>
        <row r="330">
          <cell r="B330" t="str">
            <v>H</v>
          </cell>
          <cell r="AU330">
            <v>0</v>
          </cell>
        </row>
        <row r="331">
          <cell r="B331" t="str">
            <v>H</v>
          </cell>
          <cell r="AU331">
            <v>0</v>
          </cell>
        </row>
        <row r="332">
          <cell r="B332" t="str">
            <v>H</v>
          </cell>
          <cell r="AU332">
            <v>0</v>
          </cell>
        </row>
        <row r="333">
          <cell r="B333" t="str">
            <v>H</v>
          </cell>
          <cell r="AU333">
            <v>0</v>
          </cell>
        </row>
        <row r="334">
          <cell r="B334" t="str">
            <v>H</v>
          </cell>
          <cell r="AU334">
            <v>0</v>
          </cell>
        </row>
        <row r="336">
          <cell r="B336" t="str">
            <v>H</v>
          </cell>
          <cell r="AU336">
            <v>0</v>
          </cell>
        </row>
        <row r="337">
          <cell r="B337" t="str">
            <v>H</v>
          </cell>
          <cell r="AU337">
            <v>0</v>
          </cell>
        </row>
        <row r="338">
          <cell r="B338" t="str">
            <v>H</v>
          </cell>
          <cell r="AU338">
            <v>0</v>
          </cell>
        </row>
        <row r="339">
          <cell r="B339" t="str">
            <v>H</v>
          </cell>
          <cell r="AU339">
            <v>0</v>
          </cell>
        </row>
        <row r="340">
          <cell r="B340" t="str">
            <v>H</v>
          </cell>
          <cell r="AU340">
            <v>0</v>
          </cell>
        </row>
        <row r="342">
          <cell r="B342" t="str">
            <v>H</v>
          </cell>
        </row>
        <row r="343">
          <cell r="B343" t="str">
            <v>H</v>
          </cell>
        </row>
        <row r="346">
          <cell r="B346" t="str">
            <v>H</v>
          </cell>
          <cell r="AU346">
            <v>0</v>
          </cell>
        </row>
        <row r="347">
          <cell r="B347" t="str">
            <v>H</v>
          </cell>
          <cell r="AU347">
            <v>0</v>
          </cell>
        </row>
        <row r="348">
          <cell r="B348" t="str">
            <v>H</v>
          </cell>
          <cell r="AU348">
            <v>0</v>
          </cell>
        </row>
        <row r="349">
          <cell r="B349" t="str">
            <v>H</v>
          </cell>
          <cell r="AU349">
            <v>0</v>
          </cell>
        </row>
        <row r="350">
          <cell r="B350" t="str">
            <v>H</v>
          </cell>
          <cell r="AU350">
            <v>0</v>
          </cell>
        </row>
        <row r="352">
          <cell r="B352" t="str">
            <v>H</v>
          </cell>
          <cell r="AU352">
            <v>0</v>
          </cell>
        </row>
        <row r="353">
          <cell r="B353" t="str">
            <v>H</v>
          </cell>
          <cell r="AU353">
            <v>0</v>
          </cell>
        </row>
        <row r="354">
          <cell r="B354" t="str">
            <v>H</v>
          </cell>
        </row>
        <row r="355">
          <cell r="B355" t="str">
            <v>H</v>
          </cell>
          <cell r="AU355">
            <v>0</v>
          </cell>
        </row>
        <row r="356">
          <cell r="B356" t="str">
            <v>H</v>
          </cell>
          <cell r="AU356">
            <v>0</v>
          </cell>
        </row>
        <row r="357">
          <cell r="B357" t="str">
            <v>H</v>
          </cell>
          <cell r="AU357">
            <v>0</v>
          </cell>
        </row>
        <row r="358">
          <cell r="B358" t="str">
            <v>H</v>
          </cell>
        </row>
        <row r="359">
          <cell r="B359" t="str">
            <v>H</v>
          </cell>
          <cell r="AU359">
            <v>0</v>
          </cell>
        </row>
        <row r="360">
          <cell r="B360" t="str">
            <v>H</v>
          </cell>
          <cell r="AU360">
            <v>0</v>
          </cell>
        </row>
        <row r="361">
          <cell r="B361" t="str">
            <v>H</v>
          </cell>
        </row>
        <row r="362">
          <cell r="B362" t="str">
            <v>H</v>
          </cell>
        </row>
        <row r="364">
          <cell r="B364" t="str">
            <v>H</v>
          </cell>
          <cell r="AU364">
            <v>0</v>
          </cell>
        </row>
        <row r="365">
          <cell r="B365" t="str">
            <v>H</v>
          </cell>
          <cell r="AU365">
            <v>0</v>
          </cell>
        </row>
        <row r="366">
          <cell r="B366" t="str">
            <v>H</v>
          </cell>
          <cell r="AU366">
            <v>0</v>
          </cell>
        </row>
        <row r="367">
          <cell r="B367" t="str">
            <v>H</v>
          </cell>
          <cell r="AU367">
            <v>0</v>
          </cell>
        </row>
        <row r="368">
          <cell r="B368" t="str">
            <v>H</v>
          </cell>
          <cell r="AU368">
            <v>0</v>
          </cell>
        </row>
        <row r="369">
          <cell r="B369" t="str">
            <v>H</v>
          </cell>
          <cell r="AU369">
            <v>0</v>
          </cell>
        </row>
        <row r="370">
          <cell r="B370" t="str">
            <v>H</v>
          </cell>
        </row>
        <row r="371">
          <cell r="B371" t="str">
            <v>H</v>
          </cell>
        </row>
        <row r="373">
          <cell r="B373" t="str">
            <v>H</v>
          </cell>
        </row>
        <row r="374">
          <cell r="B374" t="str">
            <v>H</v>
          </cell>
        </row>
        <row r="375">
          <cell r="B375" t="str">
            <v>H</v>
          </cell>
          <cell r="AU375">
            <v>0</v>
          </cell>
        </row>
        <row r="376">
          <cell r="B376" t="str">
            <v>H</v>
          </cell>
        </row>
        <row r="377">
          <cell r="B377" t="str">
            <v>H</v>
          </cell>
          <cell r="AU377">
            <v>0</v>
          </cell>
        </row>
        <row r="378">
          <cell r="B378" t="str">
            <v>H</v>
          </cell>
        </row>
        <row r="379">
          <cell r="B379" t="str">
            <v>H</v>
          </cell>
          <cell r="AU379">
            <v>0</v>
          </cell>
        </row>
        <row r="380">
          <cell r="B380" t="str">
            <v>H</v>
          </cell>
          <cell r="AU380">
            <v>0</v>
          </cell>
        </row>
        <row r="381">
          <cell r="B381" t="str">
            <v>H</v>
          </cell>
          <cell r="AU381">
            <v>0</v>
          </cell>
        </row>
        <row r="383">
          <cell r="B383" t="str">
            <v>H</v>
          </cell>
          <cell r="AU383">
            <v>0</v>
          </cell>
        </row>
        <row r="384">
          <cell r="B384" t="str">
            <v>H</v>
          </cell>
          <cell r="AU384">
            <v>0</v>
          </cell>
        </row>
        <row r="385">
          <cell r="B385" t="str">
            <v>H</v>
          </cell>
          <cell r="AU385">
            <v>0</v>
          </cell>
        </row>
        <row r="386">
          <cell r="B386" t="str">
            <v>H</v>
          </cell>
        </row>
        <row r="387">
          <cell r="B387" t="str">
            <v>H</v>
          </cell>
          <cell r="AU387">
            <v>0</v>
          </cell>
        </row>
        <row r="388">
          <cell r="B388" t="str">
            <v>H</v>
          </cell>
        </row>
        <row r="389">
          <cell r="B389" t="str">
            <v>H</v>
          </cell>
          <cell r="AU389">
            <v>0</v>
          </cell>
        </row>
        <row r="390">
          <cell r="B390" t="str">
            <v>H</v>
          </cell>
          <cell r="AU390">
            <v>0</v>
          </cell>
        </row>
        <row r="391">
          <cell r="B391" t="str">
            <v>H</v>
          </cell>
        </row>
        <row r="392">
          <cell r="B392" t="str">
            <v>H</v>
          </cell>
          <cell r="AU392">
            <v>0</v>
          </cell>
        </row>
        <row r="393">
          <cell r="B393" t="str">
            <v>H</v>
          </cell>
          <cell r="AU393">
            <v>0</v>
          </cell>
        </row>
        <row r="394">
          <cell r="B394" t="str">
            <v>H</v>
          </cell>
        </row>
        <row r="395">
          <cell r="B395" t="str">
            <v>H</v>
          </cell>
        </row>
        <row r="397">
          <cell r="B397" t="str">
            <v>H</v>
          </cell>
          <cell r="AU397">
            <v>0</v>
          </cell>
        </row>
        <row r="398">
          <cell r="B398" t="str">
            <v>H</v>
          </cell>
          <cell r="AU398">
            <v>0</v>
          </cell>
        </row>
        <row r="399">
          <cell r="B399" t="str">
            <v>H</v>
          </cell>
          <cell r="AU399">
            <v>0</v>
          </cell>
        </row>
        <row r="400">
          <cell r="B400" t="str">
            <v>H</v>
          </cell>
          <cell r="AU400">
            <v>0</v>
          </cell>
        </row>
        <row r="401">
          <cell r="B401" t="str">
            <v>H</v>
          </cell>
          <cell r="AU401">
            <v>0</v>
          </cell>
        </row>
        <row r="402">
          <cell r="B402" t="str">
            <v>H</v>
          </cell>
          <cell r="AU402">
            <v>0</v>
          </cell>
        </row>
        <row r="403">
          <cell r="B403" t="str">
            <v>H</v>
          </cell>
          <cell r="AU403">
            <v>0</v>
          </cell>
        </row>
        <row r="404">
          <cell r="B404" t="str">
            <v>H</v>
          </cell>
          <cell r="AU404">
            <v>0</v>
          </cell>
        </row>
        <row r="406">
          <cell r="B406" t="str">
            <v>H</v>
          </cell>
          <cell r="AU406">
            <v>0</v>
          </cell>
        </row>
        <row r="407">
          <cell r="B407" t="str">
            <v>H</v>
          </cell>
          <cell r="AU407">
            <v>0</v>
          </cell>
        </row>
        <row r="408">
          <cell r="B408" t="str">
            <v>H</v>
          </cell>
          <cell r="AU408">
            <v>0</v>
          </cell>
        </row>
        <row r="409">
          <cell r="B409" t="str">
            <v>H</v>
          </cell>
          <cell r="AU409">
            <v>0</v>
          </cell>
        </row>
        <row r="410">
          <cell r="B410" t="str">
            <v>H</v>
          </cell>
          <cell r="AU410">
            <v>0</v>
          </cell>
        </row>
        <row r="412">
          <cell r="B412" t="str">
            <v>H</v>
          </cell>
        </row>
        <row r="413">
          <cell r="B413" t="str">
            <v>H</v>
          </cell>
          <cell r="AU413">
            <v>0</v>
          </cell>
        </row>
        <row r="414">
          <cell r="B414" t="str">
            <v>H</v>
          </cell>
          <cell r="AU414">
            <v>0</v>
          </cell>
        </row>
        <row r="415">
          <cell r="B415" t="str">
            <v>H</v>
          </cell>
          <cell r="AU415">
            <v>0</v>
          </cell>
        </row>
        <row r="416">
          <cell r="B416" t="str">
            <v>H</v>
          </cell>
          <cell r="AU416">
            <v>0</v>
          </cell>
        </row>
        <row r="417">
          <cell r="B417" t="str">
            <v>H</v>
          </cell>
          <cell r="AU417">
            <v>0</v>
          </cell>
        </row>
        <row r="419">
          <cell r="B419" t="str">
            <v>H</v>
          </cell>
          <cell r="AU419">
            <v>0</v>
          </cell>
        </row>
        <row r="420">
          <cell r="B420" t="str">
            <v>H</v>
          </cell>
        </row>
        <row r="421">
          <cell r="B421" t="str">
            <v>H</v>
          </cell>
          <cell r="AU421">
            <v>0</v>
          </cell>
        </row>
        <row r="422">
          <cell r="B422" t="str">
            <v>H</v>
          </cell>
          <cell r="AU422">
            <v>0</v>
          </cell>
        </row>
        <row r="423">
          <cell r="B423" t="str">
            <v>H</v>
          </cell>
        </row>
        <row r="424">
          <cell r="B424" t="str">
            <v>H</v>
          </cell>
          <cell r="AU424">
            <v>0</v>
          </cell>
        </row>
        <row r="425">
          <cell r="B425" t="str">
            <v>H</v>
          </cell>
          <cell r="AU425">
            <v>0</v>
          </cell>
        </row>
        <row r="426">
          <cell r="B426" t="str">
            <v>H</v>
          </cell>
        </row>
        <row r="427">
          <cell r="B427" t="str">
            <v>H</v>
          </cell>
        </row>
        <row r="429">
          <cell r="B429" t="str">
            <v>H</v>
          </cell>
          <cell r="AU429">
            <v>0</v>
          </cell>
        </row>
        <row r="430">
          <cell r="B430" t="str">
            <v>H</v>
          </cell>
          <cell r="AU430">
            <v>0</v>
          </cell>
        </row>
        <row r="431">
          <cell r="B431" t="str">
            <v>H</v>
          </cell>
          <cell r="AU431">
            <v>0</v>
          </cell>
        </row>
        <row r="432">
          <cell r="B432" t="str">
            <v>H</v>
          </cell>
          <cell r="AU432">
            <v>0</v>
          </cell>
        </row>
        <row r="433">
          <cell r="B433" t="str">
            <v>H</v>
          </cell>
          <cell r="AU433">
            <v>0</v>
          </cell>
        </row>
        <row r="434">
          <cell r="B434" t="str">
            <v>H</v>
          </cell>
          <cell r="AU434">
            <v>0</v>
          </cell>
        </row>
        <row r="435">
          <cell r="B435" t="str">
            <v>H</v>
          </cell>
        </row>
        <row r="436">
          <cell r="B436" t="str">
            <v>H</v>
          </cell>
        </row>
        <row r="438">
          <cell r="B438" t="str">
            <v>H</v>
          </cell>
        </row>
        <row r="439">
          <cell r="B439" t="str">
            <v>H</v>
          </cell>
        </row>
        <row r="440">
          <cell r="B440" t="str">
            <v>H</v>
          </cell>
          <cell r="AU440">
            <v>0</v>
          </cell>
        </row>
        <row r="441">
          <cell r="B441" t="str">
            <v>H</v>
          </cell>
        </row>
        <row r="442">
          <cell r="B442" t="str">
            <v>H</v>
          </cell>
          <cell r="AU442">
            <v>0</v>
          </cell>
        </row>
        <row r="443">
          <cell r="B443" t="str">
            <v>H</v>
          </cell>
        </row>
        <row r="444">
          <cell r="B444" t="str">
            <v>H</v>
          </cell>
          <cell r="AU444">
            <v>0</v>
          </cell>
        </row>
        <row r="445">
          <cell r="B445" t="str">
            <v>H</v>
          </cell>
          <cell r="AU445">
            <v>0</v>
          </cell>
        </row>
        <row r="446">
          <cell r="B446" t="str">
            <v>H</v>
          </cell>
          <cell r="AU446">
            <v>0</v>
          </cell>
        </row>
        <row r="448">
          <cell r="B448" t="str">
            <v>H</v>
          </cell>
          <cell r="AU448">
            <v>0</v>
          </cell>
        </row>
        <row r="449">
          <cell r="B449" t="str">
            <v>H</v>
          </cell>
          <cell r="AU449">
            <v>0</v>
          </cell>
        </row>
        <row r="450">
          <cell r="B450" t="str">
            <v>H</v>
          </cell>
          <cell r="AU450">
            <v>0</v>
          </cell>
        </row>
        <row r="451">
          <cell r="B451" t="str">
            <v>H</v>
          </cell>
        </row>
        <row r="452">
          <cell r="B452" t="str">
            <v>H</v>
          </cell>
        </row>
        <row r="453">
          <cell r="B453" t="str">
            <v>H</v>
          </cell>
          <cell r="AU453">
            <v>0</v>
          </cell>
        </row>
        <row r="454">
          <cell r="B454" t="str">
            <v>H</v>
          </cell>
        </row>
        <row r="455">
          <cell r="B455" t="str">
            <v>H</v>
          </cell>
          <cell r="AU455">
            <v>0</v>
          </cell>
        </row>
        <row r="456">
          <cell r="B456" t="str">
            <v>H</v>
          </cell>
          <cell r="AU456">
            <v>0</v>
          </cell>
        </row>
        <row r="457">
          <cell r="B457" t="str">
            <v>H</v>
          </cell>
        </row>
        <row r="458">
          <cell r="B458" t="str">
            <v>H</v>
          </cell>
          <cell r="AU458">
            <v>0</v>
          </cell>
        </row>
        <row r="459">
          <cell r="B459" t="str">
            <v>H</v>
          </cell>
          <cell r="AU459">
            <v>0</v>
          </cell>
        </row>
        <row r="460">
          <cell r="B460" t="str">
            <v>H</v>
          </cell>
        </row>
        <row r="461">
          <cell r="B461" t="str">
            <v>H</v>
          </cell>
        </row>
        <row r="463">
          <cell r="B463" t="str">
            <v>H</v>
          </cell>
          <cell r="AU463">
            <v>0</v>
          </cell>
        </row>
        <row r="464">
          <cell r="B464" t="str">
            <v>H</v>
          </cell>
          <cell r="AU464">
            <v>0</v>
          </cell>
        </row>
        <row r="465">
          <cell r="B465" t="str">
            <v>H</v>
          </cell>
          <cell r="AU465">
            <v>0</v>
          </cell>
        </row>
        <row r="466">
          <cell r="B466" t="str">
            <v>H</v>
          </cell>
          <cell r="AU466">
            <v>0</v>
          </cell>
        </row>
        <row r="467">
          <cell r="B467" t="str">
            <v>H</v>
          </cell>
          <cell r="AU467">
            <v>0</v>
          </cell>
        </row>
        <row r="468">
          <cell r="B468" t="str">
            <v>H</v>
          </cell>
          <cell r="AU468">
            <v>0</v>
          </cell>
        </row>
        <row r="469">
          <cell r="B469" t="str">
            <v>H</v>
          </cell>
          <cell r="AU469">
            <v>0</v>
          </cell>
        </row>
        <row r="470">
          <cell r="B470" t="str">
            <v>H</v>
          </cell>
          <cell r="AU470">
            <v>0</v>
          </cell>
        </row>
        <row r="472">
          <cell r="B472" t="str">
            <v>H</v>
          </cell>
          <cell r="AU472">
            <v>0</v>
          </cell>
        </row>
        <row r="473">
          <cell r="B473" t="str">
            <v>H</v>
          </cell>
          <cell r="AU473">
            <v>0</v>
          </cell>
        </row>
        <row r="474">
          <cell r="B474" t="str">
            <v>H</v>
          </cell>
          <cell r="AU474">
            <v>0</v>
          </cell>
        </row>
        <row r="475">
          <cell r="B475" t="str">
            <v>H</v>
          </cell>
          <cell r="AU475">
            <v>0</v>
          </cell>
        </row>
        <row r="476">
          <cell r="B476" t="str">
            <v>H</v>
          </cell>
          <cell r="AU476">
            <v>0</v>
          </cell>
        </row>
        <row r="483">
          <cell r="B483" t="str">
            <v>I</v>
          </cell>
          <cell r="AU483">
            <v>0</v>
          </cell>
        </row>
        <row r="484">
          <cell r="B484" t="str">
            <v>I</v>
          </cell>
          <cell r="AU484">
            <v>0</v>
          </cell>
        </row>
        <row r="485">
          <cell r="B485" t="str">
            <v>I</v>
          </cell>
          <cell r="AU485">
            <v>0</v>
          </cell>
        </row>
        <row r="486">
          <cell r="B486" t="str">
            <v>I</v>
          </cell>
        </row>
        <row r="487">
          <cell r="B487" t="str">
            <v>I</v>
          </cell>
          <cell r="AU487">
            <v>0</v>
          </cell>
        </row>
        <row r="488">
          <cell r="B488" t="str">
            <v>I</v>
          </cell>
          <cell r="AU488">
            <v>0</v>
          </cell>
        </row>
        <row r="489">
          <cell r="B489" t="str">
            <v>I</v>
          </cell>
        </row>
        <row r="490">
          <cell r="B490" t="str">
            <v>I</v>
          </cell>
          <cell r="AU490">
            <v>0</v>
          </cell>
        </row>
        <row r="495">
          <cell r="B495" t="str">
            <v>I</v>
          </cell>
          <cell r="AU495">
            <v>0</v>
          </cell>
        </row>
        <row r="496">
          <cell r="B496" t="str">
            <v>I</v>
          </cell>
          <cell r="AU496">
            <v>0</v>
          </cell>
        </row>
        <row r="497">
          <cell r="B497" t="str">
            <v>I</v>
          </cell>
        </row>
        <row r="498">
          <cell r="B498" t="str">
            <v>I</v>
          </cell>
          <cell r="AU498">
            <v>0</v>
          </cell>
        </row>
        <row r="499">
          <cell r="B499" t="str">
            <v>I</v>
          </cell>
          <cell r="AU499">
            <v>0</v>
          </cell>
        </row>
        <row r="500">
          <cell r="B500" t="str">
            <v>I</v>
          </cell>
          <cell r="AU500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>
        <row r="15">
          <cell r="O15">
            <v>154414325</v>
          </cell>
        </row>
        <row r="16">
          <cell r="O16">
            <v>0</v>
          </cell>
        </row>
        <row r="17">
          <cell r="O17">
            <v>0</v>
          </cell>
        </row>
        <row r="18">
          <cell r="O18">
            <v>3008101321.8000002</v>
          </cell>
        </row>
        <row r="19">
          <cell r="O19">
            <v>0</v>
          </cell>
        </row>
        <row r="20">
          <cell r="O20">
            <v>63788019.899999999</v>
          </cell>
        </row>
        <row r="22">
          <cell r="O22">
            <v>27336744</v>
          </cell>
        </row>
        <row r="23">
          <cell r="O23">
            <v>129756280</v>
          </cell>
        </row>
        <row r="24">
          <cell r="O24">
            <v>6418650</v>
          </cell>
        </row>
        <row r="25">
          <cell r="O25">
            <v>22500000</v>
          </cell>
        </row>
        <row r="29">
          <cell r="O29">
            <v>2712636107</v>
          </cell>
        </row>
        <row r="31">
          <cell r="O31">
            <v>0</v>
          </cell>
        </row>
        <row r="32">
          <cell r="O32">
            <v>493378710</v>
          </cell>
        </row>
        <row r="33">
          <cell r="O33">
            <v>1311013990</v>
          </cell>
        </row>
        <row r="34">
          <cell r="O34">
            <v>0</v>
          </cell>
        </row>
        <row r="35">
          <cell r="O35">
            <v>1856750872</v>
          </cell>
        </row>
        <row r="36">
          <cell r="O36">
            <v>0</v>
          </cell>
        </row>
        <row r="37">
          <cell r="O37">
            <v>0</v>
          </cell>
        </row>
        <row r="38">
          <cell r="O38">
            <v>2917421982</v>
          </cell>
        </row>
        <row r="39">
          <cell r="O39">
            <v>201446784</v>
          </cell>
        </row>
        <row r="40">
          <cell r="O40">
            <v>0</v>
          </cell>
        </row>
        <row r="41">
          <cell r="O41">
            <v>273173952</v>
          </cell>
        </row>
        <row r="42">
          <cell r="O42">
            <v>2277206416</v>
          </cell>
        </row>
        <row r="43">
          <cell r="O43">
            <v>1163325408</v>
          </cell>
        </row>
        <row r="44">
          <cell r="O44">
            <v>446099920</v>
          </cell>
        </row>
        <row r="45">
          <cell r="O45">
            <v>2493888099</v>
          </cell>
        </row>
        <row r="47">
          <cell r="O47">
            <v>0</v>
          </cell>
        </row>
        <row r="48">
          <cell r="O48">
            <v>412813592</v>
          </cell>
        </row>
        <row r="49">
          <cell r="O49">
            <v>1724400510</v>
          </cell>
        </row>
        <row r="51">
          <cell r="O51">
            <v>586598808</v>
          </cell>
        </row>
        <row r="52">
          <cell r="O52">
            <v>16580400</v>
          </cell>
        </row>
        <row r="53">
          <cell r="O53">
            <v>241730870</v>
          </cell>
        </row>
        <row r="57">
          <cell r="O57">
            <v>808759530</v>
          </cell>
        </row>
        <row r="61">
          <cell r="O61">
            <v>59146369</v>
          </cell>
        </row>
        <row r="63">
          <cell r="O63">
            <v>807585450</v>
          </cell>
        </row>
        <row r="65">
          <cell r="O65">
            <v>39975696</v>
          </cell>
        </row>
        <row r="66">
          <cell r="O66">
            <v>486640</v>
          </cell>
        </row>
        <row r="67">
          <cell r="O67">
            <v>274540080</v>
          </cell>
        </row>
        <row r="68">
          <cell r="O68">
            <v>351420896</v>
          </cell>
        </row>
        <row r="69">
          <cell r="O69">
            <v>62155536</v>
          </cell>
        </row>
        <row r="70">
          <cell r="O70">
            <v>161701280</v>
          </cell>
        </row>
        <row r="71">
          <cell r="O71">
            <v>111169120</v>
          </cell>
        </row>
        <row r="72">
          <cell r="O72">
            <v>237998880</v>
          </cell>
        </row>
        <row r="73">
          <cell r="O73">
            <v>2628776</v>
          </cell>
        </row>
        <row r="74">
          <cell r="O74">
            <v>6405164</v>
          </cell>
        </row>
        <row r="75">
          <cell r="O75">
            <v>36022560</v>
          </cell>
        </row>
        <row r="76">
          <cell r="O76">
            <v>0</v>
          </cell>
        </row>
        <row r="77">
          <cell r="O77">
            <v>66650220</v>
          </cell>
        </row>
        <row r="78">
          <cell r="O78">
            <v>5765500</v>
          </cell>
        </row>
        <row r="80">
          <cell r="O80">
            <v>6918600</v>
          </cell>
        </row>
        <row r="81">
          <cell r="O81">
            <v>0</v>
          </cell>
        </row>
        <row r="82">
          <cell r="O82">
            <v>194945980</v>
          </cell>
        </row>
        <row r="84">
          <cell r="O84">
            <v>2007090</v>
          </cell>
        </row>
        <row r="85">
          <cell r="O85">
            <v>0</v>
          </cell>
        </row>
        <row r="86">
          <cell r="O86">
            <v>442625820</v>
          </cell>
        </row>
        <row r="87">
          <cell r="O87">
            <v>7841080</v>
          </cell>
        </row>
        <row r="88">
          <cell r="O88">
            <v>0</v>
          </cell>
        </row>
        <row r="89">
          <cell r="O89">
            <v>10012080</v>
          </cell>
        </row>
        <row r="90">
          <cell r="O90">
            <v>4963020</v>
          </cell>
        </row>
        <row r="96">
          <cell r="O96">
            <v>116922339</v>
          </cell>
        </row>
        <row r="97">
          <cell r="O97">
            <v>2210450</v>
          </cell>
        </row>
        <row r="99">
          <cell r="O99">
            <v>3114450</v>
          </cell>
        </row>
        <row r="100">
          <cell r="O100">
            <v>442400</v>
          </cell>
        </row>
        <row r="101">
          <cell r="O101">
            <v>98687940</v>
          </cell>
        </row>
        <row r="102">
          <cell r="O102">
            <v>45979200</v>
          </cell>
        </row>
        <row r="103">
          <cell r="O103">
            <v>31378300</v>
          </cell>
        </row>
        <row r="104">
          <cell r="O104">
            <v>5240250</v>
          </cell>
        </row>
        <row r="105">
          <cell r="O105">
            <v>5595807</v>
          </cell>
        </row>
        <row r="106">
          <cell r="O106">
            <v>326968</v>
          </cell>
        </row>
        <row r="107">
          <cell r="O107">
            <v>0</v>
          </cell>
        </row>
        <row r="108">
          <cell r="O108">
            <v>42793020</v>
          </cell>
        </row>
        <row r="111">
          <cell r="O111">
            <v>10845207</v>
          </cell>
        </row>
        <row r="112">
          <cell r="O112">
            <v>66360</v>
          </cell>
        </row>
        <row r="113">
          <cell r="O113">
            <v>2264548</v>
          </cell>
        </row>
        <row r="114">
          <cell r="O114">
            <v>5545152</v>
          </cell>
        </row>
        <row r="115">
          <cell r="O115">
            <v>9336173</v>
          </cell>
        </row>
        <row r="116">
          <cell r="O116">
            <v>0</v>
          </cell>
        </row>
        <row r="117">
          <cell r="O117">
            <v>5804000</v>
          </cell>
        </row>
        <row r="118">
          <cell r="O118">
            <v>88128852</v>
          </cell>
        </row>
        <row r="119">
          <cell r="O119">
            <v>5526470</v>
          </cell>
        </row>
        <row r="120">
          <cell r="O120">
            <v>61270545</v>
          </cell>
        </row>
        <row r="121">
          <cell r="O121">
            <v>24094623</v>
          </cell>
        </row>
        <row r="122">
          <cell r="O122">
            <v>30590140</v>
          </cell>
        </row>
        <row r="123">
          <cell r="O123">
            <v>9498369</v>
          </cell>
        </row>
        <row r="124">
          <cell r="O124">
            <v>0</v>
          </cell>
        </row>
        <row r="125">
          <cell r="O125">
            <v>85586040</v>
          </cell>
        </row>
        <row r="126">
          <cell r="O126">
            <v>0</v>
          </cell>
        </row>
        <row r="127">
          <cell r="O127">
            <v>56396340</v>
          </cell>
        </row>
        <row r="128">
          <cell r="O128">
            <v>8648250</v>
          </cell>
        </row>
        <row r="130">
          <cell r="O130">
            <v>2007090</v>
          </cell>
        </row>
        <row r="131">
          <cell r="O131">
            <v>121660</v>
          </cell>
        </row>
        <row r="132">
          <cell r="O132">
            <v>4989825</v>
          </cell>
        </row>
        <row r="133">
          <cell r="O133">
            <v>0</v>
          </cell>
        </row>
        <row r="134">
          <cell r="O134">
            <v>29975800</v>
          </cell>
        </row>
        <row r="135">
          <cell r="O135">
            <v>43208130</v>
          </cell>
        </row>
        <row r="136">
          <cell r="O136">
            <v>12724470</v>
          </cell>
        </row>
        <row r="137">
          <cell r="O137">
            <v>1741460</v>
          </cell>
        </row>
        <row r="141">
          <cell r="O141">
            <v>16731927</v>
          </cell>
        </row>
        <row r="142">
          <cell r="O142">
            <v>1125320</v>
          </cell>
        </row>
        <row r="144">
          <cell r="O144">
            <v>8997300</v>
          </cell>
        </row>
        <row r="145">
          <cell r="O145">
            <v>1216600</v>
          </cell>
        </row>
        <row r="146">
          <cell r="O146">
            <v>19279500</v>
          </cell>
        </row>
        <row r="147">
          <cell r="O147">
            <v>1741960</v>
          </cell>
        </row>
        <row r="148">
          <cell r="O148">
            <v>21308170</v>
          </cell>
        </row>
        <row r="149">
          <cell r="O149">
            <v>6259740</v>
          </cell>
        </row>
        <row r="150">
          <cell r="O150">
            <v>2728676</v>
          </cell>
        </row>
        <row r="151">
          <cell r="O151">
            <v>56425</v>
          </cell>
        </row>
        <row r="152">
          <cell r="O152">
            <v>0</v>
          </cell>
        </row>
        <row r="153">
          <cell r="O153">
            <v>168172</v>
          </cell>
        </row>
        <row r="154">
          <cell r="O154">
            <v>15701650</v>
          </cell>
        </row>
        <row r="155">
          <cell r="O155">
            <v>27877494</v>
          </cell>
        </row>
        <row r="156">
          <cell r="O156">
            <v>1575895</v>
          </cell>
        </row>
        <row r="157">
          <cell r="O157">
            <v>15353280</v>
          </cell>
        </row>
        <row r="158">
          <cell r="O158">
            <v>35699832</v>
          </cell>
        </row>
        <row r="159">
          <cell r="O159">
            <v>84938</v>
          </cell>
        </row>
        <row r="160">
          <cell r="O160">
            <v>3216300</v>
          </cell>
        </row>
        <row r="161">
          <cell r="O161">
            <v>0</v>
          </cell>
        </row>
        <row r="162">
          <cell r="O162">
            <v>20059362</v>
          </cell>
        </row>
        <row r="164">
          <cell r="O164">
            <v>3737340</v>
          </cell>
        </row>
        <row r="165">
          <cell r="O165">
            <v>3318000</v>
          </cell>
        </row>
        <row r="166">
          <cell r="O166">
            <v>5398260</v>
          </cell>
        </row>
        <row r="167">
          <cell r="O167">
            <v>16390900</v>
          </cell>
        </row>
        <row r="168">
          <cell r="O168">
            <v>3436720</v>
          </cell>
        </row>
        <row r="169">
          <cell r="O169">
            <v>14329173</v>
          </cell>
        </row>
        <row r="170">
          <cell r="O170">
            <v>791800</v>
          </cell>
        </row>
        <row r="171">
          <cell r="O171">
            <v>40691820</v>
          </cell>
        </row>
        <row r="172">
          <cell r="O172">
            <v>0</v>
          </cell>
        </row>
        <row r="173">
          <cell r="O173">
            <v>17086206</v>
          </cell>
        </row>
        <row r="174">
          <cell r="O174">
            <v>10032120</v>
          </cell>
        </row>
        <row r="175">
          <cell r="O175">
            <v>42292600</v>
          </cell>
        </row>
        <row r="176">
          <cell r="O176">
            <v>32583180</v>
          </cell>
        </row>
        <row r="177">
          <cell r="O177">
            <v>6370350</v>
          </cell>
        </row>
        <row r="178">
          <cell r="O178">
            <v>157990</v>
          </cell>
        </row>
        <row r="179">
          <cell r="O179">
            <v>214420</v>
          </cell>
        </row>
        <row r="180">
          <cell r="O180">
            <v>0</v>
          </cell>
        </row>
        <row r="181">
          <cell r="O181">
            <v>504516</v>
          </cell>
        </row>
        <row r="182">
          <cell r="O182">
            <v>2612700</v>
          </cell>
        </row>
        <row r="183">
          <cell r="O183">
            <v>169663</v>
          </cell>
        </row>
        <row r="184">
          <cell r="O184">
            <v>27852586</v>
          </cell>
        </row>
        <row r="189">
          <cell r="O189">
            <v>4152600</v>
          </cell>
        </row>
        <row r="190">
          <cell r="O190">
            <v>5269730</v>
          </cell>
        </row>
        <row r="191">
          <cell r="O191">
            <v>6720269</v>
          </cell>
        </row>
        <row r="192">
          <cell r="O192">
            <v>1963840</v>
          </cell>
        </row>
        <row r="193">
          <cell r="O193">
            <v>0</v>
          </cell>
        </row>
        <row r="194">
          <cell r="O194">
            <v>13489110</v>
          </cell>
        </row>
        <row r="195">
          <cell r="O195">
            <v>1575895</v>
          </cell>
        </row>
        <row r="196">
          <cell r="O196">
            <v>3091980</v>
          </cell>
        </row>
        <row r="197">
          <cell r="O197">
            <v>5666640</v>
          </cell>
        </row>
        <row r="203">
          <cell r="O203">
            <v>17241510</v>
          </cell>
        </row>
        <row r="204">
          <cell r="O204">
            <v>71238786</v>
          </cell>
        </row>
        <row r="205">
          <cell r="O205">
            <v>19926238</v>
          </cell>
        </row>
        <row r="208">
          <cell r="O208">
            <v>45062631</v>
          </cell>
        </row>
        <row r="209">
          <cell r="O209">
            <v>2510620</v>
          </cell>
        </row>
        <row r="211">
          <cell r="O211">
            <v>714183680</v>
          </cell>
        </row>
        <row r="212">
          <cell r="O212">
            <v>42447600</v>
          </cell>
        </row>
        <row r="213">
          <cell r="O213">
            <v>75082980</v>
          </cell>
        </row>
        <row r="214">
          <cell r="O214">
            <v>41619620</v>
          </cell>
        </row>
        <row r="215">
          <cell r="O215">
            <v>337274600</v>
          </cell>
        </row>
        <row r="216">
          <cell r="O216">
            <v>11793100</v>
          </cell>
        </row>
        <row r="217">
          <cell r="O217">
            <v>0</v>
          </cell>
        </row>
        <row r="218">
          <cell r="O218">
            <v>9249460</v>
          </cell>
        </row>
        <row r="219">
          <cell r="O219">
            <v>8689450</v>
          </cell>
        </row>
        <row r="221">
          <cell r="O221">
            <v>0</v>
          </cell>
        </row>
        <row r="222">
          <cell r="O222">
            <v>57651840</v>
          </cell>
        </row>
        <row r="223">
          <cell r="O223">
            <v>0</v>
          </cell>
        </row>
        <row r="224">
          <cell r="O224">
            <v>33825000</v>
          </cell>
        </row>
        <row r="225">
          <cell r="O225">
            <v>733374681</v>
          </cell>
        </row>
        <row r="226">
          <cell r="O226">
            <v>185229672</v>
          </cell>
        </row>
        <row r="228">
          <cell r="O228">
            <v>0</v>
          </cell>
        </row>
        <row r="230">
          <cell r="O230">
            <v>3144852089.2800002</v>
          </cell>
        </row>
        <row r="234">
          <cell r="O234">
            <v>41387580</v>
          </cell>
        </row>
        <row r="235">
          <cell r="O235">
            <v>65032800</v>
          </cell>
        </row>
        <row r="237">
          <cell r="O237">
            <v>211029805</v>
          </cell>
        </row>
        <row r="238">
          <cell r="O238">
            <v>2506217</v>
          </cell>
        </row>
        <row r="239">
          <cell r="O239">
            <v>11757944.800000001</v>
          </cell>
        </row>
        <row r="240">
          <cell r="O240">
            <v>88753749</v>
          </cell>
        </row>
        <row r="241">
          <cell r="O241">
            <v>20215244</v>
          </cell>
        </row>
        <row r="242">
          <cell r="O242">
            <v>155985060</v>
          </cell>
        </row>
        <row r="243">
          <cell r="O243">
            <v>6904324</v>
          </cell>
        </row>
        <row r="244">
          <cell r="O244">
            <v>0</v>
          </cell>
        </row>
        <row r="245">
          <cell r="O245">
            <v>6474622</v>
          </cell>
        </row>
        <row r="246">
          <cell r="O246">
            <v>3712765</v>
          </cell>
        </row>
        <row r="248">
          <cell r="O248">
            <v>260498160</v>
          </cell>
        </row>
        <row r="249">
          <cell r="O249">
            <v>156866736</v>
          </cell>
        </row>
        <row r="250">
          <cell r="O250">
            <v>2111730.6</v>
          </cell>
        </row>
        <row r="252">
          <cell r="O252">
            <v>0</v>
          </cell>
        </row>
        <row r="253">
          <cell r="O253">
            <v>115315430</v>
          </cell>
        </row>
        <row r="254">
          <cell r="O254">
            <v>0</v>
          </cell>
        </row>
        <row r="255">
          <cell r="O255">
            <v>113472920</v>
          </cell>
        </row>
        <row r="257">
          <cell r="O257">
            <v>74414686</v>
          </cell>
        </row>
        <row r="258">
          <cell r="O258">
            <v>56553200</v>
          </cell>
        </row>
        <row r="259">
          <cell r="O259">
            <v>2816664</v>
          </cell>
        </row>
        <row r="260">
          <cell r="O260">
            <v>62423400</v>
          </cell>
        </row>
        <row r="261">
          <cell r="O261">
            <v>20865800</v>
          </cell>
        </row>
        <row r="262">
          <cell r="O262">
            <v>60916380</v>
          </cell>
        </row>
        <row r="263">
          <cell r="O263">
            <v>16419480</v>
          </cell>
        </row>
        <row r="264">
          <cell r="O264">
            <v>4766600</v>
          </cell>
        </row>
        <row r="265">
          <cell r="O265">
            <v>10721000</v>
          </cell>
        </row>
        <row r="267">
          <cell r="O267">
            <v>1384200</v>
          </cell>
        </row>
        <row r="268">
          <cell r="O268">
            <v>0</v>
          </cell>
        </row>
        <row r="269">
          <cell r="O269">
            <v>95571840</v>
          </cell>
        </row>
        <row r="270">
          <cell r="O270">
            <v>5012670</v>
          </cell>
        </row>
        <row r="273">
          <cell r="O273">
            <v>42956595</v>
          </cell>
        </row>
        <row r="274">
          <cell r="O274">
            <v>1941030</v>
          </cell>
        </row>
        <row r="275">
          <cell r="O275">
            <v>10624950</v>
          </cell>
        </row>
        <row r="276">
          <cell r="O276">
            <v>11466630</v>
          </cell>
        </row>
        <row r="277">
          <cell r="O277">
            <v>24167200</v>
          </cell>
        </row>
        <row r="278">
          <cell r="O278">
            <v>0</v>
          </cell>
        </row>
        <row r="279">
          <cell r="O279">
            <v>834000000</v>
          </cell>
        </row>
        <row r="280">
          <cell r="O280">
            <v>0</v>
          </cell>
        </row>
        <row r="281">
          <cell r="O281">
            <v>115776960</v>
          </cell>
        </row>
        <row r="282">
          <cell r="O282">
            <v>2028032</v>
          </cell>
        </row>
        <row r="283">
          <cell r="O283">
            <v>12700000</v>
          </cell>
        </row>
        <row r="285">
          <cell r="O285">
            <v>21215310</v>
          </cell>
        </row>
        <row r="291">
          <cell r="O291">
            <v>101635586</v>
          </cell>
        </row>
        <row r="292">
          <cell r="O292">
            <v>12177570</v>
          </cell>
        </row>
        <row r="295">
          <cell r="O295">
            <v>12527010</v>
          </cell>
        </row>
        <row r="296">
          <cell r="O296">
            <v>24079680</v>
          </cell>
        </row>
        <row r="297">
          <cell r="O297">
            <v>6304200</v>
          </cell>
        </row>
        <row r="298">
          <cell r="O298">
            <v>3744790</v>
          </cell>
        </row>
        <row r="299">
          <cell r="O299">
            <v>31972850</v>
          </cell>
        </row>
        <row r="301">
          <cell r="O301">
            <v>0</v>
          </cell>
        </row>
        <row r="302">
          <cell r="O302">
            <v>0</v>
          </cell>
        </row>
        <row r="303">
          <cell r="O303">
            <v>0</v>
          </cell>
        </row>
        <row r="304">
          <cell r="O304">
            <v>19983031</v>
          </cell>
        </row>
        <row r="305">
          <cell r="O305">
            <v>0</v>
          </cell>
        </row>
        <row r="306">
          <cell r="O306">
            <v>0</v>
          </cell>
        </row>
        <row r="307">
          <cell r="O307">
            <v>281602800</v>
          </cell>
        </row>
        <row r="308">
          <cell r="O308">
            <v>7818800</v>
          </cell>
        </row>
        <row r="309">
          <cell r="O309">
            <v>1267928</v>
          </cell>
        </row>
        <row r="310">
          <cell r="O310">
            <v>289443</v>
          </cell>
        </row>
        <row r="311">
          <cell r="O311">
            <v>5010432</v>
          </cell>
        </row>
        <row r="313">
          <cell r="O313">
            <v>163552480</v>
          </cell>
        </row>
        <row r="314">
          <cell r="O314">
            <v>5209974</v>
          </cell>
        </row>
        <row r="315">
          <cell r="O315">
            <v>138606000</v>
          </cell>
        </row>
        <row r="316">
          <cell r="O316">
            <v>14166600</v>
          </cell>
        </row>
        <row r="317">
          <cell r="O317">
            <v>46715900</v>
          </cell>
        </row>
        <row r="318">
          <cell r="O318">
            <v>3006280</v>
          </cell>
        </row>
        <row r="319">
          <cell r="O319">
            <v>1828632</v>
          </cell>
        </row>
        <row r="320">
          <cell r="O320">
            <v>4824450</v>
          </cell>
        </row>
        <row r="322">
          <cell r="O322">
            <v>0</v>
          </cell>
        </row>
        <row r="323">
          <cell r="O323">
            <v>2533430997</v>
          </cell>
        </row>
        <row r="324">
          <cell r="O324">
            <v>0</v>
          </cell>
        </row>
        <row r="325">
          <cell r="O325">
            <v>51078420</v>
          </cell>
        </row>
        <row r="326">
          <cell r="O326">
            <v>0</v>
          </cell>
        </row>
        <row r="327">
          <cell r="O327">
            <v>105000000</v>
          </cell>
        </row>
        <row r="328">
          <cell r="O328">
            <v>70113950</v>
          </cell>
        </row>
        <row r="329">
          <cell r="O329">
            <v>181254000</v>
          </cell>
        </row>
        <row r="330">
          <cell r="O330">
            <v>17836980</v>
          </cell>
        </row>
        <row r="332">
          <cell r="O332">
            <v>0</v>
          </cell>
        </row>
        <row r="333">
          <cell r="O333">
            <v>66150740</v>
          </cell>
        </row>
        <row r="334">
          <cell r="O334">
            <v>0</v>
          </cell>
        </row>
        <row r="335">
          <cell r="O335">
            <v>0</v>
          </cell>
        </row>
        <row r="336">
          <cell r="O336">
            <v>15373200</v>
          </cell>
        </row>
        <row r="337">
          <cell r="O337">
            <v>10308730</v>
          </cell>
        </row>
        <row r="338">
          <cell r="O338">
            <v>0</v>
          </cell>
        </row>
        <row r="339">
          <cell r="O339">
            <v>3489251</v>
          </cell>
        </row>
        <row r="340">
          <cell r="O340">
            <v>20889000</v>
          </cell>
        </row>
        <row r="341">
          <cell r="O341">
            <v>6940956</v>
          </cell>
        </row>
        <row r="342">
          <cell r="O342">
            <v>13197170</v>
          </cell>
        </row>
        <row r="343">
          <cell r="O343">
            <v>17708250</v>
          </cell>
        </row>
        <row r="344">
          <cell r="O344">
            <v>1998304</v>
          </cell>
        </row>
        <row r="345">
          <cell r="O345">
            <v>5608032</v>
          </cell>
        </row>
        <row r="346">
          <cell r="O346">
            <v>5104160</v>
          </cell>
        </row>
        <row r="347">
          <cell r="O347">
            <v>6553108</v>
          </cell>
        </row>
        <row r="349">
          <cell r="O349">
            <v>8553270</v>
          </cell>
        </row>
        <row r="350">
          <cell r="O350">
            <v>195051710</v>
          </cell>
        </row>
        <row r="351">
          <cell r="O351">
            <v>12151260</v>
          </cell>
        </row>
        <row r="352">
          <cell r="O352">
            <v>3127122</v>
          </cell>
        </row>
        <row r="353">
          <cell r="O353">
            <v>1294020</v>
          </cell>
        </row>
        <row r="354">
          <cell r="O354">
            <v>4122640</v>
          </cell>
        </row>
        <row r="355">
          <cell r="O355">
            <v>33291510</v>
          </cell>
        </row>
        <row r="356">
          <cell r="O356">
            <v>17319120</v>
          </cell>
        </row>
        <row r="358">
          <cell r="O358">
            <v>26307336</v>
          </cell>
        </row>
        <row r="359">
          <cell r="O359">
            <v>12705220</v>
          </cell>
        </row>
        <row r="360">
          <cell r="O360">
            <v>52689120</v>
          </cell>
        </row>
        <row r="361">
          <cell r="O361">
            <v>6371585</v>
          </cell>
        </row>
        <row r="362">
          <cell r="O362">
            <v>53249790</v>
          </cell>
        </row>
        <row r="364">
          <cell r="O364">
            <v>17742336</v>
          </cell>
        </row>
        <row r="365">
          <cell r="O365">
            <v>1104660</v>
          </cell>
        </row>
        <row r="368">
          <cell r="O368">
            <v>9917793</v>
          </cell>
        </row>
        <row r="369">
          <cell r="O369">
            <v>26309280</v>
          </cell>
        </row>
        <row r="370">
          <cell r="O370">
            <v>6304200</v>
          </cell>
        </row>
        <row r="371">
          <cell r="O371">
            <v>3928960</v>
          </cell>
        </row>
        <row r="372">
          <cell r="O372">
            <v>20156373</v>
          </cell>
        </row>
        <row r="374">
          <cell r="O374">
            <v>0</v>
          </cell>
        </row>
        <row r="375">
          <cell r="O375">
            <v>0</v>
          </cell>
        </row>
        <row r="376">
          <cell r="O376">
            <v>0</v>
          </cell>
        </row>
        <row r="377">
          <cell r="O377">
            <v>19983031</v>
          </cell>
        </row>
        <row r="378">
          <cell r="O378">
            <v>0</v>
          </cell>
        </row>
        <row r="379">
          <cell r="O379">
            <v>0</v>
          </cell>
        </row>
        <row r="380">
          <cell r="O380">
            <v>587590200</v>
          </cell>
        </row>
        <row r="381">
          <cell r="O381">
            <v>15687356</v>
          </cell>
        </row>
        <row r="382">
          <cell r="O382">
            <v>1607770</v>
          </cell>
        </row>
        <row r="383">
          <cell r="O383">
            <v>323505</v>
          </cell>
        </row>
        <row r="384">
          <cell r="O384">
            <v>5845504</v>
          </cell>
        </row>
        <row r="386">
          <cell r="O386">
            <v>154745808</v>
          </cell>
        </row>
        <row r="387">
          <cell r="O387">
            <v>4631088</v>
          </cell>
        </row>
        <row r="388">
          <cell r="O388">
            <v>115974128</v>
          </cell>
        </row>
        <row r="389">
          <cell r="O389">
            <v>18062415</v>
          </cell>
        </row>
        <row r="390">
          <cell r="O390">
            <v>31936688</v>
          </cell>
        </row>
        <row r="391">
          <cell r="O391">
            <v>2630495</v>
          </cell>
        </row>
        <row r="392">
          <cell r="O392">
            <v>1828632</v>
          </cell>
        </row>
        <row r="393">
          <cell r="O393">
            <v>4824450</v>
          </cell>
        </row>
        <row r="395">
          <cell r="O395">
            <v>0</v>
          </cell>
        </row>
        <row r="396">
          <cell r="O396">
            <v>3737492642</v>
          </cell>
        </row>
        <row r="397">
          <cell r="O397">
            <v>0</v>
          </cell>
        </row>
        <row r="398">
          <cell r="O398">
            <v>60912432</v>
          </cell>
        </row>
        <row r="399">
          <cell r="O399">
            <v>0</v>
          </cell>
        </row>
        <row r="400">
          <cell r="O400">
            <v>129705920</v>
          </cell>
        </row>
        <row r="401">
          <cell r="O401">
            <v>82439200</v>
          </cell>
        </row>
        <row r="402">
          <cell r="O402">
            <v>225679000</v>
          </cell>
        </row>
        <row r="403">
          <cell r="O403">
            <v>21234500</v>
          </cell>
        </row>
        <row r="405">
          <cell r="O405">
            <v>0</v>
          </cell>
        </row>
        <row r="406">
          <cell r="O406">
            <v>68431800</v>
          </cell>
        </row>
        <row r="407">
          <cell r="O407">
            <v>0</v>
          </cell>
        </row>
        <row r="408">
          <cell r="O408">
            <v>0</v>
          </cell>
        </row>
        <row r="409">
          <cell r="O409">
            <v>30926190</v>
          </cell>
        </row>
        <row r="410">
          <cell r="O410">
            <v>0</v>
          </cell>
        </row>
        <row r="411">
          <cell r="O411">
            <v>4211165</v>
          </cell>
        </row>
        <row r="412">
          <cell r="O412">
            <v>27852000</v>
          </cell>
        </row>
        <row r="413">
          <cell r="O413">
            <v>9435420</v>
          </cell>
        </row>
        <row r="414">
          <cell r="O414">
            <v>16967790</v>
          </cell>
        </row>
        <row r="415">
          <cell r="O415">
            <v>21249900</v>
          </cell>
        </row>
        <row r="416">
          <cell r="O416">
            <v>1998304</v>
          </cell>
        </row>
        <row r="417">
          <cell r="O417">
            <v>8576800</v>
          </cell>
        </row>
        <row r="418">
          <cell r="O418">
            <v>5104160</v>
          </cell>
        </row>
        <row r="419">
          <cell r="O419">
            <v>6553108</v>
          </cell>
        </row>
        <row r="421">
          <cell r="O421">
            <v>18661680</v>
          </cell>
        </row>
        <row r="422">
          <cell r="O422">
            <v>81954500</v>
          </cell>
        </row>
        <row r="423">
          <cell r="O423">
            <v>9328240</v>
          </cell>
        </row>
        <row r="424">
          <cell r="O424">
            <v>2506217</v>
          </cell>
        </row>
        <row r="425">
          <cell r="O425">
            <v>1575895</v>
          </cell>
        </row>
        <row r="426">
          <cell r="O426">
            <v>3234140</v>
          </cell>
        </row>
        <row r="427">
          <cell r="O427">
            <v>19833240</v>
          </cell>
        </row>
        <row r="428">
          <cell r="O428">
            <v>13710970</v>
          </cell>
        </row>
        <row r="430">
          <cell r="O430">
            <v>34677852</v>
          </cell>
        </row>
        <row r="431">
          <cell r="O431">
            <v>17787308</v>
          </cell>
        </row>
        <row r="432">
          <cell r="O432">
            <v>66739552</v>
          </cell>
        </row>
        <row r="433">
          <cell r="O433">
            <v>8221400</v>
          </cell>
        </row>
        <row r="434">
          <cell r="O434">
            <v>67449734</v>
          </cell>
        </row>
        <row r="437">
          <cell r="O437">
            <v>8941932</v>
          </cell>
        </row>
        <row r="438">
          <cell r="O438">
            <v>16610520</v>
          </cell>
        </row>
        <row r="439">
          <cell r="O439">
            <v>6083000</v>
          </cell>
        </row>
        <row r="440">
          <cell r="O440">
            <v>1841700</v>
          </cell>
        </row>
        <row r="441">
          <cell r="O441">
            <v>20156373</v>
          </cell>
        </row>
        <row r="443">
          <cell r="O443">
            <v>0</v>
          </cell>
        </row>
        <row r="444">
          <cell r="O444">
            <v>0</v>
          </cell>
        </row>
        <row r="445">
          <cell r="O445">
            <v>19983031</v>
          </cell>
        </row>
        <row r="446">
          <cell r="O446">
            <v>0</v>
          </cell>
        </row>
        <row r="447">
          <cell r="O447">
            <v>461472000</v>
          </cell>
        </row>
        <row r="448">
          <cell r="O448">
            <v>16625612</v>
          </cell>
        </row>
        <row r="449">
          <cell r="O449">
            <v>1289507.3999999999</v>
          </cell>
        </row>
        <row r="450">
          <cell r="O450">
            <v>315179</v>
          </cell>
        </row>
        <row r="451">
          <cell r="O451">
            <v>4771840</v>
          </cell>
        </row>
        <row r="453">
          <cell r="O453">
            <v>132100080</v>
          </cell>
        </row>
        <row r="454">
          <cell r="O454">
            <v>3808688</v>
          </cell>
        </row>
        <row r="455">
          <cell r="O455">
            <v>111951000</v>
          </cell>
        </row>
        <row r="456">
          <cell r="O456">
            <v>14166600</v>
          </cell>
        </row>
        <row r="457">
          <cell r="O457">
            <v>38222100</v>
          </cell>
        </row>
        <row r="458">
          <cell r="O458">
            <v>1954082</v>
          </cell>
        </row>
        <row r="459">
          <cell r="O459">
            <v>1828632</v>
          </cell>
        </row>
        <row r="460">
          <cell r="O460">
            <v>4824450</v>
          </cell>
        </row>
        <row r="462">
          <cell r="O462">
            <v>0</v>
          </cell>
        </row>
        <row r="463">
          <cell r="O463">
            <v>1993026908</v>
          </cell>
        </row>
        <row r="464">
          <cell r="O464">
            <v>0</v>
          </cell>
        </row>
        <row r="465">
          <cell r="O465">
            <v>35809092</v>
          </cell>
        </row>
        <row r="466">
          <cell r="O466">
            <v>0</v>
          </cell>
        </row>
        <row r="467">
          <cell r="O467">
            <v>71647000</v>
          </cell>
        </row>
        <row r="468">
          <cell r="O468">
            <v>49614840</v>
          </cell>
        </row>
        <row r="469">
          <cell r="O469">
            <v>124390000</v>
          </cell>
        </row>
        <row r="470">
          <cell r="O470">
            <v>12740700</v>
          </cell>
        </row>
        <row r="472">
          <cell r="O472">
            <v>0</v>
          </cell>
        </row>
        <row r="473">
          <cell r="O473">
            <v>45621200</v>
          </cell>
        </row>
        <row r="474">
          <cell r="O474">
            <v>0</v>
          </cell>
        </row>
        <row r="475">
          <cell r="O475">
            <v>0</v>
          </cell>
        </row>
        <row r="476">
          <cell r="O476">
            <v>7686600</v>
          </cell>
        </row>
        <row r="477">
          <cell r="O477">
            <v>10308730</v>
          </cell>
        </row>
        <row r="478">
          <cell r="O478">
            <v>0</v>
          </cell>
        </row>
        <row r="479">
          <cell r="O479">
            <v>2526699</v>
          </cell>
        </row>
        <row r="480">
          <cell r="O480">
            <v>14622300</v>
          </cell>
        </row>
        <row r="481">
          <cell r="O481">
            <v>4741455</v>
          </cell>
        </row>
        <row r="482">
          <cell r="O482">
            <v>9426550</v>
          </cell>
        </row>
        <row r="483">
          <cell r="O483">
            <v>14166600</v>
          </cell>
        </row>
        <row r="484">
          <cell r="O484">
            <v>1998304</v>
          </cell>
        </row>
        <row r="485">
          <cell r="O485">
            <v>3210736</v>
          </cell>
        </row>
        <row r="486">
          <cell r="O486">
            <v>5104160</v>
          </cell>
        </row>
        <row r="487">
          <cell r="O487">
            <v>3674640</v>
          </cell>
        </row>
        <row r="489">
          <cell r="O489">
            <v>26437380</v>
          </cell>
        </row>
        <row r="490">
          <cell r="O490">
            <v>75398140</v>
          </cell>
        </row>
        <row r="491">
          <cell r="O491">
            <v>6996180</v>
          </cell>
        </row>
        <row r="492">
          <cell r="O492">
            <v>1885310</v>
          </cell>
        </row>
        <row r="493">
          <cell r="O493">
            <v>1294020</v>
          </cell>
        </row>
        <row r="494">
          <cell r="O494">
            <v>2274560</v>
          </cell>
        </row>
        <row r="495">
          <cell r="O495">
            <v>17708250</v>
          </cell>
        </row>
        <row r="496">
          <cell r="O496">
            <v>14432600</v>
          </cell>
        </row>
        <row r="498">
          <cell r="O498">
            <v>20328396</v>
          </cell>
        </row>
        <row r="499">
          <cell r="O499">
            <v>11307645.800000001</v>
          </cell>
        </row>
        <row r="500">
          <cell r="O500">
            <v>45663904</v>
          </cell>
        </row>
        <row r="501">
          <cell r="O501">
            <v>4932840</v>
          </cell>
        </row>
        <row r="502">
          <cell r="O502">
            <v>39049846</v>
          </cell>
        </row>
        <row r="509">
          <cell r="O509">
            <v>41355510</v>
          </cell>
        </row>
        <row r="510">
          <cell r="O510">
            <v>0</v>
          </cell>
        </row>
        <row r="511">
          <cell r="O511">
            <v>39963666.75</v>
          </cell>
        </row>
        <row r="512">
          <cell r="O512">
            <v>159892002.59999999</v>
          </cell>
        </row>
        <row r="513">
          <cell r="O513">
            <v>0</v>
          </cell>
        </row>
        <row r="514">
          <cell r="O514">
            <v>0</v>
          </cell>
        </row>
        <row r="515">
          <cell r="O515">
            <v>8380960</v>
          </cell>
        </row>
        <row r="516">
          <cell r="O516">
            <v>15662940</v>
          </cell>
        </row>
        <row r="521">
          <cell r="O521">
            <v>56266000</v>
          </cell>
        </row>
        <row r="522">
          <cell r="O522">
            <v>0</v>
          </cell>
        </row>
        <row r="523">
          <cell r="O523">
            <v>28050560</v>
          </cell>
        </row>
        <row r="524">
          <cell r="O524">
            <v>26476500</v>
          </cell>
        </row>
        <row r="525">
          <cell r="O525">
            <v>122078490</v>
          </cell>
        </row>
        <row r="526">
          <cell r="O526">
            <v>45367210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PH"/>
      <sheetName val="TS"/>
      <sheetName val="Rek"/>
      <sheetName val="Rab"/>
      <sheetName val="Anl"/>
      <sheetName val="H.Dasar"/>
      <sheetName val="H.Lokasi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MAJOR"/>
      <sheetName val="%"/>
      <sheetName val="Rekap"/>
      <sheetName val="Informasi"/>
      <sheetName val="Peta Quarry"/>
      <sheetName val="Mobilisasi"/>
      <sheetName val="Jemb.Sementara"/>
      <sheetName val="Perhitungan Mobilisasi Alat"/>
      <sheetName val="Lalu Lintas"/>
      <sheetName val="Jembatan Sementara"/>
      <sheetName val="BOQ"/>
      <sheetName val="D2"/>
      <sheetName val="D3"/>
      <sheetName val="D4"/>
      <sheetName val="D5"/>
      <sheetName val="D6"/>
      <sheetName val="D6 ASBT"/>
      <sheetName val="D7(1)"/>
      <sheetName val="D7(2)"/>
      <sheetName val="D7(3)"/>
      <sheetName val="D8(1)"/>
      <sheetName val="D8(2)"/>
      <sheetName val="D9"/>
      <sheetName val="D10 LS-Rutin"/>
      <sheetName val="D10 Kuantitas"/>
      <sheetName val="D10 Analisa HSP"/>
      <sheetName val="4-Basic Price"/>
      <sheetName val="4-Analisa Quarry"/>
      <sheetName val="4-formulir harga bahan"/>
      <sheetName val="5-ALAT(1)"/>
      <sheetName val="5-ALAT (2)"/>
      <sheetName val="Agg Halus &amp; Kasar"/>
      <sheetName val="Agg A"/>
      <sheetName val="Agg B"/>
      <sheetName val="Agg C"/>
    </sheetNames>
    <sheetDataSet>
      <sheetData sheetId="0"/>
      <sheetData sheetId="1"/>
      <sheetData sheetId="2"/>
      <sheetData sheetId="3">
        <row r="28">
          <cell r="H28">
            <v>1286498489.51704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>
        <row r="19">
          <cell r="G19">
            <v>363129164.50159621</v>
          </cell>
        </row>
        <row r="37">
          <cell r="G37">
            <v>0</v>
          </cell>
        </row>
        <row r="60">
          <cell r="G60">
            <v>20202070.893599998</v>
          </cell>
        </row>
        <row r="73">
          <cell r="G73">
            <v>81255562.920000002</v>
          </cell>
        </row>
        <row r="86">
          <cell r="G86">
            <v>0</v>
          </cell>
        </row>
        <row r="124">
          <cell r="G124">
            <v>65556426.618136995</v>
          </cell>
        </row>
        <row r="275">
          <cell r="G275">
            <v>4821729.7052293206</v>
          </cell>
        </row>
        <row r="301">
          <cell r="G301">
            <v>3827617.2514596605</v>
          </cell>
        </row>
        <row r="312">
          <cell r="G312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8">
          <cell r="D8" t="str">
            <v>(L01)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Rekap Biaya"/>
      <sheetName val="Kuantitas &amp; Harga"/>
      <sheetName val="anaK"/>
      <sheetName val="Lamp.Upah&amp;Biaya"/>
      <sheetName val="Lamp.ABiaya"/>
      <sheetName val="ANGKUT"/>
      <sheetName val="Upah&amp;Bahan"/>
      <sheetName val="Sket Jrk Angkut"/>
      <sheetName val="Rekap_Biaya"/>
      <sheetName val="Kuantitas_&amp;_Harga"/>
      <sheetName val="Lamp_Upah&amp;Biaya"/>
      <sheetName val="Lamp_ABiaya"/>
      <sheetName val="Sket_Jrk_Angkut"/>
      <sheetName val="Rekap_Biaya1"/>
      <sheetName val="Kuantitas_&amp;_Harga1"/>
      <sheetName val="Lamp_Upah&amp;Biaya1"/>
      <sheetName val="Lamp_ABiaya1"/>
      <sheetName val="Sket_Jrk_Angkut1"/>
      <sheetName val="Rekap_Biaya2"/>
      <sheetName val="Kuantitas_&amp;_Harga2"/>
      <sheetName val="Lamp_Upah&amp;Biaya2"/>
      <sheetName val="Lamp_ABiaya2"/>
      <sheetName val="Sket_Jrk_Angkut2"/>
      <sheetName val="Rekap_Biaya3"/>
      <sheetName val="Kuantitas_&amp;_Harga3"/>
      <sheetName val="Lamp_Upah&amp;Biaya3"/>
      <sheetName val="Lamp_ABiaya3"/>
      <sheetName val="Sket_Jrk_Angku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5">
          <cell r="C15">
            <v>30000</v>
          </cell>
        </row>
        <row r="16">
          <cell r="C16">
            <v>34000</v>
          </cell>
        </row>
        <row r="17">
          <cell r="C17">
            <v>38000</v>
          </cell>
        </row>
        <row r="18">
          <cell r="C18">
            <v>42000</v>
          </cell>
        </row>
        <row r="19">
          <cell r="C19">
            <v>48000</v>
          </cell>
        </row>
        <row r="20">
          <cell r="C20">
            <v>54000</v>
          </cell>
        </row>
        <row r="21">
          <cell r="C21">
            <v>54000</v>
          </cell>
        </row>
        <row r="22">
          <cell r="C22">
            <v>26250</v>
          </cell>
        </row>
        <row r="23">
          <cell r="C23">
            <v>48000</v>
          </cell>
        </row>
        <row r="24">
          <cell r="C24">
            <v>54000</v>
          </cell>
        </row>
        <row r="26">
          <cell r="C26">
            <v>48000</v>
          </cell>
        </row>
        <row r="27">
          <cell r="C27">
            <v>48000</v>
          </cell>
        </row>
        <row r="41">
          <cell r="C41">
            <v>30000</v>
          </cell>
        </row>
        <row r="42">
          <cell r="C42">
            <v>32500</v>
          </cell>
        </row>
        <row r="43">
          <cell r="C43">
            <v>57500</v>
          </cell>
        </row>
        <row r="44">
          <cell r="C44">
            <v>33000</v>
          </cell>
        </row>
        <row r="47">
          <cell r="C47">
            <v>60000</v>
          </cell>
        </row>
        <row r="51">
          <cell r="C51">
            <v>135000</v>
          </cell>
        </row>
        <row r="52">
          <cell r="C52">
            <v>60000</v>
          </cell>
        </row>
        <row r="54">
          <cell r="C54">
            <v>426178</v>
          </cell>
        </row>
        <row r="55">
          <cell r="C55">
            <v>456659</v>
          </cell>
        </row>
        <row r="61">
          <cell r="C61">
            <v>8900</v>
          </cell>
        </row>
        <row r="62">
          <cell r="C62">
            <v>29000</v>
          </cell>
        </row>
        <row r="83">
          <cell r="C83">
            <v>3679</v>
          </cell>
        </row>
        <row r="90">
          <cell r="C90">
            <v>990</v>
          </cell>
        </row>
        <row r="205">
          <cell r="U205" t="e">
            <v>#REF!</v>
          </cell>
        </row>
        <row r="261">
          <cell r="U261" t="e">
            <v>#REF!</v>
          </cell>
        </row>
        <row r="317">
          <cell r="U317" t="e">
            <v>#REF!</v>
          </cell>
        </row>
        <row r="373">
          <cell r="U373" t="e">
            <v>#REF!</v>
          </cell>
        </row>
        <row r="429">
          <cell r="U429" t="e">
            <v>#REF!</v>
          </cell>
        </row>
        <row r="485">
          <cell r="U485" t="e">
            <v>#REF!</v>
          </cell>
        </row>
        <row r="541">
          <cell r="U541" t="e">
            <v>#REF!</v>
          </cell>
        </row>
        <row r="597">
          <cell r="U597">
            <v>28794</v>
          </cell>
        </row>
        <row r="653">
          <cell r="U653" t="e">
            <v>#REF!</v>
          </cell>
        </row>
        <row r="709">
          <cell r="U709" t="e">
            <v>#REF!</v>
          </cell>
        </row>
        <row r="765">
          <cell r="U765" t="e">
            <v>#REF!</v>
          </cell>
        </row>
        <row r="821">
          <cell r="U821" t="e">
            <v>#REF!</v>
          </cell>
        </row>
        <row r="877">
          <cell r="U877" t="e">
            <v>#REF!</v>
          </cell>
        </row>
        <row r="933">
          <cell r="U933" t="e">
            <v>#REF!</v>
          </cell>
        </row>
        <row r="989">
          <cell r="U989" t="e">
            <v>#REF!</v>
          </cell>
        </row>
        <row r="1045">
          <cell r="U1045" t="e">
            <v>#REF!</v>
          </cell>
        </row>
        <row r="1101">
          <cell r="U1101" t="e">
            <v>#REF!</v>
          </cell>
        </row>
        <row r="1157">
          <cell r="U1157" t="e">
            <v>#REF!</v>
          </cell>
        </row>
        <row r="1213">
          <cell r="U1213" t="e">
            <v>#REF!</v>
          </cell>
        </row>
        <row r="1269">
          <cell r="U1269" t="e">
            <v>#REF!</v>
          </cell>
        </row>
        <row r="1325">
          <cell r="U1325" t="e">
            <v>#REF!</v>
          </cell>
        </row>
        <row r="1381">
          <cell r="U1381" t="e">
            <v>#REF!</v>
          </cell>
        </row>
        <row r="1437">
          <cell r="U1437">
            <v>11645</v>
          </cell>
        </row>
        <row r="1493">
          <cell r="U1493">
            <v>45329</v>
          </cell>
        </row>
        <row r="1549">
          <cell r="U1549" t="e">
            <v>#REF!</v>
          </cell>
        </row>
        <row r="1612">
          <cell r="U1612" t="e">
            <v>#REF!</v>
          </cell>
        </row>
        <row r="1672">
          <cell r="U1672" t="e">
            <v>#REF!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Peta Quarry"/>
      <sheetName val="Lalu Lintas"/>
      <sheetName val="Jembatan Sementara"/>
      <sheetName val="Jrk AK (2)"/>
      <sheetName val="Jrk AK"/>
      <sheetName val="Lampiran 2 a "/>
      <sheetName val="Lampiran 2b"/>
      <sheetName val="Lampiran 2c"/>
      <sheetName val="Lampiran 3"/>
      <sheetName val="Lampiran 6a"/>
      <sheetName val="Lampiran 6b"/>
      <sheetName val="Lampiran 7"/>
      <sheetName val="Lampiran 8"/>
      <sheetName val="Lampiran 9"/>
      <sheetName val="Lampiran 10"/>
      <sheetName val="Daftar Kebutuhan peralatan"/>
      <sheetName val="Informasi"/>
      <sheetName val="Rekap"/>
      <sheetName val="BOQ"/>
      <sheetName val="Mobilisasi"/>
      <sheetName val="D2"/>
      <sheetName val="D6"/>
      <sheetName val="D8(1)"/>
      <sheetName val="4-Basic Price"/>
      <sheetName val="5-ALAT(1)"/>
      <sheetName val="4-Analisa Quarry"/>
      <sheetName val="Agg Halus &amp; Kasar"/>
      <sheetName val="Agg A"/>
      <sheetName val="Agg B"/>
      <sheetName val="MAJOR"/>
      <sheetName val="Perhitungan Mobilisasi Alat"/>
      <sheetName val="D5"/>
      <sheetName val="D4"/>
      <sheetName val="D3"/>
      <sheetName val="4-formulir harga bahan"/>
      <sheetName val="%"/>
      <sheetName val="5-ALAT (2)"/>
      <sheetName val="Agg 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38">
          <cell r="R38">
            <v>3.0120481927710845E-3</v>
          </cell>
        </row>
        <row r="39">
          <cell r="R39">
            <v>3.1250000000000002E-3</v>
          </cell>
        </row>
        <row r="40">
          <cell r="R40">
            <v>3.0120481927710845E-3</v>
          </cell>
        </row>
      </sheetData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B (MAJOR ITEM)"/>
      <sheetName val="PROGRESS"/>
      <sheetName val="Schdule (SISA)"/>
      <sheetName val="Schdule (ALAT&amp;BAHAN)"/>
      <sheetName val="ANATEK"/>
      <sheetName val="SCHDUL ALAT"/>
      <sheetName val="SCHDUL BAHAN"/>
      <sheetName val="RAB"/>
      <sheetName val="Schdule"/>
      <sheetName val="A_Berat"/>
      <sheetName val="L 1"/>
      <sheetName val="Kuantitas &amp; Harga"/>
      <sheetName val="5-Peralatan"/>
      <sheetName val="3-DIV8"/>
      <sheetName val="Bil"/>
      <sheetName val="RAB_(MAJOR_ITEM)"/>
      <sheetName val="Schdule_(SISA)"/>
      <sheetName val="Schdule_(ALAT&amp;BAHAN)"/>
      <sheetName val="SCHDUL_ALAT"/>
      <sheetName val="SCHDUL_BAHAN"/>
      <sheetName val="L_1"/>
      <sheetName val="Kuantitas_&amp;_Harga"/>
      <sheetName val="HARGA"/>
      <sheetName val="DAMIJ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16">
          <cell r="Z16">
            <v>77</v>
          </cell>
        </row>
        <row r="17">
          <cell r="Z17">
            <v>76</v>
          </cell>
        </row>
        <row r="18">
          <cell r="Z18">
            <v>75</v>
          </cell>
        </row>
        <row r="19">
          <cell r="Z19">
            <v>74</v>
          </cell>
        </row>
        <row r="21">
          <cell r="Z21">
            <v>73</v>
          </cell>
        </row>
        <row r="22">
          <cell r="Z22">
            <v>72</v>
          </cell>
        </row>
        <row r="23">
          <cell r="Z23">
            <v>71</v>
          </cell>
        </row>
        <row r="24">
          <cell r="Z24">
            <v>69</v>
          </cell>
        </row>
        <row r="25">
          <cell r="Z25">
            <v>68</v>
          </cell>
        </row>
        <row r="26">
          <cell r="Z26">
            <v>67</v>
          </cell>
        </row>
        <row r="28">
          <cell r="Z28">
            <v>66</v>
          </cell>
        </row>
        <row r="29">
          <cell r="Z29">
            <v>65</v>
          </cell>
        </row>
        <row r="31">
          <cell r="Z31">
            <v>64</v>
          </cell>
        </row>
        <row r="32">
          <cell r="Z32">
            <v>63</v>
          </cell>
        </row>
        <row r="34">
          <cell r="Z34">
            <v>62</v>
          </cell>
        </row>
        <row r="35">
          <cell r="Z35">
            <v>61</v>
          </cell>
        </row>
        <row r="37">
          <cell r="Z37">
            <v>60</v>
          </cell>
        </row>
        <row r="38">
          <cell r="Z38">
            <v>59</v>
          </cell>
        </row>
        <row r="40">
          <cell r="Z40">
            <v>58</v>
          </cell>
        </row>
        <row r="41">
          <cell r="Z41">
            <v>57</v>
          </cell>
        </row>
        <row r="43">
          <cell r="Z43">
            <v>56</v>
          </cell>
        </row>
        <row r="44">
          <cell r="Z44">
            <v>55</v>
          </cell>
        </row>
        <row r="46">
          <cell r="Z46">
            <v>54</v>
          </cell>
        </row>
        <row r="47">
          <cell r="Z47">
            <v>53</v>
          </cell>
        </row>
        <row r="49">
          <cell r="Z49">
            <v>52</v>
          </cell>
        </row>
        <row r="50">
          <cell r="Z50">
            <v>51</v>
          </cell>
        </row>
        <row r="52">
          <cell r="Z52">
            <v>50</v>
          </cell>
        </row>
        <row r="53">
          <cell r="Z53">
            <v>49</v>
          </cell>
        </row>
        <row r="54">
          <cell r="Z54">
            <v>48</v>
          </cell>
        </row>
        <row r="55">
          <cell r="Z55">
            <v>46</v>
          </cell>
        </row>
        <row r="56">
          <cell r="Z56">
            <v>45</v>
          </cell>
        </row>
        <row r="57">
          <cell r="Z57">
            <v>44</v>
          </cell>
        </row>
        <row r="59">
          <cell r="Z59">
            <v>43</v>
          </cell>
        </row>
        <row r="60">
          <cell r="Z60">
            <v>42</v>
          </cell>
        </row>
        <row r="62">
          <cell r="Z62">
            <v>41</v>
          </cell>
        </row>
        <row r="63">
          <cell r="Z63">
            <v>40</v>
          </cell>
        </row>
        <row r="65">
          <cell r="Z65">
            <v>39</v>
          </cell>
        </row>
        <row r="66">
          <cell r="Z66">
            <v>38</v>
          </cell>
        </row>
        <row r="68">
          <cell r="Z68">
            <v>37</v>
          </cell>
        </row>
        <row r="69">
          <cell r="Z69">
            <v>36</v>
          </cell>
        </row>
        <row r="71">
          <cell r="Z71">
            <v>35</v>
          </cell>
        </row>
        <row r="72">
          <cell r="Z72">
            <v>34</v>
          </cell>
        </row>
        <row r="74">
          <cell r="Z74">
            <v>33</v>
          </cell>
        </row>
        <row r="75">
          <cell r="Z75">
            <v>32</v>
          </cell>
        </row>
        <row r="77">
          <cell r="Z77">
            <v>31</v>
          </cell>
        </row>
        <row r="78">
          <cell r="Z78">
            <v>30</v>
          </cell>
        </row>
        <row r="80">
          <cell r="Z80">
            <v>29</v>
          </cell>
        </row>
        <row r="81">
          <cell r="Z81">
            <v>28</v>
          </cell>
        </row>
        <row r="83">
          <cell r="Z83">
            <v>27</v>
          </cell>
        </row>
        <row r="84">
          <cell r="Z84">
            <v>26</v>
          </cell>
        </row>
        <row r="86">
          <cell r="Z86">
            <v>25</v>
          </cell>
        </row>
        <row r="87">
          <cell r="Z87">
            <v>24</v>
          </cell>
        </row>
        <row r="89">
          <cell r="Z89">
            <v>23</v>
          </cell>
        </row>
        <row r="90">
          <cell r="Z90">
            <v>22</v>
          </cell>
        </row>
        <row r="92">
          <cell r="Z92">
            <v>21</v>
          </cell>
        </row>
        <row r="93">
          <cell r="Z93">
            <v>20</v>
          </cell>
        </row>
        <row r="94">
          <cell r="Z94">
            <v>19</v>
          </cell>
        </row>
        <row r="95">
          <cell r="Z95">
            <v>17</v>
          </cell>
        </row>
        <row r="96">
          <cell r="Z96">
            <v>16</v>
          </cell>
        </row>
        <row r="97">
          <cell r="Z97">
            <v>15</v>
          </cell>
        </row>
        <row r="99">
          <cell r="Z99">
            <v>14</v>
          </cell>
        </row>
        <row r="100">
          <cell r="Z100">
            <v>13</v>
          </cell>
        </row>
        <row r="101">
          <cell r="Z101">
            <v>12</v>
          </cell>
        </row>
        <row r="102">
          <cell r="Z102">
            <v>11</v>
          </cell>
        </row>
        <row r="103">
          <cell r="Z103">
            <v>9</v>
          </cell>
        </row>
        <row r="104">
          <cell r="Z104">
            <v>8</v>
          </cell>
        </row>
        <row r="106">
          <cell r="Z106">
            <v>7</v>
          </cell>
        </row>
        <row r="107">
          <cell r="Z107">
            <v>6</v>
          </cell>
        </row>
        <row r="108">
          <cell r="Z108">
            <v>5</v>
          </cell>
        </row>
        <row r="109">
          <cell r="Z109">
            <v>4</v>
          </cell>
        </row>
        <row r="110">
          <cell r="Z110">
            <v>3</v>
          </cell>
        </row>
        <row r="111">
          <cell r="Z111">
            <v>2</v>
          </cell>
        </row>
        <row r="112">
          <cell r="Z112">
            <v>1</v>
          </cell>
        </row>
      </sheetData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 refreshError="1"/>
      <sheetData sheetId="2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PH"/>
      <sheetName val="TS"/>
      <sheetName val="Rek"/>
      <sheetName val="Rab"/>
      <sheetName val="Anl"/>
      <sheetName val="H.Dasar"/>
      <sheetName val="H.Lokasi"/>
      <sheetName val="H_Dasar"/>
      <sheetName val="H_Lokasi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/>
      <sheetData sheetId="9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Peta Quarry"/>
      <sheetName val="Lalu Lintas"/>
      <sheetName val="Jembatan Sementara"/>
      <sheetName val="jarak AK"/>
      <sheetName val="Lampiran 2 a "/>
      <sheetName val="Lampiran 2b"/>
      <sheetName val="Lampiran 2c"/>
      <sheetName val="Lampiran 3"/>
      <sheetName val="Lampiran 6a"/>
      <sheetName val="Lampiran 6b"/>
      <sheetName val="Lampiran 7"/>
      <sheetName val="Lampiran 8"/>
      <sheetName val="Lampiran 9"/>
      <sheetName val="Lampiran 10"/>
      <sheetName val="Daftar Kebutuhan peralatan"/>
      <sheetName val="Informasi"/>
      <sheetName val="Rekap"/>
      <sheetName val="BOQ"/>
      <sheetName val="Mobilisasi"/>
      <sheetName val="D3"/>
      <sheetName val="D4"/>
      <sheetName val="D6"/>
      <sheetName val="D8"/>
      <sheetName val="4-Basic Price"/>
      <sheetName val="4-Analisa Quarry"/>
      <sheetName val="Agg Halus &amp; Kasar"/>
      <sheetName val="5-ALAT(1)"/>
      <sheetName val="%"/>
      <sheetName val="MAJOR"/>
      <sheetName val="Perhitungan Mobilisasi Alat"/>
      <sheetName val="4-formulir harga bahan"/>
      <sheetName val="5-ALAT (2)"/>
      <sheetName val="Agg A"/>
      <sheetName val="Agg B"/>
      <sheetName val="Agg 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1">
          <cell r="A1">
            <v>19348830</v>
          </cell>
        </row>
      </sheetData>
      <sheetData sheetId="18">
        <row r="18">
          <cell r="I18">
            <v>19348830</v>
          </cell>
        </row>
      </sheetData>
      <sheetData sheetId="19"/>
      <sheetData sheetId="20" refreshError="1"/>
      <sheetData sheetId="21" refreshError="1"/>
      <sheetData sheetId="22" refreshError="1"/>
      <sheetData sheetId="23" refreshError="1"/>
      <sheetData sheetId="24">
        <row r="11">
          <cell r="F11" t="str">
            <v>(L01)</v>
          </cell>
          <cell r="G11" t="str">
            <v>Jam</v>
          </cell>
          <cell r="H11">
            <v>5142.8571428571431</v>
          </cell>
        </row>
        <row r="13">
          <cell r="F13" t="str">
            <v>(L02)</v>
          </cell>
          <cell r="G13" t="str">
            <v>Jam</v>
          </cell>
          <cell r="H13">
            <v>6428.5714285714284</v>
          </cell>
        </row>
        <row r="15">
          <cell r="F15" t="str">
            <v>(L03)</v>
          </cell>
          <cell r="G15" t="str">
            <v>Jam</v>
          </cell>
          <cell r="H15">
            <v>8142.8571428571431</v>
          </cell>
        </row>
        <row r="17">
          <cell r="F17" t="str">
            <v>(L04)</v>
          </cell>
          <cell r="G17" t="str">
            <v>Jam</v>
          </cell>
          <cell r="H17">
            <v>12000</v>
          </cell>
        </row>
        <row r="19">
          <cell r="F19" t="str">
            <v>(L05)</v>
          </cell>
          <cell r="G19" t="str">
            <v>Jam</v>
          </cell>
          <cell r="H19">
            <v>8914.2857142857138</v>
          </cell>
        </row>
        <row r="21">
          <cell r="F21" t="str">
            <v>(L06)</v>
          </cell>
          <cell r="G21" t="str">
            <v>Jam</v>
          </cell>
          <cell r="H21">
            <v>8142.8571428571431</v>
          </cell>
        </row>
        <row r="23">
          <cell r="F23" t="str">
            <v>(L07)</v>
          </cell>
          <cell r="G23" t="str">
            <v>Jam</v>
          </cell>
          <cell r="H23">
            <v>7285.7142857142853</v>
          </cell>
        </row>
        <row r="25">
          <cell r="F25" t="str">
            <v>(L08)</v>
          </cell>
          <cell r="G25" t="str">
            <v>Jam</v>
          </cell>
          <cell r="H25">
            <v>9857.1428571428569</v>
          </cell>
        </row>
        <row r="27">
          <cell r="F27" t="str">
            <v>(L09)</v>
          </cell>
          <cell r="G27" t="str">
            <v>Jam</v>
          </cell>
          <cell r="H27">
            <v>7500</v>
          </cell>
        </row>
        <row r="29">
          <cell r="F29" t="str">
            <v>(L10)</v>
          </cell>
          <cell r="G29" t="str">
            <v>Jam</v>
          </cell>
          <cell r="H29">
            <v>8571.4285714285706</v>
          </cell>
        </row>
        <row r="32">
          <cell r="H32" t="str">
            <v>MEDAN , 18    JUNI  2009</v>
          </cell>
        </row>
        <row r="33">
          <cell r="H33" t="str">
            <v>PT. AMARTA  JAYA PUTRA</v>
          </cell>
        </row>
        <row r="37">
          <cell r="H37" t="str">
            <v>MANGIHUD  SIMANJUNTAK</v>
          </cell>
        </row>
        <row r="38">
          <cell r="H38" t="str">
            <v>Direktur</v>
          </cell>
        </row>
      </sheetData>
      <sheetData sheetId="25">
        <row r="1">
          <cell r="A1" t="str">
            <v>HARGA &amp; JARAK RATA-RATA</v>
          </cell>
        </row>
      </sheetData>
      <sheetData sheetId="26">
        <row r="1">
          <cell r="A1" t="str">
            <v>ITEM PEMBAYARAN</v>
          </cell>
          <cell r="D1" t="str">
            <v>:  AGREGAT KASAR &amp; HALUS</v>
          </cell>
        </row>
        <row r="2">
          <cell r="A2" t="str">
            <v>JENIS PEKERJAAN</v>
          </cell>
          <cell r="D2" t="str">
            <v>:  PENGADAAN AGREGAT KASAR &amp; HALUS</v>
          </cell>
        </row>
        <row r="3">
          <cell r="A3" t="str">
            <v>SATUAN PEMBAYARAN</v>
          </cell>
          <cell r="D3" t="str">
            <v>:  M3</v>
          </cell>
        </row>
        <row r="6">
          <cell r="A6" t="str">
            <v>No.</v>
          </cell>
          <cell r="C6" t="str">
            <v>U R A I A N</v>
          </cell>
          <cell r="G6" t="str">
            <v>KODE</v>
          </cell>
          <cell r="H6" t="str">
            <v>KOEFISIEN</v>
          </cell>
          <cell r="I6" t="str">
            <v>SATUAN</v>
          </cell>
          <cell r="J6" t="str">
            <v>KETERANGAN</v>
          </cell>
        </row>
        <row r="9">
          <cell r="A9" t="str">
            <v>I</v>
          </cell>
          <cell r="C9" t="str">
            <v>ASUMSI</v>
          </cell>
        </row>
        <row r="10">
          <cell r="A10">
            <v>1</v>
          </cell>
          <cell r="C10" t="str">
            <v>Bahan dasar (Batu dan Pasir) diterima di lokasi Alat</v>
          </cell>
        </row>
        <row r="11">
          <cell r="C11" t="str">
            <v>Pemecah Batu (di Base Camp)</v>
          </cell>
        </row>
        <row r="12">
          <cell r="A12">
            <v>2</v>
          </cell>
          <cell r="C12" t="str">
            <v>Kegiatan dilakukan di dalam lokasi Base Camp</v>
          </cell>
        </row>
        <row r="13">
          <cell r="A13">
            <v>3</v>
          </cell>
          <cell r="C13" t="str">
            <v>Hasil produksi Alat Pemecah Batu :</v>
          </cell>
          <cell r="E13" t="str">
            <v>- Agregat Halus</v>
          </cell>
          <cell r="G13" t="str">
            <v>H</v>
          </cell>
          <cell r="H13">
            <v>30</v>
          </cell>
          <cell r="I13" t="str">
            <v>%</v>
          </cell>
        </row>
        <row r="14">
          <cell r="E14" t="str">
            <v>- Agregat Kasar</v>
          </cell>
          <cell r="G14" t="str">
            <v>K</v>
          </cell>
          <cell r="H14">
            <v>70</v>
          </cell>
          <cell r="I14" t="str">
            <v>%</v>
          </cell>
        </row>
        <row r="15">
          <cell r="A15">
            <v>4</v>
          </cell>
          <cell r="C15" t="str">
            <v>Berat Isi Bahan :</v>
          </cell>
          <cell r="D15" t="str">
            <v>- Batu / Gravel</v>
          </cell>
          <cell r="G15" t="str">
            <v>D1</v>
          </cell>
          <cell r="H15">
            <v>1.8</v>
          </cell>
          <cell r="I15" t="str">
            <v>Ton/M3</v>
          </cell>
          <cell r="J15" t="str">
            <v xml:space="preserve"> Berongga</v>
          </cell>
        </row>
        <row r="16">
          <cell r="D16" t="str">
            <v>- Pasir</v>
          </cell>
          <cell r="G16" t="str">
            <v>D2</v>
          </cell>
          <cell r="H16">
            <v>1.67</v>
          </cell>
          <cell r="I16" t="str">
            <v>Ton/M3</v>
          </cell>
          <cell r="J16" t="str">
            <v xml:space="preserve"> Berongga</v>
          </cell>
        </row>
        <row r="17">
          <cell r="D17" t="str">
            <v>- Batu Pecah</v>
          </cell>
          <cell r="G17" t="str">
            <v>D3</v>
          </cell>
          <cell r="H17">
            <v>1.8</v>
          </cell>
          <cell r="I17" t="str">
            <v>Ton/M3</v>
          </cell>
          <cell r="J17" t="str">
            <v xml:space="preserve"> Berongga</v>
          </cell>
        </row>
        <row r="18">
          <cell r="A18">
            <v>5</v>
          </cell>
          <cell r="C18" t="str">
            <v>Harga Satuan Bahan Dasar    :</v>
          </cell>
          <cell r="E18" t="str">
            <v>- Batu Kali</v>
          </cell>
          <cell r="G18" t="str">
            <v>Rp1</v>
          </cell>
          <cell r="H18">
            <v>108800</v>
          </cell>
          <cell r="I18" t="str">
            <v>Rp./M3</v>
          </cell>
        </row>
        <row r="19">
          <cell r="E19" t="str">
            <v>- Pasir</v>
          </cell>
          <cell r="G19" t="str">
            <v>Rp2</v>
          </cell>
          <cell r="H19">
            <v>56200</v>
          </cell>
          <cell r="I19" t="str">
            <v>Rp./M3</v>
          </cell>
        </row>
        <row r="20">
          <cell r="A20">
            <v>6</v>
          </cell>
          <cell r="C20" t="str">
            <v>Biaya Operasi Alat :</v>
          </cell>
          <cell r="D20" t="str">
            <v>- Pemecah Batu (Stone Crusher)</v>
          </cell>
          <cell r="G20" t="str">
            <v>Rp3</v>
          </cell>
          <cell r="H20">
            <v>525874.48765009013</v>
          </cell>
          <cell r="I20" t="str">
            <v>Rp./Jam</v>
          </cell>
        </row>
        <row r="21">
          <cell r="D21" t="str">
            <v>- Wheel Loader</v>
          </cell>
          <cell r="G21" t="str">
            <v>Rp4</v>
          </cell>
          <cell r="H21">
            <v>267035.77292902162</v>
          </cell>
          <cell r="I21" t="str">
            <v>Rp./Jam</v>
          </cell>
        </row>
        <row r="22">
          <cell r="A22">
            <v>7</v>
          </cell>
          <cell r="C22" t="str">
            <v>Kapasitas Alat :</v>
          </cell>
          <cell r="D22" t="str">
            <v>- Pemecah Batu (Stone Crusher)</v>
          </cell>
          <cell r="G22" t="str">
            <v>Cp1</v>
          </cell>
          <cell r="H22">
            <v>50</v>
          </cell>
          <cell r="I22" t="str">
            <v>Ton/Jam</v>
          </cell>
        </row>
        <row r="23">
          <cell r="D23" t="str">
            <v>- Wheel Loader</v>
          </cell>
          <cell r="G23" t="str">
            <v>Cp2</v>
          </cell>
          <cell r="H23">
            <v>1.5</v>
          </cell>
          <cell r="I23" t="str">
            <v>M3</v>
          </cell>
          <cell r="J23" t="str">
            <v xml:space="preserve"> Kap. Bucket</v>
          </cell>
        </row>
        <row r="24">
          <cell r="A24">
            <v>8</v>
          </cell>
          <cell r="C24" t="str">
            <v>Faktor Efisiensi Alat :</v>
          </cell>
          <cell r="D24" t="str">
            <v>- Pemecah Batu (Stone Crusher)</v>
          </cell>
          <cell r="G24" t="str">
            <v>Fa1</v>
          </cell>
          <cell r="H24">
            <v>0.83</v>
          </cell>
          <cell r="I24" t="str">
            <v>-</v>
          </cell>
        </row>
        <row r="25">
          <cell r="D25" t="str">
            <v>- Wheel Loader</v>
          </cell>
          <cell r="G25" t="str">
            <v>Fa2</v>
          </cell>
          <cell r="H25">
            <v>0.83</v>
          </cell>
          <cell r="I25" t="str">
            <v>-</v>
          </cell>
        </row>
        <row r="26">
          <cell r="A26">
            <v>9</v>
          </cell>
          <cell r="C26" t="str">
            <v>Faktor Kehilangan Material</v>
          </cell>
          <cell r="G26" t="str">
            <v>Fh</v>
          </cell>
          <cell r="H26">
            <v>1.1000000000000001</v>
          </cell>
          <cell r="I26" t="str">
            <v>-</v>
          </cell>
        </row>
        <row r="27">
          <cell r="A27">
            <v>10</v>
          </cell>
          <cell r="C27" t="str">
            <v>Agregat Halus masih perlu dicampur dengan pasir</v>
          </cell>
        </row>
        <row r="29">
          <cell r="A29" t="str">
            <v>II</v>
          </cell>
          <cell r="C29" t="str">
            <v>METHODE PELAKSANAAN</v>
          </cell>
        </row>
        <row r="31">
          <cell r="A31">
            <v>1</v>
          </cell>
          <cell r="C31" t="str">
            <v>Wheel Loader mengangkut batu/gravel dari tumpukan</v>
          </cell>
        </row>
        <row r="32">
          <cell r="C32" t="str">
            <v>dan menuangkannya ke Alat Pemecah Batu.</v>
          </cell>
        </row>
        <row r="34">
          <cell r="A34">
            <v>2</v>
          </cell>
          <cell r="C34" t="str">
            <v>Batu/gravel dipecah dengan Alat Pemecah Batu</v>
          </cell>
        </row>
        <row r="35">
          <cell r="C35" t="str">
            <v>(Stone Crusher) sehingga menghasilkan Agregat Batu</v>
          </cell>
        </row>
        <row r="36">
          <cell r="C36" t="str">
            <v>Pecah Kasar dan Halus.</v>
          </cell>
        </row>
        <row r="38">
          <cell r="A38">
            <v>3</v>
          </cell>
          <cell r="C38" t="str">
            <v>Agregat Halus dicampur dengan pasir menggunakan Loader</v>
          </cell>
        </row>
        <row r="40">
          <cell r="A40" t="str">
            <v>III</v>
          </cell>
          <cell r="C40" t="str">
            <v>PERHITUNGAN</v>
          </cell>
        </row>
        <row r="42">
          <cell r="A42" t="str">
            <v>III.1.</v>
          </cell>
          <cell r="C42" t="str">
            <v>HARGA SATUAN AGREGAT PRODUKSI ST. CRUSHER</v>
          </cell>
        </row>
        <row r="44">
          <cell r="A44" t="str">
            <v xml:space="preserve">1.a.  </v>
          </cell>
          <cell r="C44" t="str">
            <v>Kerja Stone Crusher memecah gravel  :</v>
          </cell>
        </row>
        <row r="45">
          <cell r="C45" t="str">
            <v xml:space="preserve">    - Waktu kerja Stone Crusher</v>
          </cell>
          <cell r="G45" t="str">
            <v>Tst</v>
          </cell>
          <cell r="H45">
            <v>1</v>
          </cell>
          <cell r="I45" t="str">
            <v>Jam</v>
          </cell>
        </row>
        <row r="46">
          <cell r="C46" t="str">
            <v xml:space="preserve">    - Produksi Stone Crusher  1 jam</v>
          </cell>
          <cell r="E46" t="str">
            <v>=  (Fa1 x Cp1) : D3</v>
          </cell>
          <cell r="G46" t="str">
            <v>Qb</v>
          </cell>
          <cell r="H46">
            <v>23.055555555555554</v>
          </cell>
          <cell r="I46" t="str">
            <v>M3/Jam</v>
          </cell>
          <cell r="J46" t="str">
            <v xml:space="preserve"> Batu pecah</v>
          </cell>
        </row>
        <row r="47">
          <cell r="C47" t="str">
            <v xml:space="preserve">    - Kebutuhan batu/gravel 1 jam</v>
          </cell>
          <cell r="E47" t="str">
            <v>=  (Fa1 x Cp1) : D1</v>
          </cell>
          <cell r="G47" t="str">
            <v>Qg</v>
          </cell>
          <cell r="H47">
            <v>23.055555555555554</v>
          </cell>
          <cell r="I47" t="str">
            <v>M3/Jam</v>
          </cell>
        </row>
        <row r="49">
          <cell r="A49" t="str">
            <v xml:space="preserve">1.b.  </v>
          </cell>
          <cell r="C49" t="str">
            <v>Kerja Wheel Loader melayani Stone Crusher  :</v>
          </cell>
        </row>
        <row r="50">
          <cell r="C50" t="str">
            <v xml:space="preserve">    - Kap. Angkut / rit   =  (Fa2 x Cp2)</v>
          </cell>
          <cell r="G50" t="str">
            <v>Ka</v>
          </cell>
          <cell r="H50">
            <v>1.2449999999999999</v>
          </cell>
          <cell r="I50" t="str">
            <v>M3</v>
          </cell>
        </row>
        <row r="51">
          <cell r="C51" t="str">
            <v xml:space="preserve">    - Waktu Siklus (Muat, Tuang, Tunggu, dll)</v>
          </cell>
          <cell r="G51" t="str">
            <v>Ts</v>
          </cell>
          <cell r="H51">
            <v>1</v>
          </cell>
          <cell r="I51" t="str">
            <v>menit</v>
          </cell>
        </row>
        <row r="52">
          <cell r="C52" t="str">
            <v xml:space="preserve">    - Waktu kerja W.Loader memasok gravel</v>
          </cell>
        </row>
        <row r="53">
          <cell r="D53" t="str">
            <v>=  {(Qg : Ka) x Ts} : 60 menit</v>
          </cell>
          <cell r="G53" t="str">
            <v>Tw</v>
          </cell>
          <cell r="H53">
            <v>0.30864197530864196</v>
          </cell>
          <cell r="I53" t="str">
            <v>Jam</v>
          </cell>
        </row>
        <row r="55">
          <cell r="A55" t="str">
            <v xml:space="preserve">1.c.  </v>
          </cell>
          <cell r="C55" t="str">
            <v>Biaya Produksi Batu Pecah / M3</v>
          </cell>
        </row>
        <row r="56">
          <cell r="D56" t="str">
            <v>=  {(Tst x Rp3) + (Tw x Rp4)} : Qb</v>
          </cell>
          <cell r="G56" t="str">
            <v>Bp</v>
          </cell>
          <cell r="H56">
            <v>26383.789998866319</v>
          </cell>
          <cell r="I56" t="str">
            <v>Rp./M3</v>
          </cell>
        </row>
        <row r="58">
          <cell r="A58" t="str">
            <v xml:space="preserve">1.d.  </v>
          </cell>
          <cell r="C58" t="str">
            <v>Harga Satuan Batu Pecah Produksi St.Crusher / M3</v>
          </cell>
        </row>
        <row r="59">
          <cell r="D59" t="str">
            <v>=  {(Qg : Qb) x Fh x Rp1} + Bp</v>
          </cell>
          <cell r="G59" t="str">
            <v>HSb</v>
          </cell>
          <cell r="H59">
            <v>146063.78999886633</v>
          </cell>
          <cell r="I59" t="str">
            <v>Rp./M3</v>
          </cell>
        </row>
        <row r="62">
          <cell r="A62" t="str">
            <v>ITEM PEMBAYARAN</v>
          </cell>
          <cell r="D62" t="str">
            <v>:  AGREGAT KASAR &amp; HALUS</v>
          </cell>
        </row>
        <row r="63">
          <cell r="A63" t="str">
            <v>JENIS PEKERJAAN</v>
          </cell>
          <cell r="D63" t="str">
            <v>:  PENGADAAN AGREGAT KASAR &amp; HALUS</v>
          </cell>
        </row>
        <row r="64">
          <cell r="A64" t="str">
            <v>SATUAN PEMBAYARAN</v>
          </cell>
          <cell r="D64" t="str">
            <v>:  M3</v>
          </cell>
        </row>
        <row r="67">
          <cell r="A67" t="str">
            <v>No.</v>
          </cell>
          <cell r="C67" t="str">
            <v>U R A I A N</v>
          </cell>
          <cell r="G67" t="str">
            <v>KODE</v>
          </cell>
          <cell r="H67" t="str">
            <v>KOEFISIEN</v>
          </cell>
          <cell r="I67" t="str">
            <v>SATUAN</v>
          </cell>
          <cell r="J67" t="str">
            <v>KETERANGAN</v>
          </cell>
        </row>
        <row r="70">
          <cell r="A70" t="str">
            <v>III.2.</v>
          </cell>
          <cell r="C70" t="str">
            <v>HARGA SATUAN AGREGAT PECAH MESIN 5-10 &amp; 10-20 mm</v>
          </cell>
        </row>
        <row r="71">
          <cell r="C71" t="str">
            <v>( berlaku juga untuk Aggregat 20-30 mm)</v>
          </cell>
        </row>
        <row r="72">
          <cell r="C72" t="str">
            <v>Agregat Kasar Produksi Stone Crusher =</v>
          </cell>
          <cell r="E72">
            <v>0.7</v>
          </cell>
          <cell r="G72" t="str">
            <v>K</v>
          </cell>
          <cell r="H72">
            <v>70</v>
          </cell>
          <cell r="I72" t="str">
            <v>%</v>
          </cell>
        </row>
        <row r="73">
          <cell r="C73" t="str">
            <v>(Tertahan saringan # 4 = 4,75mm)</v>
          </cell>
        </row>
        <row r="74">
          <cell r="C74" t="str">
            <v>Harga Satuan Agregat Kasar / M3   =</v>
          </cell>
          <cell r="E74" t="str">
            <v>(K x HSb) / K</v>
          </cell>
          <cell r="G74" t="str">
            <v>HSAk</v>
          </cell>
          <cell r="H74">
            <v>146063.78999886633</v>
          </cell>
          <cell r="I74" t="str">
            <v>Rupiah</v>
          </cell>
          <cell r="J74" t="str">
            <v xml:space="preserve"> Di Luar PPN</v>
          </cell>
        </row>
        <row r="76">
          <cell r="A76" t="str">
            <v>III.3.</v>
          </cell>
          <cell r="C76" t="str">
            <v>HARGA SATUAN AGREGAT PECAH MESIN 0-5 mm</v>
          </cell>
        </row>
        <row r="77">
          <cell r="C77" t="str">
            <v>(Agregat Halus)</v>
          </cell>
        </row>
        <row r="78">
          <cell r="C78" t="str">
            <v>Dianggap Agregat produksi Stone Crusher yang lolos</v>
          </cell>
        </row>
        <row r="79">
          <cell r="C79" t="str">
            <v>saringan # 4 (4,75 mm) belum memenuhi Spesifikasi</v>
          </cell>
        </row>
        <row r="80">
          <cell r="C80" t="str">
            <v>sehingga perlu dicampur lagi dengan pasir sebanyak =</v>
          </cell>
          <cell r="G80" t="str">
            <v>Pst</v>
          </cell>
          <cell r="H80">
            <v>10</v>
          </cell>
          <cell r="I80" t="str">
            <v>%</v>
          </cell>
        </row>
        <row r="82">
          <cell r="A82" t="str">
            <v>3.a.</v>
          </cell>
          <cell r="C82" t="str">
            <v>Agregat Halus Produksi Stone Crusher =</v>
          </cell>
          <cell r="E82">
            <v>0.2</v>
          </cell>
          <cell r="G82" t="str">
            <v>H</v>
          </cell>
          <cell r="H82">
            <v>20</v>
          </cell>
          <cell r="I82" t="str">
            <v>%</v>
          </cell>
        </row>
        <row r="83">
          <cell r="C83" t="str">
            <v>Harga Agregat Halus Prod. Stone Crsh.=</v>
          </cell>
          <cell r="E83" t="str">
            <v>(H x HSb) / H</v>
          </cell>
          <cell r="G83" t="str">
            <v>Hs1</v>
          </cell>
          <cell r="H83">
            <v>146063.78999886633</v>
          </cell>
          <cell r="I83" t="str">
            <v>Rupiah</v>
          </cell>
          <cell r="J83" t="str">
            <v xml:space="preserve"> per 1 M3</v>
          </cell>
        </row>
        <row r="84">
          <cell r="A84" t="str">
            <v>3.b.</v>
          </cell>
          <cell r="C84" t="str">
            <v>Pasir tambahan</v>
          </cell>
          <cell r="E84" t="str">
            <v>=  Pst x Rp2</v>
          </cell>
          <cell r="G84" t="str">
            <v>Hs2</v>
          </cell>
          <cell r="H84">
            <v>5620</v>
          </cell>
          <cell r="I84" t="str">
            <v>Rupiah</v>
          </cell>
          <cell r="J84" t="str">
            <v xml:space="preserve"> per (Pst) M3</v>
          </cell>
        </row>
        <row r="85">
          <cell r="A85" t="str">
            <v>3.c.</v>
          </cell>
          <cell r="C85" t="str">
            <v>Waktu pencampuran (blending) dengan Wheel Loader</v>
          </cell>
          <cell r="G85" t="str">
            <v>Tc</v>
          </cell>
          <cell r="H85">
            <v>3.3000000000000002E-2</v>
          </cell>
          <cell r="I85" t="str">
            <v>Jam/M3</v>
          </cell>
        </row>
        <row r="86">
          <cell r="A86" t="str">
            <v>3.d.</v>
          </cell>
          <cell r="C86" t="str">
            <v>Biaya Pencampuran</v>
          </cell>
          <cell r="D86" t="str">
            <v>=  ( 1 + Pst) M3 x Tc x Rp4</v>
          </cell>
          <cell r="G86" t="str">
            <v>Hs3</v>
          </cell>
          <cell r="H86">
            <v>9693.3985573234859</v>
          </cell>
          <cell r="I86" t="str">
            <v>Rupiah</v>
          </cell>
        </row>
        <row r="87">
          <cell r="A87" t="str">
            <v>3.a.</v>
          </cell>
          <cell r="C87" t="str">
            <v>Agregat Halus Produksi Stone Crusher =</v>
          </cell>
          <cell r="E87">
            <v>0.3</v>
          </cell>
          <cell r="G87" t="str">
            <v>H</v>
          </cell>
          <cell r="H87">
            <v>30</v>
          </cell>
          <cell r="I87" t="str">
            <v>%</v>
          </cell>
        </row>
        <row r="88">
          <cell r="C88" t="str">
            <v>Harga Satuan Agregat Halus / M3</v>
          </cell>
          <cell r="G88" t="str">
            <v>Hs1</v>
          </cell>
          <cell r="H88">
            <v>146083.82299886632</v>
          </cell>
          <cell r="I88" t="str">
            <v>Rupiah</v>
          </cell>
          <cell r="J88" t="str">
            <v xml:space="preserve"> per 1 M3</v>
          </cell>
        </row>
        <row r="89">
          <cell r="D89" t="str">
            <v xml:space="preserve"> =  ( Hs1 + Hs2 + Hs3 ) / ( 1 + Pst )</v>
          </cell>
        </row>
      </sheetData>
      <sheetData sheetId="27">
        <row r="1">
          <cell r="L1" t="str">
            <v>ANALISA BIAYA SEWA PERALATAN PER JAM KERJA (I)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>
        <row r="1">
          <cell r="A1" t="str">
            <v>URAIAN ANALISA ALAT</v>
          </cell>
        </row>
      </sheetData>
      <sheetData sheetId="33" refreshError="1"/>
      <sheetData sheetId="34" refreshError="1"/>
      <sheetData sheetId="3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_boq"/>
      <sheetName val="penawaran"/>
      <sheetName val="Peralatan"/>
      <sheetName val="a-bahan"/>
      <sheetName val="a-bat"/>
      <sheetName val="a-hrg"/>
      <sheetName val="1-boq"/>
      <sheetName val="TS"/>
      <sheetName val="F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L-BOW"/>
      <sheetName val="ANL-K"/>
      <sheetName val="B. Opr Alat"/>
      <sheetName val="Bahan +angkut muat"/>
      <sheetName val="Angkut"/>
      <sheetName val=" RAB 2011"/>
      <sheetName val="gg dwikora baru (3)"/>
      <sheetName val="gg dwikora baru (2)"/>
      <sheetName val="gg dwikora baru"/>
      <sheetName val="gg kebersihan realiti"/>
      <sheetName val="gg damai"/>
      <sheetName val="gg pribadi"/>
      <sheetName val="gg sahabat"/>
      <sheetName val="gg musik"/>
      <sheetName val="gg. keamanan"/>
      <sheetName val="Gg. Mushollah Ujung"/>
      <sheetName val="gg keindahan"/>
      <sheetName val="gg keindahan dalam"/>
      <sheetName val="gg keluarga"/>
      <sheetName val="gg A"/>
      <sheetName val="gg darso parto"/>
      <sheetName val="gg perbatasan"/>
      <sheetName val="gg kebersihan"/>
      <sheetName val="gg. keluarga komplek"/>
      <sheetName val="gg. mawar"/>
      <sheetName val="gg. keluarga"/>
      <sheetName val="gg sadikin"/>
      <sheetName val="RAB"/>
      <sheetName val="REKAPITULASI ANALISA"/>
      <sheetName val="UPAD-BAHAN-ALAT"/>
      <sheetName val="ANL-SNI"/>
      <sheetName val="ANL-EI"/>
      <sheetName val="BETON COR SNI 350"/>
      <sheetName val="BETON COR SNI 325"/>
      <sheetName val="BETON COR SNI 300"/>
      <sheetName val="BETON COR SNI 275"/>
      <sheetName val="BETON COR SNI 250"/>
      <sheetName val="BETON COR SNI 225"/>
      <sheetName val="BETON COR SNI 200"/>
      <sheetName val="BETON COR SNI 175"/>
      <sheetName val="BETON COR SNI 150"/>
      <sheetName val="BETON COR SNI 125"/>
      <sheetName val="BETON COR SNI 100"/>
      <sheetName val="alat konstruksi"/>
      <sheetName val="B__Opr_Alat"/>
      <sheetName val="Bahan_+angkut_muat"/>
      <sheetName val="_RAB_2011"/>
      <sheetName val="gg_dwikora_baru_(3)"/>
      <sheetName val="gg_dwikora_baru_(2)"/>
      <sheetName val="gg_dwikora_baru"/>
      <sheetName val="gg_kebersihan_realiti"/>
      <sheetName val="gg_damai"/>
      <sheetName val="gg_pribadi"/>
      <sheetName val="gg_sahabat"/>
      <sheetName val="gg_musik"/>
      <sheetName val="gg__keamanan"/>
      <sheetName val="Gg__Mushollah_Ujung"/>
      <sheetName val="gg_keindahan"/>
      <sheetName val="gg_keindahan_dalam"/>
      <sheetName val="gg_keluarga"/>
      <sheetName val="gg_A"/>
      <sheetName val="gg_darso_parto"/>
      <sheetName val="gg_perbatasan"/>
      <sheetName val="gg_kebersihan"/>
      <sheetName val="gg__keluarga_komplek"/>
      <sheetName val="gg__mawar"/>
      <sheetName val="gg__keluarga"/>
      <sheetName val="gg_sadikin"/>
      <sheetName val="REKAPITULASI_ANALISA"/>
      <sheetName val="BETON_COR_SNI_350"/>
      <sheetName val="BETON_COR_SNI_325"/>
      <sheetName val="BETON_COR_SNI_300"/>
      <sheetName val="BETON_COR_SNI_275"/>
      <sheetName val="BETON_COR_SNI_250"/>
      <sheetName val="BETON_COR_SNI_225"/>
      <sheetName val="BETON_COR_SNI_200"/>
      <sheetName val="BETON_COR_SNI_175"/>
      <sheetName val="BETON_COR_SNI_150"/>
      <sheetName val="BETON_COR_SNI_125"/>
      <sheetName val="BETON_COR_SNI_100"/>
      <sheetName val="alat_konstruks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Volume"/>
      <sheetName val="RIN"/>
      <sheetName val="Cover RAB"/>
      <sheetName val="Analisa"/>
      <sheetName val="Rekap"/>
      <sheetName val="RAB "/>
      <sheetName val="sni"/>
      <sheetName val="U&amp;B"/>
    </sheetNames>
    <sheetDataSet>
      <sheetData sheetId="0">
        <row r="2">
          <cell r="E2" t="str">
            <v>KEMENTERIAN KELAUTAN DAN PERIKANAN</v>
          </cell>
        </row>
        <row r="4">
          <cell r="A4" t="str">
            <v>SATUAN KERJA</v>
          </cell>
          <cell r="E4" t="str">
            <v>PELABUHAN PERIKANAN SAMUDERA BELAWAN</v>
          </cell>
        </row>
        <row r="12">
          <cell r="A12" t="str">
            <v>T. A.</v>
          </cell>
          <cell r="E12">
            <v>2011</v>
          </cell>
        </row>
        <row r="16">
          <cell r="E16" t="str">
            <v>Medan,    Maret 2011</v>
          </cell>
        </row>
        <row r="18">
          <cell r="E18" t="str">
            <v>CV. ARISPA UTAMA</v>
          </cell>
        </row>
        <row r="20">
          <cell r="A20" t="str">
            <v>Disetujui Oleh :</v>
          </cell>
          <cell r="E20" t="str">
            <v>Ir. HASOLOAN PASARIBU</v>
          </cell>
        </row>
        <row r="22">
          <cell r="E22" t="str">
            <v xml:space="preserve">Direktur </v>
          </cell>
        </row>
        <row r="24">
          <cell r="A24" t="str">
            <v>Dibuat Oleh :</v>
          </cell>
        </row>
        <row r="28">
          <cell r="B28" t="str">
            <v>OH</v>
          </cell>
        </row>
        <row r="29">
          <cell r="B29" t="str">
            <v>M³</v>
          </cell>
        </row>
        <row r="30">
          <cell r="B30" t="str">
            <v>M²</v>
          </cell>
        </row>
        <row r="31">
          <cell r="B31" t="str">
            <v>M'</v>
          </cell>
        </row>
        <row r="32">
          <cell r="B32" t="str">
            <v>Zak</v>
          </cell>
        </row>
        <row r="33">
          <cell r="B33" t="str">
            <v>Kg</v>
          </cell>
        </row>
        <row r="34">
          <cell r="B34" t="str">
            <v>Btg</v>
          </cell>
        </row>
        <row r="35">
          <cell r="B35" t="str">
            <v>Lbr</v>
          </cell>
        </row>
        <row r="36">
          <cell r="B36" t="str">
            <v>Bh</v>
          </cell>
        </row>
        <row r="38">
          <cell r="B38" t="str">
            <v>Rol</v>
          </cell>
        </row>
        <row r="39">
          <cell r="B39" t="str">
            <v>Set</v>
          </cell>
        </row>
        <row r="40">
          <cell r="B40" t="str">
            <v>Unit</v>
          </cell>
        </row>
        <row r="41">
          <cell r="B41" t="str">
            <v>Ttk</v>
          </cell>
        </row>
        <row r="42">
          <cell r="B42" t="str">
            <v>Ltr</v>
          </cell>
        </row>
        <row r="43">
          <cell r="B43" t="str">
            <v>Ls</v>
          </cell>
        </row>
        <row r="44">
          <cell r="B44" t="str">
            <v>Upah+bahan</v>
          </cell>
        </row>
        <row r="45">
          <cell r="B45" t="str">
            <v>Upah</v>
          </cell>
        </row>
        <row r="46">
          <cell r="B46" t="str">
            <v>Bahan</v>
          </cell>
        </row>
        <row r="52">
          <cell r="B52" t="str">
            <v>( Rp )</v>
          </cell>
        </row>
        <row r="53">
          <cell r="B53" t="str">
            <v>Harga</v>
          </cell>
        </row>
        <row r="54">
          <cell r="B54" t="str">
            <v>Satuan</v>
          </cell>
        </row>
        <row r="55">
          <cell r="B55" t="str">
            <v>Jumlah</v>
          </cell>
        </row>
        <row r="58">
          <cell r="B58" t="str">
            <v>Uraian</v>
          </cell>
        </row>
        <row r="59">
          <cell r="B59" t="str">
            <v>Stn.</v>
          </cell>
        </row>
        <row r="61">
          <cell r="B61" t="str">
            <v>No.</v>
          </cell>
        </row>
        <row r="63">
          <cell r="B63" t="str">
            <v>Koef.</v>
          </cell>
        </row>
        <row r="64">
          <cell r="B64" t="str">
            <v>Jumlah</v>
          </cell>
        </row>
        <row r="65">
          <cell r="B65" t="str">
            <v>Jumlah ( 1 )</v>
          </cell>
        </row>
        <row r="66">
          <cell r="B66" t="str">
            <v>Jumlah ( 2 )</v>
          </cell>
        </row>
        <row r="67">
          <cell r="B67" t="str">
            <v>Jumlah ( 1 ) + ( 2 )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/>
      <sheetData sheetId="8">
        <row r="16">
          <cell r="L16">
            <v>0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RAB"/>
      <sheetName val="Analisa"/>
      <sheetName val="QUARY"/>
      <sheetName val="BAHAN"/>
      <sheetName val="UPAH"/>
    </sheetNames>
    <sheetDataSet>
      <sheetData sheetId="0" refreshError="1"/>
      <sheetData sheetId="1" refreshError="1"/>
      <sheetData sheetId="2" refreshError="1">
        <row r="22">
          <cell r="L22">
            <v>34666</v>
          </cell>
        </row>
        <row r="55">
          <cell r="L55">
            <v>153694</v>
          </cell>
        </row>
        <row r="68">
          <cell r="L68">
            <v>4851660</v>
          </cell>
        </row>
        <row r="111">
          <cell r="L111">
            <v>143824.6</v>
          </cell>
        </row>
        <row r="123">
          <cell r="L123">
            <v>109817.60000000001</v>
          </cell>
        </row>
        <row r="242">
          <cell r="L242">
            <v>60418</v>
          </cell>
        </row>
        <row r="321">
          <cell r="L321">
            <v>4847563.7745139487</v>
          </cell>
        </row>
      </sheetData>
      <sheetData sheetId="3" refreshError="1">
        <row r="216">
          <cell r="Q216">
            <v>62192.746151996158</v>
          </cell>
        </row>
        <row r="362">
          <cell r="Q362">
            <v>34835.731866281865</v>
          </cell>
        </row>
      </sheetData>
      <sheetData sheetId="4" refreshError="1">
        <row r="43">
          <cell r="L43">
            <v>57800</v>
          </cell>
        </row>
      </sheetData>
      <sheetData sheetId="5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han&amp;upah"/>
      <sheetName val="Analisa"/>
      <sheetName val="REKAP"/>
      <sheetName val="Persiap"/>
      <sheetName val="Luar"/>
      <sheetName val="BSM"/>
      <sheetName val="AR1"/>
      <sheetName val="AR2"/>
      <sheetName val="AR7"/>
      <sheetName val="AR8"/>
      <sheetName val="AR9"/>
      <sheetName val="Listrik"/>
      <sheetName val="Hydrant"/>
      <sheetName val="Alarm"/>
      <sheetName val="AC"/>
      <sheetName val="BAS"/>
      <sheetName val="LIFT"/>
      <sheetName val="Sound"/>
      <sheetName val="Telepon"/>
      <sheetName val="MATV"/>
      <sheetName val="Deep Well"/>
      <sheetName val="Kabel Data"/>
      <sheetName val="KUZEN"/>
    </sheetNames>
    <sheetDataSet>
      <sheetData sheetId="0" refreshError="1"/>
      <sheetData sheetId="1" refreshError="1">
        <row r="86">
          <cell r="G86">
            <v>1439589</v>
          </cell>
        </row>
        <row r="1071">
          <cell r="G1071">
            <v>35700</v>
          </cell>
        </row>
        <row r="1084">
          <cell r="G1084">
            <v>99670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Rekap Biaya"/>
      <sheetName val="Kuantitas &amp; Harga"/>
      <sheetName val="anaK"/>
      <sheetName val="BOW"/>
      <sheetName val="Lamp.Upah&amp;Biaya"/>
      <sheetName val="Lamp.ABiaya"/>
      <sheetName val="alat"/>
      <sheetName val="ANGKUT"/>
      <sheetName val="Upah&amp;Bah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mpiran 2a"/>
      <sheetName val="Lampiran 2b"/>
      <sheetName val="Lmpr 2c"/>
      <sheetName val="Lampiran 3"/>
      <sheetName val="Lampiran 19"/>
      <sheetName val="Agregat Halus &amp; Kasar"/>
      <sheetName val="Peralatan"/>
      <sheetName val="Informasi"/>
      <sheetName val="Analisa Quarry"/>
      <sheetName val="Rekap Biaya"/>
      <sheetName val="Kuant. &amp; Harga"/>
      <sheetName val="Div 3"/>
      <sheetName val="Div 4"/>
      <sheetName val="Div 6"/>
      <sheetName val="Div 7"/>
      <sheetName val="Div 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ITEM PEMBAYARAN</v>
          </cell>
          <cell r="D1" t="str">
            <v>:  AGREGAT KELAS A</v>
          </cell>
        </row>
        <row r="2">
          <cell r="A2" t="str">
            <v>JENIS PEKERJAAN</v>
          </cell>
          <cell r="D2" t="str">
            <v>:  PENGADAAN AGREGAT KELAS A</v>
          </cell>
        </row>
        <row r="3">
          <cell r="A3" t="str">
            <v>SATUAN PEMBAYARAN</v>
          </cell>
          <cell r="D3" t="str">
            <v>:  M3</v>
          </cell>
          <cell r="K3" t="str">
            <v xml:space="preserve">            URAIAN ANALISA HARGA SATUAN</v>
          </cell>
        </row>
        <row r="6">
          <cell r="A6" t="str">
            <v>No.</v>
          </cell>
          <cell r="C6" t="str">
            <v>U R A I A N</v>
          </cell>
          <cell r="H6" t="str">
            <v>KODE</v>
          </cell>
          <cell r="I6" t="str">
            <v>KOEFISIEN</v>
          </cell>
          <cell r="J6" t="str">
            <v>SATUAN</v>
          </cell>
          <cell r="K6" t="str">
            <v>KETERANGAN</v>
          </cell>
        </row>
        <row r="9">
          <cell r="A9" t="str">
            <v>I</v>
          </cell>
          <cell r="C9" t="str">
            <v>ASUMSI</v>
          </cell>
        </row>
        <row r="10">
          <cell r="A10">
            <v>1</v>
          </cell>
          <cell r="C10" t="str">
            <v>Bahan dasar (Batu dan Pasir) diterima di lokasi Alat</v>
          </cell>
        </row>
        <row r="11">
          <cell r="C11" t="str">
            <v>Pemecah Batu (di Base Camp)</v>
          </cell>
        </row>
        <row r="12">
          <cell r="A12">
            <v>2</v>
          </cell>
          <cell r="C12" t="str">
            <v>Kegiatan dilakukan di dalam lokasi Base Camp</v>
          </cell>
        </row>
        <row r="13">
          <cell r="A13">
            <v>3</v>
          </cell>
          <cell r="C13" t="str">
            <v>Proporsi campuran (Spesifikasi) :</v>
          </cell>
          <cell r="F13" t="str">
            <v>- Agregat Halus</v>
          </cell>
          <cell r="H13" t="str">
            <v>Ah</v>
          </cell>
          <cell r="I13">
            <v>45</v>
          </cell>
          <cell r="J13" t="str">
            <v>%</v>
          </cell>
        </row>
        <row r="14">
          <cell r="F14" t="str">
            <v>- Agregat Kasar</v>
          </cell>
          <cell r="H14" t="str">
            <v>Ak</v>
          </cell>
          <cell r="I14">
            <v>55</v>
          </cell>
          <cell r="J14" t="str">
            <v>%</v>
          </cell>
        </row>
        <row r="15">
          <cell r="A15">
            <v>4</v>
          </cell>
          <cell r="C15" t="str">
            <v>Hasil produksi Alat Pemecah Batu :</v>
          </cell>
          <cell r="F15" t="str">
            <v>- Agregat Halus</v>
          </cell>
          <cell r="H15" t="str">
            <v>H</v>
          </cell>
          <cell r="I15">
            <v>30</v>
          </cell>
          <cell r="J15" t="str">
            <v>%</v>
          </cell>
        </row>
        <row r="16">
          <cell r="F16" t="str">
            <v>- Agregat Kasar</v>
          </cell>
          <cell r="H16" t="str">
            <v>K</v>
          </cell>
          <cell r="I16">
            <v>70</v>
          </cell>
          <cell r="J16" t="str">
            <v>%</v>
          </cell>
        </row>
        <row r="17">
          <cell r="A17">
            <v>5</v>
          </cell>
          <cell r="C17" t="str">
            <v>Berat Jenis Bahan :</v>
          </cell>
          <cell r="D17" t="str">
            <v>- Batu / Gravel</v>
          </cell>
          <cell r="H17" t="str">
            <v>D1</v>
          </cell>
          <cell r="I17">
            <v>1.8</v>
          </cell>
          <cell r="J17" t="str">
            <v>Ton/M3</v>
          </cell>
        </row>
        <row r="18">
          <cell r="D18" t="str">
            <v>- Pasir</v>
          </cell>
          <cell r="H18" t="str">
            <v>D2</v>
          </cell>
          <cell r="I18">
            <v>1.67</v>
          </cell>
          <cell r="J18" t="str">
            <v>Ton/M3</v>
          </cell>
        </row>
        <row r="19">
          <cell r="D19" t="str">
            <v>- Batu Pecah</v>
          </cell>
          <cell r="H19" t="str">
            <v>D3</v>
          </cell>
          <cell r="I19">
            <v>1.8</v>
          </cell>
          <cell r="J19" t="str">
            <v>Ton/M3</v>
          </cell>
        </row>
        <row r="20">
          <cell r="A20">
            <v>6</v>
          </cell>
          <cell r="C20" t="str">
            <v>Harga Satuan Bahan Dasar    :</v>
          </cell>
          <cell r="F20" t="str">
            <v>- Batu Kali</v>
          </cell>
          <cell r="H20" t="str">
            <v>Rp1</v>
          </cell>
          <cell r="I20">
            <v>96300</v>
          </cell>
          <cell r="J20" t="str">
            <v>Rp./M3</v>
          </cell>
        </row>
        <row r="21">
          <cell r="F21" t="str">
            <v>- Pasir</v>
          </cell>
          <cell r="H21" t="str">
            <v>Rp2</v>
          </cell>
          <cell r="I21">
            <v>48800</v>
          </cell>
          <cell r="J21" t="str">
            <v>Rp./M3</v>
          </cell>
        </row>
        <row r="22">
          <cell r="A22">
            <v>7</v>
          </cell>
          <cell r="C22" t="str">
            <v>Biaya Operasi Alat :</v>
          </cell>
          <cell r="D22" t="str">
            <v>- Pemecah Batu (Stone Crusher)</v>
          </cell>
          <cell r="H22" t="str">
            <v>Rp3</v>
          </cell>
          <cell r="I22">
            <v>529206.47808459005</v>
          </cell>
          <cell r="J22" t="str">
            <v>Rp./Jam</v>
          </cell>
        </row>
        <row r="23">
          <cell r="D23" t="str">
            <v>- Wheel Loader</v>
          </cell>
          <cell r="H23" t="str">
            <v>Rp4</v>
          </cell>
          <cell r="I23">
            <v>268931.36859968671</v>
          </cell>
          <cell r="J23" t="str">
            <v>Rp./Jam</v>
          </cell>
        </row>
        <row r="24">
          <cell r="A24">
            <v>8</v>
          </cell>
          <cell r="C24" t="str">
            <v>Kapasitas Alat :</v>
          </cell>
          <cell r="D24" t="str">
            <v>- Pemecah Batu (Stone Crusher)</v>
          </cell>
          <cell r="H24" t="str">
            <v>Cp1</v>
          </cell>
          <cell r="I24">
            <v>50</v>
          </cell>
          <cell r="J24" t="str">
            <v>Ton/Jam</v>
          </cell>
        </row>
        <row r="25">
          <cell r="D25" t="str">
            <v>- Wheel Loader</v>
          </cell>
          <cell r="H25" t="str">
            <v>Cp2</v>
          </cell>
          <cell r="I25">
            <v>1.5</v>
          </cell>
          <cell r="J25" t="str">
            <v>M3</v>
          </cell>
          <cell r="K25" t="str">
            <v xml:space="preserve"> Kap. Bucket</v>
          </cell>
        </row>
        <row r="26">
          <cell r="A26">
            <v>9</v>
          </cell>
          <cell r="C26" t="str">
            <v>Faktor Efisiensi Alat :</v>
          </cell>
          <cell r="D26" t="str">
            <v>- Pemecah Batu (Stone Crusher)</v>
          </cell>
          <cell r="H26" t="str">
            <v>Fa1</v>
          </cell>
          <cell r="I26">
            <v>0.7</v>
          </cell>
          <cell r="J26" t="str">
            <v>-</v>
          </cell>
        </row>
        <row r="27">
          <cell r="D27" t="str">
            <v>- Wheel Loader</v>
          </cell>
          <cell r="H27" t="str">
            <v>Fa2</v>
          </cell>
          <cell r="I27">
            <v>0.83</v>
          </cell>
          <cell r="J27" t="str">
            <v>-</v>
          </cell>
        </row>
        <row r="28">
          <cell r="A28">
            <v>10</v>
          </cell>
          <cell r="C28" t="str">
            <v>Faktor Kehilangan Material</v>
          </cell>
          <cell r="H28" t="str">
            <v>Fh</v>
          </cell>
          <cell r="I28">
            <v>1.1000000000000001</v>
          </cell>
          <cell r="J28" t="str">
            <v>-</v>
          </cell>
        </row>
        <row r="30">
          <cell r="A30" t="str">
            <v>II</v>
          </cell>
          <cell r="C30" t="str">
            <v>METHODE PELAKSANAAN</v>
          </cell>
        </row>
        <row r="31">
          <cell r="A31">
            <v>1</v>
          </cell>
          <cell r="C31" t="str">
            <v>Wheel Loader mengangkut batu/gravel dari tumpukan</v>
          </cell>
        </row>
        <row r="32">
          <cell r="C32" t="str">
            <v>dan menuangkannya ke Alat Pemecah Batu.</v>
          </cell>
        </row>
        <row r="33">
          <cell r="A33">
            <v>2</v>
          </cell>
          <cell r="C33" t="str">
            <v>Batu/gravel dipecah dengan Alat Pemecah Batu</v>
          </cell>
        </row>
        <row r="34">
          <cell r="C34" t="str">
            <v>(Stone Crusher) sehingga menghasilkan Agregat</v>
          </cell>
        </row>
        <row r="35">
          <cell r="C35" t="str">
            <v>Kasar dan Agregat Halus.</v>
          </cell>
        </row>
        <row r="36">
          <cell r="A36">
            <v>3</v>
          </cell>
          <cell r="C36" t="str">
            <v>Wheel Loader melakukan pencampuran (blending)</v>
          </cell>
        </row>
        <row r="37">
          <cell r="C37" t="str">
            <v>Agregat Kasar, Agregat Halus dan Pasir menjadi</v>
          </cell>
        </row>
        <row r="38">
          <cell r="C38" t="str">
            <v>Agregat Kelas A.</v>
          </cell>
        </row>
        <row r="40">
          <cell r="A40" t="str">
            <v>III</v>
          </cell>
          <cell r="C40" t="str">
            <v>PERHITUNGAN</v>
          </cell>
        </row>
        <row r="42">
          <cell r="A42" t="str">
            <v>III.1.</v>
          </cell>
          <cell r="C42" t="str">
            <v>HARGA SATUAN AGREGAT PRODUKSI ST. CRUSHER</v>
          </cell>
        </row>
        <row r="44">
          <cell r="A44" t="str">
            <v xml:space="preserve">1.a.  </v>
          </cell>
          <cell r="C44" t="str">
            <v>Kerja Stone Crusher memecah gravel  :</v>
          </cell>
        </row>
        <row r="45">
          <cell r="C45" t="str">
            <v xml:space="preserve">    - Waktu kerja Stone Crusher</v>
          </cell>
          <cell r="H45" t="str">
            <v>Tst</v>
          </cell>
          <cell r="I45">
            <v>1</v>
          </cell>
          <cell r="J45" t="str">
            <v>Jam</v>
          </cell>
        </row>
        <row r="46">
          <cell r="C46" t="str">
            <v xml:space="preserve">    - Produksi Stone Crusher  1 jam</v>
          </cell>
          <cell r="F46" t="str">
            <v>=  (Fa1 x Cp1) : D3</v>
          </cell>
          <cell r="H46" t="str">
            <v>Qb</v>
          </cell>
          <cell r="I46">
            <v>19.444444444444443</v>
          </cell>
          <cell r="J46" t="str">
            <v>M3/Jam</v>
          </cell>
          <cell r="K46" t="str">
            <v xml:space="preserve"> Batu pecah</v>
          </cell>
        </row>
        <row r="47">
          <cell r="C47" t="str">
            <v xml:space="preserve">    - Kebutuhan batu/gravel 1 jam</v>
          </cell>
          <cell r="F47" t="str">
            <v>=  (Fa1 x Cp1) : D1</v>
          </cell>
          <cell r="H47" t="str">
            <v>Qg</v>
          </cell>
          <cell r="I47">
            <v>19.444444444444443</v>
          </cell>
          <cell r="J47" t="str">
            <v>M3/Jam</v>
          </cell>
        </row>
        <row r="49">
          <cell r="A49" t="str">
            <v xml:space="preserve">1.b.  </v>
          </cell>
          <cell r="C49" t="str">
            <v>Kerja Wheel Loader melayani Stone Crusher  :</v>
          </cell>
        </row>
        <row r="50">
          <cell r="C50" t="str">
            <v xml:space="preserve">    - Kap. Angkut / rit   =  (Fa2 x Cp2)</v>
          </cell>
          <cell r="H50" t="str">
            <v>Ka</v>
          </cell>
          <cell r="I50">
            <v>1.2449999999999999</v>
          </cell>
          <cell r="J50" t="str">
            <v>M3</v>
          </cell>
        </row>
        <row r="51">
          <cell r="C51" t="str">
            <v xml:space="preserve">    - Waktu Siklus (Muat, Tuang, Tunggu, dll)</v>
          </cell>
          <cell r="H51" t="str">
            <v>Ts</v>
          </cell>
          <cell r="I51">
            <v>2</v>
          </cell>
          <cell r="J51" t="str">
            <v>menit</v>
          </cell>
        </row>
        <row r="52">
          <cell r="C52" t="str">
            <v xml:space="preserve">    - Waktu kerja W.Loader memasok gravel</v>
          </cell>
        </row>
        <row r="53">
          <cell r="D53" t="str">
            <v>=  {(Qg : Ka) x Ts} : 60 menit</v>
          </cell>
          <cell r="H53" t="str">
            <v>Tw</v>
          </cell>
          <cell r="I53">
            <v>0.52060092220734788</v>
          </cell>
          <cell r="J53" t="str">
            <v>Jam</v>
          </cell>
        </row>
        <row r="55">
          <cell r="A55" t="str">
            <v xml:space="preserve">1.c.  </v>
          </cell>
          <cell r="C55" t="str">
            <v>Biaya Produksi Batu Pecah / M3</v>
          </cell>
        </row>
        <row r="56">
          <cell r="D56" t="str">
            <v>=  {(Tst x Rp3) + (Tw x Rp4)} : Qb</v>
          </cell>
          <cell r="H56" t="str">
            <v>Bp</v>
          </cell>
          <cell r="I56">
            <v>34416.637538815092</v>
          </cell>
          <cell r="J56" t="str">
            <v>Rp./M3</v>
          </cell>
        </row>
        <row r="58">
          <cell r="A58" t="str">
            <v xml:space="preserve">1.d.  </v>
          </cell>
          <cell r="C58" t="str">
            <v>Harga Satuan Batu Pecah Produksi St.Crusher / M3</v>
          </cell>
        </row>
        <row r="59">
          <cell r="D59" t="str">
            <v>=  {(Qg : Qb) x Fh x Rp1} + Bp</v>
          </cell>
          <cell r="H59" t="str">
            <v>HSb</v>
          </cell>
          <cell r="I59">
            <v>140346.63753881509</v>
          </cell>
          <cell r="J59" t="str">
            <v>Rp./M3</v>
          </cell>
        </row>
        <row r="61">
          <cell r="K61" t="str">
            <v xml:space="preserve">Berlanjut </v>
          </cell>
        </row>
        <row r="62">
          <cell r="A62" t="str">
            <v>ITEM PEMBAYARAN</v>
          </cell>
          <cell r="D62" t="str">
            <v>:  AGREGAT KELAS A</v>
          </cell>
        </row>
        <row r="63">
          <cell r="A63" t="str">
            <v>JENIS PEKERJAAN</v>
          </cell>
          <cell r="D63" t="str">
            <v>:  PENGADAAN AGREGAT KELAS A</v>
          </cell>
        </row>
        <row r="64">
          <cell r="A64" t="str">
            <v>SATUAN PEMBAYARAN</v>
          </cell>
          <cell r="D64" t="str">
            <v>:  M3</v>
          </cell>
          <cell r="K64" t="str">
            <v xml:space="preserve">            URAIAN ANALISA HARGA SATUAN</v>
          </cell>
        </row>
        <row r="65">
          <cell r="K65" t="str">
            <v xml:space="preserve">Lanjutan 1 </v>
          </cell>
        </row>
        <row r="67">
          <cell r="A67" t="str">
            <v>No.</v>
          </cell>
          <cell r="C67" t="str">
            <v>U R A I A N</v>
          </cell>
          <cell r="H67" t="str">
            <v>KODE</v>
          </cell>
          <cell r="I67" t="str">
            <v>KOEFISIEN</v>
          </cell>
          <cell r="J67" t="str">
            <v>SATUAN</v>
          </cell>
          <cell r="K67" t="str">
            <v>KETERANGAN</v>
          </cell>
        </row>
        <row r="70">
          <cell r="A70" t="str">
            <v>III.2.</v>
          </cell>
          <cell r="C70" t="str">
            <v>HARGA SATUAN AGREGAT KASAR</v>
          </cell>
        </row>
        <row r="72">
          <cell r="C72" t="str">
            <v>Harga Satuan Agregat Kasar diambil sama dengan</v>
          </cell>
        </row>
        <row r="73">
          <cell r="C73" t="str">
            <v>Agregat Batu Pecah Produksi Stone Crusher</v>
          </cell>
        </row>
        <row r="74">
          <cell r="C74" t="str">
            <v>Harga Satuan Agregat Kasar / M3</v>
          </cell>
          <cell r="H74" t="str">
            <v>HSAk</v>
          </cell>
          <cell r="I74">
            <v>140346.63753881509</v>
          </cell>
          <cell r="J74" t="str">
            <v>Rupiah</v>
          </cell>
          <cell r="K74" t="str">
            <v xml:space="preserve"> Di Luar PPN</v>
          </cell>
        </row>
        <row r="76">
          <cell r="A76" t="str">
            <v>III.3.</v>
          </cell>
          <cell r="C76" t="str">
            <v>HARGA SATUAN AGREGAT HALUS</v>
          </cell>
        </row>
        <row r="78">
          <cell r="C78" t="str">
            <v>Dianggap Agregat produksi Stone Crusher yang lolos</v>
          </cell>
        </row>
        <row r="79">
          <cell r="C79" t="str">
            <v>saringan # 4 (4.75 mm) belum memenuhi Spesifikasi</v>
          </cell>
        </row>
        <row r="80">
          <cell r="C80" t="str">
            <v>sehingga perlu dicampur lagi dengan pasir 10 %</v>
          </cell>
        </row>
        <row r="82">
          <cell r="A82" t="str">
            <v>3.a.</v>
          </cell>
          <cell r="C82" t="str">
            <v>Agregat Hasil Stone Crusher</v>
          </cell>
          <cell r="F82" t="str">
            <v>=  90 % x HSb</v>
          </cell>
          <cell r="H82" t="str">
            <v>Hs1</v>
          </cell>
          <cell r="I82">
            <v>133329.30566187433</v>
          </cell>
          <cell r="J82" t="str">
            <v>Rupiah</v>
          </cell>
        </row>
        <row r="83">
          <cell r="A83" t="str">
            <v>3.b.</v>
          </cell>
          <cell r="C83" t="str">
            <v>P a s i r</v>
          </cell>
          <cell r="F83" t="str">
            <v>=  10 % x Rp2</v>
          </cell>
          <cell r="H83" t="str">
            <v>Hs2</v>
          </cell>
          <cell r="I83">
            <v>2440</v>
          </cell>
          <cell r="J83" t="str">
            <v>Rupiah</v>
          </cell>
        </row>
        <row r="84">
          <cell r="A84" t="str">
            <v>3.c.</v>
          </cell>
          <cell r="C84" t="str">
            <v>Waktu pencampuran (blending) dengan Wheel Loader</v>
          </cell>
          <cell r="H84" t="str">
            <v>Tc</v>
          </cell>
          <cell r="I84">
            <v>3.3000000000000002E-2</v>
          </cell>
          <cell r="J84" t="str">
            <v>Jam/M3</v>
          </cell>
        </row>
        <row r="85">
          <cell r="A85" t="str">
            <v>3.d.</v>
          </cell>
          <cell r="C85" t="str">
            <v>Biaya Pencampuran</v>
          </cell>
          <cell r="F85" t="str">
            <v>=  Tc x Rp4</v>
          </cell>
          <cell r="H85" t="str">
            <v>Hs3</v>
          </cell>
          <cell r="I85">
            <v>8874.7351637896627</v>
          </cell>
          <cell r="J85" t="str">
            <v>Rupiah</v>
          </cell>
        </row>
        <row r="87">
          <cell r="C87" t="str">
            <v>Harga Satuan Agregat Halus / M3</v>
          </cell>
        </row>
        <row r="88">
          <cell r="D88" t="str">
            <v xml:space="preserve"> =  Hs1 + Hs2 + Hs3</v>
          </cell>
          <cell r="H88" t="str">
            <v>HSAh</v>
          </cell>
          <cell r="I88">
            <v>144644.04082566398</v>
          </cell>
          <cell r="J88" t="str">
            <v>Rupiah</v>
          </cell>
          <cell r="K88" t="str">
            <v xml:space="preserve"> Di luar PPN</v>
          </cell>
        </row>
        <row r="90">
          <cell r="A90" t="str">
            <v>III.4.</v>
          </cell>
          <cell r="C90" t="str">
            <v>PROSES PENCAMPURAN AGREGAT KELAS A</v>
          </cell>
        </row>
        <row r="92">
          <cell r="C92" t="str">
            <v>Untuk setiap 1 M3 Agregat Kelas A, diperlukan :</v>
          </cell>
        </row>
        <row r="94">
          <cell r="A94" t="str">
            <v xml:space="preserve">4.a.  </v>
          </cell>
          <cell r="C94" t="str">
            <v xml:space="preserve">     - Agregat Kasar</v>
          </cell>
          <cell r="D94" t="str">
            <v>=  Ak x 1 M3</v>
          </cell>
          <cell r="H94" t="str">
            <v>Vk</v>
          </cell>
          <cell r="I94">
            <v>0.55000000000000004</v>
          </cell>
          <cell r="J94" t="str">
            <v>M3</v>
          </cell>
        </row>
        <row r="95">
          <cell r="C95" t="str">
            <v xml:space="preserve">     - Agregat Halus</v>
          </cell>
          <cell r="D95" t="str">
            <v>=  Ah x 1 M3</v>
          </cell>
          <cell r="H95" t="str">
            <v>Vh</v>
          </cell>
          <cell r="I95">
            <v>0.45</v>
          </cell>
          <cell r="J95" t="str">
            <v>M3</v>
          </cell>
        </row>
        <row r="96">
          <cell r="C96" t="str">
            <v xml:space="preserve">     - Total volume batu pecah  =  Vk + Vh</v>
          </cell>
          <cell r="H96" t="str">
            <v>Va</v>
          </cell>
          <cell r="I96">
            <v>1</v>
          </cell>
          <cell r="J96" t="str">
            <v>M3</v>
          </cell>
        </row>
        <row r="98">
          <cell r="A98" t="str">
            <v xml:space="preserve">4.c.  </v>
          </cell>
          <cell r="C98" t="str">
            <v>Waktu pencampuran (blending) oleh Wheel Loader</v>
          </cell>
          <cell r="H98" t="str">
            <v>Tc</v>
          </cell>
          <cell r="I98">
            <v>3.3333333333333298E-2</v>
          </cell>
          <cell r="J98" t="str">
            <v>Jam/M3</v>
          </cell>
        </row>
        <row r="100">
          <cell r="A100" t="str">
            <v>III.5.</v>
          </cell>
          <cell r="C100" t="str">
            <v>HARGA SATUAN BAHAN AGREGAT KELAS A</v>
          </cell>
        </row>
        <row r="102">
          <cell r="A102" t="str">
            <v xml:space="preserve">5.a.  </v>
          </cell>
          <cell r="C102" t="str">
            <v>Agregat Kasar</v>
          </cell>
          <cell r="D102" t="str">
            <v xml:space="preserve"> =  Vk x HSAk</v>
          </cell>
          <cell r="H102" t="str">
            <v>Hs1</v>
          </cell>
          <cell r="I102">
            <v>77190.650646348309</v>
          </cell>
          <cell r="J102" t="str">
            <v>Rupiah</v>
          </cell>
        </row>
        <row r="104">
          <cell r="A104" t="str">
            <v xml:space="preserve">5.b.  </v>
          </cell>
          <cell r="C104" t="str">
            <v>Agregat Halus</v>
          </cell>
          <cell r="D104" t="str">
            <v xml:space="preserve"> =  Vh x HSAh</v>
          </cell>
          <cell r="H104" t="str">
            <v>Hs2</v>
          </cell>
          <cell r="I104">
            <v>65089.81837154879</v>
          </cell>
          <cell r="J104" t="str">
            <v>Rupiah</v>
          </cell>
        </row>
        <row r="106">
          <cell r="A106" t="str">
            <v xml:space="preserve">5.c.  </v>
          </cell>
          <cell r="C106" t="str">
            <v>Biaya Pencampuran</v>
          </cell>
          <cell r="D106" t="str">
            <v xml:space="preserve"> =  Tc x Rp4</v>
          </cell>
          <cell r="H106" t="str">
            <v>Hs3</v>
          </cell>
          <cell r="I106">
            <v>8964.378953322881</v>
          </cell>
          <cell r="J106" t="str">
            <v>Rupiah</v>
          </cell>
        </row>
        <row r="108">
          <cell r="A108" t="str">
            <v xml:space="preserve">5.d.  </v>
          </cell>
          <cell r="C108" t="str">
            <v>Harga Satuan Agregat Kelas A / M3</v>
          </cell>
        </row>
        <row r="109">
          <cell r="D109" t="str">
            <v xml:space="preserve"> =  Hs1 + Hs2 + Hs3</v>
          </cell>
          <cell r="H109" t="str">
            <v>HSAA</v>
          </cell>
          <cell r="I109">
            <v>151244.84797121998</v>
          </cell>
          <cell r="J109" t="str">
            <v>Rupiah</v>
          </cell>
          <cell r="K109" t="str">
            <v xml:space="preserve"> Di luar PPN</v>
          </cell>
        </row>
        <row r="121">
          <cell r="A121" t="str">
            <v>ITEM PEMBAYARAN</v>
          </cell>
          <cell r="D121" t="str">
            <v>:  AGREGAT KELAS B</v>
          </cell>
        </row>
        <row r="122">
          <cell r="A122" t="str">
            <v>JENIS PEKERJAAN</v>
          </cell>
          <cell r="D122" t="str">
            <v>:  PENGADAAN AGREGAT KELAS B</v>
          </cell>
        </row>
        <row r="123">
          <cell r="A123" t="str">
            <v>SATUAN PEMBAYARAN</v>
          </cell>
          <cell r="D123" t="str">
            <v>:  M3</v>
          </cell>
          <cell r="K123" t="str">
            <v xml:space="preserve">            URAIAN ANALISA HARGA SATUAN</v>
          </cell>
        </row>
        <row r="126">
          <cell r="A126" t="str">
            <v>No.</v>
          </cell>
          <cell r="C126" t="str">
            <v>U R A I A N</v>
          </cell>
          <cell r="H126" t="str">
            <v>KODE</v>
          </cell>
          <cell r="I126" t="str">
            <v>KOEFISIEN</v>
          </cell>
          <cell r="J126" t="str">
            <v>SATUAN</v>
          </cell>
          <cell r="K126" t="str">
            <v>KETERANGAN</v>
          </cell>
        </row>
        <row r="129">
          <cell r="A129" t="str">
            <v>I</v>
          </cell>
          <cell r="C129" t="str">
            <v>ASUMSI</v>
          </cell>
        </row>
        <row r="130">
          <cell r="A130">
            <v>1</v>
          </cell>
          <cell r="C130" t="str">
            <v>Bahan dasar (Batu dan Pasir) diterima di lokasi Alat</v>
          </cell>
        </row>
        <row r="131">
          <cell r="C131" t="str">
            <v>Pemecah Batu (di Base Camp)</v>
          </cell>
        </row>
        <row r="132">
          <cell r="A132">
            <v>2</v>
          </cell>
          <cell r="C132" t="str">
            <v>Kegiatan dilakukan di dalam lokasi Base Camp</v>
          </cell>
        </row>
        <row r="133">
          <cell r="A133">
            <v>3</v>
          </cell>
          <cell r="C133" t="str">
            <v>Proporsi campuran (Spesifikasi) :</v>
          </cell>
          <cell r="F133" t="str">
            <v>- Agregat Halus</v>
          </cell>
          <cell r="H133" t="str">
            <v>Ah</v>
          </cell>
          <cell r="I133">
            <v>25</v>
          </cell>
          <cell r="J133" t="str">
            <v>%</v>
          </cell>
        </row>
        <row r="134">
          <cell r="F134" t="str">
            <v>- Agregat Kasar</v>
          </cell>
          <cell r="H134" t="str">
            <v>Ak</v>
          </cell>
          <cell r="I134">
            <v>75</v>
          </cell>
          <cell r="J134" t="str">
            <v>%</v>
          </cell>
        </row>
        <row r="135">
          <cell r="A135">
            <v>4</v>
          </cell>
          <cell r="C135" t="str">
            <v>Hasil produksi Alat Pemecah Batu :</v>
          </cell>
          <cell r="F135" t="str">
            <v>- Agregat Halus</v>
          </cell>
          <cell r="H135" t="str">
            <v>H</v>
          </cell>
          <cell r="I135">
            <v>30</v>
          </cell>
          <cell r="J135" t="str">
            <v>%</v>
          </cell>
        </row>
        <row r="136">
          <cell r="F136" t="str">
            <v>- Agregat Kasar</v>
          </cell>
          <cell r="H136" t="str">
            <v>K</v>
          </cell>
          <cell r="I136">
            <v>70</v>
          </cell>
          <cell r="J136" t="str">
            <v>%</v>
          </cell>
        </row>
        <row r="137">
          <cell r="A137">
            <v>5</v>
          </cell>
          <cell r="C137" t="str">
            <v>Berat Jenis Bahan :</v>
          </cell>
          <cell r="D137" t="str">
            <v>- Batu / Gravel</v>
          </cell>
          <cell r="H137" t="str">
            <v>D1</v>
          </cell>
          <cell r="I137">
            <v>1.8</v>
          </cell>
          <cell r="J137" t="str">
            <v>Ton/M3</v>
          </cell>
        </row>
        <row r="138">
          <cell r="D138" t="str">
            <v>- Pasir</v>
          </cell>
          <cell r="H138" t="str">
            <v>D2</v>
          </cell>
          <cell r="I138">
            <v>1.67</v>
          </cell>
          <cell r="J138" t="str">
            <v>Ton/M3</v>
          </cell>
        </row>
        <row r="139">
          <cell r="D139" t="str">
            <v>- Batu Pecah</v>
          </cell>
          <cell r="H139" t="str">
            <v>D3</v>
          </cell>
          <cell r="I139">
            <v>1.8</v>
          </cell>
          <cell r="J139" t="str">
            <v>Ton/M3</v>
          </cell>
        </row>
        <row r="140">
          <cell r="A140">
            <v>6</v>
          </cell>
          <cell r="C140" t="str">
            <v>Harga Satuan Bahan Dasar    :</v>
          </cell>
          <cell r="F140" t="str">
            <v>- Batu Kali</v>
          </cell>
          <cell r="H140" t="str">
            <v>Rp1</v>
          </cell>
          <cell r="I140">
            <v>96300</v>
          </cell>
          <cell r="J140" t="str">
            <v>Rp./M3</v>
          </cell>
        </row>
        <row r="141">
          <cell r="F141" t="str">
            <v>- Pasir</v>
          </cell>
          <cell r="H141" t="str">
            <v>Rp2</v>
          </cell>
          <cell r="I141">
            <v>48800</v>
          </cell>
          <cell r="J141" t="str">
            <v>Rp./M3</v>
          </cell>
        </row>
        <row r="142">
          <cell r="A142">
            <v>7</v>
          </cell>
          <cell r="C142" t="str">
            <v>Biaya Operasi Alat :</v>
          </cell>
          <cell r="D142" t="str">
            <v>- Pemecah Batu (Stone Crusher)</v>
          </cell>
          <cell r="H142" t="str">
            <v>Rp3</v>
          </cell>
          <cell r="I142">
            <v>529206.47808459005</v>
          </cell>
          <cell r="J142" t="str">
            <v>Rp./Jam</v>
          </cell>
        </row>
        <row r="143">
          <cell r="D143" t="str">
            <v>- Wheel Loader</v>
          </cell>
          <cell r="H143" t="str">
            <v>Rp4</v>
          </cell>
          <cell r="I143">
            <v>268931.36859968671</v>
          </cell>
          <cell r="J143" t="str">
            <v>Rp./Jam</v>
          </cell>
        </row>
        <row r="144">
          <cell r="A144">
            <v>8</v>
          </cell>
          <cell r="C144" t="str">
            <v>Kapasitas Alat :</v>
          </cell>
          <cell r="D144" t="str">
            <v>- Pemecah Batu (Stone Crusher)</v>
          </cell>
          <cell r="H144" t="str">
            <v>Cp1</v>
          </cell>
          <cell r="I144">
            <v>50</v>
          </cell>
          <cell r="J144" t="str">
            <v>Ton/Jam</v>
          </cell>
        </row>
        <row r="145">
          <cell r="D145" t="str">
            <v>- Wheel Loader</v>
          </cell>
          <cell r="H145" t="str">
            <v>Cp2</v>
          </cell>
          <cell r="I145">
            <v>1.5</v>
          </cell>
          <cell r="J145" t="str">
            <v>M3</v>
          </cell>
          <cell r="K145" t="str">
            <v xml:space="preserve"> Kap. Bucket</v>
          </cell>
        </row>
        <row r="146">
          <cell r="A146">
            <v>9</v>
          </cell>
          <cell r="C146" t="str">
            <v>Faktor Efisiensi Alat :</v>
          </cell>
          <cell r="D146" t="str">
            <v>- Pemecah Batu (Stone Crusher)</v>
          </cell>
          <cell r="H146" t="str">
            <v>Fa1</v>
          </cell>
          <cell r="I146">
            <v>0.7</v>
          </cell>
          <cell r="J146" t="str">
            <v>-</v>
          </cell>
        </row>
        <row r="147">
          <cell r="D147" t="str">
            <v>- Wheel Loader</v>
          </cell>
          <cell r="H147" t="str">
            <v>Fa2</v>
          </cell>
          <cell r="I147">
            <v>0.83</v>
          </cell>
          <cell r="J147" t="str">
            <v>-</v>
          </cell>
        </row>
        <row r="148">
          <cell r="A148">
            <v>10</v>
          </cell>
          <cell r="C148" t="str">
            <v>Faktor Kehilangan Material</v>
          </cell>
          <cell r="H148" t="str">
            <v>Fh</v>
          </cell>
          <cell r="I148">
            <v>1.1000000000000001</v>
          </cell>
          <cell r="J148" t="str">
            <v>-</v>
          </cell>
        </row>
        <row r="150">
          <cell r="A150" t="str">
            <v>II</v>
          </cell>
          <cell r="C150" t="str">
            <v>METHODE PELAKSANAAN</v>
          </cell>
        </row>
        <row r="151">
          <cell r="A151">
            <v>1</v>
          </cell>
          <cell r="C151" t="str">
            <v>Wheel Loader mengangkut batu/gravel dari tumpukan</v>
          </cell>
        </row>
        <row r="152">
          <cell r="C152" t="str">
            <v>dan menuangkannya ke Alat Pemecah Batu.</v>
          </cell>
        </row>
        <row r="153">
          <cell r="A153">
            <v>2</v>
          </cell>
          <cell r="C153" t="str">
            <v>Batu/gravel dipecah dengan Alat Pemecah Batu</v>
          </cell>
        </row>
        <row r="154">
          <cell r="C154" t="str">
            <v>(Stone Crusher) sehingga menghasilkan Agregat</v>
          </cell>
        </row>
        <row r="155">
          <cell r="C155" t="str">
            <v>Kasar dan Agregat Halus.</v>
          </cell>
        </row>
        <row r="156">
          <cell r="A156">
            <v>3</v>
          </cell>
          <cell r="C156" t="str">
            <v>Wheel Loader melakukan pencampuran (blending)</v>
          </cell>
        </row>
        <row r="157">
          <cell r="C157" t="str">
            <v>Agregat Kasar, Agregat Halus dan Pasir menjadi</v>
          </cell>
        </row>
        <row r="158">
          <cell r="C158" t="str">
            <v>Agregat Kelas B.</v>
          </cell>
        </row>
        <row r="160">
          <cell r="A160" t="str">
            <v>III</v>
          </cell>
          <cell r="C160" t="str">
            <v>PERHITUNGAN</v>
          </cell>
        </row>
        <row r="162">
          <cell r="A162" t="str">
            <v>III.1.</v>
          </cell>
          <cell r="C162" t="str">
            <v>HARGA SATUAN AGREGAT PRODUKSI ST. CRUSHER</v>
          </cell>
        </row>
        <row r="164">
          <cell r="A164" t="str">
            <v xml:space="preserve">1.a.  </v>
          </cell>
          <cell r="C164" t="str">
            <v>Kerja Stone Crusher memecah gravel  :</v>
          </cell>
        </row>
        <row r="165">
          <cell r="C165" t="str">
            <v xml:space="preserve">    - Waktu kerja Stone Crusher</v>
          </cell>
          <cell r="H165" t="str">
            <v>Tst</v>
          </cell>
          <cell r="I165">
            <v>1</v>
          </cell>
          <cell r="J165" t="str">
            <v>Jam</v>
          </cell>
        </row>
        <row r="166">
          <cell r="C166" t="str">
            <v xml:space="preserve">    - Produksi Stone Crusher  1 jam</v>
          </cell>
          <cell r="F166" t="str">
            <v>=  (Fa1 x Cp1) : D3</v>
          </cell>
          <cell r="H166" t="str">
            <v>Qb</v>
          </cell>
          <cell r="I166">
            <v>19.444444444444443</v>
          </cell>
          <cell r="J166" t="str">
            <v>M3/Jam</v>
          </cell>
          <cell r="K166" t="str">
            <v xml:space="preserve"> Batu pecah</v>
          </cell>
        </row>
        <row r="167">
          <cell r="C167" t="str">
            <v xml:space="preserve">    - Kebutuhan batu/gravel 1 jam</v>
          </cell>
          <cell r="F167" t="str">
            <v>=  (Fa1 x Cp1) : D1</v>
          </cell>
          <cell r="H167" t="str">
            <v>Qg</v>
          </cell>
          <cell r="I167">
            <v>19.444444444444443</v>
          </cell>
          <cell r="J167" t="str">
            <v>M3/Jam</v>
          </cell>
        </row>
        <row r="169">
          <cell r="A169" t="str">
            <v xml:space="preserve">1.b.  </v>
          </cell>
          <cell r="C169" t="str">
            <v>Kerja Wheel Loader melayani Stone Crusher  :</v>
          </cell>
        </row>
        <row r="170">
          <cell r="C170" t="str">
            <v xml:space="preserve">    - Kap. Angkut / rit   =  (Fa2 x Cp2)</v>
          </cell>
          <cell r="H170" t="str">
            <v>Ka</v>
          </cell>
          <cell r="I170">
            <v>1.2449999999999999</v>
          </cell>
          <cell r="J170" t="str">
            <v>M3</v>
          </cell>
        </row>
        <row r="171">
          <cell r="C171" t="str">
            <v xml:space="preserve">    - Waktu Siklus (Muat, Tuang, Tunggu, dll)</v>
          </cell>
          <cell r="H171" t="str">
            <v>Ts</v>
          </cell>
          <cell r="I171">
            <v>2</v>
          </cell>
          <cell r="J171" t="str">
            <v>menit</v>
          </cell>
        </row>
        <row r="172">
          <cell r="C172" t="str">
            <v xml:space="preserve">    - Waktu kerja W.Loader memasok gravel</v>
          </cell>
        </row>
        <row r="173">
          <cell r="D173" t="str">
            <v>=  {(Qg : Ka) x Ts} : 60 menit</v>
          </cell>
          <cell r="H173" t="str">
            <v>Tw</v>
          </cell>
          <cell r="I173">
            <v>0.52060092220734788</v>
          </cell>
          <cell r="J173" t="str">
            <v>Jam</v>
          </cell>
        </row>
        <row r="175">
          <cell r="A175" t="str">
            <v xml:space="preserve">1.c.  </v>
          </cell>
          <cell r="C175" t="str">
            <v>Biaya Produksi Batu Pecah / M3</v>
          </cell>
        </row>
        <row r="176">
          <cell r="D176" t="str">
            <v>=  {(Tst x Rp3) + (Tw x Rp4)} : Qb</v>
          </cell>
          <cell r="H176" t="str">
            <v>Bp</v>
          </cell>
          <cell r="I176">
            <v>34416.637538815092</v>
          </cell>
          <cell r="J176" t="str">
            <v>Rp./M3</v>
          </cell>
        </row>
        <row r="178">
          <cell r="A178" t="str">
            <v xml:space="preserve">1.d.  </v>
          </cell>
          <cell r="C178" t="str">
            <v>Harga Satuan Batu Pecah Produksi St.Crusher / M3</v>
          </cell>
        </row>
        <row r="179">
          <cell r="D179" t="str">
            <v>=  {(Qg : Qb) x Fh x Rp1} + Bp</v>
          </cell>
          <cell r="H179" t="str">
            <v>HSb</v>
          </cell>
          <cell r="I179">
            <v>140346.63753881509</v>
          </cell>
          <cell r="J179" t="str">
            <v>Rp./M3</v>
          </cell>
        </row>
        <row r="181">
          <cell r="K181" t="str">
            <v xml:space="preserve">Berlanjut </v>
          </cell>
        </row>
        <row r="182">
          <cell r="A182" t="str">
            <v>ITEM PEMBAYARAN</v>
          </cell>
          <cell r="D182" t="str">
            <v>:  AGREGAT KELAS B</v>
          </cell>
        </row>
        <row r="183">
          <cell r="A183" t="str">
            <v>JENIS PEKERJAAN</v>
          </cell>
          <cell r="D183" t="str">
            <v>:  PENGADAAN AGREGAT KELAS B</v>
          </cell>
        </row>
        <row r="184">
          <cell r="A184" t="str">
            <v>SATUAN PEMBAYARAN</v>
          </cell>
          <cell r="D184" t="str">
            <v>:  M3</v>
          </cell>
          <cell r="K184" t="str">
            <v xml:space="preserve">            URAIAN ANALISA HARGA SATUAN</v>
          </cell>
        </row>
        <row r="185">
          <cell r="K185" t="str">
            <v xml:space="preserve">Lanjutan 1 </v>
          </cell>
        </row>
        <row r="187">
          <cell r="A187" t="str">
            <v>No.</v>
          </cell>
          <cell r="C187" t="str">
            <v>U R A I A N</v>
          </cell>
          <cell r="H187" t="str">
            <v>KODE</v>
          </cell>
          <cell r="I187" t="str">
            <v>KOEFISIEN</v>
          </cell>
          <cell r="J187" t="str">
            <v>SATUAN</v>
          </cell>
          <cell r="K187" t="str">
            <v>KETERANGAN</v>
          </cell>
        </row>
        <row r="190">
          <cell r="A190" t="str">
            <v>III.2.</v>
          </cell>
          <cell r="C190" t="str">
            <v>HARGA SATUAN AGREGAT KASAR</v>
          </cell>
        </row>
        <row r="192">
          <cell r="C192" t="str">
            <v>Harga Satuan Agregat Kasar diambil sama dengan</v>
          </cell>
        </row>
        <row r="193">
          <cell r="C193" t="str">
            <v>Agregat Batu Pecah Produksi Stone Crusher</v>
          </cell>
        </row>
        <row r="194">
          <cell r="C194" t="str">
            <v>Harga Satuan Agregat Kasar / M3</v>
          </cell>
          <cell r="H194" t="str">
            <v>HSAk</v>
          </cell>
          <cell r="I194">
            <v>140346.63753881509</v>
          </cell>
          <cell r="J194" t="str">
            <v>Rupiah</v>
          </cell>
          <cell r="K194" t="str">
            <v xml:space="preserve"> Di Luar PPN</v>
          </cell>
        </row>
        <row r="196">
          <cell r="A196" t="str">
            <v>III.3.</v>
          </cell>
          <cell r="C196" t="str">
            <v>HARGA SATUAN AGREGAT HALUS</v>
          </cell>
        </row>
        <row r="198">
          <cell r="C198" t="str">
            <v>Dianggap Agregat produksi Stone Crusher yang lolos</v>
          </cell>
        </row>
        <row r="199">
          <cell r="C199" t="str">
            <v>saringan # 4 (4.75 mm) belum memenuhi Spesifikasi</v>
          </cell>
        </row>
        <row r="200">
          <cell r="C200" t="str">
            <v>sehingga perlu dicampur lagi dengan pasir 10 %</v>
          </cell>
        </row>
        <row r="202">
          <cell r="A202" t="str">
            <v>3.a.</v>
          </cell>
          <cell r="C202" t="str">
            <v>Agregat Hasil Stone Crusher</v>
          </cell>
          <cell r="F202" t="str">
            <v>=  90 % x HSb</v>
          </cell>
          <cell r="H202" t="str">
            <v>Hs1</v>
          </cell>
          <cell r="I202">
            <v>133329.30566187433</v>
          </cell>
          <cell r="J202" t="str">
            <v>Rupiah</v>
          </cell>
        </row>
        <row r="203">
          <cell r="A203" t="str">
            <v>3.b.</v>
          </cell>
          <cell r="C203" t="str">
            <v>P a s i r</v>
          </cell>
          <cell r="F203" t="str">
            <v>=  10 % x Rp2</v>
          </cell>
          <cell r="H203" t="str">
            <v>Hs2</v>
          </cell>
          <cell r="I203">
            <v>2440</v>
          </cell>
          <cell r="J203" t="str">
            <v>Rupiah</v>
          </cell>
        </row>
        <row r="204">
          <cell r="A204" t="str">
            <v>3.c.</v>
          </cell>
          <cell r="C204" t="str">
            <v>Waktu pencampuran (blending) dengan Wheel Loader</v>
          </cell>
          <cell r="H204" t="str">
            <v>Tc</v>
          </cell>
          <cell r="I204">
            <v>3.3000000000000002E-2</v>
          </cell>
          <cell r="J204" t="str">
            <v>Jam/M3</v>
          </cell>
        </row>
        <row r="205">
          <cell r="A205" t="str">
            <v>3.d.</v>
          </cell>
          <cell r="C205" t="str">
            <v>Biaya Pencampuran</v>
          </cell>
          <cell r="F205" t="str">
            <v>=  Tc x Rp4</v>
          </cell>
          <cell r="H205" t="str">
            <v>Hs3</v>
          </cell>
          <cell r="I205">
            <v>8874.7351637896627</v>
          </cell>
          <cell r="J205" t="str">
            <v>Rupiah</v>
          </cell>
        </row>
        <row r="207">
          <cell r="C207" t="str">
            <v>Harga Satuan Agregat Halus / M3</v>
          </cell>
        </row>
        <row r="208">
          <cell r="D208" t="str">
            <v xml:space="preserve"> =  Hs1 + Hs2 + Hs3</v>
          </cell>
          <cell r="H208" t="str">
            <v>HSAh</v>
          </cell>
          <cell r="I208">
            <v>144644.04082566398</v>
          </cell>
          <cell r="J208" t="str">
            <v>Rupiah</v>
          </cell>
          <cell r="K208" t="str">
            <v xml:space="preserve"> Di luar PPN</v>
          </cell>
        </row>
        <row r="210">
          <cell r="A210" t="str">
            <v>III.4.</v>
          </cell>
          <cell r="C210" t="str">
            <v>PROSES PENCAMPURAN AGREGAT KELAS B</v>
          </cell>
        </row>
        <row r="212">
          <cell r="C212" t="str">
            <v>Untuk setiap 1 M3 Agregat Kelas B, diperlukan :</v>
          </cell>
        </row>
        <row r="214">
          <cell r="A214" t="str">
            <v xml:space="preserve">4.a.  </v>
          </cell>
          <cell r="C214" t="str">
            <v xml:space="preserve">     - Agregat Kasar</v>
          </cell>
          <cell r="D214" t="str">
            <v>=  Ak x 1 M3</v>
          </cell>
          <cell r="H214" t="str">
            <v>Vk</v>
          </cell>
          <cell r="I214">
            <v>0.75</v>
          </cell>
          <cell r="J214" t="str">
            <v>M3</v>
          </cell>
        </row>
        <row r="215">
          <cell r="C215" t="str">
            <v xml:space="preserve">     - Agregat Halus</v>
          </cell>
          <cell r="D215" t="str">
            <v>=  Ah x 1 M3</v>
          </cell>
          <cell r="H215" t="str">
            <v>Vh</v>
          </cell>
          <cell r="I215">
            <v>0.25</v>
          </cell>
          <cell r="J215" t="str">
            <v>M3</v>
          </cell>
        </row>
        <row r="216">
          <cell r="C216" t="str">
            <v xml:space="preserve">     - Total volume batu pecah  =  Vk + Vh</v>
          </cell>
          <cell r="H216" t="str">
            <v>Va</v>
          </cell>
          <cell r="I216">
            <v>1</v>
          </cell>
          <cell r="J216" t="str">
            <v>M3</v>
          </cell>
        </row>
        <row r="218">
          <cell r="A218" t="str">
            <v xml:space="preserve">4.c.  </v>
          </cell>
          <cell r="C218" t="str">
            <v>Waktu pencampuran (blending) oleh Wheel Loader</v>
          </cell>
          <cell r="H218" t="str">
            <v>Tc</v>
          </cell>
          <cell r="I218">
            <v>3.3333333333333298E-2</v>
          </cell>
          <cell r="J218" t="str">
            <v>Jam/M3</v>
          </cell>
        </row>
        <row r="220">
          <cell r="A220" t="str">
            <v>III.5.</v>
          </cell>
          <cell r="C220" t="str">
            <v>HARGA SATUAN BAHAN AGREGAT KELAS B</v>
          </cell>
        </row>
        <row r="222">
          <cell r="A222" t="str">
            <v xml:space="preserve">5.a.  </v>
          </cell>
          <cell r="C222" t="str">
            <v>Agregat Kasar</v>
          </cell>
          <cell r="D222" t="str">
            <v xml:space="preserve"> =  Vk x HSAk</v>
          </cell>
          <cell r="H222" t="str">
            <v>Hs1</v>
          </cell>
          <cell r="I222">
            <v>105259.97815411132</v>
          </cell>
          <cell r="J222" t="str">
            <v>Rupiah</v>
          </cell>
        </row>
        <row r="224">
          <cell r="A224" t="str">
            <v xml:space="preserve">5.b.  </v>
          </cell>
          <cell r="C224" t="str">
            <v>Agregat Halus</v>
          </cell>
          <cell r="D224" t="str">
            <v xml:space="preserve"> =  Vh x HSAh</v>
          </cell>
          <cell r="H224" t="str">
            <v>Hs2</v>
          </cell>
          <cell r="I224">
            <v>36161.010206415995</v>
          </cell>
          <cell r="J224" t="str">
            <v>Rupiah</v>
          </cell>
        </row>
        <row r="226">
          <cell r="A226" t="str">
            <v xml:space="preserve">5.c.  </v>
          </cell>
          <cell r="C226" t="str">
            <v>Biaya Pencampuran</v>
          </cell>
          <cell r="D226" t="str">
            <v xml:space="preserve"> =  Tc x Rp4</v>
          </cell>
          <cell r="H226" t="str">
            <v>Hs3</v>
          </cell>
          <cell r="I226">
            <v>8964.378953322881</v>
          </cell>
          <cell r="J226" t="str">
            <v>Rupiah</v>
          </cell>
        </row>
        <row r="228">
          <cell r="A228" t="str">
            <v xml:space="preserve">5.d.  </v>
          </cell>
          <cell r="C228" t="str">
            <v>Harga Satuan Agregat Kelas B / M3</v>
          </cell>
        </row>
        <row r="229">
          <cell r="D229" t="str">
            <v xml:space="preserve"> =  Hs1 + Hs2 + Hs3</v>
          </cell>
          <cell r="H229" t="str">
            <v>HSAA</v>
          </cell>
          <cell r="I229">
            <v>150385.36731385021</v>
          </cell>
          <cell r="J229" t="str">
            <v>Rupiah</v>
          </cell>
          <cell r="K229" t="str">
            <v xml:space="preserve"> Di luar PPN</v>
          </cell>
        </row>
        <row r="367">
          <cell r="A367" t="str">
            <v>ITEM PEMBAYARAN</v>
          </cell>
          <cell r="D367" t="str">
            <v>:  AGREGAT KELAS C</v>
          </cell>
        </row>
        <row r="368">
          <cell r="A368" t="str">
            <v>JENIS PEKERJAAN</v>
          </cell>
          <cell r="D368" t="str">
            <v>:  PENGADAAN AGREGAT KELAS C</v>
          </cell>
        </row>
        <row r="369">
          <cell r="A369" t="str">
            <v>SATUAN PEMBAYARAN</v>
          </cell>
          <cell r="D369" t="str">
            <v>:  M3</v>
          </cell>
          <cell r="K369" t="str">
            <v xml:space="preserve">            URAIAN ANALISA HARGA SATUAN</v>
          </cell>
        </row>
        <row r="372">
          <cell r="A372" t="str">
            <v>No.</v>
          </cell>
          <cell r="C372" t="str">
            <v>U R A I A N</v>
          </cell>
          <cell r="H372" t="str">
            <v>KODE</v>
          </cell>
          <cell r="I372" t="str">
            <v>KOEFISIEN</v>
          </cell>
          <cell r="J372" t="str">
            <v>SATUAN</v>
          </cell>
          <cell r="K372" t="str">
            <v>KETERANGAN</v>
          </cell>
        </row>
        <row r="375">
          <cell r="A375" t="str">
            <v>I</v>
          </cell>
          <cell r="C375" t="str">
            <v>ASUMSI</v>
          </cell>
        </row>
        <row r="376">
          <cell r="A376">
            <v>1</v>
          </cell>
          <cell r="C376" t="str">
            <v>Bahan dasar (Batu dan Pasir) diterima di lokasi Alat</v>
          </cell>
        </row>
        <row r="377">
          <cell r="C377" t="str">
            <v>Pemecah Batu (di Base Camp)</v>
          </cell>
        </row>
        <row r="378">
          <cell r="A378">
            <v>2</v>
          </cell>
          <cell r="C378" t="str">
            <v>Kegiatan dilakukan di dalam lokasi Base Camp</v>
          </cell>
        </row>
        <row r="379">
          <cell r="A379">
            <v>3</v>
          </cell>
          <cell r="C379" t="str">
            <v>Komposisi campuran  :</v>
          </cell>
          <cell r="F379" t="str">
            <v>- Batu Pecah</v>
          </cell>
          <cell r="H379" t="str">
            <v>Ab</v>
          </cell>
          <cell r="I379">
            <v>60</v>
          </cell>
          <cell r="J379" t="str">
            <v>%</v>
          </cell>
        </row>
        <row r="380">
          <cell r="F380" t="str">
            <v>- Sirtu</v>
          </cell>
          <cell r="H380" t="str">
            <v>As</v>
          </cell>
          <cell r="I380">
            <v>40</v>
          </cell>
          <cell r="J380" t="str">
            <v>%</v>
          </cell>
        </row>
        <row r="381">
          <cell r="A381">
            <v>4</v>
          </cell>
          <cell r="C381" t="str">
            <v>Hasil produksi Alat Pemecah Batu :</v>
          </cell>
          <cell r="F381" t="str">
            <v>- Agregat Halus</v>
          </cell>
          <cell r="H381" t="str">
            <v>H</v>
          </cell>
          <cell r="I381">
            <v>30</v>
          </cell>
          <cell r="J381" t="str">
            <v>%</v>
          </cell>
        </row>
        <row r="382">
          <cell r="F382" t="str">
            <v>- Agregat Kasar</v>
          </cell>
          <cell r="H382" t="str">
            <v>K</v>
          </cell>
          <cell r="I382">
            <v>70</v>
          </cell>
          <cell r="J382" t="str">
            <v>%</v>
          </cell>
        </row>
        <row r="383">
          <cell r="A383">
            <v>5</v>
          </cell>
          <cell r="C383" t="str">
            <v>Berat Jenis Bahan :</v>
          </cell>
          <cell r="D383" t="str">
            <v>- Batu / Gravel</v>
          </cell>
          <cell r="H383" t="str">
            <v>D1</v>
          </cell>
          <cell r="I383">
            <v>1.8</v>
          </cell>
          <cell r="J383" t="str">
            <v>Ton/M3</v>
          </cell>
        </row>
        <row r="384">
          <cell r="D384" t="str">
            <v>- Sirtu</v>
          </cell>
          <cell r="H384" t="str">
            <v>D2</v>
          </cell>
          <cell r="I384">
            <v>1.67</v>
          </cell>
          <cell r="J384" t="str">
            <v>Ton/M3</v>
          </cell>
        </row>
        <row r="385">
          <cell r="D385" t="str">
            <v>- Batu Pecah</v>
          </cell>
          <cell r="H385" t="str">
            <v>D3</v>
          </cell>
          <cell r="I385">
            <v>1.8</v>
          </cell>
          <cell r="J385" t="str">
            <v>Ton/M3</v>
          </cell>
        </row>
        <row r="386">
          <cell r="A386">
            <v>6</v>
          </cell>
          <cell r="C386" t="str">
            <v>Harga Satuan Bahan Dasar    :</v>
          </cell>
          <cell r="F386" t="str">
            <v>- Batu / Gravel</v>
          </cell>
          <cell r="H386" t="str">
            <v>Rp1</v>
          </cell>
          <cell r="I386">
            <v>100900</v>
          </cell>
          <cell r="J386" t="str">
            <v>Rp./M3</v>
          </cell>
        </row>
        <row r="387">
          <cell r="F387" t="str">
            <v>- Sirtu</v>
          </cell>
          <cell r="H387" t="str">
            <v>Rp2</v>
          </cell>
          <cell r="I387">
            <v>48800</v>
          </cell>
          <cell r="J387" t="str">
            <v>Rp./M3</v>
          </cell>
        </row>
        <row r="388">
          <cell r="A388">
            <v>7</v>
          </cell>
          <cell r="C388" t="str">
            <v>Biaya Operasi Alat :</v>
          </cell>
          <cell r="D388" t="str">
            <v>- Pemecah Batu (Stone Crusher)</v>
          </cell>
          <cell r="H388" t="str">
            <v>Rp3</v>
          </cell>
          <cell r="I388">
            <v>529206.47808459005</v>
          </cell>
          <cell r="J388" t="str">
            <v>Rp./Jam</v>
          </cell>
        </row>
        <row r="389">
          <cell r="D389" t="str">
            <v>- Wheel Loader</v>
          </cell>
          <cell r="H389" t="str">
            <v>Rp4</v>
          </cell>
          <cell r="I389">
            <v>268931.36859968671</v>
          </cell>
          <cell r="J389" t="str">
            <v>Rp./Jam</v>
          </cell>
        </row>
        <row r="390">
          <cell r="A390">
            <v>8</v>
          </cell>
          <cell r="C390" t="str">
            <v>Kapasitas Alat :</v>
          </cell>
          <cell r="D390" t="str">
            <v>- Pemecah Batu (Stone Crusher)</v>
          </cell>
          <cell r="H390" t="str">
            <v>Cp1</v>
          </cell>
          <cell r="I390">
            <v>50</v>
          </cell>
          <cell r="J390" t="str">
            <v>Ton/Jam</v>
          </cell>
        </row>
        <row r="391">
          <cell r="D391" t="str">
            <v>- Wheel Loader</v>
          </cell>
          <cell r="H391" t="str">
            <v>Cp2</v>
          </cell>
          <cell r="I391">
            <v>1.5</v>
          </cell>
          <cell r="J391" t="str">
            <v>M3</v>
          </cell>
          <cell r="K391" t="str">
            <v xml:space="preserve"> Kap. Bucket</v>
          </cell>
        </row>
        <row r="392">
          <cell r="A392">
            <v>9</v>
          </cell>
          <cell r="C392" t="str">
            <v>Faktor Efisiensi Alat :</v>
          </cell>
          <cell r="D392" t="str">
            <v>- Pemecah Batu (Stone Crusher)</v>
          </cell>
          <cell r="H392" t="str">
            <v>Fa1</v>
          </cell>
          <cell r="I392">
            <v>0.7</v>
          </cell>
          <cell r="J392" t="str">
            <v>-</v>
          </cell>
        </row>
        <row r="393">
          <cell r="D393" t="str">
            <v>- Wheel Loader</v>
          </cell>
          <cell r="H393" t="str">
            <v>Fa2</v>
          </cell>
          <cell r="I393">
            <v>0.83</v>
          </cell>
          <cell r="J393" t="str">
            <v>-</v>
          </cell>
        </row>
        <row r="394">
          <cell r="A394">
            <v>10</v>
          </cell>
          <cell r="C394" t="str">
            <v>Faktor Kehilangan Material</v>
          </cell>
          <cell r="H394" t="str">
            <v>Fh</v>
          </cell>
          <cell r="I394">
            <v>1.1000000000000001</v>
          </cell>
          <cell r="J394" t="str">
            <v>-</v>
          </cell>
        </row>
        <row r="396">
          <cell r="A396" t="str">
            <v>II</v>
          </cell>
          <cell r="C396" t="str">
            <v>METHODE PELAKSANAAN</v>
          </cell>
        </row>
        <row r="397">
          <cell r="A397">
            <v>1</v>
          </cell>
          <cell r="C397" t="str">
            <v>Wheel Loader mengangkut batu/gravel dari tumpukan</v>
          </cell>
        </row>
        <row r="398">
          <cell r="C398" t="str">
            <v>dan menuangkannya ke Alat Pemecah Batu.</v>
          </cell>
        </row>
        <row r="399">
          <cell r="A399">
            <v>2</v>
          </cell>
          <cell r="C399" t="str">
            <v>Batu/gravel dipecah dengan Alat Pemecah Batu</v>
          </cell>
        </row>
        <row r="400">
          <cell r="C400" t="str">
            <v>(Stone Crusher) sehingga menghasilkan Agregat</v>
          </cell>
        </row>
        <row r="401">
          <cell r="C401" t="str">
            <v>Kasar dan Agregat Halus.</v>
          </cell>
        </row>
        <row r="402">
          <cell r="A402">
            <v>3</v>
          </cell>
          <cell r="C402" t="str">
            <v>Wheel Loader melakukan pencampuran (blending)</v>
          </cell>
        </row>
        <row r="403">
          <cell r="C403" t="str">
            <v>Agregat Batu Pecah dan Sirtu menjadi Agregat</v>
          </cell>
        </row>
        <row r="404">
          <cell r="C404" t="str">
            <v>Kelas C.</v>
          </cell>
        </row>
        <row r="406">
          <cell r="A406" t="str">
            <v>III</v>
          </cell>
          <cell r="C406" t="str">
            <v>PERHITUNGAN</v>
          </cell>
        </row>
        <row r="408">
          <cell r="A408" t="str">
            <v>III.1.</v>
          </cell>
          <cell r="C408" t="str">
            <v>HARGA SATUAN AGREGAT PRODUKSI ST. CRUSHER</v>
          </cell>
        </row>
        <row r="410">
          <cell r="A410" t="str">
            <v xml:space="preserve">1.a.  </v>
          </cell>
          <cell r="C410" t="str">
            <v>Kerja Stone Crusher memecah gravel  :</v>
          </cell>
        </row>
        <row r="411">
          <cell r="C411" t="str">
            <v xml:space="preserve">    - Waktu kerja Stone Crusher</v>
          </cell>
          <cell r="H411" t="str">
            <v>Tst</v>
          </cell>
          <cell r="I411">
            <v>1</v>
          </cell>
          <cell r="J411" t="str">
            <v>Jam</v>
          </cell>
        </row>
        <row r="412">
          <cell r="C412" t="str">
            <v xml:space="preserve">    - Produksi Stone Crusher  1 jam</v>
          </cell>
          <cell r="F412" t="str">
            <v>=  (Fa1 x Cp1) : D3</v>
          </cell>
          <cell r="H412" t="str">
            <v>Qb</v>
          </cell>
          <cell r="I412">
            <v>19.444444444444443</v>
          </cell>
          <cell r="J412" t="str">
            <v>M3/Jam</v>
          </cell>
          <cell r="K412" t="str">
            <v xml:space="preserve"> Batu pecah</v>
          </cell>
        </row>
        <row r="413">
          <cell r="C413" t="str">
            <v xml:space="preserve">    - Kebutuhan batu/gravel 1 jam</v>
          </cell>
          <cell r="F413" t="str">
            <v>=  (Fa1 x Cp1) : D1</v>
          </cell>
          <cell r="H413" t="str">
            <v>Qg</v>
          </cell>
          <cell r="I413">
            <v>19.444444444444443</v>
          </cell>
          <cell r="J413" t="str">
            <v>M3/Jam</v>
          </cell>
        </row>
        <row r="415">
          <cell r="A415" t="str">
            <v xml:space="preserve">1.b.  </v>
          </cell>
          <cell r="C415" t="str">
            <v>Kerja Wheel Loader melayani Stone Crusher  :</v>
          </cell>
        </row>
        <row r="416">
          <cell r="C416" t="str">
            <v xml:space="preserve">    - Kap. Angkut / rit   =  (Fa2 x Cp2)</v>
          </cell>
          <cell r="H416" t="str">
            <v>Ka</v>
          </cell>
          <cell r="I416">
            <v>1.2449999999999999</v>
          </cell>
          <cell r="J416" t="str">
            <v>M3</v>
          </cell>
        </row>
        <row r="417">
          <cell r="C417" t="str">
            <v xml:space="preserve">    - Waktu Siklus (Muat, Tuang, Tunggu, dll)</v>
          </cell>
          <cell r="H417" t="str">
            <v>Ts</v>
          </cell>
          <cell r="I417">
            <v>2</v>
          </cell>
          <cell r="J417" t="str">
            <v>menit</v>
          </cell>
        </row>
        <row r="418">
          <cell r="C418" t="str">
            <v xml:space="preserve">    - Waktu kerja W.Loader memasok gravel</v>
          </cell>
        </row>
        <row r="419">
          <cell r="D419" t="str">
            <v>=  {(Qg : Ka) x Ts} : 60 menit</v>
          </cell>
          <cell r="H419" t="str">
            <v>Tw</v>
          </cell>
          <cell r="I419">
            <v>0.52060092220734788</v>
          </cell>
          <cell r="J419" t="str">
            <v>Jam</v>
          </cell>
        </row>
        <row r="421">
          <cell r="A421" t="str">
            <v xml:space="preserve">1.c.  </v>
          </cell>
          <cell r="C421" t="str">
            <v>Biaya Produksi Batu Pecah / M3</v>
          </cell>
        </row>
        <row r="422">
          <cell r="D422" t="str">
            <v>=  {(Tst x Rp3) + (Tw x Rp4)} : Qb</v>
          </cell>
          <cell r="H422" t="str">
            <v>Bp</v>
          </cell>
          <cell r="I422">
            <v>34416.637538815092</v>
          </cell>
          <cell r="J422" t="str">
            <v>Rp./M3</v>
          </cell>
        </row>
        <row r="424">
          <cell r="A424" t="str">
            <v xml:space="preserve">1.d.  </v>
          </cell>
          <cell r="C424" t="str">
            <v>Harga Satuan Batu Pecah Produksi St.Crusher / M3</v>
          </cell>
        </row>
        <row r="425">
          <cell r="D425" t="str">
            <v>=  {(Qg : Qb) x Fh x Rp1} + Bp</v>
          </cell>
          <cell r="H425" t="str">
            <v>HSb</v>
          </cell>
          <cell r="I425">
            <v>145406.63753881509</v>
          </cell>
          <cell r="J425" t="str">
            <v>Rp./M3</v>
          </cell>
        </row>
        <row r="427">
          <cell r="K427" t="str">
            <v xml:space="preserve">Berlanjut </v>
          </cell>
        </row>
        <row r="428">
          <cell r="A428" t="str">
            <v>ITEM PEMBAYARAN</v>
          </cell>
          <cell r="D428" t="str">
            <v>:  AGREGAT KELAS C</v>
          </cell>
        </row>
        <row r="429">
          <cell r="A429" t="str">
            <v>JENIS PEKERJAAN</v>
          </cell>
          <cell r="D429" t="str">
            <v>:  PENGADAAN AGREGAT KELAS C</v>
          </cell>
        </row>
        <row r="430">
          <cell r="A430" t="str">
            <v>SATUAN PEMBAYARAN</v>
          </cell>
          <cell r="D430" t="str">
            <v>:  M3</v>
          </cell>
          <cell r="K430" t="str">
            <v xml:space="preserve">            URAIAN ANALISA HARGA SATUAN</v>
          </cell>
        </row>
        <row r="431">
          <cell r="K431" t="str">
            <v xml:space="preserve">Lanjutan 1 </v>
          </cell>
        </row>
        <row r="433">
          <cell r="A433" t="str">
            <v>No.</v>
          </cell>
          <cell r="C433" t="str">
            <v>U R A I A N</v>
          </cell>
          <cell r="H433" t="str">
            <v>KODE</v>
          </cell>
          <cell r="I433" t="str">
            <v>KOEFISIEN</v>
          </cell>
          <cell r="J433" t="str">
            <v>SATUAN</v>
          </cell>
          <cell r="K433" t="str">
            <v>KETERANGAN</v>
          </cell>
        </row>
        <row r="436">
          <cell r="A436" t="str">
            <v>III.2.</v>
          </cell>
          <cell r="C436" t="str">
            <v>PROSES PENCAMPURAN AGREGAT KELAS C</v>
          </cell>
        </row>
        <row r="438">
          <cell r="C438" t="str">
            <v>Untuk setiap 1 M3 Agregat Kelas C, diperlukan :</v>
          </cell>
        </row>
        <row r="440">
          <cell r="A440" t="str">
            <v xml:space="preserve">2.a.  </v>
          </cell>
          <cell r="C440" t="str">
            <v>Volume batu pecah produksi Stone Crusher</v>
          </cell>
        </row>
        <row r="442">
          <cell r="D442" t="str">
            <v>( Ab X 1 M3 )</v>
          </cell>
          <cell r="H442" t="str">
            <v>Vp</v>
          </cell>
          <cell r="I442">
            <v>0.6</v>
          </cell>
          <cell r="J442" t="str">
            <v>M3</v>
          </cell>
        </row>
        <row r="445">
          <cell r="A445" t="str">
            <v xml:space="preserve">2.b.  </v>
          </cell>
          <cell r="C445" t="str">
            <v>Volume sirtu</v>
          </cell>
          <cell r="D445" t="str">
            <v>( As X 1 M3 )</v>
          </cell>
          <cell r="H445" t="str">
            <v>Vs</v>
          </cell>
          <cell r="I445">
            <v>0.4</v>
          </cell>
          <cell r="J445" t="str">
            <v>M3</v>
          </cell>
        </row>
        <row r="448">
          <cell r="A448" t="str">
            <v xml:space="preserve">2.c.  </v>
          </cell>
          <cell r="C448" t="str">
            <v>Waktu pencampuran (blending) oleh Wheel Loader</v>
          </cell>
          <cell r="H448" t="str">
            <v>Tc</v>
          </cell>
          <cell r="I448">
            <v>3.3333333333333298E-2</v>
          </cell>
          <cell r="J448" t="str">
            <v>Jam/M3</v>
          </cell>
        </row>
        <row r="450">
          <cell r="A450" t="str">
            <v>III.3.</v>
          </cell>
          <cell r="C450" t="str">
            <v>HARGA SATUAN BAHAN AGREGAT KELAS C</v>
          </cell>
        </row>
        <row r="452">
          <cell r="A452" t="str">
            <v xml:space="preserve">3.a.  </v>
          </cell>
          <cell r="C452" t="str">
            <v>Batu Pecah</v>
          </cell>
          <cell r="D452" t="str">
            <v xml:space="preserve"> =  Vp x HSb</v>
          </cell>
          <cell r="H452" t="str">
            <v>Hs1</v>
          </cell>
          <cell r="I452">
            <v>87243.982523289058</v>
          </cell>
          <cell r="J452" t="str">
            <v>Rupiah</v>
          </cell>
        </row>
        <row r="454">
          <cell r="A454" t="str">
            <v xml:space="preserve">3.b.  </v>
          </cell>
          <cell r="C454" t="str">
            <v>Pasir</v>
          </cell>
          <cell r="D454" t="str">
            <v xml:space="preserve"> =  Vs x Rp2</v>
          </cell>
          <cell r="H454" t="str">
            <v>Hs2</v>
          </cell>
          <cell r="I454">
            <v>19520</v>
          </cell>
          <cell r="J454" t="str">
            <v>Rupiah</v>
          </cell>
        </row>
        <row r="456">
          <cell r="A456" t="str">
            <v xml:space="preserve">3.c.  </v>
          </cell>
          <cell r="C456" t="str">
            <v>Biaya Pencampuran</v>
          </cell>
          <cell r="D456" t="str">
            <v xml:space="preserve"> =  Tc x Rp4</v>
          </cell>
          <cell r="H456" t="str">
            <v>Hs3</v>
          </cell>
          <cell r="I456">
            <v>8964.378953322881</v>
          </cell>
          <cell r="J456" t="str">
            <v>Rupiah</v>
          </cell>
        </row>
        <row r="458">
          <cell r="A458" t="str">
            <v xml:space="preserve">3.d.  </v>
          </cell>
          <cell r="C458" t="str">
            <v>Harga Satuan Agregat Kelas C / M3</v>
          </cell>
        </row>
        <row r="459">
          <cell r="D459" t="str">
            <v xml:space="preserve"> =  Hs1 + Hs2 + Hs3</v>
          </cell>
          <cell r="H459" t="str">
            <v>HSAA</v>
          </cell>
          <cell r="I459">
            <v>115728.36147661194</v>
          </cell>
          <cell r="J459" t="str">
            <v>Rupiah</v>
          </cell>
          <cell r="K459" t="str">
            <v xml:space="preserve"> Di luar PPN</v>
          </cell>
        </row>
        <row r="460">
          <cell r="H460" t="str">
            <v>PPN</v>
          </cell>
          <cell r="I460">
            <v>11572.836147661195</v>
          </cell>
          <cell r="J460" t="str">
            <v>Rupiah</v>
          </cell>
          <cell r="K460" t="str">
            <v xml:space="preserve"> PPN = 10 %</v>
          </cell>
        </row>
        <row r="461">
          <cell r="H461" t="str">
            <v>HSAA</v>
          </cell>
          <cell r="I461">
            <v>127301.19762427313</v>
          </cell>
          <cell r="J461" t="str">
            <v>Rupiah</v>
          </cell>
          <cell r="K461" t="str">
            <v xml:space="preserve"> Termasuk PPN</v>
          </cell>
        </row>
      </sheetData>
      <sheetData sheetId="6" refreshError="1"/>
      <sheetData sheetId="7" refreshError="1">
        <row r="1">
          <cell r="A1" t="str">
            <v>INFORMASI  UMUM</v>
          </cell>
        </row>
        <row r="4">
          <cell r="A4" t="str">
            <v>No.</v>
          </cell>
          <cell r="C4" t="str">
            <v>U R A I A N</v>
          </cell>
          <cell r="F4" t="str">
            <v>I N F O R M A S I</v>
          </cell>
        </row>
        <row r="7">
          <cell r="A7" t="str">
            <v>1.</v>
          </cell>
          <cell r="C7" t="str">
            <v>Nomor Paket Kontrak</v>
          </cell>
        </row>
        <row r="9">
          <cell r="A9" t="str">
            <v>2.</v>
          </cell>
          <cell r="C9" t="str">
            <v>Nama Paket</v>
          </cell>
          <cell r="G9" t="str">
            <v>PEMELIHARAAN BERKALA JALAN  BTS SIMALUNGUN - KISARAN DI KAB ASAHAN</v>
          </cell>
        </row>
        <row r="12">
          <cell r="A12" t="str">
            <v>3.</v>
          </cell>
          <cell r="C12" t="str">
            <v>Propinsi / Kabupaten / Kotamadya</v>
          </cell>
          <cell r="G12" t="str">
            <v>PROPINSI SUMATERA UTARA - KAB. ASAHAN</v>
          </cell>
        </row>
        <row r="15">
          <cell r="A15" t="str">
            <v>4.</v>
          </cell>
          <cell r="C15" t="str">
            <v>Lokasi pekerjaan</v>
          </cell>
          <cell r="G15" t="str">
            <v>Kabupaten Asahan.</v>
          </cell>
        </row>
        <row r="17">
          <cell r="A17" t="str">
            <v>5.</v>
          </cell>
          <cell r="C17" t="str">
            <v>Kondisi jalan lama</v>
          </cell>
          <cell r="G17" t="str">
            <v xml:space="preserve"> . .</v>
          </cell>
          <cell r="H17" t="str">
            <v xml:space="preserve">Berlobang dan Permukaan Turun </v>
          </cell>
        </row>
        <row r="19">
          <cell r="A19" t="str">
            <v>6.</v>
          </cell>
          <cell r="C19" t="str">
            <v>Panjang efektif</v>
          </cell>
          <cell r="D19" t="str">
            <v>( lihat sketsa di bawah )</v>
          </cell>
          <cell r="H19">
            <v>1</v>
          </cell>
          <cell r="I19" t="str">
            <v>Kilometer  ( Leff  = a + b )</v>
          </cell>
        </row>
        <row r="21">
          <cell r="A21" t="str">
            <v>7.</v>
          </cell>
          <cell r="C21" t="str">
            <v>Lebar jalan lama</v>
          </cell>
          <cell r="D21" t="str">
            <v>( bahu + perkerasan + bahu )</v>
          </cell>
          <cell r="G21" t="str">
            <v>(</v>
          </cell>
          <cell r="H21">
            <v>0</v>
          </cell>
          <cell r="I21" t="str">
            <v>+</v>
          </cell>
          <cell r="J21">
            <v>4</v>
          </cell>
          <cell r="K21" t="str">
            <v>+</v>
          </cell>
          <cell r="L21">
            <v>0</v>
          </cell>
          <cell r="M21" t="str">
            <v>)</v>
          </cell>
          <cell r="N21" t="str">
            <v xml:space="preserve"> meter</v>
          </cell>
        </row>
        <row r="23">
          <cell r="A23" t="str">
            <v>8.</v>
          </cell>
          <cell r="C23" t="str">
            <v>Lebar Rencana</v>
          </cell>
          <cell r="D23" t="str">
            <v>( bahu + perkerasan + bahu )</v>
          </cell>
          <cell r="G23" t="str">
            <v>(</v>
          </cell>
          <cell r="H23">
            <v>0.5</v>
          </cell>
          <cell r="I23" t="str">
            <v>+</v>
          </cell>
          <cell r="J23">
            <v>4</v>
          </cell>
          <cell r="K23" t="str">
            <v>+</v>
          </cell>
          <cell r="L23">
            <v>0.5</v>
          </cell>
          <cell r="M23" t="str">
            <v>)</v>
          </cell>
          <cell r="N23" t="str">
            <v xml:space="preserve"> meter</v>
          </cell>
        </row>
        <row r="25">
          <cell r="A25" t="str">
            <v>9.</v>
          </cell>
          <cell r="C25" t="str">
            <v>Penampang jalan, jenis dan volume pekerjaan pokok</v>
          </cell>
          <cell r="H25" t="str">
            <v>Lihat lampiran.</v>
          </cell>
        </row>
        <row r="27">
          <cell r="A27" t="str">
            <v>10.</v>
          </cell>
          <cell r="C27" t="str">
            <v>Jangka waktu pelaksanaan pekerjaan</v>
          </cell>
          <cell r="H27">
            <v>120</v>
          </cell>
          <cell r="I27" t="str">
            <v xml:space="preserve"> hari kalender</v>
          </cell>
        </row>
        <row r="28">
          <cell r="G28" t="str">
            <v>Atau :</v>
          </cell>
          <cell r="H28">
            <v>4</v>
          </cell>
          <cell r="I28" t="str">
            <v xml:space="preserve"> bulan</v>
          </cell>
        </row>
        <row r="31">
          <cell r="A31" t="str">
            <v>11.</v>
          </cell>
          <cell r="C31" t="str">
            <v>Jarak rata-rata Base Camp ke lokasi pekerjaan  -------------------&gt;</v>
          </cell>
          <cell r="G31" t="str">
            <v>L =</v>
          </cell>
          <cell r="H31">
            <v>186.5</v>
          </cell>
          <cell r="I31" t="str">
            <v xml:space="preserve"> Kilometer</v>
          </cell>
        </row>
        <row r="32">
          <cell r="C32" t="str">
            <v>Jarak Quarry ke Base Camp  -------------------&gt;</v>
          </cell>
          <cell r="G32" t="str">
            <v>L =</v>
          </cell>
          <cell r="H32">
            <v>2</v>
          </cell>
          <cell r="I32" t="str">
            <v xml:space="preserve"> Kilometer</v>
          </cell>
        </row>
        <row r="34">
          <cell r="C34" t="str">
            <v>Perhitungan didasarkan pada sketsa di bawah ini :</v>
          </cell>
          <cell r="G34" t="str">
            <v>L = { (c+a/2)*a + (c+b/2)*b } / (a+b)</v>
          </cell>
        </row>
        <row r="36">
          <cell r="D36">
            <v>1</v>
          </cell>
          <cell r="E36" t="str">
            <v>Km = a</v>
          </cell>
          <cell r="F36" t="str">
            <v xml:space="preserve"> C</v>
          </cell>
          <cell r="H36">
            <v>0</v>
          </cell>
          <cell r="I36" t="str">
            <v>Km = b</v>
          </cell>
        </row>
        <row r="38">
          <cell r="C38" t="str">
            <v>A</v>
          </cell>
          <cell r="G38">
            <v>186</v>
          </cell>
          <cell r="H38" t="str">
            <v>Km = c</v>
          </cell>
          <cell r="K38" t="str">
            <v xml:space="preserve"> B</v>
          </cell>
        </row>
        <row r="41">
          <cell r="E41" t="str">
            <v>Base Camp --&gt;</v>
          </cell>
        </row>
        <row r="42">
          <cell r="G42">
            <v>2</v>
          </cell>
          <cell r="H42" t="str">
            <v>Km</v>
          </cell>
        </row>
        <row r="43">
          <cell r="E43" t="str">
            <v>Quarry --&gt;</v>
          </cell>
        </row>
        <row r="46">
          <cell r="A46" t="str">
            <v>12.</v>
          </cell>
          <cell r="C46" t="str">
            <v>Jam kerja efektif dalam 1 hari</v>
          </cell>
          <cell r="H46">
            <v>7</v>
          </cell>
          <cell r="I46" t="str">
            <v xml:space="preserve"> jam</v>
          </cell>
        </row>
        <row r="47">
          <cell r="A47" t="str">
            <v>13.</v>
          </cell>
          <cell r="C47" t="str">
            <v>Asuransi, Pajak, dsb. untuk Peralatan</v>
          </cell>
          <cell r="H47">
            <v>2E-3</v>
          </cell>
          <cell r="I47" t="str">
            <v xml:space="preserve"> x  Harga Pokok Alat</v>
          </cell>
        </row>
        <row r="48">
          <cell r="A48" t="str">
            <v>14.</v>
          </cell>
          <cell r="C48" t="str">
            <v>Tingkat Suku Bunga Investasi Alat</v>
          </cell>
          <cell r="H48">
            <v>20</v>
          </cell>
          <cell r="I48" t="str">
            <v xml:space="preserve"> %</v>
          </cell>
        </row>
        <row r="49">
          <cell r="A49" t="str">
            <v>15.</v>
          </cell>
          <cell r="C49" t="str">
            <v>Biaya Umum dan Keuntungan</v>
          </cell>
          <cell r="H49">
            <v>10</v>
          </cell>
          <cell r="I49" t="str">
            <v xml:space="preserve"> % x Biaya Langsung</v>
          </cell>
        </row>
        <row r="52">
          <cell r="A52" t="str">
            <v>16.</v>
          </cell>
          <cell r="C52" t="str">
            <v>METHODE PELAKSANAAN</v>
          </cell>
        </row>
        <row r="54">
          <cell r="A54" t="str">
            <v>a.</v>
          </cell>
          <cell r="C54" t="str">
            <v>Mobilisasi dilaksanakan sesuai ketentuan yang tercantum dalam Dokumen Tender.</v>
          </cell>
        </row>
        <row r="55">
          <cell r="C55" t="str">
            <v xml:space="preserve"> . .</v>
          </cell>
        </row>
        <row r="56">
          <cell r="A56" t="str">
            <v>b.</v>
          </cell>
          <cell r="C56" t="str">
            <v>Pekerjaan Tanah dilaksanakan untuk  . . . . . . . . . . . . . . . . . . . . . . . . . . . . . . . . . . . . . . . . . . . . . . .</v>
          </cell>
          <cell r="J56" t="str">
            <v xml:space="preserve"> . .</v>
          </cell>
        </row>
        <row r="57">
          <cell r="C57" t="str">
            <v xml:space="preserve"> . .</v>
          </cell>
        </row>
        <row r="58">
          <cell r="A58" t="str">
            <v>c.</v>
          </cell>
          <cell r="C58" t="str">
            <v>Pekerjaan Lapis Pondasi Agregat dilaksanakan untuk  . . . . . . . . . . . . . . . . . . . . . . . . . . . . . . . . . . .</v>
          </cell>
          <cell r="J58" t="str">
            <v xml:space="preserve"> . .</v>
          </cell>
        </row>
        <row r="59">
          <cell r="C59" t="str">
            <v xml:space="preserve"> . .</v>
          </cell>
        </row>
        <row r="60">
          <cell r="A60" t="str">
            <v>d.</v>
          </cell>
          <cell r="C60" t="str">
            <v>Pekerjaan Campuran Aspal Panas dilaksanakan untuk  . . . . . . . . . . . . . . . . . . . . . . . . . . . . . . . . . .</v>
          </cell>
          <cell r="J60" t="str">
            <v xml:space="preserve"> . .</v>
          </cell>
        </row>
        <row r="61">
          <cell r="C61" t="str">
            <v xml:space="preserve"> . .</v>
          </cell>
        </row>
        <row r="62">
          <cell r="A62" t="str">
            <v>e.</v>
          </cell>
          <cell r="C62" t="str">
            <v xml:space="preserve">Pekerjaan Pasangan Batu dilaksanakan untuk . . . . . . . . . . . . . . . . . . . . . . . . . . . . . . . . . . . . . . . . </v>
          </cell>
          <cell r="J62" t="str">
            <v xml:space="preserve"> . .</v>
          </cell>
        </row>
        <row r="63">
          <cell r="C63" t="str">
            <v xml:space="preserve"> . .</v>
          </cell>
        </row>
        <row r="64">
          <cell r="A64" t="str">
            <v>f.</v>
          </cell>
          <cell r="C64" t="str">
            <v xml:space="preserve"> . .</v>
          </cell>
        </row>
        <row r="65">
          <cell r="C65" t="str">
            <v xml:space="preserve"> . .</v>
          </cell>
        </row>
        <row r="66">
          <cell r="A66" t="str">
            <v>g.</v>
          </cell>
          <cell r="C66" t="str">
            <v xml:space="preserve"> . .</v>
          </cell>
        </row>
        <row r="67">
          <cell r="C67" t="str">
            <v xml:space="preserve"> . .</v>
          </cell>
        </row>
        <row r="70">
          <cell r="A70" t="str">
            <v>17.</v>
          </cell>
          <cell r="C70" t="str">
            <v>Lokasi Quarry</v>
          </cell>
          <cell r="H70" t="str">
            <v>Periksa lampiran.</v>
          </cell>
        </row>
        <row r="72">
          <cell r="A72">
            <v>18</v>
          </cell>
          <cell r="C72" t="str">
            <v xml:space="preserve"> . .</v>
          </cell>
        </row>
        <row r="74">
          <cell r="A74">
            <v>19</v>
          </cell>
          <cell r="C74" t="str">
            <v xml:space="preserve"> . .</v>
          </cell>
        </row>
        <row r="76">
          <cell r="A76">
            <v>20</v>
          </cell>
          <cell r="C76" t="str">
            <v xml:space="preserve"> . .</v>
          </cell>
        </row>
        <row r="78">
          <cell r="A78">
            <v>21</v>
          </cell>
          <cell r="C78" t="str">
            <v xml:space="preserve"> . .</v>
          </cell>
        </row>
        <row r="80">
          <cell r="A80">
            <v>22</v>
          </cell>
          <cell r="C80" t="str">
            <v xml:space="preserve"> . .</v>
          </cell>
        </row>
      </sheetData>
      <sheetData sheetId="8" refreshError="1">
        <row r="226">
          <cell r="A226" t="str">
            <v>ANALISA HARGA DASAR SATUAN BAHAN</v>
          </cell>
        </row>
        <row r="228">
          <cell r="A228" t="str">
            <v>Jenis</v>
          </cell>
          <cell r="B228" t="str">
            <v>:</v>
          </cell>
          <cell r="C228" t="str">
            <v>M02  -  Batu Padas</v>
          </cell>
        </row>
        <row r="229">
          <cell r="A229" t="str">
            <v>Lokasi</v>
          </cell>
          <cell r="B229" t="str">
            <v>:</v>
          </cell>
          <cell r="C229" t="str">
            <v>Quarry</v>
          </cell>
        </row>
        <row r="230">
          <cell r="A230" t="str">
            <v>Tujuan</v>
          </cell>
          <cell r="B230" t="str">
            <v>:</v>
          </cell>
          <cell r="C230" t="str">
            <v>Lokasi Pekerjaan</v>
          </cell>
        </row>
        <row r="233">
          <cell r="J233" t="str">
            <v>HARGA</v>
          </cell>
        </row>
        <row r="234">
          <cell r="A234" t="str">
            <v>No.</v>
          </cell>
          <cell r="B234" t="str">
            <v>URAIAN</v>
          </cell>
          <cell r="G234" t="str">
            <v>KODE</v>
          </cell>
          <cell r="H234" t="str">
            <v>KOEF.</v>
          </cell>
          <cell r="I234" t="str">
            <v>SATUAN</v>
          </cell>
          <cell r="J234" t="str">
            <v>SATUAN</v>
          </cell>
        </row>
        <row r="235">
          <cell r="J235" t="str">
            <v>(Rp.)</v>
          </cell>
        </row>
        <row r="237">
          <cell r="A237" t="str">
            <v>I.</v>
          </cell>
          <cell r="C237" t="str">
            <v>ASUMSI</v>
          </cell>
        </row>
        <row r="238">
          <cell r="A238">
            <v>1</v>
          </cell>
          <cell r="C238" t="str">
            <v>Menggunakan alat berat</v>
          </cell>
        </row>
        <row r="239">
          <cell r="A239">
            <v>2</v>
          </cell>
          <cell r="C239" t="str">
            <v>Kondisi Jalan   :  sedang / baik</v>
          </cell>
        </row>
        <row r="240">
          <cell r="A240">
            <v>3</v>
          </cell>
          <cell r="C240" t="str">
            <v>Jarak Quarry ke Lokasi Pekerjaan</v>
          </cell>
          <cell r="G240" t="str">
            <v>L</v>
          </cell>
          <cell r="H240">
            <v>15</v>
          </cell>
          <cell r="I240" t="str">
            <v>Km</v>
          </cell>
        </row>
        <row r="241">
          <cell r="A241">
            <v>4</v>
          </cell>
          <cell r="C241" t="str">
            <v>Harga satuan batu kali di Quarry</v>
          </cell>
          <cell r="G241" t="str">
            <v>RpM02</v>
          </cell>
          <cell r="H241">
            <v>1</v>
          </cell>
          <cell r="I241" t="str">
            <v>M3</v>
          </cell>
          <cell r="J241">
            <v>45000</v>
          </cell>
        </row>
        <row r="242">
          <cell r="A242">
            <v>5</v>
          </cell>
          <cell r="C242" t="str">
            <v>Harga Satuan Dasar Excavator</v>
          </cell>
          <cell r="G242" t="str">
            <v>RpE10</v>
          </cell>
          <cell r="H242">
            <v>1</v>
          </cell>
          <cell r="I242" t="str">
            <v>Jam</v>
          </cell>
          <cell r="J242">
            <v>224096.80560248179</v>
          </cell>
        </row>
        <row r="243">
          <cell r="A243">
            <v>6</v>
          </cell>
          <cell r="C243" t="str">
            <v>Harga Satuan Dasar Dump Truck</v>
          </cell>
          <cell r="G243" t="str">
            <v>RpE08</v>
          </cell>
          <cell r="H243">
            <v>1</v>
          </cell>
          <cell r="I243" t="str">
            <v>Jam</v>
          </cell>
          <cell r="J243">
            <v>130217.25582823971</v>
          </cell>
        </row>
        <row r="245">
          <cell r="A245" t="str">
            <v>II.</v>
          </cell>
          <cell r="C245" t="str">
            <v>URUTAN KERJA</v>
          </cell>
        </row>
        <row r="246">
          <cell r="A246">
            <v>1</v>
          </cell>
          <cell r="C246" t="str">
            <v>Batu kali digali dengan Excavator</v>
          </cell>
        </row>
        <row r="247">
          <cell r="A247">
            <v>2</v>
          </cell>
          <cell r="C247" t="str">
            <v>Excavator sekaligus memuat batu kali</v>
          </cell>
        </row>
        <row r="248">
          <cell r="C248" t="str">
            <v>hasil galian ke dalam Dump Truck</v>
          </cell>
        </row>
        <row r="249">
          <cell r="A249">
            <v>3</v>
          </cell>
          <cell r="C249" t="str">
            <v>Dump Truck mengangkut batu kali ke</v>
          </cell>
        </row>
        <row r="250">
          <cell r="C250" t="str">
            <v>lokasi pekerjaan</v>
          </cell>
        </row>
        <row r="252">
          <cell r="A252" t="str">
            <v>III.</v>
          </cell>
          <cell r="C252" t="str">
            <v>PERHITUNGAN</v>
          </cell>
        </row>
        <row r="254">
          <cell r="C254" t="str">
            <v>EXCAVATOR</v>
          </cell>
          <cell r="G254" t="str">
            <v>(E10)</v>
          </cell>
        </row>
        <row r="255">
          <cell r="C255" t="str">
            <v>Kapasitas Bucket</v>
          </cell>
          <cell r="G255" t="str">
            <v>V</v>
          </cell>
          <cell r="H255">
            <v>0.5</v>
          </cell>
          <cell r="I255" t="str">
            <v>M3</v>
          </cell>
        </row>
        <row r="256">
          <cell r="C256" t="str">
            <v>Faktor Bucket</v>
          </cell>
          <cell r="G256" t="str">
            <v>Fb</v>
          </cell>
          <cell r="H256">
            <v>0.9</v>
          </cell>
          <cell r="I256" t="str">
            <v>-</v>
          </cell>
        </row>
        <row r="257">
          <cell r="C257" t="str">
            <v>Faktor  Efisiensi alat</v>
          </cell>
          <cell r="G257" t="str">
            <v>Fa</v>
          </cell>
          <cell r="H257">
            <v>0.83</v>
          </cell>
          <cell r="I257" t="str">
            <v>-</v>
          </cell>
        </row>
        <row r="258">
          <cell r="C258" t="str">
            <v>Waktu siklus</v>
          </cell>
          <cell r="G258" t="str">
            <v>Ts1</v>
          </cell>
        </row>
        <row r="259">
          <cell r="C259" t="str">
            <v>- Menggali / memuat</v>
          </cell>
          <cell r="G259" t="str">
            <v>T1</v>
          </cell>
          <cell r="H259">
            <v>0.75</v>
          </cell>
          <cell r="I259" t="str">
            <v>menit</v>
          </cell>
        </row>
        <row r="260">
          <cell r="C260" t="str">
            <v>- Lain-lain</v>
          </cell>
          <cell r="G260" t="str">
            <v>T2</v>
          </cell>
          <cell r="H260">
            <v>0.5</v>
          </cell>
          <cell r="I260" t="str">
            <v>menit</v>
          </cell>
        </row>
        <row r="261">
          <cell r="G261" t="str">
            <v>Ts1</v>
          </cell>
          <cell r="H261">
            <v>1.25</v>
          </cell>
          <cell r="I261" t="str">
            <v>menit</v>
          </cell>
        </row>
        <row r="262">
          <cell r="C262" t="str">
            <v>Kap. Prod. / jam =</v>
          </cell>
        </row>
        <row r="263">
          <cell r="C263" t="str">
            <v>V  x Fb x Fa x 60</v>
          </cell>
          <cell r="G263" t="str">
            <v>Q1</v>
          </cell>
          <cell r="H263">
            <v>17.928000000000001</v>
          </cell>
          <cell r="I263" t="str">
            <v>M3 / Jam</v>
          </cell>
        </row>
        <row r="264">
          <cell r="C264" t="str">
            <v>Ts1</v>
          </cell>
        </row>
        <row r="266">
          <cell r="C266" t="str">
            <v>Biaya Excavator / M3  =  (1 : Q1) x RpE10</v>
          </cell>
          <cell r="G266" t="str">
            <v>Rp1</v>
          </cell>
          <cell r="H266">
            <v>12499.821820754227</v>
          </cell>
          <cell r="I266" t="str">
            <v>Rupiah</v>
          </cell>
        </row>
        <row r="269">
          <cell r="C269" t="str">
            <v>DUMP TRUCK</v>
          </cell>
          <cell r="G269" t="str">
            <v>(E08)</v>
          </cell>
        </row>
        <row r="270">
          <cell r="C270" t="str">
            <v>Kapasitas bak</v>
          </cell>
          <cell r="G270" t="str">
            <v>V</v>
          </cell>
          <cell r="H270">
            <v>4</v>
          </cell>
          <cell r="I270" t="str">
            <v>M3</v>
          </cell>
        </row>
        <row r="271">
          <cell r="C271" t="str">
            <v>Faktor  efisiensi alat</v>
          </cell>
          <cell r="G271" t="str">
            <v>Fa</v>
          </cell>
          <cell r="H271">
            <v>0.83</v>
          </cell>
          <cell r="I271" t="str">
            <v>-</v>
          </cell>
        </row>
        <row r="272">
          <cell r="C272" t="str">
            <v>Kecepatan rata-rata bermuatan</v>
          </cell>
          <cell r="G272" t="str">
            <v>v1</v>
          </cell>
          <cell r="H272">
            <v>45</v>
          </cell>
          <cell r="I272" t="str">
            <v>KM/Jam</v>
          </cell>
        </row>
        <row r="273">
          <cell r="C273" t="str">
            <v>Kecepatan rata-rata kosong</v>
          </cell>
          <cell r="G273" t="str">
            <v>v2</v>
          </cell>
          <cell r="H273">
            <v>60</v>
          </cell>
          <cell r="I273" t="str">
            <v>KM/Jam</v>
          </cell>
        </row>
        <row r="274">
          <cell r="C274" t="str">
            <v>Waktu  siklus</v>
          </cell>
          <cell r="G274" t="str">
            <v>Ts2</v>
          </cell>
        </row>
        <row r="275">
          <cell r="C275" t="str">
            <v>- Waktu tempuh isi  =  (L/v1) x 60</v>
          </cell>
          <cell r="G275" t="str">
            <v>T1</v>
          </cell>
          <cell r="H275">
            <v>20</v>
          </cell>
          <cell r="I275" t="str">
            <v>menit</v>
          </cell>
        </row>
        <row r="276">
          <cell r="C276" t="str">
            <v>- Waktu tempuh kosong  =  (L/v2) x 60</v>
          </cell>
          <cell r="G276" t="str">
            <v>T2</v>
          </cell>
          <cell r="H276">
            <v>25</v>
          </cell>
          <cell r="I276" t="str">
            <v>menit</v>
          </cell>
        </row>
        <row r="277">
          <cell r="C277" t="str">
            <v>- Muat   =  (V/Q1) x 60</v>
          </cell>
          <cell r="G277" t="str">
            <v>T3</v>
          </cell>
          <cell r="H277">
            <v>13.386880856760374</v>
          </cell>
          <cell r="I277" t="str">
            <v>menit</v>
          </cell>
        </row>
        <row r="278">
          <cell r="C278" t="str">
            <v>- Lain-lain</v>
          </cell>
          <cell r="G278" t="str">
            <v>T4</v>
          </cell>
          <cell r="H278">
            <v>1</v>
          </cell>
          <cell r="I278" t="str">
            <v>menit</v>
          </cell>
        </row>
        <row r="279">
          <cell r="G279" t="str">
            <v>Ts2</v>
          </cell>
          <cell r="H279">
            <v>59.386880856760371</v>
          </cell>
          <cell r="I279" t="str">
            <v>menit</v>
          </cell>
        </row>
        <row r="281">
          <cell r="C281" t="str">
            <v>Kapasitas Produksi / Jam   =</v>
          </cell>
        </row>
        <row r="282">
          <cell r="C282" t="str">
            <v>V x Fa x 60</v>
          </cell>
          <cell r="G282" t="str">
            <v>Q2</v>
          </cell>
          <cell r="H282">
            <v>3.3542761823182001</v>
          </cell>
          <cell r="I282" t="str">
            <v>M3 / Jam</v>
          </cell>
        </row>
        <row r="283">
          <cell r="C283" t="str">
            <v>Ts2</v>
          </cell>
        </row>
        <row r="285">
          <cell r="C285" t="str">
            <v>Biaya Dump Truck / M3  =  (1 : Q2) x RpE08</v>
          </cell>
          <cell r="G285" t="str">
            <v>Rp2</v>
          </cell>
          <cell r="H285">
            <v>38821.268360270871</v>
          </cell>
          <cell r="I285" t="str">
            <v>Rupiah</v>
          </cell>
        </row>
        <row r="288">
          <cell r="A288" t="str">
            <v>IV.</v>
          </cell>
          <cell r="C288" t="str">
            <v>HARGA SATUAN DASAR BAHAN</v>
          </cell>
        </row>
        <row r="289">
          <cell r="C289" t="str">
            <v>DI LOKASI PEKERJAAN</v>
          </cell>
        </row>
        <row r="291">
          <cell r="C291" t="str">
            <v>Harga Satuan Dasar Batu kali   =</v>
          </cell>
        </row>
        <row r="293">
          <cell r="C293" t="str">
            <v>(  RpM02  +  Rp1  +  Rp2  )</v>
          </cell>
          <cell r="G293" t="str">
            <v>M02</v>
          </cell>
          <cell r="H293">
            <v>96321.090181025094</v>
          </cell>
          <cell r="I293" t="str">
            <v>Rupiah</v>
          </cell>
        </row>
        <row r="295">
          <cell r="C295" t="str">
            <v>Dibulatkan   :</v>
          </cell>
          <cell r="G295" t="str">
            <v>M02</v>
          </cell>
          <cell r="H295">
            <v>96300</v>
          </cell>
          <cell r="I295" t="str">
            <v>Rupiah</v>
          </cell>
        </row>
        <row r="299">
          <cell r="H299" t="str">
            <v>Medan,17  Juni   2009</v>
          </cell>
        </row>
        <row r="300">
          <cell r="H300" t="str">
            <v>Di buat oleh</v>
          </cell>
        </row>
        <row r="301">
          <cell r="H301" t="str">
            <v>PT.DUTA FAZIRA  PERMAI</v>
          </cell>
        </row>
        <row r="306">
          <cell r="H306" t="str">
            <v>HANY HIDAYAT SUHOYO,SE</v>
          </cell>
        </row>
        <row r="307">
          <cell r="H307" t="str">
            <v>Direktur</v>
          </cell>
        </row>
        <row r="311">
          <cell r="A311" t="str">
            <v>Lampiran 9 Penawaran</v>
          </cell>
        </row>
      </sheetData>
      <sheetData sheetId="9" refreshError="1"/>
      <sheetData sheetId="10" refreshError="1"/>
      <sheetData sheetId="11" refreshError="1">
        <row r="152">
          <cell r="A152" t="str">
            <v>No.</v>
          </cell>
          <cell r="C152" t="str">
            <v>U R A I A N</v>
          </cell>
          <cell r="G152" t="str">
            <v>KODE</v>
          </cell>
          <cell r="H152" t="str">
            <v>KOEF.</v>
          </cell>
          <cell r="I152" t="str">
            <v>SATUAN</v>
          </cell>
          <cell r="J152" t="str">
            <v>KETERANGAN</v>
          </cell>
          <cell r="R152" t="str">
            <v>Perkiraan</v>
          </cell>
          <cell r="S152" t="str">
            <v>Harga</v>
          </cell>
          <cell r="T152" t="str">
            <v>Jumlah</v>
          </cell>
        </row>
        <row r="153">
          <cell r="M153" t="str">
            <v>No</v>
          </cell>
          <cell r="O153" t="str">
            <v>Komponen</v>
          </cell>
          <cell r="Q153" t="str">
            <v>Satuan</v>
          </cell>
          <cell r="R153" t="str">
            <v>Kuantitas</v>
          </cell>
          <cell r="S153" t="str">
            <v>Satuan</v>
          </cell>
          <cell r="T153" t="str">
            <v>Harga</v>
          </cell>
        </row>
        <row r="154">
          <cell r="S154" t="str">
            <v>(Rp.)</v>
          </cell>
          <cell r="T154" t="str">
            <v>(Rp.)</v>
          </cell>
        </row>
        <row r="155">
          <cell r="A155" t="str">
            <v>I.</v>
          </cell>
          <cell r="C155" t="str">
            <v>ASUMSI</v>
          </cell>
        </row>
        <row r="156">
          <cell r="A156">
            <v>1</v>
          </cell>
          <cell r="C156" t="str">
            <v>Pekerjaan dilakukan secara mekanis</v>
          </cell>
        </row>
        <row r="157">
          <cell r="A157">
            <v>2</v>
          </cell>
          <cell r="C157" t="str">
            <v>Lokasi pekerjaan : sepanjang jalan</v>
          </cell>
          <cell r="M157" t="str">
            <v>A.</v>
          </cell>
          <cell r="O157" t="str">
            <v>TENAGA</v>
          </cell>
        </row>
        <row r="158">
          <cell r="A158">
            <v>3</v>
          </cell>
          <cell r="C158" t="str">
            <v>Kondisi Jalan   :  sedang / baik</v>
          </cell>
        </row>
        <row r="159">
          <cell r="A159">
            <v>4</v>
          </cell>
          <cell r="C159" t="str">
            <v>Jam kerja efektif per-hari</v>
          </cell>
          <cell r="G159" t="str">
            <v>Tk</v>
          </cell>
          <cell r="H159">
            <v>7</v>
          </cell>
          <cell r="I159" t="str">
            <v>Jam</v>
          </cell>
          <cell r="M159" t="str">
            <v>1.</v>
          </cell>
          <cell r="O159" t="str">
            <v>Pekerja</v>
          </cell>
          <cell r="P159" t="str">
            <v>(L01)</v>
          </cell>
          <cell r="Q159" t="str">
            <v>Jam</v>
          </cell>
          <cell r="R159">
            <v>7.1396697902721989E-2</v>
          </cell>
          <cell r="S159">
            <v>5714.2857142857147</v>
          </cell>
          <cell r="V159">
            <v>407.98113087269712</v>
          </cell>
        </row>
        <row r="160">
          <cell r="A160">
            <v>5</v>
          </cell>
          <cell r="C160" t="str">
            <v>Faktor pengembangan bahan</v>
          </cell>
          <cell r="G160" t="str">
            <v>Fk</v>
          </cell>
          <cell r="H160">
            <v>1.2</v>
          </cell>
          <cell r="I160" t="str">
            <v>-</v>
          </cell>
          <cell r="M160" t="str">
            <v>2.</v>
          </cell>
          <cell r="O160" t="str">
            <v>Mandor</v>
          </cell>
          <cell r="P160" t="str">
            <v>(L02)</v>
          </cell>
          <cell r="Q160" t="str">
            <v>Jam</v>
          </cell>
          <cell r="R160">
            <v>1.7849174475680497E-2</v>
          </cell>
          <cell r="S160">
            <v>6785.7142857142853</v>
          </cell>
          <cell r="V160">
            <v>121.11939822783194</v>
          </cell>
        </row>
        <row r="161">
          <cell r="A161">
            <v>6</v>
          </cell>
          <cell r="C161" t="str">
            <v>Tebal hamparan padat</v>
          </cell>
          <cell r="G161" t="str">
            <v>t</v>
          </cell>
          <cell r="H161">
            <v>0.2</v>
          </cell>
          <cell r="I161" t="str">
            <v>M</v>
          </cell>
        </row>
        <row r="163">
          <cell r="A163" t="str">
            <v>II.</v>
          </cell>
          <cell r="C163" t="str">
            <v>URUTAN KERJA</v>
          </cell>
          <cell r="R163" t="str">
            <v xml:space="preserve">JUMLAH HARGA TENAGA   </v>
          </cell>
          <cell r="V163">
            <v>529.100529100529</v>
          </cell>
        </row>
        <row r="164">
          <cell r="A164">
            <v>1</v>
          </cell>
          <cell r="C164" t="str">
            <v>Whell Loader memuat ke dalam Dump Truck</v>
          </cell>
        </row>
        <row r="165">
          <cell r="A165">
            <v>2</v>
          </cell>
          <cell r="C165" t="str">
            <v>Dump Truck mengangkut ke lapangan dengan jarak</v>
          </cell>
          <cell r="M165" t="str">
            <v>B.</v>
          </cell>
          <cell r="O165" t="str">
            <v>BAHAN</v>
          </cell>
        </row>
        <row r="166">
          <cell r="C166" t="str">
            <v>quari ke lapangan</v>
          </cell>
          <cell r="G166" t="str">
            <v>L</v>
          </cell>
          <cell r="H166">
            <v>10</v>
          </cell>
          <cell r="I166" t="str">
            <v>Km</v>
          </cell>
        </row>
        <row r="167">
          <cell r="A167">
            <v>3</v>
          </cell>
          <cell r="C167" t="str">
            <v>Material dihampar dengan menggunakan Motor Grader</v>
          </cell>
          <cell r="M167" t="str">
            <v>1.</v>
          </cell>
          <cell r="O167" t="str">
            <v>Material timbunan</v>
          </cell>
          <cell r="P167" t="str">
            <v>(M08)</v>
          </cell>
          <cell r="Q167" t="str">
            <v>M3</v>
          </cell>
          <cell r="R167">
            <v>1.2</v>
          </cell>
          <cell r="S167">
            <v>35000</v>
          </cell>
          <cell r="V167">
            <v>42000</v>
          </cell>
        </row>
        <row r="168">
          <cell r="A168">
            <v>4</v>
          </cell>
          <cell r="C168" t="str">
            <v>Hamparan material disiram air dengan Watertank Truck</v>
          </cell>
        </row>
        <row r="169">
          <cell r="C169" t="str">
            <v>(sebelum pelaksanaan pemadatan) dan dipadatkan</v>
          </cell>
        </row>
        <row r="170">
          <cell r="C170" t="str">
            <v>dengan menggunakan Vibro Roller</v>
          </cell>
        </row>
        <row r="171">
          <cell r="A171">
            <v>5</v>
          </cell>
          <cell r="C171" t="str">
            <v>Selama pemadatan sekelompok pekerja  akan</v>
          </cell>
        </row>
        <row r="172">
          <cell r="C172" t="str">
            <v>merapikan tepi hamparan dan level permukaan</v>
          </cell>
        </row>
        <row r="173">
          <cell r="C173" t="str">
            <v>dengan menggunakan alat bantu</v>
          </cell>
        </row>
        <row r="174">
          <cell r="R174" t="str">
            <v xml:space="preserve">JUMLAH HARGA BAHAN   </v>
          </cell>
          <cell r="V174">
            <v>42000</v>
          </cell>
        </row>
        <row r="175">
          <cell r="A175" t="str">
            <v>III.</v>
          </cell>
          <cell r="C175" t="str">
            <v>PEMAKAIAN BAHAN, ALAT DAN TENAGA</v>
          </cell>
        </row>
        <row r="176">
          <cell r="A176" t="str">
            <v xml:space="preserve">   1.</v>
          </cell>
          <cell r="C176" t="str">
            <v>BAHAN</v>
          </cell>
          <cell r="M176" t="str">
            <v>C.</v>
          </cell>
          <cell r="O176" t="str">
            <v>PERALATAN</v>
          </cell>
        </row>
        <row r="177">
          <cell r="A177" t="str">
            <v>1.a.</v>
          </cell>
          <cell r="C177" t="str">
            <v>Material timbunan</v>
          </cell>
          <cell r="D177" t="str">
            <v xml:space="preserve"> =  1 x  Fk</v>
          </cell>
          <cell r="G177" t="str">
            <v>(M08)</v>
          </cell>
          <cell r="H177">
            <v>1.2</v>
          </cell>
          <cell r="I177" t="str">
            <v>M3</v>
          </cell>
          <cell r="J177" t="str">
            <v xml:space="preserve"> Borrow Pit</v>
          </cell>
          <cell r="O177" t="str">
            <v>Whell  Loader</v>
          </cell>
          <cell r="P177" t="str">
            <v>(E15)</v>
          </cell>
          <cell r="Q177" t="str">
            <v>Jam</v>
          </cell>
          <cell r="R177">
            <v>1.7849174475680497E-2</v>
          </cell>
          <cell r="S177">
            <v>268931.36859968671</v>
          </cell>
        </row>
        <row r="178">
          <cell r="M178">
            <v>1</v>
          </cell>
          <cell r="O178" t="str">
            <v>Dump Truck</v>
          </cell>
          <cell r="P178" t="str">
            <v>(E08)</v>
          </cell>
          <cell r="Q178" t="str">
            <v>Jam</v>
          </cell>
          <cell r="R178">
            <v>0.16867469879518074</v>
          </cell>
          <cell r="S178">
            <v>130217.25582823971</v>
          </cell>
          <cell r="V178">
            <v>21964.356404763326</v>
          </cell>
        </row>
        <row r="179">
          <cell r="A179" t="str">
            <v xml:space="preserve">   2.</v>
          </cell>
          <cell r="C179" t="str">
            <v>ALAT</v>
          </cell>
          <cell r="M179">
            <v>2</v>
          </cell>
          <cell r="O179" t="str">
            <v>PEDESTRIAN ROLLER</v>
          </cell>
          <cell r="P179" t="str">
            <v>(E24)</v>
          </cell>
          <cell r="Q179" t="str">
            <v>Jam</v>
          </cell>
          <cell r="R179">
            <v>1.506024096385542E-2</v>
          </cell>
          <cell r="S179">
            <v>62742.19927613371</v>
          </cell>
          <cell r="V179">
            <v>944.91263970080877</v>
          </cell>
        </row>
        <row r="180">
          <cell r="A180" t="str">
            <v>2.a.</v>
          </cell>
          <cell r="C180" t="str">
            <v>WHELL  LOADER</v>
          </cell>
          <cell r="G180" t="str">
            <v>(E15)</v>
          </cell>
          <cell r="M180">
            <v>3</v>
          </cell>
          <cell r="O180" t="str">
            <v>Alat  Bantu</v>
          </cell>
          <cell r="Q180" t="str">
            <v>Ls</v>
          </cell>
          <cell r="R180">
            <v>1</v>
          </cell>
          <cell r="S180">
            <v>500</v>
          </cell>
          <cell r="V180">
            <v>500</v>
          </cell>
        </row>
        <row r="181">
          <cell r="C181" t="str">
            <v>Kapasitas  Bucket</v>
          </cell>
          <cell r="G181" t="str">
            <v>V</v>
          </cell>
          <cell r="H181">
            <v>1.5</v>
          </cell>
          <cell r="I181" t="str">
            <v>M3</v>
          </cell>
        </row>
        <row r="182">
          <cell r="C182" t="str">
            <v>Faktor Bucket</v>
          </cell>
          <cell r="G182" t="str">
            <v>Fb</v>
          </cell>
          <cell r="H182">
            <v>0.9</v>
          </cell>
          <cell r="I182" t="str">
            <v>-</v>
          </cell>
        </row>
        <row r="183">
          <cell r="C183" t="str">
            <v>Faktor Efisiensi Alat</v>
          </cell>
          <cell r="G183" t="str">
            <v>Fa</v>
          </cell>
          <cell r="H183">
            <v>0.83</v>
          </cell>
          <cell r="I183" t="str">
            <v>-</v>
          </cell>
        </row>
        <row r="184">
          <cell r="C184" t="str">
            <v>Waktu sklus</v>
          </cell>
          <cell r="G184" t="str">
            <v>Ts1</v>
          </cell>
          <cell r="I184" t="str">
            <v>menit</v>
          </cell>
        </row>
        <row r="185">
          <cell r="C185" t="str">
            <v>- Muat</v>
          </cell>
          <cell r="G185" t="str">
            <v>T1</v>
          </cell>
          <cell r="H185">
            <v>0.5</v>
          </cell>
          <cell r="I185" t="str">
            <v>menit</v>
          </cell>
          <cell r="R185" t="str">
            <v xml:space="preserve">JUMLAH HARGA PERALATAN   </v>
          </cell>
          <cell r="V185">
            <v>23409.269044464134</v>
          </cell>
        </row>
        <row r="186">
          <cell r="C186" t="str">
            <v>- Lain-lain</v>
          </cell>
          <cell r="G186" t="str">
            <v>T2</v>
          </cell>
          <cell r="H186">
            <v>0.5</v>
          </cell>
          <cell r="I186" t="str">
            <v>menit</v>
          </cell>
        </row>
        <row r="187">
          <cell r="G187" t="str">
            <v>Ts1</v>
          </cell>
          <cell r="H187">
            <v>1</v>
          </cell>
          <cell r="I187" t="str">
            <v>menit</v>
          </cell>
          <cell r="M187" t="str">
            <v>D.</v>
          </cell>
          <cell r="O187" t="str">
            <v>JUMLAH HARGA TENAGA, BAHAN DAN PERALATAN  ( A + B + C )</v>
          </cell>
          <cell r="V187">
            <v>65938.369573564662</v>
          </cell>
        </row>
        <row r="188">
          <cell r="M188" t="str">
            <v>E.</v>
          </cell>
          <cell r="O188" t="str">
            <v>OVERHEAD &amp; PROFIT</v>
          </cell>
          <cell r="Q188">
            <v>10</v>
          </cell>
          <cell r="R188" t="str">
            <v>%  x  D</v>
          </cell>
          <cell r="V188">
            <v>6593.8369573564669</v>
          </cell>
        </row>
        <row r="189">
          <cell r="C189" t="str">
            <v>Kapasitas Produksi / Jam =</v>
          </cell>
          <cell r="E189" t="str">
            <v>V  x  Fb x Fa x 60</v>
          </cell>
          <cell r="G189" t="str">
            <v>Q1</v>
          </cell>
          <cell r="H189">
            <v>56.025000000000006</v>
          </cell>
          <cell r="I189" t="str">
            <v>M3</v>
          </cell>
          <cell r="M189" t="str">
            <v>F.</v>
          </cell>
          <cell r="O189" t="str">
            <v>HARGA SATUAN PEKERJAAN  ( D + E )</v>
          </cell>
          <cell r="V189">
            <v>72532.206530921132</v>
          </cell>
        </row>
        <row r="190">
          <cell r="E190" t="str">
            <v xml:space="preserve">      Fk x Ts1</v>
          </cell>
          <cell r="M190" t="str">
            <v>G.</v>
          </cell>
          <cell r="O190" t="str">
            <v>PPN 10 %</v>
          </cell>
          <cell r="V190">
            <v>7253.2206530921139</v>
          </cell>
        </row>
        <row r="191">
          <cell r="M191" t="str">
            <v>H.</v>
          </cell>
          <cell r="O191" t="str">
            <v>JUMLAH SETELAH PPN</v>
          </cell>
          <cell r="V191">
            <v>79785.427184013242</v>
          </cell>
        </row>
        <row r="192">
          <cell r="C192" t="str">
            <v>Koefisienalat / M3</v>
          </cell>
          <cell r="D192" t="str">
            <v xml:space="preserve"> =   1 : Q1</v>
          </cell>
          <cell r="G192" t="str">
            <v>(E15)</v>
          </cell>
          <cell r="H192">
            <v>1.7849174475680497E-2</v>
          </cell>
          <cell r="I192" t="str">
            <v>Jam</v>
          </cell>
          <cell r="M192" t="str">
            <v>I.</v>
          </cell>
          <cell r="O192" t="str">
            <v>Pembulatan</v>
          </cell>
          <cell r="V192">
            <v>79800</v>
          </cell>
        </row>
        <row r="194">
          <cell r="A194" t="str">
            <v xml:space="preserve">   2.b.</v>
          </cell>
          <cell r="C194" t="str">
            <v>DUMP TRUCK</v>
          </cell>
          <cell r="G194" t="str">
            <v>(E08)</v>
          </cell>
          <cell r="N194">
            <v>1</v>
          </cell>
          <cell r="O194" t="str">
            <v>Satuan dapat berdasarkan atas jam operasi untuk Tenaga Kerja dan Peralatan, volume dan/atau ukuran</v>
          </cell>
        </row>
        <row r="195">
          <cell r="C195" t="str">
            <v>Kapasitas bak</v>
          </cell>
          <cell r="G195" t="str">
            <v>V</v>
          </cell>
          <cell r="H195">
            <v>4</v>
          </cell>
          <cell r="I195" t="str">
            <v>M3</v>
          </cell>
          <cell r="O195" t="str">
            <v>berat untuk bahan-bahan.</v>
          </cell>
        </row>
        <row r="196">
          <cell r="C196" t="str">
            <v>Faktor  efisiensi alat</v>
          </cell>
          <cell r="G196" t="str">
            <v>Fa</v>
          </cell>
          <cell r="H196">
            <v>0.83</v>
          </cell>
          <cell r="I196" t="str">
            <v>-</v>
          </cell>
          <cell r="N196">
            <v>2</v>
          </cell>
          <cell r="O196" t="str">
            <v>Kuantitas satuan adalah kuantitas setiap komponen untuk menyelesaikan satu satuan pekerjaan dari nomor</v>
          </cell>
        </row>
        <row r="197">
          <cell r="C197" t="str">
            <v>Kecepatan rata-rata bermuatan</v>
          </cell>
          <cell r="G197" t="str">
            <v>v1</v>
          </cell>
          <cell r="H197">
            <v>40</v>
          </cell>
          <cell r="I197" t="str">
            <v>KM/Jam</v>
          </cell>
          <cell r="O197" t="str">
            <v>mata pembayaran.</v>
          </cell>
        </row>
        <row r="198">
          <cell r="C198" t="str">
            <v>Kecepatan rata-rata kosong</v>
          </cell>
          <cell r="G198" t="str">
            <v>v2</v>
          </cell>
          <cell r="H198">
            <v>60</v>
          </cell>
          <cell r="I198" t="str">
            <v>KM/Jam</v>
          </cell>
          <cell r="N198">
            <v>3</v>
          </cell>
          <cell r="O198" t="str">
            <v>Biaya satuan untuk peralatan sudah termasuk bahan bakar, bahan habis dipakai dan operator.</v>
          </cell>
        </row>
        <row r="199">
          <cell r="C199" t="str">
            <v>Waktusiklus :</v>
          </cell>
          <cell r="G199" t="str">
            <v>Ts2</v>
          </cell>
          <cell r="N199">
            <v>4</v>
          </cell>
          <cell r="O199" t="str">
            <v>Biaya satuan sudah termasuk pengeluaran untuk seluruh pajak yang berkaitan (tetapi tidak termasuk PPN</v>
          </cell>
        </row>
        <row r="200">
          <cell r="C200" t="str">
            <v>-  Waktu tempuh isi   = (L : v1) x 60</v>
          </cell>
          <cell r="G200" t="str">
            <v>T1</v>
          </cell>
          <cell r="H200">
            <v>15</v>
          </cell>
          <cell r="I200" t="str">
            <v>menit</v>
          </cell>
          <cell r="O200" t="str">
            <v>yang dibayar dari kontrak) dan biaya-biaya lainnya.</v>
          </cell>
        </row>
        <row r="201">
          <cell r="C201" t="str">
            <v>-  Waktu tempuh kosong   = (L : v2) x 60</v>
          </cell>
          <cell r="G201" t="str">
            <v>T2</v>
          </cell>
          <cell r="H201">
            <v>10</v>
          </cell>
          <cell r="I201" t="str">
            <v>menit</v>
          </cell>
        </row>
        <row r="202">
          <cell r="C202" t="str">
            <v>- Lain-lain</v>
          </cell>
          <cell r="G202" t="str">
            <v>T3</v>
          </cell>
          <cell r="H202">
            <v>3</v>
          </cell>
          <cell r="I202" t="str">
            <v>menit</v>
          </cell>
        </row>
        <row r="203">
          <cell r="G203" t="str">
            <v>Ts2</v>
          </cell>
          <cell r="H203">
            <v>28</v>
          </cell>
          <cell r="I203" t="str">
            <v>menit</v>
          </cell>
          <cell r="S203" t="str">
            <v>Medan,17  Juni   2009</v>
          </cell>
        </row>
        <row r="204">
          <cell r="S204" t="str">
            <v>Di buat oleh</v>
          </cell>
        </row>
        <row r="205">
          <cell r="S205" t="str">
            <v>PT.DUTA FAZIRA  PERMAI</v>
          </cell>
        </row>
        <row r="213">
          <cell r="A213" t="str">
            <v>LAMPIRAN 13 PENAWARAN</v>
          </cell>
        </row>
        <row r="214">
          <cell r="A214" t="str">
            <v>URAIAN  TEKNIS</v>
          </cell>
        </row>
        <row r="215">
          <cell r="A215" t="str">
            <v>ANALISA HARGA SATUAN MATA PEMBAYARAN UTAMA</v>
          </cell>
        </row>
        <row r="217">
          <cell r="A217" t="str">
            <v>Nama Peserta Lelang</v>
          </cell>
          <cell r="D217" t="str">
            <v>PT.DUTA FAZIRA  PERMAI</v>
          </cell>
        </row>
        <row r="218">
          <cell r="A218" t="str">
            <v>No Mata Pembayaran</v>
          </cell>
          <cell r="D218" t="str">
            <v>:  3.2 (1)</v>
          </cell>
        </row>
        <row r="219">
          <cell r="A219" t="str">
            <v>Jenis Pekerjaan</v>
          </cell>
          <cell r="D219" t="str">
            <v>:  Urugan Biasa</v>
          </cell>
        </row>
        <row r="220">
          <cell r="A220" t="str">
            <v>Satuan Pengukuran</v>
          </cell>
          <cell r="D220" t="str">
            <v>:  M3</v>
          </cell>
        </row>
        <row r="221">
          <cell r="A221" t="str">
            <v>Perkiraan Kuantitas</v>
          </cell>
          <cell r="D221">
            <v>309</v>
          </cell>
        </row>
        <row r="222">
          <cell r="A222" t="str">
            <v>Produks Harian/Jam*)</v>
          </cell>
        </row>
        <row r="225">
          <cell r="A225" t="str">
            <v>No.</v>
          </cell>
          <cell r="C225" t="str">
            <v>U R A I A N</v>
          </cell>
          <cell r="G225" t="str">
            <v>KODE</v>
          </cell>
          <cell r="H225" t="str">
            <v>KOEF.</v>
          </cell>
          <cell r="I225" t="str">
            <v>SATUAN</v>
          </cell>
          <cell r="J225" t="str">
            <v>KETERANGAN</v>
          </cell>
        </row>
        <row r="228">
          <cell r="C228" t="str">
            <v>Kapasitas Produksi / Jam   =</v>
          </cell>
          <cell r="E228" t="str">
            <v>V x Fa x 60</v>
          </cell>
          <cell r="G228" t="str">
            <v>Q2</v>
          </cell>
          <cell r="H228">
            <v>5.9285714285714279</v>
          </cell>
          <cell r="I228" t="str">
            <v>M3</v>
          </cell>
        </row>
        <row r="229">
          <cell r="E229" t="str">
            <v xml:space="preserve">    Fk x Ts2</v>
          </cell>
        </row>
        <row r="231">
          <cell r="C231" t="str">
            <v>Koefisien Alat / M3</v>
          </cell>
          <cell r="D231" t="str">
            <v xml:space="preserve"> =  1  :  Q2</v>
          </cell>
          <cell r="G231" t="str">
            <v>(E08)</v>
          </cell>
          <cell r="H231">
            <v>0.16867469879518074</v>
          </cell>
          <cell r="I231" t="str">
            <v>Jam</v>
          </cell>
        </row>
        <row r="233">
          <cell r="A233" t="str">
            <v>2.c.</v>
          </cell>
          <cell r="C233" t="str">
            <v>MOTOR GRADER</v>
          </cell>
          <cell r="G233" t="str">
            <v>(E13)</v>
          </cell>
        </row>
        <row r="234">
          <cell r="C234" t="str">
            <v>Panjang hamparan</v>
          </cell>
          <cell r="G234" t="str">
            <v>Lh</v>
          </cell>
          <cell r="H234">
            <v>50</v>
          </cell>
          <cell r="I234" t="str">
            <v>M</v>
          </cell>
        </row>
        <row r="235">
          <cell r="C235" t="str">
            <v>Lebar Efektif kerja Blade</v>
          </cell>
          <cell r="G235" t="str">
            <v>b</v>
          </cell>
          <cell r="H235">
            <v>2.4</v>
          </cell>
          <cell r="I235" t="str">
            <v>M</v>
          </cell>
        </row>
        <row r="236">
          <cell r="C236" t="str">
            <v>Faktor Efisiensi Alat</v>
          </cell>
          <cell r="G236" t="str">
            <v>Fa</v>
          </cell>
          <cell r="H236">
            <v>0.83</v>
          </cell>
          <cell r="I236" t="str">
            <v>-</v>
          </cell>
        </row>
        <row r="237">
          <cell r="C237" t="str">
            <v>Kecepatan rata-rata alat</v>
          </cell>
          <cell r="G237" t="str">
            <v>v</v>
          </cell>
          <cell r="H237">
            <v>5</v>
          </cell>
          <cell r="I237" t="str">
            <v>Km / Jam</v>
          </cell>
        </row>
        <row r="238">
          <cell r="C238" t="str">
            <v>Jumlah lintasan</v>
          </cell>
          <cell r="G238" t="str">
            <v>n</v>
          </cell>
          <cell r="H238">
            <v>5</v>
          </cell>
          <cell r="I238" t="str">
            <v>lintasan</v>
          </cell>
        </row>
        <row r="239">
          <cell r="C239" t="str">
            <v>Waktu siklus</v>
          </cell>
          <cell r="G239" t="str">
            <v>Ts3</v>
          </cell>
        </row>
        <row r="240">
          <cell r="C240" t="str">
            <v>- Perataan 1 kali lintasan    = Lh : (v x 1000) x 60</v>
          </cell>
          <cell r="G240" t="str">
            <v>T1</v>
          </cell>
          <cell r="H240">
            <v>0.6</v>
          </cell>
          <cell r="I240" t="str">
            <v>menit</v>
          </cell>
        </row>
        <row r="241">
          <cell r="C241" t="str">
            <v>- Lain-lain</v>
          </cell>
          <cell r="G241" t="str">
            <v>T2</v>
          </cell>
          <cell r="H241">
            <v>0.5</v>
          </cell>
          <cell r="I241" t="str">
            <v>menit</v>
          </cell>
        </row>
        <row r="242">
          <cell r="G242" t="str">
            <v>Ts3</v>
          </cell>
          <cell r="H242">
            <v>1.1000000000000001</v>
          </cell>
          <cell r="I242" t="str">
            <v>menit</v>
          </cell>
        </row>
        <row r="244">
          <cell r="C244" t="str">
            <v>Kapasitas Produksi / Jam   =</v>
          </cell>
          <cell r="E244" t="str">
            <v>Lh x b x t x Fa x 60</v>
          </cell>
          <cell r="G244" t="str">
            <v>Q3</v>
          </cell>
          <cell r="H244">
            <v>217.30909090909088</v>
          </cell>
          <cell r="I244" t="str">
            <v>M3</v>
          </cell>
        </row>
        <row r="245">
          <cell r="E245" t="str">
            <v xml:space="preserve">      n x Ts3</v>
          </cell>
        </row>
        <row r="247">
          <cell r="C247" t="str">
            <v>Koefisien Alat / M3</v>
          </cell>
          <cell r="D247" t="str">
            <v xml:space="preserve"> =  1  :  Q3</v>
          </cell>
          <cell r="G247" t="str">
            <v>(E13)</v>
          </cell>
          <cell r="H247">
            <v>4.6017402945113797E-3</v>
          </cell>
          <cell r="I247" t="str">
            <v>Jam</v>
          </cell>
        </row>
        <row r="249">
          <cell r="A249" t="str">
            <v>2.d.</v>
          </cell>
          <cell r="C249" t="str">
            <v>PEDESTRIAN ROLLER</v>
          </cell>
          <cell r="G249" t="str">
            <v>(E24)</v>
          </cell>
        </row>
        <row r="250">
          <cell r="C250" t="str">
            <v>Kecepatan rata-rata alat</v>
          </cell>
          <cell r="G250" t="str">
            <v>v</v>
          </cell>
          <cell r="H250">
            <v>2.5</v>
          </cell>
          <cell r="I250" t="str">
            <v>KM / Jam</v>
          </cell>
        </row>
        <row r="251">
          <cell r="C251" t="str">
            <v>Lebar efektif pemadatan</v>
          </cell>
          <cell r="G251" t="str">
            <v>b</v>
          </cell>
          <cell r="H251">
            <v>0.8</v>
          </cell>
          <cell r="I251" t="str">
            <v>M</v>
          </cell>
        </row>
        <row r="252">
          <cell r="C252" t="str">
            <v>Jumlah lintasan</v>
          </cell>
          <cell r="G252" t="str">
            <v>n</v>
          </cell>
          <cell r="H252">
            <v>5</v>
          </cell>
          <cell r="I252" t="str">
            <v>lintasan</v>
          </cell>
        </row>
        <row r="253">
          <cell r="C253" t="str">
            <v>Faktor Efisiensi alat</v>
          </cell>
          <cell r="G253" t="str">
            <v>Fa</v>
          </cell>
          <cell r="H253">
            <v>0.83</v>
          </cell>
          <cell r="I253" t="str">
            <v>-</v>
          </cell>
        </row>
        <row r="255">
          <cell r="C255" t="str">
            <v>Kap.Prod./jam =</v>
          </cell>
          <cell r="D255" t="str">
            <v>(v x 1000) x b x t x Fa</v>
          </cell>
          <cell r="G255" t="str">
            <v>Q4</v>
          </cell>
          <cell r="H255">
            <v>66.400000000000006</v>
          </cell>
          <cell r="I255" t="str">
            <v>M3</v>
          </cell>
        </row>
        <row r="256">
          <cell r="D256" t="str">
            <v>n</v>
          </cell>
        </row>
        <row r="257">
          <cell r="C257" t="str">
            <v>Koefisien Alat / M3</v>
          </cell>
          <cell r="D257" t="str">
            <v xml:space="preserve"> = 1 : Q4</v>
          </cell>
          <cell r="H257">
            <v>1.506024096385542E-2</v>
          </cell>
          <cell r="I257" t="str">
            <v>Jam</v>
          </cell>
        </row>
        <row r="261">
          <cell r="A261" t="str">
            <v>2.e.</v>
          </cell>
          <cell r="C261" t="str">
            <v>WATER TANK TRUCK</v>
          </cell>
          <cell r="G261" t="str">
            <v>(E23)</v>
          </cell>
        </row>
        <row r="262">
          <cell r="C262" t="str">
            <v>Volume tangki air</v>
          </cell>
          <cell r="G262" t="str">
            <v>V</v>
          </cell>
          <cell r="H262">
            <v>4</v>
          </cell>
          <cell r="I262" t="str">
            <v>M3</v>
          </cell>
        </row>
        <row r="263">
          <cell r="C263" t="str">
            <v>Kebutuhan air / M3 material padat</v>
          </cell>
          <cell r="G263" t="str">
            <v>Wc</v>
          </cell>
          <cell r="H263">
            <v>7.0000000000000007E-2</v>
          </cell>
          <cell r="I263" t="str">
            <v>M3</v>
          </cell>
        </row>
        <row r="264">
          <cell r="C264" t="str">
            <v>Pengisian Tangki / jam</v>
          </cell>
          <cell r="G264" t="str">
            <v>n</v>
          </cell>
          <cell r="H264">
            <v>3</v>
          </cell>
          <cell r="I264" t="str">
            <v>kali</v>
          </cell>
        </row>
        <row r="265">
          <cell r="C265" t="str">
            <v>Faktor efisiensi alat</v>
          </cell>
          <cell r="G265" t="str">
            <v>Fa</v>
          </cell>
          <cell r="H265">
            <v>0.83</v>
          </cell>
          <cell r="I265" t="str">
            <v>-</v>
          </cell>
        </row>
        <row r="267">
          <cell r="C267" t="str">
            <v>Kapasitas Produksi / Jam   =</v>
          </cell>
          <cell r="E267" t="str">
            <v>V  x  n x Fa</v>
          </cell>
          <cell r="G267" t="str">
            <v>Q5</v>
          </cell>
          <cell r="H267">
            <v>142.28571428571425</v>
          </cell>
          <cell r="I267" t="str">
            <v>M3</v>
          </cell>
        </row>
        <row r="268">
          <cell r="E268" t="str">
            <v xml:space="preserve">     Wc</v>
          </cell>
        </row>
        <row r="270">
          <cell r="C270" t="str">
            <v>Koefisien Alat / M3</v>
          </cell>
          <cell r="D270" t="str">
            <v xml:space="preserve"> =  1  :  Q5</v>
          </cell>
          <cell r="G270" t="str">
            <v>(E23)</v>
          </cell>
          <cell r="H270">
            <v>7.0281124497991983E-3</v>
          </cell>
          <cell r="I270" t="str">
            <v>Jam</v>
          </cell>
        </row>
        <row r="272">
          <cell r="A272" t="str">
            <v>2.f.</v>
          </cell>
          <cell r="C272" t="str">
            <v>ALAT  BANTU</v>
          </cell>
        </row>
        <row r="273">
          <cell r="C273" t="str">
            <v>Diperlukan alat-alat bantu kecil</v>
          </cell>
        </row>
        <row r="274">
          <cell r="C274" t="str">
            <v>- Sekop    =         3   buah</v>
          </cell>
        </row>
        <row r="280">
          <cell r="A280" t="str">
            <v>LAMPIRAN 13 PENAWARAN</v>
          </cell>
        </row>
        <row r="281">
          <cell r="A281" t="str">
            <v>URAIAN  TEKNIS</v>
          </cell>
        </row>
        <row r="282">
          <cell r="A282" t="str">
            <v>ANALISA HARGA SATUAN MATA PEMBAYARAN UTAMA</v>
          </cell>
        </row>
        <row r="284">
          <cell r="A284" t="str">
            <v>Nama Peserta Lelang</v>
          </cell>
          <cell r="D284" t="str">
            <v>PT.DUTA FAZIRA  PERMAI</v>
          </cell>
        </row>
        <row r="285">
          <cell r="A285" t="str">
            <v>No Mata Pembayaran</v>
          </cell>
          <cell r="D285" t="str">
            <v>:  3.2 (1)</v>
          </cell>
        </row>
        <row r="286">
          <cell r="A286" t="str">
            <v>Jenis Pekerjaan</v>
          </cell>
          <cell r="D286" t="str">
            <v>:  Urugan Biasa</v>
          </cell>
        </row>
        <row r="287">
          <cell r="A287" t="str">
            <v>Satuan Pengukuran</v>
          </cell>
          <cell r="D287" t="str">
            <v>:  M3</v>
          </cell>
        </row>
        <row r="288">
          <cell r="A288" t="str">
            <v>Perkiraan Kuantitas</v>
          </cell>
          <cell r="D288">
            <v>309</v>
          </cell>
        </row>
        <row r="289">
          <cell r="A289" t="str">
            <v>Produks Harian/Jam*)</v>
          </cell>
        </row>
        <row r="292">
          <cell r="A292" t="str">
            <v>No.</v>
          </cell>
          <cell r="C292" t="str">
            <v>U R A I A N</v>
          </cell>
          <cell r="G292" t="str">
            <v>KODE</v>
          </cell>
          <cell r="H292" t="str">
            <v>KOEF.</v>
          </cell>
          <cell r="I292" t="str">
            <v>SATUAN</v>
          </cell>
          <cell r="J292" t="str">
            <v>KETERANGAN</v>
          </cell>
        </row>
        <row r="295">
          <cell r="A295" t="str">
            <v xml:space="preserve">   3.</v>
          </cell>
          <cell r="C295" t="str">
            <v>TENAGA</v>
          </cell>
        </row>
        <row r="296">
          <cell r="C296" t="str">
            <v>Produksi menentukan : WHELL LOADER</v>
          </cell>
          <cell r="G296" t="str">
            <v>Q1</v>
          </cell>
          <cell r="H296">
            <v>56.025000000000006</v>
          </cell>
          <cell r="I296" t="str">
            <v>M3/Jam</v>
          </cell>
        </row>
        <row r="297">
          <cell r="C297" t="str">
            <v>Produksi Galian / hari  =  Tk x Q1</v>
          </cell>
          <cell r="G297" t="str">
            <v>Qt</v>
          </cell>
          <cell r="H297">
            <v>392.17500000000007</v>
          </cell>
          <cell r="I297" t="str">
            <v>M3</v>
          </cell>
        </row>
        <row r="298">
          <cell r="C298" t="str">
            <v>Kebutuhan tenaga :</v>
          </cell>
        </row>
        <row r="299">
          <cell r="D299" t="str">
            <v>- Pekerja</v>
          </cell>
          <cell r="G299" t="str">
            <v>P</v>
          </cell>
          <cell r="H299">
            <v>4</v>
          </cell>
          <cell r="I299" t="str">
            <v>orang</v>
          </cell>
        </row>
        <row r="300">
          <cell r="D300" t="str">
            <v>- Mandor</v>
          </cell>
          <cell r="G300" t="str">
            <v>M</v>
          </cell>
          <cell r="H300">
            <v>1</v>
          </cell>
          <cell r="I300" t="str">
            <v>orang</v>
          </cell>
        </row>
        <row r="303">
          <cell r="C303" t="str">
            <v>Koefisien tenaga / M3   :</v>
          </cell>
        </row>
        <row r="304">
          <cell r="D304" t="str">
            <v>- Pekerja</v>
          </cell>
          <cell r="E304" t="str">
            <v>= (Tk x P) : Qt</v>
          </cell>
          <cell r="G304" t="str">
            <v>(L01)</v>
          </cell>
          <cell r="H304">
            <v>7.1396697902721989E-2</v>
          </cell>
          <cell r="I304" t="str">
            <v>Jam</v>
          </cell>
        </row>
        <row r="305">
          <cell r="D305" t="str">
            <v>- Mandor</v>
          </cell>
          <cell r="E305" t="str">
            <v>= (Tk x M) : Qt</v>
          </cell>
          <cell r="G305" t="str">
            <v>(L02)</v>
          </cell>
          <cell r="H305">
            <v>1.7849174475680497E-2</v>
          </cell>
          <cell r="I305" t="str">
            <v>Jam</v>
          </cell>
        </row>
        <row r="308">
          <cell r="A308" t="str">
            <v>4.</v>
          </cell>
          <cell r="C308" t="str">
            <v>HARGA DASAR SATUAN UPAH, BAHAN DAN ALAT</v>
          </cell>
        </row>
        <row r="309">
          <cell r="C309" t="str">
            <v>Lihat lampiran.</v>
          </cell>
        </row>
        <row r="312">
          <cell r="A312" t="str">
            <v>5.</v>
          </cell>
          <cell r="C312" t="str">
            <v>ANALISA HARGA SATUAN PEKERJAAN</v>
          </cell>
        </row>
        <row r="313">
          <cell r="C313" t="str">
            <v>Lihat perhitungan dalam FORMULIR STANDAR UNTUK</v>
          </cell>
        </row>
        <row r="314">
          <cell r="C314" t="str">
            <v>PEREKEMAN ANALISA MASING-MASING HARGA</v>
          </cell>
        </row>
        <row r="315">
          <cell r="C315" t="str">
            <v>SATUAN.</v>
          </cell>
        </row>
        <row r="316">
          <cell r="C316" t="str">
            <v>Didapat Harga Satuan Pekerjaan :</v>
          </cell>
        </row>
        <row r="318">
          <cell r="C318" t="str">
            <v xml:space="preserve">Rp.  </v>
          </cell>
          <cell r="D318">
            <v>79800</v>
          </cell>
          <cell r="E318" t="str">
            <v xml:space="preserve"> / M3</v>
          </cell>
        </row>
        <row r="321">
          <cell r="A321" t="str">
            <v>6.</v>
          </cell>
          <cell r="C321" t="str">
            <v>WAKTU PELAKSANAAN YANG DIPERLUKAN</v>
          </cell>
        </row>
        <row r="322">
          <cell r="C322" t="str">
            <v>Masa Pelaksanaan :</v>
          </cell>
          <cell r="D322" t="str">
            <v>. . . . . . . . . . . .</v>
          </cell>
          <cell r="E322" t="str">
            <v>bulan</v>
          </cell>
        </row>
        <row r="324">
          <cell r="A324" t="str">
            <v>7.</v>
          </cell>
          <cell r="C324" t="str">
            <v>VOLUME PEKERJAAN YANG DIPERLUKAN</v>
          </cell>
        </row>
        <row r="325">
          <cell r="C325" t="str">
            <v>Volume pekerjaan  :</v>
          </cell>
          <cell r="D325">
            <v>309</v>
          </cell>
          <cell r="E325" t="str">
            <v>M3</v>
          </cell>
        </row>
      </sheetData>
      <sheetData sheetId="12" refreshError="1"/>
      <sheetData sheetId="13" refreshError="1"/>
      <sheetData sheetId="14" refreshError="1">
        <row r="13">
          <cell r="A13" t="str">
            <v>No.</v>
          </cell>
          <cell r="C13" t="str">
            <v>U R A I A N</v>
          </cell>
          <cell r="G13" t="str">
            <v>KODE</v>
          </cell>
          <cell r="H13" t="str">
            <v>KOEF.</v>
          </cell>
          <cell r="I13" t="str">
            <v>SATUAN</v>
          </cell>
          <cell r="J13" t="str">
            <v>KETERANGAN</v>
          </cell>
          <cell r="Q13" t="str">
            <v>PERKIRAAN</v>
          </cell>
          <cell r="R13" t="str">
            <v>HARGA</v>
          </cell>
          <cell r="S13" t="str">
            <v>JUMLAH</v>
          </cell>
        </row>
        <row r="14">
          <cell r="L14" t="str">
            <v>NO.</v>
          </cell>
          <cell r="N14" t="str">
            <v>KOMPONEN</v>
          </cell>
          <cell r="P14" t="str">
            <v>SATUAN</v>
          </cell>
          <cell r="Q14" t="str">
            <v>KUANTITAS</v>
          </cell>
          <cell r="R14" t="str">
            <v>SATUAN</v>
          </cell>
          <cell r="S14" t="str">
            <v>HARGA</v>
          </cell>
        </row>
        <row r="15">
          <cell r="R15" t="str">
            <v>(Rp.)</v>
          </cell>
          <cell r="S15" t="str">
            <v>(Rp.)</v>
          </cell>
        </row>
        <row r="16">
          <cell r="A16" t="str">
            <v>I.</v>
          </cell>
          <cell r="C16" t="str">
            <v>ASUMSI</v>
          </cell>
        </row>
        <row r="17">
          <cell r="A17">
            <v>1</v>
          </cell>
          <cell r="C17" t="str">
            <v>Menggunakan buruh (cara manual)</v>
          </cell>
        </row>
        <row r="18">
          <cell r="A18">
            <v>2</v>
          </cell>
          <cell r="C18" t="str">
            <v>Lokasi pekerjaan : sepanjang jalan</v>
          </cell>
          <cell r="L18" t="str">
            <v>A.</v>
          </cell>
          <cell r="N18" t="str">
            <v>TENAGA</v>
          </cell>
        </row>
        <row r="19">
          <cell r="A19">
            <v>3</v>
          </cell>
          <cell r="C19" t="str">
            <v>Bahan dasar (batu, pasir dan semen) diterima</v>
          </cell>
        </row>
        <row r="20">
          <cell r="C20" t="str">
            <v>seluruhnya di lokasi pekerjaan</v>
          </cell>
          <cell r="L20" t="str">
            <v>1.</v>
          </cell>
          <cell r="N20" t="str">
            <v>Pekerja Biasa</v>
          </cell>
          <cell r="O20" t="str">
            <v>(L01)</v>
          </cell>
          <cell r="P20" t="str">
            <v>jam</v>
          </cell>
          <cell r="Q20">
            <v>19.600000000000001</v>
          </cell>
          <cell r="R20">
            <v>5714.2857142857147</v>
          </cell>
          <cell r="U20">
            <v>112000.00000000001</v>
          </cell>
        </row>
        <row r="21">
          <cell r="A21">
            <v>4</v>
          </cell>
          <cell r="C21" t="str">
            <v>Jarak rata-rata Base camp ke lokasi pekerjaan</v>
          </cell>
          <cell r="G21" t="str">
            <v>L</v>
          </cell>
          <cell r="H21">
            <v>186.5</v>
          </cell>
          <cell r="I21" t="str">
            <v>KM</v>
          </cell>
          <cell r="L21" t="str">
            <v>2.</v>
          </cell>
          <cell r="N21" t="str">
            <v>Tukang</v>
          </cell>
          <cell r="O21" t="str">
            <v>(L02)</v>
          </cell>
          <cell r="P21" t="str">
            <v>jam</v>
          </cell>
          <cell r="Q21">
            <v>5.6</v>
          </cell>
          <cell r="R21">
            <v>6071.4285714285716</v>
          </cell>
          <cell r="U21">
            <v>34000</v>
          </cell>
        </row>
        <row r="22">
          <cell r="A22">
            <v>5</v>
          </cell>
          <cell r="C22" t="str">
            <v>Jam kerja efektif per-hari</v>
          </cell>
          <cell r="G22" t="str">
            <v>Tk</v>
          </cell>
          <cell r="H22">
            <v>7</v>
          </cell>
          <cell r="I22" t="str">
            <v>jam</v>
          </cell>
          <cell r="L22" t="str">
            <v>3.</v>
          </cell>
          <cell r="N22" t="str">
            <v>Mandor</v>
          </cell>
          <cell r="O22" t="str">
            <v>(L03)</v>
          </cell>
          <cell r="P22" t="str">
            <v>jam</v>
          </cell>
          <cell r="Q22">
            <v>1.4</v>
          </cell>
          <cell r="R22">
            <v>6785.7142857142853</v>
          </cell>
          <cell r="U22">
            <v>9499.9999999999982</v>
          </cell>
        </row>
        <row r="23">
          <cell r="A23">
            <v>6</v>
          </cell>
          <cell r="C23" t="str">
            <v>Perbandingan Pasir &amp; Semen</v>
          </cell>
          <cell r="E23" t="str">
            <v>: - Volume Semen</v>
          </cell>
          <cell r="G23" t="str">
            <v>Sm</v>
          </cell>
          <cell r="H23">
            <v>25</v>
          </cell>
          <cell r="I23" t="str">
            <v>%</v>
          </cell>
          <cell r="J23" t="str">
            <v xml:space="preserve"> Spec.</v>
          </cell>
        </row>
        <row r="24">
          <cell r="E24" t="str">
            <v>: - Volume Pasir</v>
          </cell>
          <cell r="G24" t="str">
            <v>Ps</v>
          </cell>
          <cell r="H24">
            <v>75</v>
          </cell>
          <cell r="I24" t="str">
            <v>%</v>
          </cell>
          <cell r="J24" t="str">
            <v xml:space="preserve"> Spec.</v>
          </cell>
          <cell r="Q24" t="str">
            <v xml:space="preserve">JUMLAH HARGA TENAGA   </v>
          </cell>
          <cell r="U24">
            <v>155500</v>
          </cell>
        </row>
        <row r="25">
          <cell r="A25">
            <v>7</v>
          </cell>
          <cell r="C25" t="str">
            <v>Perbandingan Batu &amp; Mortar  :</v>
          </cell>
        </row>
        <row r="26">
          <cell r="C26" t="str">
            <v>- Batu</v>
          </cell>
          <cell r="G26" t="str">
            <v>Bt</v>
          </cell>
          <cell r="H26">
            <v>65</v>
          </cell>
          <cell r="I26" t="str">
            <v>%</v>
          </cell>
          <cell r="L26" t="str">
            <v>B.</v>
          </cell>
          <cell r="N26" t="str">
            <v>BAHAN</v>
          </cell>
        </row>
        <row r="27">
          <cell r="C27" t="str">
            <v>- Mortar (campuran semen &amp; pasir)</v>
          </cell>
          <cell r="G27" t="str">
            <v>Mr</v>
          </cell>
          <cell r="H27">
            <v>35</v>
          </cell>
          <cell r="I27" t="str">
            <v>%</v>
          </cell>
        </row>
        <row r="28">
          <cell r="A28">
            <v>8</v>
          </cell>
          <cell r="C28" t="str">
            <v>Berat Jenis Bahan  :</v>
          </cell>
          <cell r="L28" t="str">
            <v>1.</v>
          </cell>
          <cell r="N28" t="str">
            <v>Batu Padas</v>
          </cell>
          <cell r="O28" t="str">
            <v>(M02)</v>
          </cell>
          <cell r="P28" t="str">
            <v>M3</v>
          </cell>
          <cell r="Q28">
            <v>1.1700000000000002</v>
          </cell>
          <cell r="R28">
            <v>96300</v>
          </cell>
          <cell r="U28">
            <v>112671.00000000001</v>
          </cell>
        </row>
        <row r="29">
          <cell r="C29" t="str">
            <v>- Pasangan Batu Dengan Mortar</v>
          </cell>
          <cell r="G29" t="str">
            <v>D1</v>
          </cell>
          <cell r="H29">
            <v>2.4</v>
          </cell>
          <cell r="I29" t="str">
            <v>ton/M3</v>
          </cell>
          <cell r="L29" t="str">
            <v>2.</v>
          </cell>
          <cell r="N29" t="str">
            <v>Semen (PC)</v>
          </cell>
          <cell r="O29" t="str">
            <v>(M12)</v>
          </cell>
          <cell r="P29" t="str">
            <v>zak</v>
          </cell>
          <cell r="Q29">
            <v>176</v>
          </cell>
          <cell r="R29">
            <v>812.5</v>
          </cell>
          <cell r="U29">
            <v>143000</v>
          </cell>
        </row>
        <row r="30">
          <cell r="C30" t="str">
            <v>- Batu</v>
          </cell>
          <cell r="G30" t="str">
            <v>D2</v>
          </cell>
          <cell r="H30">
            <v>1.6</v>
          </cell>
          <cell r="I30" t="str">
            <v>ton/M3</v>
          </cell>
          <cell r="L30" t="str">
            <v>3.</v>
          </cell>
          <cell r="N30" t="str">
            <v>Pasir</v>
          </cell>
          <cell r="O30" t="str">
            <v>(M01)</v>
          </cell>
          <cell r="P30" t="str">
            <v>M3</v>
          </cell>
          <cell r="Q30">
            <v>0.3961077844311377</v>
          </cell>
          <cell r="R30">
            <v>48800</v>
          </cell>
          <cell r="U30">
            <v>19330.059880239518</v>
          </cell>
        </row>
        <row r="31">
          <cell r="C31" t="str">
            <v>- Adukan (mortar)</v>
          </cell>
          <cell r="G31" t="str">
            <v>D3</v>
          </cell>
          <cell r="H31">
            <v>1.8</v>
          </cell>
          <cell r="I31" t="str">
            <v>ton/M3</v>
          </cell>
        </row>
        <row r="32">
          <cell r="C32" t="str">
            <v>- Pasir</v>
          </cell>
          <cell r="G32" t="str">
            <v>D4</v>
          </cell>
          <cell r="H32">
            <v>1.67</v>
          </cell>
          <cell r="I32" t="str">
            <v>ton/M3</v>
          </cell>
        </row>
        <row r="33">
          <cell r="C33" t="str">
            <v>- Semen Portland</v>
          </cell>
          <cell r="G33" t="str">
            <v>D5</v>
          </cell>
          <cell r="H33">
            <v>1.44</v>
          </cell>
          <cell r="I33" t="str">
            <v>ton/M3</v>
          </cell>
        </row>
        <row r="34">
          <cell r="Q34" t="str">
            <v xml:space="preserve">JUMLAH HARGA BAHAN   </v>
          </cell>
          <cell r="U34">
            <v>275001.05988023954</v>
          </cell>
        </row>
        <row r="35">
          <cell r="A35" t="str">
            <v>II.</v>
          </cell>
          <cell r="C35" t="str">
            <v>URUTAN KERJA</v>
          </cell>
        </row>
        <row r="36">
          <cell r="A36">
            <v>1</v>
          </cell>
          <cell r="C36" t="str">
            <v>Semen, pasir dan air dicampur dan diaduk menjadi</v>
          </cell>
          <cell r="L36" t="str">
            <v>C.</v>
          </cell>
          <cell r="N36" t="str">
            <v>PERALATAN</v>
          </cell>
        </row>
        <row r="37">
          <cell r="C37" t="str">
            <v>mortar dengan menggunakan alat bantu</v>
          </cell>
        </row>
        <row r="38">
          <cell r="A38">
            <v>2</v>
          </cell>
          <cell r="C38" t="str">
            <v>Batu dibersihkan dan dibasahi seluruh permukaannya</v>
          </cell>
          <cell r="L38" t="str">
            <v>1.</v>
          </cell>
          <cell r="N38" t="str">
            <v>Alat Bantu</v>
          </cell>
          <cell r="P38" t="str">
            <v>Ls</v>
          </cell>
          <cell r="Q38">
            <v>1</v>
          </cell>
          <cell r="R38">
            <v>2000</v>
          </cell>
          <cell r="U38">
            <v>2000</v>
          </cell>
        </row>
        <row r="39">
          <cell r="C39" t="str">
            <v>sebelum dipasang</v>
          </cell>
          <cell r="Q39" t="str">
            <v xml:space="preserve">JUMLAH HARGA PERALATAN   </v>
          </cell>
          <cell r="U39">
            <v>2000</v>
          </cell>
        </row>
        <row r="40">
          <cell r="A40">
            <v>3</v>
          </cell>
          <cell r="C40" t="str">
            <v>Penyelesaian dan perapihan setelah pemasangan</v>
          </cell>
        </row>
        <row r="41">
          <cell r="L41" t="str">
            <v>D.</v>
          </cell>
          <cell r="N41" t="str">
            <v>JUMLAH HARGA TENAGA, BAHAN DAN PERALATAN  ( A + B + C )</v>
          </cell>
          <cell r="U41">
            <v>432501.05988023954</v>
          </cell>
        </row>
        <row r="42">
          <cell r="A42" t="str">
            <v>III.</v>
          </cell>
          <cell r="C42" t="str">
            <v>PEMAKAIAN BAHAN, ALAT DAN TENAGA</v>
          </cell>
          <cell r="L42" t="str">
            <v>E.</v>
          </cell>
          <cell r="N42" t="str">
            <v>OVERHEAD &amp; PROFIT</v>
          </cell>
          <cell r="P42">
            <v>10</v>
          </cell>
          <cell r="Q42" t="str">
            <v>%  x  D</v>
          </cell>
          <cell r="U42">
            <v>43250.105988023955</v>
          </cell>
        </row>
        <row r="43">
          <cell r="L43" t="str">
            <v>F.</v>
          </cell>
          <cell r="N43" t="str">
            <v>HARGA SATUAN PEKERJAAN  ( D + E )</v>
          </cell>
          <cell r="U43">
            <v>475751.16586826352</v>
          </cell>
        </row>
        <row r="44">
          <cell r="A44" t="str">
            <v xml:space="preserve">   1.</v>
          </cell>
          <cell r="C44" t="str">
            <v>BAHAN</v>
          </cell>
          <cell r="L44" t="str">
            <v>G.</v>
          </cell>
          <cell r="N44" t="str">
            <v>PPN 10 %</v>
          </cell>
          <cell r="U44">
            <v>47575.116586826356</v>
          </cell>
        </row>
        <row r="45">
          <cell r="A45" t="str">
            <v>1.a.</v>
          </cell>
          <cell r="C45" t="str">
            <v>Batu     -----&gt;</v>
          </cell>
          <cell r="D45" t="str">
            <v>{(Bt x D1 x 1 M3) : D2} x 1.20</v>
          </cell>
          <cell r="G45" t="str">
            <v>(M02)</v>
          </cell>
          <cell r="H45">
            <v>1.1700000000000002</v>
          </cell>
          <cell r="I45" t="str">
            <v>M3</v>
          </cell>
          <cell r="J45" t="str">
            <v xml:space="preserve"> Lepas</v>
          </cell>
          <cell r="L45" t="str">
            <v>H.</v>
          </cell>
          <cell r="N45" t="str">
            <v>JUMLAH SETELAH PPN</v>
          </cell>
          <cell r="U45">
            <v>523326.28245508985</v>
          </cell>
        </row>
        <row r="46">
          <cell r="A46" t="str">
            <v>1.b.</v>
          </cell>
          <cell r="C46" t="str">
            <v>Semen    ----&gt;</v>
          </cell>
          <cell r="D46" t="str">
            <v>Sm x {(Mr x D1 x 1 M3} : D3} x 1.05</v>
          </cell>
          <cell r="G46" t="str">
            <v>(M12)</v>
          </cell>
          <cell r="H46">
            <v>0.1225</v>
          </cell>
          <cell r="I46" t="str">
            <v>M3</v>
          </cell>
          <cell r="L46" t="str">
            <v>I.</v>
          </cell>
          <cell r="N46" t="str">
            <v>Pembulatan</v>
          </cell>
          <cell r="U46">
            <v>523300</v>
          </cell>
        </row>
        <row r="47">
          <cell r="D47" t="str">
            <v>x {D5 x (1000)}</v>
          </cell>
          <cell r="G47" t="str">
            <v>(M12)</v>
          </cell>
          <cell r="H47">
            <v>176</v>
          </cell>
          <cell r="I47" t="str">
            <v>Kg</v>
          </cell>
        </row>
        <row r="48">
          <cell r="A48" t="str">
            <v>1.c.</v>
          </cell>
          <cell r="C48" t="str">
            <v>Pasir    -----&gt;</v>
          </cell>
          <cell r="D48" t="str">
            <v>Ps x {(Mr x D1 x 1 M3) : D4} x 1.05</v>
          </cell>
          <cell r="G48" t="str">
            <v>(M01)</v>
          </cell>
          <cell r="H48">
            <v>0.3961077844311377</v>
          </cell>
          <cell r="I48" t="str">
            <v>M3</v>
          </cell>
          <cell r="M48">
            <v>1</v>
          </cell>
          <cell r="N48" t="str">
            <v>Satuan dapat berdasarkan atas jam operasi untuk Tenaga Kerja dan Peralatan, volume dan/atau ukuran</v>
          </cell>
        </row>
        <row r="49">
          <cell r="N49" t="str">
            <v>berat untuk bahan-bahan.</v>
          </cell>
        </row>
        <row r="50">
          <cell r="A50" t="str">
            <v>2.</v>
          </cell>
          <cell r="C50" t="str">
            <v>ALAT</v>
          </cell>
          <cell r="M50">
            <v>2</v>
          </cell>
          <cell r="N50" t="str">
            <v>Kuantitas satuan adalah kuantitas setiap komponen untuk menyelesaikan satu satuan pekerjaan dari nomor</v>
          </cell>
        </row>
        <row r="51">
          <cell r="A51" t="str">
            <v>2.a.</v>
          </cell>
          <cell r="C51" t="str">
            <v>ALAT BANTU</v>
          </cell>
          <cell r="N51" t="str">
            <v>mata pembayaran.</v>
          </cell>
        </row>
        <row r="52">
          <cell r="C52" t="str">
            <v>Diperlukan  :</v>
          </cell>
          <cell r="M52">
            <v>3</v>
          </cell>
          <cell r="N52" t="str">
            <v>Biaya satuan untuk peralatan sudah termasuk bahan bakar, bahan habis dipakai dan operator.</v>
          </cell>
        </row>
        <row r="53">
          <cell r="C53" t="str">
            <v>- Sekop</v>
          </cell>
          <cell r="D53" t="str">
            <v>=  4  buah</v>
          </cell>
          <cell r="M53">
            <v>4</v>
          </cell>
          <cell r="N53" t="str">
            <v>Biaya satuan sudah termasuk pengeluaran untuk seluruh pajak yang berkaitan (tetapi tidak termasuk PPN</v>
          </cell>
        </row>
        <row r="54">
          <cell r="C54" t="str">
            <v>- Pacul</v>
          </cell>
          <cell r="D54" t="str">
            <v>=  4  buah</v>
          </cell>
          <cell r="N54" t="str">
            <v>yang dibayar dari kontrak) dan biaya-biaya lainnya.</v>
          </cell>
        </row>
        <row r="55">
          <cell r="C55" t="str">
            <v>- Sendok Semen</v>
          </cell>
          <cell r="D55" t="str">
            <v>=  4  buah</v>
          </cell>
        </row>
        <row r="56">
          <cell r="C56" t="str">
            <v>- Ember Cor</v>
          </cell>
          <cell r="D56" t="str">
            <v>=  4  buah</v>
          </cell>
          <cell r="R56" t="str">
            <v>Medan,17  Juni   2009</v>
          </cell>
        </row>
        <row r="57">
          <cell r="C57" t="str">
            <v>- Gerobak Dorong</v>
          </cell>
          <cell r="D57" t="str">
            <v>=  2  buah</v>
          </cell>
          <cell r="R57" t="str">
            <v>Di buat oleh</v>
          </cell>
        </row>
        <row r="58">
          <cell r="R58" t="str">
            <v>PT.DUTA FAZIRA  PERMAI</v>
          </cell>
        </row>
        <row r="59">
          <cell r="A59" t="str">
            <v>3.</v>
          </cell>
          <cell r="C59" t="str">
            <v>TENAGA</v>
          </cell>
        </row>
        <row r="60">
          <cell r="C60" t="str">
            <v>Produksi Pasangan Batu dengan Mortar dalam 1 hari</v>
          </cell>
          <cell r="G60" t="str">
            <v>Qt</v>
          </cell>
          <cell r="H60">
            <v>5</v>
          </cell>
          <cell r="I60" t="str">
            <v>M3</v>
          </cell>
        </row>
        <row r="62">
          <cell r="C62" t="str">
            <v>Kebutuhan tenaga :</v>
          </cell>
          <cell r="D62" t="str">
            <v>- Mandor</v>
          </cell>
          <cell r="G62" t="str">
            <v>M</v>
          </cell>
          <cell r="H62">
            <v>1</v>
          </cell>
          <cell r="I62" t="str">
            <v>orang</v>
          </cell>
        </row>
        <row r="63">
          <cell r="D63" t="str">
            <v>- Tukang Batu</v>
          </cell>
          <cell r="G63" t="str">
            <v>Tb</v>
          </cell>
          <cell r="H63">
            <v>4</v>
          </cell>
          <cell r="I63" t="str">
            <v>orang</v>
          </cell>
          <cell r="R63" t="str">
            <v>HANY HIDAYAT SUHOYO,SE</v>
          </cell>
        </row>
        <row r="64">
          <cell r="D64" t="str">
            <v>- Pekerja</v>
          </cell>
          <cell r="G64" t="str">
            <v>P</v>
          </cell>
          <cell r="H64">
            <v>14</v>
          </cell>
          <cell r="I64" t="str">
            <v>orang</v>
          </cell>
          <cell r="R64" t="str">
            <v>Direktur</v>
          </cell>
        </row>
        <row r="74">
          <cell r="A74" t="str">
            <v>URAIAN TEKNIS</v>
          </cell>
        </row>
        <row r="75">
          <cell r="A75" t="str">
            <v xml:space="preserve"> ANALISA HARGA SATUAN MATA PEMBAYARAN UTAMA</v>
          </cell>
        </row>
        <row r="77">
          <cell r="A77" t="str">
            <v>Nama Peserta Lelang</v>
          </cell>
          <cell r="D77" t="str">
            <v>PT.DUTA FAZIRA  PERMAI</v>
          </cell>
        </row>
        <row r="78">
          <cell r="A78" t="str">
            <v>No Mata Pembayaran</v>
          </cell>
          <cell r="D78" t="str">
            <v>:  7.9</v>
          </cell>
        </row>
        <row r="79">
          <cell r="A79" t="str">
            <v>Jenis Pekerjaan</v>
          </cell>
          <cell r="D79" t="str">
            <v>:  Pasangan Batu (manual)</v>
          </cell>
        </row>
        <row r="80">
          <cell r="A80" t="str">
            <v>Satuan Pengukuran</v>
          </cell>
          <cell r="D80" t="str">
            <v>:  M3</v>
          </cell>
        </row>
        <row r="81">
          <cell r="A81" t="str">
            <v>Perkiraan kuantitas</v>
          </cell>
          <cell r="D81">
            <v>314</v>
          </cell>
        </row>
        <row r="82">
          <cell r="A82" t="str">
            <v>Produksi Harian/Jam</v>
          </cell>
        </row>
        <row r="85">
          <cell r="A85" t="str">
            <v>No.</v>
          </cell>
          <cell r="C85" t="str">
            <v>U R A I A N</v>
          </cell>
          <cell r="G85" t="str">
            <v>KODE</v>
          </cell>
          <cell r="H85" t="str">
            <v>KOEF.</v>
          </cell>
          <cell r="I85" t="str">
            <v>SATUAN</v>
          </cell>
          <cell r="J85" t="str">
            <v>KETERANGAN</v>
          </cell>
        </row>
        <row r="89">
          <cell r="C89" t="str">
            <v>Koefisien Tenaga / M3   :</v>
          </cell>
        </row>
        <row r="90">
          <cell r="D90" t="str">
            <v>-  Mandor</v>
          </cell>
          <cell r="E90" t="str">
            <v>= (Tk x M) : Qt</v>
          </cell>
          <cell r="G90" t="str">
            <v>(L03)</v>
          </cell>
          <cell r="H90">
            <v>1.4</v>
          </cell>
          <cell r="I90" t="str">
            <v>jam</v>
          </cell>
        </row>
        <row r="91">
          <cell r="D91" t="str">
            <v>-  Tukang</v>
          </cell>
          <cell r="E91" t="str">
            <v>= (Tk x Tb) : Qt</v>
          </cell>
          <cell r="G91" t="str">
            <v>(L02)</v>
          </cell>
          <cell r="H91">
            <v>5.6</v>
          </cell>
          <cell r="I91" t="str">
            <v>jam</v>
          </cell>
        </row>
        <row r="92">
          <cell r="D92" t="str">
            <v>-  Pekerja</v>
          </cell>
          <cell r="E92" t="str">
            <v>= (Tk x P) : Qt</v>
          </cell>
          <cell r="G92" t="str">
            <v>(L01)</v>
          </cell>
          <cell r="H92">
            <v>19.600000000000001</v>
          </cell>
          <cell r="I92" t="str">
            <v>jam</v>
          </cell>
        </row>
        <row r="94">
          <cell r="A94" t="str">
            <v>4.</v>
          </cell>
          <cell r="C94" t="str">
            <v>HARGA DASAR SATUAN UPAH, BAHAN DAN ALAT</v>
          </cell>
        </row>
        <row r="95">
          <cell r="C95" t="str">
            <v>Lihat lampiran.</v>
          </cell>
        </row>
        <row r="97">
          <cell r="A97" t="str">
            <v>5.</v>
          </cell>
          <cell r="C97" t="str">
            <v>ANALISA HARGA SATUAN PEKERJAAN</v>
          </cell>
        </row>
        <row r="98">
          <cell r="C98" t="str">
            <v>Lihat perhitungan dalam FORMULIR STANDAR UNTUK</v>
          </cell>
        </row>
        <row r="99">
          <cell r="C99" t="str">
            <v>PEREKEMAN ANALISA MASING-MASING HARGA</v>
          </cell>
        </row>
        <row r="100">
          <cell r="C100" t="str">
            <v>SATUAN.</v>
          </cell>
        </row>
        <row r="101">
          <cell r="C101" t="str">
            <v>Didapat Harga Satuan Pekerjaan :</v>
          </cell>
        </row>
        <row r="103">
          <cell r="C103" t="str">
            <v xml:space="preserve">Rp.  </v>
          </cell>
          <cell r="D103">
            <v>523300</v>
          </cell>
          <cell r="E103" t="str">
            <v xml:space="preserve"> / M3</v>
          </cell>
        </row>
        <row r="106">
          <cell r="A106" t="str">
            <v>6.</v>
          </cell>
          <cell r="C106" t="str">
            <v>MASA PELAKSANAAN YANG DIPERLUKAN</v>
          </cell>
        </row>
        <row r="107">
          <cell r="C107" t="str">
            <v>Masa Pelaksanaan :</v>
          </cell>
          <cell r="E107" t="str">
            <v>Bulan</v>
          </cell>
        </row>
        <row r="109">
          <cell r="A109" t="str">
            <v>7.</v>
          </cell>
          <cell r="C109" t="str">
            <v>VOLUME PEKERJAAN YANG DIPERLUKAN</v>
          </cell>
        </row>
        <row r="110">
          <cell r="C110" t="str">
            <v>Volume pekerjaan  :</v>
          </cell>
          <cell r="D110">
            <v>314</v>
          </cell>
          <cell r="E110" t="str">
            <v>M3</v>
          </cell>
        </row>
      </sheetData>
      <sheetData sheetId="1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L-K"/>
      <sheetName val="SCHEDULE"/>
      <sheetName val="surat"/>
      <sheetName val="B. Opr Alat"/>
      <sheetName val="Rumah Dinas Camat M. Deli"/>
      <sheetName val="Bahan +angkut muat"/>
      <sheetName val="Angkut"/>
      <sheetName val="REKAPITULASI ANALISA"/>
      <sheetName val="PEMADATAN"/>
      <sheetName val="pemenag  (2)"/>
      <sheetName val="pemenag "/>
      <sheetName val="SCHEDULE (2)"/>
      <sheetName val="SDN 060951 (BQ)"/>
      <sheetName val="SDN 060951"/>
      <sheetName val="UPAD-BAHAN-ALAT"/>
      <sheetName val="REKAP"/>
      <sheetName val="RAB"/>
      <sheetName val="ANL-SNI"/>
      <sheetName val="ANL-EI"/>
      <sheetName val="cut and fill"/>
      <sheetName val="BETON COR SNI 350"/>
      <sheetName val="BETON COR SNI 325"/>
      <sheetName val="BETON COR SNI 300"/>
      <sheetName val="BETON COR SNI 275"/>
      <sheetName val="BETON COR SNI 250"/>
      <sheetName val="BETON COR SNI 225"/>
      <sheetName val="BETON COR SNI 200"/>
      <sheetName val="BETON COR SNI 175"/>
      <sheetName val="BETON COR SNI 150"/>
      <sheetName val="BETON COR SNI 125"/>
      <sheetName val="BETON COR SNI 1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L-K"/>
      <sheetName val="SCHEDULE"/>
      <sheetName val="surat"/>
      <sheetName val="B. Opr Alat"/>
      <sheetName val="Rumah Dinas Camat M. Deli"/>
      <sheetName val="Bahan +angkut muat"/>
      <sheetName val="Angkut"/>
      <sheetName val="REKAPITULASI ANALISA"/>
      <sheetName val="PEMADATAN"/>
      <sheetName val="pemenag  (2)"/>
      <sheetName val="pemenag "/>
      <sheetName val="SCHEDULE (2)"/>
      <sheetName val="SDN 060951 (BQ)"/>
      <sheetName val="SDN 060951"/>
      <sheetName val="UPAD-BAHAN-ALAT"/>
      <sheetName val="REKAP"/>
      <sheetName val="RAB"/>
      <sheetName val="ANL-SNI"/>
      <sheetName val="ANL-EI"/>
      <sheetName val="cut and fill"/>
      <sheetName val="BETON COR SNI 350"/>
      <sheetName val="BETON COR SNI 325"/>
      <sheetName val="BETON COR SNI 300"/>
      <sheetName val="BETON COR SNI 275"/>
      <sheetName val="BETON COR SNI 250"/>
      <sheetName val="BETON COR SNI 225"/>
      <sheetName val="BETON COR SNI 200"/>
      <sheetName val="BETON COR SNI 175"/>
      <sheetName val="BETON COR SNI 150"/>
      <sheetName val="BETON COR SNI 125"/>
      <sheetName val="BETON COR SNI 1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 Biaya (CAD)"/>
      <sheetName val="Kuantitas &amp; Harga (CAD)"/>
      <sheetName val="Rekap Biaya"/>
      <sheetName val="Kuantitas &amp; Harga"/>
      <sheetName val="MASTER"/>
      <sheetName val="Analisa Alat Bantu"/>
      <sheetName val="Perhitungan Analisa Alat Bantu "/>
      <sheetName val="Jarak-Angkut"/>
      <sheetName val="Rekap_Biaya_(CAD)"/>
      <sheetName val="Kuantitas_&amp;_Harga_(CAD)"/>
      <sheetName val="Rekap_Biaya"/>
      <sheetName val="Kuantitas_&amp;_Harga"/>
      <sheetName val="Analisa_Alat_Bantu"/>
      <sheetName val="Perhitungan_Analisa_Alat_Bantu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FE"/>
      <sheetName val="PE"/>
      <sheetName val="E-F"/>
      <sheetName val="MFC"/>
      <sheetName val="WC1"/>
      <sheetName val="WC2"/>
    </sheetNames>
    <sheetDataSet>
      <sheetData sheetId="0"/>
      <sheetData sheetId="1" refreshError="1"/>
      <sheetData sheetId="2"/>
      <sheetData sheetId="3"/>
      <sheetData sheetId="4" refreshError="1"/>
      <sheetData sheetId="5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PH"/>
      <sheetName val="TS"/>
      <sheetName val="Rek"/>
      <sheetName val="Rab"/>
      <sheetName val="Anl"/>
      <sheetName val="H.Dasar"/>
      <sheetName val="H.Lokasi"/>
      <sheetName val="H_Dasar"/>
      <sheetName val="H_Lokasi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/>
      <sheetData sheetId="9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PH"/>
      <sheetName val="TS"/>
      <sheetName val="Rek"/>
      <sheetName val="Rab"/>
      <sheetName val="Anl"/>
      <sheetName val="H.Dasar"/>
      <sheetName val="H.Lokas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42">
          <cell r="L42">
            <v>195750</v>
          </cell>
        </row>
        <row r="116">
          <cell r="L116">
            <v>32307.599999999999</v>
          </cell>
        </row>
      </sheetData>
      <sheetData sheetId="6" refreshError="1"/>
      <sheetData sheetId="7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S-Rutin"/>
      <sheetName val="Kuantitas"/>
      <sheetName val="Analisa HSP"/>
    </sheetNames>
    <sheetDataSet>
      <sheetData sheetId="0">
        <row r="12">
          <cell r="D12" t="str">
            <v>: 10.1 (1)</v>
          </cell>
        </row>
      </sheetData>
      <sheetData sheetId="1"/>
      <sheetData sheetId="2">
        <row r="410">
          <cell r="U410">
            <v>119737.4661556428</v>
          </cell>
        </row>
      </sheetData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 &amp; Q"/>
      <sheetName val="besi Gelagar"/>
      <sheetName val="Volume bang."/>
      <sheetName val="besi Abutment"/>
      <sheetName val="!"/>
      <sheetName val="Peralatan"/>
      <sheetName val="LP K230"/>
      <sheetName val="ANALISA_K"/>
      <sheetName val="smpul"/>
      <sheetName val="Volume Jalan-1 (2)"/>
      <sheetName val="RAB (3)"/>
      <sheetName val="Volume Jalan-1"/>
      <sheetName val="JUDUL (2)"/>
      <sheetName val="ANALISA - K"/>
      <sheetName val="Jarak Angkut "/>
      <sheetName val="analisa Angkut "/>
      <sheetName val="Upah &amp; Bahan "/>
      <sheetName val="RAB (2)"/>
      <sheetName val="Mobilisasi"/>
      <sheetName val="TAB. ALAT"/>
      <sheetName val="ANAL. ALAT"/>
      <sheetName val="Alat"/>
      <sheetName val="Sheet1"/>
      <sheetName val="Jarak Angkut"/>
      <sheetName val="analisa bah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768">
          <cell r="A768" t="str">
            <v>URAIAN ANALISA ALAT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>
        <row r="467">
          <cell r="BO467">
            <v>108000000</v>
          </cell>
        </row>
        <row r="506">
          <cell r="BO506" t="str">
            <v xml:space="preserve"> Alat Baru</v>
          </cell>
        </row>
      </sheetData>
      <sheetData sheetId="22" refreshError="1"/>
      <sheetData sheetId="23" refreshError="1"/>
      <sheetData sheetId="24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Rekap Biaya"/>
      <sheetName val="B&amp;Q"/>
      <sheetName val="RAB"/>
      <sheetName val="anaK"/>
      <sheetName val="Lamp.Upah&amp;Biaya"/>
      <sheetName val="Lamp.ABiaya"/>
      <sheetName val="ANGKUT"/>
      <sheetName val="Upah&amp;Bahan"/>
      <sheetName val="Sket Jrk Angkut"/>
      <sheetName val="Rekap_Biaya"/>
      <sheetName val="Lamp_Upah&amp;Biaya"/>
      <sheetName val="Lamp_ABiaya"/>
      <sheetName val="Sket_Jrk_Angkut"/>
      <sheetName val="Rekap_Biaya1"/>
      <sheetName val="Lamp_Upah&amp;Biaya1"/>
      <sheetName val="Lamp_ABiaya1"/>
      <sheetName val="Sket_Jrk_Angkut1"/>
      <sheetName val="Rekap_Biaya2"/>
      <sheetName val="Lamp_Upah&amp;Biaya2"/>
      <sheetName val="Lamp_ABiaya2"/>
      <sheetName val="Sket_Jrk_Angkut2"/>
      <sheetName val="Rekap_Biaya3"/>
      <sheetName val="Lamp_Upah&amp;Biaya3"/>
      <sheetName val="Lamp_ABiaya3"/>
      <sheetName val="Sket_Jrk_Angku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5">
          <cell r="H15">
            <v>5</v>
          </cell>
        </row>
        <row r="16">
          <cell r="H16">
            <v>6</v>
          </cell>
        </row>
        <row r="17">
          <cell r="H17">
            <v>7</v>
          </cell>
        </row>
        <row r="18">
          <cell r="H18">
            <v>8</v>
          </cell>
        </row>
        <row r="19">
          <cell r="H19">
            <v>9</v>
          </cell>
        </row>
        <row r="20">
          <cell r="H20">
            <v>10</v>
          </cell>
        </row>
        <row r="21">
          <cell r="H21">
            <v>11</v>
          </cell>
        </row>
        <row r="22">
          <cell r="H22">
            <v>12</v>
          </cell>
        </row>
        <row r="23">
          <cell r="H23">
            <v>13</v>
          </cell>
        </row>
        <row r="24">
          <cell r="H24">
            <v>14</v>
          </cell>
        </row>
        <row r="42">
          <cell r="H42">
            <v>65000</v>
          </cell>
        </row>
      </sheetData>
      <sheetData sheetId="8" refreshError="1">
        <row r="15">
          <cell r="C15">
            <v>30000</v>
          </cell>
        </row>
        <row r="16">
          <cell r="C16">
            <v>34000</v>
          </cell>
        </row>
        <row r="17">
          <cell r="C17">
            <v>38000</v>
          </cell>
        </row>
        <row r="18">
          <cell r="C18">
            <v>42000</v>
          </cell>
        </row>
        <row r="19">
          <cell r="C19">
            <v>48000</v>
          </cell>
        </row>
        <row r="20">
          <cell r="C20">
            <v>54000</v>
          </cell>
        </row>
        <row r="21">
          <cell r="C21">
            <v>54000</v>
          </cell>
        </row>
        <row r="22">
          <cell r="C22">
            <v>26250</v>
          </cell>
        </row>
        <row r="23">
          <cell r="C23">
            <v>48000</v>
          </cell>
        </row>
        <row r="24">
          <cell r="C24">
            <v>54000</v>
          </cell>
        </row>
        <row r="26">
          <cell r="C26">
            <v>48000</v>
          </cell>
        </row>
        <row r="27">
          <cell r="C27">
            <v>48000</v>
          </cell>
        </row>
        <row r="41">
          <cell r="C41">
            <v>30000</v>
          </cell>
        </row>
        <row r="42">
          <cell r="C42">
            <v>32500</v>
          </cell>
        </row>
        <row r="43">
          <cell r="C43">
            <v>57500</v>
          </cell>
        </row>
        <row r="44">
          <cell r="C44">
            <v>33000</v>
          </cell>
        </row>
        <row r="47">
          <cell r="C47">
            <v>60000</v>
          </cell>
        </row>
        <row r="51">
          <cell r="C51">
            <v>135000</v>
          </cell>
        </row>
        <row r="52">
          <cell r="C52">
            <v>60000</v>
          </cell>
        </row>
        <row r="54">
          <cell r="C54">
            <v>426178</v>
          </cell>
        </row>
        <row r="55">
          <cell r="C55">
            <v>456659</v>
          </cell>
        </row>
        <row r="56">
          <cell r="C56">
            <v>24000</v>
          </cell>
        </row>
        <row r="61">
          <cell r="C61">
            <v>8900</v>
          </cell>
        </row>
        <row r="62">
          <cell r="C62">
            <v>29000</v>
          </cell>
        </row>
        <row r="68">
          <cell r="C68">
            <v>7200</v>
          </cell>
        </row>
        <row r="83">
          <cell r="C83">
            <v>3679</v>
          </cell>
        </row>
        <row r="90">
          <cell r="C90">
            <v>990</v>
          </cell>
        </row>
        <row r="100">
          <cell r="C100">
            <v>2200000</v>
          </cell>
        </row>
        <row r="205">
          <cell r="U205" t="e">
            <v>#REF!</v>
          </cell>
        </row>
        <row r="261">
          <cell r="U261" t="e">
            <v>#REF!</v>
          </cell>
        </row>
        <row r="317">
          <cell r="U317" t="e">
            <v>#REF!</v>
          </cell>
        </row>
        <row r="373">
          <cell r="U373" t="e">
            <v>#REF!</v>
          </cell>
        </row>
        <row r="429">
          <cell r="U429" t="e">
            <v>#REF!</v>
          </cell>
        </row>
        <row r="485">
          <cell r="U485" t="e">
            <v>#REF!</v>
          </cell>
        </row>
        <row r="541">
          <cell r="U541" t="e">
            <v>#REF!</v>
          </cell>
        </row>
        <row r="597">
          <cell r="U597">
            <v>28794</v>
          </cell>
        </row>
        <row r="653">
          <cell r="U653" t="e">
            <v>#REF!</v>
          </cell>
        </row>
        <row r="709">
          <cell r="U709" t="e">
            <v>#REF!</v>
          </cell>
        </row>
        <row r="821">
          <cell r="U821" t="e">
            <v>#REF!</v>
          </cell>
        </row>
        <row r="877">
          <cell r="U877" t="e">
            <v>#REF!</v>
          </cell>
        </row>
        <row r="1045">
          <cell r="U1045" t="e">
            <v>#REF!</v>
          </cell>
        </row>
        <row r="1101">
          <cell r="U1101" t="e">
            <v>#REF!</v>
          </cell>
        </row>
        <row r="1157">
          <cell r="U1157" t="e">
            <v>#REF!</v>
          </cell>
        </row>
        <row r="1213">
          <cell r="U1213" t="e">
            <v>#REF!</v>
          </cell>
        </row>
        <row r="1269">
          <cell r="U1269" t="e">
            <v>#REF!</v>
          </cell>
        </row>
        <row r="1325">
          <cell r="U1325" t="e">
            <v>#REF!</v>
          </cell>
        </row>
        <row r="1381">
          <cell r="U1381" t="e">
            <v>#REF!</v>
          </cell>
        </row>
        <row r="1437">
          <cell r="U1437">
            <v>11645</v>
          </cell>
        </row>
        <row r="1493">
          <cell r="U1493">
            <v>45329</v>
          </cell>
        </row>
        <row r="1549">
          <cell r="U1549" t="e">
            <v>#REF!</v>
          </cell>
        </row>
        <row r="1612">
          <cell r="U1612" t="e">
            <v>#REF!</v>
          </cell>
        </row>
      </sheetData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b I"/>
      <sheetName val="Rab II"/>
      <sheetName val="Rab III"/>
      <sheetName val="Rab IV"/>
      <sheetName val="Rekap"/>
      <sheetName val="Analis OK"/>
      <sheetName val="Harga"/>
      <sheetName val="Anl. Jl"/>
      <sheetName val="Hbh. Jl"/>
      <sheetName val="DRUP (ASLI)"/>
      <sheetName val="cover"/>
      <sheetName val="Pengesahan"/>
      <sheetName val="Analis"/>
      <sheetName val="H.bh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 refreshError="1"/>
      <sheetData sheetId="9"/>
      <sheetData sheetId="10"/>
      <sheetData sheetId="11"/>
      <sheetData sheetId="12"/>
      <sheetData sheetId="13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J1Q47"/>
      <sheetName val="TJ1Q43"/>
      <sheetName val="RYQ52"/>
      <sheetName val="RYQ46"/>
      <sheetName val="Sch"/>
      <sheetName val="NP"/>
      <sheetName val="Additional"/>
    </sheetNames>
    <sheetDataSet>
      <sheetData sheetId="0" refreshError="1">
        <row r="7">
          <cell r="B7">
            <v>0</v>
          </cell>
          <cell r="E7">
            <v>1</v>
          </cell>
          <cell r="G7">
            <v>0.60589999999999999</v>
          </cell>
          <cell r="H7">
            <v>28.4773</v>
          </cell>
          <cell r="J7">
            <v>0</v>
          </cell>
          <cell r="L7">
            <v>0</v>
          </cell>
          <cell r="N7">
            <v>0</v>
          </cell>
        </row>
        <row r="8">
          <cell r="E8">
            <v>1</v>
          </cell>
          <cell r="G8">
            <v>0.60589999999999999</v>
          </cell>
          <cell r="H8">
            <v>28.4773</v>
          </cell>
          <cell r="J8">
            <v>66.681720000000013</v>
          </cell>
          <cell r="L8">
            <v>169.20000000000002</v>
          </cell>
          <cell r="N8">
            <v>102.51828</v>
          </cell>
        </row>
        <row r="9">
          <cell r="E9">
            <v>1</v>
          </cell>
          <cell r="G9">
            <v>0.60589999999999999</v>
          </cell>
          <cell r="H9">
            <v>28.4773</v>
          </cell>
          <cell r="J9">
            <v>133.36344000000003</v>
          </cell>
          <cell r="L9">
            <v>338.40000000000003</v>
          </cell>
          <cell r="N9">
            <v>205.03656000000001</v>
          </cell>
        </row>
        <row r="10">
          <cell r="E10">
            <v>1</v>
          </cell>
          <cell r="G10">
            <v>0.60589999999999999</v>
          </cell>
          <cell r="H10">
            <v>28.4773</v>
          </cell>
          <cell r="J10">
            <v>200.04516000000001</v>
          </cell>
          <cell r="L10">
            <v>507.6</v>
          </cell>
          <cell r="N10">
            <v>307.55484000000001</v>
          </cell>
        </row>
        <row r="11">
          <cell r="E11">
            <v>1</v>
          </cell>
          <cell r="G11">
            <v>0.66459999999999997</v>
          </cell>
          <cell r="H11">
            <v>31.2362</v>
          </cell>
          <cell r="J11">
            <v>266.72688000000005</v>
          </cell>
          <cell r="L11">
            <v>676.80000000000007</v>
          </cell>
          <cell r="N11">
            <v>410.07312000000002</v>
          </cell>
        </row>
        <row r="12">
          <cell r="E12">
            <v>1</v>
          </cell>
          <cell r="G12">
            <v>0.78369999999999995</v>
          </cell>
          <cell r="H12">
            <v>36.833900000000007</v>
          </cell>
          <cell r="J12">
            <v>323.47656000000006</v>
          </cell>
          <cell r="L12">
            <v>846.00000000000011</v>
          </cell>
          <cell r="N12">
            <v>522.52344000000005</v>
          </cell>
        </row>
        <row r="13">
          <cell r="E13">
            <v>1</v>
          </cell>
          <cell r="G13">
            <v>1.5189999999999999</v>
          </cell>
          <cell r="H13">
            <v>71.393000000000015</v>
          </cell>
          <cell r="J13">
            <v>360.07452000000012</v>
          </cell>
          <cell r="L13">
            <v>1015.2000000000002</v>
          </cell>
          <cell r="N13">
            <v>655.12548000000004</v>
          </cell>
        </row>
        <row r="14">
          <cell r="E14">
            <v>1</v>
          </cell>
          <cell r="G14">
            <v>1.6028</v>
          </cell>
          <cell r="H14">
            <v>75.331599999999995</v>
          </cell>
          <cell r="J14">
            <v>272.25972000000002</v>
          </cell>
          <cell r="L14">
            <v>1184.4000000000001</v>
          </cell>
          <cell r="N14">
            <v>912.14028000000008</v>
          </cell>
        </row>
        <row r="15">
          <cell r="E15">
            <v>1</v>
          </cell>
          <cell r="G15">
            <v>1.5246</v>
          </cell>
          <cell r="H15">
            <v>71.656199999999998</v>
          </cell>
          <cell r="J15">
            <v>170.26595999999995</v>
          </cell>
          <cell r="L15">
            <v>1353.6000000000001</v>
          </cell>
          <cell r="N15">
            <v>1183.3340400000002</v>
          </cell>
        </row>
        <row r="16">
          <cell r="E16">
            <v>1</v>
          </cell>
          <cell r="G16">
            <v>1.3683000000000001</v>
          </cell>
          <cell r="H16">
            <v>64.310100000000006</v>
          </cell>
          <cell r="J16">
            <v>81.503639999999905</v>
          </cell>
          <cell r="L16">
            <v>1522.8000000000002</v>
          </cell>
          <cell r="N16">
            <v>1441.2963600000003</v>
          </cell>
        </row>
        <row r="17">
          <cell r="E17">
            <v>1</v>
          </cell>
          <cell r="G17">
            <v>1.2119</v>
          </cell>
          <cell r="H17">
            <v>56.959299999999999</v>
          </cell>
          <cell r="J17">
            <v>19.187279999999873</v>
          </cell>
          <cell r="L17">
            <v>1692.0000000000002</v>
          </cell>
          <cell r="N17">
            <v>1672.8127200000004</v>
          </cell>
        </row>
        <row r="18">
          <cell r="E18">
            <v>1</v>
          </cell>
          <cell r="G18">
            <v>1.0946</v>
          </cell>
          <cell r="H18">
            <v>51.446199999999997</v>
          </cell>
          <cell r="J18">
            <v>-16.666200000000117</v>
          </cell>
          <cell r="L18">
            <v>1861.2000000000003</v>
          </cell>
          <cell r="N18">
            <v>1877.8662000000004</v>
          </cell>
        </row>
        <row r="19">
          <cell r="E19">
            <v>1</v>
          </cell>
          <cell r="G19">
            <v>1.0946</v>
          </cell>
          <cell r="H19">
            <v>51.446199999999997</v>
          </cell>
          <cell r="J19">
            <v>-32.672520000000304</v>
          </cell>
          <cell r="L19">
            <v>2030.4000000000003</v>
          </cell>
          <cell r="N19">
            <v>2063.0725200000006</v>
          </cell>
        </row>
        <row r="20">
          <cell r="E20">
            <v>1</v>
          </cell>
          <cell r="G20">
            <v>1.0555000000000001</v>
          </cell>
          <cell r="H20">
            <v>49.608500000000006</v>
          </cell>
          <cell r="J20">
            <v>-48.678840000000491</v>
          </cell>
          <cell r="L20">
            <v>2199.6000000000004</v>
          </cell>
          <cell r="N20">
            <v>2248.2788400000009</v>
          </cell>
        </row>
        <row r="21">
          <cell r="E21">
            <v>1</v>
          </cell>
          <cell r="G21">
            <v>1.036</v>
          </cell>
          <cell r="H21">
            <v>48.692</v>
          </cell>
          <cell r="J21">
            <v>-58.069440000000668</v>
          </cell>
          <cell r="L21">
            <v>2368.8000000000002</v>
          </cell>
          <cell r="N21">
            <v>2426.8694400000008</v>
          </cell>
        </row>
        <row r="22">
          <cell r="E22">
            <v>1</v>
          </cell>
          <cell r="G22">
            <v>1.1728000000000001</v>
          </cell>
          <cell r="H22">
            <v>55.121600000000001</v>
          </cell>
          <cell r="J22">
            <v>-64.160640000000967</v>
          </cell>
          <cell r="L22">
            <v>2538</v>
          </cell>
          <cell r="N22">
            <v>2602.160640000001</v>
          </cell>
        </row>
        <row r="23">
          <cell r="E23">
            <v>1</v>
          </cell>
          <cell r="G23">
            <v>1.2901</v>
          </cell>
          <cell r="H23">
            <v>60.634699999999995</v>
          </cell>
          <cell r="J23">
            <v>-93.398400000000947</v>
          </cell>
          <cell r="L23">
            <v>2707.2</v>
          </cell>
          <cell r="N23">
            <v>2800.5984000000008</v>
          </cell>
        </row>
        <row r="24">
          <cell r="E24">
            <v>1</v>
          </cell>
          <cell r="G24">
            <v>1.2901</v>
          </cell>
          <cell r="H24">
            <v>60.634699999999995</v>
          </cell>
          <cell r="J24">
            <v>-142.48332000000119</v>
          </cell>
          <cell r="L24">
            <v>2876.3999999999996</v>
          </cell>
          <cell r="N24">
            <v>3018.8833200000008</v>
          </cell>
        </row>
        <row r="25">
          <cell r="E25">
            <v>1</v>
          </cell>
          <cell r="G25">
            <v>1.0946</v>
          </cell>
          <cell r="H25">
            <v>51.446199999999997</v>
          </cell>
          <cell r="J25">
            <v>-191.56824000000142</v>
          </cell>
          <cell r="L25">
            <v>3045.5999999999995</v>
          </cell>
          <cell r="N25">
            <v>3237.1682400000009</v>
          </cell>
        </row>
        <row r="26">
          <cell r="E26">
            <v>1</v>
          </cell>
          <cell r="G26">
            <v>0.93820000000000003</v>
          </cell>
          <cell r="H26">
            <v>44.095400000000005</v>
          </cell>
          <cell r="J26">
            <v>-207.57456000000184</v>
          </cell>
          <cell r="L26">
            <v>3214.7999999999993</v>
          </cell>
          <cell r="N26">
            <v>3422.3745600000011</v>
          </cell>
        </row>
        <row r="27">
          <cell r="E27">
            <v>1</v>
          </cell>
          <cell r="G27">
            <v>0.78190000000000004</v>
          </cell>
          <cell r="H27">
            <v>36.749300000000012</v>
          </cell>
          <cell r="J27">
            <v>-197.11800000000221</v>
          </cell>
          <cell r="L27">
            <v>3383.9999999999991</v>
          </cell>
          <cell r="N27">
            <v>3581.1180000000013</v>
          </cell>
        </row>
        <row r="28">
          <cell r="E28">
            <v>1</v>
          </cell>
          <cell r="G28">
            <v>0.74280000000000002</v>
          </cell>
          <cell r="H28">
            <v>34.9116</v>
          </cell>
          <cell r="J28">
            <v>-160.21548000000257</v>
          </cell>
          <cell r="L28">
            <v>3553.1999999999989</v>
          </cell>
          <cell r="N28">
            <v>3713.4154800000015</v>
          </cell>
        </row>
        <row r="29">
          <cell r="E29">
            <v>1</v>
          </cell>
          <cell r="G29">
            <v>0.66459999999999997</v>
          </cell>
          <cell r="H29">
            <v>31.2362</v>
          </cell>
          <cell r="J29">
            <v>-116.69724000000269</v>
          </cell>
          <cell r="L29">
            <v>3722.3999999999987</v>
          </cell>
          <cell r="N29">
            <v>3839.0972400000014</v>
          </cell>
        </row>
        <row r="30">
          <cell r="E30">
            <v>1</v>
          </cell>
          <cell r="G30">
            <v>0.64500000000000002</v>
          </cell>
          <cell r="H30">
            <v>30.314999999999998</v>
          </cell>
          <cell r="J30">
            <v>-59.947560000002795</v>
          </cell>
          <cell r="L30">
            <v>3891.5999999999985</v>
          </cell>
          <cell r="N30">
            <v>3951.5475600000013</v>
          </cell>
        </row>
        <row r="31">
          <cell r="E31">
            <v>1</v>
          </cell>
          <cell r="G31">
            <v>0.60589999999999999</v>
          </cell>
          <cell r="H31">
            <v>28.4773</v>
          </cell>
          <cell r="J31">
            <v>0</v>
          </cell>
          <cell r="L31">
            <v>4060.7999999999984</v>
          </cell>
          <cell r="N31">
            <v>4060.6815600000014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tan"/>
      <sheetName val="Daftar - Isi"/>
      <sheetName val="Hit Vol Str Jambi"/>
      <sheetName val="Hit Vol_PSU"/>
      <sheetName val="Analisa Harga Satuan"/>
      <sheetName val="Harga Satuan"/>
      <sheetName val="R A B"/>
      <sheetName val="&quot;S&quot; Curve"/>
      <sheetName val="Rekapitulasi"/>
      <sheetName val="ana_str"/>
      <sheetName val="Hargamat"/>
      <sheetName val="lab bahasa"/>
      <sheetName val="Cover Daf-2"/>
      <sheetName val="Cover Daf_2"/>
      <sheetName val="HSATUAN"/>
      <sheetName val="bahan"/>
      <sheetName val="Daftar_-_Isi"/>
      <sheetName val="Hit_Vol_Str_Jambi"/>
      <sheetName val="Hit_Vol_PSU"/>
      <sheetName val="Analisa_Harga_Satuan"/>
      <sheetName val="Harga_Satuan"/>
      <sheetName val="R_A_B"/>
      <sheetName val="&quot;S&quot;_Curve"/>
      <sheetName val="harsat"/>
      <sheetName val="satuan_pek_str"/>
      <sheetName val="H.Satuan"/>
      <sheetName val="DAF-3"/>
      <sheetName val="Daf 1"/>
      <sheetName val="ANA-HRG"/>
      <sheetName val="Harsat Upah"/>
      <sheetName val="Perhitungan Besi"/>
      <sheetName val="CH"/>
      <sheetName val="Volume"/>
      <sheetName val="BQ_E20_02_Rp_"/>
      <sheetName val="DAFTAR HARGA"/>
      <sheetName val="FINISHING"/>
      <sheetName val="HB "/>
      <sheetName val="Summary"/>
      <sheetName val="Analisa Harga"/>
      <sheetName val="Alat"/>
      <sheetName val="Analisa Gabungan"/>
      <sheetName val="Sub"/>
      <sheetName val="Grand total"/>
      <sheetName val="Ahs_2"/>
      <sheetName val="Ahs_1"/>
      <sheetName val="ANALISA"/>
      <sheetName val="Traf&amp;Genst"/>
      <sheetName val="AC-2"/>
      <sheetName val="BAG-2"/>
      <sheetName val="Surat"/>
      <sheetName val="Input"/>
      <sheetName val="BASIC"/>
      <sheetName val="DUCTING "/>
      <sheetName val="rab - persiapan &amp; lantai-1"/>
      <sheetName val="Ris_Vol"/>
      <sheetName val="Data"/>
      <sheetName val="2. GLIN POOR PLAT ENTRANCE! "/>
      <sheetName val="HB me"/>
      <sheetName val="Cover"/>
      <sheetName val="Material"/>
      <sheetName val="Peralatan"/>
      <sheetName val="HSD"/>
      <sheetName val="dt-1"/>
      <sheetName val="Analisa Alat Berat"/>
      <sheetName val="FORM X COST"/>
      <sheetName val="Harga"/>
      <sheetName val="Lt 1"/>
      <sheetName val="PEMBESIAN BALOK INDUK!"/>
      <sheetName val="ANALISA BAHAN"/>
      <sheetName val="Harga Sat"/>
      <sheetName val="HSBU ANA"/>
      <sheetName val="Elektrikal"/>
      <sheetName val="PRICE"/>
      <sheetName val="Analisa 2"/>
      <sheetName val="HARGA DASAR"/>
      <sheetName val="BQ-RAPI"/>
      <sheetName val="RAPA"/>
      <sheetName val="plumbing"/>
      <sheetName val="rab 4"/>
      <sheetName val="HRG BHN"/>
      <sheetName val="BAG_2"/>
      <sheetName val="STRUKTUR"/>
      <sheetName val="ARSITEKTUR"/>
      <sheetName val="Trafo"/>
      <sheetName val="Elekt"/>
      <sheetName val="daf-3(OK)"/>
      <sheetName val="daf-7(OK)"/>
    </sheetNames>
    <sheetDataSet>
      <sheetData sheetId="0">
        <row r="1193">
          <cell r="G1193">
            <v>1793077.561275</v>
          </cell>
        </row>
      </sheetData>
      <sheetData sheetId="1" refreshError="1"/>
      <sheetData sheetId="2" refreshError="1"/>
      <sheetData sheetId="3" refreshError="1"/>
      <sheetData sheetId="4" refreshError="1">
        <row r="495">
          <cell r="G495">
            <v>2678146.8564010416</v>
          </cell>
        </row>
        <row r="1193">
          <cell r="G1193">
            <v>1793077.561275</v>
          </cell>
        </row>
        <row r="1269">
          <cell r="G1269">
            <v>54460.4</v>
          </cell>
        </row>
        <row r="1284">
          <cell r="G1284">
            <v>114209</v>
          </cell>
        </row>
        <row r="1299">
          <cell r="G1299">
            <v>146406</v>
          </cell>
        </row>
        <row r="1459">
          <cell r="G1459">
            <v>17643</v>
          </cell>
        </row>
        <row r="1529">
          <cell r="G1529">
            <v>21050.600000000002</v>
          </cell>
        </row>
        <row r="1571">
          <cell r="G1571">
            <v>18924.599999999999</v>
          </cell>
        </row>
        <row r="1655">
          <cell r="G1655">
            <v>40730.5</v>
          </cell>
        </row>
        <row r="1672">
          <cell r="G1672">
            <v>63736.1</v>
          </cell>
        </row>
        <row r="1688">
          <cell r="G1688">
            <v>51661.1</v>
          </cell>
        </row>
        <row r="1720">
          <cell r="G1720">
            <v>52693.5</v>
          </cell>
        </row>
        <row r="1736">
          <cell r="G1736">
            <v>17723.666666666668</v>
          </cell>
        </row>
        <row r="1752">
          <cell r="G1752">
            <v>10835.866666666667</v>
          </cell>
        </row>
        <row r="1769">
          <cell r="G1769">
            <v>172570</v>
          </cell>
        </row>
        <row r="1780">
          <cell r="G1780">
            <v>55607.59</v>
          </cell>
        </row>
        <row r="1792">
          <cell r="G1792">
            <v>470346.804</v>
          </cell>
        </row>
        <row r="1817">
          <cell r="G1817">
            <v>343474.74600000004</v>
          </cell>
        </row>
        <row r="1827">
          <cell r="G1827">
            <v>45020</v>
          </cell>
        </row>
        <row r="1837">
          <cell r="G1837">
            <v>30270</v>
          </cell>
        </row>
        <row r="1847">
          <cell r="G1847">
            <v>21759.8</v>
          </cell>
        </row>
        <row r="1865">
          <cell r="G1865">
            <v>140180</v>
          </cell>
        </row>
        <row r="1878">
          <cell r="G1878">
            <v>1769702.65</v>
          </cell>
        </row>
        <row r="2286">
          <cell r="G2286">
            <v>68972.75</v>
          </cell>
        </row>
        <row r="2321">
          <cell r="G2321">
            <v>1519374.2613045741</v>
          </cell>
        </row>
        <row r="2333">
          <cell r="G2333">
            <v>1464589.0820826639</v>
          </cell>
        </row>
        <row r="2345">
          <cell r="G2345">
            <v>865370.12882594275</v>
          </cell>
        </row>
        <row r="2358">
          <cell r="G2358">
            <v>832254.177734375</v>
          </cell>
        </row>
        <row r="2370">
          <cell r="G2370">
            <v>1042801.316457664</v>
          </cell>
        </row>
        <row r="2382">
          <cell r="G2382">
            <v>1103722.8899999999</v>
          </cell>
        </row>
        <row r="2394">
          <cell r="G2394">
            <v>917231.53704805323</v>
          </cell>
        </row>
        <row r="2406">
          <cell r="G2406">
            <v>751154.56793363718</v>
          </cell>
        </row>
        <row r="2417">
          <cell r="G2417">
            <v>836767.52137500001</v>
          </cell>
        </row>
        <row r="2448">
          <cell r="G2448">
            <v>264307.2671</v>
          </cell>
        </row>
        <row r="2456">
          <cell r="G2456">
            <v>156345.56709999999</v>
          </cell>
        </row>
        <row r="2467">
          <cell r="G2467">
            <v>119675.52825970149</v>
          </cell>
        </row>
        <row r="2490">
          <cell r="G2490">
            <v>155650</v>
          </cell>
        </row>
        <row r="2501">
          <cell r="G2501">
            <v>130254.5</v>
          </cell>
        </row>
        <row r="2522">
          <cell r="G2522">
            <v>3430</v>
          </cell>
        </row>
        <row r="2576">
          <cell r="G2576">
            <v>20162.5</v>
          </cell>
        </row>
        <row r="2596">
          <cell r="G2596">
            <v>77575</v>
          </cell>
        </row>
        <row r="2627">
          <cell r="G2627">
            <v>87090</v>
          </cell>
        </row>
        <row r="2637">
          <cell r="G2637">
            <v>55030</v>
          </cell>
        </row>
        <row r="2647">
          <cell r="G2647">
            <v>26863</v>
          </cell>
        </row>
        <row r="2673">
          <cell r="G2673">
            <v>15639.083333333334</v>
          </cell>
        </row>
        <row r="2699">
          <cell r="G2699">
            <v>25296.297500000001</v>
          </cell>
        </row>
        <row r="2712">
          <cell r="G2712">
            <v>23933.797500000001</v>
          </cell>
        </row>
        <row r="2725">
          <cell r="G2725">
            <v>32565.297500000001</v>
          </cell>
        </row>
      </sheetData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UP (ASLI)"/>
      <sheetName val="Analisis"/>
      <sheetName val="rab oke"/>
      <sheetName val="Rekap"/>
      <sheetName val="schedul"/>
      <sheetName val="Harga bahan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L-K"/>
      <sheetName val="B. Opr Alat"/>
      <sheetName val="Bahan +angkut muat"/>
      <sheetName val="Angkut"/>
      <sheetName val="STRUKTUR (3)"/>
      <sheetName val="UPAD-BAHAN-ALAT (3)"/>
      <sheetName val="REKAPITULASI ANALISA"/>
      <sheetName val="STRUKTUR"/>
      <sheetName val="Terminal bus AKAP"/>
      <sheetName val="sky cross"/>
      <sheetName val=" mpu amplas"/>
      <sheetName val="ANL-SNI"/>
      <sheetName val="PEMADATAN"/>
      <sheetName val="cut and fill"/>
      <sheetName val="UPAD-BAHAN-ALAT"/>
      <sheetName val="ANL-EI"/>
      <sheetName val="BETON COR SNI 350"/>
      <sheetName val="BETON COR SNI 325"/>
      <sheetName val="BETON COR SNI 300"/>
      <sheetName val="BETON COR SNI 275"/>
      <sheetName val="BETON COR SNI 250"/>
      <sheetName val="BETON COR SNI 225"/>
      <sheetName val="BETON COR SNI 200"/>
      <sheetName val="BETON COR SNI 175"/>
      <sheetName val="BETON COR SNI 150"/>
      <sheetName val="BETON COR SNI 125"/>
      <sheetName val="BETON COR SNI 100"/>
      <sheetName val="Sheet1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itulasi"/>
      <sheetName val="RAB"/>
      <sheetName val="Analisa"/>
      <sheetName val="Bahan"/>
      <sheetName val="Upah"/>
      <sheetName val="Quary"/>
    </sheetNames>
    <sheetDataSet>
      <sheetData sheetId="0"/>
      <sheetData sheetId="1"/>
      <sheetData sheetId="2"/>
      <sheetData sheetId="3" refreshError="1">
        <row r="17">
          <cell r="M17">
            <v>212583.85834535834</v>
          </cell>
        </row>
        <row r="18">
          <cell r="M18">
            <v>208583.85834535834</v>
          </cell>
        </row>
        <row r="46">
          <cell r="M46">
            <v>22000</v>
          </cell>
        </row>
        <row r="47">
          <cell r="M47">
            <v>5488432</v>
          </cell>
        </row>
        <row r="48">
          <cell r="M48">
            <v>5450000</v>
          </cell>
        </row>
        <row r="52">
          <cell r="M52">
            <v>2267360</v>
          </cell>
        </row>
        <row r="53">
          <cell r="M53">
            <v>2715</v>
          </cell>
        </row>
        <row r="54">
          <cell r="M54">
            <v>2175</v>
          </cell>
        </row>
        <row r="55">
          <cell r="M55">
            <v>2715</v>
          </cell>
        </row>
        <row r="56">
          <cell r="M56">
            <v>4392.4392439243929</v>
          </cell>
        </row>
        <row r="57">
          <cell r="M57">
            <v>11200</v>
          </cell>
        </row>
        <row r="74">
          <cell r="M74">
            <v>16300</v>
          </cell>
        </row>
        <row r="75">
          <cell r="M75">
            <v>48800</v>
          </cell>
        </row>
        <row r="79">
          <cell r="M79">
            <v>100400</v>
          </cell>
        </row>
        <row r="85">
          <cell r="M85">
            <v>72400</v>
          </cell>
        </row>
        <row r="87">
          <cell r="M87">
            <v>12800</v>
          </cell>
        </row>
        <row r="90">
          <cell r="M90">
            <v>99400</v>
          </cell>
        </row>
        <row r="91">
          <cell r="M91">
            <v>22250</v>
          </cell>
        </row>
        <row r="95">
          <cell r="M95">
            <v>3650</v>
          </cell>
        </row>
      </sheetData>
      <sheetData sheetId="4"/>
      <sheetData sheetId="5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Volume"/>
      <sheetName val="RIN"/>
      <sheetName val="Cover RAB"/>
      <sheetName val="Analisa"/>
      <sheetName val="Rekap"/>
      <sheetName val="RAB "/>
      <sheetName val="sni"/>
      <sheetName val="U&amp;B"/>
    </sheetNames>
    <sheetDataSet>
      <sheetData sheetId="0">
        <row r="2">
          <cell r="E2" t="str">
            <v>KEMENTERIAN KELAUTAN DAN PERIKANAN</v>
          </cell>
        </row>
        <row r="6">
          <cell r="A6" t="str">
            <v>KEGIATAN</v>
          </cell>
          <cell r="E6" t="str">
            <v>-</v>
          </cell>
        </row>
        <row r="8">
          <cell r="A8" t="str">
            <v>PEKERJAAN</v>
          </cell>
          <cell r="E8" t="str">
            <v>PEMBANGUNAN RUMAH DINAS</v>
          </cell>
        </row>
        <row r="10">
          <cell r="E10" t="str">
            <v>MEDAN</v>
          </cell>
        </row>
        <row r="14">
          <cell r="E14">
            <v>354708000</v>
          </cell>
        </row>
        <row r="18">
          <cell r="E18" t="str">
            <v>CV. ARISPA UTAMA</v>
          </cell>
        </row>
        <row r="22">
          <cell r="E22" t="str">
            <v xml:space="preserve">Direktur </v>
          </cell>
        </row>
        <row r="26">
          <cell r="E26" t="str">
            <v>Tenaga Ahli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/>
      <sheetData sheetId="8">
        <row r="15">
          <cell r="L15">
            <v>0</v>
          </cell>
        </row>
        <row r="17">
          <cell r="L17">
            <v>0</v>
          </cell>
        </row>
        <row r="18">
          <cell r="L18">
            <v>0</v>
          </cell>
        </row>
      </sheetData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Q"/>
      <sheetName val="BQ (2)"/>
      <sheetName val="UP"/>
      <sheetName val="BREAK ALAT"/>
      <sheetName val="PE"/>
      <sheetName val="E-F"/>
      <sheetName val="WC1"/>
    </sheetNames>
    <sheetDataSet>
      <sheetData sheetId="0">
        <row r="13">
          <cell r="B13" t="str">
            <v>A</v>
          </cell>
          <cell r="E13" t="str">
            <v>GENERAL</v>
          </cell>
        </row>
        <row r="14">
          <cell r="B14" t="str">
            <v>A1</v>
          </cell>
          <cell r="E14" t="str">
            <v>MOBILIZATION and DEMOBILIZATION</v>
          </cell>
          <cell r="F14" t="str">
            <v>ls</v>
          </cell>
          <cell r="G14">
            <v>1</v>
          </cell>
          <cell r="H14">
            <v>169855758</v>
          </cell>
          <cell r="I14">
            <v>169855758</v>
          </cell>
          <cell r="J14" t="str">
            <v>GS.6.03</v>
          </cell>
        </row>
        <row r="15">
          <cell r="B15" t="str">
            <v>A2</v>
          </cell>
          <cell r="E15" t="str">
            <v>ESTABLISTMENT (')</v>
          </cell>
          <cell r="F15" t="str">
            <v>ls</v>
          </cell>
          <cell r="G15">
            <v>1</v>
          </cell>
          <cell r="H15">
            <v>3152995400</v>
          </cell>
          <cell r="I15">
            <v>3152995400</v>
          </cell>
          <cell r="J15" t="str">
            <v>GS.7.02</v>
          </cell>
        </row>
        <row r="16">
          <cell r="B16" t="str">
            <v>A3</v>
          </cell>
          <cell r="E16" t="str">
            <v>RELOCATION of EXISTING FACILITIES</v>
          </cell>
          <cell r="F16" t="str">
            <v>ls</v>
          </cell>
          <cell r="G16">
            <v>1</v>
          </cell>
          <cell r="H16">
            <v>13322020</v>
          </cell>
          <cell r="I16">
            <v>13322020</v>
          </cell>
          <cell r="J16" t="str">
            <v>GS.14.04</v>
          </cell>
        </row>
        <row r="17">
          <cell r="B17" t="str">
            <v>A4</v>
          </cell>
          <cell r="E17" t="str">
            <v>GEOLOGICAL INVESTIGATION</v>
          </cell>
        </row>
        <row r="18">
          <cell r="B18" t="str">
            <v>A4.1</v>
          </cell>
          <cell r="E18" t="str">
            <v>Hand Auger</v>
          </cell>
          <cell r="F18" t="str">
            <v>m</v>
          </cell>
          <cell r="G18">
            <v>130</v>
          </cell>
          <cell r="H18">
            <v>159864</v>
          </cell>
          <cell r="I18">
            <v>20782320</v>
          </cell>
          <cell r="J18" t="str">
            <v>GS.9.06</v>
          </cell>
        </row>
        <row r="19">
          <cell r="B19" t="str">
            <v>A4.2</v>
          </cell>
          <cell r="E19" t="str">
            <v>Mechanical Boring</v>
          </cell>
          <cell r="F19" t="str">
            <v>m</v>
          </cell>
          <cell r="G19">
            <v>400</v>
          </cell>
          <cell r="H19">
            <v>266440</v>
          </cell>
          <cell r="I19">
            <v>106576000</v>
          </cell>
          <cell r="J19" t="str">
            <v>GS.9.06</v>
          </cell>
        </row>
        <row r="20">
          <cell r="B20" t="str">
            <v>A4.3</v>
          </cell>
          <cell r="E20" t="str">
            <v>Exploratory Excavation</v>
          </cell>
          <cell r="F20" t="str">
            <v>m³</v>
          </cell>
          <cell r="G20">
            <v>800</v>
          </cell>
          <cell r="H20">
            <v>42791</v>
          </cell>
          <cell r="I20">
            <v>34232800</v>
          </cell>
          <cell r="J20" t="str">
            <v>GS.9.06</v>
          </cell>
        </row>
        <row r="22">
          <cell r="B22" t="str">
            <v>B</v>
          </cell>
          <cell r="E22" t="str">
            <v>CHANNEL and DIKE WORKS</v>
          </cell>
        </row>
        <row r="23">
          <cell r="B23" t="str">
            <v>B1</v>
          </cell>
          <cell r="E23" t="str">
            <v>PREPARATION WORKS</v>
          </cell>
        </row>
        <row r="24">
          <cell r="B24" t="str">
            <v>B1.1</v>
          </cell>
          <cell r="E24" t="str">
            <v>Clearing and Grubbing</v>
          </cell>
          <cell r="F24" t="str">
            <v>m²</v>
          </cell>
          <cell r="G24">
            <v>528000</v>
          </cell>
          <cell r="H24">
            <v>4019</v>
          </cell>
          <cell r="I24">
            <v>2122032000</v>
          </cell>
          <cell r="J24" t="str">
            <v>TS.2.10</v>
          </cell>
        </row>
        <row r="25">
          <cell r="B25" t="str">
            <v>B2</v>
          </cell>
          <cell r="E25" t="str">
            <v xml:space="preserve">CHANNEL EXCAVATION </v>
          </cell>
        </row>
        <row r="26">
          <cell r="B26" t="str">
            <v>B2.1</v>
          </cell>
          <cell r="E26" t="str">
            <v>Excavation (river channel)</v>
          </cell>
          <cell r="F26" t="str">
            <v>m³</v>
          </cell>
          <cell r="G26">
            <v>166200</v>
          </cell>
          <cell r="H26">
            <v>30448</v>
          </cell>
          <cell r="I26">
            <v>5060457600</v>
          </cell>
          <cell r="J26" t="str">
            <v>TS.2.10</v>
          </cell>
        </row>
        <row r="28">
          <cell r="B28" t="str">
            <v>B2.2</v>
          </cell>
          <cell r="E28" t="str">
            <v>Excavation (common)</v>
          </cell>
          <cell r="F28" t="str">
            <v>m³</v>
          </cell>
          <cell r="G28">
            <v>340900</v>
          </cell>
          <cell r="H28">
            <v>15679</v>
          </cell>
          <cell r="I28">
            <v>5344971100</v>
          </cell>
          <cell r="J28" t="str">
            <v>TS.2.10</v>
          </cell>
        </row>
        <row r="30">
          <cell r="B30" t="str">
            <v>B3</v>
          </cell>
          <cell r="E30" t="str">
            <v>EARTH DIKE WORKS</v>
          </cell>
        </row>
        <row r="31">
          <cell r="B31" t="str">
            <v>B3.1</v>
          </cell>
          <cell r="E31" t="str">
            <v>Stripping of top soil</v>
          </cell>
          <cell r="F31" t="str">
            <v>m³</v>
          </cell>
          <cell r="G31">
            <v>61000</v>
          </cell>
          <cell r="H31">
            <v>21302</v>
          </cell>
          <cell r="I31">
            <v>1299422000</v>
          </cell>
          <cell r="J31" t="str">
            <v>TS.2.10</v>
          </cell>
        </row>
        <row r="32">
          <cell r="B32" t="str">
            <v>B3.2</v>
          </cell>
          <cell r="E32" t="str">
            <v>Embankment</v>
          </cell>
          <cell r="F32" t="str">
            <v>m³</v>
          </cell>
          <cell r="G32">
            <v>338000</v>
          </cell>
          <cell r="H32">
            <v>5574</v>
          </cell>
          <cell r="I32">
            <v>1884012000</v>
          </cell>
          <cell r="J32" t="str">
            <v>TS.2.10</v>
          </cell>
        </row>
        <row r="34">
          <cell r="B34" t="str">
            <v>B3.3</v>
          </cell>
          <cell r="E34" t="str">
            <v>Gravel pavement, 200 mm thick</v>
          </cell>
          <cell r="F34" t="str">
            <v>m³</v>
          </cell>
          <cell r="G34">
            <v>9430</v>
          </cell>
          <cell r="H34">
            <v>77757</v>
          </cell>
          <cell r="I34">
            <v>733248510</v>
          </cell>
          <cell r="J34" t="str">
            <v>TS.7.09</v>
          </cell>
        </row>
        <row r="35">
          <cell r="B35" t="str">
            <v>B3.4</v>
          </cell>
          <cell r="E35" t="str">
            <v>Maintenance marker post</v>
          </cell>
          <cell r="F35" t="str">
            <v>nos</v>
          </cell>
          <cell r="G35">
            <v>100</v>
          </cell>
          <cell r="H35">
            <v>165804</v>
          </cell>
          <cell r="I35">
            <v>16580400</v>
          </cell>
          <cell r="J35" t="str">
            <v>TS.12.10</v>
          </cell>
        </row>
        <row r="37">
          <cell r="B37" t="str">
            <v>B4-B5</v>
          </cell>
          <cell r="E37" t="str">
            <v>(Not Applicable)</v>
          </cell>
        </row>
        <row r="39">
          <cell r="B39" t="str">
            <v>B6</v>
          </cell>
          <cell r="E39" t="str">
            <v>FILLING ON RIVER BANK</v>
          </cell>
        </row>
        <row r="40">
          <cell r="B40" t="str">
            <v>B6.1</v>
          </cell>
          <cell r="E40" t="str">
            <v>Soil filling</v>
          </cell>
          <cell r="F40" t="str">
            <v>m³</v>
          </cell>
          <cell r="G40">
            <v>8100</v>
          </cell>
          <cell r="H40">
            <v>5574</v>
          </cell>
          <cell r="I40">
            <v>45149400</v>
          </cell>
          <cell r="J40" t="str">
            <v>TS.2.10</v>
          </cell>
        </row>
        <row r="42">
          <cell r="B42" t="str">
            <v>C</v>
          </cell>
          <cell r="E42" t="str">
            <v xml:space="preserve">SLOPE and RIVERBED PROTECTION WORKS </v>
          </cell>
        </row>
        <row r="43">
          <cell r="B43" t="str">
            <v>C1</v>
          </cell>
          <cell r="E43" t="str">
            <v>PREPARATION WORKS</v>
          </cell>
        </row>
        <row r="44">
          <cell r="B44" t="str">
            <v>C1.1</v>
          </cell>
          <cell r="E44" t="str">
            <v>Coffering and dewatering</v>
          </cell>
          <cell r="F44" t="str">
            <v>ls</v>
          </cell>
          <cell r="G44">
            <v>1</v>
          </cell>
          <cell r="H44">
            <v>59146369</v>
          </cell>
          <cell r="I44">
            <v>59146369</v>
          </cell>
          <cell r="J44" t="str">
            <v>TS.1.04</v>
          </cell>
        </row>
        <row r="45">
          <cell r="B45" t="str">
            <v>C2</v>
          </cell>
          <cell r="E45" t="str">
            <v>SODDING and DIKE</v>
          </cell>
        </row>
        <row r="46">
          <cell r="B46" t="str">
            <v>C2.1</v>
          </cell>
          <cell r="E46" t="str">
            <v>Solid sodding</v>
          </cell>
          <cell r="F46" t="str">
            <v>m²</v>
          </cell>
          <cell r="G46">
            <v>175400</v>
          </cell>
          <cell r="H46">
            <v>6139</v>
          </cell>
          <cell r="I46">
            <v>1076780600</v>
          </cell>
          <cell r="J46" t="str">
            <v>TS.4.14</v>
          </cell>
        </row>
        <row r="47">
          <cell r="B47" t="str">
            <v>C3</v>
          </cell>
          <cell r="E47" t="str">
            <v>REVETMENT - WET STONE MASONRY TYPE (Type-PA and PB)</v>
          </cell>
        </row>
        <row r="48">
          <cell r="B48" t="str">
            <v>C3.1</v>
          </cell>
          <cell r="E48" t="str">
            <v>Excavation (common)</v>
          </cell>
          <cell r="F48" t="str">
            <v>m³</v>
          </cell>
          <cell r="G48">
            <v>7220</v>
          </cell>
          <cell r="H48">
            <v>6921</v>
          </cell>
          <cell r="I48">
            <v>49969620</v>
          </cell>
          <cell r="J48" t="str">
            <v>TS.2.10</v>
          </cell>
        </row>
        <row r="49">
          <cell r="B49" t="str">
            <v>C3.2</v>
          </cell>
          <cell r="E49" t="str">
            <v>Backfill with selected soil</v>
          </cell>
          <cell r="F49" t="str">
            <v>m³</v>
          </cell>
          <cell r="G49">
            <v>110</v>
          </cell>
          <cell r="H49">
            <v>5530</v>
          </cell>
          <cell r="I49">
            <v>608300</v>
          </cell>
          <cell r="J49" t="str">
            <v>TS.2.10</v>
          </cell>
        </row>
        <row r="50">
          <cell r="B50" t="str">
            <v>C3.3</v>
          </cell>
          <cell r="E50" t="str">
            <v>Crusher run bedding</v>
          </cell>
          <cell r="F50" t="str">
            <v>m³</v>
          </cell>
          <cell r="G50">
            <v>2670</v>
          </cell>
          <cell r="H50">
            <v>128530</v>
          </cell>
          <cell r="I50">
            <v>343175100</v>
          </cell>
          <cell r="J50" t="str">
            <v>TS.4.14</v>
          </cell>
        </row>
        <row r="51">
          <cell r="B51" t="str">
            <v>C3.4</v>
          </cell>
          <cell r="E51" t="str">
            <v>Wet stone masonry (1:4) for revetment</v>
          </cell>
          <cell r="F51" t="str">
            <v>m³</v>
          </cell>
          <cell r="G51">
            <v>2680</v>
          </cell>
          <cell r="H51">
            <v>163909</v>
          </cell>
          <cell r="I51">
            <v>439276120</v>
          </cell>
          <cell r="J51" t="str">
            <v>TS.4.14</v>
          </cell>
        </row>
        <row r="52">
          <cell r="B52" t="str">
            <v>C3.5</v>
          </cell>
          <cell r="E52" t="str">
            <v>Cement mortar plastering</v>
          </cell>
          <cell r="F52" t="str">
            <v>m²</v>
          </cell>
          <cell r="G52">
            <v>6330</v>
          </cell>
          <cell r="H52">
            <v>12274</v>
          </cell>
          <cell r="I52">
            <v>77694420</v>
          </cell>
          <cell r="J52" t="str">
            <v>TS.4.14</v>
          </cell>
        </row>
        <row r="53">
          <cell r="B53" t="str">
            <v>C3.6</v>
          </cell>
          <cell r="E53" t="str">
            <v>Concrete, type C1</v>
          </cell>
          <cell r="F53" t="str">
            <v>m³</v>
          </cell>
          <cell r="G53">
            <v>650</v>
          </cell>
          <cell r="H53">
            <v>310964</v>
          </cell>
          <cell r="I53">
            <v>202126600</v>
          </cell>
          <cell r="J53" t="str">
            <v>TS.3.24</v>
          </cell>
        </row>
        <row r="54">
          <cell r="B54" t="str">
            <v>C3.7</v>
          </cell>
          <cell r="E54" t="str">
            <v>Reinforcing steel bar</v>
          </cell>
          <cell r="F54" t="str">
            <v>kg</v>
          </cell>
          <cell r="G54">
            <v>39100</v>
          </cell>
          <cell r="H54">
            <v>3554</v>
          </cell>
          <cell r="I54">
            <v>138961400</v>
          </cell>
          <cell r="J54" t="str">
            <v>TS.3.24</v>
          </cell>
        </row>
        <row r="55">
          <cell r="B55" t="str">
            <v>C3.8</v>
          </cell>
          <cell r="E55" t="str">
            <v>Form work FW1</v>
          </cell>
          <cell r="F55" t="str">
            <v>m²</v>
          </cell>
          <cell r="G55">
            <v>4200</v>
          </cell>
          <cell r="H55">
            <v>70833</v>
          </cell>
          <cell r="I55">
            <v>297498600</v>
          </cell>
          <cell r="J55" t="str">
            <v>TS.3.24</v>
          </cell>
        </row>
        <row r="56">
          <cell r="B56" t="str">
            <v>C3.9</v>
          </cell>
          <cell r="E56" t="str">
            <v>Log pile, dia. 150 mm L = 3.0 m and 2.0 m</v>
          </cell>
          <cell r="F56" t="str">
            <v>m</v>
          </cell>
          <cell r="G56">
            <v>1330</v>
          </cell>
          <cell r="H56">
            <v>7918</v>
          </cell>
          <cell r="I56">
            <v>10530940</v>
          </cell>
          <cell r="J56" t="str">
            <v>TS.5.07</v>
          </cell>
        </row>
        <row r="57">
          <cell r="B57" t="str">
            <v>C3.10</v>
          </cell>
          <cell r="E57" t="str">
            <v>Elastic joint filler, 10 mm thick</v>
          </cell>
          <cell r="F57" t="str">
            <v>m²</v>
          </cell>
          <cell r="G57">
            <v>420</v>
          </cell>
          <cell r="H57">
            <v>107210</v>
          </cell>
          <cell r="I57">
            <v>45028200</v>
          </cell>
          <cell r="J57" t="str">
            <v>TS.3.24</v>
          </cell>
        </row>
        <row r="58">
          <cell r="B58" t="str">
            <v>C3.11</v>
          </cell>
          <cell r="E58" t="str">
            <v>Gabion cylinder</v>
          </cell>
          <cell r="F58" t="str">
            <v>m³</v>
          </cell>
          <cell r="G58">
            <v>390</v>
          </cell>
          <cell r="H58">
            <v>200326</v>
          </cell>
          <cell r="I58">
            <v>78127140</v>
          </cell>
          <cell r="J58" t="str">
            <v>TS.4.14</v>
          </cell>
        </row>
        <row r="59">
          <cell r="B59" t="str">
            <v>C3.12</v>
          </cell>
          <cell r="E59" t="str">
            <v>Cobble stone filling</v>
          </cell>
          <cell r="F59" t="str">
            <v>m³</v>
          </cell>
          <cell r="G59">
            <v>100</v>
          </cell>
          <cell r="H59">
            <v>57655</v>
          </cell>
          <cell r="I59">
            <v>5765500</v>
          </cell>
          <cell r="J59" t="str">
            <v>TS.4.14</v>
          </cell>
        </row>
        <row r="60">
          <cell r="B60" t="str">
            <v>C4</v>
          </cell>
          <cell r="E60" t="str">
            <v>GABION TYPE FOOT PROTECTION</v>
          </cell>
        </row>
        <row r="61">
          <cell r="B61" t="str">
            <v>C4.1</v>
          </cell>
          <cell r="E61" t="str">
            <v>Cobble stone filling</v>
          </cell>
          <cell r="F61" t="str">
            <v>m³</v>
          </cell>
          <cell r="G61">
            <v>120</v>
          </cell>
          <cell r="H61">
            <v>57655</v>
          </cell>
          <cell r="I61">
            <v>6918600</v>
          </cell>
          <cell r="J61" t="str">
            <v>TS.4.14</v>
          </cell>
        </row>
        <row r="62">
          <cell r="B62" t="str">
            <v>C4.2</v>
          </cell>
          <cell r="E62" t="str">
            <v>Gabion mattress</v>
          </cell>
          <cell r="F62" t="str">
            <v>m³</v>
          </cell>
          <cell r="G62">
            <v>820</v>
          </cell>
          <cell r="H62">
            <v>283607</v>
          </cell>
          <cell r="I62">
            <v>232557740</v>
          </cell>
          <cell r="J62" t="str">
            <v>TS.4.14</v>
          </cell>
        </row>
        <row r="63">
          <cell r="B63" t="str">
            <v>C5</v>
          </cell>
          <cell r="E63" t="str">
            <v>REVETMENT - GABION CYLINDER TYPE</v>
          </cell>
        </row>
        <row r="64">
          <cell r="B64" t="str">
            <v>C5.1</v>
          </cell>
          <cell r="E64" t="str">
            <v>Excavation (common)</v>
          </cell>
          <cell r="F64" t="str">
            <v>m³</v>
          </cell>
          <cell r="G64">
            <v>340</v>
          </cell>
          <cell r="H64">
            <v>6921</v>
          </cell>
          <cell r="I64">
            <v>2353140</v>
          </cell>
          <cell r="J64" t="str">
            <v>TS.2.10</v>
          </cell>
        </row>
        <row r="65">
          <cell r="B65" t="str">
            <v>C5.2</v>
          </cell>
          <cell r="E65" t="str">
            <v>Gabion cylinder</v>
          </cell>
          <cell r="F65" t="str">
            <v>m³</v>
          </cell>
          <cell r="G65">
            <v>3010</v>
          </cell>
          <cell r="H65">
            <v>200326</v>
          </cell>
          <cell r="I65">
            <v>602981260</v>
          </cell>
          <cell r="J65" t="str">
            <v>TS.4.14</v>
          </cell>
        </row>
        <row r="66">
          <cell r="B66" t="str">
            <v>C5.3</v>
          </cell>
          <cell r="E66" t="str">
            <v>Cobble stone filling</v>
          </cell>
          <cell r="F66" t="str">
            <v>m³</v>
          </cell>
          <cell r="G66">
            <v>140</v>
          </cell>
          <cell r="H66">
            <v>57655</v>
          </cell>
          <cell r="I66">
            <v>8071700</v>
          </cell>
          <cell r="J66" t="str">
            <v>TS.4.14</v>
          </cell>
        </row>
        <row r="67">
          <cell r="B67" t="str">
            <v>C5.4</v>
          </cell>
          <cell r="E67" t="str">
            <v>Log piles, dia. 150 mm, L =  2.0 m</v>
          </cell>
          <cell r="F67" t="str">
            <v>m</v>
          </cell>
          <cell r="G67">
            <v>2280</v>
          </cell>
          <cell r="H67">
            <v>7918</v>
          </cell>
          <cell r="I67">
            <v>18053040</v>
          </cell>
          <cell r="J67" t="str">
            <v>TS.5.07</v>
          </cell>
        </row>
        <row r="68">
          <cell r="B68" t="str">
            <v>C5.5</v>
          </cell>
          <cell r="E68" t="str">
            <v>Palm fiber filter</v>
          </cell>
          <cell r="F68" t="str">
            <v>m²</v>
          </cell>
          <cell r="G68">
            <v>5430</v>
          </cell>
          <cell r="H68">
            <v>1086</v>
          </cell>
          <cell r="I68">
            <v>5896980</v>
          </cell>
          <cell r="J68" t="str">
            <v>TS.4.14</v>
          </cell>
        </row>
        <row r="70">
          <cell r="B70" t="str">
            <v>C6 - C13</v>
          </cell>
          <cell r="E70" t="str">
            <v>(Not Applicable)</v>
          </cell>
        </row>
        <row r="72">
          <cell r="B72" t="str">
            <v>D</v>
          </cell>
          <cell r="E72" t="str">
            <v>RIPARIAN STRUCTURES</v>
          </cell>
        </row>
        <row r="73">
          <cell r="B73" t="str">
            <v>D1</v>
          </cell>
          <cell r="E73" t="str">
            <v>PREPARATION WORKS for REPARIAN STRUCTURES</v>
          </cell>
        </row>
        <row r="74">
          <cell r="B74" t="str">
            <v>D1.1</v>
          </cell>
          <cell r="E74" t="str">
            <v>Coffering and dewatering</v>
          </cell>
          <cell r="F74" t="str">
            <v>ls</v>
          </cell>
          <cell r="G74">
            <v>1</v>
          </cell>
          <cell r="H74">
            <v>116922339</v>
          </cell>
          <cell r="I74">
            <v>116922339</v>
          </cell>
          <cell r="J74" t="str">
            <v>TS.1.04</v>
          </cell>
        </row>
        <row r="75">
          <cell r="B75" t="str">
            <v>D1.2</v>
          </cell>
          <cell r="E75" t="str">
            <v>Clearing and grubbing</v>
          </cell>
          <cell r="F75" t="str">
            <v>m²</v>
          </cell>
          <cell r="G75">
            <v>550</v>
          </cell>
          <cell r="H75">
            <v>4019</v>
          </cell>
          <cell r="I75">
            <v>2210450</v>
          </cell>
          <cell r="J75" t="str">
            <v>TS.2.10</v>
          </cell>
        </row>
        <row r="76">
          <cell r="B76" t="str">
            <v>D2</v>
          </cell>
          <cell r="E76" t="str">
            <v>GROUND SILL (PE55+00)</v>
          </cell>
        </row>
        <row r="77">
          <cell r="B77" t="str">
            <v>D2.1</v>
          </cell>
          <cell r="E77" t="str">
            <v>Excavation (common)</v>
          </cell>
          <cell r="F77" t="str">
            <v>m³</v>
          </cell>
          <cell r="G77">
            <v>450</v>
          </cell>
          <cell r="H77">
            <v>6921</v>
          </cell>
          <cell r="I77">
            <v>3114450</v>
          </cell>
          <cell r="J77" t="str">
            <v>TS.2.10</v>
          </cell>
        </row>
        <row r="78">
          <cell r="B78" t="str">
            <v>D2.2</v>
          </cell>
          <cell r="E78" t="str">
            <v>Backfill with selected soil</v>
          </cell>
          <cell r="F78" t="str">
            <v>m³</v>
          </cell>
          <cell r="G78">
            <v>80</v>
          </cell>
          <cell r="H78">
            <v>5530</v>
          </cell>
          <cell r="I78">
            <v>442400</v>
          </cell>
          <cell r="J78" t="str">
            <v>TS.2.10</v>
          </cell>
        </row>
        <row r="79">
          <cell r="B79" t="str">
            <v>D2.3</v>
          </cell>
          <cell r="E79" t="str">
            <v>Supply and driving of steel sheet piles, type II</v>
          </cell>
          <cell r="F79" t="str">
            <v>m²</v>
          </cell>
          <cell r="G79">
            <v>130</v>
          </cell>
          <cell r="H79">
            <v>759138</v>
          </cell>
          <cell r="I79">
            <v>98687940</v>
          </cell>
          <cell r="J79" t="str">
            <v>TS.5.07</v>
          </cell>
        </row>
        <row r="80">
          <cell r="B80" t="str">
            <v>D2.4</v>
          </cell>
          <cell r="E80" t="str">
            <v>Supply and driving of PC  piles, dia. 300 mm type A</v>
          </cell>
          <cell r="F80" t="str">
            <v>m</v>
          </cell>
          <cell r="G80">
            <v>320</v>
          </cell>
          <cell r="H80">
            <v>143685</v>
          </cell>
          <cell r="I80">
            <v>45979200</v>
          </cell>
          <cell r="J80" t="str">
            <v>TS.5.07</v>
          </cell>
        </row>
        <row r="81">
          <cell r="B81" t="str">
            <v>D2.5</v>
          </cell>
          <cell r="E81" t="str">
            <v>Concrete, type C1</v>
          </cell>
          <cell r="F81" t="str">
            <v>m³</v>
          </cell>
          <cell r="G81">
            <v>100</v>
          </cell>
          <cell r="H81">
            <v>313783</v>
          </cell>
          <cell r="I81">
            <v>31378300</v>
          </cell>
          <cell r="J81" t="str">
            <v>TS.3.24</v>
          </cell>
        </row>
        <row r="82">
          <cell r="B82" t="str">
            <v>D2.6</v>
          </cell>
          <cell r="E82" t="str">
            <v>Concrete, type E</v>
          </cell>
          <cell r="F82" t="str">
            <v>m³</v>
          </cell>
          <cell r="G82">
            <v>18</v>
          </cell>
          <cell r="H82">
            <v>291125</v>
          </cell>
          <cell r="I82">
            <v>5240250</v>
          </cell>
          <cell r="J82" t="str">
            <v>TS.3.24</v>
          </cell>
        </row>
        <row r="83">
          <cell r="B83" t="str">
            <v>D2.7</v>
          </cell>
          <cell r="E83" t="str">
            <v>Form work FW1</v>
          </cell>
          <cell r="F83" t="str">
            <v>m²</v>
          </cell>
          <cell r="G83">
            <v>79</v>
          </cell>
          <cell r="H83">
            <v>70833</v>
          </cell>
          <cell r="I83">
            <v>5595807</v>
          </cell>
          <cell r="J83" t="str">
            <v>TS.3.24</v>
          </cell>
        </row>
        <row r="84">
          <cell r="B84" t="str">
            <v>D2.8</v>
          </cell>
          <cell r="E84" t="str">
            <v>Reinforcing steel bar</v>
          </cell>
          <cell r="F84" t="str">
            <v>kg</v>
          </cell>
          <cell r="G84">
            <v>92</v>
          </cell>
          <cell r="H84">
            <v>3554</v>
          </cell>
          <cell r="I84">
            <v>326968</v>
          </cell>
          <cell r="J84" t="str">
            <v>TS.3.24</v>
          </cell>
        </row>
        <row r="85">
          <cell r="B85" t="str">
            <v>D2.9</v>
          </cell>
          <cell r="E85" t="str">
            <v>Gabion mattress</v>
          </cell>
          <cell r="F85" t="str">
            <v>m³</v>
          </cell>
          <cell r="G85">
            <v>180</v>
          </cell>
          <cell r="H85">
            <v>283607</v>
          </cell>
          <cell r="I85">
            <v>51049260</v>
          </cell>
          <cell r="J85" t="str">
            <v>TS.4.14</v>
          </cell>
        </row>
        <row r="86">
          <cell r="B86" t="str">
            <v>D3</v>
          </cell>
          <cell r="E86" t="str">
            <v>(Not Applicable)</v>
          </cell>
        </row>
        <row r="87">
          <cell r="B87" t="str">
            <v>D4</v>
          </cell>
          <cell r="E87" t="str">
            <v>APPROACH STEPS, TYPE PA (24 place)</v>
          </cell>
        </row>
        <row r="88">
          <cell r="B88" t="str">
            <v>D4.1</v>
          </cell>
          <cell r="E88" t="str">
            <v>Excavation (common)</v>
          </cell>
          <cell r="F88" t="str">
            <v>m³</v>
          </cell>
          <cell r="G88">
            <v>1810</v>
          </cell>
          <cell r="H88">
            <v>6921</v>
          </cell>
          <cell r="I88">
            <v>12527010</v>
          </cell>
          <cell r="J88" t="str">
            <v>TS.2.10</v>
          </cell>
        </row>
        <row r="89">
          <cell r="B89" t="str">
            <v>D4.2</v>
          </cell>
          <cell r="E89" t="str">
            <v>Backfill with selected soil</v>
          </cell>
          <cell r="F89" t="str">
            <v>m³</v>
          </cell>
          <cell r="G89">
            <v>12</v>
          </cell>
          <cell r="H89">
            <v>5530</v>
          </cell>
          <cell r="I89">
            <v>66360</v>
          </cell>
          <cell r="J89" t="str">
            <v>TS.2.10</v>
          </cell>
        </row>
        <row r="90">
          <cell r="B90" t="str">
            <v>D4.3</v>
          </cell>
          <cell r="E90" t="str">
            <v>Log pile, dia. 150 mm L = 3.0 mm and 2.0 m</v>
          </cell>
          <cell r="F90" t="str">
            <v>m</v>
          </cell>
          <cell r="G90">
            <v>1150</v>
          </cell>
          <cell r="H90">
            <v>7918</v>
          </cell>
          <cell r="I90">
            <v>9105700</v>
          </cell>
          <cell r="J90" t="str">
            <v>TS.5.07</v>
          </cell>
        </row>
        <row r="91">
          <cell r="B91" t="str">
            <v>D4.4</v>
          </cell>
          <cell r="E91" t="str">
            <v>Concrete, type C1</v>
          </cell>
          <cell r="F91" t="str">
            <v>m³</v>
          </cell>
          <cell r="G91">
            <v>29</v>
          </cell>
          <cell r="H91">
            <v>321937</v>
          </cell>
          <cell r="I91">
            <v>9336173</v>
          </cell>
          <cell r="J91" t="str">
            <v>TS.3.24</v>
          </cell>
        </row>
        <row r="92">
          <cell r="B92" t="str">
            <v>D4.5</v>
          </cell>
          <cell r="E92" t="str">
            <v>Concrete, type C2</v>
          </cell>
          <cell r="F92" t="str">
            <v>m³</v>
          </cell>
          <cell r="G92">
            <v>210</v>
          </cell>
          <cell r="H92">
            <v>312038</v>
          </cell>
          <cell r="I92">
            <v>65527980</v>
          </cell>
          <cell r="J92" t="str">
            <v>TS.3.24</v>
          </cell>
        </row>
        <row r="93">
          <cell r="B93" t="str">
            <v>D4.6</v>
          </cell>
          <cell r="E93" t="str">
            <v>Concrete, type E</v>
          </cell>
          <cell r="F93" t="str">
            <v>m³</v>
          </cell>
          <cell r="G93">
            <v>20</v>
          </cell>
          <cell r="H93">
            <v>290200</v>
          </cell>
          <cell r="I93">
            <v>5804000</v>
          </cell>
          <cell r="J93" t="str">
            <v>TS.3.24</v>
          </cell>
        </row>
        <row r="94">
          <cell r="B94" t="str">
            <v>D4.7</v>
          </cell>
          <cell r="E94" t="str">
            <v>Reinforcing steel bar</v>
          </cell>
          <cell r="F94" t="str">
            <v>kg</v>
          </cell>
          <cell r="G94">
            <v>1090</v>
          </cell>
          <cell r="H94">
            <v>3554</v>
          </cell>
          <cell r="I94">
            <v>3873860</v>
          </cell>
          <cell r="J94" t="str">
            <v>TS.3.24</v>
          </cell>
        </row>
        <row r="95">
          <cell r="B95" t="str">
            <v>D4.8</v>
          </cell>
          <cell r="E95" t="str">
            <v>Form work FW1</v>
          </cell>
          <cell r="F95" t="str">
            <v>m²</v>
          </cell>
          <cell r="G95">
            <v>670</v>
          </cell>
          <cell r="H95">
            <v>70833</v>
          </cell>
          <cell r="I95">
            <v>47458110</v>
          </cell>
          <cell r="J95" t="str">
            <v>TS.3.24</v>
          </cell>
        </row>
        <row r="96">
          <cell r="B96" t="str">
            <v>D4.9</v>
          </cell>
          <cell r="E96" t="str">
            <v xml:space="preserve">Wet stone masonry (1:4) for revetment </v>
          </cell>
          <cell r="F96" t="str">
            <v>m³</v>
          </cell>
          <cell r="G96">
            <v>170</v>
          </cell>
          <cell r="H96">
            <v>163909</v>
          </cell>
          <cell r="I96">
            <v>27864530</v>
          </cell>
          <cell r="J96" t="str">
            <v>TS.4.14</v>
          </cell>
        </row>
        <row r="97">
          <cell r="B97" t="str">
            <v>D4.10</v>
          </cell>
          <cell r="E97" t="str">
            <v>Crusher run bedding</v>
          </cell>
          <cell r="F97" t="str">
            <v>m³</v>
          </cell>
          <cell r="G97">
            <v>270</v>
          </cell>
          <cell r="H97">
            <v>128530</v>
          </cell>
          <cell r="I97">
            <v>34703100</v>
          </cell>
          <cell r="J97" t="str">
            <v>TS.4.14</v>
          </cell>
        </row>
        <row r="98">
          <cell r="B98" t="str">
            <v>D4.11</v>
          </cell>
          <cell r="E98" t="str">
            <v>Plastering</v>
          </cell>
          <cell r="F98" t="str">
            <v>m²</v>
          </cell>
          <cell r="G98">
            <v>570</v>
          </cell>
          <cell r="H98">
            <v>10137</v>
          </cell>
          <cell r="I98">
            <v>5778090</v>
          </cell>
          <cell r="J98" t="str">
            <v>TS.4.14</v>
          </cell>
        </row>
        <row r="99">
          <cell r="B99" t="str">
            <v>D4.12</v>
          </cell>
          <cell r="E99" t="str">
            <v>Gabion mattress</v>
          </cell>
          <cell r="F99" t="str">
            <v>m³</v>
          </cell>
          <cell r="G99">
            <v>360</v>
          </cell>
          <cell r="H99">
            <v>283607</v>
          </cell>
          <cell r="I99">
            <v>102098520</v>
          </cell>
          <cell r="J99" t="str">
            <v>TS.4.14</v>
          </cell>
        </row>
        <row r="100">
          <cell r="B100" t="str">
            <v>D4.13</v>
          </cell>
          <cell r="E100" t="str">
            <v>Gabion cylinder</v>
          </cell>
          <cell r="F100" t="str">
            <v>m³</v>
          </cell>
          <cell r="G100">
            <v>330</v>
          </cell>
          <cell r="H100">
            <v>200326</v>
          </cell>
          <cell r="I100">
            <v>66107580</v>
          </cell>
          <cell r="J100" t="str">
            <v>TS.4.14</v>
          </cell>
        </row>
        <row r="101">
          <cell r="B101" t="str">
            <v>D4.14</v>
          </cell>
          <cell r="E101" t="str">
            <v>Cobble stone filling</v>
          </cell>
          <cell r="F101" t="str">
            <v>m³</v>
          </cell>
          <cell r="G101">
            <v>150</v>
          </cell>
          <cell r="H101">
            <v>57655</v>
          </cell>
          <cell r="I101">
            <v>8648250</v>
          </cell>
          <cell r="J101" t="str">
            <v>TS.4.14</v>
          </cell>
        </row>
        <row r="102">
          <cell r="B102" t="str">
            <v>D5</v>
          </cell>
          <cell r="E102" t="str">
            <v>APPROACH STEPS, TYPE PB (26 place)</v>
          </cell>
        </row>
        <row r="103">
          <cell r="B103" t="str">
            <v>D5.1</v>
          </cell>
          <cell r="E103" t="str">
            <v>Excavation (common)</v>
          </cell>
          <cell r="F103" t="str">
            <v>m³</v>
          </cell>
          <cell r="G103">
            <v>290</v>
          </cell>
          <cell r="H103">
            <v>6921</v>
          </cell>
          <cell r="I103">
            <v>2007090</v>
          </cell>
          <cell r="J103" t="str">
            <v>TS.2.10</v>
          </cell>
        </row>
        <row r="104">
          <cell r="B104" t="str">
            <v>D5.2</v>
          </cell>
          <cell r="E104" t="str">
            <v>Backfill with selected soil</v>
          </cell>
          <cell r="F104" t="str">
            <v>m³</v>
          </cell>
          <cell r="G104">
            <v>22</v>
          </cell>
          <cell r="H104">
            <v>5530</v>
          </cell>
          <cell r="I104">
            <v>121660</v>
          </cell>
          <cell r="J104" t="str">
            <v>TS.2.10</v>
          </cell>
        </row>
        <row r="105">
          <cell r="B105" t="str">
            <v>D5.3</v>
          </cell>
          <cell r="E105" t="str">
            <v>Concrete, type C1</v>
          </cell>
          <cell r="F105" t="str">
            <v>m³</v>
          </cell>
          <cell r="G105">
            <v>15</v>
          </cell>
          <cell r="H105">
            <v>332655</v>
          </cell>
          <cell r="I105">
            <v>4989825</v>
          </cell>
          <cell r="J105" t="str">
            <v>TS.3.24</v>
          </cell>
        </row>
        <row r="106">
          <cell r="B106" t="str">
            <v>D5.4</v>
          </cell>
          <cell r="E106" t="str">
            <v>Concrete, type C2</v>
          </cell>
          <cell r="F106" t="str">
            <v>m³</v>
          </cell>
          <cell r="G106">
            <v>100</v>
          </cell>
          <cell r="H106">
            <v>313783</v>
          </cell>
          <cell r="I106">
            <v>31378300</v>
          </cell>
          <cell r="J106" t="str">
            <v>TS.3.24</v>
          </cell>
        </row>
        <row r="107">
          <cell r="B107" t="str">
            <v>D5.5</v>
          </cell>
          <cell r="E107" t="str">
            <v>Form work FW1</v>
          </cell>
          <cell r="F107" t="str">
            <v>m²</v>
          </cell>
          <cell r="G107">
            <v>610</v>
          </cell>
          <cell r="H107">
            <v>70833</v>
          </cell>
          <cell r="I107">
            <v>43208130</v>
          </cell>
          <cell r="J107" t="str">
            <v>TS.3.24</v>
          </cell>
        </row>
        <row r="108">
          <cell r="B108" t="str">
            <v>D5.6</v>
          </cell>
          <cell r="E108" t="str">
            <v>Crusher run bedding</v>
          </cell>
          <cell r="F108" t="str">
            <v>m³</v>
          </cell>
          <cell r="G108">
            <v>99</v>
          </cell>
          <cell r="H108">
            <v>128530</v>
          </cell>
          <cell r="I108">
            <v>12724470</v>
          </cell>
          <cell r="J108" t="str">
            <v>TS.4.14</v>
          </cell>
        </row>
        <row r="109">
          <cell r="B109" t="str">
            <v>D6 - D11</v>
          </cell>
          <cell r="E109" t="str">
            <v>(Not Applicable)</v>
          </cell>
        </row>
        <row r="110">
          <cell r="B110" t="str">
            <v>E</v>
          </cell>
          <cell r="E110" t="str">
            <v>DRAINAGE CHANNEL and OUTLET WORKS</v>
          </cell>
        </row>
        <row r="111">
          <cell r="B111" t="str">
            <v>E1</v>
          </cell>
          <cell r="E111" t="str">
            <v>PREPARATION WORKS for DRAINAGE WORKS</v>
          </cell>
        </row>
        <row r="112">
          <cell r="B112" t="str">
            <v>E1.1</v>
          </cell>
          <cell r="E112" t="str">
            <v>Coffering and dewatering</v>
          </cell>
          <cell r="F112" t="str">
            <v>ls</v>
          </cell>
          <cell r="G112">
            <v>1</v>
          </cell>
          <cell r="H112">
            <v>16731927</v>
          </cell>
          <cell r="I112">
            <v>16731927</v>
          </cell>
          <cell r="J112" t="str">
            <v>TS.1.04</v>
          </cell>
        </row>
        <row r="113">
          <cell r="B113" t="str">
            <v>E1.2</v>
          </cell>
          <cell r="E113" t="str">
            <v>Clearing and grubbing</v>
          </cell>
          <cell r="F113" t="str">
            <v>m²</v>
          </cell>
          <cell r="G113">
            <v>280</v>
          </cell>
          <cell r="H113">
            <v>4019</v>
          </cell>
          <cell r="I113">
            <v>1125320</v>
          </cell>
          <cell r="J113" t="str">
            <v>TS.2.10</v>
          </cell>
        </row>
        <row r="114">
          <cell r="B114" t="str">
            <v>E2</v>
          </cell>
          <cell r="E114" t="str">
            <v>DRAINAGE OUTLET SL1, PIPE CULVERT with FLAP GATE</v>
          </cell>
        </row>
        <row r="115">
          <cell r="B115" t="str">
            <v>E2.1</v>
          </cell>
          <cell r="E115" t="str">
            <v>Excavation (common)</v>
          </cell>
          <cell r="F115" t="str">
            <v>m³</v>
          </cell>
          <cell r="G115">
            <v>1300</v>
          </cell>
          <cell r="H115">
            <v>6921</v>
          </cell>
          <cell r="I115">
            <v>8997300</v>
          </cell>
          <cell r="J115" t="str">
            <v>TS.2.10</v>
          </cell>
        </row>
        <row r="116">
          <cell r="B116" t="str">
            <v>E2.2</v>
          </cell>
          <cell r="E116" t="str">
            <v>Backfill with selected soil</v>
          </cell>
          <cell r="F116" t="str">
            <v>m³</v>
          </cell>
          <cell r="G116">
            <v>220</v>
          </cell>
          <cell r="H116">
            <v>5530</v>
          </cell>
          <cell r="I116">
            <v>1216600</v>
          </cell>
          <cell r="J116" t="str">
            <v>TS.2.10</v>
          </cell>
        </row>
        <row r="117">
          <cell r="B117" t="str">
            <v>E2.3</v>
          </cell>
          <cell r="E117" t="str">
            <v>Crusher run bedding</v>
          </cell>
          <cell r="F117" t="str">
            <v>m³</v>
          </cell>
          <cell r="G117">
            <v>150</v>
          </cell>
          <cell r="H117">
            <v>128530</v>
          </cell>
          <cell r="I117">
            <v>19279500</v>
          </cell>
          <cell r="J117" t="str">
            <v>TS.4.14</v>
          </cell>
        </row>
        <row r="118">
          <cell r="B118" t="str">
            <v>E2.4</v>
          </cell>
          <cell r="E118" t="str">
            <v>Log pile, dia. 150 mm L = 3.0 m</v>
          </cell>
          <cell r="F118" t="str">
            <v>m</v>
          </cell>
          <cell r="G118">
            <v>220</v>
          </cell>
          <cell r="H118">
            <v>7918</v>
          </cell>
          <cell r="I118">
            <v>1741960</v>
          </cell>
          <cell r="J118" t="str">
            <v>TS.5.07</v>
          </cell>
        </row>
        <row r="119">
          <cell r="B119" t="str">
            <v>E2.5</v>
          </cell>
          <cell r="E119" t="str">
            <v>Wet stone masonry (1:4) for revetment</v>
          </cell>
          <cell r="F119" t="str">
            <v>m³</v>
          </cell>
          <cell r="G119">
            <v>130</v>
          </cell>
          <cell r="H119">
            <v>163909</v>
          </cell>
          <cell r="I119">
            <v>21308170</v>
          </cell>
          <cell r="J119" t="str">
            <v>TS.4.14</v>
          </cell>
        </row>
        <row r="120">
          <cell r="B120" t="str">
            <v>E2.6</v>
          </cell>
          <cell r="E120" t="str">
            <v>Cement mortar plastering</v>
          </cell>
          <cell r="F120" t="str">
            <v>m²</v>
          </cell>
          <cell r="G120">
            <v>510</v>
          </cell>
          <cell r="H120">
            <v>12274</v>
          </cell>
          <cell r="I120">
            <v>6259740</v>
          </cell>
          <cell r="J120" t="str">
            <v>TS.4.14</v>
          </cell>
        </row>
        <row r="121">
          <cell r="B121" t="str">
            <v>E2.7</v>
          </cell>
          <cell r="E121" t="str">
            <v>Weep hole, dia. 50 mm</v>
          </cell>
          <cell r="F121" t="str">
            <v>nos</v>
          </cell>
          <cell r="G121">
            <v>74</v>
          </cell>
          <cell r="H121">
            <v>36874</v>
          </cell>
          <cell r="I121">
            <v>2728676</v>
          </cell>
          <cell r="J121" t="str">
            <v>TS.4.14</v>
          </cell>
        </row>
        <row r="122">
          <cell r="B122" t="str">
            <v>E2.8</v>
          </cell>
          <cell r="E122" t="str">
            <v>Dowel bar, dia. 19 mm L = 600 mm</v>
          </cell>
          <cell r="F122" t="str">
            <v>kg</v>
          </cell>
          <cell r="G122">
            <v>5</v>
          </cell>
          <cell r="H122">
            <v>11285</v>
          </cell>
          <cell r="I122">
            <v>56425</v>
          </cell>
          <cell r="J122" t="str">
            <v>TS.3.24</v>
          </cell>
        </row>
        <row r="123">
          <cell r="B123" t="str">
            <v>E2.9</v>
          </cell>
          <cell r="E123" t="str">
            <v>Water stop, 30 cm</v>
          </cell>
          <cell r="F123" t="str">
            <v>m</v>
          </cell>
          <cell r="G123">
            <v>2</v>
          </cell>
          <cell r="H123">
            <v>128471</v>
          </cell>
          <cell r="I123">
            <v>256942</v>
          </cell>
          <cell r="J123" t="str">
            <v>TS.3.24</v>
          </cell>
        </row>
        <row r="124">
          <cell r="B124" t="str">
            <v>E2.10</v>
          </cell>
          <cell r="E124" t="str">
            <v>Concrete, type C2</v>
          </cell>
          <cell r="F124" t="str">
            <v>m³</v>
          </cell>
          <cell r="G124">
            <v>93</v>
          </cell>
          <cell r="H124">
            <v>314033</v>
          </cell>
          <cell r="I124">
            <v>29205069</v>
          </cell>
          <cell r="J124" t="str">
            <v>TS.3.24</v>
          </cell>
        </row>
        <row r="125">
          <cell r="B125" t="str">
            <v>E2.11</v>
          </cell>
          <cell r="E125" t="str">
            <v>Concrete, type E</v>
          </cell>
          <cell r="F125" t="str">
            <v>m³</v>
          </cell>
          <cell r="G125">
            <v>5</v>
          </cell>
          <cell r="H125">
            <v>315179</v>
          </cell>
          <cell r="I125">
            <v>1575895</v>
          </cell>
          <cell r="J125" t="str">
            <v>TS.3.24</v>
          </cell>
        </row>
        <row r="126">
          <cell r="B126" t="str">
            <v>E2.12</v>
          </cell>
          <cell r="E126" t="str">
            <v>Reinforcing steel bar</v>
          </cell>
          <cell r="F126" t="str">
            <v>kg</v>
          </cell>
          <cell r="G126">
            <v>3600</v>
          </cell>
          <cell r="H126">
            <v>3554</v>
          </cell>
          <cell r="I126">
            <v>12794400</v>
          </cell>
          <cell r="J126" t="str">
            <v>TS.3.24</v>
          </cell>
        </row>
        <row r="127">
          <cell r="B127" t="str">
            <v>E2.13</v>
          </cell>
          <cell r="E127" t="str">
            <v>Formwork FW1</v>
          </cell>
          <cell r="F127" t="str">
            <v>m²</v>
          </cell>
          <cell r="G127">
            <v>420</v>
          </cell>
          <cell r="H127">
            <v>70833</v>
          </cell>
          <cell r="I127">
            <v>29749860</v>
          </cell>
          <cell r="J127" t="str">
            <v>TS.3.24</v>
          </cell>
        </row>
        <row r="128">
          <cell r="B128" t="str">
            <v>E2.14</v>
          </cell>
          <cell r="E128" t="str">
            <v>Formwork FW2</v>
          </cell>
          <cell r="F128" t="str">
            <v>m²</v>
          </cell>
          <cell r="G128">
            <v>1</v>
          </cell>
          <cell r="H128">
            <v>84938</v>
          </cell>
          <cell r="I128">
            <v>84938</v>
          </cell>
          <cell r="J128" t="str">
            <v>TS.3.24</v>
          </cell>
        </row>
        <row r="129">
          <cell r="B129" t="str">
            <v>E2.15</v>
          </cell>
          <cell r="E129" t="str">
            <v>Elastic joint filler, 10 mm thick</v>
          </cell>
          <cell r="F129" t="str">
            <v>m²</v>
          </cell>
          <cell r="G129">
            <v>30</v>
          </cell>
          <cell r="H129">
            <v>107210</v>
          </cell>
          <cell r="I129">
            <v>3216300</v>
          </cell>
          <cell r="J129" t="str">
            <v>TS.3.24</v>
          </cell>
        </row>
        <row r="130">
          <cell r="B130" t="str">
            <v>E2.16</v>
          </cell>
          <cell r="E130" t="str">
            <v>RC pipe, dia. 600 mm</v>
          </cell>
          <cell r="F130" t="str">
            <v>m</v>
          </cell>
          <cell r="G130">
            <v>22</v>
          </cell>
          <cell r="H130">
            <v>242005</v>
          </cell>
          <cell r="I130">
            <v>5324110</v>
          </cell>
          <cell r="J130" t="str">
            <v>TS.12.10</v>
          </cell>
        </row>
        <row r="131">
          <cell r="B131" t="str">
            <v>E2.17</v>
          </cell>
          <cell r="E131" t="str">
            <v>Supply and installation of flap gate, dia. 600 mm</v>
          </cell>
          <cell r="F131" t="str">
            <v>set</v>
          </cell>
          <cell r="G131">
            <v>1</v>
          </cell>
          <cell r="H131">
            <v>20059362</v>
          </cell>
          <cell r="I131">
            <v>20059362</v>
          </cell>
          <cell r="J131" t="str">
            <v>TS.6.09</v>
          </cell>
        </row>
        <row r="132">
          <cell r="B132" t="str">
            <v>E3</v>
          </cell>
          <cell r="E132" t="str">
            <v>DRAINAGE OUTLET SL2, BOX CULVERT with SLUICE GATE</v>
          </cell>
        </row>
        <row r="133">
          <cell r="B133" t="str">
            <v>E3.1</v>
          </cell>
          <cell r="E133" t="str">
            <v>Excavation (common)</v>
          </cell>
          <cell r="F133" t="str">
            <v>m³</v>
          </cell>
          <cell r="G133">
            <v>540</v>
          </cell>
          <cell r="H133">
            <v>6921</v>
          </cell>
          <cell r="I133">
            <v>3737340</v>
          </cell>
          <cell r="J133" t="str">
            <v>TS.2.10</v>
          </cell>
        </row>
        <row r="134">
          <cell r="B134" t="str">
            <v>E3.2</v>
          </cell>
          <cell r="E134" t="str">
            <v>Backfill with selected soil</v>
          </cell>
          <cell r="F134" t="str">
            <v>m³</v>
          </cell>
          <cell r="G134">
            <v>600</v>
          </cell>
          <cell r="H134">
            <v>5530</v>
          </cell>
          <cell r="I134">
            <v>3318000</v>
          </cell>
          <cell r="J134" t="str">
            <v>TS.2.10</v>
          </cell>
        </row>
        <row r="135">
          <cell r="B135" t="str">
            <v>E3.3</v>
          </cell>
          <cell r="E135" t="str">
            <v>Crusher run bedding</v>
          </cell>
          <cell r="F135" t="str">
            <v>m³</v>
          </cell>
          <cell r="G135">
            <v>42</v>
          </cell>
          <cell r="H135">
            <v>128530</v>
          </cell>
          <cell r="I135">
            <v>5398260</v>
          </cell>
          <cell r="J135" t="str">
            <v>TS.4.14</v>
          </cell>
        </row>
        <row r="136">
          <cell r="B136" t="str">
            <v>E3.4</v>
          </cell>
          <cell r="E136" t="str">
            <v>Wet stone masonry (1:4) for revetment</v>
          </cell>
          <cell r="F136" t="str">
            <v>m³</v>
          </cell>
          <cell r="G136">
            <v>100</v>
          </cell>
          <cell r="H136">
            <v>163909</v>
          </cell>
          <cell r="I136">
            <v>16390900</v>
          </cell>
          <cell r="J136" t="str">
            <v>TS.4.14</v>
          </cell>
        </row>
        <row r="137">
          <cell r="B137" t="str">
            <v>E3.5</v>
          </cell>
          <cell r="E137" t="str">
            <v>Cement mortar plastering</v>
          </cell>
          <cell r="F137" t="str">
            <v>m²</v>
          </cell>
          <cell r="G137">
            <v>280</v>
          </cell>
          <cell r="H137">
            <v>12274</v>
          </cell>
          <cell r="I137">
            <v>3436720</v>
          </cell>
          <cell r="J137" t="str">
            <v>TS.4.14</v>
          </cell>
        </row>
        <row r="138">
          <cell r="B138" t="str">
            <v>E3.6</v>
          </cell>
          <cell r="E138" t="str">
            <v>Supply and driving of steel sheet piles, type II</v>
          </cell>
          <cell r="F138" t="str">
            <v>m²</v>
          </cell>
          <cell r="G138">
            <v>19</v>
          </cell>
          <cell r="H138">
            <v>754167</v>
          </cell>
          <cell r="I138">
            <v>14329173</v>
          </cell>
          <cell r="J138" t="str">
            <v>TS.5.07</v>
          </cell>
        </row>
        <row r="139">
          <cell r="B139" t="str">
            <v>E3.7</v>
          </cell>
          <cell r="E139" t="str">
            <v>Log pile dia. 150 mm L = 3.0 m</v>
          </cell>
          <cell r="F139" t="str">
            <v>m</v>
          </cell>
          <cell r="G139">
            <v>100</v>
          </cell>
          <cell r="H139">
            <v>7918</v>
          </cell>
          <cell r="I139">
            <v>791800</v>
          </cell>
          <cell r="J139" t="str">
            <v>TS.5.07</v>
          </cell>
        </row>
        <row r="140">
          <cell r="B140" t="str">
            <v>E3.8</v>
          </cell>
          <cell r="E140" t="str">
            <v>Concrete, type C1</v>
          </cell>
          <cell r="F140" t="str">
            <v>m³</v>
          </cell>
          <cell r="G140">
            <v>130</v>
          </cell>
          <cell r="H140">
            <v>313014</v>
          </cell>
          <cell r="I140">
            <v>40691820</v>
          </cell>
          <cell r="J140" t="str">
            <v>TS.3.24</v>
          </cell>
        </row>
        <row r="141">
          <cell r="B141" t="str">
            <v>E3.9</v>
          </cell>
          <cell r="E141" t="str">
            <v>Concrete, type C2</v>
          </cell>
          <cell r="F141" t="str">
            <v>m³</v>
          </cell>
          <cell r="G141">
            <v>57</v>
          </cell>
          <cell r="H141">
            <v>316295</v>
          </cell>
          <cell r="I141">
            <v>18028815</v>
          </cell>
          <cell r="J141" t="str">
            <v>TS.3.24</v>
          </cell>
        </row>
        <row r="142">
          <cell r="B142" t="str">
            <v>E3.10</v>
          </cell>
          <cell r="E142" t="str">
            <v>Concrete, type E</v>
          </cell>
          <cell r="F142" t="str">
            <v>m³</v>
          </cell>
          <cell r="G142">
            <v>35</v>
          </cell>
          <cell r="H142">
            <v>286632</v>
          </cell>
          <cell r="I142">
            <v>10032120</v>
          </cell>
          <cell r="J142" t="str">
            <v>TS.3.24</v>
          </cell>
        </row>
        <row r="143">
          <cell r="B143" t="str">
            <v>E3.11</v>
          </cell>
          <cell r="E143" t="str">
            <v>Reinforcing steel bar</v>
          </cell>
          <cell r="F143" t="str">
            <v>kg</v>
          </cell>
          <cell r="G143">
            <v>11900</v>
          </cell>
          <cell r="H143">
            <v>3554</v>
          </cell>
          <cell r="I143">
            <v>42292600</v>
          </cell>
          <cell r="J143" t="str">
            <v>TS.3.24</v>
          </cell>
        </row>
        <row r="144">
          <cell r="B144" t="str">
            <v>E3.12</v>
          </cell>
          <cell r="E144" t="str">
            <v>Formwork FW1</v>
          </cell>
          <cell r="F144" t="str">
            <v>m²</v>
          </cell>
          <cell r="G144">
            <v>460</v>
          </cell>
          <cell r="H144">
            <v>70833</v>
          </cell>
          <cell r="I144">
            <v>32583180</v>
          </cell>
          <cell r="J144" t="str">
            <v>TS.3.24</v>
          </cell>
        </row>
        <row r="145">
          <cell r="B145" t="str">
            <v>E3.13</v>
          </cell>
          <cell r="E145" t="str">
            <v>Formwork FW2</v>
          </cell>
          <cell r="F145" t="str">
            <v>m²</v>
          </cell>
          <cell r="G145">
            <v>75</v>
          </cell>
          <cell r="H145">
            <v>84938</v>
          </cell>
          <cell r="I145">
            <v>6370350</v>
          </cell>
          <cell r="J145" t="str">
            <v>TS.3.24</v>
          </cell>
        </row>
        <row r="146">
          <cell r="B146" t="str">
            <v>E3.14</v>
          </cell>
          <cell r="E146" t="str">
            <v>Dowel bar</v>
          </cell>
          <cell r="F146" t="str">
            <v>kg</v>
          </cell>
          <cell r="G146">
            <v>14</v>
          </cell>
          <cell r="H146">
            <v>11285</v>
          </cell>
          <cell r="I146">
            <v>157990</v>
          </cell>
          <cell r="J146" t="str">
            <v>TS.3.24</v>
          </cell>
        </row>
        <row r="147">
          <cell r="B147" t="str">
            <v>E3.15</v>
          </cell>
          <cell r="E147" t="str">
            <v>Elastic joint filler, 10 mm thick</v>
          </cell>
          <cell r="F147" t="str">
            <v>m²</v>
          </cell>
          <cell r="G147">
            <v>2</v>
          </cell>
          <cell r="H147">
            <v>107210</v>
          </cell>
          <cell r="I147">
            <v>214420</v>
          </cell>
          <cell r="J147" t="str">
            <v>TS.3.24</v>
          </cell>
        </row>
        <row r="148">
          <cell r="B148" t="str">
            <v>E3.16</v>
          </cell>
          <cell r="E148" t="str">
            <v>Water stop, 30 cm wide</v>
          </cell>
          <cell r="F148" t="str">
            <v>m</v>
          </cell>
          <cell r="G148">
            <v>6</v>
          </cell>
          <cell r="H148">
            <v>128471</v>
          </cell>
          <cell r="I148">
            <v>770826</v>
          </cell>
          <cell r="J148" t="str">
            <v>TS.3.24</v>
          </cell>
        </row>
        <row r="149">
          <cell r="B149" t="str">
            <v>E3.17</v>
          </cell>
          <cell r="E149" t="str">
            <v>Handrail, galvanized steel pipe</v>
          </cell>
          <cell r="F149" t="str">
            <v>kg</v>
          </cell>
          <cell r="G149">
            <v>300</v>
          </cell>
          <cell r="H149">
            <v>8709</v>
          </cell>
          <cell r="I149">
            <v>2612700</v>
          </cell>
          <cell r="J149" t="str">
            <v>TS.6.09</v>
          </cell>
        </row>
        <row r="150">
          <cell r="B150" t="str">
            <v>E3.18</v>
          </cell>
          <cell r="E150" t="str">
            <v>Galvanized steel ladder</v>
          </cell>
          <cell r="F150" t="str">
            <v>kg</v>
          </cell>
          <cell r="G150">
            <v>31</v>
          </cell>
          <cell r="H150">
            <v>5473</v>
          </cell>
          <cell r="I150">
            <v>169663</v>
          </cell>
          <cell r="J150" t="str">
            <v>TS.6.09</v>
          </cell>
        </row>
        <row r="151">
          <cell r="B151" t="str">
            <v>E3.19</v>
          </cell>
          <cell r="E151" t="str">
            <v>Supply and installation of steel slide gates (H=1.5 m, B=2.0 m)x2</v>
          </cell>
          <cell r="F151" t="str">
            <v>ls</v>
          </cell>
          <cell r="G151">
            <v>1</v>
          </cell>
          <cell r="H151">
            <v>27852586</v>
          </cell>
          <cell r="I151">
            <v>27852586</v>
          </cell>
          <cell r="J151" t="str">
            <v>TS.9.09</v>
          </cell>
        </row>
        <row r="153">
          <cell r="B153" t="str">
            <v>E4 - E20</v>
          </cell>
          <cell r="E153" t="str">
            <v>(Not Applicable)</v>
          </cell>
        </row>
        <row r="155">
          <cell r="B155" t="str">
            <v>E21</v>
          </cell>
          <cell r="E155" t="str">
            <v>DRAINAGE DITCH CONNECTING to DRAINAGE OUTLETS</v>
          </cell>
        </row>
        <row r="156">
          <cell r="B156" t="str">
            <v>E21.1</v>
          </cell>
          <cell r="E156" t="str">
            <v>Excavation (common)</v>
          </cell>
          <cell r="F156" t="str">
            <v>m³</v>
          </cell>
          <cell r="G156">
            <v>600</v>
          </cell>
          <cell r="H156">
            <v>6921</v>
          </cell>
          <cell r="I156">
            <v>4152600</v>
          </cell>
          <cell r="J156" t="str">
            <v>TS.2.10</v>
          </cell>
        </row>
        <row r="157">
          <cell r="B157" t="str">
            <v>E21.2</v>
          </cell>
          <cell r="E157" t="str">
            <v>Crusher run bedding</v>
          </cell>
          <cell r="F157" t="str">
            <v>m³</v>
          </cell>
          <cell r="G157">
            <v>41</v>
          </cell>
          <cell r="H157">
            <v>128530</v>
          </cell>
          <cell r="I157">
            <v>5269730</v>
          </cell>
          <cell r="J157" t="str">
            <v>TS.4.14</v>
          </cell>
        </row>
        <row r="158">
          <cell r="B158" t="str">
            <v>E21.3</v>
          </cell>
          <cell r="E158" t="str">
            <v>Wet stone masonry (1:4) for revetment</v>
          </cell>
          <cell r="F158" t="str">
            <v>m³</v>
          </cell>
          <cell r="G158">
            <v>41</v>
          </cell>
          <cell r="H158">
            <v>163909</v>
          </cell>
          <cell r="I158">
            <v>6720269</v>
          </cell>
          <cell r="J158" t="str">
            <v>TS.4.14</v>
          </cell>
        </row>
        <row r="159">
          <cell r="B159" t="str">
            <v>E21.4</v>
          </cell>
          <cell r="E159" t="str">
            <v>Cement mortar plastering</v>
          </cell>
          <cell r="F159" t="str">
            <v>m²</v>
          </cell>
          <cell r="G159">
            <v>160</v>
          </cell>
          <cell r="H159">
            <v>12274</v>
          </cell>
          <cell r="I159">
            <v>1963840</v>
          </cell>
          <cell r="J159" t="str">
            <v>TS.4.14</v>
          </cell>
        </row>
        <row r="160">
          <cell r="B160" t="str">
            <v>E21.5</v>
          </cell>
          <cell r="E160" t="str">
            <v>Concrete, type C2</v>
          </cell>
          <cell r="F160" t="str">
            <v>m³</v>
          </cell>
          <cell r="G160">
            <v>45</v>
          </cell>
          <cell r="H160">
            <v>317853</v>
          </cell>
          <cell r="I160">
            <v>14303385</v>
          </cell>
          <cell r="J160" t="str">
            <v>TS.3.14</v>
          </cell>
        </row>
        <row r="161">
          <cell r="B161" t="str">
            <v>E21.6</v>
          </cell>
          <cell r="E161" t="str">
            <v>Concrete, type E</v>
          </cell>
          <cell r="F161" t="str">
            <v>m³</v>
          </cell>
          <cell r="G161">
            <v>5</v>
          </cell>
          <cell r="H161">
            <v>315179</v>
          </cell>
          <cell r="I161">
            <v>1575895</v>
          </cell>
          <cell r="J161" t="str">
            <v>TS.3.24</v>
          </cell>
        </row>
        <row r="162">
          <cell r="B162" t="str">
            <v>E21.7</v>
          </cell>
          <cell r="E162" t="str">
            <v>Reinforcing steel bar</v>
          </cell>
          <cell r="F162" t="str">
            <v>kg</v>
          </cell>
          <cell r="G162">
            <v>870</v>
          </cell>
          <cell r="H162">
            <v>3554</v>
          </cell>
          <cell r="I162">
            <v>3091980</v>
          </cell>
          <cell r="J162" t="str">
            <v>TS.2.34</v>
          </cell>
        </row>
        <row r="163">
          <cell r="B163" t="str">
            <v>E21.8</v>
          </cell>
          <cell r="E163" t="str">
            <v>Formwork FW1</v>
          </cell>
          <cell r="F163" t="str">
            <v>m²</v>
          </cell>
          <cell r="G163">
            <v>80</v>
          </cell>
          <cell r="H163">
            <v>70833</v>
          </cell>
          <cell r="I163">
            <v>5666640</v>
          </cell>
          <cell r="J163" t="str">
            <v>TS.2.34</v>
          </cell>
        </row>
        <row r="165">
          <cell r="B165" t="str">
            <v>E22 - E24</v>
          </cell>
          <cell r="E165" t="str">
            <v>(Not Applicable)</v>
          </cell>
        </row>
        <row r="167">
          <cell r="B167" t="str">
            <v>F</v>
          </cell>
          <cell r="E167" t="str">
            <v>BANDAR SIDORAS INTAKE WEIR and IRRIGATON FACILITIES</v>
          </cell>
        </row>
        <row r="168">
          <cell r="B168" t="str">
            <v>F1</v>
          </cell>
          <cell r="E168" t="str">
            <v>PREPARATION WORKS</v>
          </cell>
        </row>
        <row r="169">
          <cell r="B169" t="str">
            <v>F1.1</v>
          </cell>
          <cell r="E169" t="str">
            <v>Clearing and grubbing</v>
          </cell>
          <cell r="F169" t="str">
            <v>m²</v>
          </cell>
          <cell r="G169">
            <v>4290</v>
          </cell>
          <cell r="H169">
            <v>4019</v>
          </cell>
          <cell r="I169">
            <v>17241510</v>
          </cell>
          <cell r="J169" t="str">
            <v>TS.2.10</v>
          </cell>
        </row>
        <row r="170">
          <cell r="B170" t="str">
            <v>F1.2</v>
          </cell>
          <cell r="E170" t="str">
            <v>Coffering and dewatering</v>
          </cell>
          <cell r="F170" t="str">
            <v>ls</v>
          </cell>
          <cell r="G170">
            <v>1</v>
          </cell>
          <cell r="H170">
            <v>71238786</v>
          </cell>
          <cell r="I170">
            <v>71238786</v>
          </cell>
          <cell r="J170" t="str">
            <v>TS.1.04</v>
          </cell>
        </row>
        <row r="171">
          <cell r="B171" t="str">
            <v>F1.3</v>
          </cell>
          <cell r="E171" t="str">
            <v>Demolition and removal of existing structure</v>
          </cell>
          <cell r="F171" t="str">
            <v>ls</v>
          </cell>
          <cell r="G171">
            <v>1</v>
          </cell>
          <cell r="H171">
            <v>19926238</v>
          </cell>
          <cell r="I171">
            <v>19926238</v>
          </cell>
          <cell r="J171" t="str">
            <v>TS.2.10</v>
          </cell>
        </row>
        <row r="172">
          <cell r="B172" t="str">
            <v>F2</v>
          </cell>
          <cell r="E172" t="str">
            <v>INFLATABLE RUBBER-MADE DAM</v>
          </cell>
        </row>
        <row r="173">
          <cell r="E173" t="str">
            <v>EARTH WORKS</v>
          </cell>
        </row>
        <row r="174">
          <cell r="B174" t="str">
            <v>F2.1</v>
          </cell>
          <cell r="E174" t="str">
            <v>Excavation (common)</v>
          </cell>
          <cell r="F174" t="str">
            <v>m³</v>
          </cell>
          <cell r="G174">
            <v>6511</v>
          </cell>
          <cell r="H174">
            <v>6921</v>
          </cell>
          <cell r="I174">
            <v>45062631</v>
          </cell>
          <cell r="J174" t="str">
            <v>TS.2.10</v>
          </cell>
        </row>
        <row r="175">
          <cell r="B175" t="str">
            <v>F2.2</v>
          </cell>
          <cell r="E175" t="str">
            <v>Backfill with selected soil</v>
          </cell>
          <cell r="F175" t="str">
            <v>m³</v>
          </cell>
          <cell r="G175">
            <v>454</v>
          </cell>
          <cell r="H175">
            <v>5530</v>
          </cell>
          <cell r="I175">
            <v>2510620</v>
          </cell>
          <cell r="J175" t="str">
            <v>TS.2.10</v>
          </cell>
        </row>
        <row r="176">
          <cell r="E176" t="str">
            <v>CONCRETE WORKS</v>
          </cell>
        </row>
        <row r="177">
          <cell r="B177" t="str">
            <v>F2.3</v>
          </cell>
          <cell r="E177" t="str">
            <v>Concrete, type C1 for main structure</v>
          </cell>
          <cell r="F177" t="str">
            <v>m³</v>
          </cell>
          <cell r="G177">
            <v>2240</v>
          </cell>
          <cell r="H177">
            <v>318832</v>
          </cell>
          <cell r="I177">
            <v>714183680</v>
          </cell>
          <cell r="J177" t="str">
            <v>TS.3.24</v>
          </cell>
        </row>
        <row r="178">
          <cell r="B178" t="str">
            <v>F2.4</v>
          </cell>
          <cell r="E178" t="str">
            <v>Concrete, type E</v>
          </cell>
          <cell r="F178" t="str">
            <v>m³</v>
          </cell>
          <cell r="G178">
            <v>150</v>
          </cell>
          <cell r="H178">
            <v>282984</v>
          </cell>
          <cell r="I178">
            <v>42447600</v>
          </cell>
          <cell r="J178" t="str">
            <v>TS.3.24</v>
          </cell>
        </row>
        <row r="179">
          <cell r="B179" t="str">
            <v>F2.5</v>
          </cell>
          <cell r="E179" t="str">
            <v>Form work FW1</v>
          </cell>
          <cell r="F179" t="str">
            <v>m²</v>
          </cell>
          <cell r="G179">
            <v>1060</v>
          </cell>
          <cell r="H179">
            <v>70833</v>
          </cell>
          <cell r="I179">
            <v>75082980</v>
          </cell>
          <cell r="J179" t="str">
            <v>TS.3.24</v>
          </cell>
        </row>
        <row r="180">
          <cell r="B180" t="str">
            <v>F2.6</v>
          </cell>
          <cell r="E180" t="str">
            <v>Form work FW2</v>
          </cell>
          <cell r="F180" t="str">
            <v>m²</v>
          </cell>
          <cell r="G180">
            <v>490</v>
          </cell>
          <cell r="H180">
            <v>84938</v>
          </cell>
          <cell r="I180">
            <v>41619620</v>
          </cell>
          <cell r="J180" t="str">
            <v>TS.3.24</v>
          </cell>
        </row>
        <row r="181">
          <cell r="B181" t="str">
            <v>F2.7</v>
          </cell>
          <cell r="E181" t="str">
            <v>Reinforcing steel bar</v>
          </cell>
          <cell r="F181" t="str">
            <v>kg</v>
          </cell>
          <cell r="G181">
            <v>94900</v>
          </cell>
          <cell r="H181">
            <v>3554</v>
          </cell>
          <cell r="I181">
            <v>337274600</v>
          </cell>
          <cell r="J181" t="str">
            <v>TS.3.24</v>
          </cell>
        </row>
        <row r="182">
          <cell r="B182" t="str">
            <v>F2.8</v>
          </cell>
          <cell r="E182" t="str">
            <v>Elastic joint filler, 10 mm thick</v>
          </cell>
          <cell r="F182" t="str">
            <v>m²</v>
          </cell>
          <cell r="G182">
            <v>110</v>
          </cell>
          <cell r="H182">
            <v>107210</v>
          </cell>
          <cell r="I182">
            <v>11793100</v>
          </cell>
          <cell r="J182" t="str">
            <v>TS.3.24</v>
          </cell>
        </row>
        <row r="183">
          <cell r="B183" t="str">
            <v>F2.9</v>
          </cell>
          <cell r="E183" t="str">
            <v>Water stop, 30 cm wide</v>
          </cell>
          <cell r="F183" t="str">
            <v>m</v>
          </cell>
          <cell r="G183">
            <v>110</v>
          </cell>
          <cell r="H183">
            <v>128471</v>
          </cell>
          <cell r="I183">
            <v>14131810</v>
          </cell>
          <cell r="J183" t="str">
            <v>TS.3.24</v>
          </cell>
        </row>
        <row r="184">
          <cell r="B184" t="str">
            <v>F2.10</v>
          </cell>
          <cell r="E184" t="str">
            <v>Dowel bars, dia. 19 mm, 1.0 m long</v>
          </cell>
          <cell r="F184" t="str">
            <v>kg</v>
          </cell>
          <cell r="G184">
            <v>770</v>
          </cell>
          <cell r="H184">
            <v>11285</v>
          </cell>
          <cell r="I184">
            <v>8689450</v>
          </cell>
          <cell r="J184" t="str">
            <v>TS.3.24</v>
          </cell>
        </row>
        <row r="185">
          <cell r="E185" t="str">
            <v>PILE WORKS</v>
          </cell>
        </row>
        <row r="186">
          <cell r="B186" t="str">
            <v>F2.11</v>
          </cell>
          <cell r="E186" t="str">
            <v>PC pile for test pile, dia.400 mm, type AB</v>
          </cell>
          <cell r="F186" t="str">
            <v>m</v>
          </cell>
          <cell r="G186">
            <v>12</v>
          </cell>
          <cell r="H186">
            <v>200180</v>
          </cell>
          <cell r="I186">
            <v>2402160</v>
          </cell>
          <cell r="J186" t="str">
            <v>TS.5.07</v>
          </cell>
        </row>
        <row r="187">
          <cell r="B187" t="str">
            <v>F2.12</v>
          </cell>
          <cell r="E187" t="str">
            <v>Supply and driving of PC piles, dia. 400 mm, type AB</v>
          </cell>
          <cell r="F187" t="str">
            <v>m</v>
          </cell>
          <cell r="G187">
            <v>227</v>
          </cell>
          <cell r="H187">
            <v>200180</v>
          </cell>
          <cell r="I187">
            <v>45440860</v>
          </cell>
          <cell r="J187" t="str">
            <v>TS.5.07</v>
          </cell>
        </row>
        <row r="188">
          <cell r="B188" t="str">
            <v>F2.13</v>
          </cell>
          <cell r="E188" t="str">
            <v>PC pile for test pile, dia.600 mm, type AB</v>
          </cell>
          <cell r="F188" t="str">
            <v>m</v>
          </cell>
          <cell r="G188">
            <v>12</v>
          </cell>
          <cell r="H188">
            <v>361803</v>
          </cell>
          <cell r="I188">
            <v>4341636</v>
          </cell>
          <cell r="J188" t="str">
            <v>TS.5.07</v>
          </cell>
        </row>
        <row r="189">
          <cell r="B189" t="str">
            <v>F2.14</v>
          </cell>
          <cell r="E189" t="str">
            <v>Supply and driving of PC piles, dia. 600 mm, type AB</v>
          </cell>
          <cell r="F189" t="str">
            <v>m</v>
          </cell>
          <cell r="G189">
            <v>1500</v>
          </cell>
          <cell r="H189">
            <v>361803</v>
          </cell>
          <cell r="I189">
            <v>542704500</v>
          </cell>
          <cell r="J189" t="str">
            <v>TS.5.07</v>
          </cell>
        </row>
        <row r="190">
          <cell r="B190" t="str">
            <v>F2.15</v>
          </cell>
          <cell r="E190" t="str">
            <v>Supply and driving of steel sheet piles, type II</v>
          </cell>
          <cell r="F190" t="str">
            <v>m²</v>
          </cell>
          <cell r="G190">
            <v>300</v>
          </cell>
          <cell r="H190">
            <v>759138</v>
          </cell>
          <cell r="I190">
            <v>227741400</v>
          </cell>
          <cell r="J190" t="str">
            <v>TS.5.07</v>
          </cell>
        </row>
        <row r="191">
          <cell r="E191" t="str">
            <v>INFLATABLE RUBBER- MADE DAM</v>
          </cell>
        </row>
        <row r="192">
          <cell r="B192" t="str">
            <v>F2.16</v>
          </cell>
          <cell r="E192" t="str">
            <v>Inflatable rubber-made Dam including anchoring materials, operating</v>
          </cell>
          <cell r="F192" t="str">
            <v>ls</v>
          </cell>
          <cell r="G192">
            <v>1</v>
          </cell>
          <cell r="H192">
            <v>3144852113</v>
          </cell>
          <cell r="I192">
            <v>3144852113</v>
          </cell>
          <cell r="J192" t="str">
            <v>TS.10.13</v>
          </cell>
        </row>
        <row r="193">
          <cell r="E193" t="str">
            <v>and electric equipment</v>
          </cell>
        </row>
        <row r="194">
          <cell r="B194" t="str">
            <v>F3</v>
          </cell>
          <cell r="E194" t="str">
            <v>IRRIGATION INTAKE FACILITIES</v>
          </cell>
        </row>
        <row r="195">
          <cell r="B195" t="str">
            <v/>
          </cell>
          <cell r="E195" t="str">
            <v>EARTH WORKS</v>
          </cell>
        </row>
        <row r="196">
          <cell r="B196" t="str">
            <v>F3.1</v>
          </cell>
          <cell r="E196" t="str">
            <v>Excavation (common)</v>
          </cell>
          <cell r="F196" t="str">
            <v>m³</v>
          </cell>
          <cell r="G196">
            <v>5980</v>
          </cell>
          <cell r="H196">
            <v>6921</v>
          </cell>
          <cell r="I196">
            <v>41387580</v>
          </cell>
          <cell r="J196" t="str">
            <v>TS.2.10</v>
          </cell>
        </row>
        <row r="197">
          <cell r="B197" t="str">
            <v>F3.2</v>
          </cell>
          <cell r="E197" t="str">
            <v>Backfill with selected soil</v>
          </cell>
          <cell r="F197" t="str">
            <v>m³</v>
          </cell>
          <cell r="G197">
            <v>16800</v>
          </cell>
          <cell r="H197">
            <v>5530</v>
          </cell>
          <cell r="I197">
            <v>92904000</v>
          </cell>
          <cell r="J197" t="str">
            <v>TS.2.10</v>
          </cell>
        </row>
        <row r="198">
          <cell r="E198" t="str">
            <v>CONCRETE WORKS</v>
          </cell>
        </row>
        <row r="199">
          <cell r="B199" t="str">
            <v>F3.3</v>
          </cell>
          <cell r="E199" t="str">
            <v>Concrete, type C1 for irrigation intake facilities and bridge pier</v>
          </cell>
          <cell r="F199" t="str">
            <v>m³</v>
          </cell>
          <cell r="G199">
            <v>970</v>
          </cell>
          <cell r="H199">
            <v>310795</v>
          </cell>
          <cell r="I199">
            <v>301471150</v>
          </cell>
          <cell r="J199" t="str">
            <v>TS.3.24</v>
          </cell>
        </row>
        <row r="200">
          <cell r="B200" t="str">
            <v>F3.4</v>
          </cell>
          <cell r="E200" t="str">
            <v>Concrete, type C2 for block-out concrete for gate post</v>
          </cell>
          <cell r="F200" t="str">
            <v>m³</v>
          </cell>
          <cell r="G200">
            <v>7</v>
          </cell>
          <cell r="H200">
            <v>358031</v>
          </cell>
          <cell r="I200">
            <v>2506217</v>
          </cell>
          <cell r="J200" t="str">
            <v>TS.3.24</v>
          </cell>
        </row>
        <row r="201">
          <cell r="B201" t="str">
            <v>F3.5</v>
          </cell>
          <cell r="E201" t="str">
            <v>Concrete, type E</v>
          </cell>
          <cell r="F201" t="str">
            <v>m³</v>
          </cell>
          <cell r="G201">
            <v>59</v>
          </cell>
          <cell r="H201">
            <v>284696</v>
          </cell>
          <cell r="I201">
            <v>16797064</v>
          </cell>
          <cell r="J201" t="str">
            <v>TS.3.24</v>
          </cell>
        </row>
        <row r="202">
          <cell r="B202" t="str">
            <v>F3.6</v>
          </cell>
          <cell r="E202" t="str">
            <v>Form work FW1</v>
          </cell>
          <cell r="F202" t="str">
            <v>m²</v>
          </cell>
          <cell r="G202">
            <v>1790</v>
          </cell>
          <cell r="H202">
            <v>70833</v>
          </cell>
          <cell r="I202">
            <v>126791070</v>
          </cell>
          <cell r="J202" t="str">
            <v>TS.3.24</v>
          </cell>
        </row>
        <row r="203">
          <cell r="B203" t="str">
            <v>F3.7</v>
          </cell>
          <cell r="E203" t="str">
            <v>Form work FW2</v>
          </cell>
          <cell r="F203" t="str">
            <v>m²</v>
          </cell>
          <cell r="G203">
            <v>340</v>
          </cell>
          <cell r="H203">
            <v>84938</v>
          </cell>
          <cell r="I203">
            <v>28878920</v>
          </cell>
          <cell r="J203" t="str">
            <v>TS.3.24</v>
          </cell>
        </row>
        <row r="204">
          <cell r="B204" t="str">
            <v>F3.8</v>
          </cell>
          <cell r="E204" t="str">
            <v>Reinforcing steel bar</v>
          </cell>
          <cell r="F204" t="str">
            <v>kg</v>
          </cell>
          <cell r="G204">
            <v>62700</v>
          </cell>
          <cell r="H204">
            <v>3554</v>
          </cell>
          <cell r="I204">
            <v>222835800</v>
          </cell>
          <cell r="J204" t="str">
            <v>TS.3.24</v>
          </cell>
        </row>
        <row r="205">
          <cell r="B205" t="str">
            <v>F3.9</v>
          </cell>
          <cell r="E205" t="str">
            <v>Elastic joint filler, 10 mm thick</v>
          </cell>
          <cell r="F205" t="str">
            <v>m²</v>
          </cell>
          <cell r="G205">
            <v>92</v>
          </cell>
          <cell r="H205">
            <v>107210</v>
          </cell>
          <cell r="I205">
            <v>9863320</v>
          </cell>
          <cell r="J205" t="str">
            <v>TS.3.24</v>
          </cell>
        </row>
        <row r="206">
          <cell r="B206" t="str">
            <v>F3.10</v>
          </cell>
          <cell r="E206" t="str">
            <v>Water stop, 30 cm wide</v>
          </cell>
          <cell r="F206" t="str">
            <v>m</v>
          </cell>
          <cell r="G206">
            <v>110</v>
          </cell>
          <cell r="H206">
            <v>128471</v>
          </cell>
          <cell r="I206">
            <v>14131810</v>
          </cell>
          <cell r="J206" t="str">
            <v>TS.3.24</v>
          </cell>
        </row>
        <row r="207">
          <cell r="B207" t="str">
            <v>F3.11</v>
          </cell>
          <cell r="E207" t="str">
            <v>Dowel bars, dia. 19 mm, 1.0 m long</v>
          </cell>
          <cell r="F207" t="str">
            <v>kg</v>
          </cell>
          <cell r="G207">
            <v>470</v>
          </cell>
          <cell r="H207">
            <v>11285</v>
          </cell>
          <cell r="I207">
            <v>5303950</v>
          </cell>
          <cell r="J207" t="str">
            <v>TS.3.24</v>
          </cell>
        </row>
        <row r="208">
          <cell r="E208" t="str">
            <v>PILE WORKS</v>
          </cell>
        </row>
        <row r="209">
          <cell r="B209" t="str">
            <v>F3.12</v>
          </cell>
          <cell r="E209" t="str">
            <v>Supply and driving of PC piles, dia. 600 mm, type AB</v>
          </cell>
          <cell r="F209" t="str">
            <v>m</v>
          </cell>
          <cell r="G209">
            <v>441</v>
          </cell>
          <cell r="H209">
            <v>361803</v>
          </cell>
          <cell r="I209">
            <v>159555123</v>
          </cell>
          <cell r="J209" t="str">
            <v>TS.5.07</v>
          </cell>
        </row>
        <row r="210">
          <cell r="B210" t="str">
            <v>F3.13</v>
          </cell>
          <cell r="E210" t="str">
            <v>Supply and driving of steel sheet piles, type II</v>
          </cell>
          <cell r="F210" t="str">
            <v>m²</v>
          </cell>
          <cell r="G210">
            <v>172</v>
          </cell>
          <cell r="H210">
            <v>754167</v>
          </cell>
          <cell r="I210">
            <v>129716724</v>
          </cell>
          <cell r="J210" t="str">
            <v>TS.5.07</v>
          </cell>
        </row>
        <row r="211">
          <cell r="B211" t="str">
            <v>F3.14</v>
          </cell>
          <cell r="E211" t="str">
            <v>Log pile</v>
          </cell>
          <cell r="F211" t="str">
            <v>m</v>
          </cell>
          <cell r="G211">
            <v>381</v>
          </cell>
          <cell r="H211">
            <v>7918</v>
          </cell>
          <cell r="I211">
            <v>3016758</v>
          </cell>
          <cell r="J211" t="str">
            <v>TS.5.07</v>
          </cell>
        </row>
        <row r="212">
          <cell r="E212" t="str">
            <v>CONTROL GATES</v>
          </cell>
        </row>
        <row r="213">
          <cell r="B213" t="str">
            <v>F3.15</v>
          </cell>
          <cell r="E213" t="str">
            <v>Supply and installation of steel slide gate (H=1.0 m, B=1.25 m x 2)</v>
          </cell>
          <cell r="F213" t="str">
            <v>ls</v>
          </cell>
          <cell r="G213">
            <v>1</v>
          </cell>
          <cell r="H213">
            <v>19711400</v>
          </cell>
          <cell r="I213">
            <v>19711400</v>
          </cell>
          <cell r="J213" t="str">
            <v>TS.9.09</v>
          </cell>
        </row>
        <row r="214">
          <cell r="B214" t="str">
            <v>F3.16</v>
          </cell>
          <cell r="E214" t="str">
            <v>Supply and installation of steel slide gate (H=1.0 m, B=1.0 m x 2)</v>
          </cell>
          <cell r="F214" t="str">
            <v>ls</v>
          </cell>
          <cell r="G214">
            <v>1</v>
          </cell>
          <cell r="H214">
            <v>18266872</v>
          </cell>
          <cell r="I214">
            <v>18266872</v>
          </cell>
          <cell r="J214" t="str">
            <v>TS.9.09</v>
          </cell>
        </row>
        <row r="215">
          <cell r="E215" t="str">
            <v>IRRIGATION CHANNEL LINING</v>
          </cell>
        </row>
        <row r="216">
          <cell r="B216" t="str">
            <v>F3.17</v>
          </cell>
          <cell r="E216" t="str">
            <v>Wet stone masonry (1:4) for revetment</v>
          </cell>
          <cell r="F216" t="str">
            <v>m³</v>
          </cell>
          <cell r="G216">
            <v>454</v>
          </cell>
          <cell r="H216">
            <v>163909</v>
          </cell>
          <cell r="I216">
            <v>74414686</v>
          </cell>
          <cell r="J216" t="str">
            <v>TS.4.14</v>
          </cell>
        </row>
        <row r="217">
          <cell r="B217" t="str">
            <v>F3.18</v>
          </cell>
          <cell r="E217" t="str">
            <v>Crusher run bedding</v>
          </cell>
          <cell r="F217" t="str">
            <v>m³</v>
          </cell>
          <cell r="G217">
            <v>440</v>
          </cell>
          <cell r="H217">
            <v>128530</v>
          </cell>
          <cell r="I217">
            <v>56553200</v>
          </cell>
          <cell r="J217" t="str">
            <v>TS.4.14</v>
          </cell>
        </row>
        <row r="218">
          <cell r="B218" t="str">
            <v>F3.19</v>
          </cell>
          <cell r="E218" t="str">
            <v>Concrete, type C1 for base concrete</v>
          </cell>
          <cell r="F218" t="str">
            <v>m³</v>
          </cell>
          <cell r="G218">
            <v>8</v>
          </cell>
          <cell r="H218">
            <v>352083</v>
          </cell>
          <cell r="I218">
            <v>2816664</v>
          </cell>
          <cell r="J218" t="str">
            <v>TS.3.24</v>
          </cell>
        </row>
        <row r="219">
          <cell r="B219" t="str">
            <v>F3.20</v>
          </cell>
          <cell r="E219" t="str">
            <v>Concrete, type C2 for top concrete and channel bed lining</v>
          </cell>
          <cell r="F219" t="str">
            <v>m³</v>
          </cell>
          <cell r="G219">
            <v>200</v>
          </cell>
          <cell r="H219">
            <v>312117</v>
          </cell>
          <cell r="I219">
            <v>62423400</v>
          </cell>
          <cell r="J219" t="str">
            <v>TS.3.24</v>
          </cell>
        </row>
        <row r="220">
          <cell r="B220" t="str">
            <v>F3.21</v>
          </cell>
          <cell r="E220" t="str">
            <v>Cement mortar plastering</v>
          </cell>
          <cell r="F220" t="str">
            <v>m²</v>
          </cell>
          <cell r="G220">
            <v>1700</v>
          </cell>
          <cell r="H220">
            <v>12274</v>
          </cell>
          <cell r="I220">
            <v>20865800</v>
          </cell>
          <cell r="J220" t="str">
            <v>TS.4.14</v>
          </cell>
        </row>
        <row r="221">
          <cell r="B221" t="str">
            <v>F3.22</v>
          </cell>
          <cell r="E221" t="str">
            <v>Formwork FW1</v>
          </cell>
          <cell r="F221" t="str">
            <v>m²</v>
          </cell>
          <cell r="G221">
            <v>860</v>
          </cell>
          <cell r="H221">
            <v>70833</v>
          </cell>
          <cell r="I221">
            <v>60916380</v>
          </cell>
          <cell r="J221" t="str">
            <v>TS.3.24</v>
          </cell>
        </row>
        <row r="222">
          <cell r="B222" t="str">
            <v>F3.23</v>
          </cell>
          <cell r="E222" t="str">
            <v>Reinforcing steel bar</v>
          </cell>
          <cell r="F222" t="str">
            <v>kg</v>
          </cell>
          <cell r="G222">
            <v>4620</v>
          </cell>
          <cell r="H222">
            <v>3554</v>
          </cell>
          <cell r="I222">
            <v>16419480</v>
          </cell>
          <cell r="J222" t="str">
            <v>TS.3.24</v>
          </cell>
        </row>
        <row r="223">
          <cell r="B223" t="str">
            <v>F3.24</v>
          </cell>
          <cell r="E223" t="str">
            <v>PVC pipe drain, dia.50 mm (240 nos x 0.4 m)</v>
          </cell>
          <cell r="F223" t="str">
            <v>m</v>
          </cell>
          <cell r="G223">
            <v>100</v>
          </cell>
          <cell r="H223">
            <v>47666</v>
          </cell>
          <cell r="I223">
            <v>4766600</v>
          </cell>
          <cell r="J223" t="str">
            <v>TS.4.05</v>
          </cell>
        </row>
        <row r="224">
          <cell r="B224" t="str">
            <v>F3.25</v>
          </cell>
          <cell r="E224" t="str">
            <v>Elastic joint filler, 10 mm thick</v>
          </cell>
          <cell r="F224" t="str">
            <v>m²</v>
          </cell>
          <cell r="G224">
            <v>100</v>
          </cell>
          <cell r="H224">
            <v>107210</v>
          </cell>
          <cell r="I224">
            <v>10721000</v>
          </cell>
          <cell r="J224" t="str">
            <v>TS.3.24</v>
          </cell>
        </row>
        <row r="225">
          <cell r="B225" t="str">
            <v>F4</v>
          </cell>
          <cell r="E225" t="str">
            <v>CHANNEL PROTECTION WORKS</v>
          </cell>
        </row>
        <row r="226">
          <cell r="B226" t="str">
            <v>F4.1</v>
          </cell>
          <cell r="E226" t="str">
            <v>Excavation (common)</v>
          </cell>
          <cell r="F226" t="str">
            <v>m³</v>
          </cell>
          <cell r="G226">
            <v>200</v>
          </cell>
          <cell r="H226">
            <v>6921</v>
          </cell>
          <cell r="I226">
            <v>1384200</v>
          </cell>
          <cell r="J226" t="str">
            <v>TS.2.10</v>
          </cell>
        </row>
        <row r="227">
          <cell r="B227" t="str">
            <v>F4.2</v>
          </cell>
          <cell r="E227" t="str">
            <v>Concrete blok, crib type, t = 200 mm</v>
          </cell>
          <cell r="F227" t="str">
            <v>nos</v>
          </cell>
          <cell r="G227">
            <v>390</v>
          </cell>
          <cell r="H227">
            <v>133220</v>
          </cell>
          <cell r="I227">
            <v>51955800</v>
          </cell>
          <cell r="J227" t="str">
            <v>TS.4.14</v>
          </cell>
        </row>
        <row r="228">
          <cell r="B228" t="str">
            <v>F4.3</v>
          </cell>
          <cell r="E228" t="str">
            <v>Crusher run bedding</v>
          </cell>
          <cell r="F228" t="str">
            <v>m³</v>
          </cell>
          <cell r="G228">
            <v>39</v>
          </cell>
          <cell r="H228">
            <v>128530</v>
          </cell>
          <cell r="I228">
            <v>5012670</v>
          </cell>
          <cell r="J228" t="str">
            <v>TS.4.14</v>
          </cell>
        </row>
        <row r="229">
          <cell r="B229" t="str">
            <v>F5</v>
          </cell>
          <cell r="E229" t="str">
            <v>MAINTENANCE FACILITIES</v>
          </cell>
        </row>
        <row r="230">
          <cell r="E230" t="str">
            <v>INSPECTION BRIDGE (SUPER STRUCTURE)</v>
          </cell>
        </row>
        <row r="231">
          <cell r="B231" t="str">
            <v>F5.1</v>
          </cell>
          <cell r="E231" t="str">
            <v>Concrete, type C2 for substructures</v>
          </cell>
          <cell r="F231" t="str">
            <v>m³</v>
          </cell>
          <cell r="G231">
            <v>43</v>
          </cell>
          <cell r="H231">
            <v>318197</v>
          </cell>
          <cell r="I231">
            <v>13682471</v>
          </cell>
          <cell r="J231" t="str">
            <v>TS.3.24</v>
          </cell>
        </row>
        <row r="232">
          <cell r="B232" t="str">
            <v>F5.2</v>
          </cell>
          <cell r="E232" t="str">
            <v>Concrete, type E</v>
          </cell>
          <cell r="F232" t="str">
            <v>m³</v>
          </cell>
          <cell r="G232">
            <v>4</v>
          </cell>
          <cell r="H232">
            <v>323505</v>
          </cell>
          <cell r="I232">
            <v>1294020</v>
          </cell>
          <cell r="J232" t="str">
            <v>TS.3.24</v>
          </cell>
        </row>
        <row r="233">
          <cell r="B233" t="str">
            <v>F5.3</v>
          </cell>
          <cell r="E233" t="str">
            <v>Formwork FW1</v>
          </cell>
          <cell r="F233" t="str">
            <v>m²</v>
          </cell>
          <cell r="G233">
            <v>1790</v>
          </cell>
          <cell r="H233">
            <v>70833</v>
          </cell>
          <cell r="I233">
            <v>126791070</v>
          </cell>
          <cell r="J233" t="str">
            <v>TS.3.24</v>
          </cell>
        </row>
        <row r="234">
          <cell r="B234" t="str">
            <v>F5.4</v>
          </cell>
          <cell r="E234" t="str">
            <v>Formwork FW2</v>
          </cell>
          <cell r="F234" t="str">
            <v>m²</v>
          </cell>
          <cell r="G234">
            <v>340</v>
          </cell>
          <cell r="H234">
            <v>84938</v>
          </cell>
          <cell r="I234">
            <v>28878920</v>
          </cell>
          <cell r="J234" t="str">
            <v>TS.3.24</v>
          </cell>
        </row>
        <row r="235">
          <cell r="B235" t="str">
            <v>F5.5</v>
          </cell>
          <cell r="E235" t="str">
            <v>Reinforcing steel bars</v>
          </cell>
          <cell r="F235" t="str">
            <v>kg</v>
          </cell>
          <cell r="G235">
            <v>5390</v>
          </cell>
          <cell r="H235">
            <v>3554</v>
          </cell>
          <cell r="I235">
            <v>19156060</v>
          </cell>
          <cell r="J235" t="str">
            <v>TS.3.24</v>
          </cell>
        </row>
        <row r="236">
          <cell r="B236" t="str">
            <v>F5.6</v>
          </cell>
          <cell r="E236" t="str">
            <v>Steel plate girder</v>
          </cell>
          <cell r="F236" t="str">
            <v>ls</v>
          </cell>
          <cell r="G236">
            <v>1</v>
          </cell>
          <cell r="H236">
            <v>239189979</v>
          </cell>
          <cell r="I236">
            <v>239189979</v>
          </cell>
          <cell r="J236" t="str">
            <v>TS.8.07</v>
          </cell>
        </row>
        <row r="237">
          <cell r="B237" t="str">
            <v>F5.7</v>
          </cell>
          <cell r="E237" t="str">
            <v>Supply and driving of RC piles, 400 mm x 400 mm, L = 15 m</v>
          </cell>
          <cell r="F237" t="str">
            <v>m</v>
          </cell>
          <cell r="G237">
            <v>360</v>
          </cell>
          <cell r="H237">
            <v>192728</v>
          </cell>
          <cell r="I237">
            <v>69382080</v>
          </cell>
          <cell r="J237" t="str">
            <v>TS.5.07</v>
          </cell>
        </row>
        <row r="238">
          <cell r="E238" t="str">
            <v>CONTROL HOUSE</v>
          </cell>
        </row>
        <row r="239">
          <cell r="B239" t="str">
            <v>F5.8</v>
          </cell>
          <cell r="E239" t="str">
            <v>Control house</v>
          </cell>
          <cell r="F239" t="str">
            <v>ls</v>
          </cell>
          <cell r="G239">
            <v>1</v>
          </cell>
          <cell r="H239">
            <v>21215310</v>
          </cell>
          <cell r="I239">
            <v>21215310</v>
          </cell>
          <cell r="J239" t="str">
            <v>TS.10.13</v>
          </cell>
        </row>
        <row r="241">
          <cell r="B241" t="str">
            <v>G1 - G3</v>
          </cell>
          <cell r="E241" t="str">
            <v>(Not Applicable)</v>
          </cell>
        </row>
        <row r="243">
          <cell r="B243" t="str">
            <v>H</v>
          </cell>
          <cell r="E243" t="str">
            <v>BRIDGE WORKS</v>
          </cell>
        </row>
        <row r="244">
          <cell r="B244" t="str">
            <v>H1</v>
          </cell>
          <cell r="E244" t="str">
            <v>PREPARATION WORKS</v>
          </cell>
        </row>
        <row r="245">
          <cell r="B245" t="str">
            <v>H1-1</v>
          </cell>
          <cell r="E245" t="str">
            <v>Coffering and dewatering</v>
          </cell>
          <cell r="F245" t="str">
            <v>ls</v>
          </cell>
          <cell r="G245">
            <v>1</v>
          </cell>
          <cell r="H245">
            <v>101635586</v>
          </cell>
          <cell r="I245">
            <v>101635586</v>
          </cell>
          <cell r="J245" t="str">
            <v>TS.1.04</v>
          </cell>
        </row>
        <row r="246">
          <cell r="B246" t="str">
            <v>H1-2</v>
          </cell>
          <cell r="E246" t="str">
            <v>Clearing and grubbing</v>
          </cell>
          <cell r="F246" t="str">
            <v>m²</v>
          </cell>
          <cell r="G246">
            <v>3030</v>
          </cell>
          <cell r="H246">
            <v>4019</v>
          </cell>
          <cell r="I246">
            <v>12177570</v>
          </cell>
          <cell r="J246" t="str">
            <v>TS.2.10</v>
          </cell>
        </row>
        <row r="247">
          <cell r="B247" t="str">
            <v>H2</v>
          </cell>
          <cell r="E247" t="str">
            <v>TITI BESI BRIDGE (P1)</v>
          </cell>
        </row>
        <row r="248">
          <cell r="B248" t="str">
            <v>H2.1</v>
          </cell>
          <cell r="E248" t="str">
            <v>EARTH WORKS</v>
          </cell>
        </row>
        <row r="249">
          <cell r="B249" t="str">
            <v>H2-1.1</v>
          </cell>
          <cell r="E249" t="str">
            <v>Excavation (common)</v>
          </cell>
          <cell r="F249" t="str">
            <v>m³</v>
          </cell>
          <cell r="G249">
            <v>1810</v>
          </cell>
          <cell r="H249">
            <v>6921</v>
          </cell>
          <cell r="I249">
            <v>12527010</v>
          </cell>
          <cell r="J249" t="str">
            <v>TS.2.10</v>
          </cell>
        </row>
        <row r="250">
          <cell r="B250" t="str">
            <v>H2-1.2</v>
          </cell>
          <cell r="E250" t="str">
            <v>Embankment</v>
          </cell>
          <cell r="F250" t="str">
            <v>m³</v>
          </cell>
          <cell r="G250">
            <v>4320</v>
          </cell>
          <cell r="H250">
            <v>5574</v>
          </cell>
          <cell r="I250">
            <v>24079680</v>
          </cell>
          <cell r="J250" t="str">
            <v>TS.2.10</v>
          </cell>
        </row>
        <row r="251">
          <cell r="B251" t="str">
            <v>H2-1.3</v>
          </cell>
          <cell r="E251" t="str">
            <v>Backfill with selected soil</v>
          </cell>
          <cell r="F251" t="str">
            <v>m³</v>
          </cell>
          <cell r="G251">
            <v>900</v>
          </cell>
          <cell r="H251">
            <v>5530</v>
          </cell>
          <cell r="I251">
            <v>4977000</v>
          </cell>
          <cell r="J251" t="str">
            <v>TS.2.10</v>
          </cell>
        </row>
        <row r="252">
          <cell r="B252" t="str">
            <v>H2-1.4</v>
          </cell>
          <cell r="E252" t="str">
            <v>Solid sodding</v>
          </cell>
          <cell r="F252" t="str">
            <v>m²</v>
          </cell>
          <cell r="G252">
            <v>610</v>
          </cell>
          <cell r="H252">
            <v>6139</v>
          </cell>
          <cell r="I252">
            <v>3744790</v>
          </cell>
          <cell r="J252" t="str">
            <v>TS.4.14</v>
          </cell>
        </row>
        <row r="253">
          <cell r="B253" t="str">
            <v>H2-1.5</v>
          </cell>
          <cell r="E253" t="str">
            <v>Demolition and removal of existing structure</v>
          </cell>
          <cell r="F253" t="str">
            <v>ls</v>
          </cell>
          <cell r="G253">
            <v>1</v>
          </cell>
          <cell r="H253">
            <v>31972850</v>
          </cell>
          <cell r="I253">
            <v>31972850</v>
          </cell>
          <cell r="J253" t="str">
            <v>TS.2.10</v>
          </cell>
        </row>
        <row r="254">
          <cell r="B254" t="str">
            <v>H2.2</v>
          </cell>
          <cell r="E254" t="str">
            <v>PILE FOUNDATION WORKS for PIER and ABUTMENT</v>
          </cell>
        </row>
        <row r="255">
          <cell r="B255" t="str">
            <v>H2-2.1</v>
          </cell>
          <cell r="E255" t="str">
            <v>SP pile for test pile, dia. 400 mm</v>
          </cell>
          <cell r="F255" t="str">
            <v>m</v>
          </cell>
          <cell r="G255">
            <v>19</v>
          </cell>
          <cell r="H255">
            <v>366915</v>
          </cell>
          <cell r="I255">
            <v>6971385</v>
          </cell>
          <cell r="J255" t="str">
            <v>TS.5.07</v>
          </cell>
        </row>
        <row r="256">
          <cell r="B256" t="str">
            <v>H2-2.2</v>
          </cell>
          <cell r="E256" t="str">
            <v>PC pile for test pile, dia. 400 mm, type B</v>
          </cell>
          <cell r="F256" t="str">
            <v>m</v>
          </cell>
          <cell r="G256">
            <v>16</v>
          </cell>
          <cell r="H256">
            <v>142967</v>
          </cell>
          <cell r="I256">
            <v>2287472</v>
          </cell>
          <cell r="J256" t="str">
            <v>TS.5.07</v>
          </cell>
        </row>
        <row r="257">
          <cell r="B257" t="str">
            <v>H2-2.3</v>
          </cell>
          <cell r="E257" t="str">
            <v>Static load test for SP and PC pile</v>
          </cell>
          <cell r="F257" t="str">
            <v>nos</v>
          </cell>
          <cell r="G257">
            <v>1</v>
          </cell>
          <cell r="H257">
            <v>19983031</v>
          </cell>
          <cell r="I257">
            <v>19983031</v>
          </cell>
          <cell r="J257" t="str">
            <v>TS.5.07</v>
          </cell>
        </row>
        <row r="258">
          <cell r="B258" t="str">
            <v>H2-2.4</v>
          </cell>
          <cell r="E258" t="str">
            <v>Supply and driving of SP piles, dia. 400 mm</v>
          </cell>
          <cell r="F258" t="str">
            <v>m</v>
          </cell>
          <cell r="G258">
            <v>990</v>
          </cell>
          <cell r="H258">
            <v>366915</v>
          </cell>
          <cell r="I258">
            <v>363245850</v>
          </cell>
          <cell r="J258" t="str">
            <v>TS.5.07</v>
          </cell>
        </row>
        <row r="259">
          <cell r="B259" t="str">
            <v>H2-2.5</v>
          </cell>
          <cell r="E259" t="str">
            <v>Supply and driving of PC piles, dia. 400 mm, type B</v>
          </cell>
          <cell r="F259" t="str">
            <v>m</v>
          </cell>
          <cell r="G259">
            <v>900</v>
          </cell>
          <cell r="H259">
            <v>142967</v>
          </cell>
          <cell r="I259">
            <v>128670300</v>
          </cell>
          <cell r="J259" t="str">
            <v>TS.5.07</v>
          </cell>
        </row>
        <row r="260">
          <cell r="B260" t="str">
            <v>H2-2.6</v>
          </cell>
          <cell r="E260" t="str">
            <v>Reinforcing steel bar</v>
          </cell>
          <cell r="F260" t="str">
            <v>kg</v>
          </cell>
          <cell r="G260">
            <v>14500</v>
          </cell>
          <cell r="H260">
            <v>3554</v>
          </cell>
          <cell r="I260">
            <v>51533000</v>
          </cell>
          <cell r="J260" t="str">
            <v>TS.3.24</v>
          </cell>
        </row>
        <row r="261">
          <cell r="B261" t="str">
            <v>H2-2.7</v>
          </cell>
          <cell r="E261" t="str">
            <v>Concrete, type C1</v>
          </cell>
          <cell r="F261" t="str">
            <v>m³</v>
          </cell>
          <cell r="G261">
            <v>51</v>
          </cell>
          <cell r="H261">
            <v>316982</v>
          </cell>
          <cell r="I261">
            <v>16166082</v>
          </cell>
          <cell r="J261" t="str">
            <v>TS.3.24</v>
          </cell>
        </row>
        <row r="262">
          <cell r="B262" t="str">
            <v>H2.3</v>
          </cell>
          <cell r="E262" t="str">
            <v>CONCRETE WORKS  for PIER, ABUTMENT and APPROACH SLAB</v>
          </cell>
        </row>
        <row r="263">
          <cell r="B263" t="str">
            <v>H2-3.1</v>
          </cell>
          <cell r="E263" t="str">
            <v>Concrete, type C1</v>
          </cell>
          <cell r="F263" t="str">
            <v>m³</v>
          </cell>
          <cell r="G263">
            <v>500</v>
          </cell>
          <cell r="H263">
            <v>314524</v>
          </cell>
          <cell r="I263">
            <v>157262000</v>
          </cell>
          <cell r="J263" t="str">
            <v>TS.3.24</v>
          </cell>
        </row>
        <row r="264">
          <cell r="B264" t="str">
            <v>H2-3.2</v>
          </cell>
          <cell r="E264" t="str">
            <v>Concrete, type E</v>
          </cell>
          <cell r="F264" t="str">
            <v>m³</v>
          </cell>
          <cell r="G264">
            <v>22</v>
          </cell>
          <cell r="H264">
            <v>289443</v>
          </cell>
          <cell r="I264">
            <v>6367746</v>
          </cell>
          <cell r="J264" t="str">
            <v>TS.3.24</v>
          </cell>
        </row>
        <row r="265">
          <cell r="B265" t="str">
            <v>H2-3.3</v>
          </cell>
          <cell r="E265" t="str">
            <v>Reinforcing steel bar</v>
          </cell>
          <cell r="F265" t="str">
            <v>kg</v>
          </cell>
          <cell r="G265">
            <v>74900</v>
          </cell>
          <cell r="H265">
            <v>3554</v>
          </cell>
          <cell r="I265">
            <v>266194600</v>
          </cell>
          <cell r="J265" t="str">
            <v>TS.3.24</v>
          </cell>
        </row>
        <row r="266">
          <cell r="B266" t="str">
            <v>H2-3.4</v>
          </cell>
          <cell r="E266" t="str">
            <v>Formwork FW1</v>
          </cell>
          <cell r="F266" t="str">
            <v>m²</v>
          </cell>
          <cell r="G266">
            <v>340</v>
          </cell>
          <cell r="H266">
            <v>70833</v>
          </cell>
          <cell r="I266">
            <v>24083220</v>
          </cell>
          <cell r="J266" t="str">
            <v>TS.3.24</v>
          </cell>
        </row>
        <row r="267">
          <cell r="B267" t="str">
            <v>H2-3.5</v>
          </cell>
          <cell r="E267" t="str">
            <v>Formwork FW2</v>
          </cell>
          <cell r="F267" t="str">
            <v>m²</v>
          </cell>
          <cell r="G267">
            <v>460</v>
          </cell>
          <cell r="H267">
            <v>84938</v>
          </cell>
          <cell r="I267">
            <v>39071480</v>
          </cell>
          <cell r="J267" t="str">
            <v>TS.3.24</v>
          </cell>
        </row>
        <row r="268">
          <cell r="B268" t="str">
            <v>H2-3.6</v>
          </cell>
          <cell r="E268" t="str">
            <v>Rubble stone bedding</v>
          </cell>
          <cell r="F268" t="str">
            <v>m³</v>
          </cell>
          <cell r="G268">
            <v>46</v>
          </cell>
          <cell r="H268">
            <v>75157</v>
          </cell>
          <cell r="I268">
            <v>3457222</v>
          </cell>
          <cell r="J268" t="str">
            <v>TS.4.14</v>
          </cell>
        </row>
        <row r="269">
          <cell r="B269" t="str">
            <v>H2.4</v>
          </cell>
          <cell r="E269" t="str">
            <v>CONCRETE WORKS for SUPER STRUCTURE</v>
          </cell>
        </row>
        <row r="270">
          <cell r="B270" t="str">
            <v>H2-4.1</v>
          </cell>
          <cell r="E270" t="str">
            <v>Precast prestressed concrete beam including tensioning and erection</v>
          </cell>
          <cell r="F270" t="str">
            <v>ls</v>
          </cell>
          <cell r="G270">
            <v>1</v>
          </cell>
          <cell r="H270">
            <v>678092960</v>
          </cell>
          <cell r="I270">
            <v>678092960</v>
          </cell>
          <cell r="J270" t="str">
            <v>TS.8.07</v>
          </cell>
        </row>
        <row r="271">
          <cell r="B271" t="str">
            <v>H2-4.2</v>
          </cell>
          <cell r="E271" t="str">
            <v>Precast prestressed concrete diaphragm</v>
          </cell>
          <cell r="F271" t="str">
            <v>ls</v>
          </cell>
          <cell r="G271">
            <v>1</v>
          </cell>
          <cell r="H271">
            <v>20168232</v>
          </cell>
          <cell r="I271">
            <v>20168232</v>
          </cell>
          <cell r="J271" t="str">
            <v>TS.8.07</v>
          </cell>
        </row>
        <row r="272">
          <cell r="B272" t="str">
            <v>H2-4.3</v>
          </cell>
          <cell r="E272" t="str">
            <v>Prestressed concrete panel for slab</v>
          </cell>
          <cell r="F272" t="str">
            <v>ls</v>
          </cell>
          <cell r="G272">
            <v>1</v>
          </cell>
          <cell r="H272">
            <v>109406928</v>
          </cell>
          <cell r="I272">
            <v>109406928</v>
          </cell>
          <cell r="J272" t="str">
            <v>TS.8.07</v>
          </cell>
        </row>
        <row r="273">
          <cell r="B273" t="str">
            <v>H2-4.4</v>
          </cell>
          <cell r="E273" t="str">
            <v>Concrete, type B for slab</v>
          </cell>
          <cell r="F273" t="str">
            <v>m³</v>
          </cell>
          <cell r="G273">
            <v>190</v>
          </cell>
          <cell r="H273">
            <v>412435</v>
          </cell>
          <cell r="I273">
            <v>78362650</v>
          </cell>
          <cell r="J273" t="str">
            <v>TS.3.24</v>
          </cell>
        </row>
        <row r="274">
          <cell r="B274" t="str">
            <v>H2-4.5</v>
          </cell>
          <cell r="E274" t="str">
            <v>Reinforcing steel bar</v>
          </cell>
          <cell r="F274" t="str">
            <v>kg</v>
          </cell>
          <cell r="G274">
            <v>36500</v>
          </cell>
          <cell r="H274">
            <v>3554</v>
          </cell>
          <cell r="I274">
            <v>129721000</v>
          </cell>
          <cell r="J274" t="str">
            <v>TS.3.24</v>
          </cell>
        </row>
        <row r="275">
          <cell r="B275" t="str">
            <v>H2-4.6</v>
          </cell>
          <cell r="E275" t="str">
            <v>Formwork FW2</v>
          </cell>
          <cell r="F275" t="str">
            <v>m²</v>
          </cell>
          <cell r="G275">
            <v>360</v>
          </cell>
          <cell r="H275">
            <v>84938</v>
          </cell>
          <cell r="I275">
            <v>30577680</v>
          </cell>
          <cell r="J275" t="str">
            <v>TS.3.24</v>
          </cell>
        </row>
        <row r="276">
          <cell r="B276" t="str">
            <v>H2.5</v>
          </cell>
          <cell r="E276" t="str">
            <v>MISCELLANEOUS WORKS</v>
          </cell>
        </row>
        <row r="277">
          <cell r="B277" t="str">
            <v>H2-5.1</v>
          </cell>
          <cell r="E277" t="str">
            <v>Expansion joint steel profile (75 mm x 75 mm x 6 mm)</v>
          </cell>
          <cell r="F277" t="str">
            <v>m</v>
          </cell>
          <cell r="G277">
            <v>32</v>
          </cell>
          <cell r="H277">
            <v>79130</v>
          </cell>
          <cell r="I277">
            <v>2532160</v>
          </cell>
          <cell r="J277" t="str">
            <v>TS.6.09</v>
          </cell>
        </row>
        <row r="278">
          <cell r="B278" t="str">
            <v>H2-5.2</v>
          </cell>
          <cell r="E278" t="str">
            <v>Elastomeric bearing pad for abutment 406 mm x 280 mm x 67 mm</v>
          </cell>
          <cell r="F278" t="str">
            <v>nos</v>
          </cell>
          <cell r="G278">
            <v>11</v>
          </cell>
          <cell r="H278">
            <v>739517</v>
          </cell>
          <cell r="I278">
            <v>8134687</v>
          </cell>
          <cell r="J278" t="str">
            <v>TS.8.07</v>
          </cell>
        </row>
        <row r="279">
          <cell r="B279" t="str">
            <v>H2-5.3</v>
          </cell>
          <cell r="E279" t="str">
            <v>Elastomeric bearing pad for pier 406 mm x 280 mm x 67 mm</v>
          </cell>
          <cell r="F279" t="str">
            <v>nos</v>
          </cell>
          <cell r="G279">
            <v>22</v>
          </cell>
          <cell r="H279">
            <v>739517</v>
          </cell>
          <cell r="I279">
            <v>16269374</v>
          </cell>
          <cell r="J279" t="str">
            <v>TS.8.07</v>
          </cell>
        </row>
        <row r="280">
          <cell r="B280" t="str">
            <v>H2-5.4</v>
          </cell>
          <cell r="E280" t="str">
            <v>Galvanized pipe drain dia. 100 mm</v>
          </cell>
          <cell r="F280" t="str">
            <v>m</v>
          </cell>
          <cell r="G280">
            <v>66</v>
          </cell>
          <cell r="H280">
            <v>83894</v>
          </cell>
          <cell r="I280">
            <v>5537004</v>
          </cell>
          <cell r="J280" t="str">
            <v>TS.8.07</v>
          </cell>
        </row>
        <row r="281">
          <cell r="B281" t="str">
            <v>H2-5.5</v>
          </cell>
          <cell r="E281" t="str">
            <v>Handrail, galvanized steel pipe</v>
          </cell>
          <cell r="F281" t="str">
            <v>kg</v>
          </cell>
          <cell r="G281">
            <v>4170</v>
          </cell>
          <cell r="H281">
            <v>6963</v>
          </cell>
          <cell r="I281">
            <v>29035710</v>
          </cell>
          <cell r="J281" t="str">
            <v>TS.6.09</v>
          </cell>
        </row>
        <row r="282">
          <cell r="B282" t="str">
            <v>H2-5.6</v>
          </cell>
          <cell r="E282" t="str">
            <v>Concrete, type C1 for handrail post, curb and footpass</v>
          </cell>
          <cell r="F282" t="str">
            <v>m³</v>
          </cell>
          <cell r="G282">
            <v>66</v>
          </cell>
          <cell r="H282">
            <v>315498</v>
          </cell>
          <cell r="I282">
            <v>20822868</v>
          </cell>
          <cell r="J282" t="str">
            <v>TS.3.24</v>
          </cell>
        </row>
        <row r="283">
          <cell r="B283" t="str">
            <v>H2-5.7</v>
          </cell>
          <cell r="E283" t="str">
            <v>Formwork FW1</v>
          </cell>
          <cell r="F283" t="str">
            <v>m²</v>
          </cell>
          <cell r="G283">
            <v>295</v>
          </cell>
          <cell r="H283">
            <v>70833</v>
          </cell>
          <cell r="I283">
            <v>20895735</v>
          </cell>
          <cell r="J283" t="str">
            <v>TS.3.24</v>
          </cell>
        </row>
        <row r="284">
          <cell r="B284" t="str">
            <v>H2-5.8</v>
          </cell>
          <cell r="E284" t="str">
            <v>Name plate</v>
          </cell>
          <cell r="F284" t="str">
            <v>nos</v>
          </cell>
          <cell r="G284">
            <v>2</v>
          </cell>
          <cell r="H284">
            <v>999152</v>
          </cell>
          <cell r="I284">
            <v>1998304</v>
          </cell>
          <cell r="J284" t="str">
            <v>TS.8.07</v>
          </cell>
        </row>
        <row r="285">
          <cell r="B285" t="str">
            <v>H2.6</v>
          </cell>
          <cell r="E285" t="str">
            <v>DRAINAGE DITCH and RETAINING WALL for APPROACH ROAD</v>
          </cell>
        </row>
        <row r="286">
          <cell r="B286" t="str">
            <v>H2-6.1</v>
          </cell>
          <cell r="E286" t="str">
            <v>Backfill with gravel</v>
          </cell>
          <cell r="F286" t="str">
            <v>m³</v>
          </cell>
          <cell r="G286">
            <v>110</v>
          </cell>
          <cell r="H286">
            <v>77757</v>
          </cell>
          <cell r="I286">
            <v>8553270</v>
          </cell>
          <cell r="J286" t="str">
            <v>TS.4.14</v>
          </cell>
        </row>
        <row r="287">
          <cell r="B287" t="str">
            <v>H2-6.2</v>
          </cell>
          <cell r="E287" t="str">
            <v>Wet stone masonry (1:4) for drainage ditch</v>
          </cell>
          <cell r="F287" t="str">
            <v>m³</v>
          </cell>
          <cell r="G287">
            <v>1190</v>
          </cell>
          <cell r="H287">
            <v>163909</v>
          </cell>
          <cell r="I287">
            <v>195051710</v>
          </cell>
          <cell r="J287" t="str">
            <v>TS.4.14</v>
          </cell>
        </row>
        <row r="288">
          <cell r="B288" t="str">
            <v>H2-6.3</v>
          </cell>
          <cell r="E288" t="str">
            <v>Cement mortar plastering</v>
          </cell>
          <cell r="F288" t="str">
            <v>m²</v>
          </cell>
          <cell r="G288">
            <v>990</v>
          </cell>
          <cell r="H288">
            <v>12274</v>
          </cell>
          <cell r="I288">
            <v>12151260</v>
          </cell>
          <cell r="J288" t="str">
            <v>TS.4.14</v>
          </cell>
        </row>
        <row r="289">
          <cell r="B289" t="str">
            <v>H2-6.4</v>
          </cell>
          <cell r="E289" t="str">
            <v>Concrete, type C1</v>
          </cell>
          <cell r="F289" t="str">
            <v>m³</v>
          </cell>
          <cell r="G289">
            <v>9</v>
          </cell>
          <cell r="H289">
            <v>347458</v>
          </cell>
          <cell r="I289">
            <v>3127122</v>
          </cell>
          <cell r="J289" t="str">
            <v>TS.3.24</v>
          </cell>
        </row>
        <row r="290">
          <cell r="B290" t="str">
            <v>H2-6.5</v>
          </cell>
          <cell r="E290" t="str">
            <v>Concrete, type E</v>
          </cell>
          <cell r="F290" t="str">
            <v>m³</v>
          </cell>
          <cell r="G290">
            <v>4</v>
          </cell>
          <cell r="H290">
            <v>323505</v>
          </cell>
          <cell r="I290">
            <v>1294020</v>
          </cell>
          <cell r="J290" t="str">
            <v>TS.3.24</v>
          </cell>
        </row>
        <row r="291">
          <cell r="B291" t="str">
            <v>H2-6.6</v>
          </cell>
          <cell r="E291" t="str">
            <v>Reinforcing steel bar</v>
          </cell>
          <cell r="F291" t="str">
            <v>kg</v>
          </cell>
          <cell r="G291">
            <v>1160</v>
          </cell>
          <cell r="H291">
            <v>3554</v>
          </cell>
          <cell r="I291">
            <v>4122640</v>
          </cell>
          <cell r="J291" t="str">
            <v>TS.3.24</v>
          </cell>
        </row>
        <row r="292">
          <cell r="B292" t="str">
            <v>H2-6.7</v>
          </cell>
          <cell r="E292" t="str">
            <v>Formwork FW1</v>
          </cell>
          <cell r="F292" t="str">
            <v>m²</v>
          </cell>
          <cell r="G292">
            <v>470</v>
          </cell>
          <cell r="H292">
            <v>70833</v>
          </cell>
          <cell r="I292">
            <v>33291510</v>
          </cell>
          <cell r="J292" t="str">
            <v>TS.3.24</v>
          </cell>
        </row>
        <row r="293">
          <cell r="B293" t="str">
            <v>H2-6.8</v>
          </cell>
          <cell r="E293" t="str">
            <v>Weep hole, dia. 50 mm, including filter clotch L = 1.5 m</v>
          </cell>
          <cell r="F293" t="str">
            <v>nos</v>
          </cell>
          <cell r="G293">
            <v>240</v>
          </cell>
          <cell r="H293">
            <v>72163</v>
          </cell>
          <cell r="I293">
            <v>17319120</v>
          </cell>
          <cell r="J293" t="str">
            <v>TS.4.14</v>
          </cell>
        </row>
        <row r="294">
          <cell r="B294" t="str">
            <v>H2.7</v>
          </cell>
          <cell r="E294" t="str">
            <v>PAVEMENT (SUPERSTRUCTURE and APPROACH ROAD : CLASS II)</v>
          </cell>
        </row>
        <row r="295">
          <cell r="B295" t="str">
            <v>H2-7.1</v>
          </cell>
          <cell r="E295" t="str">
            <v>Sub-base course (class B)</v>
          </cell>
          <cell r="F295" t="str">
            <v>m³</v>
          </cell>
          <cell r="G295">
            <v>220</v>
          </cell>
          <cell r="H295">
            <v>108708</v>
          </cell>
          <cell r="I295">
            <v>23915760</v>
          </cell>
          <cell r="J295" t="str">
            <v>TS.7.09</v>
          </cell>
        </row>
        <row r="296">
          <cell r="B296" t="str">
            <v>H2-7.2</v>
          </cell>
          <cell r="E296" t="str">
            <v>Base course (class A)</v>
          </cell>
          <cell r="F296" t="str">
            <v>m³</v>
          </cell>
          <cell r="G296">
            <v>100</v>
          </cell>
          <cell r="H296">
            <v>115502</v>
          </cell>
          <cell r="I296">
            <v>11550200</v>
          </cell>
          <cell r="J296" t="str">
            <v>TS.7.09</v>
          </cell>
        </row>
        <row r="297">
          <cell r="B297" t="str">
            <v>H2-7.3</v>
          </cell>
          <cell r="E297" t="str">
            <v>Asphalt treatment base (A.T.B)</v>
          </cell>
          <cell r="F297" t="str">
            <v>ton</v>
          </cell>
          <cell r="G297">
            <v>150</v>
          </cell>
          <cell r="H297">
            <v>319328</v>
          </cell>
          <cell r="I297">
            <v>47899200</v>
          </cell>
          <cell r="J297" t="str">
            <v>TS.7.09</v>
          </cell>
        </row>
        <row r="298">
          <cell r="B298" t="str">
            <v>H2-7.4</v>
          </cell>
          <cell r="E298" t="str">
            <v>Bituminous prime coat</v>
          </cell>
          <cell r="F298" t="str">
            <v>liter</v>
          </cell>
          <cell r="G298">
            <v>1550</v>
          </cell>
          <cell r="H298">
            <v>3737</v>
          </cell>
          <cell r="I298">
            <v>5792350</v>
          </cell>
          <cell r="J298" t="str">
            <v>TS.7.09</v>
          </cell>
        </row>
        <row r="299">
          <cell r="B299" t="str">
            <v>H2-7.5</v>
          </cell>
          <cell r="E299" t="str">
            <v>Bituminous surface course 50 mm thick</v>
          </cell>
          <cell r="F299" t="str">
            <v>ton</v>
          </cell>
          <cell r="G299">
            <v>150</v>
          </cell>
          <cell r="H299">
            <v>322726</v>
          </cell>
          <cell r="I299">
            <v>48408900</v>
          </cell>
          <cell r="J299" t="str">
            <v>TS.7.09</v>
          </cell>
        </row>
        <row r="300">
          <cell r="B300" t="str">
            <v>H3</v>
          </cell>
          <cell r="E300" t="str">
            <v>PERKUBUNAN BRIDGE (P2)</v>
          </cell>
        </row>
        <row r="301">
          <cell r="B301" t="str">
            <v>H3.1</v>
          </cell>
          <cell r="E301" t="str">
            <v>EARTH WORK</v>
          </cell>
        </row>
        <row r="302">
          <cell r="B302" t="str">
            <v>H3-1.1</v>
          </cell>
          <cell r="E302" t="str">
            <v>Excavation (common)</v>
          </cell>
          <cell r="F302" t="str">
            <v>m³</v>
          </cell>
          <cell r="G302">
            <v>2990</v>
          </cell>
          <cell r="H302">
            <v>6921</v>
          </cell>
          <cell r="I302">
            <v>20693790</v>
          </cell>
          <cell r="J302" t="str">
            <v>TS.2.10</v>
          </cell>
        </row>
        <row r="303">
          <cell r="B303" t="str">
            <v>H3-1.2</v>
          </cell>
          <cell r="E303" t="str">
            <v>Embankment</v>
          </cell>
          <cell r="F303" t="str">
            <v>m³</v>
          </cell>
          <cell r="G303">
            <v>4720</v>
          </cell>
          <cell r="H303">
            <v>5574</v>
          </cell>
          <cell r="I303">
            <v>26309280</v>
          </cell>
          <cell r="J303" t="str">
            <v>TS.2.10</v>
          </cell>
        </row>
        <row r="304">
          <cell r="B304" t="str">
            <v>H3-1.3</v>
          </cell>
          <cell r="E304" t="str">
            <v>Backfill with selected soil</v>
          </cell>
          <cell r="F304" t="str">
            <v>m³</v>
          </cell>
          <cell r="G304">
            <v>830</v>
          </cell>
          <cell r="H304">
            <v>5530</v>
          </cell>
          <cell r="I304">
            <v>4589900</v>
          </cell>
          <cell r="J304" t="str">
            <v>TS.2.10</v>
          </cell>
        </row>
        <row r="305">
          <cell r="B305" t="str">
            <v>H3-1.4</v>
          </cell>
          <cell r="E305" t="str">
            <v>Solid sodding</v>
          </cell>
          <cell r="F305" t="str">
            <v>m²</v>
          </cell>
          <cell r="G305">
            <v>640</v>
          </cell>
          <cell r="H305">
            <v>6139</v>
          </cell>
          <cell r="I305">
            <v>3928960</v>
          </cell>
          <cell r="J305" t="str">
            <v>TS.4.14</v>
          </cell>
        </row>
        <row r="306">
          <cell r="B306" t="str">
            <v>H3-1.5</v>
          </cell>
          <cell r="E306" t="str">
            <v>Demolition and removal of existing structure</v>
          </cell>
          <cell r="F306" t="str">
            <v>ls</v>
          </cell>
          <cell r="G306">
            <v>1</v>
          </cell>
          <cell r="H306">
            <v>20156373</v>
          </cell>
          <cell r="I306">
            <v>20156373</v>
          </cell>
          <cell r="J306" t="str">
            <v>TS.2.10</v>
          </cell>
        </row>
        <row r="307">
          <cell r="B307" t="str">
            <v>H3.2</v>
          </cell>
          <cell r="E307" t="str">
            <v>PILE FOUNDATION WORKS for PIER and ABUTMENT</v>
          </cell>
        </row>
        <row r="308">
          <cell r="B308" t="str">
            <v>H3-2.1</v>
          </cell>
          <cell r="E308" t="str">
            <v>SP pile for test pile, dia. 400 mm</v>
          </cell>
          <cell r="F308" t="str">
            <v>m</v>
          </cell>
          <cell r="G308">
            <v>20</v>
          </cell>
          <cell r="H308">
            <v>366915</v>
          </cell>
          <cell r="I308">
            <v>7338300</v>
          </cell>
          <cell r="J308" t="str">
            <v>TS.5.07</v>
          </cell>
        </row>
        <row r="309">
          <cell r="B309" t="str">
            <v>H3-2.2</v>
          </cell>
          <cell r="E309" t="str">
            <v>PC pile for test pile, dia. 400 mm, type B</v>
          </cell>
          <cell r="F309" t="str">
            <v>m</v>
          </cell>
          <cell r="G309">
            <v>20</v>
          </cell>
          <cell r="H309">
            <v>142967</v>
          </cell>
          <cell r="I309">
            <v>2859340</v>
          </cell>
          <cell r="J309" t="str">
            <v>TS.5.07</v>
          </cell>
        </row>
        <row r="310">
          <cell r="B310" t="str">
            <v>H3-2.3</v>
          </cell>
          <cell r="E310" t="str">
            <v>Static load test for SP and PC pile</v>
          </cell>
          <cell r="F310" t="str">
            <v>nos</v>
          </cell>
          <cell r="G310">
            <v>1</v>
          </cell>
          <cell r="H310">
            <v>19983031</v>
          </cell>
          <cell r="I310">
            <v>19983031</v>
          </cell>
          <cell r="J310" t="str">
            <v>TS.5.07</v>
          </cell>
        </row>
        <row r="311">
          <cell r="B311" t="str">
            <v>H3-2.4</v>
          </cell>
          <cell r="E311" t="str">
            <v>Supply and driving of SP piles, dia. 400 mm</v>
          </cell>
          <cell r="F311" t="str">
            <v>m</v>
          </cell>
          <cell r="G311">
            <v>480</v>
          </cell>
          <cell r="H311">
            <v>366915</v>
          </cell>
          <cell r="I311">
            <v>176119200</v>
          </cell>
          <cell r="J311" t="str">
            <v>TS.5.07</v>
          </cell>
        </row>
        <row r="312">
          <cell r="B312" t="str">
            <v>H3-2.5</v>
          </cell>
          <cell r="E312" t="str">
            <v>Supply and driving of PC piles, dia. 400 mm, type B</v>
          </cell>
          <cell r="F312" t="str">
            <v>m</v>
          </cell>
          <cell r="G312">
            <v>1150</v>
          </cell>
          <cell r="H312">
            <v>142967</v>
          </cell>
          <cell r="I312">
            <v>164412050</v>
          </cell>
          <cell r="J312" t="str">
            <v>TS.5.07</v>
          </cell>
        </row>
        <row r="313">
          <cell r="B313" t="str">
            <v>H3-2.6</v>
          </cell>
          <cell r="E313" t="str">
            <v>Reinforcing steel bar</v>
          </cell>
          <cell r="F313" t="str">
            <v>kg</v>
          </cell>
          <cell r="G313">
            <v>9820</v>
          </cell>
          <cell r="H313">
            <v>3554</v>
          </cell>
          <cell r="I313">
            <v>34900280</v>
          </cell>
          <cell r="J313" t="str">
            <v>TS.3.24</v>
          </cell>
        </row>
        <row r="314">
          <cell r="B314" t="str">
            <v>H3-2.7</v>
          </cell>
          <cell r="E314" t="str">
            <v>Concrete, type C1</v>
          </cell>
          <cell r="F314" t="str">
            <v>m³</v>
          </cell>
          <cell r="G314">
            <v>30</v>
          </cell>
          <cell r="H314">
            <v>321554</v>
          </cell>
          <cell r="I314">
            <v>9646620</v>
          </cell>
          <cell r="J314" t="str">
            <v>TS.3.24</v>
          </cell>
        </row>
        <row r="315">
          <cell r="B315" t="str">
            <v>H3.3</v>
          </cell>
          <cell r="E315" t="str">
            <v>CONCRETE WORKS for PIER, ABUTMENT and APPROACH SLAB</v>
          </cell>
        </row>
        <row r="316">
          <cell r="B316" t="str">
            <v>H3-3.1</v>
          </cell>
          <cell r="E316" t="str">
            <v>Concrete, type C1</v>
          </cell>
          <cell r="F316" t="str">
            <v>m³</v>
          </cell>
          <cell r="G316">
            <v>480</v>
          </cell>
          <cell r="H316">
            <v>314524</v>
          </cell>
          <cell r="I316">
            <v>150971520</v>
          </cell>
          <cell r="J316" t="str">
            <v>TS.3.24</v>
          </cell>
        </row>
        <row r="317">
          <cell r="B317" t="str">
            <v>H3-3.2</v>
          </cell>
          <cell r="E317" t="str">
            <v>Concrete, type E</v>
          </cell>
          <cell r="F317" t="str">
            <v>m³</v>
          </cell>
          <cell r="G317">
            <v>22</v>
          </cell>
          <cell r="H317">
            <v>289443</v>
          </cell>
          <cell r="I317">
            <v>6367746</v>
          </cell>
          <cell r="J317" t="str">
            <v>TS.3.24</v>
          </cell>
        </row>
        <row r="318">
          <cell r="B318" t="str">
            <v>H3-3.3</v>
          </cell>
          <cell r="E318" t="str">
            <v>Reinforcing steel bar</v>
          </cell>
          <cell r="F318" t="str">
            <v>kg</v>
          </cell>
          <cell r="G318">
            <v>71600</v>
          </cell>
          <cell r="H318">
            <v>3554</v>
          </cell>
          <cell r="I318">
            <v>254466400</v>
          </cell>
          <cell r="J318" t="str">
            <v>TS.3.24</v>
          </cell>
        </row>
        <row r="319">
          <cell r="B319" t="str">
            <v>H3-3.4</v>
          </cell>
          <cell r="E319" t="str">
            <v>Formwork FW1</v>
          </cell>
          <cell r="F319" t="str">
            <v>m²</v>
          </cell>
          <cell r="G319">
            <v>350</v>
          </cell>
          <cell r="H319">
            <v>70833</v>
          </cell>
          <cell r="I319">
            <v>24791550</v>
          </cell>
          <cell r="J319" t="str">
            <v>TS.3.24</v>
          </cell>
        </row>
        <row r="320">
          <cell r="B320" t="str">
            <v>H3-3.5</v>
          </cell>
          <cell r="E320" t="str">
            <v>Formwork FW2</v>
          </cell>
          <cell r="F320" t="str">
            <v>m²</v>
          </cell>
          <cell r="G320">
            <v>410</v>
          </cell>
          <cell r="H320">
            <v>84938</v>
          </cell>
          <cell r="I320">
            <v>34824580</v>
          </cell>
          <cell r="J320" t="str">
            <v>TS.3.24</v>
          </cell>
        </row>
        <row r="321">
          <cell r="B321" t="str">
            <v>H3-3.6</v>
          </cell>
          <cell r="E321" t="str">
            <v>Rubble stone bedding</v>
          </cell>
          <cell r="F321" t="str">
            <v>m³</v>
          </cell>
          <cell r="G321">
            <v>46</v>
          </cell>
          <cell r="H321">
            <v>75157</v>
          </cell>
          <cell r="I321">
            <v>3457222</v>
          </cell>
          <cell r="J321" t="str">
            <v>TS.4.14</v>
          </cell>
        </row>
        <row r="322">
          <cell r="B322" t="str">
            <v>H3.4</v>
          </cell>
          <cell r="E322" t="str">
            <v>CONCRETE WORKS for SUPER STRUCTURE</v>
          </cell>
        </row>
        <row r="323">
          <cell r="B323" t="str">
            <v>H3-4.1</v>
          </cell>
          <cell r="E323" t="str">
            <v>Precast prestressed concrete beam including tensioning and erection</v>
          </cell>
          <cell r="F323" t="str">
            <v>ls</v>
          </cell>
          <cell r="G323">
            <v>1</v>
          </cell>
          <cell r="H323">
            <v>1208990874</v>
          </cell>
          <cell r="I323">
            <v>1208990874</v>
          </cell>
          <cell r="J323" t="str">
            <v>TS.8.07</v>
          </cell>
        </row>
        <row r="324">
          <cell r="B324" t="str">
            <v>H3-4.2</v>
          </cell>
          <cell r="E324" t="str">
            <v>Precats prestressed concrete diaphragm</v>
          </cell>
          <cell r="F324" t="str">
            <v>ls</v>
          </cell>
          <cell r="G324">
            <v>1</v>
          </cell>
          <cell r="H324">
            <v>32324938</v>
          </cell>
          <cell r="I324">
            <v>32324938</v>
          </cell>
          <cell r="J324" t="str">
            <v>TS.8.07</v>
          </cell>
        </row>
        <row r="325">
          <cell r="B325" t="str">
            <v>H3-4.3</v>
          </cell>
          <cell r="E325" t="str">
            <v>Prestreed concrete panal for slab</v>
          </cell>
          <cell r="F325" t="str">
            <v>ls</v>
          </cell>
          <cell r="G325">
            <v>1</v>
          </cell>
          <cell r="H325">
            <v>149788277</v>
          </cell>
          <cell r="I325">
            <v>149788277</v>
          </cell>
          <cell r="J325" t="str">
            <v>TS.8.07</v>
          </cell>
        </row>
        <row r="326">
          <cell r="B326" t="str">
            <v>H3-4.4</v>
          </cell>
          <cell r="E326" t="str">
            <v>Concrete, type B for slab</v>
          </cell>
          <cell r="F326" t="str">
            <v>m³</v>
          </cell>
          <cell r="G326">
            <v>220</v>
          </cell>
          <cell r="H326">
            <v>412196</v>
          </cell>
          <cell r="I326">
            <v>90683120</v>
          </cell>
          <cell r="J326" t="str">
            <v>TS.3.24</v>
          </cell>
        </row>
        <row r="327">
          <cell r="B327" t="str">
            <v>H3-4.5</v>
          </cell>
          <cell r="E327" t="str">
            <v>Reinforcing steel bar</v>
          </cell>
          <cell r="F327" t="str">
            <v>kg</v>
          </cell>
          <cell r="G327">
            <v>45500</v>
          </cell>
          <cell r="H327">
            <v>3554</v>
          </cell>
          <cell r="I327">
            <v>161707000</v>
          </cell>
          <cell r="J327" t="str">
            <v>TS.3.24</v>
          </cell>
        </row>
        <row r="328">
          <cell r="B328" t="str">
            <v>H3-4.6</v>
          </cell>
          <cell r="E328" t="str">
            <v>Formwork FW2</v>
          </cell>
          <cell r="F328" t="str">
            <v>m²</v>
          </cell>
          <cell r="G328">
            <v>450</v>
          </cell>
          <cell r="H328">
            <v>84938</v>
          </cell>
          <cell r="I328">
            <v>38222100</v>
          </cell>
          <cell r="J328" t="str">
            <v>TS.3.24</v>
          </cell>
        </row>
        <row r="329">
          <cell r="B329" t="str">
            <v>H3.5</v>
          </cell>
          <cell r="E329" t="str">
            <v>MISCELLANEOUS WORKS</v>
          </cell>
        </row>
        <row r="330">
          <cell r="B330" t="str">
            <v>H3-5.1</v>
          </cell>
          <cell r="E330" t="str">
            <v>Expansion joint steel profile (75 mm x 75 mm x 6 mm)</v>
          </cell>
          <cell r="F330" t="str">
            <v>m</v>
          </cell>
          <cell r="G330">
            <v>32</v>
          </cell>
          <cell r="H330">
            <v>79130</v>
          </cell>
          <cell r="I330">
            <v>2532160</v>
          </cell>
          <cell r="J330" t="str">
            <v>TS.6.09</v>
          </cell>
        </row>
        <row r="331">
          <cell r="B331" t="str">
            <v>H3-5.2</v>
          </cell>
          <cell r="E331" t="str">
            <v>Elastomeric bearing pad for abutment 406 mm x 280 mm x 67 mm</v>
          </cell>
          <cell r="F331" t="str">
            <v>nos</v>
          </cell>
          <cell r="G331">
            <v>11</v>
          </cell>
          <cell r="H331">
            <v>739517</v>
          </cell>
          <cell r="I331">
            <v>8134687</v>
          </cell>
          <cell r="J331" t="str">
            <v>TS.8.07</v>
          </cell>
        </row>
        <row r="332">
          <cell r="B332" t="str">
            <v>H3-5.3</v>
          </cell>
          <cell r="E332" t="str">
            <v>Elastomeric bearing pad for pier 480 mm x 300 mm x 67 mm</v>
          </cell>
          <cell r="F332" t="str">
            <v>nos</v>
          </cell>
          <cell r="G332">
            <v>24</v>
          </cell>
          <cell r="H332">
            <v>946965</v>
          </cell>
          <cell r="I332">
            <v>22727160</v>
          </cell>
          <cell r="J332" t="str">
            <v>TS.8.07</v>
          </cell>
        </row>
        <row r="333">
          <cell r="B333" t="str">
            <v>H3-5.4</v>
          </cell>
          <cell r="E333" t="str">
            <v>Galvanized pipe drain dia. 100 mm</v>
          </cell>
          <cell r="F333" t="str">
            <v>m</v>
          </cell>
          <cell r="G333">
            <v>81</v>
          </cell>
          <cell r="H333">
            <v>83894</v>
          </cell>
          <cell r="I333">
            <v>6795414</v>
          </cell>
          <cell r="J333" t="str">
            <v>TS.8.07</v>
          </cell>
        </row>
        <row r="334">
          <cell r="B334" t="str">
            <v>H3-5.5</v>
          </cell>
          <cell r="E334" t="str">
            <v>Handrail, galvanized steel pipe</v>
          </cell>
          <cell r="F334" t="str">
            <v>kg</v>
          </cell>
          <cell r="G334">
            <v>5220</v>
          </cell>
          <cell r="H334">
            <v>6963</v>
          </cell>
          <cell r="I334">
            <v>36346860</v>
          </cell>
          <cell r="J334" t="str">
            <v>TS.6.09</v>
          </cell>
        </row>
        <row r="335">
          <cell r="B335" t="str">
            <v>H3-5.6</v>
          </cell>
          <cell r="E335" t="str">
            <v>Concrete, type C1 for handrail post, curb and footpass</v>
          </cell>
          <cell r="F335" t="str">
            <v>m³</v>
          </cell>
          <cell r="G335">
            <v>82</v>
          </cell>
          <cell r="H335">
            <v>314514</v>
          </cell>
          <cell r="I335">
            <v>25790148</v>
          </cell>
          <cell r="J335" t="str">
            <v>TS.3.24</v>
          </cell>
        </row>
        <row r="336">
          <cell r="B336" t="str">
            <v>H3-5.7</v>
          </cell>
          <cell r="E336" t="str">
            <v>Formwork FW1</v>
          </cell>
          <cell r="F336" t="str">
            <v>m²</v>
          </cell>
          <cell r="G336">
            <v>355</v>
          </cell>
          <cell r="H336">
            <v>70833</v>
          </cell>
          <cell r="I336">
            <v>25145715</v>
          </cell>
          <cell r="J336" t="str">
            <v>TS.3.24</v>
          </cell>
        </row>
        <row r="337">
          <cell r="B337" t="str">
            <v>H3-5.8</v>
          </cell>
          <cell r="E337" t="str">
            <v>Name plate</v>
          </cell>
          <cell r="F337" t="str">
            <v>nos</v>
          </cell>
          <cell r="G337">
            <v>2</v>
          </cell>
          <cell r="H337">
            <v>999152</v>
          </cell>
          <cell r="I337">
            <v>1998304</v>
          </cell>
          <cell r="J337" t="str">
            <v>TS.8.07</v>
          </cell>
        </row>
        <row r="338">
          <cell r="B338" t="str">
            <v>H3.6</v>
          </cell>
          <cell r="E338" t="str">
            <v>DRAINAGE DITCH and RETAINING WALL for APPROCH ROAD</v>
          </cell>
        </row>
        <row r="339">
          <cell r="B339" t="str">
            <v>H3-6.1</v>
          </cell>
          <cell r="E339" t="str">
            <v>Backfill with gravel</v>
          </cell>
          <cell r="F339" t="str">
            <v>m³</v>
          </cell>
          <cell r="G339">
            <v>240</v>
          </cell>
          <cell r="H339">
            <v>77757</v>
          </cell>
          <cell r="I339">
            <v>18661680</v>
          </cell>
          <cell r="J339" t="str">
            <v>TS.4.14</v>
          </cell>
        </row>
        <row r="340">
          <cell r="B340" t="str">
            <v>H3-6.2</v>
          </cell>
          <cell r="E340" t="str">
            <v>Wet stone masonry (1:4) for drainage ditch</v>
          </cell>
          <cell r="F340" t="str">
            <v>m³</v>
          </cell>
          <cell r="G340">
            <v>500</v>
          </cell>
          <cell r="H340">
            <v>163909</v>
          </cell>
          <cell r="I340">
            <v>81954500</v>
          </cell>
          <cell r="J340" t="str">
            <v>TS.4.14</v>
          </cell>
        </row>
        <row r="341">
          <cell r="B341" t="str">
            <v>H3-6.3</v>
          </cell>
          <cell r="E341" t="str">
            <v>Cement mortar plastering</v>
          </cell>
          <cell r="F341" t="str">
            <v>m²</v>
          </cell>
          <cell r="G341">
            <v>760</v>
          </cell>
          <cell r="H341">
            <v>12274</v>
          </cell>
          <cell r="I341">
            <v>9328240</v>
          </cell>
          <cell r="J341" t="str">
            <v>TS.4.14</v>
          </cell>
        </row>
        <row r="342">
          <cell r="B342" t="str">
            <v>H3-6.4</v>
          </cell>
          <cell r="E342" t="str">
            <v>Concrete, type C1</v>
          </cell>
          <cell r="F342" t="str">
            <v>m³</v>
          </cell>
          <cell r="G342">
            <v>7</v>
          </cell>
          <cell r="H342">
            <v>358031</v>
          </cell>
          <cell r="I342">
            <v>2506217</v>
          </cell>
          <cell r="J342" t="str">
            <v>TS.3.24</v>
          </cell>
        </row>
        <row r="343">
          <cell r="B343" t="str">
            <v>H3-6.5</v>
          </cell>
          <cell r="E343" t="str">
            <v>Concrete, type E</v>
          </cell>
          <cell r="F343" t="str">
            <v>m³</v>
          </cell>
          <cell r="G343">
            <v>5</v>
          </cell>
          <cell r="H343">
            <v>315179</v>
          </cell>
          <cell r="I343">
            <v>1575895</v>
          </cell>
          <cell r="J343" t="str">
            <v>TS.3.24</v>
          </cell>
        </row>
        <row r="344">
          <cell r="B344" t="str">
            <v>H3-6.6</v>
          </cell>
          <cell r="E344" t="str">
            <v>Reinforcing steel bar</v>
          </cell>
          <cell r="F344" t="str">
            <v>kg</v>
          </cell>
          <cell r="G344">
            <v>910</v>
          </cell>
          <cell r="H344">
            <v>3554</v>
          </cell>
          <cell r="I344">
            <v>3234140</v>
          </cell>
          <cell r="J344" t="str">
            <v>TS.3.24</v>
          </cell>
        </row>
        <row r="345">
          <cell r="B345" t="str">
            <v>H3-6.7</v>
          </cell>
          <cell r="E345" t="str">
            <v>Formwork FW1</v>
          </cell>
          <cell r="F345" t="str">
            <v>m²</v>
          </cell>
          <cell r="G345">
            <v>280</v>
          </cell>
          <cell r="H345">
            <v>70833</v>
          </cell>
          <cell r="I345">
            <v>19833240</v>
          </cell>
          <cell r="J345" t="str">
            <v>TS.3.24</v>
          </cell>
        </row>
        <row r="346">
          <cell r="B346" t="str">
            <v>H3-6.8</v>
          </cell>
          <cell r="E346" t="str">
            <v>Weep hole, dia. 50 mm, including filter clotch</v>
          </cell>
          <cell r="F346" t="str">
            <v>nos</v>
          </cell>
          <cell r="G346">
            <v>190</v>
          </cell>
          <cell r="H346">
            <v>72163</v>
          </cell>
          <cell r="I346">
            <v>13710970</v>
          </cell>
          <cell r="J346" t="str">
            <v>TS.4.14</v>
          </cell>
        </row>
        <row r="347">
          <cell r="B347" t="str">
            <v>H3.7</v>
          </cell>
          <cell r="E347" t="str">
            <v>PAVEMENT (SUPER STRUCTURE and APPROACH ROAD : CLASS II)</v>
          </cell>
        </row>
        <row r="348">
          <cell r="B348" t="str">
            <v>H3-7.1</v>
          </cell>
          <cell r="E348" t="str">
            <v>Sub-base course (class B)</v>
          </cell>
          <cell r="F348" t="str">
            <v>m³</v>
          </cell>
          <cell r="G348">
            <v>290</v>
          </cell>
          <cell r="H348">
            <v>108708</v>
          </cell>
          <cell r="I348">
            <v>31525320</v>
          </cell>
          <cell r="J348" t="str">
            <v>TS.7.09</v>
          </cell>
        </row>
        <row r="349">
          <cell r="B349" t="str">
            <v>H3-7.2</v>
          </cell>
          <cell r="E349" t="str">
            <v>Base course (class A)</v>
          </cell>
          <cell r="F349" t="str">
            <v>m³</v>
          </cell>
          <cell r="G349">
            <v>140</v>
          </cell>
          <cell r="H349">
            <v>115502</v>
          </cell>
          <cell r="I349">
            <v>16170280</v>
          </cell>
          <cell r="J349" t="str">
            <v>TS.7.09</v>
          </cell>
        </row>
        <row r="350">
          <cell r="B350" t="str">
            <v>H3-7.3</v>
          </cell>
          <cell r="E350" t="str">
            <v>Asphalt treatment base (A.T.B)</v>
          </cell>
          <cell r="F350" t="str">
            <v>ton</v>
          </cell>
          <cell r="G350">
            <v>190</v>
          </cell>
          <cell r="H350">
            <v>319328</v>
          </cell>
          <cell r="I350">
            <v>60672320</v>
          </cell>
          <cell r="J350" t="str">
            <v>TS.7.09</v>
          </cell>
        </row>
        <row r="351">
          <cell r="B351" t="str">
            <v>H3-7.4</v>
          </cell>
          <cell r="E351" t="str">
            <v>Bituminous prime coat</v>
          </cell>
          <cell r="F351" t="str">
            <v>liter</v>
          </cell>
          <cell r="G351">
            <v>2000</v>
          </cell>
          <cell r="H351">
            <v>3737</v>
          </cell>
          <cell r="I351">
            <v>7474000</v>
          </cell>
          <cell r="J351" t="str">
            <v>TS.7.09</v>
          </cell>
        </row>
        <row r="352">
          <cell r="B352" t="str">
            <v>H3-7.5</v>
          </cell>
          <cell r="E352" t="str">
            <v>Bituminous surface course 50 mm thick</v>
          </cell>
          <cell r="F352" t="str">
            <v>ton</v>
          </cell>
          <cell r="G352">
            <v>190</v>
          </cell>
          <cell r="H352">
            <v>322726</v>
          </cell>
          <cell r="I352">
            <v>61317940</v>
          </cell>
          <cell r="J352" t="str">
            <v>TS.7.09</v>
          </cell>
        </row>
        <row r="353">
          <cell r="B353" t="str">
            <v>H4</v>
          </cell>
          <cell r="E353" t="str">
            <v>TITI GANTUNG BRIDGE (P3)</v>
          </cell>
        </row>
        <row r="354">
          <cell r="B354" t="str">
            <v>H4.1</v>
          </cell>
          <cell r="E354" t="str">
            <v>EARTH WORK</v>
          </cell>
        </row>
        <row r="355">
          <cell r="B355" t="str">
            <v>H4-1.1</v>
          </cell>
          <cell r="E355" t="str">
            <v>Excavation (common)</v>
          </cell>
          <cell r="F355" t="str">
            <v>m³</v>
          </cell>
          <cell r="G355">
            <v>2940</v>
          </cell>
          <cell r="H355">
            <v>6921</v>
          </cell>
          <cell r="I355">
            <v>20347740</v>
          </cell>
          <cell r="J355" t="str">
            <v>TS.2.10</v>
          </cell>
        </row>
        <row r="356">
          <cell r="B356" t="str">
            <v>H4-1.2</v>
          </cell>
          <cell r="E356" t="str">
            <v>Embankment</v>
          </cell>
          <cell r="F356" t="str">
            <v>m³</v>
          </cell>
          <cell r="G356">
            <v>2980</v>
          </cell>
          <cell r="H356">
            <v>5574</v>
          </cell>
          <cell r="I356">
            <v>16610520</v>
          </cell>
          <cell r="J356" t="str">
            <v>TS.2.10</v>
          </cell>
        </row>
        <row r="357">
          <cell r="B357" t="str">
            <v>H4-1.3</v>
          </cell>
          <cell r="E357" t="str">
            <v>Backfill with selected soil</v>
          </cell>
          <cell r="F357" t="str">
            <v>m³</v>
          </cell>
          <cell r="G357">
            <v>970</v>
          </cell>
          <cell r="H357">
            <v>5530</v>
          </cell>
          <cell r="I357">
            <v>5364100</v>
          </cell>
          <cell r="J357" t="str">
            <v>TS.2.10</v>
          </cell>
        </row>
        <row r="358">
          <cell r="B358" t="str">
            <v>H4-1.4</v>
          </cell>
          <cell r="E358" t="str">
            <v>Solid sodding</v>
          </cell>
          <cell r="F358" t="str">
            <v>m²</v>
          </cell>
          <cell r="G358">
            <v>300</v>
          </cell>
          <cell r="H358">
            <v>6139</v>
          </cell>
          <cell r="I358">
            <v>1841700</v>
          </cell>
          <cell r="J358" t="str">
            <v>TS.4.14</v>
          </cell>
        </row>
        <row r="359">
          <cell r="B359" t="str">
            <v>H4-1.5</v>
          </cell>
          <cell r="E359" t="str">
            <v>Demolition and removal of existing structure</v>
          </cell>
          <cell r="F359" t="str">
            <v>ls</v>
          </cell>
          <cell r="G359">
            <v>1</v>
          </cell>
          <cell r="H359">
            <v>20156373</v>
          </cell>
          <cell r="I359">
            <v>20156373</v>
          </cell>
          <cell r="J359" t="str">
            <v>TS.2.10</v>
          </cell>
        </row>
        <row r="360">
          <cell r="B360" t="str">
            <v>H4.2</v>
          </cell>
          <cell r="E360" t="str">
            <v>PILE FOUNDATION WORKS for PIER and ABUTMENT</v>
          </cell>
        </row>
        <row r="361">
          <cell r="B361" t="str">
            <v>H4-2.1</v>
          </cell>
          <cell r="E361" t="str">
            <v>SP pile for test pile, dia. 400 mm</v>
          </cell>
          <cell r="F361" t="str">
            <v>m</v>
          </cell>
          <cell r="G361">
            <v>28</v>
          </cell>
          <cell r="H361">
            <v>366915</v>
          </cell>
          <cell r="I361">
            <v>10273620</v>
          </cell>
          <cell r="J361" t="str">
            <v>TS.5.07</v>
          </cell>
        </row>
        <row r="362">
          <cell r="B362" t="str">
            <v>H4-2.2</v>
          </cell>
          <cell r="E362" t="str">
            <v>Static load test for SP and PC pile</v>
          </cell>
          <cell r="F362" t="str">
            <v>nos</v>
          </cell>
          <cell r="G362">
            <v>1</v>
          </cell>
          <cell r="H362">
            <v>19983031</v>
          </cell>
          <cell r="I362">
            <v>19983031</v>
          </cell>
          <cell r="J362" t="str">
            <v>TS.5.07</v>
          </cell>
        </row>
        <row r="363">
          <cell r="B363" t="str">
            <v>H4-2.3</v>
          </cell>
          <cell r="E363" t="str">
            <v>Supply and driving of SP piles, dia. 400 mm</v>
          </cell>
          <cell r="F363" t="str">
            <v>m</v>
          </cell>
          <cell r="G363">
            <v>1880</v>
          </cell>
          <cell r="H363">
            <v>366915</v>
          </cell>
          <cell r="I363">
            <v>689800200</v>
          </cell>
          <cell r="J363" t="str">
            <v>TS.5.07</v>
          </cell>
        </row>
        <row r="364">
          <cell r="B364" t="str">
            <v>H4-2.4</v>
          </cell>
          <cell r="E364" t="str">
            <v>Reinforcing steel bar</v>
          </cell>
          <cell r="F364" t="str">
            <v>kg</v>
          </cell>
          <cell r="G364">
            <v>20900</v>
          </cell>
          <cell r="H364">
            <v>3554</v>
          </cell>
          <cell r="I364">
            <v>74278600</v>
          </cell>
          <cell r="J364" t="str">
            <v>TS.3.24</v>
          </cell>
        </row>
        <row r="365">
          <cell r="B365" t="str">
            <v>H4-2.5</v>
          </cell>
          <cell r="E365" t="str">
            <v>Concrete, type C1</v>
          </cell>
          <cell r="F365" t="str">
            <v>m³</v>
          </cell>
          <cell r="G365">
            <v>82</v>
          </cell>
          <cell r="H365">
            <v>314514</v>
          </cell>
          <cell r="I365">
            <v>25790148</v>
          </cell>
          <cell r="J365" t="str">
            <v>TS.3.24</v>
          </cell>
        </row>
        <row r="366">
          <cell r="B366" t="str">
            <v>H4.3</v>
          </cell>
          <cell r="E366" t="str">
            <v>CONCRETE WORKS for PIER, ABUTMENT and APPROACH SLAB</v>
          </cell>
        </row>
        <row r="367">
          <cell r="B367" t="str">
            <v>H4-3.1</v>
          </cell>
          <cell r="E367" t="str">
            <v>Concrete, type C1</v>
          </cell>
          <cell r="F367" t="str">
            <v>m³</v>
          </cell>
          <cell r="G367">
            <v>360</v>
          </cell>
          <cell r="H367">
            <v>314524</v>
          </cell>
          <cell r="I367">
            <v>113228640</v>
          </cell>
          <cell r="J367" t="str">
            <v>TS.3.24</v>
          </cell>
        </row>
        <row r="368">
          <cell r="B368" t="str">
            <v>H4-3.2</v>
          </cell>
          <cell r="E368" t="str">
            <v>Concrete, type E</v>
          </cell>
          <cell r="F368" t="str">
            <v>m³</v>
          </cell>
          <cell r="G368">
            <v>15</v>
          </cell>
          <cell r="H368">
            <v>292976</v>
          </cell>
          <cell r="I368">
            <v>4394640</v>
          </cell>
          <cell r="J368" t="str">
            <v>TS.3.24</v>
          </cell>
        </row>
        <row r="369">
          <cell r="B369" t="str">
            <v>H4-3.3</v>
          </cell>
          <cell r="E369" t="str">
            <v>Reinforcing steel bar</v>
          </cell>
          <cell r="F369" t="str">
            <v>kg</v>
          </cell>
          <cell r="G369">
            <v>52100</v>
          </cell>
          <cell r="H369">
            <v>3554</v>
          </cell>
          <cell r="I369">
            <v>185163400</v>
          </cell>
          <cell r="J369" t="str">
            <v>TS.3.24</v>
          </cell>
        </row>
        <row r="370">
          <cell r="B370" t="str">
            <v>H4-3.4</v>
          </cell>
          <cell r="E370" t="str">
            <v>Formwork FW1</v>
          </cell>
          <cell r="F370" t="str">
            <v>m²</v>
          </cell>
          <cell r="G370">
            <v>250</v>
          </cell>
          <cell r="H370">
            <v>70833</v>
          </cell>
          <cell r="I370">
            <v>17708250</v>
          </cell>
          <cell r="J370" t="str">
            <v>TS.3.24</v>
          </cell>
        </row>
        <row r="371">
          <cell r="B371" t="str">
            <v>H4-3.5</v>
          </cell>
          <cell r="E371" t="str">
            <v>Formwork FW2</v>
          </cell>
          <cell r="F371" t="str">
            <v>m²</v>
          </cell>
          <cell r="G371">
            <v>330</v>
          </cell>
          <cell r="H371">
            <v>84938</v>
          </cell>
          <cell r="I371">
            <v>28029540</v>
          </cell>
          <cell r="J371" t="str">
            <v>TS.3.24</v>
          </cell>
        </row>
        <row r="372">
          <cell r="B372" t="str">
            <v>H4-3.6</v>
          </cell>
          <cell r="E372" t="str">
            <v>Rubble stone bedding</v>
          </cell>
          <cell r="F372" t="str">
            <v>m³</v>
          </cell>
          <cell r="G372">
            <v>20</v>
          </cell>
          <cell r="H372">
            <v>75157</v>
          </cell>
          <cell r="I372">
            <v>1503140</v>
          </cell>
          <cell r="J372" t="str">
            <v>TS.4.14</v>
          </cell>
        </row>
        <row r="373">
          <cell r="B373" t="str">
            <v>H4.4</v>
          </cell>
          <cell r="E373" t="str">
            <v>CONCRETE WORKS for SUPER STRUCTURE</v>
          </cell>
        </row>
        <row r="374">
          <cell r="B374" t="str">
            <v>H4-4.1</v>
          </cell>
          <cell r="E374" t="str">
            <v>Precast prestressed concrete beam including tensioning and erection</v>
          </cell>
          <cell r="F374" t="str">
            <v>ls</v>
          </cell>
          <cell r="G374">
            <v>1</v>
          </cell>
          <cell r="H374">
            <v>727392159</v>
          </cell>
          <cell r="I374">
            <v>727392159</v>
          </cell>
          <cell r="J374" t="str">
            <v>TS.8.07</v>
          </cell>
        </row>
        <row r="375">
          <cell r="B375" t="str">
            <v>H4-4.2</v>
          </cell>
          <cell r="E375" t="str">
            <v>Precats prestressed concrete diaphragm</v>
          </cell>
          <cell r="F375" t="str">
            <v>ls</v>
          </cell>
          <cell r="G375">
            <v>1</v>
          </cell>
          <cell r="H375">
            <v>22532906</v>
          </cell>
          <cell r="I375">
            <v>22532906</v>
          </cell>
          <cell r="J375" t="str">
            <v>TS.8.07</v>
          </cell>
        </row>
        <row r="376">
          <cell r="B376" t="str">
            <v>H4-4.3</v>
          </cell>
          <cell r="E376" t="str">
            <v>Prestreed concrete panel for slab</v>
          </cell>
          <cell r="F376" t="str">
            <v>ls</v>
          </cell>
          <cell r="G376">
            <v>1</v>
          </cell>
          <cell r="H376">
            <v>88474521</v>
          </cell>
          <cell r="I376">
            <v>88474521</v>
          </cell>
          <cell r="J376" t="str">
            <v>TS.8.07</v>
          </cell>
        </row>
        <row r="377">
          <cell r="B377" t="str">
            <v>H4-4.4</v>
          </cell>
          <cell r="E377" t="str">
            <v>Concrete, type B for slab</v>
          </cell>
          <cell r="F377" t="str">
            <v>m³</v>
          </cell>
          <cell r="G377">
            <v>120</v>
          </cell>
          <cell r="H377">
            <v>413457</v>
          </cell>
          <cell r="I377">
            <v>49614840</v>
          </cell>
          <cell r="J377" t="str">
            <v>TS.3.24</v>
          </cell>
        </row>
        <row r="378">
          <cell r="B378" t="str">
            <v>H4-4.5</v>
          </cell>
          <cell r="E378" t="str">
            <v>Reinforcing steel bar</v>
          </cell>
          <cell r="F378" t="str">
            <v>kg</v>
          </cell>
          <cell r="G378">
            <v>25300</v>
          </cell>
          <cell r="H378">
            <v>3554</v>
          </cell>
          <cell r="I378">
            <v>89916200</v>
          </cell>
          <cell r="J378" t="str">
            <v>TS.3.24</v>
          </cell>
        </row>
        <row r="379">
          <cell r="B379" t="str">
            <v>H4-4.6</v>
          </cell>
          <cell r="E379" t="str">
            <v>Formwork FW2</v>
          </cell>
          <cell r="F379" t="str">
            <v>m²</v>
          </cell>
          <cell r="G379">
            <v>250</v>
          </cell>
          <cell r="H379">
            <v>84938</v>
          </cell>
          <cell r="I379">
            <v>21234500</v>
          </cell>
          <cell r="J379" t="str">
            <v>TS.3.24</v>
          </cell>
        </row>
        <row r="380">
          <cell r="B380" t="str">
            <v>H4.5</v>
          </cell>
          <cell r="E380" t="str">
            <v>MISCELLANEOUS WORKS</v>
          </cell>
        </row>
        <row r="381">
          <cell r="B381" t="str">
            <v>H4-5.1</v>
          </cell>
          <cell r="E381" t="str">
            <v>Expansion joint steel profile (75 mm x 75 mm x 6 mm)</v>
          </cell>
          <cell r="F381" t="str">
            <v>m</v>
          </cell>
          <cell r="G381">
            <v>24</v>
          </cell>
          <cell r="H381">
            <v>79130</v>
          </cell>
          <cell r="I381">
            <v>1899120</v>
          </cell>
          <cell r="J381" t="str">
            <v>TS.6.09</v>
          </cell>
        </row>
        <row r="382">
          <cell r="B382" t="str">
            <v>H4-5.2</v>
          </cell>
          <cell r="E382" t="str">
            <v>Elastomeric bearing pad for abutment 406 mm x 280 mm x 67 mm</v>
          </cell>
          <cell r="F382" t="str">
            <v>nos</v>
          </cell>
          <cell r="G382">
            <v>12</v>
          </cell>
          <cell r="H382">
            <v>739517</v>
          </cell>
          <cell r="I382">
            <v>8874204</v>
          </cell>
          <cell r="J382" t="str">
            <v>TS.8.07</v>
          </cell>
        </row>
        <row r="383">
          <cell r="B383" t="str">
            <v>H4-5.3</v>
          </cell>
          <cell r="E383" t="str">
            <v>Elastomeric bearing pad for pier 480 mm x 300 mm x 67 mm</v>
          </cell>
          <cell r="F383" t="str">
            <v>nos</v>
          </cell>
          <cell r="G383">
            <v>12</v>
          </cell>
          <cell r="H383">
            <v>946965</v>
          </cell>
          <cell r="I383">
            <v>11363580</v>
          </cell>
          <cell r="J383" t="str">
            <v>TS.8.07</v>
          </cell>
        </row>
        <row r="384">
          <cell r="B384" t="str">
            <v>H4-5.4</v>
          </cell>
          <cell r="E384" t="str">
            <v>Galvanized pipe drain dia. 100 mm</v>
          </cell>
          <cell r="F384" t="str">
            <v>m</v>
          </cell>
          <cell r="G384">
            <v>46</v>
          </cell>
          <cell r="H384">
            <v>83894</v>
          </cell>
          <cell r="I384">
            <v>3859124</v>
          </cell>
          <cell r="J384" t="str">
            <v>TS.8.07</v>
          </cell>
        </row>
        <row r="385">
          <cell r="B385" t="str">
            <v>H4-5.5</v>
          </cell>
          <cell r="E385" t="str">
            <v>Handrail, galvanized steel pipe</v>
          </cell>
          <cell r="F385" t="str">
            <v>kg</v>
          </cell>
          <cell r="G385">
            <v>2890</v>
          </cell>
          <cell r="H385">
            <v>6963</v>
          </cell>
          <cell r="I385">
            <v>20123070</v>
          </cell>
          <cell r="J385" t="str">
            <v>TS.6.09</v>
          </cell>
        </row>
        <row r="386">
          <cell r="B386" t="str">
            <v>H4-5.6</v>
          </cell>
          <cell r="E386" t="str">
            <v>Concrete, type C1 for handrail post, curb and footpass</v>
          </cell>
          <cell r="F386" t="str">
            <v>m³</v>
          </cell>
          <cell r="G386">
            <v>59</v>
          </cell>
          <cell r="H386">
            <v>316097</v>
          </cell>
          <cell r="I386">
            <v>18649723</v>
          </cell>
          <cell r="J386" t="str">
            <v>TS.3.24</v>
          </cell>
        </row>
        <row r="387">
          <cell r="B387" t="str">
            <v>H4-5.7</v>
          </cell>
          <cell r="E387" t="str">
            <v>Formwork FW1</v>
          </cell>
          <cell r="F387" t="str">
            <v>m²</v>
          </cell>
          <cell r="G387">
            <v>200</v>
          </cell>
          <cell r="H387">
            <v>70833</v>
          </cell>
          <cell r="I387">
            <v>14166600</v>
          </cell>
          <cell r="J387" t="str">
            <v>TS.3.24</v>
          </cell>
        </row>
        <row r="388">
          <cell r="B388" t="str">
            <v>H4-5.8</v>
          </cell>
          <cell r="E388" t="str">
            <v>Name plate</v>
          </cell>
          <cell r="F388" t="str">
            <v>nos</v>
          </cell>
          <cell r="G388">
            <v>2</v>
          </cell>
          <cell r="H388">
            <v>999152</v>
          </cell>
          <cell r="I388">
            <v>1998304</v>
          </cell>
          <cell r="J388" t="str">
            <v>TS.8.07</v>
          </cell>
        </row>
        <row r="389">
          <cell r="B389" t="str">
            <v>H4.6</v>
          </cell>
          <cell r="E389" t="str">
            <v>DRAINAGE DITCH and RETAINING WALL for APPROCH ROAD</v>
          </cell>
        </row>
        <row r="390">
          <cell r="B390" t="str">
            <v>H4-6.1</v>
          </cell>
          <cell r="E390" t="str">
            <v>Backfill with gravel</v>
          </cell>
          <cell r="F390" t="str">
            <v>m³</v>
          </cell>
          <cell r="G390">
            <v>340</v>
          </cell>
          <cell r="H390">
            <v>77757</v>
          </cell>
          <cell r="I390">
            <v>26437380</v>
          </cell>
          <cell r="J390" t="str">
            <v>TS.4.14</v>
          </cell>
        </row>
        <row r="391">
          <cell r="B391" t="str">
            <v>H4-6.2</v>
          </cell>
          <cell r="E391" t="str">
            <v>Wet stone masonry (1:4) for drainage ditch</v>
          </cell>
          <cell r="F391" t="str">
            <v>m³</v>
          </cell>
          <cell r="G391">
            <v>460</v>
          </cell>
          <cell r="H391">
            <v>163909</v>
          </cell>
          <cell r="I391">
            <v>75398140</v>
          </cell>
          <cell r="J391" t="str">
            <v>TS.4.14</v>
          </cell>
        </row>
        <row r="392">
          <cell r="B392" t="str">
            <v>H4-6.3</v>
          </cell>
          <cell r="E392" t="str">
            <v>Cement mortar plastering</v>
          </cell>
          <cell r="F392" t="str">
            <v>m²</v>
          </cell>
          <cell r="G392">
            <v>570</v>
          </cell>
          <cell r="H392">
            <v>12274</v>
          </cell>
          <cell r="I392">
            <v>6996180</v>
          </cell>
          <cell r="J392" t="str">
            <v>TS.4.14</v>
          </cell>
        </row>
        <row r="393">
          <cell r="B393" t="str">
            <v>H4-6.4</v>
          </cell>
          <cell r="E393" t="str">
            <v>Concrete, type C1</v>
          </cell>
          <cell r="F393" t="str">
            <v>m³</v>
          </cell>
          <cell r="G393">
            <v>5</v>
          </cell>
          <cell r="H393">
            <v>377062</v>
          </cell>
          <cell r="I393">
            <v>1885310</v>
          </cell>
          <cell r="J393" t="str">
            <v>TS.3.24</v>
          </cell>
        </row>
        <row r="394">
          <cell r="B394" t="str">
            <v>H4-6.5</v>
          </cell>
          <cell r="E394" t="str">
            <v>Concrete, type E</v>
          </cell>
          <cell r="F394" t="str">
            <v>m³</v>
          </cell>
          <cell r="G394">
            <v>4</v>
          </cell>
          <cell r="H394">
            <v>323505</v>
          </cell>
          <cell r="I394">
            <v>1294020</v>
          </cell>
          <cell r="J394" t="str">
            <v>TS.3.24</v>
          </cell>
        </row>
        <row r="395">
          <cell r="B395" t="str">
            <v>H4-6.6</v>
          </cell>
          <cell r="E395" t="str">
            <v>Reinforcing steel bar</v>
          </cell>
          <cell r="F395" t="str">
            <v>kg</v>
          </cell>
          <cell r="G395">
            <v>640</v>
          </cell>
          <cell r="H395">
            <v>3554</v>
          </cell>
          <cell r="I395">
            <v>2274560</v>
          </cell>
          <cell r="J395" t="str">
            <v>TS.3.24</v>
          </cell>
        </row>
        <row r="396">
          <cell r="B396" t="str">
            <v>H4-6.7</v>
          </cell>
          <cell r="E396" t="str">
            <v>Formwork FW1</v>
          </cell>
          <cell r="F396" t="str">
            <v>m²</v>
          </cell>
          <cell r="G396">
            <v>250</v>
          </cell>
          <cell r="H396">
            <v>70833</v>
          </cell>
          <cell r="I396">
            <v>17708250</v>
          </cell>
          <cell r="J396" t="str">
            <v>TS.3.24</v>
          </cell>
        </row>
        <row r="397">
          <cell r="B397" t="str">
            <v>H4-6.8</v>
          </cell>
          <cell r="E397" t="str">
            <v>Weep hole, dia. 50 mm, including filter clotch</v>
          </cell>
          <cell r="F397" t="str">
            <v>nos</v>
          </cell>
          <cell r="G397">
            <v>200</v>
          </cell>
          <cell r="H397">
            <v>72163</v>
          </cell>
          <cell r="I397">
            <v>14432600</v>
          </cell>
          <cell r="J397" t="str">
            <v>TS.4.14</v>
          </cell>
        </row>
        <row r="398">
          <cell r="B398" t="str">
            <v>H4.7</v>
          </cell>
          <cell r="E398" t="str">
            <v>PAVEMENT (SUPER STRUCTURE and APPROACH ROAD : CLASS II)</v>
          </cell>
        </row>
        <row r="399">
          <cell r="B399" t="str">
            <v>H4-7.1</v>
          </cell>
          <cell r="E399" t="str">
            <v>Sub-base course (class B)</v>
          </cell>
          <cell r="F399" t="str">
            <v>m³</v>
          </cell>
          <cell r="G399">
            <v>170</v>
          </cell>
          <cell r="H399">
            <v>108708</v>
          </cell>
          <cell r="I399">
            <v>18480360</v>
          </cell>
          <cell r="J399" t="str">
            <v>TS.7.09</v>
          </cell>
        </row>
        <row r="400">
          <cell r="B400" t="str">
            <v>H4-7.2</v>
          </cell>
          <cell r="E400" t="str">
            <v>Base course (class A)</v>
          </cell>
          <cell r="F400" t="str">
            <v>m³</v>
          </cell>
          <cell r="G400">
            <v>89</v>
          </cell>
          <cell r="H400">
            <v>115502</v>
          </cell>
          <cell r="I400">
            <v>10279678</v>
          </cell>
          <cell r="J400" t="str">
            <v>TS.7.09</v>
          </cell>
        </row>
        <row r="401">
          <cell r="B401" t="str">
            <v>H4-7.3</v>
          </cell>
          <cell r="E401" t="str">
            <v>Asphalt treatment base (A.T.B)</v>
          </cell>
          <cell r="F401" t="str">
            <v>ton</v>
          </cell>
          <cell r="G401">
            <v>130</v>
          </cell>
          <cell r="H401">
            <v>319328</v>
          </cell>
          <cell r="I401">
            <v>41512640</v>
          </cell>
          <cell r="J401" t="str">
            <v>TS.7.09</v>
          </cell>
        </row>
        <row r="402">
          <cell r="B402" t="str">
            <v>H4-7.4</v>
          </cell>
          <cell r="E402" t="str">
            <v>Bituminous prime coat</v>
          </cell>
          <cell r="F402" t="str">
            <v>liter</v>
          </cell>
          <cell r="G402">
            <v>1200</v>
          </cell>
          <cell r="H402">
            <v>3737</v>
          </cell>
          <cell r="I402">
            <v>4484400</v>
          </cell>
          <cell r="J402" t="str">
            <v>TS.7.09</v>
          </cell>
        </row>
        <row r="403">
          <cell r="B403" t="str">
            <v>H4-7.5</v>
          </cell>
          <cell r="E403" t="str">
            <v>Bituminous surface course 50 mm thick</v>
          </cell>
          <cell r="F403" t="str">
            <v>ton</v>
          </cell>
          <cell r="G403">
            <v>110</v>
          </cell>
          <cell r="H403">
            <v>322726</v>
          </cell>
          <cell r="I403">
            <v>35499860</v>
          </cell>
          <cell r="J403" t="str">
            <v>TS.7.09</v>
          </cell>
        </row>
        <row r="404">
          <cell r="B404" t="str">
            <v>H5 - H22</v>
          </cell>
          <cell r="E404" t="str">
            <v>(Not Applicable)</v>
          </cell>
        </row>
        <row r="406">
          <cell r="B406" t="str">
            <v>I</v>
          </cell>
          <cell r="E406" t="str">
            <v>OTHER WORKS</v>
          </cell>
        </row>
        <row r="407">
          <cell r="B407" t="str">
            <v>I1</v>
          </cell>
          <cell r="E407" t="str">
            <v>(Not Applicable)</v>
          </cell>
        </row>
        <row r="409">
          <cell r="B409" t="str">
            <v>I2</v>
          </cell>
          <cell r="E409" t="str">
            <v>DRAINAGE CHANNEL EXCAVATION (PE95+35 to PE105+30)</v>
          </cell>
        </row>
        <row r="410">
          <cell r="B410" t="str">
            <v>I2.1</v>
          </cell>
          <cell r="E410" t="str">
            <v>Clearing and grubbing</v>
          </cell>
          <cell r="F410" t="str">
            <v>m²</v>
          </cell>
          <cell r="G410">
            <v>10290</v>
          </cell>
          <cell r="H410">
            <v>4019</v>
          </cell>
          <cell r="I410">
            <v>41355510</v>
          </cell>
          <cell r="J410" t="str">
            <v>TS.2.10</v>
          </cell>
        </row>
        <row r="411">
          <cell r="B411" t="str">
            <v>I2.2</v>
          </cell>
          <cell r="E411" t="str">
            <v>Excavation (river channel)</v>
          </cell>
          <cell r="F411" t="str">
            <v>m³</v>
          </cell>
          <cell r="G411">
            <v>9130</v>
          </cell>
          <cell r="H411">
            <v>30448</v>
          </cell>
          <cell r="I411">
            <v>277990240</v>
          </cell>
          <cell r="J411" t="str">
            <v>TS.2.10</v>
          </cell>
        </row>
        <row r="412">
          <cell r="B412" t="str">
            <v>I2.3</v>
          </cell>
          <cell r="E412" t="str">
            <v>Stripping of top soil</v>
          </cell>
          <cell r="F412" t="str">
            <v>m³</v>
          </cell>
          <cell r="G412">
            <v>980</v>
          </cell>
          <cell r="H412">
            <v>21302</v>
          </cell>
          <cell r="I412">
            <v>20875960</v>
          </cell>
          <cell r="J412" t="str">
            <v>TS.2.10</v>
          </cell>
        </row>
        <row r="413">
          <cell r="B413" t="str">
            <v>I2.4</v>
          </cell>
          <cell r="E413" t="str">
            <v>Embankment</v>
          </cell>
          <cell r="F413" t="str">
            <v>m³</v>
          </cell>
          <cell r="G413">
            <v>2810</v>
          </cell>
          <cell r="H413">
            <v>5574</v>
          </cell>
          <cell r="I413">
            <v>15662940</v>
          </cell>
          <cell r="J413" t="str">
            <v>TS.2.10</v>
          </cell>
        </row>
        <row r="415">
          <cell r="B415" t="str">
            <v>I3</v>
          </cell>
          <cell r="E415" t="str">
            <v>(Not Applicable)</v>
          </cell>
        </row>
        <row r="417">
          <cell r="B417" t="str">
            <v>I4</v>
          </cell>
          <cell r="E417" t="str">
            <v>RELOCATION of EXISTING FARM ROAD (PE82 TO PE97) CLASS IV</v>
          </cell>
        </row>
        <row r="418">
          <cell r="B418" t="str">
            <v>I4.1</v>
          </cell>
          <cell r="E418" t="str">
            <v>Clearing and grubbing</v>
          </cell>
          <cell r="F418" t="str">
            <v>m²</v>
          </cell>
          <cell r="G418">
            <v>14000</v>
          </cell>
          <cell r="H418">
            <v>4019</v>
          </cell>
          <cell r="I418">
            <v>56266000</v>
          </cell>
          <cell r="J418" t="str">
            <v>TS.2.10</v>
          </cell>
        </row>
        <row r="419">
          <cell r="B419" t="str">
            <v>I4.2</v>
          </cell>
          <cell r="E419" t="str">
            <v>Stripping of top soil</v>
          </cell>
          <cell r="F419" t="str">
            <v>m³</v>
          </cell>
          <cell r="G419">
            <v>3280</v>
          </cell>
          <cell r="H419">
            <v>21302</v>
          </cell>
          <cell r="I419">
            <v>69870560</v>
          </cell>
          <cell r="J419" t="str">
            <v>TS.2.10</v>
          </cell>
        </row>
        <row r="420">
          <cell r="B420" t="str">
            <v>I4.3</v>
          </cell>
          <cell r="E420" t="str">
            <v>Embankment</v>
          </cell>
          <cell r="F420" t="str">
            <v>m³</v>
          </cell>
          <cell r="G420">
            <v>4750</v>
          </cell>
          <cell r="H420">
            <v>5574</v>
          </cell>
          <cell r="I420">
            <v>26476500</v>
          </cell>
          <cell r="J420" t="str">
            <v>TS.2.10</v>
          </cell>
        </row>
        <row r="421">
          <cell r="B421" t="str">
            <v>I4.4</v>
          </cell>
          <cell r="E421" t="str">
            <v>Gravel pavement, 200 mm thick</v>
          </cell>
          <cell r="F421" t="str">
            <v>m³</v>
          </cell>
          <cell r="G421">
            <v>1570</v>
          </cell>
          <cell r="H421">
            <v>77757</v>
          </cell>
          <cell r="I421">
            <v>122078490</v>
          </cell>
          <cell r="J421" t="str">
            <v>TS.7.09</v>
          </cell>
        </row>
        <row r="422">
          <cell r="B422" t="str">
            <v>I4.5</v>
          </cell>
          <cell r="E422" t="str">
            <v>Sodding</v>
          </cell>
          <cell r="F422" t="str">
            <v>m²</v>
          </cell>
          <cell r="G422">
            <v>7390</v>
          </cell>
          <cell r="H422">
            <v>6139</v>
          </cell>
          <cell r="I422">
            <v>45367210</v>
          </cell>
          <cell r="J422" t="str">
            <v>TS.4.14</v>
          </cell>
        </row>
        <row r="424">
          <cell r="B424" t="str">
            <v>I5 - I10</v>
          </cell>
          <cell r="E424" t="str">
            <v>(Not Applicable)</v>
          </cell>
        </row>
        <row r="425">
          <cell r="E425" t="str">
            <v>Total</v>
          </cell>
          <cell r="I425">
            <v>41655340867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UPAH"/>
      <sheetName val="BAHAN"/>
      <sheetName val="RAB"/>
      <sheetName val="ANALISA"/>
    </sheetNames>
    <sheetDataSet>
      <sheetData sheetId="0" refreshError="1"/>
      <sheetData sheetId="1" refreshError="1"/>
      <sheetData sheetId="2" refreshError="1">
        <row r="20">
          <cell r="L20">
            <v>38100</v>
          </cell>
        </row>
        <row r="22">
          <cell r="L22">
            <v>6000</v>
          </cell>
        </row>
        <row r="23">
          <cell r="L23">
            <v>7500</v>
          </cell>
        </row>
        <row r="24">
          <cell r="L24">
            <v>17500</v>
          </cell>
        </row>
        <row r="25">
          <cell r="L25">
            <v>11000</v>
          </cell>
        </row>
        <row r="29">
          <cell r="L29">
            <v>30000</v>
          </cell>
        </row>
      </sheetData>
      <sheetData sheetId="3" refreshError="1"/>
      <sheetData sheetId="4" refreshError="1">
        <row r="11">
          <cell r="N11">
            <v>445116.42500000005</v>
          </cell>
        </row>
        <row r="34">
          <cell r="N34">
            <v>192656.02000000002</v>
          </cell>
        </row>
        <row r="53">
          <cell r="N53">
            <v>323643.72437824</v>
          </cell>
        </row>
        <row r="72">
          <cell r="N72">
            <v>327764.5</v>
          </cell>
        </row>
      </sheetData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F "/>
      <sheetName val="Table Profil"/>
      <sheetName val="Castella "/>
      <sheetName val="Cutting List"/>
    </sheetNames>
    <sheetDataSet>
      <sheetData sheetId="0"/>
      <sheetData sheetId="1"/>
      <sheetData sheetId="2"/>
      <sheetData sheetId="3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 TOTAL"/>
      <sheetName val="REKAP STANDAR"/>
      <sheetName val="REKAP  NON STANDAR "/>
      <sheetName val="Tanah &amp; Persiapan"/>
      <sheetName val="NON STANDAR"/>
      <sheetName val="Upah"/>
      <sheetName val="Material"/>
      <sheetName val="HSatPek"/>
      <sheetName val="Analisa (2)"/>
      <sheetName val="Analisa"/>
      <sheetName val="An. Beton"/>
      <sheetName val="An. Alm"/>
      <sheetName val="An_ Bet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l (Htl)"/>
      <sheetName val="Kurva S"/>
      <sheetName val="Vol"/>
      <sheetName val="VLM"/>
      <sheetName val="RAB 30"/>
      <sheetName val="RAB "/>
      <sheetName val="Sheet1"/>
      <sheetName val="HSP"/>
      <sheetName val="HSU"/>
      <sheetName val="Gudang Pestisida "/>
      <sheetName val="REKAPITULASI"/>
      <sheetName val="Bhn+Uph"/>
      <sheetName val="Anl-A"/>
      <sheetName val="Anl-B"/>
      <sheetName val="Anl-C"/>
      <sheetName val="Anl-D"/>
      <sheetName val="Anl-E"/>
      <sheetName val="Anl-F"/>
      <sheetName val="Anl-G"/>
      <sheetName val="Anl-H"/>
      <sheetName val="Anl-I"/>
      <sheetName val="Anl-J"/>
      <sheetName val="Anl-K"/>
      <sheetName val="Anl-N"/>
      <sheetName val="Anl-L"/>
      <sheetName val="Anl-M"/>
      <sheetName val="Anl-P"/>
      <sheetName val="bending"/>
      <sheetName val="back up analisa"/>
      <sheetName val="volume"/>
      <sheetName val="listrik acc"/>
      <sheetName val="bekisting"/>
      <sheetName val="smk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5">
          <cell r="B15" t="str">
            <v>UPAH</v>
          </cell>
        </row>
        <row r="17">
          <cell r="B17" t="str">
            <v>Mandor</v>
          </cell>
          <cell r="C17" t="str">
            <v>oh</v>
          </cell>
          <cell r="D17">
            <v>120000</v>
          </cell>
          <cell r="E17">
            <v>120000</v>
          </cell>
        </row>
        <row r="18">
          <cell r="B18" t="str">
            <v>Mekanik</v>
          </cell>
          <cell r="C18" t="str">
            <v>oh</v>
          </cell>
          <cell r="D18">
            <v>79228.75</v>
          </cell>
          <cell r="E18">
            <v>79228.75</v>
          </cell>
        </row>
        <row r="19">
          <cell r="B19" t="str">
            <v>Mekanik pembantu</v>
          </cell>
          <cell r="C19" t="str">
            <v>oh</v>
          </cell>
          <cell r="D19">
            <v>53923.77</v>
          </cell>
          <cell r="E19">
            <v>53923.77</v>
          </cell>
        </row>
        <row r="20">
          <cell r="B20" t="str">
            <v>Kepala tukang</v>
          </cell>
          <cell r="C20" t="str">
            <v>oh</v>
          </cell>
          <cell r="D20">
            <v>110000</v>
          </cell>
          <cell r="E20">
            <v>110000</v>
          </cell>
        </row>
        <row r="21">
          <cell r="B21" t="str">
            <v>Tukang batu</v>
          </cell>
          <cell r="C21" t="str">
            <v>oh</v>
          </cell>
          <cell r="D21">
            <v>100000</v>
          </cell>
          <cell r="E21">
            <v>100000</v>
          </cell>
        </row>
        <row r="22">
          <cell r="B22" t="str">
            <v>Tukang kayu</v>
          </cell>
          <cell r="C22" t="str">
            <v>oh</v>
          </cell>
          <cell r="D22">
            <v>100000</v>
          </cell>
          <cell r="E22">
            <v>100000</v>
          </cell>
        </row>
        <row r="23">
          <cell r="B23" t="str">
            <v>Tukang besi / tukang las</v>
          </cell>
          <cell r="C23" t="str">
            <v>oh</v>
          </cell>
          <cell r="D23">
            <v>100000</v>
          </cell>
          <cell r="E23">
            <v>100000</v>
          </cell>
        </row>
        <row r="24">
          <cell r="B24" t="str">
            <v>Tukang cat</v>
          </cell>
          <cell r="C24" t="str">
            <v>oh</v>
          </cell>
          <cell r="D24">
            <v>100000</v>
          </cell>
          <cell r="E24">
            <v>100000</v>
          </cell>
        </row>
        <row r="25">
          <cell r="B25" t="str">
            <v>Tukang listrik</v>
          </cell>
          <cell r="C25" t="str">
            <v>oh</v>
          </cell>
          <cell r="D25">
            <v>100000</v>
          </cell>
          <cell r="E25">
            <v>100000</v>
          </cell>
        </row>
        <row r="26">
          <cell r="B26" t="str">
            <v>Tukang ledeng / pipa</v>
          </cell>
          <cell r="C26" t="str">
            <v>oh</v>
          </cell>
          <cell r="D26">
            <v>100000</v>
          </cell>
          <cell r="E26">
            <v>100000</v>
          </cell>
        </row>
        <row r="27">
          <cell r="B27" t="str">
            <v>Tukang gali sumur</v>
          </cell>
          <cell r="C27" t="str">
            <v>oh</v>
          </cell>
          <cell r="D27">
            <v>100000</v>
          </cell>
          <cell r="E27">
            <v>100000</v>
          </cell>
        </row>
        <row r="28">
          <cell r="B28" t="str">
            <v>Operator terlatih</v>
          </cell>
          <cell r="C28" t="str">
            <v>oh</v>
          </cell>
          <cell r="D28">
            <v>82241.25</v>
          </cell>
          <cell r="E28">
            <v>82241.25</v>
          </cell>
        </row>
        <row r="29">
          <cell r="B29" t="str">
            <v>Operator kurang terlatih</v>
          </cell>
          <cell r="C29" t="str">
            <v>oh</v>
          </cell>
          <cell r="D29">
            <v>68986.259999999995</v>
          </cell>
          <cell r="E29">
            <v>68986.259999999995</v>
          </cell>
        </row>
        <row r="30">
          <cell r="B30" t="str">
            <v>Pembantu operator</v>
          </cell>
          <cell r="C30" t="str">
            <v>oh</v>
          </cell>
          <cell r="D30">
            <v>51815.02</v>
          </cell>
          <cell r="E30">
            <v>51815.02</v>
          </cell>
        </row>
        <row r="31">
          <cell r="B31" t="str">
            <v>Supir material / truck</v>
          </cell>
          <cell r="C31" t="str">
            <v>oh</v>
          </cell>
          <cell r="D31">
            <v>76216.259999999995</v>
          </cell>
          <cell r="E31">
            <v>76216.259999999995</v>
          </cell>
        </row>
        <row r="32">
          <cell r="B32" t="str">
            <v>Supir personil / mobil ringan</v>
          </cell>
          <cell r="C32" t="str">
            <v>oh</v>
          </cell>
          <cell r="D32">
            <v>68750</v>
          </cell>
          <cell r="E32">
            <v>68750</v>
          </cell>
        </row>
        <row r="33">
          <cell r="B33" t="str">
            <v>Pembantu supir / kenek</v>
          </cell>
          <cell r="C33" t="str">
            <v>oh</v>
          </cell>
          <cell r="D33">
            <v>51815.02</v>
          </cell>
          <cell r="E33">
            <v>51815.02</v>
          </cell>
        </row>
        <row r="34">
          <cell r="B34" t="str">
            <v>Pekerja terlatih</v>
          </cell>
          <cell r="C34" t="str">
            <v>oh</v>
          </cell>
          <cell r="D34">
            <v>75000</v>
          </cell>
          <cell r="E34">
            <v>75000</v>
          </cell>
        </row>
        <row r="35">
          <cell r="B35" t="str">
            <v>Pekerja agak terlatih</v>
          </cell>
          <cell r="C35" t="str">
            <v>oh</v>
          </cell>
          <cell r="D35">
            <v>70000</v>
          </cell>
          <cell r="E35">
            <v>70000</v>
          </cell>
        </row>
        <row r="36">
          <cell r="B36" t="str">
            <v>Pekerja tak terlatih</v>
          </cell>
          <cell r="C36" t="str">
            <v>oh</v>
          </cell>
          <cell r="D36">
            <v>65000</v>
          </cell>
          <cell r="E36">
            <v>65000</v>
          </cell>
        </row>
        <row r="37">
          <cell r="B37" t="str">
            <v>Penjaga</v>
          </cell>
          <cell r="C37" t="str">
            <v>oh</v>
          </cell>
          <cell r="D37">
            <v>60250</v>
          </cell>
          <cell r="E37">
            <v>60250</v>
          </cell>
        </row>
        <row r="38">
          <cell r="B38" t="str">
            <v>Pemasak aspal</v>
          </cell>
          <cell r="C38" t="str">
            <v>oh</v>
          </cell>
          <cell r="D38">
            <v>48802.53</v>
          </cell>
          <cell r="E38">
            <v>48802.53</v>
          </cell>
        </row>
        <row r="39">
          <cell r="B39" t="str">
            <v>Pengangkut air</v>
          </cell>
          <cell r="C39" t="str">
            <v>oh</v>
          </cell>
          <cell r="D39">
            <v>48802.53</v>
          </cell>
          <cell r="E39">
            <v>48802.53</v>
          </cell>
        </row>
        <row r="41">
          <cell r="B41" t="str">
            <v>MATERIAL/BAHAN</v>
          </cell>
        </row>
        <row r="43">
          <cell r="B43" t="str">
            <v>Alang-alang</v>
          </cell>
          <cell r="C43" t="str">
            <v>ikat</v>
          </cell>
          <cell r="D43">
            <v>1500</v>
          </cell>
        </row>
        <row r="44">
          <cell r="B44" t="str">
            <v>Alat-alat bantu**</v>
          </cell>
          <cell r="C44" t="str">
            <v>set</v>
          </cell>
          <cell r="D44">
            <v>134900</v>
          </cell>
          <cell r="E44">
            <v>134900</v>
          </cell>
        </row>
        <row r="45">
          <cell r="B45" t="str">
            <v>All socket reducer PVC ø 100 x 80 (mm)</v>
          </cell>
          <cell r="C45" t="str">
            <v>unit</v>
          </cell>
          <cell r="D45">
            <v>75000</v>
          </cell>
          <cell r="E45">
            <v>75000</v>
          </cell>
        </row>
        <row r="46">
          <cell r="B46" t="str">
            <v>All socket reducer PVC ø 80 x 50 (mm)</v>
          </cell>
          <cell r="C46" t="str">
            <v>unit</v>
          </cell>
          <cell r="D46">
            <v>50000</v>
          </cell>
          <cell r="E46">
            <v>50000</v>
          </cell>
        </row>
        <row r="47">
          <cell r="B47" t="str">
            <v xml:space="preserve">Aluminium foil </v>
          </cell>
          <cell r="C47" t="str">
            <v>m²</v>
          </cell>
          <cell r="D47">
            <v>92000</v>
          </cell>
          <cell r="E47">
            <v>92000</v>
          </cell>
        </row>
        <row r="48">
          <cell r="B48" t="str">
            <v>Amplas</v>
          </cell>
          <cell r="C48" t="str">
            <v>lembar</v>
          </cell>
          <cell r="D48">
            <v>11600</v>
          </cell>
          <cell r="E48">
            <v>11600</v>
          </cell>
        </row>
        <row r="49">
          <cell r="B49" t="str">
            <v>Aspal bitumen</v>
          </cell>
          <cell r="C49" t="str">
            <v>kg</v>
          </cell>
          <cell r="D49">
            <v>12330.36</v>
          </cell>
          <cell r="E49">
            <v>12330.36</v>
          </cell>
        </row>
        <row r="50">
          <cell r="B50" t="str">
            <v xml:space="preserve">Atap alumunium super sheet uk. 1,8 x 6 (m), t = 0,2 mm (berwarna) </v>
          </cell>
          <cell r="C50" t="str">
            <v>m²</v>
          </cell>
          <cell r="D50">
            <v>265800</v>
          </cell>
          <cell r="E50">
            <v>265800</v>
          </cell>
        </row>
        <row r="51">
          <cell r="B51" t="str">
            <v>Atap asbes gelombang uk. 1,50 x 0,90 (m) tebal 4 mm</v>
          </cell>
          <cell r="C51" t="str">
            <v>lembar</v>
          </cell>
          <cell r="D51">
            <v>36814.699999999997</v>
          </cell>
          <cell r="E51">
            <v>36814.699999999997</v>
          </cell>
        </row>
        <row r="52">
          <cell r="B52" t="str">
            <v>Atap asbes gelombang uk. 1,50 x 1,05 (m) tebal 4 mm</v>
          </cell>
          <cell r="C52" t="str">
            <v>lembar</v>
          </cell>
          <cell r="D52">
            <v>71500</v>
          </cell>
          <cell r="E52">
            <v>71500</v>
          </cell>
        </row>
        <row r="53">
          <cell r="B53" t="str">
            <v>Atap asbes gelombang uk. 1,50 x 1,05 (m) tebal 6 mm</v>
          </cell>
          <cell r="C53" t="str">
            <v>lembar</v>
          </cell>
          <cell r="D53">
            <v>107200</v>
          </cell>
          <cell r="E53">
            <v>107200</v>
          </cell>
        </row>
        <row r="54">
          <cell r="B54" t="str">
            <v>Atap asbes gelombang uk. 1,80 x 0,92 (m) tebal 5 mm</v>
          </cell>
          <cell r="C54" t="str">
            <v>lembar</v>
          </cell>
          <cell r="D54">
            <v>41000</v>
          </cell>
          <cell r="E54">
            <v>41000</v>
          </cell>
        </row>
        <row r="55">
          <cell r="B55" t="str">
            <v>Atap asbes gelombang uk. 1,80 x 1,05 (m) tebal 4 mm</v>
          </cell>
          <cell r="C55" t="str">
            <v>lembar</v>
          </cell>
          <cell r="D55">
            <v>78500</v>
          </cell>
          <cell r="E55">
            <v>78500</v>
          </cell>
        </row>
        <row r="56">
          <cell r="B56" t="str">
            <v>Atap asbes gelombang uk. 1,80 x 1,08 (m) tebal 6 mm</v>
          </cell>
          <cell r="C56" t="str">
            <v>lembar</v>
          </cell>
          <cell r="D56">
            <v>55500</v>
          </cell>
          <cell r="E56">
            <v>55500</v>
          </cell>
        </row>
        <row r="57">
          <cell r="B57" t="str">
            <v>Atap asbes gelombang uk. 2,00 x 0,92 (m) tebal 5 mm</v>
          </cell>
          <cell r="C57" t="str">
            <v>lembar</v>
          </cell>
          <cell r="D57">
            <v>114400</v>
          </cell>
          <cell r="E57">
            <v>114400</v>
          </cell>
        </row>
        <row r="58">
          <cell r="B58" t="str">
            <v>Atap asbes gelombang uk. 2,10 x 1,05 (m) tebal 4 mm</v>
          </cell>
          <cell r="C58" t="str">
            <v>lembar</v>
          </cell>
          <cell r="D58">
            <v>91600</v>
          </cell>
          <cell r="E58">
            <v>91600</v>
          </cell>
        </row>
        <row r="59">
          <cell r="B59" t="str">
            <v>Atap asbes gelombang uk. 2,10 x 1,08 (m) tebal 6 mm</v>
          </cell>
          <cell r="C59" t="str">
            <v>lembar</v>
          </cell>
          <cell r="D59">
            <v>137100</v>
          </cell>
          <cell r="E59">
            <v>137100</v>
          </cell>
        </row>
        <row r="60">
          <cell r="B60" t="str">
            <v>Atap asbes gelombang uk. 2,25 x 0,92 (m) tebal 5 mm</v>
          </cell>
          <cell r="C60" t="str">
            <v>lembar</v>
          </cell>
          <cell r="D60">
            <v>128700</v>
          </cell>
          <cell r="E60">
            <v>128700</v>
          </cell>
        </row>
        <row r="61">
          <cell r="B61" t="str">
            <v>Atap asbes gelombang uk. 2,40 x 1,05 (m) tebal 4 mm</v>
          </cell>
          <cell r="C61" t="str">
            <v>lembar</v>
          </cell>
          <cell r="D61">
            <v>96400</v>
          </cell>
          <cell r="E61">
            <v>96400</v>
          </cell>
        </row>
        <row r="62">
          <cell r="B62" t="str">
            <v>Atap asbes gelombang uk. 2,40 x 1,08 (m) tebal 6 mm</v>
          </cell>
          <cell r="C62" t="str">
            <v>lembar</v>
          </cell>
          <cell r="D62">
            <v>144600</v>
          </cell>
          <cell r="E62">
            <v>144600</v>
          </cell>
        </row>
        <row r="63">
          <cell r="B63" t="str">
            <v>Atap asbes gelombang uk. 2,50 x 0,92 (m) tebal 5 mm</v>
          </cell>
          <cell r="C63" t="str">
            <v>lembar</v>
          </cell>
          <cell r="D63">
            <v>143000</v>
          </cell>
          <cell r="E63">
            <v>143000</v>
          </cell>
        </row>
        <row r="64">
          <cell r="B64" t="str">
            <v>Atap asbes gelombang uk. 2,70 x 1,05 (m) tebal 4 mm</v>
          </cell>
          <cell r="C64" t="str">
            <v>lembar</v>
          </cell>
          <cell r="D64">
            <v>116700</v>
          </cell>
          <cell r="E64">
            <v>116700</v>
          </cell>
        </row>
        <row r="65">
          <cell r="B65" t="str">
            <v>Atap asbes gelombang uk. 2,70 x 1,08 (m) tebal 6 mm</v>
          </cell>
          <cell r="C65" t="str">
            <v>lembar</v>
          </cell>
          <cell r="D65">
            <v>175000</v>
          </cell>
          <cell r="E65">
            <v>175000</v>
          </cell>
        </row>
        <row r="66">
          <cell r="B66" t="str">
            <v>Atap asbes gelombang uk. 3,00 x 1,05 (m) tebal 4 mm</v>
          </cell>
          <cell r="C66" t="str">
            <v>lembar</v>
          </cell>
          <cell r="D66">
            <v>126800</v>
          </cell>
          <cell r="E66">
            <v>126800</v>
          </cell>
        </row>
        <row r="67">
          <cell r="B67" t="str">
            <v>Atap asbes gelombang uk. 3,00 x 1,08 (m) tebal 6 mm</v>
          </cell>
          <cell r="C67" t="str">
            <v>lembar</v>
          </cell>
          <cell r="D67">
            <v>189700</v>
          </cell>
          <cell r="E67">
            <v>189700</v>
          </cell>
        </row>
        <row r="68">
          <cell r="B68" t="str">
            <v>Foldimg Gate ( tebal 2 mm )</v>
          </cell>
          <cell r="C68" t="str">
            <v>m2</v>
          </cell>
          <cell r="D68">
            <v>733471.2</v>
          </cell>
          <cell r="E68">
            <v>733471.2</v>
          </cell>
        </row>
        <row r="69">
          <cell r="B69" t="str">
            <v>Folding Gate ( tebal 3 mm )</v>
          </cell>
          <cell r="C69" t="str">
            <v>m2</v>
          </cell>
          <cell r="D69">
            <v>900169.2</v>
          </cell>
          <cell r="E69">
            <v>900169.2</v>
          </cell>
        </row>
        <row r="70">
          <cell r="B70" t="str">
            <v>Atap genteng (standar KIA)</v>
          </cell>
          <cell r="C70" t="str">
            <v>lembar</v>
          </cell>
          <cell r="D70">
            <v>14300</v>
          </cell>
          <cell r="E70">
            <v>14300</v>
          </cell>
        </row>
        <row r="71">
          <cell r="B71" t="str">
            <v>Atap genteng beton ( jenis press)</v>
          </cell>
          <cell r="C71" t="str">
            <v>buah</v>
          </cell>
          <cell r="D71">
            <v>4961.25</v>
          </cell>
          <cell r="E71">
            <v>4961.25</v>
          </cell>
        </row>
        <row r="72">
          <cell r="B72" t="str">
            <v>Atap genteng kodok</v>
          </cell>
          <cell r="C72" t="str">
            <v>buah</v>
          </cell>
          <cell r="D72">
            <v>3150</v>
          </cell>
          <cell r="E72">
            <v>3150</v>
          </cell>
        </row>
        <row r="73">
          <cell r="B73" t="str">
            <v>Atap genteng soka</v>
          </cell>
          <cell r="C73" t="str">
            <v>buah</v>
          </cell>
          <cell r="D73">
            <v>2646</v>
          </cell>
          <cell r="E73">
            <v>2646</v>
          </cell>
        </row>
        <row r="74">
          <cell r="B74" t="str">
            <v>Atap metal (biasa / polos)</v>
          </cell>
          <cell r="C74" t="str">
            <v>lembar</v>
          </cell>
          <cell r="D74">
            <v>88300</v>
          </cell>
          <cell r="E74">
            <v>88300</v>
          </cell>
        </row>
        <row r="75">
          <cell r="B75" t="str">
            <v>Atap metal batuan /tekstur</v>
          </cell>
          <cell r="C75" t="str">
            <v>lembar</v>
          </cell>
          <cell r="D75">
            <v>97100</v>
          </cell>
          <cell r="E75">
            <v>97100</v>
          </cell>
        </row>
        <row r="76">
          <cell r="B76" t="str">
            <v>Atap seng fibreglass tebal</v>
          </cell>
          <cell r="C76" t="str">
            <v>lembar</v>
          </cell>
          <cell r="D76">
            <v>158000</v>
          </cell>
          <cell r="E76">
            <v>158000</v>
          </cell>
        </row>
        <row r="77">
          <cell r="B77" t="str">
            <v>Atap seng gelombang bjls 20 uk. 0,914 x 1,829 (m)</v>
          </cell>
          <cell r="C77" t="str">
            <v>lembar</v>
          </cell>
          <cell r="D77">
            <v>74800</v>
          </cell>
          <cell r="E77">
            <v>74800</v>
          </cell>
        </row>
        <row r="78">
          <cell r="B78" t="str">
            <v>Air Release Valve dia 25 mm</v>
          </cell>
          <cell r="C78" t="str">
            <v>Unit</v>
          </cell>
          <cell r="D78">
            <v>2193411.7799999998</v>
          </cell>
          <cell r="E78">
            <v>2193411.7799999998</v>
          </cell>
        </row>
        <row r="79">
          <cell r="B79" t="str">
            <v>Air Release Valve dia 50 mm</v>
          </cell>
          <cell r="C79" t="str">
            <v>Unit</v>
          </cell>
          <cell r="D79">
            <v>2741848.2</v>
          </cell>
          <cell r="E79">
            <v>2741848.2</v>
          </cell>
        </row>
        <row r="80">
          <cell r="B80" t="str">
            <v>Gorong-gorong/Buis beton dia "100</v>
          </cell>
          <cell r="C80" t="str">
            <v>m'</v>
          </cell>
          <cell r="D80">
            <v>1134000</v>
          </cell>
          <cell r="E80">
            <v>1134000</v>
          </cell>
        </row>
        <row r="81">
          <cell r="B81" t="str">
            <v>Gorong-gorong/Buis beton dia "80</v>
          </cell>
          <cell r="C81" t="str">
            <v>m'</v>
          </cell>
          <cell r="D81">
            <v>913500</v>
          </cell>
          <cell r="E81">
            <v>913500</v>
          </cell>
        </row>
        <row r="82">
          <cell r="B82" t="str">
            <v>Gorong-gorong/Buis beton dia "60</v>
          </cell>
          <cell r="C82" t="str">
            <v>m'</v>
          </cell>
          <cell r="D82">
            <v>693000</v>
          </cell>
          <cell r="E82">
            <v>693000</v>
          </cell>
        </row>
        <row r="83">
          <cell r="B83" t="str">
            <v>Bak cuci piring (sink) stainless steel 1 lobang</v>
          </cell>
          <cell r="C83" t="str">
            <v>buah</v>
          </cell>
          <cell r="D83">
            <v>321200</v>
          </cell>
          <cell r="E83">
            <v>321200</v>
          </cell>
        </row>
        <row r="84">
          <cell r="B84" t="str">
            <v>Bak cuci piring (sink) stainless steel 2 lobang</v>
          </cell>
          <cell r="C84" t="str">
            <v>buah</v>
          </cell>
          <cell r="D84">
            <v>644200</v>
          </cell>
          <cell r="E84">
            <v>644200</v>
          </cell>
        </row>
        <row r="85">
          <cell r="B85" t="str">
            <v>Bak mandi fibreglass volume 0,15 m³</v>
          </cell>
          <cell r="C85" t="str">
            <v>buah</v>
          </cell>
          <cell r="D85">
            <v>317700</v>
          </cell>
          <cell r="E85">
            <v>317700</v>
          </cell>
        </row>
        <row r="86">
          <cell r="B86" t="str">
            <v>Bak mandi fibreglass volume 0,30 m³</v>
          </cell>
          <cell r="C86" t="str">
            <v>buah</v>
          </cell>
          <cell r="D86">
            <v>353000</v>
          </cell>
          <cell r="E86">
            <v>353000</v>
          </cell>
        </row>
        <row r="87">
          <cell r="B87" t="str">
            <v>Bak mandi fibreglass volume 1,00 m³</v>
          </cell>
          <cell r="C87" t="str">
            <v>buah</v>
          </cell>
          <cell r="D87">
            <v>494200</v>
          </cell>
          <cell r="E87">
            <v>494200</v>
          </cell>
        </row>
        <row r="88">
          <cell r="B88" t="str">
            <v>Bak mandi jenis bathtub</v>
          </cell>
          <cell r="C88" t="str">
            <v>buah</v>
          </cell>
          <cell r="D88">
            <v>1750000</v>
          </cell>
          <cell r="E88">
            <v>1750000</v>
          </cell>
        </row>
        <row r="89">
          <cell r="B89" t="str">
            <v>Bataco</v>
          </cell>
          <cell r="C89" t="str">
            <v>buah</v>
          </cell>
          <cell r="D89">
            <v>2115</v>
          </cell>
          <cell r="E89">
            <v>2115</v>
          </cell>
        </row>
        <row r="90">
          <cell r="B90" t="str">
            <v>Batacote</v>
          </cell>
          <cell r="C90" t="str">
            <v>m²</v>
          </cell>
          <cell r="D90">
            <v>61800</v>
          </cell>
          <cell r="E90">
            <v>61800</v>
          </cell>
        </row>
        <row r="91">
          <cell r="B91" t="str">
            <v>Batu alam tempel</v>
          </cell>
          <cell r="C91" t="str">
            <v>m²</v>
          </cell>
          <cell r="D91">
            <v>441300</v>
          </cell>
          <cell r="E91">
            <v>441300</v>
          </cell>
        </row>
        <row r="92">
          <cell r="B92" t="str">
            <v>Batu apung</v>
          </cell>
          <cell r="C92" t="str">
            <v>kg</v>
          </cell>
          <cell r="D92">
            <v>2600</v>
          </cell>
          <cell r="E92">
            <v>2600</v>
          </cell>
        </row>
        <row r="93">
          <cell r="B93" t="str">
            <v>Batu bata berongga uk. 5 x 11 x 24 (cm)</v>
          </cell>
          <cell r="C93" t="str">
            <v>buah</v>
          </cell>
          <cell r="D93">
            <v>2600</v>
          </cell>
          <cell r="E93">
            <v>2600</v>
          </cell>
        </row>
        <row r="94">
          <cell r="B94" t="str">
            <v>Batu bata merah (lokal)</v>
          </cell>
          <cell r="C94" t="str">
            <v>bh</v>
          </cell>
          <cell r="D94">
            <v>1800</v>
          </cell>
          <cell r="E94">
            <v>1800</v>
          </cell>
        </row>
        <row r="95">
          <cell r="B95" t="str">
            <v>Batu bata besar ( 8x8x20 ) cm</v>
          </cell>
          <cell r="C95" t="str">
            <v>bh</v>
          </cell>
          <cell r="D95">
            <v>1764</v>
          </cell>
          <cell r="E95">
            <v>1764</v>
          </cell>
        </row>
        <row r="96">
          <cell r="B96" t="str">
            <v>Batu bata kecil ( 5x8x20 ) cm</v>
          </cell>
          <cell r="C96" t="str">
            <v>bh</v>
          </cell>
          <cell r="D96">
            <v>1512</v>
          </cell>
          <cell r="E96">
            <v>1512</v>
          </cell>
        </row>
        <row r="97">
          <cell r="B97" t="str">
            <v>Batu belah 10 - 15 (cm)</v>
          </cell>
          <cell r="C97" t="str">
            <v>m³</v>
          </cell>
          <cell r="D97">
            <v>511000</v>
          </cell>
          <cell r="E97">
            <v>511000</v>
          </cell>
        </row>
        <row r="98">
          <cell r="B98" t="str">
            <v>Batu belah 15 - 20 (cm)</v>
          </cell>
          <cell r="C98" t="str">
            <v>m³</v>
          </cell>
          <cell r="D98">
            <v>401500</v>
          </cell>
          <cell r="E98">
            <v>401500</v>
          </cell>
        </row>
        <row r="99">
          <cell r="B99" t="str">
            <v>Batu gunung (quarry)</v>
          </cell>
          <cell r="C99" t="str">
            <v>m³</v>
          </cell>
          <cell r="D99">
            <v>401500</v>
          </cell>
          <cell r="E99">
            <v>401500</v>
          </cell>
        </row>
        <row r="100">
          <cell r="B100" t="str">
            <v>Batu kali bulat</v>
          </cell>
          <cell r="C100" t="str">
            <v>m³</v>
          </cell>
          <cell r="D100">
            <v>100600</v>
          </cell>
          <cell r="E100">
            <v>100600</v>
          </cell>
        </row>
        <row r="101">
          <cell r="B101" t="str">
            <v>Batu kapur</v>
          </cell>
          <cell r="C101" t="str">
            <v>m³</v>
          </cell>
          <cell r="D101">
            <v>97100</v>
          </cell>
          <cell r="E101">
            <v>97100</v>
          </cell>
        </row>
        <row r="102">
          <cell r="B102" t="str">
            <v>Batu kerikil ayak / batu saring / kerai</v>
          </cell>
          <cell r="C102" t="str">
            <v>m³</v>
          </cell>
          <cell r="D102">
            <v>207400</v>
          </cell>
          <cell r="E102">
            <v>207400</v>
          </cell>
        </row>
        <row r="103">
          <cell r="B103" t="str">
            <v>Batu kerikil dari galian bukit</v>
          </cell>
          <cell r="C103" t="str">
            <v>m³</v>
          </cell>
          <cell r="D103">
            <v>176500</v>
          </cell>
          <cell r="E103">
            <v>176500</v>
          </cell>
        </row>
        <row r="104">
          <cell r="B104" t="str">
            <v>Batu kerikil sungai (dengan pasir)</v>
          </cell>
          <cell r="C104" t="str">
            <v>m³</v>
          </cell>
          <cell r="D104">
            <v>203000</v>
          </cell>
          <cell r="E104">
            <v>203000</v>
          </cell>
        </row>
        <row r="105">
          <cell r="B105" t="str">
            <v>Batu paras</v>
          </cell>
          <cell r="C105" t="str">
            <v>m²</v>
          </cell>
          <cell r="D105">
            <v>441300</v>
          </cell>
          <cell r="E105">
            <v>441300</v>
          </cell>
        </row>
        <row r="106">
          <cell r="B106" t="str">
            <v>Batu kacang</v>
          </cell>
          <cell r="C106" t="str">
            <v>m3</v>
          </cell>
          <cell r="D106">
            <v>416745</v>
          </cell>
          <cell r="E106">
            <v>416745</v>
          </cell>
        </row>
        <row r="107">
          <cell r="B107" t="str">
            <v>Batu pecah 0,5 - 1 (cm)</v>
          </cell>
          <cell r="C107" t="str">
            <v>m³</v>
          </cell>
          <cell r="D107">
            <v>374125</v>
          </cell>
          <cell r="E107">
            <v>374125</v>
          </cell>
        </row>
        <row r="108">
          <cell r="B108" t="str">
            <v>Batu pecah 1 - 2 (cm)</v>
          </cell>
          <cell r="C108" t="str">
            <v>m³</v>
          </cell>
          <cell r="D108">
            <v>446516.67</v>
          </cell>
          <cell r="E108">
            <v>446516.67</v>
          </cell>
        </row>
        <row r="109">
          <cell r="B109" t="str">
            <v>Batu pecah 2 - 3 (cm)</v>
          </cell>
          <cell r="C109" t="str">
            <v>m³</v>
          </cell>
          <cell r="D109">
            <v>455520</v>
          </cell>
          <cell r="E109">
            <v>455520</v>
          </cell>
        </row>
        <row r="110">
          <cell r="B110" t="str">
            <v>Batu pecah 3 - 5 (cm)</v>
          </cell>
          <cell r="C110" t="str">
            <v>m³</v>
          </cell>
          <cell r="D110">
            <v>455520</v>
          </cell>
          <cell r="E110">
            <v>455520</v>
          </cell>
        </row>
        <row r="111">
          <cell r="B111" t="str">
            <v>Batu pecah 5 - 7 (cm)</v>
          </cell>
          <cell r="C111" t="str">
            <v>m³</v>
          </cell>
          <cell r="D111">
            <v>601397.36</v>
          </cell>
          <cell r="E111">
            <v>601397.36</v>
          </cell>
        </row>
        <row r="112">
          <cell r="B112" t="str">
            <v>Batu pecah 7 - 10 (cm)</v>
          </cell>
          <cell r="C112" t="str">
            <v>m³</v>
          </cell>
          <cell r="D112">
            <v>291200</v>
          </cell>
          <cell r="E112">
            <v>291200</v>
          </cell>
        </row>
        <row r="113">
          <cell r="B113" t="str">
            <v>Batu teraso</v>
          </cell>
          <cell r="C113" t="str">
            <v>m³</v>
          </cell>
          <cell r="D113">
            <v>185300</v>
          </cell>
          <cell r="E113">
            <v>185300</v>
          </cell>
        </row>
        <row r="114">
          <cell r="B114" t="str">
            <v>Baut / mur baja</v>
          </cell>
          <cell r="C114" t="str">
            <v>buah</v>
          </cell>
          <cell r="D114">
            <v>10600</v>
          </cell>
          <cell r="E114">
            <v>10600</v>
          </cell>
        </row>
        <row r="115">
          <cell r="B115" t="str">
            <v>Baut klem</v>
          </cell>
          <cell r="C115" t="str">
            <v>buah</v>
          </cell>
          <cell r="D115">
            <v>7900</v>
          </cell>
          <cell r="E115">
            <v>7900</v>
          </cell>
        </row>
        <row r="116">
          <cell r="B116" t="str">
            <v>Bensin premium</v>
          </cell>
          <cell r="C116" t="str">
            <v>liter</v>
          </cell>
          <cell r="D116">
            <v>5670</v>
          </cell>
          <cell r="E116">
            <v>5670</v>
          </cell>
        </row>
        <row r="117">
          <cell r="B117" t="str">
            <v>Besi baja profil IWF</v>
          </cell>
          <cell r="C117" t="str">
            <v>kg</v>
          </cell>
          <cell r="D117">
            <v>44100</v>
          </cell>
          <cell r="E117">
            <v>44100</v>
          </cell>
        </row>
        <row r="118">
          <cell r="B118" t="str">
            <v>Besi baut kuda-kuda</v>
          </cell>
          <cell r="C118" t="str">
            <v>kg</v>
          </cell>
          <cell r="D118">
            <v>19800</v>
          </cell>
          <cell r="E118">
            <v>19800</v>
          </cell>
        </row>
        <row r="119">
          <cell r="B119" t="str">
            <v>Besi beton</v>
          </cell>
          <cell r="C119" t="str">
            <v>kg</v>
          </cell>
          <cell r="D119">
            <v>19656</v>
          </cell>
          <cell r="E119">
            <v>19656</v>
          </cell>
        </row>
        <row r="120">
          <cell r="B120" t="str">
            <v>Besi jaring kawat baja</v>
          </cell>
          <cell r="C120" t="str">
            <v>kg</v>
          </cell>
          <cell r="D120">
            <v>19400</v>
          </cell>
          <cell r="E120">
            <v>19400</v>
          </cell>
        </row>
        <row r="121">
          <cell r="B121" t="str">
            <v>Besi prestressed polos</v>
          </cell>
          <cell r="C121" t="str">
            <v>kg</v>
          </cell>
          <cell r="D121">
            <v>22900</v>
          </cell>
          <cell r="E121">
            <v>22900</v>
          </cell>
        </row>
        <row r="122">
          <cell r="B122" t="str">
            <v>Besi siku</v>
          </cell>
          <cell r="C122" t="str">
            <v>6 m'</v>
          </cell>
          <cell r="D122">
            <v>315945</v>
          </cell>
          <cell r="E122">
            <v>315945</v>
          </cell>
        </row>
        <row r="123">
          <cell r="B123" t="str">
            <v>Besi strip</v>
          </cell>
          <cell r="C123" t="str">
            <v>kg</v>
          </cell>
          <cell r="D123">
            <v>53550</v>
          </cell>
          <cell r="E123">
            <v>53550</v>
          </cell>
        </row>
        <row r="124">
          <cell r="B124" t="str">
            <v>Kawat</v>
          </cell>
          <cell r="C124" t="str">
            <v>kg</v>
          </cell>
          <cell r="D124">
            <v>25000</v>
          </cell>
          <cell r="E124">
            <v>25000</v>
          </cell>
        </row>
        <row r="125">
          <cell r="B125" t="str">
            <v>Plat kembang 3 mm</v>
          </cell>
          <cell r="C125" t="str">
            <v>m2</v>
          </cell>
          <cell r="D125">
            <v>200037.6</v>
          </cell>
          <cell r="E125">
            <v>200037.6</v>
          </cell>
        </row>
        <row r="126">
          <cell r="B126" t="str">
            <v>Besi strip 2 x 3</v>
          </cell>
          <cell r="C126" t="str">
            <v>m'</v>
          </cell>
          <cell r="D126">
            <v>29100</v>
          </cell>
          <cell r="E126">
            <v>29100</v>
          </cell>
        </row>
        <row r="127">
          <cell r="B127" t="str">
            <v>Bend C1 dia 200 mm x 45 ff</v>
          </cell>
          <cell r="C127" t="str">
            <v>m'</v>
          </cell>
          <cell r="D127">
            <v>651622.86</v>
          </cell>
          <cell r="E127">
            <v>651622.86</v>
          </cell>
        </row>
        <row r="128">
          <cell r="B128" t="str">
            <v>Bend C1 dia 200 mm x 90 ff</v>
          </cell>
          <cell r="C128" t="str">
            <v>m'</v>
          </cell>
          <cell r="D128">
            <v>1645142.94</v>
          </cell>
          <cell r="E128">
            <v>1645142.94</v>
          </cell>
        </row>
        <row r="129">
          <cell r="B129" t="str">
            <v>Bend PVC 100 x 90</v>
          </cell>
          <cell r="C129" t="str">
            <v>Unit</v>
          </cell>
          <cell r="D129">
            <v>626618.16</v>
          </cell>
          <cell r="E129">
            <v>626618.16</v>
          </cell>
        </row>
        <row r="130">
          <cell r="B130" t="str">
            <v>Bend PVC 150 x 90</v>
          </cell>
          <cell r="C130" t="str">
            <v>Unit</v>
          </cell>
          <cell r="D130">
            <v>822487.68</v>
          </cell>
          <cell r="E130">
            <v>822487.68</v>
          </cell>
        </row>
        <row r="131">
          <cell r="B131" t="str">
            <v>Bend PVC 50 x 90</v>
          </cell>
          <cell r="C131" t="str">
            <v>Unit</v>
          </cell>
          <cell r="D131">
            <v>182701.26</v>
          </cell>
          <cell r="E131">
            <v>182701.26</v>
          </cell>
        </row>
        <row r="132">
          <cell r="B132" t="str">
            <v>Bend PVC 80 x 90</v>
          </cell>
          <cell r="C132" t="str">
            <v>Unit</v>
          </cell>
          <cell r="D132">
            <v>274051.26</v>
          </cell>
          <cell r="E132">
            <v>274051.26</v>
          </cell>
        </row>
        <row r="133">
          <cell r="B133" t="str">
            <v>Besi teralis ø 6 mm - 10 mm</v>
          </cell>
          <cell r="C133" t="str">
            <v>m'</v>
          </cell>
          <cell r="D133">
            <v>29100</v>
          </cell>
          <cell r="E133">
            <v>29100</v>
          </cell>
        </row>
        <row r="134">
          <cell r="B134" t="str">
            <v>Bilik bambu kering, uk. 1,5 x 4 (m)</v>
          </cell>
          <cell r="C134" t="str">
            <v>buah</v>
          </cell>
          <cell r="D134">
            <v>61800</v>
          </cell>
          <cell r="E134">
            <v>61800</v>
          </cell>
        </row>
        <row r="135">
          <cell r="B135" t="str">
            <v>Bliksem spit penangkal petir</v>
          </cell>
          <cell r="C135" t="str">
            <v>buah</v>
          </cell>
          <cell r="D135">
            <v>101500</v>
          </cell>
          <cell r="E135">
            <v>101500</v>
          </cell>
        </row>
        <row r="136">
          <cell r="B136" t="str">
            <v xml:space="preserve">Bondbeam uk. 40 x 20 x 20 (cm) </v>
          </cell>
          <cell r="C136" t="str">
            <v>buah</v>
          </cell>
          <cell r="D136">
            <v>64400</v>
          </cell>
          <cell r="E136">
            <v>64400</v>
          </cell>
        </row>
        <row r="137">
          <cell r="B137" t="str">
            <v>Box sekering, 1 goup / phase</v>
          </cell>
          <cell r="C137" t="str">
            <v>buah</v>
          </cell>
          <cell r="D137">
            <v>59800</v>
          </cell>
          <cell r="E137">
            <v>59800</v>
          </cell>
        </row>
        <row r="138">
          <cell r="B138" t="str">
            <v>Box sekering, 2 goup / phase</v>
          </cell>
          <cell r="C138" t="str">
            <v>buah</v>
          </cell>
          <cell r="D138">
            <v>72300</v>
          </cell>
          <cell r="E138">
            <v>72300</v>
          </cell>
        </row>
        <row r="139">
          <cell r="B139" t="str">
            <v>Box sekering, 3 goup / phase</v>
          </cell>
          <cell r="C139" t="str">
            <v>buah</v>
          </cell>
          <cell r="D139">
            <v>82300</v>
          </cell>
          <cell r="E139">
            <v>82300</v>
          </cell>
        </row>
        <row r="140">
          <cell r="B140" t="str">
            <v>Box sekering</v>
          </cell>
          <cell r="C140" t="str">
            <v>set</v>
          </cell>
          <cell r="D140">
            <v>56700</v>
          </cell>
          <cell r="E140">
            <v>56700</v>
          </cell>
        </row>
        <row r="141">
          <cell r="B141" t="str">
            <v>Box Water Meter</v>
          </cell>
          <cell r="C141" t="str">
            <v>bh</v>
          </cell>
          <cell r="D141">
            <v>44100</v>
          </cell>
          <cell r="E141">
            <v>44100</v>
          </cell>
        </row>
        <row r="142">
          <cell r="B142" t="str">
            <v>Bola lam pijar</v>
          </cell>
          <cell r="C142" t="str">
            <v>bh</v>
          </cell>
          <cell r="D142">
            <v>6300</v>
          </cell>
          <cell r="E142">
            <v>6300</v>
          </cell>
        </row>
        <row r="143">
          <cell r="B143" t="str">
            <v>Bola lampu TL.20 W</v>
          </cell>
          <cell r="C143" t="str">
            <v>bh</v>
          </cell>
          <cell r="D143">
            <v>28350</v>
          </cell>
          <cell r="E143">
            <v>28350</v>
          </cell>
        </row>
        <row r="144">
          <cell r="B144" t="str">
            <v xml:space="preserve">Bubungan atap (nok) alumunium standar 40 cm, swg. 22 </v>
          </cell>
          <cell r="C144" t="str">
            <v>m²</v>
          </cell>
          <cell r="D144">
            <v>85600</v>
          </cell>
          <cell r="E144">
            <v>85600</v>
          </cell>
        </row>
        <row r="145">
          <cell r="B145" t="str">
            <v xml:space="preserve">Bubungan atap (nok) asbes sepasang </v>
          </cell>
          <cell r="C145" t="str">
            <v>lembar</v>
          </cell>
          <cell r="D145">
            <v>61800</v>
          </cell>
          <cell r="E145">
            <v>61800</v>
          </cell>
        </row>
        <row r="146">
          <cell r="B146" t="str">
            <v>Bubungan atap (nok) genteng (standar KIA)</v>
          </cell>
          <cell r="C146" t="str">
            <v>buah</v>
          </cell>
          <cell r="D146">
            <v>43200</v>
          </cell>
          <cell r="E146">
            <v>43200</v>
          </cell>
        </row>
        <row r="147">
          <cell r="B147" t="str">
            <v>Bubungan atap (nok) genteng beton</v>
          </cell>
          <cell r="C147" t="str">
            <v>buah</v>
          </cell>
          <cell r="D147">
            <v>5433.75</v>
          </cell>
          <cell r="E147">
            <v>5433.75</v>
          </cell>
        </row>
        <row r="148">
          <cell r="B148" t="str">
            <v>Bubungan atap (nok) genteng kodok</v>
          </cell>
          <cell r="C148" t="str">
            <v>buah</v>
          </cell>
          <cell r="D148">
            <v>7200</v>
          </cell>
          <cell r="E148">
            <v>7200</v>
          </cell>
        </row>
        <row r="149">
          <cell r="B149" t="str">
            <v>Bubungan atap (nok) genteng soka</v>
          </cell>
          <cell r="C149" t="str">
            <v>buah</v>
          </cell>
          <cell r="D149">
            <v>4680</v>
          </cell>
          <cell r="E149">
            <v>4680</v>
          </cell>
        </row>
        <row r="150">
          <cell r="B150" t="str">
            <v>Bubungan atap (nok) metal (biasa / polos)</v>
          </cell>
          <cell r="C150" t="str">
            <v>buah</v>
          </cell>
          <cell r="D150">
            <v>37100</v>
          </cell>
          <cell r="E150">
            <v>37100</v>
          </cell>
        </row>
        <row r="151">
          <cell r="B151" t="str">
            <v>Bubungan atap (nok) metal (standar Rainbow)</v>
          </cell>
          <cell r="C151" t="str">
            <v>m'</v>
          </cell>
          <cell r="D151">
            <v>69700</v>
          </cell>
          <cell r="E151">
            <v>69700</v>
          </cell>
        </row>
        <row r="152">
          <cell r="B152" t="str">
            <v>Buis beton bertulang ø 45 cm - 75 cm</v>
          </cell>
          <cell r="C152" t="str">
            <v>buah</v>
          </cell>
          <cell r="D152">
            <v>494200</v>
          </cell>
          <cell r="E152">
            <v>494200</v>
          </cell>
        </row>
        <row r="153">
          <cell r="B153" t="str">
            <v>Buis beton bertulang ø 75 cm - 120 cm</v>
          </cell>
          <cell r="C153" t="str">
            <v>buah</v>
          </cell>
          <cell r="D153">
            <v>1147300</v>
          </cell>
          <cell r="E153">
            <v>1147300</v>
          </cell>
        </row>
        <row r="154">
          <cell r="B154" t="str">
            <v>Buis beton tak bertulang ø 100 cm</v>
          </cell>
          <cell r="C154" t="str">
            <v>buah</v>
          </cell>
          <cell r="D154">
            <v>460700</v>
          </cell>
          <cell r="E154">
            <v>460700</v>
          </cell>
        </row>
        <row r="155">
          <cell r="B155" t="str">
            <v>Buis beton tak bertulang ø 60 cm</v>
          </cell>
          <cell r="C155" t="str">
            <v>buah</v>
          </cell>
          <cell r="D155">
            <v>105000</v>
          </cell>
          <cell r="E155">
            <v>105000</v>
          </cell>
        </row>
        <row r="156">
          <cell r="B156" t="str">
            <v>Buis beton tak bertulang ø 80 cm</v>
          </cell>
          <cell r="C156" t="str">
            <v>buah</v>
          </cell>
          <cell r="D156">
            <v>460700</v>
          </cell>
          <cell r="E156">
            <v>460700</v>
          </cell>
        </row>
        <row r="157">
          <cell r="B157" t="str">
            <v>Cat besi merk "GENDANG"</v>
          </cell>
          <cell r="C157" t="str">
            <v>kg</v>
          </cell>
          <cell r="D157">
            <v>22176</v>
          </cell>
          <cell r="E157">
            <v>22176</v>
          </cell>
        </row>
        <row r="158">
          <cell r="B158" t="str">
            <v>Cat besi merk "PLATONE"</v>
          </cell>
          <cell r="C158" t="str">
            <v>kg</v>
          </cell>
          <cell r="D158">
            <v>50793.75</v>
          </cell>
          <cell r="E158">
            <v>50793.75</v>
          </cell>
        </row>
        <row r="159">
          <cell r="B159" t="str">
            <v>Cat dasar</v>
          </cell>
          <cell r="C159" t="str">
            <v>kg</v>
          </cell>
          <cell r="D159">
            <v>32700</v>
          </cell>
          <cell r="E159">
            <v>32700</v>
          </cell>
        </row>
        <row r="160">
          <cell r="B160" t="str">
            <v>Cat genteng</v>
          </cell>
          <cell r="C160" t="str">
            <v>kg</v>
          </cell>
          <cell r="D160">
            <v>30693.599999999999</v>
          </cell>
          <cell r="E160">
            <v>30693.599999999999</v>
          </cell>
        </row>
        <row r="161">
          <cell r="B161" t="str">
            <v>Cat jalan</v>
          </cell>
          <cell r="C161" t="str">
            <v>kg</v>
          </cell>
          <cell r="D161">
            <v>63800</v>
          </cell>
          <cell r="E161">
            <v>63800</v>
          </cell>
        </row>
        <row r="162">
          <cell r="B162" t="str">
            <v>Cat jembatan</v>
          </cell>
          <cell r="C162" t="str">
            <v>kg</v>
          </cell>
          <cell r="D162">
            <v>64400</v>
          </cell>
          <cell r="E162">
            <v>64400</v>
          </cell>
        </row>
        <row r="163">
          <cell r="B163" t="str">
            <v>Cat menie</v>
          </cell>
          <cell r="C163" t="str">
            <v>kg</v>
          </cell>
          <cell r="D163">
            <v>18405</v>
          </cell>
          <cell r="E163">
            <v>18405</v>
          </cell>
        </row>
        <row r="164">
          <cell r="B164" t="str">
            <v>Cat kayu</v>
          </cell>
          <cell r="C164" t="str">
            <v>kg</v>
          </cell>
          <cell r="D164">
            <v>42840</v>
          </cell>
          <cell r="E164">
            <v>42840</v>
          </cell>
        </row>
        <row r="165">
          <cell r="B165" t="str">
            <v>Cat minyak</v>
          </cell>
          <cell r="C165" t="str">
            <v>kg</v>
          </cell>
          <cell r="D165">
            <v>59062.5</v>
          </cell>
          <cell r="E165">
            <v>59062.5</v>
          </cell>
        </row>
        <row r="166">
          <cell r="B166" t="str">
            <v>Cat tembok</v>
          </cell>
          <cell r="C166" t="str">
            <v>kg</v>
          </cell>
          <cell r="D166">
            <v>24680</v>
          </cell>
          <cell r="E166">
            <v>24680</v>
          </cell>
        </row>
        <row r="167">
          <cell r="B167" t="str">
            <v>Cat tembok merk "GALATEK"</v>
          </cell>
          <cell r="C167" t="str">
            <v>kg</v>
          </cell>
          <cell r="D167">
            <v>9648.9500000000007</v>
          </cell>
          <cell r="E167">
            <v>9648.9500000000007</v>
          </cell>
        </row>
        <row r="168">
          <cell r="B168" t="str">
            <v>Cat tembok merk "KENLUX"</v>
          </cell>
          <cell r="C168" t="str">
            <v>kg</v>
          </cell>
          <cell r="D168">
            <v>16443</v>
          </cell>
          <cell r="E168">
            <v>16443</v>
          </cell>
        </row>
        <row r="169">
          <cell r="B169" t="str">
            <v>Cat tembok merk "PLATON"</v>
          </cell>
          <cell r="C169" t="str">
            <v>kg</v>
          </cell>
          <cell r="D169">
            <v>15172.5</v>
          </cell>
          <cell r="E169">
            <v>15172.5</v>
          </cell>
        </row>
        <row r="170">
          <cell r="B170" t="str">
            <v>Cat tembok merk "SUPERKEN"</v>
          </cell>
          <cell r="C170" t="str">
            <v>kg</v>
          </cell>
          <cell r="D170">
            <v>12810</v>
          </cell>
          <cell r="E170">
            <v>12810</v>
          </cell>
        </row>
        <row r="171">
          <cell r="B171" t="str">
            <v>Cat vernis</v>
          </cell>
          <cell r="C171" t="str">
            <v>kg</v>
          </cell>
          <cell r="D171">
            <v>19500</v>
          </cell>
          <cell r="E171">
            <v>19500</v>
          </cell>
        </row>
        <row r="172">
          <cell r="B172" t="str">
            <v>Closed duduk (lokal)</v>
          </cell>
          <cell r="C172" t="str">
            <v>buah</v>
          </cell>
          <cell r="D172">
            <v>2047400</v>
          </cell>
          <cell r="E172">
            <v>2047400</v>
          </cell>
        </row>
        <row r="173">
          <cell r="B173" t="str">
            <v>Closed jongkok keramik</v>
          </cell>
          <cell r="C173" t="str">
            <v>buah</v>
          </cell>
          <cell r="D173">
            <v>181400</v>
          </cell>
          <cell r="E173">
            <v>181400</v>
          </cell>
        </row>
        <row r="174">
          <cell r="B174" t="str">
            <v>Closed jongkok porcelaint (lokal)</v>
          </cell>
          <cell r="C174" t="str">
            <v>buah</v>
          </cell>
          <cell r="D174">
            <v>200300</v>
          </cell>
          <cell r="E174">
            <v>200300</v>
          </cell>
        </row>
        <row r="175">
          <cell r="B175" t="str">
            <v>Closed jongkok terasso</v>
          </cell>
          <cell r="C175" t="str">
            <v>buah</v>
          </cell>
          <cell r="D175">
            <v>238300</v>
          </cell>
          <cell r="E175">
            <v>238300</v>
          </cell>
        </row>
        <row r="176">
          <cell r="B176" t="str">
            <v>Closed jongkok keramik leher lurus</v>
          </cell>
          <cell r="C176" t="str">
            <v>bh</v>
          </cell>
          <cell r="D176">
            <v>441000</v>
          </cell>
          <cell r="E176">
            <v>441000</v>
          </cell>
        </row>
        <row r="177">
          <cell r="B177" t="str">
            <v>Closed jongkok keramik leher bengkok</v>
          </cell>
          <cell r="C177" t="str">
            <v>bh</v>
          </cell>
          <cell r="D177">
            <v>143850</v>
          </cell>
          <cell r="E177">
            <v>143850</v>
          </cell>
        </row>
        <row r="178">
          <cell r="B178" t="str">
            <v>Closed duduk keramik uk. Besar</v>
          </cell>
          <cell r="C178" t="str">
            <v>bh</v>
          </cell>
          <cell r="D178">
            <v>1554000</v>
          </cell>
          <cell r="E178">
            <v>1554000</v>
          </cell>
        </row>
        <row r="179">
          <cell r="B179" t="str">
            <v>Closed duduk keramik uk. Kecil</v>
          </cell>
          <cell r="C179" t="str">
            <v>bh</v>
          </cell>
          <cell r="D179">
            <v>383250</v>
          </cell>
          <cell r="E179">
            <v>383250</v>
          </cell>
        </row>
        <row r="180">
          <cell r="B180" t="str">
            <v>Clamp saddle C1 dia 50 x 13 mm</v>
          </cell>
          <cell r="C180" t="str">
            <v>unit</v>
          </cell>
          <cell r="D180">
            <v>91183.679999999993</v>
          </cell>
          <cell r="E180">
            <v>91183.679999999993</v>
          </cell>
        </row>
        <row r="181">
          <cell r="B181" t="str">
            <v>Clamp saddle C1 dia 80 x 13 mm</v>
          </cell>
          <cell r="C181" t="str">
            <v>unit</v>
          </cell>
          <cell r="D181">
            <v>104519.52</v>
          </cell>
          <cell r="E181">
            <v>104519.52</v>
          </cell>
        </row>
        <row r="182">
          <cell r="B182" t="str">
            <v>Clamp saddle PVC dia 50 x 13 mm</v>
          </cell>
          <cell r="C182" t="str">
            <v>unit</v>
          </cell>
          <cell r="D182">
            <v>173365.92</v>
          </cell>
          <cell r="E182">
            <v>173365.92</v>
          </cell>
        </row>
        <row r="183">
          <cell r="B183" t="str">
            <v>Clamp saddle PVC dia 80 x 13 mm</v>
          </cell>
          <cell r="C183" t="str">
            <v>unit</v>
          </cell>
          <cell r="D183">
            <v>207539.64</v>
          </cell>
          <cell r="E183">
            <v>207539.64</v>
          </cell>
        </row>
        <row r="184">
          <cell r="B184" t="str">
            <v>Conblock (C.B. 10)</v>
          </cell>
          <cell r="C184" t="str">
            <v>buah</v>
          </cell>
          <cell r="D184">
            <v>69700</v>
          </cell>
          <cell r="E184">
            <v>69700</v>
          </cell>
        </row>
        <row r="185">
          <cell r="B185" t="str">
            <v>Conblock (C.B. 15)</v>
          </cell>
          <cell r="C185" t="str">
            <v>buah</v>
          </cell>
          <cell r="D185">
            <v>57400</v>
          </cell>
          <cell r="E185">
            <v>57400</v>
          </cell>
        </row>
        <row r="186">
          <cell r="B186" t="str">
            <v>Conblock tebal 6 cm</v>
          </cell>
          <cell r="C186" t="str">
            <v>m²</v>
          </cell>
          <cell r="D186">
            <v>2016</v>
          </cell>
          <cell r="E186">
            <v>2016</v>
          </cell>
        </row>
        <row r="187">
          <cell r="B187" t="str">
            <v>Conblock tebal 8 cm</v>
          </cell>
          <cell r="C187" t="str">
            <v>m²</v>
          </cell>
          <cell r="D187">
            <v>2268</v>
          </cell>
          <cell r="E187">
            <v>2268</v>
          </cell>
        </row>
        <row r="188">
          <cell r="B188" t="str">
            <v>Dempul</v>
          </cell>
          <cell r="C188" t="str">
            <v>kg</v>
          </cell>
          <cell r="D188">
            <v>34177.5</v>
          </cell>
          <cell r="E188">
            <v>34177.5</v>
          </cell>
        </row>
        <row r="189">
          <cell r="B189" t="str">
            <v xml:space="preserve">Kapur tembok </v>
          </cell>
          <cell r="C189" t="str">
            <v>kg</v>
          </cell>
          <cell r="D189">
            <v>6510</v>
          </cell>
          <cell r="E189">
            <v>6510</v>
          </cell>
        </row>
        <row r="190">
          <cell r="B190" t="str">
            <v>Minyak cat</v>
          </cell>
          <cell r="C190" t="str">
            <v>Ltr</v>
          </cell>
          <cell r="D190">
            <v>6414.55</v>
          </cell>
          <cell r="E190">
            <v>6414.55</v>
          </cell>
        </row>
        <row r="191">
          <cell r="B191" t="str">
            <v>Plamur tembok</v>
          </cell>
          <cell r="C191" t="str">
            <v>kg</v>
          </cell>
          <cell r="D191">
            <v>11263</v>
          </cell>
          <cell r="E191">
            <v>11263</v>
          </cell>
        </row>
        <row r="192">
          <cell r="B192" t="str">
            <v>Dempul Gypsum</v>
          </cell>
          <cell r="C192" t="str">
            <v>kg</v>
          </cell>
          <cell r="D192">
            <v>5040</v>
          </cell>
          <cell r="E192">
            <v>5040</v>
          </cell>
        </row>
        <row r="193">
          <cell r="B193" t="str">
            <v>Dempul jadi</v>
          </cell>
          <cell r="C193" t="str">
            <v>kg</v>
          </cell>
          <cell r="D193">
            <v>146500</v>
          </cell>
          <cell r="E193">
            <v>146500</v>
          </cell>
        </row>
        <row r="194">
          <cell r="B194" t="str">
            <v>Dina bolt / ramset</v>
          </cell>
          <cell r="C194" t="str">
            <v>buah</v>
          </cell>
          <cell r="D194">
            <v>2200</v>
          </cell>
          <cell r="E194">
            <v>2200</v>
          </cell>
        </row>
        <row r="195">
          <cell r="B195" t="str">
            <v>Door stop</v>
          </cell>
          <cell r="C195" t="str">
            <v>buah</v>
          </cell>
          <cell r="D195">
            <v>88300</v>
          </cell>
          <cell r="E195">
            <v>88300</v>
          </cell>
        </row>
        <row r="196">
          <cell r="B196" t="str">
            <v>Dop PVC ø 50 mm</v>
          </cell>
          <cell r="C196" t="str">
            <v>unit</v>
          </cell>
          <cell r="D196">
            <v>41674.5</v>
          </cell>
          <cell r="E196">
            <v>41674.5</v>
          </cell>
        </row>
        <row r="197">
          <cell r="B197" t="str">
            <v>Dop Gip dia 13 mm</v>
          </cell>
          <cell r="C197" t="str">
            <v>unit</v>
          </cell>
          <cell r="D197">
            <v>5000.9399999999996</v>
          </cell>
          <cell r="E197">
            <v>5000.9399999999996</v>
          </cell>
        </row>
        <row r="198">
          <cell r="B198" t="str">
            <v>Dop PVC dia 100 mm</v>
          </cell>
          <cell r="C198" t="str">
            <v>unit</v>
          </cell>
          <cell r="D198">
            <v>127857.24</v>
          </cell>
          <cell r="E198">
            <v>127857.24</v>
          </cell>
        </row>
        <row r="199">
          <cell r="B199" t="str">
            <v>Dop PVC dia 80 mm</v>
          </cell>
          <cell r="C199" t="str">
            <v>unit</v>
          </cell>
          <cell r="D199">
            <v>74347.56</v>
          </cell>
          <cell r="E199">
            <v>74347.56</v>
          </cell>
        </row>
        <row r="200">
          <cell r="B200" t="str">
            <v>Double Nipple Gip dia 13 mm</v>
          </cell>
          <cell r="C200" t="str">
            <v>bh</v>
          </cell>
          <cell r="D200">
            <v>25200</v>
          </cell>
          <cell r="E200">
            <v>25200</v>
          </cell>
        </row>
        <row r="201">
          <cell r="B201" t="str">
            <v>Daun pintu fiber wc polos</v>
          </cell>
          <cell r="C201" t="str">
            <v>bh</v>
          </cell>
          <cell r="D201">
            <v>441000</v>
          </cell>
          <cell r="E201">
            <v>441000</v>
          </cell>
        </row>
        <row r="202">
          <cell r="B202" t="str">
            <v>Daun pintu fiber wc corak</v>
          </cell>
          <cell r="C202" t="str">
            <v>bh</v>
          </cell>
          <cell r="D202">
            <v>630000</v>
          </cell>
          <cell r="E202">
            <v>630000</v>
          </cell>
        </row>
        <row r="203">
          <cell r="B203" t="str">
            <v>Elastromer bearing pad</v>
          </cell>
          <cell r="C203" t="str">
            <v>-</v>
          </cell>
          <cell r="D203">
            <v>1420800</v>
          </cell>
          <cell r="E203">
            <v>1420800</v>
          </cell>
        </row>
        <row r="204">
          <cell r="B204" t="str">
            <v>Elektroda penghantar bumi untuk penangkal petir</v>
          </cell>
          <cell r="C204" t="str">
            <v>buah</v>
          </cell>
          <cell r="D204">
            <v>325500</v>
          </cell>
          <cell r="E204">
            <v>325500</v>
          </cell>
        </row>
        <row r="205">
          <cell r="B205" t="str">
            <v xml:space="preserve">Engsel pintu / jendela 3" </v>
          </cell>
          <cell r="C205" t="str">
            <v>buah</v>
          </cell>
          <cell r="D205">
            <v>15000</v>
          </cell>
          <cell r="E205">
            <v>15000</v>
          </cell>
        </row>
        <row r="206">
          <cell r="B206" t="str">
            <v xml:space="preserve">Engsel pintu / jendela 4" </v>
          </cell>
          <cell r="C206" t="str">
            <v>buah</v>
          </cell>
          <cell r="D206">
            <v>20300</v>
          </cell>
          <cell r="E206">
            <v>20300</v>
          </cell>
        </row>
        <row r="207">
          <cell r="B207" t="str">
            <v xml:space="preserve">Engsel pintu / jendela 5" </v>
          </cell>
          <cell r="C207" t="str">
            <v>buah</v>
          </cell>
          <cell r="D207">
            <v>28200</v>
          </cell>
          <cell r="E207">
            <v>28200</v>
          </cell>
        </row>
        <row r="208">
          <cell r="B208" t="str">
            <v>Engsel pintu kaca 10 mm</v>
          </cell>
          <cell r="C208" t="str">
            <v>set</v>
          </cell>
          <cell r="D208">
            <v>10600</v>
          </cell>
          <cell r="E208">
            <v>10600</v>
          </cell>
        </row>
        <row r="209">
          <cell r="B209" t="str">
            <v>Engsel putar jendela / ventilasi</v>
          </cell>
          <cell r="C209" t="str">
            <v>buah</v>
          </cell>
          <cell r="D209">
            <v>90000</v>
          </cell>
          <cell r="E209">
            <v>90000</v>
          </cell>
        </row>
        <row r="210">
          <cell r="B210" t="str">
            <v>Engsel kuningan untuk pintu</v>
          </cell>
          <cell r="C210" t="str">
            <v>2 bh</v>
          </cell>
          <cell r="D210">
            <v>20370</v>
          </cell>
          <cell r="E210">
            <v>20370</v>
          </cell>
        </row>
        <row r="211">
          <cell r="B211" t="str">
            <v>Engsel kuningan untuk jendela</v>
          </cell>
          <cell r="C211" t="str">
            <v>2 bh</v>
          </cell>
          <cell r="D211">
            <v>14553</v>
          </cell>
          <cell r="E211">
            <v>14553</v>
          </cell>
        </row>
        <row r="212">
          <cell r="B212" t="str">
            <v>Eternit asbes uk. 1 x 1 (m), tebal 4 mm</v>
          </cell>
          <cell r="C212" t="str">
            <v>m²</v>
          </cell>
          <cell r="D212">
            <v>32700</v>
          </cell>
          <cell r="E212">
            <v>32700</v>
          </cell>
        </row>
        <row r="213">
          <cell r="B213" t="str">
            <v>Eternit asbes uk. 1 x 1 (m), tebal 5 mm</v>
          </cell>
          <cell r="C213" t="str">
            <v>m²</v>
          </cell>
          <cell r="D213">
            <v>34400</v>
          </cell>
          <cell r="E213">
            <v>34400</v>
          </cell>
        </row>
        <row r="214">
          <cell r="B214" t="str">
            <v>Eternit asbes uk. 1 x 1 (m), tebal 6 mm</v>
          </cell>
          <cell r="C214" t="str">
            <v>m²</v>
          </cell>
          <cell r="D214">
            <v>37100</v>
          </cell>
          <cell r="E214">
            <v>37100</v>
          </cell>
        </row>
        <row r="215">
          <cell r="B215" t="str">
            <v>Enternit jaber Ment</v>
          </cell>
          <cell r="C215" t="str">
            <v>m2</v>
          </cell>
          <cell r="D215">
            <v>22680</v>
          </cell>
          <cell r="E215">
            <v>22680</v>
          </cell>
        </row>
        <row r="216">
          <cell r="B216" t="str">
            <v>Exspanoglet</v>
          </cell>
          <cell r="C216" t="str">
            <v>lembar</v>
          </cell>
          <cell r="D216">
            <v>75000</v>
          </cell>
          <cell r="E216">
            <v>75000</v>
          </cell>
        </row>
        <row r="217">
          <cell r="B217" t="str">
            <v>Fibre Plat 1,20 x 2,40 (m), tebal 4 mm</v>
          </cell>
          <cell r="C217" t="str">
            <v>m²</v>
          </cell>
          <cell r="D217">
            <v>84500</v>
          </cell>
          <cell r="E217">
            <v>84500</v>
          </cell>
        </row>
        <row r="218">
          <cell r="B218" t="str">
            <v>Fibre Plat 1,20 x 2,40 (m), tebal 6 mm</v>
          </cell>
          <cell r="C218" t="str">
            <v>m²</v>
          </cell>
          <cell r="D218">
            <v>152100</v>
          </cell>
          <cell r="E218">
            <v>152100</v>
          </cell>
        </row>
        <row r="219">
          <cell r="B219" t="str">
            <v>Fibre Plat 1,20 x 2,40 (m), tebal 8 mm</v>
          </cell>
          <cell r="C219" t="str">
            <v>m²</v>
          </cell>
          <cell r="D219">
            <v>200900</v>
          </cell>
          <cell r="E219">
            <v>200900</v>
          </cell>
        </row>
        <row r="220">
          <cell r="B220" t="str">
            <v xml:space="preserve">Floor drain </v>
          </cell>
          <cell r="C220" t="str">
            <v>buah</v>
          </cell>
          <cell r="D220">
            <v>48400</v>
          </cell>
          <cell r="E220">
            <v>48400</v>
          </cell>
        </row>
        <row r="221">
          <cell r="B221" t="str">
            <v>Formica 4" x 8"</v>
          </cell>
          <cell r="C221" t="str">
            <v>lbr</v>
          </cell>
          <cell r="D221">
            <v>79400</v>
          </cell>
          <cell r="E221">
            <v>79400</v>
          </cell>
        </row>
        <row r="222">
          <cell r="B222" t="str">
            <v>Flange C1 dia 200 mm</v>
          </cell>
          <cell r="C222" t="str">
            <v>bh</v>
          </cell>
          <cell r="D222">
            <v>136025.82</v>
          </cell>
          <cell r="E222">
            <v>136025.82</v>
          </cell>
        </row>
        <row r="223">
          <cell r="B223" t="str">
            <v>Flange Socket PVC dia 200 mm</v>
          </cell>
          <cell r="C223" t="str">
            <v>unit</v>
          </cell>
          <cell r="D223">
            <v>548436.42000000004</v>
          </cell>
          <cell r="E223">
            <v>548436.42000000004</v>
          </cell>
        </row>
        <row r="224">
          <cell r="B224" t="str">
            <v>Filler</v>
          </cell>
          <cell r="C224" t="str">
            <v>kg</v>
          </cell>
          <cell r="D224">
            <v>1512</v>
          </cell>
          <cell r="E224">
            <v>1512</v>
          </cell>
        </row>
        <row r="225">
          <cell r="B225" t="str">
            <v>Gate valve / stop kran ø 1 (inch) kuningan</v>
          </cell>
          <cell r="C225" t="str">
            <v>buah</v>
          </cell>
          <cell r="D225">
            <v>11500</v>
          </cell>
          <cell r="E225">
            <v>11500</v>
          </cell>
        </row>
        <row r="226">
          <cell r="B226" t="str">
            <v>Gate valve / stop kran ø 1/2 (inch) kuningan</v>
          </cell>
          <cell r="C226" t="str">
            <v>buah</v>
          </cell>
          <cell r="D226">
            <v>7900</v>
          </cell>
          <cell r="E226">
            <v>7900</v>
          </cell>
        </row>
        <row r="227">
          <cell r="B227" t="str">
            <v xml:space="preserve">Gate valve / stop kran ø 100 (mm) </v>
          </cell>
          <cell r="C227" t="str">
            <v>buah</v>
          </cell>
          <cell r="D227">
            <v>4203957.24</v>
          </cell>
          <cell r="E227">
            <v>4203957.24</v>
          </cell>
        </row>
        <row r="228">
          <cell r="B228" t="str">
            <v>Gate valve / stop kran ø 3/4 (inch) kuningan</v>
          </cell>
          <cell r="C228" t="str">
            <v>buah</v>
          </cell>
          <cell r="D228">
            <v>16800</v>
          </cell>
          <cell r="E228">
            <v>16800</v>
          </cell>
        </row>
        <row r="229">
          <cell r="B229" t="str">
            <v>Gate Valve dia 150 + Flange socket</v>
          </cell>
          <cell r="C229" t="str">
            <v>unit</v>
          </cell>
          <cell r="D229">
            <v>5940616.3600000003</v>
          </cell>
          <cell r="E229">
            <v>5940616.3600000003</v>
          </cell>
        </row>
        <row r="230">
          <cell r="B230" t="str">
            <v>Gate Valve dia 200 mm</v>
          </cell>
          <cell r="C230" t="str">
            <v>m'</v>
          </cell>
          <cell r="D230">
            <v>3693861.36</v>
          </cell>
          <cell r="E230">
            <v>3693861.36</v>
          </cell>
        </row>
        <row r="231">
          <cell r="B231" t="str">
            <v>Gate Valve dia 50 + Flange socket</v>
          </cell>
          <cell r="C231" t="str">
            <v>unit</v>
          </cell>
          <cell r="D231">
            <v>68922</v>
          </cell>
          <cell r="E231">
            <v>68922</v>
          </cell>
        </row>
        <row r="232">
          <cell r="B232" t="str">
            <v>Gate Valve dia 80 + Flange socket</v>
          </cell>
          <cell r="C232" t="str">
            <v>unit</v>
          </cell>
          <cell r="D232">
            <v>1761606</v>
          </cell>
          <cell r="E232">
            <v>1761606</v>
          </cell>
        </row>
        <row r="233">
          <cell r="B233" t="str">
            <v>Gibult Joint dia 200 mm</v>
          </cell>
          <cell r="C233" t="str">
            <v>unit</v>
          </cell>
          <cell r="D233">
            <v>3324958.56</v>
          </cell>
          <cell r="E233">
            <v>3324958.56</v>
          </cell>
        </row>
        <row r="234">
          <cell r="B234" t="str">
            <v>Glass block uk. 20 x 20 (cm)</v>
          </cell>
          <cell r="C234" t="str">
            <v>buah</v>
          </cell>
          <cell r="D234">
            <v>25600</v>
          </cell>
          <cell r="E234">
            <v>25600</v>
          </cell>
        </row>
        <row r="235">
          <cell r="B235" t="str">
            <v>Grease (minyak gemuk)</v>
          </cell>
          <cell r="C235" t="str">
            <v>kg</v>
          </cell>
          <cell r="D235">
            <v>43200</v>
          </cell>
          <cell r="E235">
            <v>43200</v>
          </cell>
        </row>
        <row r="236">
          <cell r="B236" t="str">
            <v>Grendel (biasa)</v>
          </cell>
          <cell r="C236" t="str">
            <v>buah</v>
          </cell>
          <cell r="D236">
            <v>20300</v>
          </cell>
          <cell r="E236">
            <v>20300</v>
          </cell>
        </row>
        <row r="237">
          <cell r="B237" t="str">
            <v>Grendel (istimewa)</v>
          </cell>
          <cell r="C237" t="str">
            <v>buah</v>
          </cell>
          <cell r="D237">
            <v>158000</v>
          </cell>
          <cell r="E237">
            <v>158000</v>
          </cell>
        </row>
        <row r="238">
          <cell r="B238" t="str">
            <v xml:space="preserve">Gypsum board motif uk. 1.22 x 2.44 (m), tebal 9 mm </v>
          </cell>
          <cell r="C238" t="str">
            <v>lembar</v>
          </cell>
          <cell r="D238">
            <v>116500</v>
          </cell>
          <cell r="E238">
            <v>116500</v>
          </cell>
        </row>
        <row r="239">
          <cell r="B239" t="str">
            <v>Gypsum board polos uk. 1.22 x 2.44 (m), tebal 9 mm</v>
          </cell>
          <cell r="C239" t="str">
            <v>lembar</v>
          </cell>
          <cell r="D239">
            <v>56385</v>
          </cell>
          <cell r="E239">
            <v>56385</v>
          </cell>
        </row>
        <row r="240">
          <cell r="B240" t="str">
            <v>Grendel kuning</v>
          </cell>
          <cell r="C240" t="str">
            <v>bh</v>
          </cell>
          <cell r="D240">
            <v>8190</v>
          </cell>
          <cell r="E240">
            <v>8190</v>
          </cell>
        </row>
        <row r="241">
          <cell r="B241" t="str">
            <v>Handle jendela</v>
          </cell>
          <cell r="C241" t="str">
            <v>buah</v>
          </cell>
          <cell r="D241">
            <v>37900</v>
          </cell>
          <cell r="E241">
            <v>37900</v>
          </cell>
        </row>
        <row r="242">
          <cell r="B242" t="str">
            <v>Handle pintu</v>
          </cell>
          <cell r="C242" t="str">
            <v>buah</v>
          </cell>
          <cell r="D242">
            <v>37900</v>
          </cell>
          <cell r="E242">
            <v>37900</v>
          </cell>
        </row>
        <row r="243">
          <cell r="B243" t="str">
            <v>Handle untuk meubelair (furniture) + kunci</v>
          </cell>
          <cell r="C243" t="str">
            <v>buah</v>
          </cell>
          <cell r="D243">
            <v>64400</v>
          </cell>
          <cell r="E243">
            <v>64400</v>
          </cell>
        </row>
        <row r="244">
          <cell r="B244" t="str">
            <v>Handle untuk pintu kaca lebar</v>
          </cell>
          <cell r="C244" t="str">
            <v>buah</v>
          </cell>
          <cell r="D244">
            <v>2206300</v>
          </cell>
          <cell r="E244">
            <v>2206300</v>
          </cell>
        </row>
        <row r="245">
          <cell r="B245" t="str">
            <v>Hollow block (H.B. 10)</v>
          </cell>
          <cell r="C245" t="str">
            <v>buah</v>
          </cell>
          <cell r="D245">
            <v>57400</v>
          </cell>
          <cell r="E245">
            <v>57400</v>
          </cell>
        </row>
        <row r="246">
          <cell r="B246" t="str">
            <v>Hollow block (H.B. 15)</v>
          </cell>
          <cell r="C246" t="str">
            <v>buah</v>
          </cell>
          <cell r="D246">
            <v>62700</v>
          </cell>
          <cell r="E246">
            <v>62700</v>
          </cell>
        </row>
        <row r="247">
          <cell r="B247" t="str">
            <v>Hollow block (H.B. 20)</v>
          </cell>
          <cell r="C247" t="str">
            <v>buah</v>
          </cell>
          <cell r="D247">
            <v>75000</v>
          </cell>
          <cell r="E247">
            <v>75000</v>
          </cell>
        </row>
        <row r="248">
          <cell r="B248" t="str">
            <v>Hook</v>
          </cell>
          <cell r="C248" t="str">
            <v>buah</v>
          </cell>
          <cell r="D248">
            <v>20300</v>
          </cell>
          <cell r="E248">
            <v>20300</v>
          </cell>
        </row>
        <row r="249">
          <cell r="B249" t="str">
            <v>Huruf Galvanized-Stainless steel</v>
          </cell>
          <cell r="C249" t="str">
            <v>m²</v>
          </cell>
          <cell r="D249">
            <v>402400</v>
          </cell>
          <cell r="E249">
            <v>402400</v>
          </cell>
        </row>
        <row r="250">
          <cell r="B250" t="str">
            <v>Jendela besi</v>
          </cell>
          <cell r="C250" t="str">
            <v>m²</v>
          </cell>
          <cell r="D250">
            <v>402400</v>
          </cell>
          <cell r="E250">
            <v>402400</v>
          </cell>
        </row>
        <row r="251">
          <cell r="B251" t="str">
            <v>Jendela nako (kerangka + kaca 5 mm)</v>
          </cell>
          <cell r="C251" t="str">
            <v>m²</v>
          </cell>
          <cell r="D251">
            <v>238300</v>
          </cell>
          <cell r="E251">
            <v>238300</v>
          </cell>
        </row>
        <row r="252">
          <cell r="B252" t="str">
            <v>Daun jendela alumunium lengkap ( 80 x 120 ) cm</v>
          </cell>
          <cell r="C252" t="str">
            <v>bh</v>
          </cell>
          <cell r="D252">
            <v>503566.88</v>
          </cell>
          <cell r="E252">
            <v>503566.88</v>
          </cell>
        </row>
        <row r="253">
          <cell r="B253" t="str">
            <v>Daun pintu alumunium lengkap ( 90 x 120 )</v>
          </cell>
          <cell r="C253" t="str">
            <v>bh</v>
          </cell>
          <cell r="D253">
            <v>700000</v>
          </cell>
          <cell r="E253">
            <v>700000</v>
          </cell>
        </row>
        <row r="254">
          <cell r="B254" t="str">
            <v>Daun pintu alumunium untuk WC ( 80 x 200 )</v>
          </cell>
          <cell r="C254" t="str">
            <v>bh</v>
          </cell>
          <cell r="D254">
            <v>882000</v>
          </cell>
          <cell r="E254">
            <v>882000</v>
          </cell>
        </row>
        <row r="255">
          <cell r="B255" t="str">
            <v>Kabel biasa</v>
          </cell>
          <cell r="C255" t="str">
            <v>m'</v>
          </cell>
          <cell r="D255">
            <v>3400</v>
          </cell>
          <cell r="E255">
            <v>3400</v>
          </cell>
        </row>
        <row r="256">
          <cell r="B256" t="str">
            <v>Kabel bulat</v>
          </cell>
          <cell r="C256" t="str">
            <v>m'</v>
          </cell>
          <cell r="D256">
            <v>4800</v>
          </cell>
          <cell r="E256">
            <v>4800</v>
          </cell>
        </row>
        <row r="257">
          <cell r="B257" t="str">
            <v>Kabel listrik NYY 4 x 2,5 mm²</v>
          </cell>
          <cell r="C257" t="str">
            <v>m'</v>
          </cell>
          <cell r="D257">
            <v>5800</v>
          </cell>
          <cell r="E257">
            <v>5800</v>
          </cell>
        </row>
        <row r="258">
          <cell r="B258" t="str">
            <v>Kabel listrik NYY 4 x 4 mm²</v>
          </cell>
          <cell r="C258" t="str">
            <v>m'</v>
          </cell>
          <cell r="D258">
            <v>12200</v>
          </cell>
          <cell r="E258">
            <v>12200</v>
          </cell>
        </row>
        <row r="259">
          <cell r="B259" t="str">
            <v>Kabel slink</v>
          </cell>
          <cell r="C259" t="str">
            <v>m'</v>
          </cell>
          <cell r="D259">
            <v>30800</v>
          </cell>
          <cell r="E259">
            <v>30800</v>
          </cell>
        </row>
        <row r="260">
          <cell r="B260" t="str">
            <v>Kaca bening tebal 10 mm</v>
          </cell>
          <cell r="C260" t="str">
            <v>m²</v>
          </cell>
          <cell r="D260">
            <v>359400</v>
          </cell>
          <cell r="E260">
            <v>359400</v>
          </cell>
        </row>
        <row r="261">
          <cell r="B261" t="str">
            <v>Kaca bening tebal 3 mm</v>
          </cell>
          <cell r="C261" t="str">
            <v>m²</v>
          </cell>
          <cell r="D261">
            <v>102294.36</v>
          </cell>
          <cell r="E261">
            <v>102294.36</v>
          </cell>
        </row>
        <row r="262">
          <cell r="B262" t="str">
            <v>Kaca bening tebal 5 mm</v>
          </cell>
          <cell r="C262" t="str">
            <v>m²</v>
          </cell>
          <cell r="D262">
            <v>132300</v>
          </cell>
          <cell r="E262">
            <v>132300</v>
          </cell>
        </row>
        <row r="263">
          <cell r="B263" t="str">
            <v>Kaca bening tebal 8 mm</v>
          </cell>
          <cell r="C263" t="str">
            <v>m²</v>
          </cell>
          <cell r="D263">
            <v>253100</v>
          </cell>
          <cell r="E263">
            <v>253100</v>
          </cell>
        </row>
        <row r="264">
          <cell r="B264" t="str">
            <v>Kaca buram tebal 12 mm</v>
          </cell>
          <cell r="C264" t="str">
            <v>m²</v>
          </cell>
          <cell r="D264">
            <v>432400</v>
          </cell>
          <cell r="E264">
            <v>432400</v>
          </cell>
        </row>
        <row r="265">
          <cell r="B265" t="str">
            <v>Kaca cermin tebal 5 mm</v>
          </cell>
          <cell r="C265" t="str">
            <v>m²</v>
          </cell>
          <cell r="D265">
            <v>165000</v>
          </cell>
          <cell r="E265">
            <v>165000</v>
          </cell>
        </row>
        <row r="266">
          <cell r="B266" t="str">
            <v>Kaca cermin tebal 6 mm</v>
          </cell>
          <cell r="C266" t="str">
            <v>m²</v>
          </cell>
          <cell r="D266">
            <v>197700</v>
          </cell>
          <cell r="E266">
            <v>197700</v>
          </cell>
        </row>
        <row r="267">
          <cell r="B267" t="str">
            <v>Kaca cermin tebal 8 mm</v>
          </cell>
          <cell r="C267" t="str">
            <v>m²</v>
          </cell>
          <cell r="D267">
            <v>263900</v>
          </cell>
          <cell r="E267">
            <v>263900</v>
          </cell>
        </row>
        <row r="268">
          <cell r="B268" t="str">
            <v>Kaca gelap (ray band) tebal 10 mm</v>
          </cell>
          <cell r="C268" t="str">
            <v>m²</v>
          </cell>
          <cell r="D268">
            <v>441300</v>
          </cell>
          <cell r="E268">
            <v>441300</v>
          </cell>
        </row>
        <row r="269">
          <cell r="B269" t="str">
            <v>Kaca gelap (ray band) tebal 12 mm</v>
          </cell>
          <cell r="C269" t="str">
            <v>m²</v>
          </cell>
          <cell r="D269">
            <v>529500</v>
          </cell>
          <cell r="E269">
            <v>529500</v>
          </cell>
        </row>
        <row r="270">
          <cell r="B270" t="str">
            <v>Kaca gelap (ray band) tebal 5 mm</v>
          </cell>
          <cell r="C270" t="str">
            <v>m²</v>
          </cell>
          <cell r="D270">
            <v>220600</v>
          </cell>
          <cell r="E270">
            <v>220600</v>
          </cell>
        </row>
        <row r="271">
          <cell r="B271" t="str">
            <v>Kaca naco ryben 5 mm (lengkap) uk. 15 x 17 cm</v>
          </cell>
          <cell r="C271" t="str">
            <v>Daun</v>
          </cell>
          <cell r="D271">
            <v>34776</v>
          </cell>
          <cell r="E271">
            <v>34776</v>
          </cell>
        </row>
        <row r="272">
          <cell r="B272" t="str">
            <v>Kaca ryben 3 m</v>
          </cell>
          <cell r="C272" t="str">
            <v>m2</v>
          </cell>
          <cell r="D272">
            <v>135025.38</v>
          </cell>
          <cell r="E272">
            <v>135025.38</v>
          </cell>
        </row>
        <row r="273">
          <cell r="B273" t="str">
            <v>Kaca ryben 5 m</v>
          </cell>
          <cell r="C273" t="str">
            <v>m2</v>
          </cell>
          <cell r="D273">
            <v>151200</v>
          </cell>
          <cell r="E273">
            <v>151200</v>
          </cell>
        </row>
        <row r="274">
          <cell r="B274" t="str">
            <v>Kaca patri tebal 5 mm</v>
          </cell>
          <cell r="C274" t="str">
            <v>m²</v>
          </cell>
          <cell r="D274">
            <v>2137800</v>
          </cell>
          <cell r="E274">
            <v>2137800</v>
          </cell>
        </row>
        <row r="275">
          <cell r="B275" t="str">
            <v>Kaca wireglass tebal 5 mm</v>
          </cell>
          <cell r="C275" t="str">
            <v>m²</v>
          </cell>
          <cell r="D275">
            <v>874600</v>
          </cell>
          <cell r="E275">
            <v>874600</v>
          </cell>
        </row>
        <row r="276">
          <cell r="B276" t="str">
            <v>Kain kassa</v>
          </cell>
          <cell r="C276" t="str">
            <v>kg</v>
          </cell>
          <cell r="D276">
            <v>16500</v>
          </cell>
          <cell r="E276">
            <v>16500</v>
          </cell>
        </row>
        <row r="277">
          <cell r="B277" t="str">
            <v>Kait angin (biasa)</v>
          </cell>
          <cell r="C277" t="str">
            <v>buah</v>
          </cell>
          <cell r="D277">
            <v>10899</v>
          </cell>
          <cell r="E277">
            <v>10899</v>
          </cell>
        </row>
        <row r="278">
          <cell r="B278" t="str">
            <v>Kait angin (istimewa)</v>
          </cell>
          <cell r="C278" t="str">
            <v>buah</v>
          </cell>
          <cell r="D278">
            <v>16800</v>
          </cell>
          <cell r="E278">
            <v>16800</v>
          </cell>
        </row>
        <row r="279">
          <cell r="B279" t="str">
            <v>Kapur bakar</v>
          </cell>
          <cell r="C279" t="str">
            <v>m³</v>
          </cell>
          <cell r="D279">
            <v>105900</v>
          </cell>
          <cell r="E279">
            <v>105900</v>
          </cell>
        </row>
        <row r="280">
          <cell r="B280" t="str">
            <v>Kapur sirih</v>
          </cell>
          <cell r="C280" t="str">
            <v>kg</v>
          </cell>
          <cell r="D280">
            <v>37100</v>
          </cell>
          <cell r="E280">
            <v>37100</v>
          </cell>
        </row>
        <row r="281">
          <cell r="B281" t="str">
            <v>Karpet talang, lebar 0,60 m'</v>
          </cell>
          <cell r="C281" t="str">
            <v>m'</v>
          </cell>
          <cell r="D281">
            <v>13671</v>
          </cell>
          <cell r="E281">
            <v>13671</v>
          </cell>
        </row>
        <row r="282">
          <cell r="B282" t="str">
            <v>Kawat ayam</v>
          </cell>
          <cell r="C282" t="str">
            <v>m'</v>
          </cell>
          <cell r="D282">
            <v>26500</v>
          </cell>
          <cell r="E282">
            <v>26500</v>
          </cell>
        </row>
        <row r="283">
          <cell r="B283" t="str">
            <v>Kawat  nyamuk logam</v>
          </cell>
          <cell r="C283" t="str">
            <v>m²</v>
          </cell>
          <cell r="D283">
            <v>26500</v>
          </cell>
          <cell r="E283">
            <v>26500</v>
          </cell>
        </row>
        <row r="284">
          <cell r="B284" t="str">
            <v>Kawat  nyamuk plastik</v>
          </cell>
          <cell r="C284" t="str">
            <v>m²</v>
          </cell>
          <cell r="D284">
            <v>24700</v>
          </cell>
          <cell r="E284">
            <v>24700</v>
          </cell>
        </row>
        <row r="285">
          <cell r="B285" t="str">
            <v>Kawat berduri</v>
          </cell>
          <cell r="C285" t="str">
            <v>kg</v>
          </cell>
          <cell r="D285">
            <v>18900</v>
          </cell>
          <cell r="E285">
            <v>18900</v>
          </cell>
        </row>
        <row r="286">
          <cell r="B286" t="str">
            <v>Kawat beton</v>
          </cell>
          <cell r="C286" t="str">
            <v>kg</v>
          </cell>
          <cell r="D286">
            <v>22050</v>
          </cell>
          <cell r="E286">
            <v>22050</v>
          </cell>
        </row>
        <row r="287">
          <cell r="B287" t="str">
            <v>Kawat bronjong</v>
          </cell>
          <cell r="C287" t="str">
            <v>kg</v>
          </cell>
          <cell r="D287">
            <v>126200</v>
          </cell>
          <cell r="E287">
            <v>126200</v>
          </cell>
        </row>
        <row r="288">
          <cell r="B288" t="str">
            <v>Kawat burung</v>
          </cell>
          <cell r="C288" t="str">
            <v>m²</v>
          </cell>
          <cell r="D288">
            <v>22900</v>
          </cell>
          <cell r="E288">
            <v>22900</v>
          </cell>
        </row>
        <row r="289">
          <cell r="B289" t="str">
            <v>Kawat harmonika</v>
          </cell>
          <cell r="C289" t="str">
            <v>m²</v>
          </cell>
          <cell r="D289">
            <v>109400</v>
          </cell>
          <cell r="E289">
            <v>109400</v>
          </cell>
        </row>
        <row r="290">
          <cell r="B290" t="str">
            <v>Kawat kassa / kawat loket</v>
          </cell>
          <cell r="C290" t="str">
            <v>m²</v>
          </cell>
          <cell r="D290">
            <v>19400</v>
          </cell>
          <cell r="E290">
            <v>19400</v>
          </cell>
        </row>
        <row r="291">
          <cell r="B291" t="str">
            <v>Kawat seng polos</v>
          </cell>
          <cell r="C291" t="str">
            <v>kg</v>
          </cell>
          <cell r="D291">
            <v>20300</v>
          </cell>
          <cell r="E291">
            <v>20300</v>
          </cell>
        </row>
        <row r="292">
          <cell r="B292" t="str">
            <v>Kayu bakar</v>
          </cell>
          <cell r="C292" t="str">
            <v>m³</v>
          </cell>
          <cell r="D292">
            <v>315000</v>
          </cell>
          <cell r="E292">
            <v>315000</v>
          </cell>
        </row>
        <row r="293">
          <cell r="B293" t="str">
            <v>Kayu bulat "4 cm</v>
          </cell>
          <cell r="C293" t="str">
            <v>m3</v>
          </cell>
          <cell r="D293">
            <v>1066867.2</v>
          </cell>
          <cell r="E293">
            <v>1066867.2</v>
          </cell>
        </row>
        <row r="294">
          <cell r="B294" t="str">
            <v>Kayu bulat dia 8 -10/4 m</v>
          </cell>
          <cell r="C294" t="str">
            <v>m3</v>
          </cell>
          <cell r="D294">
            <v>636498.84</v>
          </cell>
          <cell r="E294">
            <v>636498.84</v>
          </cell>
        </row>
        <row r="295">
          <cell r="B295" t="str">
            <v>Kayu dolken ø 8 - 10 (cm) panjang 4 m / kiau</v>
          </cell>
          <cell r="C295" t="str">
            <v>batang</v>
          </cell>
          <cell r="D295">
            <v>19096.88</v>
          </cell>
          <cell r="E295">
            <v>19096.88</v>
          </cell>
        </row>
        <row r="296">
          <cell r="B296" t="str">
            <v>Kayu gergajian kelas II, balok</v>
          </cell>
          <cell r="C296" t="str">
            <v>m³</v>
          </cell>
          <cell r="D296">
            <v>3075995.61</v>
          </cell>
          <cell r="E296">
            <v>3075995.61</v>
          </cell>
        </row>
        <row r="297">
          <cell r="B297" t="str">
            <v>Kayu gergajian kelas II, papan</v>
          </cell>
          <cell r="C297" t="str">
            <v>m³</v>
          </cell>
          <cell r="D297">
            <v>3574100</v>
          </cell>
          <cell r="E297">
            <v>3574100</v>
          </cell>
        </row>
        <row r="298">
          <cell r="B298" t="str">
            <v>Kayu gergajian kelas II, profil</v>
          </cell>
          <cell r="C298" t="str">
            <v>m'</v>
          </cell>
          <cell r="D298">
            <v>19400</v>
          </cell>
          <cell r="E298">
            <v>19400</v>
          </cell>
        </row>
        <row r="299">
          <cell r="B299" t="str">
            <v>Kayu gergajian kelas III, balok</v>
          </cell>
          <cell r="C299" t="str">
            <v>m³</v>
          </cell>
          <cell r="D299">
            <v>2652249.52</v>
          </cell>
          <cell r="E299">
            <v>2652249.52</v>
          </cell>
        </row>
        <row r="300">
          <cell r="B300" t="str">
            <v>Kayu gergajian kelas III, papan</v>
          </cell>
          <cell r="C300" t="str">
            <v>m³</v>
          </cell>
          <cell r="D300">
            <v>2462200</v>
          </cell>
          <cell r="E300">
            <v>2462200</v>
          </cell>
        </row>
        <row r="301">
          <cell r="B301" t="str">
            <v>Kayu gergajian kelas III, profil</v>
          </cell>
          <cell r="C301" t="str">
            <v>m'</v>
          </cell>
          <cell r="D301">
            <v>10100</v>
          </cell>
          <cell r="E301">
            <v>10100</v>
          </cell>
        </row>
        <row r="302">
          <cell r="B302" t="str">
            <v>Kayu gergajian kelas IV, balok</v>
          </cell>
          <cell r="C302" t="str">
            <v>m³</v>
          </cell>
          <cell r="D302">
            <v>1919318.71</v>
          </cell>
          <cell r="E302">
            <v>1919318.71</v>
          </cell>
        </row>
        <row r="303">
          <cell r="B303" t="str">
            <v>Kayu gergajian kelas IV, papan</v>
          </cell>
          <cell r="C303" t="str">
            <v>m³</v>
          </cell>
          <cell r="D303">
            <v>1676800</v>
          </cell>
          <cell r="E303">
            <v>1676800</v>
          </cell>
        </row>
        <row r="304">
          <cell r="B304" t="str">
            <v>Kayu untuk konstruksi jembatan</v>
          </cell>
          <cell r="C304" t="str">
            <v>m³</v>
          </cell>
          <cell r="D304">
            <v>4236000</v>
          </cell>
          <cell r="E304">
            <v>4236000</v>
          </cell>
        </row>
        <row r="305">
          <cell r="B305" t="str">
            <v>Kayu untuk perancah</v>
          </cell>
          <cell r="C305" t="str">
            <v>m³</v>
          </cell>
          <cell r="D305">
            <v>1209000</v>
          </cell>
          <cell r="E305">
            <v>1209000</v>
          </cell>
        </row>
        <row r="306">
          <cell r="B306" t="str">
            <v>Keramik 10 x 20 (cm) gelap</v>
          </cell>
          <cell r="C306" t="str">
            <v>m²</v>
          </cell>
          <cell r="D306">
            <v>74100</v>
          </cell>
          <cell r="E306">
            <v>74100</v>
          </cell>
        </row>
        <row r="307">
          <cell r="B307" t="str">
            <v>Keramik 10 x 20 (cm) polos</v>
          </cell>
          <cell r="C307" t="str">
            <v>m²</v>
          </cell>
          <cell r="D307">
            <v>79400</v>
          </cell>
          <cell r="E307">
            <v>79400</v>
          </cell>
        </row>
        <row r="308">
          <cell r="B308" t="str">
            <v>Keramik 10 x 20 (cm) terang</v>
          </cell>
          <cell r="C308" t="str">
            <v>m²</v>
          </cell>
          <cell r="D308">
            <v>74100</v>
          </cell>
          <cell r="E308">
            <v>74100</v>
          </cell>
        </row>
        <row r="309">
          <cell r="B309" t="str">
            <v>Keramik 15 x 15 cm</v>
          </cell>
          <cell r="C309" t="str">
            <v>m²</v>
          </cell>
          <cell r="D309">
            <v>0</v>
          </cell>
        </row>
        <row r="310">
          <cell r="B310" t="str">
            <v>Keramik 15 x 20 cm</v>
          </cell>
          <cell r="C310" t="str">
            <v>m²</v>
          </cell>
          <cell r="D310">
            <v>75900</v>
          </cell>
          <cell r="E310">
            <v>75900</v>
          </cell>
        </row>
        <row r="311">
          <cell r="B311" t="str">
            <v>Keramik 20 x 20 (cm) polos</v>
          </cell>
          <cell r="C311" t="str">
            <v>m²</v>
          </cell>
          <cell r="D311">
            <v>77700</v>
          </cell>
          <cell r="E311">
            <v>77700</v>
          </cell>
        </row>
        <row r="312">
          <cell r="B312" t="str">
            <v>Keramik 20 x 25 (cm)</v>
          </cell>
          <cell r="C312" t="str">
            <v>m²</v>
          </cell>
          <cell r="D312">
            <v>92700</v>
          </cell>
          <cell r="E312">
            <v>92700</v>
          </cell>
        </row>
        <row r="313">
          <cell r="B313" t="str">
            <v>Keramik 25 x 25 cm</v>
          </cell>
          <cell r="C313" t="str">
            <v>m²</v>
          </cell>
          <cell r="D313">
            <v>81200</v>
          </cell>
          <cell r="E313">
            <v>81200</v>
          </cell>
        </row>
        <row r="314">
          <cell r="B314" t="str">
            <v>Keramik 30 x 30 (cm) gelap</v>
          </cell>
          <cell r="C314" t="str">
            <v>m²</v>
          </cell>
          <cell r="D314">
            <v>93500</v>
          </cell>
          <cell r="E314">
            <v>93500</v>
          </cell>
        </row>
        <row r="315">
          <cell r="B315" t="str">
            <v>Keramik 30 x 30 (cm) polos</v>
          </cell>
          <cell r="C315" t="str">
            <v>m²</v>
          </cell>
          <cell r="D315">
            <v>84700</v>
          </cell>
          <cell r="E315">
            <v>84700</v>
          </cell>
        </row>
        <row r="316">
          <cell r="B316" t="str">
            <v>Keramik 30 x 30 (cm) putih / berwarna</v>
          </cell>
          <cell r="C316" t="str">
            <v>m²</v>
          </cell>
          <cell r="D316">
            <v>79400</v>
          </cell>
          <cell r="E316">
            <v>79400</v>
          </cell>
        </row>
        <row r="317">
          <cell r="B317" t="str">
            <v>Keramik 30 x 30 (cm) terang</v>
          </cell>
          <cell r="C317" t="str">
            <v>m²</v>
          </cell>
          <cell r="D317">
            <v>84700</v>
          </cell>
          <cell r="E317">
            <v>84700</v>
          </cell>
        </row>
        <row r="318">
          <cell r="B318" t="str">
            <v>Keramik 40 x 40 (cm) putih / berwarna</v>
          </cell>
          <cell r="C318" t="str">
            <v>m²</v>
          </cell>
          <cell r="D318">
            <v>95300</v>
          </cell>
          <cell r="E318">
            <v>95300</v>
          </cell>
        </row>
        <row r="319">
          <cell r="B319" t="str">
            <v>Keramik KM/WC anti slip 20 x 20 (cm)</v>
          </cell>
          <cell r="C319" t="str">
            <v>m²</v>
          </cell>
          <cell r="D319">
            <v>77700</v>
          </cell>
          <cell r="E319">
            <v>77700</v>
          </cell>
        </row>
        <row r="320">
          <cell r="B320" t="str">
            <v>Keramik 30x30 cm merk "Hercules" ( corak )</v>
          </cell>
          <cell r="C320" t="str">
            <v>m2</v>
          </cell>
          <cell r="D320">
            <v>60725.7</v>
          </cell>
          <cell r="E320">
            <v>60725.7</v>
          </cell>
        </row>
        <row r="321">
          <cell r="B321" t="str">
            <v>Keramik 30x30 cm merk "Ikad" ( polos )</v>
          </cell>
          <cell r="C321" t="str">
            <v>m2</v>
          </cell>
          <cell r="D321">
            <v>67155.48</v>
          </cell>
          <cell r="E321">
            <v>67155.48</v>
          </cell>
        </row>
        <row r="322">
          <cell r="B322" t="str">
            <v>Keramik 30x30 cm merk "Ikad" ( corak )</v>
          </cell>
          <cell r="C322" t="str">
            <v>m2</v>
          </cell>
          <cell r="D322">
            <v>72514.259999999995</v>
          </cell>
          <cell r="E322">
            <v>72514.259999999995</v>
          </cell>
        </row>
        <row r="323">
          <cell r="B323" t="str">
            <v>Keramik 30x30 cm merk "KIA" ( polos )</v>
          </cell>
          <cell r="C323" t="str">
            <v>m2</v>
          </cell>
          <cell r="D323">
            <v>60102</v>
          </cell>
          <cell r="E323">
            <v>60102</v>
          </cell>
        </row>
        <row r="324">
          <cell r="B324" t="str">
            <v>Keramik 30x30 cm merk "KIA" ( corak )</v>
          </cell>
          <cell r="C324" t="str">
            <v>m2</v>
          </cell>
          <cell r="D324">
            <v>55010.34</v>
          </cell>
          <cell r="E324">
            <v>55010.34</v>
          </cell>
        </row>
        <row r="325">
          <cell r="B325" t="str">
            <v>Keramik 20x25 cm merk "Mulia" ( corak )</v>
          </cell>
          <cell r="C325" t="str">
            <v>m2</v>
          </cell>
          <cell r="D325">
            <v>68040</v>
          </cell>
          <cell r="E325">
            <v>68040</v>
          </cell>
        </row>
        <row r="326">
          <cell r="B326" t="str">
            <v>Knee / elbow PVC 1(inch)</v>
          </cell>
          <cell r="C326" t="str">
            <v>buah</v>
          </cell>
          <cell r="D326">
            <v>6200</v>
          </cell>
          <cell r="E326">
            <v>6200</v>
          </cell>
        </row>
        <row r="327">
          <cell r="B327" t="str">
            <v>Knee / elbow PVC 1/2 (inch)</v>
          </cell>
          <cell r="C327" t="str">
            <v>buah</v>
          </cell>
          <cell r="D327">
            <v>3100</v>
          </cell>
          <cell r="E327">
            <v>3100</v>
          </cell>
        </row>
        <row r="328">
          <cell r="B328" t="str">
            <v>Knee / elbow PVC 3/4 (inch)</v>
          </cell>
          <cell r="C328" t="str">
            <v>buah</v>
          </cell>
          <cell r="D328">
            <v>3700</v>
          </cell>
          <cell r="E328">
            <v>3700</v>
          </cell>
        </row>
        <row r="329">
          <cell r="B329" t="str">
            <v>Knee Gip dia 13 mm</v>
          </cell>
          <cell r="C329" t="str">
            <v>bh</v>
          </cell>
          <cell r="D329">
            <v>3830.4</v>
          </cell>
          <cell r="E329">
            <v>3830.4</v>
          </cell>
        </row>
        <row r="330">
          <cell r="B330" t="str">
            <v>Knee PVC dia 3"</v>
          </cell>
          <cell r="C330" t="str">
            <v>bh</v>
          </cell>
          <cell r="D330">
            <v>9169.02</v>
          </cell>
          <cell r="E330">
            <v>9169.02</v>
          </cell>
        </row>
        <row r="331">
          <cell r="B331" t="str">
            <v>Kompon gypsum</v>
          </cell>
          <cell r="C331" t="str">
            <v>lembar</v>
          </cell>
          <cell r="D331">
            <v>47700</v>
          </cell>
          <cell r="E331">
            <v>47700</v>
          </cell>
        </row>
        <row r="332">
          <cell r="B332" t="str">
            <v>Koral beton</v>
          </cell>
          <cell r="C332" t="str">
            <v>m3</v>
          </cell>
          <cell r="D332">
            <v>453600</v>
          </cell>
          <cell r="E332">
            <v>453600</v>
          </cell>
        </row>
        <row r="333">
          <cell r="B333" t="str">
            <v>Kopling dia 13 mm</v>
          </cell>
          <cell r="C333" t="str">
            <v>bh</v>
          </cell>
          <cell r="D333">
            <v>7560</v>
          </cell>
          <cell r="E333">
            <v>7560</v>
          </cell>
        </row>
        <row r="334">
          <cell r="B334" t="str">
            <v>Kran air dia 13 mm</v>
          </cell>
          <cell r="C334" t="str">
            <v>bh</v>
          </cell>
          <cell r="D334">
            <v>50400</v>
          </cell>
          <cell r="E334">
            <v>50400</v>
          </cell>
        </row>
        <row r="335">
          <cell r="B335" t="str">
            <v xml:space="preserve">Kran air ø 0,75 (inch)  </v>
          </cell>
          <cell r="C335" t="str">
            <v>buah</v>
          </cell>
          <cell r="D335">
            <v>39700</v>
          </cell>
          <cell r="E335">
            <v>39700</v>
          </cell>
        </row>
        <row r="336">
          <cell r="B336" t="str">
            <v xml:space="preserve">Kran air ø 1,50 (inch)  </v>
          </cell>
          <cell r="C336" t="str">
            <v>buah</v>
          </cell>
          <cell r="D336">
            <v>48500</v>
          </cell>
          <cell r="E336">
            <v>48500</v>
          </cell>
        </row>
        <row r="337">
          <cell r="B337" t="str">
            <v>Kuas roll</v>
          </cell>
          <cell r="C337" t="str">
            <v>buah</v>
          </cell>
          <cell r="D337">
            <v>29100</v>
          </cell>
          <cell r="E337">
            <v>29100</v>
          </cell>
        </row>
        <row r="338">
          <cell r="B338" t="str">
            <v>Kuas uk. 1"</v>
          </cell>
          <cell r="C338" t="str">
            <v>buah</v>
          </cell>
          <cell r="D338">
            <v>6200</v>
          </cell>
          <cell r="E338">
            <v>6200</v>
          </cell>
        </row>
        <row r="339">
          <cell r="B339" t="str">
            <v>Kuas uk. 1,5"</v>
          </cell>
          <cell r="C339" t="str">
            <v>buah</v>
          </cell>
          <cell r="D339">
            <v>7900</v>
          </cell>
          <cell r="E339">
            <v>7900</v>
          </cell>
        </row>
        <row r="340">
          <cell r="B340" t="str">
            <v>Kuas uk. 3"</v>
          </cell>
          <cell r="C340" t="str">
            <v>buah</v>
          </cell>
          <cell r="D340">
            <v>13200</v>
          </cell>
          <cell r="E340">
            <v>13200</v>
          </cell>
        </row>
        <row r="341">
          <cell r="B341" t="str">
            <v>Kunci jendela (lokal)</v>
          </cell>
          <cell r="C341" t="str">
            <v>set</v>
          </cell>
          <cell r="D341">
            <v>26500</v>
          </cell>
          <cell r="E341">
            <v>26500</v>
          </cell>
        </row>
        <row r="342">
          <cell r="B342" t="str">
            <v>Kunci lemari</v>
          </cell>
          <cell r="C342" t="str">
            <v>buah</v>
          </cell>
          <cell r="D342">
            <v>40600</v>
          </cell>
          <cell r="E342">
            <v>40600</v>
          </cell>
        </row>
        <row r="343">
          <cell r="B343" t="str">
            <v>Kunci pintu (biasa)</v>
          </cell>
          <cell r="C343" t="str">
            <v>set</v>
          </cell>
          <cell r="D343">
            <v>150000</v>
          </cell>
          <cell r="E343">
            <v>150000</v>
          </cell>
        </row>
        <row r="344">
          <cell r="B344" t="str">
            <v>Kunci pintu (istimewa)</v>
          </cell>
          <cell r="C344" t="str">
            <v>set</v>
          </cell>
          <cell r="D344">
            <v>238300</v>
          </cell>
          <cell r="E344">
            <v>238300</v>
          </cell>
        </row>
        <row r="345">
          <cell r="B345" t="str">
            <v>Kunci pintu untuk meubelair (furniture)</v>
          </cell>
          <cell r="C345" t="str">
            <v>set</v>
          </cell>
          <cell r="D345">
            <v>40600</v>
          </cell>
          <cell r="E345">
            <v>40600</v>
          </cell>
        </row>
        <row r="346">
          <cell r="B346" t="str">
            <v>Kunci silinder</v>
          </cell>
          <cell r="C346" t="str">
            <v>buah</v>
          </cell>
          <cell r="D346">
            <v>184400</v>
          </cell>
          <cell r="E346">
            <v>184400</v>
          </cell>
        </row>
        <row r="347">
          <cell r="B347" t="str">
            <v>Kunci tanam</v>
          </cell>
          <cell r="C347" t="str">
            <v>buah</v>
          </cell>
          <cell r="D347">
            <v>132400</v>
          </cell>
          <cell r="E347">
            <v>132400</v>
          </cell>
        </row>
        <row r="348">
          <cell r="B348" t="str">
            <v>Kunci tanam antik</v>
          </cell>
          <cell r="C348" t="str">
            <v>buah</v>
          </cell>
          <cell r="D348">
            <v>150000</v>
          </cell>
          <cell r="E348">
            <v>150000</v>
          </cell>
        </row>
        <row r="349">
          <cell r="B349" t="str">
            <v>Kunci tanam kamar mandi</v>
          </cell>
          <cell r="C349" t="str">
            <v>buah</v>
          </cell>
          <cell r="D349">
            <v>63500</v>
          </cell>
          <cell r="E349">
            <v>63500</v>
          </cell>
        </row>
        <row r="350">
          <cell r="B350" t="str">
            <v>Kunci gembok</v>
          </cell>
          <cell r="C350" t="str">
            <v>bh</v>
          </cell>
          <cell r="D350">
            <v>18427.5</v>
          </cell>
          <cell r="E350">
            <v>18427.5</v>
          </cell>
        </row>
        <row r="351">
          <cell r="B351" t="str">
            <v>Kunci tanam besar merk "693LD"</v>
          </cell>
          <cell r="C351" t="str">
            <v>set</v>
          </cell>
          <cell r="D351">
            <v>69195</v>
          </cell>
          <cell r="E351">
            <v>69195</v>
          </cell>
        </row>
        <row r="352">
          <cell r="B352" t="str">
            <v>Kunci tanam kecil merk "693LD"</v>
          </cell>
          <cell r="C352" t="str">
            <v>set</v>
          </cell>
          <cell r="D352">
            <v>53550</v>
          </cell>
          <cell r="E352">
            <v>53550</v>
          </cell>
        </row>
        <row r="353">
          <cell r="B353" t="str">
            <v>Kunci tanam besar merk "ROYAL"</v>
          </cell>
          <cell r="C353" t="str">
            <v>set</v>
          </cell>
          <cell r="D353">
            <v>105210</v>
          </cell>
          <cell r="E353">
            <v>105210</v>
          </cell>
        </row>
        <row r="354">
          <cell r="B354" t="str">
            <v>Kunci tanam kecil merk "ROYAL"</v>
          </cell>
          <cell r="C354" t="str">
            <v>set</v>
          </cell>
          <cell r="D354">
            <v>75600</v>
          </cell>
          <cell r="E354">
            <v>75600</v>
          </cell>
        </row>
        <row r="355">
          <cell r="B355" t="str">
            <v>Kusen alumunium</v>
          </cell>
          <cell r="C355" t="str">
            <v>m'</v>
          </cell>
          <cell r="D355">
            <v>133358.39999999999</v>
          </cell>
          <cell r="E355">
            <v>133358.39999999999</v>
          </cell>
        </row>
        <row r="356">
          <cell r="D356">
            <v>0</v>
          </cell>
        </row>
        <row r="357">
          <cell r="B357" t="str">
            <v>Kusen pintu / jendela alumunium 3"</v>
          </cell>
          <cell r="C357" t="str">
            <v>m²</v>
          </cell>
          <cell r="D357">
            <v>612100</v>
          </cell>
          <cell r="E357">
            <v>612100</v>
          </cell>
        </row>
        <row r="358">
          <cell r="B358" t="str">
            <v>Kusen pintu / jendela alumunium 4"</v>
          </cell>
          <cell r="C358" t="str">
            <v>m²</v>
          </cell>
          <cell r="D358">
            <v>759700</v>
          </cell>
          <cell r="E358">
            <v>759700</v>
          </cell>
        </row>
        <row r="359">
          <cell r="B359" t="str">
            <v>Lampu downlight SL 25 Watt</v>
          </cell>
          <cell r="C359" t="str">
            <v>buah</v>
          </cell>
          <cell r="D359">
            <v>234800</v>
          </cell>
          <cell r="E359">
            <v>234800</v>
          </cell>
        </row>
        <row r="360">
          <cell r="B360" t="str">
            <v>Lampu taman + tiang + merkuri</v>
          </cell>
          <cell r="C360" t="str">
            <v>buah</v>
          </cell>
          <cell r="D360">
            <v>234800</v>
          </cell>
          <cell r="E360">
            <v>234800</v>
          </cell>
        </row>
        <row r="361">
          <cell r="B361" t="str">
            <v>Lampu taman bulat komplit</v>
          </cell>
          <cell r="C361" t="str">
            <v>set</v>
          </cell>
          <cell r="D361">
            <v>264500</v>
          </cell>
          <cell r="E361">
            <v>264500</v>
          </cell>
        </row>
        <row r="362">
          <cell r="B362" t="str">
            <v>Lampu TL 20 W + aksesoris</v>
          </cell>
          <cell r="C362" t="str">
            <v>titik</v>
          </cell>
          <cell r="D362">
            <v>79394.92</v>
          </cell>
          <cell r="E362">
            <v>79394.92</v>
          </cell>
        </row>
        <row r="363">
          <cell r="B363" t="str">
            <v>Lampu TL 40 W + aksesoris</v>
          </cell>
          <cell r="C363" t="str">
            <v>titik</v>
          </cell>
          <cell r="D363">
            <v>113300</v>
          </cell>
          <cell r="E363">
            <v>113300</v>
          </cell>
        </row>
        <row r="364">
          <cell r="B364" t="str">
            <v>Lampu TL bulat 10 W + aksesoris</v>
          </cell>
          <cell r="C364" t="str">
            <v>titik</v>
          </cell>
          <cell r="D364">
            <v>87800</v>
          </cell>
          <cell r="E364">
            <v>87800</v>
          </cell>
        </row>
        <row r="365">
          <cell r="B365" t="str">
            <v>Lampu TL bulat 20 W + aksesoris</v>
          </cell>
          <cell r="C365" t="str">
            <v>titik</v>
          </cell>
          <cell r="D365">
            <v>118600</v>
          </cell>
          <cell r="E365">
            <v>118600</v>
          </cell>
        </row>
        <row r="366">
          <cell r="B366" t="str">
            <v>Langit-langit Accoustic board / tile uk. 0,30 x 0,30 (m)</v>
          </cell>
          <cell r="C366" t="str">
            <v>m²</v>
          </cell>
          <cell r="D366">
            <v>68800</v>
          </cell>
          <cell r="E366">
            <v>68800</v>
          </cell>
        </row>
        <row r="367">
          <cell r="B367" t="str">
            <v>Langit-langit Accoustic board / tile uk. 0,30 x 0,60 (m)</v>
          </cell>
          <cell r="C367" t="str">
            <v>m²</v>
          </cell>
          <cell r="D367">
            <v>70600</v>
          </cell>
          <cell r="E367">
            <v>70600</v>
          </cell>
        </row>
        <row r="368">
          <cell r="B368" t="str">
            <v>Langit-langit Accoustic board / tile uk. 0,60 x 1,20 x 0,14 (m)</v>
          </cell>
          <cell r="C368" t="str">
            <v>m²</v>
          </cell>
          <cell r="D368">
            <v>86500</v>
          </cell>
          <cell r="E368">
            <v>86500</v>
          </cell>
        </row>
        <row r="369">
          <cell r="B369" t="str">
            <v>Langit-langit Accoustic board / tile uk. 0,60 x 1,20 x 0,15 (m)</v>
          </cell>
          <cell r="C369" t="str">
            <v>m²</v>
          </cell>
          <cell r="D369">
            <v>98800</v>
          </cell>
          <cell r="E369">
            <v>98800</v>
          </cell>
        </row>
        <row r="370">
          <cell r="B370" t="str">
            <v>Lis kayu profil uk. 3 x 3 cm</v>
          </cell>
          <cell r="C370" t="str">
            <v>m'</v>
          </cell>
          <cell r="D370">
            <v>23310</v>
          </cell>
          <cell r="E370">
            <v>23310</v>
          </cell>
        </row>
        <row r="371">
          <cell r="B371" t="str">
            <v>Lis kayu biasa uk. 0,75 x 2 cm</v>
          </cell>
          <cell r="C371" t="str">
            <v>m'</v>
          </cell>
          <cell r="D371">
            <v>11340</v>
          </cell>
          <cell r="E371">
            <v>11340</v>
          </cell>
        </row>
        <row r="372">
          <cell r="B372" t="str">
            <v>Lem (standar Aica Aibond)</v>
          </cell>
          <cell r="C372" t="str">
            <v>kg</v>
          </cell>
          <cell r="D372">
            <v>29000</v>
          </cell>
          <cell r="E372">
            <v>29000</v>
          </cell>
        </row>
        <row r="373">
          <cell r="B373" t="str">
            <v>Lem (standar Fox)</v>
          </cell>
          <cell r="C373" t="str">
            <v>kg</v>
          </cell>
          <cell r="D373">
            <v>31500</v>
          </cell>
          <cell r="E373">
            <v>31500</v>
          </cell>
        </row>
        <row r="374">
          <cell r="B374" t="str">
            <v>Lem PVC ultra kecil</v>
          </cell>
          <cell r="C374" t="str">
            <v>klg</v>
          </cell>
          <cell r="D374">
            <v>6300</v>
          </cell>
          <cell r="E374">
            <v>6300</v>
          </cell>
        </row>
        <row r="375">
          <cell r="B375" t="str">
            <v>Mata lampu + instalasi</v>
          </cell>
          <cell r="C375" t="str">
            <v>titik</v>
          </cell>
          <cell r="D375">
            <v>52300</v>
          </cell>
          <cell r="E375">
            <v>52300</v>
          </cell>
        </row>
        <row r="376">
          <cell r="B376" t="str">
            <v>Meter box (terpasang)</v>
          </cell>
          <cell r="C376" t="str">
            <v>titik</v>
          </cell>
          <cell r="D376">
            <v>389400</v>
          </cell>
          <cell r="E376">
            <v>389400</v>
          </cell>
        </row>
        <row r="377">
          <cell r="B377" t="str">
            <v>Minyak bekisting</v>
          </cell>
          <cell r="C377" t="str">
            <v>liter</v>
          </cell>
          <cell r="D377">
            <v>9700</v>
          </cell>
          <cell r="E377">
            <v>9700</v>
          </cell>
        </row>
        <row r="378">
          <cell r="B378" t="str">
            <v>Minyak pelarut cat (solvent)</v>
          </cell>
          <cell r="C378" t="str">
            <v>liter</v>
          </cell>
          <cell r="D378">
            <v>28900</v>
          </cell>
          <cell r="E378">
            <v>28900</v>
          </cell>
        </row>
        <row r="379">
          <cell r="B379" t="str">
            <v>Minyak pelumas (oli)</v>
          </cell>
          <cell r="C379" t="str">
            <v>liter</v>
          </cell>
          <cell r="D379">
            <v>22050</v>
          </cell>
          <cell r="E379">
            <v>22050</v>
          </cell>
        </row>
        <row r="380">
          <cell r="B380" t="str">
            <v>Minyak solar</v>
          </cell>
          <cell r="C380" t="str">
            <v>liter</v>
          </cell>
          <cell r="D380">
            <v>6655.32</v>
          </cell>
          <cell r="E380">
            <v>6655.32</v>
          </cell>
        </row>
        <row r="381">
          <cell r="B381" t="str">
            <v>Minyak tanah (industri)</v>
          </cell>
          <cell r="C381" t="str">
            <v>liter</v>
          </cell>
          <cell r="D381">
            <v>11500</v>
          </cell>
          <cell r="E381">
            <v>11500</v>
          </cell>
        </row>
        <row r="382">
          <cell r="B382" t="str">
            <v>Multiplek tebal 12 mm 4 x 8 (inch)</v>
          </cell>
          <cell r="C382" t="str">
            <v>lembar</v>
          </cell>
          <cell r="D382">
            <v>292100</v>
          </cell>
          <cell r="E382">
            <v>292100</v>
          </cell>
        </row>
        <row r="383">
          <cell r="B383" t="str">
            <v>Multiplek tebal 15 mm 4 x 8 (inch)</v>
          </cell>
          <cell r="C383" t="str">
            <v>lembar</v>
          </cell>
          <cell r="D383">
            <v>361100</v>
          </cell>
          <cell r="E383">
            <v>361100</v>
          </cell>
        </row>
        <row r="384">
          <cell r="B384" t="str">
            <v>Multiplek tebal 18 mm 4 x 8 (inch)</v>
          </cell>
          <cell r="C384" t="str">
            <v>lembar</v>
          </cell>
          <cell r="D384">
            <v>407200</v>
          </cell>
          <cell r="E384">
            <v>407200</v>
          </cell>
        </row>
        <row r="385">
          <cell r="B385" t="str">
            <v>Multiplek tebal 6 mm uk. 1.22 x 2.44 (m)</v>
          </cell>
          <cell r="C385" t="str">
            <v>lembar</v>
          </cell>
          <cell r="D385">
            <v>142100</v>
          </cell>
          <cell r="E385">
            <v>142100</v>
          </cell>
        </row>
        <row r="386">
          <cell r="B386" t="str">
            <v>Multiplek tebal 9 mm 4 x 8 (inch)</v>
          </cell>
          <cell r="C386" t="str">
            <v>lembar</v>
          </cell>
          <cell r="D386">
            <v>213200</v>
          </cell>
          <cell r="E386">
            <v>213200</v>
          </cell>
        </row>
        <row r="387">
          <cell r="B387" t="str">
            <v>Melamin uk. ( 4' x 8' )</v>
          </cell>
          <cell r="C387" t="str">
            <v>m2</v>
          </cell>
          <cell r="D387">
            <v>996320</v>
          </cell>
          <cell r="E387">
            <v>996320</v>
          </cell>
        </row>
        <row r="388">
          <cell r="B388" t="str">
            <v>Paku</v>
          </cell>
          <cell r="C388" t="str">
            <v>kg</v>
          </cell>
          <cell r="D388">
            <v>19358.18</v>
          </cell>
          <cell r="E388">
            <v>19358.18</v>
          </cell>
        </row>
        <row r="389">
          <cell r="B389" t="str">
            <v>Paku anti Karat</v>
          </cell>
          <cell r="C389" t="str">
            <v>kg</v>
          </cell>
          <cell r="D389">
            <v>37900</v>
          </cell>
          <cell r="E389">
            <v>37900</v>
          </cell>
        </row>
        <row r="390">
          <cell r="B390" t="str">
            <v>Paku asbes</v>
          </cell>
          <cell r="C390" t="str">
            <v>kg</v>
          </cell>
          <cell r="D390">
            <v>30900</v>
          </cell>
          <cell r="E390">
            <v>30900</v>
          </cell>
        </row>
        <row r="391">
          <cell r="B391" t="str">
            <v>Paku ulir asbes</v>
          </cell>
          <cell r="C391" t="str">
            <v>kg</v>
          </cell>
          <cell r="D391">
            <v>31270.91</v>
          </cell>
          <cell r="E391">
            <v>31270.91</v>
          </cell>
        </row>
        <row r="392">
          <cell r="B392" t="str">
            <v>Paku berbagai ukuran (1/2" - 1")</v>
          </cell>
          <cell r="C392" t="str">
            <v>kg</v>
          </cell>
          <cell r="D392">
            <v>28200</v>
          </cell>
          <cell r="E392">
            <v>28200</v>
          </cell>
        </row>
        <row r="393">
          <cell r="B393" t="str">
            <v>Paku berbagai ukuran (2" - 5")</v>
          </cell>
          <cell r="C393" t="str">
            <v>kg</v>
          </cell>
          <cell r="D393">
            <v>33500</v>
          </cell>
          <cell r="E393">
            <v>33500</v>
          </cell>
        </row>
        <row r="394">
          <cell r="B394" t="str">
            <v>Paku jembatan</v>
          </cell>
          <cell r="C394" t="str">
            <v>kg</v>
          </cell>
          <cell r="D394">
            <v>61800</v>
          </cell>
          <cell r="E394">
            <v>61800</v>
          </cell>
        </row>
        <row r="395">
          <cell r="B395" t="str">
            <v>Paku kait</v>
          </cell>
          <cell r="C395" t="str">
            <v>bh</v>
          </cell>
          <cell r="D395">
            <v>1700</v>
          </cell>
          <cell r="E395">
            <v>1700</v>
          </cell>
        </row>
        <row r="396">
          <cell r="B396" t="str">
            <v>Paku sekrup</v>
          </cell>
          <cell r="C396" t="str">
            <v>bh</v>
          </cell>
          <cell r="D396">
            <v>1800</v>
          </cell>
          <cell r="E396">
            <v>1800</v>
          </cell>
        </row>
        <row r="397">
          <cell r="B397" t="str">
            <v>Paku seng</v>
          </cell>
          <cell r="C397" t="str">
            <v>kg</v>
          </cell>
          <cell r="D397">
            <v>27846</v>
          </cell>
          <cell r="E397">
            <v>27846</v>
          </cell>
        </row>
        <row r="398">
          <cell r="B398" t="str">
            <v>Paku tembok</v>
          </cell>
          <cell r="C398" t="str">
            <v>kg</v>
          </cell>
          <cell r="D398">
            <v>26500</v>
          </cell>
          <cell r="E398">
            <v>26500</v>
          </cell>
        </row>
        <row r="399">
          <cell r="B399" t="str">
            <v>Paku Gypsum</v>
          </cell>
          <cell r="C399" t="str">
            <v>kg</v>
          </cell>
          <cell r="D399">
            <v>39585</v>
          </cell>
          <cell r="E399">
            <v>39585</v>
          </cell>
        </row>
        <row r="400">
          <cell r="B400" t="str">
            <v>Panel listrik / MCB, 1 group / fase</v>
          </cell>
          <cell r="C400" t="str">
            <v>buah</v>
          </cell>
          <cell r="D400">
            <v>101700</v>
          </cell>
          <cell r="E400">
            <v>101700</v>
          </cell>
        </row>
        <row r="401">
          <cell r="B401" t="str">
            <v>Panel listrik / MCB, 2 group / fase</v>
          </cell>
          <cell r="C401" t="str">
            <v>buah</v>
          </cell>
          <cell r="D401">
            <v>130200</v>
          </cell>
          <cell r="E401">
            <v>130200</v>
          </cell>
        </row>
        <row r="402">
          <cell r="B402" t="str">
            <v>Panel listrik / MCB, 3 group / fase</v>
          </cell>
          <cell r="C402" t="str">
            <v>buah</v>
          </cell>
          <cell r="D402">
            <v>133700</v>
          </cell>
          <cell r="E402">
            <v>133700</v>
          </cell>
        </row>
        <row r="403">
          <cell r="B403" t="str">
            <v>Panel listrik / MCB, 4 group / fase</v>
          </cell>
          <cell r="C403" t="str">
            <v>buah</v>
          </cell>
          <cell r="D403">
            <v>180200</v>
          </cell>
          <cell r="E403">
            <v>180200</v>
          </cell>
        </row>
        <row r="404">
          <cell r="B404" t="str">
            <v>Parquette lantai</v>
          </cell>
          <cell r="C404" t="str">
            <v>m²</v>
          </cell>
          <cell r="D404">
            <v>150000</v>
          </cell>
          <cell r="E404">
            <v>150000</v>
          </cell>
        </row>
        <row r="405">
          <cell r="B405" t="str">
            <v>Pasir ayak untuk beton</v>
          </cell>
          <cell r="C405" t="str">
            <v>m³</v>
          </cell>
          <cell r="D405">
            <v>132400</v>
          </cell>
          <cell r="E405">
            <v>132400</v>
          </cell>
        </row>
        <row r="406">
          <cell r="B406" t="str">
            <v>Pasir pasang</v>
          </cell>
          <cell r="C406" t="str">
            <v>m³</v>
          </cell>
          <cell r="D406">
            <v>94900</v>
          </cell>
          <cell r="E406">
            <v>94900</v>
          </cell>
        </row>
        <row r="407">
          <cell r="B407" t="str">
            <v>Pasir urug / timbun</v>
          </cell>
          <cell r="C407" t="str">
            <v>m³</v>
          </cell>
          <cell r="D407">
            <v>91250</v>
          </cell>
          <cell r="E407">
            <v>91250</v>
          </cell>
        </row>
        <row r="408">
          <cell r="B408" t="str">
            <v>Pasir kasar</v>
          </cell>
          <cell r="C408" t="str">
            <v>m3</v>
          </cell>
          <cell r="D408">
            <v>79380</v>
          </cell>
          <cell r="E408">
            <v>79380</v>
          </cell>
        </row>
        <row r="409">
          <cell r="B409" t="str">
            <v>Pegangan pintu/door holder</v>
          </cell>
          <cell r="C409" t="str">
            <v>buah</v>
          </cell>
          <cell r="D409">
            <v>88300</v>
          </cell>
          <cell r="E409">
            <v>88300</v>
          </cell>
        </row>
        <row r="410">
          <cell r="B410" t="str">
            <v>Pembersih / cleaner untuk keramik / porcelaint</v>
          </cell>
          <cell r="C410" t="str">
            <v>kg</v>
          </cell>
          <cell r="D410">
            <v>900</v>
          </cell>
          <cell r="E410">
            <v>900</v>
          </cell>
        </row>
        <row r="411">
          <cell r="B411" t="str">
            <v xml:space="preserve">Pintu alumunium - swing + door closer </v>
          </cell>
          <cell r="C411" t="str">
            <v>unit</v>
          </cell>
          <cell r="D411">
            <v>2356300</v>
          </cell>
          <cell r="E411">
            <v>2356300</v>
          </cell>
        </row>
        <row r="412">
          <cell r="B412" t="str">
            <v>Pintu alumunium - swing + floorhinge</v>
          </cell>
          <cell r="C412" t="str">
            <v>unit</v>
          </cell>
          <cell r="D412">
            <v>3549400</v>
          </cell>
          <cell r="E412">
            <v>3549400</v>
          </cell>
        </row>
        <row r="413">
          <cell r="B413" t="str">
            <v xml:space="preserve">Pintu besi </v>
          </cell>
          <cell r="C413" t="str">
            <v>m²</v>
          </cell>
          <cell r="D413">
            <v>529500</v>
          </cell>
          <cell r="E413">
            <v>529500</v>
          </cell>
        </row>
        <row r="414">
          <cell r="B414" t="str">
            <v>Pintu besi lipat</v>
          </cell>
          <cell r="C414" t="str">
            <v>m²</v>
          </cell>
          <cell r="D414">
            <v>882500</v>
          </cell>
          <cell r="E414">
            <v>882500</v>
          </cell>
        </row>
        <row r="415">
          <cell r="B415" t="str">
            <v>Pipa besi hitam Medium dia "1 x 6 m</v>
          </cell>
          <cell r="C415" t="str">
            <v>m'</v>
          </cell>
          <cell r="D415">
            <v>23059.89</v>
          </cell>
          <cell r="E415">
            <v>23059.89</v>
          </cell>
        </row>
        <row r="416">
          <cell r="B416" t="str">
            <v>Pipa besi hitam Medium dia "2 x 6 m</v>
          </cell>
          <cell r="C416" t="str">
            <v>m'</v>
          </cell>
          <cell r="D416">
            <v>28005.18</v>
          </cell>
          <cell r="E416">
            <v>28005.18</v>
          </cell>
        </row>
        <row r="417">
          <cell r="B417" t="str">
            <v>Piap besi hitam Medium dia "3 x 6 m</v>
          </cell>
          <cell r="C417" t="str">
            <v>m'</v>
          </cell>
          <cell r="D417">
            <v>69235.320000000007</v>
          </cell>
          <cell r="E417">
            <v>69235.320000000007</v>
          </cell>
        </row>
        <row r="418">
          <cell r="B418" t="str">
            <v>Pipa besi hitam S 11 dia 4" x 6 m</v>
          </cell>
          <cell r="C418" t="str">
            <v>m'</v>
          </cell>
          <cell r="D418">
            <v>69235.320000000007</v>
          </cell>
          <cell r="E418">
            <v>69235.320000000007</v>
          </cell>
        </row>
        <row r="419">
          <cell r="B419" t="str">
            <v>Pipa Gip dia 100 mm</v>
          </cell>
          <cell r="C419" t="str">
            <v>m'</v>
          </cell>
          <cell r="D419">
            <v>43995</v>
          </cell>
          <cell r="E419">
            <v>43995</v>
          </cell>
        </row>
        <row r="420">
          <cell r="B420" t="str">
            <v>Pipa Gip dia 150 mm</v>
          </cell>
          <cell r="C420" t="str">
            <v>m'</v>
          </cell>
          <cell r="D420">
            <v>54138</v>
          </cell>
          <cell r="E420">
            <v>54138</v>
          </cell>
        </row>
        <row r="421">
          <cell r="B421" t="str">
            <v>Pipa Gip dia 200 mm</v>
          </cell>
          <cell r="C421" t="str">
            <v>m'</v>
          </cell>
          <cell r="D421">
            <v>77742</v>
          </cell>
          <cell r="E421">
            <v>77742</v>
          </cell>
        </row>
        <row r="422">
          <cell r="B422" t="str">
            <v>Pipa Gip Dia 50 mm</v>
          </cell>
          <cell r="C422" t="str">
            <v>m'</v>
          </cell>
          <cell r="D422">
            <v>6779.01</v>
          </cell>
          <cell r="E422">
            <v>6779.01</v>
          </cell>
        </row>
        <row r="423">
          <cell r="B423" t="str">
            <v>Pipa besi galvanis ø 0,5 (inch)</v>
          </cell>
          <cell r="C423" t="str">
            <v>m'</v>
          </cell>
          <cell r="D423">
            <v>32700</v>
          </cell>
          <cell r="E423">
            <v>32700</v>
          </cell>
        </row>
        <row r="424">
          <cell r="B424" t="str">
            <v>Pipa besi galvanis ø 0,75 (inch)</v>
          </cell>
          <cell r="C424" t="str">
            <v>m'</v>
          </cell>
          <cell r="D424">
            <v>42400</v>
          </cell>
          <cell r="E424">
            <v>42400</v>
          </cell>
        </row>
        <row r="425">
          <cell r="B425" t="str">
            <v>Pipa besi galvanis ø 1 (inch)</v>
          </cell>
          <cell r="C425" t="str">
            <v>m'</v>
          </cell>
          <cell r="D425">
            <v>65700</v>
          </cell>
          <cell r="E425">
            <v>65700</v>
          </cell>
        </row>
        <row r="426">
          <cell r="B426" t="str">
            <v>Pipa besi galvanis ø 1,25 (inch)</v>
          </cell>
          <cell r="C426" t="str">
            <v>m'</v>
          </cell>
          <cell r="D426">
            <v>84700</v>
          </cell>
          <cell r="E426">
            <v>84700</v>
          </cell>
        </row>
        <row r="427">
          <cell r="B427" t="str">
            <v>Pipa besi galvanis ø 1,5 (inch)</v>
          </cell>
          <cell r="C427" t="str">
            <v>m'</v>
          </cell>
          <cell r="D427">
            <v>98000</v>
          </cell>
          <cell r="E427">
            <v>98000</v>
          </cell>
        </row>
        <row r="428">
          <cell r="B428" t="str">
            <v>Pipa besi galvanis ø 2 (inch)</v>
          </cell>
          <cell r="C428" t="str">
            <v>m'</v>
          </cell>
          <cell r="D428">
            <v>134600</v>
          </cell>
          <cell r="E428">
            <v>134600</v>
          </cell>
        </row>
        <row r="429">
          <cell r="B429" t="str">
            <v>Pipa besi galvanis ø 4 (inch)</v>
          </cell>
          <cell r="C429" t="str">
            <v>m'</v>
          </cell>
          <cell r="D429">
            <v>413900</v>
          </cell>
          <cell r="E429">
            <v>413900</v>
          </cell>
        </row>
        <row r="430">
          <cell r="B430" t="str">
            <v>Pipa beton ø 20 cm, panjang 1 m'</v>
          </cell>
          <cell r="C430" t="str">
            <v>buah</v>
          </cell>
          <cell r="D430">
            <v>141200</v>
          </cell>
          <cell r="E430">
            <v>141200</v>
          </cell>
        </row>
        <row r="431">
          <cell r="B431" t="str">
            <v>Pipa beton ø 60 cm, panjang 1 m'</v>
          </cell>
          <cell r="C431" t="str">
            <v>buah</v>
          </cell>
          <cell r="D431">
            <v>232100</v>
          </cell>
          <cell r="E431">
            <v>232100</v>
          </cell>
        </row>
        <row r="432">
          <cell r="B432" t="str">
            <v>Pipa PVC RR dia 100 mm</v>
          </cell>
          <cell r="C432" t="str">
            <v>m'</v>
          </cell>
          <cell r="D432">
            <v>38507.18</v>
          </cell>
          <cell r="E432">
            <v>38507.18</v>
          </cell>
        </row>
        <row r="433">
          <cell r="B433" t="str">
            <v>Pipa PVC RR dia 150 mm</v>
          </cell>
          <cell r="C433" t="str">
            <v>m'</v>
          </cell>
          <cell r="D433">
            <v>62178.48</v>
          </cell>
          <cell r="E433">
            <v>62178.48</v>
          </cell>
        </row>
        <row r="434">
          <cell r="B434" t="str">
            <v>Pipa PVC RR dia 200 mm</v>
          </cell>
          <cell r="C434" t="str">
            <v>m'</v>
          </cell>
          <cell r="D434">
            <v>181450.71</v>
          </cell>
          <cell r="E434">
            <v>181450.71</v>
          </cell>
        </row>
        <row r="435">
          <cell r="B435" t="str">
            <v>Pipa PVC RR dia 50 mm</v>
          </cell>
          <cell r="C435" t="str">
            <v>m'</v>
          </cell>
          <cell r="D435">
            <v>10168.52</v>
          </cell>
          <cell r="E435">
            <v>10168.52</v>
          </cell>
        </row>
        <row r="436">
          <cell r="B436" t="str">
            <v>Pipa PVC RR dia 75 mm</v>
          </cell>
          <cell r="C436" t="str">
            <v>m'</v>
          </cell>
          <cell r="D436">
            <v>24462.9</v>
          </cell>
          <cell r="E436">
            <v>24462.9</v>
          </cell>
        </row>
        <row r="437">
          <cell r="B437" t="str">
            <v>Pipa PVC Wavin dia 1" x 4 m</v>
          </cell>
          <cell r="C437" t="str">
            <v>m'</v>
          </cell>
          <cell r="D437">
            <v>7969.5</v>
          </cell>
          <cell r="E437">
            <v>7969.5</v>
          </cell>
        </row>
        <row r="438">
          <cell r="B438" t="str">
            <v>Pipa PVC Wavin dia 2" x 4 m</v>
          </cell>
          <cell r="C438" t="str">
            <v>m'</v>
          </cell>
          <cell r="D438">
            <v>16537.5</v>
          </cell>
          <cell r="E438">
            <v>16537.5</v>
          </cell>
        </row>
        <row r="439">
          <cell r="B439" t="str">
            <v>Pipa PVC Wavin dia 3" x 4 m</v>
          </cell>
          <cell r="C439" t="str">
            <v>m'</v>
          </cell>
          <cell r="D439">
            <v>30712.5</v>
          </cell>
          <cell r="E439">
            <v>30712.5</v>
          </cell>
        </row>
        <row r="440">
          <cell r="B440" t="str">
            <v>Pipa PVC Wavin Lucky LG dia 4" x 4 m</v>
          </cell>
          <cell r="C440" t="str">
            <v>m'</v>
          </cell>
          <cell r="D440">
            <v>46068.75</v>
          </cell>
          <cell r="E440">
            <v>46068.75</v>
          </cell>
        </row>
        <row r="441">
          <cell r="B441" t="str">
            <v>Pipa PVC ø 1(inch) AW, panjang 4 m</v>
          </cell>
          <cell r="C441" t="str">
            <v>m'</v>
          </cell>
          <cell r="D441">
            <v>12700</v>
          </cell>
          <cell r="E441">
            <v>12700</v>
          </cell>
        </row>
        <row r="442">
          <cell r="B442" t="str">
            <v>Pipa PVC ø 1,5 (inch) AW, panjang 4 m</v>
          </cell>
          <cell r="C442" t="str">
            <v>m'</v>
          </cell>
          <cell r="D442">
            <v>22100</v>
          </cell>
          <cell r="E442">
            <v>22100</v>
          </cell>
        </row>
        <row r="443">
          <cell r="B443" t="str">
            <v xml:space="preserve">Pipa PVC ø 1/2 (inch) AW, panjang 4 m </v>
          </cell>
          <cell r="C443" t="str">
            <v>m'</v>
          </cell>
          <cell r="D443">
            <v>7200</v>
          </cell>
          <cell r="E443">
            <v>7200</v>
          </cell>
        </row>
        <row r="444">
          <cell r="B444" t="str">
            <v>Pipa PVC ø 3 (inch) AW, panjang 4 m</v>
          </cell>
          <cell r="C444" t="str">
            <v>m'</v>
          </cell>
          <cell r="D444">
            <v>56500</v>
          </cell>
          <cell r="E444">
            <v>56500</v>
          </cell>
        </row>
        <row r="445">
          <cell r="B445" t="str">
            <v>Pipa PVC ø 3/4 (inch) AW, panjang 4 m</v>
          </cell>
          <cell r="C445" t="str">
            <v>m'</v>
          </cell>
          <cell r="D445">
            <v>9500</v>
          </cell>
          <cell r="E445">
            <v>9500</v>
          </cell>
        </row>
        <row r="446">
          <cell r="B446" t="str">
            <v>Pipa PVC ø 4 - 6 (inch) AW, panjang 4 m</v>
          </cell>
          <cell r="C446" t="str">
            <v>m'</v>
          </cell>
          <cell r="D446">
            <v>92700</v>
          </cell>
          <cell r="E446">
            <v>92700</v>
          </cell>
        </row>
        <row r="447">
          <cell r="B447" t="str">
            <v>Pipa Gip dia 13 mm</v>
          </cell>
          <cell r="C447" t="str">
            <v>m'</v>
          </cell>
          <cell r="D447">
            <v>2833.87</v>
          </cell>
          <cell r="E447">
            <v>2833.87</v>
          </cell>
        </row>
        <row r="448">
          <cell r="B448" t="str">
            <v>Pipa Gip dia 3/4 mm</v>
          </cell>
          <cell r="C448" t="str">
            <v>m;</v>
          </cell>
          <cell r="D448">
            <v>40229.78</v>
          </cell>
          <cell r="E448">
            <v>40229.78</v>
          </cell>
        </row>
        <row r="449">
          <cell r="B449" t="str">
            <v>Plamuer</v>
          </cell>
          <cell r="C449" t="str">
            <v>kg</v>
          </cell>
          <cell r="D449">
            <v>19400</v>
          </cell>
          <cell r="E449">
            <v>19400</v>
          </cell>
        </row>
        <row r="450">
          <cell r="B450" t="str">
            <v>Plint keramik 10 x 15 cm</v>
          </cell>
          <cell r="C450" t="str">
            <v>buah</v>
          </cell>
          <cell r="D450">
            <v>1800</v>
          </cell>
          <cell r="E450">
            <v>1800</v>
          </cell>
        </row>
        <row r="451">
          <cell r="B451" t="str">
            <v>Plint keramik 10 x 20 cm</v>
          </cell>
          <cell r="C451" t="str">
            <v>buah</v>
          </cell>
          <cell r="D451">
            <v>2600</v>
          </cell>
          <cell r="E451">
            <v>2600</v>
          </cell>
        </row>
        <row r="452">
          <cell r="B452" t="str">
            <v>Plint keramik 10 x 40 cm</v>
          </cell>
          <cell r="C452" t="str">
            <v>buah</v>
          </cell>
          <cell r="D452">
            <v>3500</v>
          </cell>
          <cell r="E452">
            <v>3500</v>
          </cell>
        </row>
        <row r="453">
          <cell r="B453" t="str">
            <v>Plint ubin abu-abu 15 x 20 (cm)</v>
          </cell>
          <cell r="C453" t="str">
            <v>buah</v>
          </cell>
          <cell r="D453">
            <v>8300</v>
          </cell>
          <cell r="E453">
            <v>8300</v>
          </cell>
        </row>
        <row r="454">
          <cell r="B454" t="str">
            <v>Plint ubin granito 10 x 30 cm</v>
          </cell>
          <cell r="C454" t="str">
            <v>buah</v>
          </cell>
          <cell r="D454">
            <v>8800</v>
          </cell>
          <cell r="E454">
            <v>8800</v>
          </cell>
        </row>
        <row r="455">
          <cell r="B455" t="str">
            <v>Plint ubin granito 10 x 40 cm</v>
          </cell>
          <cell r="C455" t="str">
            <v>buah</v>
          </cell>
          <cell r="D455">
            <v>10600</v>
          </cell>
          <cell r="E455">
            <v>10600</v>
          </cell>
        </row>
        <row r="456">
          <cell r="B456" t="str">
            <v>Plywood uk. 0,30 x 0,60 (m), tebal 4mm</v>
          </cell>
          <cell r="C456" t="str">
            <v>lembar</v>
          </cell>
          <cell r="D456">
            <v>73200</v>
          </cell>
          <cell r="E456">
            <v>73200</v>
          </cell>
        </row>
        <row r="457">
          <cell r="B457" t="str">
            <v>Plywood uk. 0,30 x 0,60 (m), tebal 6mm</v>
          </cell>
          <cell r="C457" t="str">
            <v>lembar</v>
          </cell>
          <cell r="D457">
            <v>79400</v>
          </cell>
          <cell r="E457">
            <v>79400</v>
          </cell>
        </row>
        <row r="458">
          <cell r="B458" t="str">
            <v>Plywood uk. 0,60 x 1,20 (m), tebal 4mm</v>
          </cell>
          <cell r="C458" t="str">
            <v>lembar</v>
          </cell>
          <cell r="D458">
            <v>77700</v>
          </cell>
          <cell r="E458">
            <v>77700</v>
          </cell>
        </row>
        <row r="459">
          <cell r="B459" t="str">
            <v>Plywood uk. 0,60 x 1,20 (m), tebal 6mm</v>
          </cell>
          <cell r="C459" t="str">
            <v>lembar</v>
          </cell>
          <cell r="D459">
            <v>114700</v>
          </cell>
          <cell r="E459">
            <v>114700</v>
          </cell>
        </row>
        <row r="460">
          <cell r="B460" t="str">
            <v>Plywood uk. 1,22 x 2,44 (m), tebal 4 mm</v>
          </cell>
          <cell r="C460" t="str">
            <v>lembar</v>
          </cell>
          <cell r="D460">
            <v>121800</v>
          </cell>
          <cell r="E460">
            <v>121800</v>
          </cell>
        </row>
        <row r="461">
          <cell r="B461" t="str">
            <v>Plywood uk. 1,22 x 2,44 (m), tebal 9 mm</v>
          </cell>
          <cell r="C461" t="str">
            <v>lembar</v>
          </cell>
          <cell r="D461">
            <v>130600</v>
          </cell>
          <cell r="E461">
            <v>130600</v>
          </cell>
        </row>
        <row r="462">
          <cell r="B462" t="str">
            <v>Politur</v>
          </cell>
          <cell r="C462" t="str">
            <v>liter</v>
          </cell>
          <cell r="D462">
            <v>59700</v>
          </cell>
          <cell r="E462">
            <v>59700</v>
          </cell>
        </row>
        <row r="463">
          <cell r="B463" t="str">
            <v>Politur jadi</v>
          </cell>
          <cell r="C463" t="str">
            <v>liter</v>
          </cell>
          <cell r="D463">
            <v>98300</v>
          </cell>
          <cell r="E463">
            <v>98300</v>
          </cell>
        </row>
        <row r="464">
          <cell r="B464" t="str">
            <v>Porcelaint uk. 11 cm x 11 cm</v>
          </cell>
          <cell r="C464" t="str">
            <v>buah</v>
          </cell>
          <cell r="D464">
            <v>1600</v>
          </cell>
          <cell r="E464">
            <v>1600</v>
          </cell>
        </row>
        <row r="465">
          <cell r="B465" t="str">
            <v>Profil aluminium T</v>
          </cell>
          <cell r="C465" t="str">
            <v>m'</v>
          </cell>
          <cell r="D465">
            <v>45900</v>
          </cell>
          <cell r="E465">
            <v>45900</v>
          </cell>
        </row>
        <row r="466">
          <cell r="B466" t="str">
            <v>Pengadaan Water meter dia 13 mm</v>
          </cell>
          <cell r="C466" t="str">
            <v>unit</v>
          </cell>
          <cell r="D466">
            <v>441000</v>
          </cell>
          <cell r="E466">
            <v>441000</v>
          </cell>
        </row>
        <row r="467">
          <cell r="B467" t="str">
            <v>Railing tangga stainless steel pipa dia. 2" dan 1"</v>
          </cell>
          <cell r="C467" t="str">
            <v>m'</v>
          </cell>
          <cell r="D467">
            <v>1152500</v>
          </cell>
          <cell r="E467">
            <v>1152500</v>
          </cell>
        </row>
        <row r="468">
          <cell r="B468" t="str">
            <v>Rangka / frame accoustic board - cross tee</v>
          </cell>
          <cell r="C468" t="str">
            <v>m'</v>
          </cell>
          <cell r="D468">
            <v>45900</v>
          </cell>
          <cell r="E468">
            <v>45900</v>
          </cell>
        </row>
        <row r="469">
          <cell r="B469" t="str">
            <v>Rangka / frame accoustic board - main tee</v>
          </cell>
          <cell r="C469" t="str">
            <v>m'</v>
          </cell>
          <cell r="D469">
            <v>55600</v>
          </cell>
          <cell r="E469">
            <v>55600</v>
          </cell>
        </row>
        <row r="470">
          <cell r="B470" t="str">
            <v>Rangka / frame accoustic board - rod / adjustable dia. 4 mm</v>
          </cell>
          <cell r="C470" t="str">
            <v>m'</v>
          </cell>
          <cell r="D470">
            <v>26500</v>
          </cell>
          <cell r="E470">
            <v>26500</v>
          </cell>
        </row>
        <row r="471">
          <cell r="B471" t="str">
            <v>Rangka / frame accoustic board - wall angle</v>
          </cell>
          <cell r="C471" t="str">
            <v>m'</v>
          </cell>
          <cell r="D471">
            <v>61800</v>
          </cell>
          <cell r="E471">
            <v>61800</v>
          </cell>
        </row>
        <row r="472">
          <cell r="B472" t="str">
            <v>Rangka atap baja ringan type limas</v>
          </cell>
          <cell r="C472" t="str">
            <v>m²</v>
          </cell>
          <cell r="D472">
            <v>349500</v>
          </cell>
          <cell r="E472">
            <v>349500</v>
          </cell>
        </row>
        <row r="473">
          <cell r="B473" t="str">
            <v>Rangka atap baja ringan type pelana</v>
          </cell>
          <cell r="C473" t="str">
            <v>m²</v>
          </cell>
          <cell r="D473">
            <v>325600</v>
          </cell>
          <cell r="E473">
            <v>325600</v>
          </cell>
        </row>
        <row r="474">
          <cell r="B474" t="str">
            <v>Rapidrant</v>
          </cell>
          <cell r="C474" t="str">
            <v>kg</v>
          </cell>
          <cell r="D474">
            <v>3400</v>
          </cell>
          <cell r="E474">
            <v>3400</v>
          </cell>
        </row>
        <row r="475">
          <cell r="B475" t="str">
            <v>Reducer PVC dari 1/2 (inch) ke 1 (inch)</v>
          </cell>
          <cell r="C475" t="str">
            <v>buah</v>
          </cell>
          <cell r="D475">
            <v>10100</v>
          </cell>
          <cell r="E475">
            <v>10100</v>
          </cell>
        </row>
        <row r="476">
          <cell r="B476" t="str">
            <v>Reducer PVC dari 1/2 (inch) ke 3/4 (inch)</v>
          </cell>
          <cell r="C476" t="str">
            <v>buah</v>
          </cell>
          <cell r="D476">
            <v>14000</v>
          </cell>
          <cell r="E476">
            <v>14000</v>
          </cell>
        </row>
        <row r="477">
          <cell r="B477" t="str">
            <v>Reducer PVC dari 3/4 (inch) ke 1 (inch)</v>
          </cell>
          <cell r="C477" t="str">
            <v>buah</v>
          </cell>
          <cell r="D477">
            <v>12100</v>
          </cell>
          <cell r="E477">
            <v>12100</v>
          </cell>
        </row>
        <row r="478">
          <cell r="B478" t="str">
            <v>Reducer C1 dia 200 mm x80 mm</v>
          </cell>
          <cell r="C478" t="str">
            <v>unit</v>
          </cell>
          <cell r="D478">
            <v>821737.79</v>
          </cell>
          <cell r="E478">
            <v>821737.79</v>
          </cell>
        </row>
        <row r="479">
          <cell r="B479" t="str">
            <v>Reducer PVC 150 x 100</v>
          </cell>
          <cell r="C479" t="str">
            <v>unit</v>
          </cell>
          <cell r="D479">
            <v>1330085.01</v>
          </cell>
          <cell r="E479">
            <v>1330085.01</v>
          </cell>
        </row>
        <row r="480">
          <cell r="B480" t="str">
            <v>Reducer Pvc 200 x 150</v>
          </cell>
          <cell r="C480" t="str">
            <v>unit</v>
          </cell>
          <cell r="D480">
            <v>1450942.73</v>
          </cell>
          <cell r="E480">
            <v>1450942.73</v>
          </cell>
        </row>
        <row r="481">
          <cell r="B481" t="str">
            <v>Rel pintu dorong</v>
          </cell>
          <cell r="C481" t="str">
            <v>buah</v>
          </cell>
          <cell r="D481">
            <v>220600</v>
          </cell>
          <cell r="E481">
            <v>220600</v>
          </cell>
        </row>
        <row r="482">
          <cell r="B482" t="str">
            <v>Residu</v>
          </cell>
          <cell r="C482" t="str">
            <v>liter</v>
          </cell>
          <cell r="D482">
            <v>18500</v>
          </cell>
          <cell r="E482">
            <v>18500</v>
          </cell>
        </row>
        <row r="483">
          <cell r="B483" t="str">
            <v>Rolling door</v>
          </cell>
          <cell r="C483" t="str">
            <v>m2</v>
          </cell>
          <cell r="D483">
            <v>463137.05</v>
          </cell>
          <cell r="E483">
            <v>463137.05</v>
          </cell>
        </row>
        <row r="484">
          <cell r="B484" t="str">
            <v>Rolling dor - alumunium tebal</v>
          </cell>
          <cell r="C484" t="str">
            <v>m²</v>
          </cell>
          <cell r="D484">
            <v>503000</v>
          </cell>
          <cell r="E484">
            <v>503000</v>
          </cell>
        </row>
        <row r="485">
          <cell r="B485" t="str">
            <v>Rolling dor - alumunium tipis</v>
          </cell>
          <cell r="C485" t="str">
            <v>m²</v>
          </cell>
          <cell r="D485">
            <v>414800</v>
          </cell>
          <cell r="E485">
            <v>414800</v>
          </cell>
        </row>
        <row r="486">
          <cell r="B486" t="str">
            <v>Rooflight fibreglass uk. 1,8 x 0,9 (m)</v>
          </cell>
          <cell r="C486" t="str">
            <v>lembar</v>
          </cell>
          <cell r="D486">
            <v>123600</v>
          </cell>
          <cell r="E486">
            <v>123600</v>
          </cell>
        </row>
        <row r="487">
          <cell r="B487" t="str">
            <v>Rooster block uk. 12 x 11 x 24 (cm)</v>
          </cell>
          <cell r="C487" t="str">
            <v>buah</v>
          </cell>
          <cell r="D487">
            <v>10200</v>
          </cell>
          <cell r="E487">
            <v>10200</v>
          </cell>
        </row>
        <row r="488">
          <cell r="B488" t="str">
            <v>Rooster block uk. 20 x 20 (cm)</v>
          </cell>
          <cell r="C488" t="str">
            <v>buah</v>
          </cell>
          <cell r="D488">
            <v>5775</v>
          </cell>
          <cell r="E488">
            <v>5775</v>
          </cell>
        </row>
        <row r="489">
          <cell r="B489" t="str">
            <v>Sabun</v>
          </cell>
          <cell r="C489" t="str">
            <v>kg</v>
          </cell>
          <cell r="D489">
            <v>9300</v>
          </cell>
          <cell r="E489">
            <v>9300</v>
          </cell>
        </row>
        <row r="490">
          <cell r="B490" t="str">
            <v>Saklar</v>
          </cell>
          <cell r="C490" t="str">
            <v>buah</v>
          </cell>
          <cell r="D490">
            <v>18900</v>
          </cell>
          <cell r="E490">
            <v>18900</v>
          </cell>
        </row>
        <row r="491">
          <cell r="B491" t="str">
            <v>Saklar dobel</v>
          </cell>
          <cell r="C491" t="str">
            <v>buah</v>
          </cell>
          <cell r="D491">
            <v>31400</v>
          </cell>
          <cell r="E491">
            <v>31400</v>
          </cell>
        </row>
        <row r="492">
          <cell r="B492" t="str">
            <v>Sealent</v>
          </cell>
          <cell r="C492" t="str">
            <v>kg</v>
          </cell>
          <cell r="D492">
            <v>61800</v>
          </cell>
          <cell r="E492">
            <v>61800</v>
          </cell>
        </row>
        <row r="493">
          <cell r="B493" t="str">
            <v>Semen PC @ 50 kg</v>
          </cell>
          <cell r="C493" t="str">
            <v>kg</v>
          </cell>
          <cell r="D493">
            <v>1398</v>
          </cell>
          <cell r="E493">
            <v>1398</v>
          </cell>
        </row>
        <row r="494">
          <cell r="B494" t="str">
            <v>Semen Batu Raja</v>
          </cell>
          <cell r="C494" t="str">
            <v>kg</v>
          </cell>
          <cell r="D494">
            <v>1432.8</v>
          </cell>
          <cell r="E494">
            <v>1432.8</v>
          </cell>
        </row>
        <row r="495">
          <cell r="B495" t="str">
            <v>Semen Kujang</v>
          </cell>
          <cell r="C495" t="str">
            <v>kg</v>
          </cell>
          <cell r="D495">
            <v>1432.8</v>
          </cell>
          <cell r="E495">
            <v>1432.8</v>
          </cell>
        </row>
        <row r="496">
          <cell r="B496" t="str">
            <v>Semen Padang</v>
          </cell>
          <cell r="C496" t="str">
            <v>kg</v>
          </cell>
          <cell r="D496">
            <v>1432.8</v>
          </cell>
          <cell r="E496">
            <v>1432.8</v>
          </cell>
        </row>
        <row r="497">
          <cell r="B497" t="str">
            <v>Semen Tiga Roda</v>
          </cell>
          <cell r="C497" t="str">
            <v>kg</v>
          </cell>
          <cell r="D497">
            <v>1432.8</v>
          </cell>
          <cell r="E497">
            <v>1432.8</v>
          </cell>
        </row>
        <row r="498">
          <cell r="B498" t="str">
            <v>Semen putih</v>
          </cell>
          <cell r="C498" t="str">
            <v>kg</v>
          </cell>
          <cell r="D498">
            <v>1958.73</v>
          </cell>
          <cell r="E498">
            <v>1958.73</v>
          </cell>
        </row>
        <row r="499">
          <cell r="B499" t="str">
            <v>Tanah puru dari luar lokasi proyek</v>
          </cell>
          <cell r="C499" t="str">
            <v>m3</v>
          </cell>
          <cell r="D499">
            <v>77380</v>
          </cell>
          <cell r="E499">
            <v>77380</v>
          </cell>
        </row>
        <row r="500">
          <cell r="B500" t="str">
            <v>Tanah puru di lokasi proyek</v>
          </cell>
          <cell r="C500" t="str">
            <v>m3</v>
          </cell>
          <cell r="D500">
            <v>68620</v>
          </cell>
          <cell r="E500">
            <v>68620</v>
          </cell>
        </row>
        <row r="501">
          <cell r="B501" t="str">
            <v>Semen warna</v>
          </cell>
          <cell r="C501" t="str">
            <v>kg</v>
          </cell>
          <cell r="D501">
            <v>16200</v>
          </cell>
          <cell r="E501">
            <v>16200</v>
          </cell>
        </row>
        <row r="502">
          <cell r="B502" t="str">
            <v>Seng plat BJLS 27 uk. 0.3 x 1.83 (m)</v>
          </cell>
          <cell r="C502" t="str">
            <v>lembar</v>
          </cell>
          <cell r="D502">
            <v>56500</v>
          </cell>
          <cell r="E502">
            <v>56500</v>
          </cell>
        </row>
        <row r="503">
          <cell r="B503" t="str">
            <v>Seng plat BJLS 27 uk. 0.9  x 1.83 (m)</v>
          </cell>
          <cell r="C503" t="str">
            <v>lembar</v>
          </cell>
          <cell r="D503">
            <v>70600</v>
          </cell>
          <cell r="E503">
            <v>70600</v>
          </cell>
        </row>
        <row r="504">
          <cell r="B504" t="str">
            <v>Seng gelombang Bjls 20</v>
          </cell>
          <cell r="C504" t="str">
            <v>m2</v>
          </cell>
          <cell r="D504">
            <v>59503.5</v>
          </cell>
          <cell r="E504">
            <v>59503.5</v>
          </cell>
        </row>
        <row r="505">
          <cell r="B505" t="str">
            <v>Seng plat uk. 1,00 x 2,00 cm Bjls 30</v>
          </cell>
          <cell r="C505" t="str">
            <v>Kp</v>
          </cell>
          <cell r="D505">
            <v>73347.12</v>
          </cell>
          <cell r="E505">
            <v>73347.12</v>
          </cell>
        </row>
        <row r="506">
          <cell r="B506" t="str">
            <v>Sherra block</v>
          </cell>
          <cell r="C506" t="str">
            <v>buah</v>
          </cell>
          <cell r="D506">
            <v>2600</v>
          </cell>
          <cell r="E506">
            <v>2600</v>
          </cell>
        </row>
        <row r="507">
          <cell r="B507" t="str">
            <v>Sirtu</v>
          </cell>
          <cell r="C507" t="str">
            <v>m³</v>
          </cell>
          <cell r="D507">
            <v>70600</v>
          </cell>
          <cell r="E507">
            <v>70600</v>
          </cell>
        </row>
        <row r="508">
          <cell r="B508" t="str">
            <v>Slot jendela</v>
          </cell>
          <cell r="C508" t="str">
            <v>buah</v>
          </cell>
          <cell r="D508">
            <v>14100</v>
          </cell>
          <cell r="E508">
            <v>14100</v>
          </cell>
        </row>
        <row r="509">
          <cell r="B509" t="str">
            <v>Slot pintu</v>
          </cell>
          <cell r="C509" t="str">
            <v>buah</v>
          </cell>
          <cell r="D509">
            <v>15900</v>
          </cell>
          <cell r="E509">
            <v>15900</v>
          </cell>
        </row>
        <row r="510">
          <cell r="B510" t="str">
            <v>Slot ventilasi / bouwvenlight</v>
          </cell>
          <cell r="C510" t="str">
            <v>buah</v>
          </cell>
          <cell r="D510">
            <v>15000</v>
          </cell>
          <cell r="E510">
            <v>15000</v>
          </cell>
        </row>
        <row r="511">
          <cell r="B511" t="str">
            <v xml:space="preserve">Socket PVC ø 1 (inch) </v>
          </cell>
          <cell r="C511" t="str">
            <v>buah</v>
          </cell>
          <cell r="D511">
            <v>10600</v>
          </cell>
          <cell r="E511">
            <v>10600</v>
          </cell>
        </row>
        <row r="512">
          <cell r="B512" t="str">
            <v xml:space="preserve">Socket PVC ø 1/2 (inch) </v>
          </cell>
          <cell r="C512" t="str">
            <v>buah</v>
          </cell>
          <cell r="D512">
            <v>12100</v>
          </cell>
          <cell r="E512">
            <v>12100</v>
          </cell>
        </row>
        <row r="513">
          <cell r="B513" t="str">
            <v xml:space="preserve">Socket PVC ø 3/4 (inch) </v>
          </cell>
          <cell r="C513" t="str">
            <v>buah</v>
          </cell>
          <cell r="D513">
            <v>8800</v>
          </cell>
          <cell r="E513">
            <v>8800</v>
          </cell>
        </row>
        <row r="514">
          <cell r="B514" t="str">
            <v>Soda api</v>
          </cell>
          <cell r="C514" t="str">
            <v>kg</v>
          </cell>
          <cell r="D514">
            <v>38800</v>
          </cell>
          <cell r="E514">
            <v>38800</v>
          </cell>
        </row>
        <row r="515">
          <cell r="B515" t="str">
            <v>Softboard uk. 1,20 x 2,40 (m), tebal 4 mm</v>
          </cell>
          <cell r="C515" t="str">
            <v>lembar</v>
          </cell>
          <cell r="D515">
            <v>61800</v>
          </cell>
          <cell r="E515">
            <v>61800</v>
          </cell>
        </row>
        <row r="516">
          <cell r="B516" t="str">
            <v>Stone Coating</v>
          </cell>
          <cell r="C516" t="str">
            <v>kg</v>
          </cell>
          <cell r="D516">
            <v>41300</v>
          </cell>
          <cell r="E516">
            <v>41300</v>
          </cell>
        </row>
        <row r="517">
          <cell r="B517" t="str">
            <v>Stop kontak + instalasi</v>
          </cell>
          <cell r="C517" t="str">
            <v>titik</v>
          </cell>
          <cell r="D517">
            <v>46620</v>
          </cell>
          <cell r="E517">
            <v>46620</v>
          </cell>
        </row>
        <row r="518">
          <cell r="B518" t="str">
            <v>Stop kran dia 13 mm</v>
          </cell>
          <cell r="C518" t="str">
            <v>bh</v>
          </cell>
          <cell r="D518">
            <v>25803.18</v>
          </cell>
          <cell r="E518">
            <v>25803.18</v>
          </cell>
        </row>
        <row r="519">
          <cell r="B519" t="str">
            <v>Streorox - 100</v>
          </cell>
          <cell r="C519" t="str">
            <v>kg</v>
          </cell>
          <cell r="D519">
            <v>5300</v>
          </cell>
          <cell r="E519">
            <v>5300</v>
          </cell>
        </row>
        <row r="520">
          <cell r="B520" t="str">
            <v>Sunscreen alumunium</v>
          </cell>
          <cell r="C520" t="str">
            <v>m²</v>
          </cell>
          <cell r="D520">
            <v>79400</v>
          </cell>
          <cell r="E520">
            <v>79400</v>
          </cell>
        </row>
        <row r="521">
          <cell r="B521" t="str">
            <v>Tangki air / hydrant umum fiberglass 1.000 liter</v>
          </cell>
          <cell r="C521" t="str">
            <v>buah</v>
          </cell>
          <cell r="D521">
            <v>3208800</v>
          </cell>
          <cell r="E521">
            <v>3208800</v>
          </cell>
        </row>
        <row r="522">
          <cell r="B522" t="str">
            <v>Tangki air / hydrant umum fiberglass 2.000 liter</v>
          </cell>
          <cell r="C522" t="str">
            <v>buah</v>
          </cell>
          <cell r="D522">
            <v>2643630.2400000002</v>
          </cell>
          <cell r="E522">
            <v>2643630.2400000002</v>
          </cell>
        </row>
        <row r="523">
          <cell r="B523" t="str">
            <v>Tangki air / hydrant umum fiberglass 3.000 liter</v>
          </cell>
          <cell r="C523" t="str">
            <v>buah</v>
          </cell>
          <cell r="D523">
            <v>9712800</v>
          </cell>
          <cell r="E523">
            <v>9712800</v>
          </cell>
        </row>
        <row r="524">
          <cell r="B524" t="str">
            <v>Tangki air / hydrant umum fiberglass 6.000 liter (horizontal)</v>
          </cell>
          <cell r="C524" t="str">
            <v>buah</v>
          </cell>
          <cell r="D524">
            <v>29564600</v>
          </cell>
          <cell r="E524">
            <v>29564600</v>
          </cell>
        </row>
        <row r="525">
          <cell r="B525" t="str">
            <v>Tangki air / hydrant umum polyethylene 1.000 liter</v>
          </cell>
          <cell r="C525" t="str">
            <v>buah</v>
          </cell>
          <cell r="D525">
            <v>2797500</v>
          </cell>
          <cell r="E525">
            <v>2797500</v>
          </cell>
        </row>
        <row r="526">
          <cell r="B526" t="str">
            <v>Tangki air / hydrant umum polyethylene 2.000 liter</v>
          </cell>
          <cell r="C526" t="str">
            <v>buah</v>
          </cell>
          <cell r="D526">
            <v>6354000</v>
          </cell>
          <cell r="E526">
            <v>6354000</v>
          </cell>
        </row>
        <row r="527">
          <cell r="B527" t="str">
            <v>Tangki air / hydrant umum polyethylene 3.000 liter</v>
          </cell>
          <cell r="C527" t="str">
            <v>buah</v>
          </cell>
          <cell r="D527">
            <v>8454400</v>
          </cell>
          <cell r="E527">
            <v>8454400</v>
          </cell>
        </row>
        <row r="528">
          <cell r="B528" t="str">
            <v>Tangki air / hydrant umum polyethylene 4.000 liter</v>
          </cell>
          <cell r="C528" t="str">
            <v>buah</v>
          </cell>
          <cell r="D528">
            <v>10801800</v>
          </cell>
          <cell r="E528">
            <v>10801800</v>
          </cell>
        </row>
        <row r="529">
          <cell r="B529" t="str">
            <v>Tangki air / hydrant umum polyethylene 5.000 liter</v>
          </cell>
          <cell r="C529" t="str">
            <v>buah</v>
          </cell>
          <cell r="D529">
            <v>12628600</v>
          </cell>
          <cell r="E529">
            <v>12628600</v>
          </cell>
        </row>
        <row r="530">
          <cell r="B530" t="str">
            <v xml:space="preserve">Tangki air / hydrant umum polyethylene 500 liter </v>
          </cell>
          <cell r="C530" t="str">
            <v>buah</v>
          </cell>
          <cell r="D530">
            <v>1200200</v>
          </cell>
          <cell r="E530">
            <v>1200200</v>
          </cell>
        </row>
        <row r="531">
          <cell r="B531" t="str">
            <v>Tangki air fiberglass (oranye) 1.000 liter</v>
          </cell>
          <cell r="C531" t="str">
            <v>buah</v>
          </cell>
          <cell r="D531">
            <v>2647500</v>
          </cell>
          <cell r="E531">
            <v>2647500</v>
          </cell>
        </row>
        <row r="532">
          <cell r="B532" t="str">
            <v>Tangki air fiberglass (oranye) 2.000 liter</v>
          </cell>
          <cell r="C532" t="str">
            <v>buah</v>
          </cell>
          <cell r="D532">
            <v>5295000</v>
          </cell>
          <cell r="E532">
            <v>5295000</v>
          </cell>
        </row>
        <row r="533">
          <cell r="B533" t="str">
            <v>Tangki air fiberglass (oranye) 3.000 liter</v>
          </cell>
          <cell r="C533" t="str">
            <v>buah</v>
          </cell>
          <cell r="D533">
            <v>9712800</v>
          </cell>
          <cell r="E533">
            <v>9712800</v>
          </cell>
        </row>
        <row r="534">
          <cell r="B534" t="str">
            <v>Tangki air fiberglass (oranye) 500 liter</v>
          </cell>
          <cell r="C534" t="str">
            <v>buah</v>
          </cell>
          <cell r="D534">
            <v>970800</v>
          </cell>
          <cell r="E534">
            <v>970800</v>
          </cell>
        </row>
        <row r="535">
          <cell r="B535" t="str">
            <v>Teak wood 0,30 x 0,60 (m), tebal 4 mm</v>
          </cell>
          <cell r="C535" t="str">
            <v>lembar</v>
          </cell>
          <cell r="D535">
            <v>113400</v>
          </cell>
          <cell r="E535">
            <v>113400</v>
          </cell>
        </row>
        <row r="536">
          <cell r="B536" t="str">
            <v>Teak wood 0,90 x 2,10 (m), tebal 4 mm</v>
          </cell>
          <cell r="C536" t="str">
            <v>lembar</v>
          </cell>
          <cell r="D536">
            <v>144700</v>
          </cell>
          <cell r="E536">
            <v>144700</v>
          </cell>
        </row>
        <row r="537">
          <cell r="B537" t="str">
            <v>Teak wood 1,20 x 2,40 (m), tebal 4 mm</v>
          </cell>
          <cell r="C537" t="str">
            <v>lembar</v>
          </cell>
          <cell r="D537">
            <v>220600</v>
          </cell>
          <cell r="E537">
            <v>220600</v>
          </cell>
        </row>
        <row r="538">
          <cell r="B538" t="str">
            <v>Teak wood 1,20 x 2,40 (m), tebal 4 mm</v>
          </cell>
          <cell r="C538" t="str">
            <v>m2</v>
          </cell>
          <cell r="D538">
            <v>67500</v>
          </cell>
          <cell r="E538">
            <v>67500</v>
          </cell>
        </row>
        <row r="539">
          <cell r="B539" t="str">
            <v>Tee C1 dia 200 x 200 mm ff</v>
          </cell>
          <cell r="C539" t="str">
            <v>unit</v>
          </cell>
          <cell r="D539">
            <v>2626206.9700000002</v>
          </cell>
          <cell r="E539">
            <v>2626206.9700000002</v>
          </cell>
        </row>
        <row r="540">
          <cell r="B540" t="str">
            <v>Tee Gip dia 13 mm</v>
          </cell>
          <cell r="C540" t="str">
            <v>bh</v>
          </cell>
          <cell r="D540">
            <v>3780</v>
          </cell>
          <cell r="E540">
            <v>3780</v>
          </cell>
        </row>
        <row r="541">
          <cell r="B541" t="str">
            <v>Tee all socket PVC ø 100 x 50 (mm)</v>
          </cell>
          <cell r="C541" t="str">
            <v>unit</v>
          </cell>
          <cell r="D541">
            <v>829015.83</v>
          </cell>
          <cell r="E541">
            <v>829015.83</v>
          </cell>
        </row>
        <row r="542">
          <cell r="B542" t="str">
            <v>Tee PVC 150 x 100 mm</v>
          </cell>
          <cell r="C542" t="str">
            <v>unit</v>
          </cell>
          <cell r="D542">
            <v>1330085.01</v>
          </cell>
          <cell r="E542">
            <v>1330085.01</v>
          </cell>
        </row>
        <row r="543">
          <cell r="B543" t="str">
            <v>Tee PVC 150 x 150 mm</v>
          </cell>
          <cell r="C543" t="str">
            <v>unit</v>
          </cell>
          <cell r="D543">
            <v>1450060.89</v>
          </cell>
          <cell r="E543">
            <v>1450060.89</v>
          </cell>
        </row>
        <row r="544">
          <cell r="B544" t="str">
            <v>Tee PVC 150 x 40 mm</v>
          </cell>
          <cell r="C544" t="str">
            <v>unit</v>
          </cell>
          <cell r="D544">
            <v>1209008.92</v>
          </cell>
          <cell r="E544">
            <v>1209008.92</v>
          </cell>
        </row>
        <row r="545">
          <cell r="B545" t="str">
            <v>Tee PVC 200 x 200 mm</v>
          </cell>
          <cell r="C545" t="str">
            <v>unit</v>
          </cell>
          <cell r="D545">
            <v>1934590.3</v>
          </cell>
          <cell r="E545">
            <v>1934590.3</v>
          </cell>
        </row>
        <row r="546">
          <cell r="B546" t="str">
            <v>Tee all socket PVC ø 225 x 100 (mm)</v>
          </cell>
          <cell r="C546" t="str">
            <v>unit</v>
          </cell>
          <cell r="D546">
            <v>626600</v>
          </cell>
          <cell r="E546">
            <v>626600</v>
          </cell>
        </row>
        <row r="547">
          <cell r="B547" t="str">
            <v>Tee all socket PVC ø 50 x 50 (mm)</v>
          </cell>
          <cell r="C547" t="str">
            <v>unit</v>
          </cell>
          <cell r="D547">
            <v>317700</v>
          </cell>
          <cell r="E547">
            <v>317700</v>
          </cell>
        </row>
        <row r="548">
          <cell r="B548" t="str">
            <v>Tee all socket PVC ø 80 x 50 (mm)</v>
          </cell>
          <cell r="C548" t="str">
            <v>unit</v>
          </cell>
          <cell r="D548">
            <v>604503.63</v>
          </cell>
          <cell r="E548">
            <v>604503.63</v>
          </cell>
        </row>
        <row r="549">
          <cell r="B549" t="str">
            <v>Tee Pvc 80 x 80 mm</v>
          </cell>
          <cell r="C549" t="str">
            <v>unit</v>
          </cell>
          <cell r="D549">
            <v>829015.83</v>
          </cell>
          <cell r="E549">
            <v>829015.83</v>
          </cell>
        </row>
        <row r="550">
          <cell r="B550" t="str">
            <v>Tutup Manhole uk. 60 x 60 cm</v>
          </cell>
          <cell r="C550" t="str">
            <v>unit</v>
          </cell>
          <cell r="D550">
            <v>365568.84</v>
          </cell>
          <cell r="E550">
            <v>365568.84</v>
          </cell>
        </row>
        <row r="551">
          <cell r="B551" t="str">
            <v>Tempat sabun keramik</v>
          </cell>
          <cell r="C551" t="str">
            <v>buah</v>
          </cell>
          <cell r="D551">
            <v>64400</v>
          </cell>
          <cell r="E551">
            <v>64400</v>
          </cell>
        </row>
        <row r="552">
          <cell r="B552" t="str">
            <v>Ter</v>
          </cell>
          <cell r="C552" t="str">
            <v>kg</v>
          </cell>
          <cell r="D552">
            <v>8977.5</v>
          </cell>
          <cell r="E552">
            <v>8977.5</v>
          </cell>
        </row>
        <row r="553">
          <cell r="B553" t="str">
            <v>Timbunan biasa</v>
          </cell>
          <cell r="C553" t="str">
            <v>m³</v>
          </cell>
          <cell r="D553">
            <v>70600</v>
          </cell>
          <cell r="E553">
            <v>70600</v>
          </cell>
        </row>
        <row r="554">
          <cell r="B554" t="str">
            <v>Timbunan pilihan / tanah puru</v>
          </cell>
          <cell r="C554" t="str">
            <v>m³</v>
          </cell>
          <cell r="D554">
            <v>114700</v>
          </cell>
          <cell r="E554">
            <v>114700</v>
          </cell>
        </row>
        <row r="555">
          <cell r="B555" t="str">
            <v>Triplek tebal 2.5 mm uk. 1.22 x 2.44 (m)</v>
          </cell>
          <cell r="C555" t="str">
            <v>lembar</v>
          </cell>
          <cell r="D555">
            <v>74800</v>
          </cell>
          <cell r="E555">
            <v>74800</v>
          </cell>
        </row>
        <row r="556">
          <cell r="B556" t="str">
            <v>Triplek tebal 4 mm uk. 1.22 x 2.44 (m)</v>
          </cell>
          <cell r="C556" t="str">
            <v>lembar</v>
          </cell>
          <cell r="D556">
            <v>79380</v>
          </cell>
          <cell r="E556">
            <v>79380</v>
          </cell>
        </row>
        <row r="557">
          <cell r="B557" t="str">
            <v>Triplek 2,2 mm uk. ( 4' x 8' )</v>
          </cell>
          <cell r="C557" t="str">
            <v>m2</v>
          </cell>
          <cell r="D557">
            <v>49350</v>
          </cell>
          <cell r="E557">
            <v>49350</v>
          </cell>
        </row>
        <row r="558">
          <cell r="B558" t="str">
            <v>Triplek 3,0 mm uk. ( 4' x 8' )</v>
          </cell>
          <cell r="C558" t="str">
            <v>m2</v>
          </cell>
          <cell r="D558">
            <v>58716</v>
          </cell>
          <cell r="E558">
            <v>58716</v>
          </cell>
        </row>
        <row r="559">
          <cell r="B559" t="str">
            <v>Triplek 4,0 mm uk. ( 4' x 8' )</v>
          </cell>
          <cell r="C559" t="str">
            <v>m2</v>
          </cell>
          <cell r="D559">
            <v>79380</v>
          </cell>
          <cell r="E559">
            <v>79380</v>
          </cell>
        </row>
        <row r="560">
          <cell r="B560" t="str">
            <v>Triplek 6,0 mm uk. ( 4' x 8' )</v>
          </cell>
          <cell r="C560" t="str">
            <v>m2</v>
          </cell>
          <cell r="D560">
            <v>102375</v>
          </cell>
          <cell r="E560">
            <v>102375</v>
          </cell>
        </row>
        <row r="561">
          <cell r="B561" t="str">
            <v>Ubin abu-abu 20 x 20 (cm)</v>
          </cell>
          <cell r="C561" t="str">
            <v>buah</v>
          </cell>
          <cell r="D561">
            <v>5300</v>
          </cell>
          <cell r="E561">
            <v>5300</v>
          </cell>
        </row>
        <row r="562">
          <cell r="B562" t="str">
            <v>Ubin berwarna 20 x 20 (cm)</v>
          </cell>
          <cell r="C562" t="str">
            <v>buah</v>
          </cell>
          <cell r="D562">
            <v>6200</v>
          </cell>
          <cell r="E562">
            <v>6200</v>
          </cell>
        </row>
        <row r="563">
          <cell r="B563" t="str">
            <v>Ubin granito 30 x 30 cm</v>
          </cell>
          <cell r="C563" t="str">
            <v>m²</v>
          </cell>
          <cell r="D563">
            <v>0</v>
          </cell>
        </row>
        <row r="564">
          <cell r="B564" t="str">
            <v>Ubin granito 40 x 40 cm</v>
          </cell>
          <cell r="C564" t="str">
            <v>m²</v>
          </cell>
          <cell r="D564">
            <v>0</v>
          </cell>
        </row>
        <row r="565">
          <cell r="B565" t="str">
            <v>Ubin motif (mozaik)</v>
          </cell>
          <cell r="C565" t="str">
            <v>m²</v>
          </cell>
          <cell r="D565">
            <v>185300</v>
          </cell>
          <cell r="E565">
            <v>185300</v>
          </cell>
        </row>
        <row r="566">
          <cell r="B566" t="str">
            <v xml:space="preserve">Ubin wafel </v>
          </cell>
          <cell r="C566" t="str">
            <v>buah</v>
          </cell>
          <cell r="D566">
            <v>5100</v>
          </cell>
          <cell r="E566">
            <v>5100</v>
          </cell>
        </row>
        <row r="567">
          <cell r="B567" t="str">
            <v xml:space="preserve">Urinoir terasso </v>
          </cell>
          <cell r="C567" t="str">
            <v>Unit</v>
          </cell>
          <cell r="D567">
            <v>825300</v>
          </cell>
          <cell r="E567">
            <v>825300</v>
          </cell>
        </row>
        <row r="568">
          <cell r="B568" t="str">
            <v>Ventilasi dia 80 mm</v>
          </cell>
          <cell r="C568" t="str">
            <v>unit</v>
          </cell>
          <cell r="D568">
            <v>365568.84</v>
          </cell>
          <cell r="E568">
            <v>365568.84</v>
          </cell>
        </row>
        <row r="569">
          <cell r="B569" t="str">
            <v>Venetion blinds</v>
          </cell>
          <cell r="C569" t="str">
            <v>m²</v>
          </cell>
          <cell r="D569">
            <v>67500</v>
          </cell>
          <cell r="E569">
            <v>67500</v>
          </cell>
        </row>
        <row r="570">
          <cell r="B570" t="str">
            <v>Vertical blinds</v>
          </cell>
          <cell r="C570" t="str">
            <v>m²</v>
          </cell>
          <cell r="D570">
            <v>5250</v>
          </cell>
          <cell r="E570">
            <v>5250</v>
          </cell>
        </row>
        <row r="571">
          <cell r="B571" t="str">
            <v>Wallpaper bermotif</v>
          </cell>
          <cell r="C571" t="str">
            <v>m²</v>
          </cell>
          <cell r="D571">
            <v>240900</v>
          </cell>
          <cell r="E571">
            <v>240900</v>
          </cell>
        </row>
        <row r="572">
          <cell r="B572" t="str">
            <v>Wallpaper polos</v>
          </cell>
          <cell r="C572" t="str">
            <v>m²</v>
          </cell>
          <cell r="D572">
            <v>96000</v>
          </cell>
          <cell r="E572">
            <v>96000</v>
          </cell>
        </row>
        <row r="573">
          <cell r="B573" t="str">
            <v>Wallcast dia 200 mm</v>
          </cell>
          <cell r="C573" t="str">
            <v>unit</v>
          </cell>
          <cell r="D573">
            <v>1279073.8799999999</v>
          </cell>
          <cell r="E573">
            <v>1279073.8799999999</v>
          </cell>
        </row>
        <row r="574">
          <cell r="B574" t="str">
            <v>Wastapel keramik uk.besar</v>
          </cell>
          <cell r="C574" t="str">
            <v>bh</v>
          </cell>
          <cell r="D574">
            <v>661500</v>
          </cell>
          <cell r="E574">
            <v>661500</v>
          </cell>
        </row>
        <row r="575">
          <cell r="B575" t="str">
            <v>Wastapel keramik uk.kecil</v>
          </cell>
          <cell r="C575" t="str">
            <v>bh</v>
          </cell>
          <cell r="D575">
            <v>437850</v>
          </cell>
          <cell r="E575">
            <v>437850</v>
          </cell>
        </row>
        <row r="576">
          <cell r="B576" t="str">
            <v xml:space="preserve">Wastafel </v>
          </cell>
          <cell r="C576" t="str">
            <v>buah</v>
          </cell>
          <cell r="D576">
            <v>467700</v>
          </cell>
          <cell r="E576">
            <v>467700</v>
          </cell>
        </row>
        <row r="577">
          <cell r="B577" t="str">
            <v>Water meter ø 1 (inch) + pipa GIP</v>
          </cell>
          <cell r="C577" t="str">
            <v>unit</v>
          </cell>
          <cell r="D577">
            <v>856000</v>
          </cell>
          <cell r="E577">
            <v>856000</v>
          </cell>
        </row>
        <row r="578">
          <cell r="B578" t="str">
            <v xml:space="preserve">Water stop </v>
          </cell>
          <cell r="C578" t="str">
            <v>m'</v>
          </cell>
          <cell r="D578">
            <v>107100</v>
          </cell>
          <cell r="E578">
            <v>107100</v>
          </cell>
        </row>
        <row r="579">
          <cell r="B579" t="str">
            <v>Zinc alum</v>
          </cell>
          <cell r="C579" t="str">
            <v>m2</v>
          </cell>
          <cell r="D579">
            <v>69300</v>
          </cell>
          <cell r="E579">
            <v>69300</v>
          </cell>
        </row>
        <row r="580">
          <cell r="B580" t="str">
            <v>Abu batu</v>
          </cell>
          <cell r="C580" t="str">
            <v>m³</v>
          </cell>
          <cell r="D580">
            <v>250000</v>
          </cell>
          <cell r="E580">
            <v>250000</v>
          </cell>
        </row>
        <row r="581">
          <cell r="B581" t="str">
            <v>Paving block</v>
          </cell>
          <cell r="C581" t="str">
            <v>m²</v>
          </cell>
          <cell r="D581">
            <v>175000</v>
          </cell>
          <cell r="E581">
            <v>175000</v>
          </cell>
        </row>
        <row r="582">
          <cell r="B582" t="str">
            <v>Kansteen 60x14x30</v>
          </cell>
          <cell r="C582" t="str">
            <v>bh</v>
          </cell>
          <cell r="D582">
            <v>70000</v>
          </cell>
          <cell r="E582">
            <v>70000</v>
          </cell>
        </row>
        <row r="584">
          <cell r="B584" t="str">
            <v>PERALATAN (BIAYA PEMILIKAN DAN OPERASI)</v>
          </cell>
          <cell r="D584">
            <v>0</v>
          </cell>
        </row>
        <row r="585">
          <cell r="D585">
            <v>0</v>
          </cell>
        </row>
        <row r="586">
          <cell r="B586" t="str">
            <v>Bulldozer</v>
          </cell>
          <cell r="C586" t="str">
            <v>jam</v>
          </cell>
          <cell r="D586">
            <v>420000</v>
          </cell>
          <cell r="E586">
            <v>420000</v>
          </cell>
        </row>
        <row r="587">
          <cell r="B587" t="str">
            <v>Stone Crusher</v>
          </cell>
          <cell r="C587" t="str">
            <v>jam</v>
          </cell>
          <cell r="D587">
            <v>400000</v>
          </cell>
          <cell r="E587">
            <v>400000</v>
          </cell>
        </row>
        <row r="588">
          <cell r="B588" t="str">
            <v>Motor grader</v>
          </cell>
          <cell r="C588" t="str">
            <v>jam</v>
          </cell>
          <cell r="D588">
            <v>334000</v>
          </cell>
          <cell r="E588">
            <v>334000</v>
          </cell>
        </row>
        <row r="589">
          <cell r="B589" t="str">
            <v>Pemecah batu</v>
          </cell>
          <cell r="C589" t="str">
            <v>jam</v>
          </cell>
          <cell r="D589">
            <v>702000</v>
          </cell>
          <cell r="E589">
            <v>702000</v>
          </cell>
        </row>
        <row r="590">
          <cell r="B590" t="str">
            <v>Mesin penyaring</v>
          </cell>
          <cell r="C590" t="str">
            <v>jam</v>
          </cell>
          <cell r="D590">
            <v>278300</v>
          </cell>
          <cell r="E590">
            <v>278300</v>
          </cell>
        </row>
        <row r="591">
          <cell r="B591" t="str">
            <v>Wheel loader</v>
          </cell>
          <cell r="C591" t="str">
            <v>jam</v>
          </cell>
          <cell r="D591">
            <v>318600</v>
          </cell>
          <cell r="E591">
            <v>318600</v>
          </cell>
        </row>
        <row r="592">
          <cell r="B592" t="str">
            <v>Wheel tractor</v>
          </cell>
          <cell r="C592" t="str">
            <v>jam</v>
          </cell>
          <cell r="D592">
            <v>124200</v>
          </cell>
          <cell r="E592">
            <v>124200</v>
          </cell>
        </row>
        <row r="593">
          <cell r="B593" t="str">
            <v>Track Loader</v>
          </cell>
          <cell r="C593" t="str">
            <v>jam</v>
          </cell>
          <cell r="D593">
            <v>300000</v>
          </cell>
          <cell r="E593">
            <v>300000</v>
          </cell>
        </row>
        <row r="594">
          <cell r="B594" t="str">
            <v>Mesin gilas roda tiga 8 - 10 ton</v>
          </cell>
          <cell r="C594" t="str">
            <v>jam</v>
          </cell>
          <cell r="D594">
            <v>135600</v>
          </cell>
          <cell r="E594">
            <v>135600</v>
          </cell>
        </row>
        <row r="595">
          <cell r="B595" t="str">
            <v>Mesin gilas tandem 6 - 10 ton</v>
          </cell>
          <cell r="C595" t="str">
            <v>jam</v>
          </cell>
          <cell r="D595">
            <v>210900</v>
          </cell>
          <cell r="E595">
            <v>210900</v>
          </cell>
        </row>
        <row r="596">
          <cell r="B596" t="str">
            <v>Mesin gilas bergetar 10 ton</v>
          </cell>
          <cell r="C596" t="str">
            <v>jam</v>
          </cell>
          <cell r="D596">
            <v>254900</v>
          </cell>
          <cell r="E596">
            <v>254900</v>
          </cell>
        </row>
        <row r="597">
          <cell r="B597" t="str">
            <v>Mesin gilas bergetar 8 - 15 ton</v>
          </cell>
          <cell r="C597" t="str">
            <v>jam</v>
          </cell>
          <cell r="D597">
            <v>277200</v>
          </cell>
          <cell r="E597">
            <v>277200</v>
          </cell>
        </row>
        <row r="598">
          <cell r="B598" t="str">
            <v>Mesin gilas bergetar 1 ton</v>
          </cell>
          <cell r="C598" t="str">
            <v>jam</v>
          </cell>
          <cell r="D598">
            <v>61000</v>
          </cell>
          <cell r="E598">
            <v>61000</v>
          </cell>
        </row>
        <row r="599">
          <cell r="B599" t="str">
            <v>Tamper / handy compactor</v>
          </cell>
          <cell r="C599" t="str">
            <v>jam</v>
          </cell>
          <cell r="D599">
            <v>10600</v>
          </cell>
          <cell r="E599">
            <v>10600</v>
          </cell>
        </row>
        <row r="600">
          <cell r="B600" t="str">
            <v>Alat penggetar beton</v>
          </cell>
          <cell r="C600" t="str">
            <v>jam</v>
          </cell>
          <cell r="D600">
            <v>8100</v>
          </cell>
          <cell r="E600">
            <v>8100</v>
          </cell>
        </row>
        <row r="601">
          <cell r="B601" t="str">
            <v>Mesin penyemprot aspal 1.000 liter</v>
          </cell>
          <cell r="C601" t="str">
            <v>jam</v>
          </cell>
          <cell r="D601">
            <v>98900</v>
          </cell>
          <cell r="E601">
            <v>98900</v>
          </cell>
        </row>
        <row r="602">
          <cell r="B602" t="str">
            <v>Mesin penyemprot aspal 400 liter</v>
          </cell>
          <cell r="C602" t="str">
            <v>jam</v>
          </cell>
          <cell r="D602">
            <v>28500</v>
          </cell>
          <cell r="E602">
            <v>28500</v>
          </cell>
        </row>
        <row r="603">
          <cell r="B603" t="str">
            <v>Mesin penyampur aspal 30 T / J + generator</v>
          </cell>
          <cell r="C603" t="str">
            <v>jam</v>
          </cell>
          <cell r="D603">
            <v>1139300</v>
          </cell>
          <cell r="E603">
            <v>1139300</v>
          </cell>
        </row>
        <row r="604">
          <cell r="B604" t="str">
            <v>Mesin penghampar aspal</v>
          </cell>
          <cell r="C604" t="str">
            <v>jam</v>
          </cell>
          <cell r="D604">
            <v>165100</v>
          </cell>
          <cell r="E604">
            <v>165100</v>
          </cell>
        </row>
        <row r="605">
          <cell r="B605" t="str">
            <v>Truk tangki air</v>
          </cell>
          <cell r="C605" t="str">
            <v>jam</v>
          </cell>
          <cell r="D605">
            <v>122800</v>
          </cell>
          <cell r="E605">
            <v>122800</v>
          </cell>
        </row>
        <row r="606">
          <cell r="B606" t="str">
            <v>Trailer 1 Ton</v>
          </cell>
          <cell r="C606" t="str">
            <v>jam</v>
          </cell>
          <cell r="D606">
            <v>13200</v>
          </cell>
          <cell r="E606">
            <v>13200</v>
          </cell>
        </row>
        <row r="607">
          <cell r="B607" t="str">
            <v>Concrete Vibratur</v>
          </cell>
          <cell r="C607" t="str">
            <v>jam</v>
          </cell>
          <cell r="D607">
            <v>101000</v>
          </cell>
          <cell r="E607">
            <v>101000</v>
          </cell>
        </row>
        <row r="608">
          <cell r="B608" t="str">
            <v>Concrete Mixer</v>
          </cell>
          <cell r="C608" t="str">
            <v>jam</v>
          </cell>
          <cell r="D608">
            <v>101400</v>
          </cell>
          <cell r="E608">
            <v>101400</v>
          </cell>
        </row>
        <row r="609">
          <cell r="B609" t="str">
            <v>Vibrator Roller</v>
          </cell>
          <cell r="C609" t="str">
            <v>jam</v>
          </cell>
          <cell r="D609">
            <v>139200</v>
          </cell>
          <cell r="E609">
            <v>139200</v>
          </cell>
        </row>
        <row r="610">
          <cell r="B610" t="str">
            <v>Dump Truck 3-4 m3</v>
          </cell>
          <cell r="C610" t="str">
            <v>jam</v>
          </cell>
          <cell r="D610">
            <v>113200</v>
          </cell>
          <cell r="E610">
            <v>113200</v>
          </cell>
        </row>
        <row r="611">
          <cell r="B611" t="str">
            <v>Drump Truck</v>
          </cell>
          <cell r="C611" t="str">
            <v>jam</v>
          </cell>
          <cell r="D611">
            <v>181400</v>
          </cell>
          <cell r="E611">
            <v>181400</v>
          </cell>
        </row>
        <row r="612">
          <cell r="B612" t="str">
            <v>Excavator</v>
          </cell>
          <cell r="C612" t="str">
            <v>jam</v>
          </cell>
          <cell r="D612">
            <v>313000</v>
          </cell>
          <cell r="E612">
            <v>313000</v>
          </cell>
        </row>
        <row r="613">
          <cell r="B613" t="str">
            <v>Pulvi Mixer</v>
          </cell>
          <cell r="C613" t="str">
            <v>jam</v>
          </cell>
          <cell r="D613">
            <v>262750</v>
          </cell>
          <cell r="E613">
            <v>262750</v>
          </cell>
        </row>
        <row r="614">
          <cell r="B614" t="str">
            <v>Generator set</v>
          </cell>
          <cell r="C614" t="str">
            <v>jam</v>
          </cell>
          <cell r="D614">
            <v>155600</v>
          </cell>
          <cell r="E614">
            <v>155600</v>
          </cell>
        </row>
        <row r="615">
          <cell r="B615" t="str">
            <v>Water Pump 70-100 mm</v>
          </cell>
          <cell r="C615" t="str">
            <v>jam</v>
          </cell>
          <cell r="D615">
            <v>38800</v>
          </cell>
          <cell r="E615">
            <v>38800</v>
          </cell>
        </row>
        <row r="616">
          <cell r="B616" t="str">
            <v xml:space="preserve">Tamper  </v>
          </cell>
          <cell r="C616" t="str">
            <v>jam</v>
          </cell>
          <cell r="D616">
            <v>41250</v>
          </cell>
          <cell r="E616">
            <v>41250</v>
          </cell>
        </row>
        <row r="617">
          <cell r="B617" t="str">
            <v>Jack Hammer</v>
          </cell>
          <cell r="C617" t="str">
            <v>jam</v>
          </cell>
          <cell r="D617">
            <v>100000</v>
          </cell>
          <cell r="E617">
            <v>100000</v>
          </cell>
        </row>
        <row r="618">
          <cell r="B618" t="str">
            <v>Pedestrian Roller</v>
          </cell>
          <cell r="C618" t="str">
            <v>jam</v>
          </cell>
          <cell r="D618">
            <v>230000</v>
          </cell>
          <cell r="E618">
            <v>230000</v>
          </cell>
        </row>
        <row r="619">
          <cell r="B619" t="str">
            <v>Crane 10-15 ton</v>
          </cell>
          <cell r="C619" t="str">
            <v>jam</v>
          </cell>
          <cell r="D619">
            <v>1125000</v>
          </cell>
          <cell r="E619">
            <v>1125000</v>
          </cell>
        </row>
        <row r="620">
          <cell r="B620" t="str">
            <v>Dump truck 3,5 Ton</v>
          </cell>
          <cell r="C620" t="str">
            <v>jam</v>
          </cell>
          <cell r="D620">
            <v>173200</v>
          </cell>
          <cell r="E620">
            <v>173200</v>
          </cell>
        </row>
        <row r="621">
          <cell r="B621" t="str">
            <v>Dump truck 5,0 Ton</v>
          </cell>
          <cell r="C621" t="str">
            <v>jam</v>
          </cell>
          <cell r="D621">
            <v>217300</v>
          </cell>
          <cell r="E621">
            <v>217300</v>
          </cell>
        </row>
        <row r="622">
          <cell r="B622" t="str">
            <v>Truk bak terbuka 3,5 Ton</v>
          </cell>
          <cell r="C622" t="str">
            <v>jam</v>
          </cell>
          <cell r="D622">
            <v>156700</v>
          </cell>
          <cell r="E622">
            <v>156700</v>
          </cell>
        </row>
        <row r="623">
          <cell r="B623" t="str">
            <v>Flat Bed Truck</v>
          </cell>
          <cell r="C623" t="str">
            <v>jam</v>
          </cell>
          <cell r="D623">
            <v>124800</v>
          </cell>
          <cell r="E623">
            <v>124800</v>
          </cell>
        </row>
        <row r="624">
          <cell r="B624" t="str">
            <v>Tree Wheel Roller 6-8 ton</v>
          </cell>
          <cell r="C624" t="str">
            <v>jam</v>
          </cell>
          <cell r="D624">
            <v>249000</v>
          </cell>
          <cell r="E624">
            <v>249000</v>
          </cell>
        </row>
        <row r="625">
          <cell r="B625" t="str">
            <v>Mesin pengaduk beton 125 liter</v>
          </cell>
          <cell r="C625" t="str">
            <v>jam</v>
          </cell>
          <cell r="D625">
            <v>11900</v>
          </cell>
          <cell r="E625">
            <v>11900</v>
          </cell>
        </row>
        <row r="626">
          <cell r="B626" t="str">
            <v>Mesin pengaduk beton 250 liter</v>
          </cell>
          <cell r="C626" t="str">
            <v>jam</v>
          </cell>
          <cell r="D626">
            <v>39500</v>
          </cell>
          <cell r="E626">
            <v>39500</v>
          </cell>
        </row>
        <row r="627">
          <cell r="B627" t="str">
            <v>Mesin pengaduk beton 500 liter</v>
          </cell>
          <cell r="C627" t="str">
            <v>jam</v>
          </cell>
          <cell r="D627">
            <v>79100</v>
          </cell>
          <cell r="E627">
            <v>79100</v>
          </cell>
        </row>
        <row r="628">
          <cell r="B628" t="str">
            <v>Compressor 210 m3 / jam</v>
          </cell>
          <cell r="C628" t="str">
            <v>jam</v>
          </cell>
          <cell r="D628">
            <v>73000</v>
          </cell>
          <cell r="E628">
            <v>73000</v>
          </cell>
        </row>
        <row r="629">
          <cell r="B629" t="str">
            <v>Pompa air 5 cm, 30 m3 / jam</v>
          </cell>
          <cell r="C629" t="str">
            <v>jam</v>
          </cell>
          <cell r="D629">
            <v>9800</v>
          </cell>
          <cell r="E629">
            <v>9800</v>
          </cell>
        </row>
        <row r="630">
          <cell r="B630" t="str">
            <v>Peralatan traktor</v>
          </cell>
          <cell r="C630" t="str">
            <v>jam</v>
          </cell>
          <cell r="D630">
            <v>57000</v>
          </cell>
          <cell r="E630">
            <v>57000</v>
          </cell>
        </row>
        <row r="631">
          <cell r="B631" t="str">
            <v>Asphalt Finisher</v>
          </cell>
          <cell r="C631" t="str">
            <v>jam</v>
          </cell>
          <cell r="D631">
            <v>340600</v>
          </cell>
          <cell r="E631">
            <v>340600</v>
          </cell>
        </row>
        <row r="632">
          <cell r="B632" t="str">
            <v>asphalt Mixing Plant</v>
          </cell>
          <cell r="C632" t="str">
            <v>jam</v>
          </cell>
          <cell r="D632">
            <v>2142800</v>
          </cell>
          <cell r="E632">
            <v>2142800</v>
          </cell>
        </row>
        <row r="633">
          <cell r="B633" t="str">
            <v>Tandem Roller</v>
          </cell>
          <cell r="C633" t="str">
            <v>jam</v>
          </cell>
          <cell r="D633">
            <v>191800</v>
          </cell>
          <cell r="E633">
            <v>191800</v>
          </cell>
        </row>
        <row r="634">
          <cell r="B634" t="str">
            <v>Pneumanic Tire Roller</v>
          </cell>
          <cell r="C634" t="str">
            <v>jam</v>
          </cell>
          <cell r="D634">
            <v>200000</v>
          </cell>
          <cell r="E634">
            <v>200000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Lampiran 2a"/>
      <sheetName val="Lampiran 2b"/>
      <sheetName val="Lmpr 2 C"/>
      <sheetName val="Lampiran 3"/>
      <sheetName val="Lmpr 6a"/>
      <sheetName val="Lmpr 6b"/>
      <sheetName val="Lampr 7"/>
      <sheetName val="Lmpr 8"/>
      <sheetName val="Lmpr 9"/>
      <sheetName val="Lamp 10"/>
      <sheetName val="Daftar Kebutuhan peralatan"/>
      <sheetName val="Peta Quarry"/>
      <sheetName val="Lalu Lintas"/>
      <sheetName val="Jembatan Sementara"/>
      <sheetName val="Informasi"/>
      <sheetName val="Rekap"/>
      <sheetName val="BOQ"/>
      <sheetName val="Mobilisasi"/>
      <sheetName val="D3"/>
      <sheetName val="D4"/>
      <sheetName val="D6"/>
      <sheetName val="D7(2)"/>
      <sheetName val="D8(1)"/>
      <sheetName val="4-Basic Price"/>
      <sheetName val="4-Analisa Quarry"/>
      <sheetName val="5-ALAT(1)"/>
      <sheetName val="Agg Halus &amp; Kasar"/>
      <sheetName val="Agg A"/>
      <sheetName val="Agg B"/>
      <sheetName val="Agg 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K&amp;H"/>
      <sheetName val="Inf"/>
      <sheetName val="Mob"/>
      <sheetName val="Drain"/>
      <sheetName val="G&amp;T"/>
      <sheetName val="Sirtu"/>
      <sheetName val="Pond"/>
      <sheetName val="Lapis"/>
      <sheetName val="ATB"/>
      <sheetName val="bow"/>
      <sheetName val="Beton"/>
      <sheetName val="alat"/>
      <sheetName val="AgHK"/>
      <sheetName val="AgB"/>
      <sheetName val="AgC"/>
      <sheetName val="Basic"/>
      <sheetName val="Quarry"/>
      <sheetName val="Div 8"/>
      <sheetName val="Div IV"/>
      <sheetName val="HB 2008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/>
      <sheetData sheetId="9" refreshError="1"/>
      <sheetData sheetId="10" refreshError="1"/>
      <sheetData sheetId="11"/>
      <sheetData sheetId="12"/>
      <sheetData sheetId="13"/>
      <sheetData sheetId="14" refreshError="1"/>
      <sheetData sheetId="15" refreshError="1"/>
      <sheetData sheetId="16"/>
      <sheetData sheetId="17"/>
      <sheetData sheetId="18" refreshError="1"/>
      <sheetData sheetId="19" refreshError="1"/>
      <sheetData sheetId="20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J1Q47"/>
      <sheetName val="TJ1Q43"/>
      <sheetName val="RYQ52"/>
      <sheetName val="RYQ46"/>
    </sheetNames>
    <sheetDataSet>
      <sheetData sheetId="0" refreshError="1">
        <row r="7">
          <cell r="E7">
            <v>1</v>
          </cell>
          <cell r="G7">
            <v>0.60589999999999999</v>
          </cell>
        </row>
        <row r="8">
          <cell r="G8">
            <v>0.60589999999999999</v>
          </cell>
        </row>
        <row r="9">
          <cell r="G9">
            <v>0.60589999999999999</v>
          </cell>
        </row>
        <row r="10">
          <cell r="G10">
            <v>0.60589999999999999</v>
          </cell>
        </row>
        <row r="11">
          <cell r="G11">
            <v>0.66459999999999997</v>
          </cell>
        </row>
        <row r="12">
          <cell r="G12">
            <v>0.78369999999999995</v>
          </cell>
        </row>
        <row r="13">
          <cell r="G13">
            <v>1.5189999999999999</v>
          </cell>
        </row>
        <row r="14">
          <cell r="G14">
            <v>1.6028</v>
          </cell>
        </row>
        <row r="15">
          <cell r="G15">
            <v>1.5246</v>
          </cell>
        </row>
        <row r="16">
          <cell r="G16">
            <v>1.3683000000000001</v>
          </cell>
        </row>
        <row r="17">
          <cell r="G17">
            <v>1.2119</v>
          </cell>
        </row>
        <row r="18">
          <cell r="G18">
            <v>1.0946</v>
          </cell>
        </row>
        <row r="19">
          <cell r="G19">
            <v>1.0946</v>
          </cell>
        </row>
        <row r="20">
          <cell r="G20">
            <v>1.0555000000000001</v>
          </cell>
        </row>
        <row r="21">
          <cell r="G21">
            <v>1.036</v>
          </cell>
        </row>
        <row r="22">
          <cell r="G22">
            <v>1.1728000000000001</v>
          </cell>
        </row>
        <row r="23">
          <cell r="G23">
            <v>1.2901</v>
          </cell>
        </row>
        <row r="24">
          <cell r="G24">
            <v>1.2901</v>
          </cell>
        </row>
        <row r="25">
          <cell r="G25">
            <v>1.0946</v>
          </cell>
        </row>
        <row r="26">
          <cell r="G26">
            <v>0.93820000000000003</v>
          </cell>
        </row>
        <row r="27">
          <cell r="G27">
            <v>0.78190000000000004</v>
          </cell>
        </row>
        <row r="28">
          <cell r="G28">
            <v>0.74280000000000002</v>
          </cell>
        </row>
        <row r="29">
          <cell r="G29">
            <v>0.66459999999999997</v>
          </cell>
        </row>
        <row r="30">
          <cell r="G30">
            <v>0.64500000000000002</v>
          </cell>
        </row>
        <row r="31">
          <cell r="G31">
            <v>0.60589999999999999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L-K"/>
      <sheetName val="B. Opr Alat"/>
      <sheetName val="Bahan +angkut muat"/>
      <sheetName val="Angkut"/>
      <sheetName val="STRUKTUR (3)"/>
      <sheetName val="UPAD-BAHAN-ALAT (3)"/>
      <sheetName val="REKAPITULASI ANALISA"/>
      <sheetName val="STRUKTUR"/>
      <sheetName val="Terminal bus AKAP"/>
      <sheetName val="sky cross"/>
      <sheetName val=" mpu amplas"/>
      <sheetName val="ANL-SNI"/>
      <sheetName val="PEMADATAN"/>
      <sheetName val="cut and fill"/>
      <sheetName val="UPAD-BAHAN-ALAT"/>
      <sheetName val="ANL-EI"/>
      <sheetName val="BETON COR SNI 350"/>
      <sheetName val="BETON COR SNI 325"/>
      <sheetName val="BETON COR SNI 300"/>
      <sheetName val="BETON COR SNI 275"/>
      <sheetName val="BETON COR SNI 250"/>
      <sheetName val="BETON COR SNI 225"/>
      <sheetName val="BETON COR SNI 200"/>
      <sheetName val="BETON COR SNI 175"/>
      <sheetName val="BETON COR SNI 150"/>
      <sheetName val="BETON COR SNI 125"/>
      <sheetName val="BETON COR SNI 100"/>
      <sheetName val="Sheet1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L-BOW"/>
      <sheetName val="ANL-K"/>
      <sheetName val="B. Opr Alat"/>
      <sheetName val="Bahan +angkut muat"/>
      <sheetName val="Angkut"/>
      <sheetName val=" RAB 2011"/>
      <sheetName val="gg dwikora baru (3)"/>
      <sheetName val="gg dwikora baru (2)"/>
      <sheetName val="gg dwikora baru"/>
      <sheetName val="gg kebersihan realiti"/>
      <sheetName val="gg damai"/>
      <sheetName val="gg pribadi"/>
      <sheetName val="gg sahabat"/>
      <sheetName val="gg musik"/>
      <sheetName val="gg. keamanan"/>
      <sheetName val="Gg. Mushollah Ujung"/>
      <sheetName val="gg keindahan"/>
      <sheetName val="gg keindahan dalam"/>
      <sheetName val="gg keluarga"/>
      <sheetName val="gg A"/>
      <sheetName val="gg darso parto"/>
      <sheetName val="gg perbatasan"/>
      <sheetName val="gg kebersihan"/>
      <sheetName val="gg. keluarga komplek"/>
      <sheetName val="gg. mawar"/>
      <sheetName val="gg. keluarga"/>
      <sheetName val="gg sadikin"/>
      <sheetName val="RAB"/>
      <sheetName val="REKAPITULASI ANALISA"/>
      <sheetName val="UPAD-BAHAN-ALAT"/>
      <sheetName val="ANL-SNI"/>
      <sheetName val="ANL-EI"/>
      <sheetName val="BETON COR SNI 350"/>
      <sheetName val="BETON COR SNI 325"/>
      <sheetName val="BETON COR SNI 300"/>
      <sheetName val="BETON COR SNI 275"/>
      <sheetName val="BETON COR SNI 250"/>
      <sheetName val="BETON COR SNI 225"/>
      <sheetName val="BETON COR SNI 200"/>
      <sheetName val="BETON COR SNI 175"/>
      <sheetName val="BETON COR SNI 150"/>
      <sheetName val="BETON COR SNI 125"/>
      <sheetName val="BETON COR SNI 100"/>
      <sheetName val="alat konstruksi"/>
      <sheetName val="B__Opr_Alat"/>
      <sheetName val="Bahan_+angkut_muat"/>
      <sheetName val="_RAB_2011"/>
      <sheetName val="gg_dwikora_baru_(3)"/>
      <sheetName val="gg_dwikora_baru_(2)"/>
      <sheetName val="gg_dwikora_baru"/>
      <sheetName val="gg_kebersihan_realiti"/>
      <sheetName val="gg_damai"/>
      <sheetName val="gg_pribadi"/>
      <sheetName val="gg_sahabat"/>
      <sheetName val="gg_musik"/>
      <sheetName val="gg__keamanan"/>
      <sheetName val="Gg__Mushollah_Ujung"/>
      <sheetName val="gg_keindahan"/>
      <sheetName val="gg_keindahan_dalam"/>
      <sheetName val="gg_keluarga"/>
      <sheetName val="gg_A"/>
      <sheetName val="gg_darso_parto"/>
      <sheetName val="gg_perbatasan"/>
      <sheetName val="gg_kebersihan"/>
      <sheetName val="gg__keluarga_komplek"/>
      <sheetName val="gg__mawar"/>
      <sheetName val="gg__keluarga"/>
      <sheetName val="gg_sadikin"/>
      <sheetName val="REKAPITULASI_ANALISA"/>
      <sheetName val="BETON_COR_SNI_350"/>
      <sheetName val="BETON_COR_SNI_325"/>
      <sheetName val="BETON_COR_SNI_300"/>
      <sheetName val="BETON_COR_SNI_275"/>
      <sheetName val="BETON_COR_SNI_250"/>
      <sheetName val="BETON_COR_SNI_225"/>
      <sheetName val="BETON_COR_SNI_200"/>
      <sheetName val="BETON_COR_SNI_175"/>
      <sheetName val="BETON_COR_SNI_150"/>
      <sheetName val="BETON_COR_SNI_125"/>
      <sheetName val="BETON_COR_SNI_100"/>
      <sheetName val="alat_konstruks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Kuantitas &amp; Harga"/>
      <sheetName val="AC-WC AsbP"/>
      <sheetName val="AC-BC AsbP"/>
      <sheetName val="AC-Base AsbP"/>
      <sheetName val="AC-WC AsbP (L)"/>
      <sheetName val="AC-BC AsbP (L)"/>
      <sheetName val="AC-Base AsbP (L)"/>
      <sheetName val="Basic Price"/>
      <sheetName val="AC-WC Asb (H)"/>
      <sheetName val="AC-BC Asb (H)"/>
      <sheetName val="AC-Base Asb (H)"/>
      <sheetName val="AC-WC Asb (H) (L)"/>
      <sheetName val="AC-BC Asb (H) (L)"/>
      <sheetName val="AC-Base Asb (H) (L)"/>
      <sheetName val="5-Alat"/>
    </sheetNames>
    <sheetDataSet>
      <sheetData sheetId="0"/>
      <sheetData sheetId="1">
        <row r="21">
          <cell r="H21">
            <v>1353030000</v>
          </cell>
        </row>
        <row r="40">
          <cell r="H40">
            <v>19955089.954059675</v>
          </cell>
        </row>
        <row r="65">
          <cell r="H65">
            <v>2710435.2925738338</v>
          </cell>
        </row>
        <row r="99">
          <cell r="H99">
            <v>1819313.61204887</v>
          </cell>
        </row>
        <row r="114">
          <cell r="H114">
            <v>2157199.8192229434</v>
          </cell>
        </row>
        <row r="183">
          <cell r="H183">
            <v>25587411.462271936</v>
          </cell>
        </row>
        <row r="362">
          <cell r="H362">
            <v>307331597.7359246</v>
          </cell>
        </row>
        <row r="436">
          <cell r="H436">
            <v>41240320.292185128</v>
          </cell>
        </row>
        <row r="483">
          <cell r="H483">
            <v>4725532.494279067</v>
          </cell>
        </row>
        <row r="499">
          <cell r="H499">
            <v>220135353.78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TAMBAHAN"/>
      <sheetName val="DISAIN RDS"/>
      <sheetName val="KOEFESIEN"/>
      <sheetName val="Rekap Biaya"/>
      <sheetName val="Kuantitas &amp; Harga"/>
      <sheetName val="Pekerjaan Utama"/>
      <sheetName val="%"/>
      <sheetName val="Informasi"/>
      <sheetName val="Peta Quarry"/>
      <sheetName val="Mobilisasi"/>
      <sheetName val="Perhitungan Mobilisasi Alat"/>
      <sheetName val="Lalu Lintas"/>
      <sheetName val="Jembatan Sementara"/>
      <sheetName val="Additional"/>
      <sheetName val="3-DIV2"/>
      <sheetName val="3-DIV3"/>
      <sheetName val="3-DIV3 (2)"/>
      <sheetName val="3-DIV3 (3)"/>
      <sheetName val="3-DIV3 (4)"/>
      <sheetName val="3-DIV4"/>
      <sheetName val="3-DIV5"/>
      <sheetName val="3-DIV5-LPAS"/>
      <sheetName val="Lean Concr"/>
      <sheetName val="Sand-Bedding"/>
      <sheetName val="3-DIV6"/>
      <sheetName val="3-DIV6 Lasbutag"/>
      <sheetName val="3-DIV7"/>
      <sheetName val="3-DIV7.1"/>
      <sheetName val="3-DIV8"/>
      <sheetName val="3-DIV9"/>
      <sheetName val="3-DIV10 LS-Rutin"/>
      <sheetName val="3-DIV10 Kuantitas"/>
      <sheetName val="3-DIV10 Analisa HSP"/>
      <sheetName val="SPESIFIKASI"/>
      <sheetName val="4-Basic Price"/>
      <sheetName val="4-formulir harga bahan"/>
      <sheetName val="4-Analisa Quarry"/>
      <sheetName val="5-Peralatan"/>
      <sheetName val="5-Peralatan (2)"/>
      <sheetName val="6-Agregat Halus &amp; Kasar"/>
      <sheetName val="6-Agregat Kelas A"/>
      <sheetName val="6-Agregat Kelas B"/>
      <sheetName val="6-Agregat Kelas 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>
        <row r="13">
          <cell r="AW13">
            <v>47472.058636363639</v>
          </cell>
        </row>
        <row r="16">
          <cell r="AW16">
            <v>70230.073977639215</v>
          </cell>
        </row>
        <row r="24">
          <cell r="AW24">
            <v>293927.19306224468</v>
          </cell>
        </row>
      </sheetData>
      <sheetData sheetId="38"/>
      <sheetData sheetId="39"/>
      <sheetData sheetId="40"/>
      <sheetData sheetId="41"/>
      <sheetData sheetId="42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TAMBAHAN"/>
      <sheetName val="DISAIN RDS"/>
      <sheetName val="KOEFESIEN"/>
      <sheetName val="Rekap Biaya"/>
      <sheetName val="Kuantitas &amp; Harga"/>
      <sheetName val="Pekerjaan Utama"/>
      <sheetName val="%"/>
      <sheetName val="Informasi"/>
      <sheetName val="Peta Quarry"/>
      <sheetName val="Mobilisasi"/>
      <sheetName val="Perhitungan Mobilisasi Alat"/>
      <sheetName val="Lalu Lintas"/>
      <sheetName val="Jembatan Sementara"/>
      <sheetName val="Additional"/>
      <sheetName val="3-DIV2"/>
      <sheetName val="3-DIV3"/>
      <sheetName val="3-DIV3 (2)"/>
      <sheetName val="3-DIV3 (3)"/>
      <sheetName val="3-DIV3 (4)"/>
      <sheetName val="3-DIV4"/>
      <sheetName val="3-DIV5"/>
      <sheetName val="3-DIV5-LPAS"/>
      <sheetName val="Lean Concr"/>
      <sheetName val="Sand-Bedding"/>
      <sheetName val="3-DIV6"/>
      <sheetName val="3-DIV6 Lasbutag"/>
      <sheetName val="3-DIV7"/>
      <sheetName val="3-DIV7.1"/>
      <sheetName val="3-DIV8"/>
      <sheetName val="3-DIV9"/>
      <sheetName val="3-DIV10 LS-Rutin"/>
      <sheetName val="3-DIV10 Kuantitas"/>
      <sheetName val="3-DIV10 Analisa HSP"/>
      <sheetName val="SPESIFIKASI"/>
      <sheetName val="4-Basic Price"/>
      <sheetName val="4-formulir harga bahan"/>
      <sheetName val="4-Analisa Quarry"/>
      <sheetName val="5-Peralatan"/>
      <sheetName val="5-Peralatan (2)"/>
      <sheetName val="6-Agregat Halus &amp; Kasar"/>
      <sheetName val="6-Agregat Kelas A"/>
      <sheetName val="6-Agregat Kelas B"/>
      <sheetName val="6-Agregat Kelas 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>
        <row r="13">
          <cell r="AW13">
            <v>47472.058636363639</v>
          </cell>
        </row>
        <row r="16">
          <cell r="AW16">
            <v>70230.073977639215</v>
          </cell>
        </row>
        <row r="24">
          <cell r="AW24">
            <v>293927.19306224468</v>
          </cell>
        </row>
      </sheetData>
      <sheetData sheetId="38"/>
      <sheetData sheetId="39"/>
      <sheetData sheetId="40"/>
      <sheetData sheetId="41"/>
      <sheetData sheetId="42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UPAH"/>
      <sheetName val="BAHAN"/>
      <sheetName val="RAB"/>
      <sheetName val="ANALISA"/>
      <sheetName val="QUARY"/>
    </sheetNames>
    <sheetDataSet>
      <sheetData sheetId="0"/>
      <sheetData sheetId="1"/>
      <sheetData sheetId="2" refreshError="1">
        <row r="28">
          <cell r="L28">
            <v>90000</v>
          </cell>
        </row>
        <row r="29">
          <cell r="L29">
            <v>283200</v>
          </cell>
        </row>
        <row r="30">
          <cell r="L30">
            <v>128850</v>
          </cell>
        </row>
        <row r="31">
          <cell r="L31">
            <v>103800</v>
          </cell>
        </row>
        <row r="32">
          <cell r="L32">
            <v>55800</v>
          </cell>
        </row>
        <row r="33">
          <cell r="L33">
            <v>40000</v>
          </cell>
        </row>
        <row r="35">
          <cell r="L35">
            <v>12500</v>
          </cell>
        </row>
        <row r="41">
          <cell r="L41">
            <v>72000</v>
          </cell>
        </row>
        <row r="42">
          <cell r="L42">
            <v>25000</v>
          </cell>
        </row>
      </sheetData>
      <sheetData sheetId="3"/>
      <sheetData sheetId="4"/>
      <sheetData sheetId="5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-DIV2"/>
    </sheetNames>
    <sheetDataSet>
      <sheetData sheetId="0" refreshError="1">
        <row r="1">
          <cell r="A1" t="str">
            <v>ITEM PEMBAYARAN NO.</v>
          </cell>
          <cell r="D1" t="str">
            <v>:  2.1</v>
          </cell>
          <cell r="E1" t="str">
            <v>oke</v>
          </cell>
          <cell r="J1" t="str">
            <v xml:space="preserve">Analisa EI-21 </v>
          </cell>
          <cell r="T1" t="str">
            <v xml:space="preserve">Analisa EI-21 </v>
          </cell>
        </row>
        <row r="2">
          <cell r="A2" t="str">
            <v>JENIS PEKERJAAN</v>
          </cell>
          <cell r="D2" t="str">
            <v>:  Galian Utk Drainase, Saluran dan Saluran Air</v>
          </cell>
        </row>
        <row r="3">
          <cell r="A3" t="str">
            <v>SATUAN PEMBAYARAN</v>
          </cell>
          <cell r="D3" t="str">
            <v>:  M3</v>
          </cell>
          <cell r="J3" t="str">
            <v xml:space="preserve">         URAIAN ANALISA HARGA SATUAN</v>
          </cell>
          <cell r="L3" t="str">
            <v>FORMULIR STANDAR UNTUK</v>
          </cell>
        </row>
        <row r="4">
          <cell r="L4" t="str">
            <v>PEREKAMAN ANALISA MASING-MASING HARGA SATUAN</v>
          </cell>
        </row>
        <row r="5">
          <cell r="L5" t="str">
            <v/>
          </cell>
        </row>
        <row r="6">
          <cell r="A6" t="str">
            <v>No.</v>
          </cell>
          <cell r="C6" t="str">
            <v>U R A I A N</v>
          </cell>
          <cell r="G6" t="str">
            <v>KODE</v>
          </cell>
          <cell r="H6" t="str">
            <v>KOEF.</v>
          </cell>
          <cell r="I6" t="str">
            <v>SATUAN</v>
          </cell>
          <cell r="J6" t="str">
            <v>KETERANGAN</v>
          </cell>
        </row>
        <row r="8">
          <cell r="L8" t="str">
            <v>PROYEK</v>
          </cell>
          <cell r="O8" t="str">
            <v>:</v>
          </cell>
        </row>
        <row r="9">
          <cell r="A9" t="str">
            <v>I.</v>
          </cell>
          <cell r="C9" t="str">
            <v>ASUMSI</v>
          </cell>
          <cell r="L9" t="str">
            <v>No. PAKET KONTRAK</v>
          </cell>
          <cell r="O9" t="str">
            <v>:</v>
          </cell>
        </row>
        <row r="10">
          <cell r="A10">
            <v>1</v>
          </cell>
          <cell r="C10" t="str">
            <v>Menggunakan alat berat (cara mekanik)</v>
          </cell>
          <cell r="L10" t="str">
            <v>NAMA PAKET</v>
          </cell>
          <cell r="O10" t="str">
            <v>:</v>
          </cell>
        </row>
        <row r="11">
          <cell r="A11">
            <v>2</v>
          </cell>
          <cell r="C11" t="str">
            <v>Lokasi pekerjaan : sepanjang jalan</v>
          </cell>
          <cell r="L11" t="str">
            <v>PROP / KAB / KODYA</v>
          </cell>
          <cell r="O11" t="str">
            <v>:</v>
          </cell>
        </row>
        <row r="12">
          <cell r="A12">
            <v>3</v>
          </cell>
          <cell r="C12" t="str">
            <v>Kondisi Jalan   :  sedang / baik</v>
          </cell>
          <cell r="L12" t="str">
            <v>ITEM PEMBAYARAN NO.</v>
          </cell>
          <cell r="O12" t="str">
            <v>:  2.1</v>
          </cell>
          <cell r="R12" t="str">
            <v>PERKIRAAN VOL. PEK.</v>
          </cell>
          <cell r="T12" t="str">
            <v>:</v>
          </cell>
          <cell r="U12">
            <v>1</v>
          </cell>
        </row>
        <row r="13">
          <cell r="A13">
            <v>4</v>
          </cell>
          <cell r="C13" t="str">
            <v>Jam kerja efektif per-hari</v>
          </cell>
          <cell r="G13" t="str">
            <v>Tk</v>
          </cell>
          <cell r="H13">
            <v>7</v>
          </cell>
          <cell r="I13" t="str">
            <v>jam</v>
          </cell>
          <cell r="L13" t="str">
            <v>JENIS PEKERJAAN</v>
          </cell>
          <cell r="O13" t="str">
            <v>:  Galian Utk Drainase, Saluran dan Saluran Air</v>
          </cell>
          <cell r="R13" t="str">
            <v>TOTAL HARGA (Rp.)</v>
          </cell>
          <cell r="T13" t="str">
            <v>:</v>
          </cell>
          <cell r="U13">
            <v>32339.52</v>
          </cell>
        </row>
        <row r="14">
          <cell r="A14">
            <v>5</v>
          </cell>
          <cell r="C14" t="str">
            <v>Faktor pengembangan bahan</v>
          </cell>
          <cell r="G14" t="str">
            <v>Fk</v>
          </cell>
          <cell r="H14">
            <v>1.2</v>
          </cell>
          <cell r="I14" t="str">
            <v>-</v>
          </cell>
          <cell r="L14" t="str">
            <v>SATUAN PEMBAYARAN</v>
          </cell>
          <cell r="O14" t="str">
            <v>:  M3</v>
          </cell>
          <cell r="Q14">
            <v>0</v>
          </cell>
          <cell r="R14" t="str">
            <v>% THD. BIAYA PROYEK</v>
          </cell>
          <cell r="T14" t="str">
            <v>:</v>
          </cell>
          <cell r="U14">
            <v>7.6954069998812278E-4</v>
          </cell>
        </row>
        <row r="17">
          <cell r="A17" t="str">
            <v>II.</v>
          </cell>
          <cell r="C17" t="str">
            <v>URUTAN  KERJA</v>
          </cell>
          <cell r="Q17" t="str">
            <v>PERKIRAAN</v>
          </cell>
          <cell r="R17" t="str">
            <v>HARGA</v>
          </cell>
          <cell r="S17" t="str">
            <v>JUMLAH</v>
          </cell>
        </row>
        <row r="18">
          <cell r="A18">
            <v>1</v>
          </cell>
          <cell r="C18" t="str">
            <v>Penggalian dilakukan dengan menggunakan Excavator</v>
          </cell>
          <cell r="L18" t="str">
            <v>NO.</v>
          </cell>
          <cell r="N18" t="str">
            <v>KOMPONEN</v>
          </cell>
          <cell r="P18" t="str">
            <v>SATUAN</v>
          </cell>
          <cell r="Q18" t="str">
            <v>KUANTITAS</v>
          </cell>
          <cell r="R18" t="str">
            <v>SATUAN</v>
          </cell>
          <cell r="S18" t="str">
            <v>HARGA</v>
          </cell>
        </row>
        <row r="19">
          <cell r="A19">
            <v>2</v>
          </cell>
          <cell r="C19" t="str">
            <v>Selanjutnya Excavator menuangkan material hasil</v>
          </cell>
          <cell r="R19" t="str">
            <v>(Rp.)</v>
          </cell>
          <cell r="S19" t="str">
            <v>(Rp.)</v>
          </cell>
        </row>
        <row r="20">
          <cell r="C20" t="str">
            <v>galian kedalam Dump Truck</v>
          </cell>
        </row>
        <row r="21">
          <cell r="A21">
            <v>3</v>
          </cell>
          <cell r="C21" t="str">
            <v>Dump Truck membuang material hasil galian keluar</v>
          </cell>
        </row>
        <row r="22">
          <cell r="C22" t="str">
            <v>lokasi jalan sejauh</v>
          </cell>
          <cell r="G22" t="str">
            <v>L</v>
          </cell>
          <cell r="H22">
            <v>5</v>
          </cell>
          <cell r="I22" t="str">
            <v>Km</v>
          </cell>
          <cell r="L22" t="str">
            <v>A.</v>
          </cell>
          <cell r="N22" t="str">
            <v>TENAGA</v>
          </cell>
        </row>
        <row r="23">
          <cell r="A23">
            <v>4</v>
          </cell>
          <cell r="C23" t="str">
            <v>Sekelompok pekerja akan merapikan hasil galian</v>
          </cell>
        </row>
        <row r="24">
          <cell r="L24" t="str">
            <v>1.</v>
          </cell>
          <cell r="N24" t="str">
            <v>Pekerja</v>
          </cell>
          <cell r="O24" t="str">
            <v>(L01)</v>
          </cell>
          <cell r="P24" t="str">
            <v>jam</v>
          </cell>
          <cell r="Q24">
            <v>3.6504440701875605E-2</v>
          </cell>
          <cell r="R24">
            <v>2857.14</v>
          </cell>
          <cell r="U24">
            <v>104.29829770695686</v>
          </cell>
        </row>
        <row r="25">
          <cell r="L25" t="str">
            <v>2.</v>
          </cell>
          <cell r="N25" t="str">
            <v>Mandor</v>
          </cell>
          <cell r="O25" t="str">
            <v>(L03)</v>
          </cell>
          <cell r="P25" t="str">
            <v>jam</v>
          </cell>
          <cell r="Q25">
            <v>9.1261101754689013E-3</v>
          </cell>
          <cell r="R25">
            <v>3214.29</v>
          </cell>
          <cell r="U25">
            <v>29.333964675907936</v>
          </cell>
        </row>
        <row r="26">
          <cell r="A26" t="str">
            <v>III.</v>
          </cell>
          <cell r="C26" t="str">
            <v>PEMAKAIAN BAHAN, ALAT DAN TENAGA</v>
          </cell>
        </row>
        <row r="28">
          <cell r="A28" t="str">
            <v xml:space="preserve">   1.</v>
          </cell>
          <cell r="C28" t="str">
            <v>BAHAN</v>
          </cell>
          <cell r="R28" t="str">
            <v xml:space="preserve">JUMLAH HARGA TENAGA   </v>
          </cell>
          <cell r="U28">
            <v>133.63226238286478</v>
          </cell>
        </row>
        <row r="29">
          <cell r="C29" t="str">
            <v>Tidak ada bahan yang diperlukan</v>
          </cell>
        </row>
        <row r="30">
          <cell r="L30" t="str">
            <v>B.</v>
          </cell>
          <cell r="N30" t="str">
            <v>BAHAN</v>
          </cell>
        </row>
        <row r="32">
          <cell r="A32" t="str">
            <v xml:space="preserve">   2.</v>
          </cell>
          <cell r="C32" t="str">
            <v>ALAT</v>
          </cell>
        </row>
        <row r="33">
          <cell r="A33" t="str">
            <v xml:space="preserve">   2.a.</v>
          </cell>
          <cell r="C33" t="str">
            <v>EXCAVATOR</v>
          </cell>
          <cell r="G33" t="str">
            <v>(E10)</v>
          </cell>
        </row>
        <row r="34">
          <cell r="C34" t="str">
            <v>Kapasitas Bucket</v>
          </cell>
          <cell r="G34" t="str">
            <v>V</v>
          </cell>
          <cell r="H34">
            <v>0.93</v>
          </cell>
          <cell r="I34" t="str">
            <v>M3</v>
          </cell>
        </row>
        <row r="35">
          <cell r="C35" t="str">
            <v>Faktor Bucket</v>
          </cell>
          <cell r="G35" t="str">
            <v>Fb</v>
          </cell>
          <cell r="H35">
            <v>1</v>
          </cell>
          <cell r="I35" t="str">
            <v>-</v>
          </cell>
        </row>
        <row r="36">
          <cell r="C36" t="str">
            <v>Faktor  Efisiensi alat</v>
          </cell>
          <cell r="G36" t="str">
            <v>Fa</v>
          </cell>
          <cell r="H36">
            <v>0.83</v>
          </cell>
          <cell r="I36" t="str">
            <v>-</v>
          </cell>
        </row>
        <row r="37">
          <cell r="C37" t="str">
            <v>Faktor Konversi</v>
          </cell>
          <cell r="G37" t="str">
            <v>Fv</v>
          </cell>
          <cell r="H37">
            <v>0.9</v>
          </cell>
        </row>
        <row r="39">
          <cell r="C39" t="str">
            <v>Waktu siklus</v>
          </cell>
          <cell r="G39" t="str">
            <v>Ts1</v>
          </cell>
          <cell r="R39" t="str">
            <v xml:space="preserve">JUMLAH HARGA BAHAN   </v>
          </cell>
          <cell r="U39">
            <v>0</v>
          </cell>
        </row>
        <row r="40">
          <cell r="C40" t="str">
            <v>- Menggali,  memuat dan berputar</v>
          </cell>
          <cell r="G40" t="str">
            <v>T1</v>
          </cell>
          <cell r="H40">
            <v>0.317</v>
          </cell>
          <cell r="I40" t="str">
            <v>menit</v>
          </cell>
        </row>
        <row r="41">
          <cell r="C41" t="str">
            <v>- Lain-lain</v>
          </cell>
          <cell r="G41" t="str">
            <v>T2</v>
          </cell>
          <cell r="I41" t="str">
            <v>menit</v>
          </cell>
          <cell r="L41" t="str">
            <v>C.</v>
          </cell>
          <cell r="N41" t="str">
            <v>PERALATAN</v>
          </cell>
        </row>
        <row r="42">
          <cell r="G42" t="str">
            <v>Ts1</v>
          </cell>
          <cell r="H42">
            <v>0.317</v>
          </cell>
          <cell r="I42" t="str">
            <v>menit</v>
          </cell>
        </row>
        <row r="43">
          <cell r="L43" t="str">
            <v>1.</v>
          </cell>
          <cell r="N43" t="str">
            <v>Excavator</v>
          </cell>
          <cell r="O43" t="str">
            <v>(E10)</v>
          </cell>
          <cell r="P43" t="str">
            <v>jam</v>
          </cell>
          <cell r="Q43">
            <v>9.1261101754689013E-3</v>
          </cell>
          <cell r="R43">
            <v>238185.05650827778</v>
          </cell>
          <cell r="U43">
            <v>2173.7030678448291</v>
          </cell>
        </row>
        <row r="44">
          <cell r="C44" t="str">
            <v>Kap. Prod. / jam =</v>
          </cell>
          <cell r="D44" t="str">
            <v>V  x Fb x Fa x Fv x  60</v>
          </cell>
          <cell r="G44" t="str">
            <v>Q1</v>
          </cell>
          <cell r="H44">
            <v>109.5757097791798</v>
          </cell>
          <cell r="I44" t="str">
            <v xml:space="preserve">M3  </v>
          </cell>
          <cell r="L44" t="str">
            <v>2.</v>
          </cell>
          <cell r="N44" t="str">
            <v>Dump Truck</v>
          </cell>
          <cell r="O44" t="str">
            <v>(E08)</v>
          </cell>
          <cell r="P44" t="str">
            <v>jam</v>
          </cell>
          <cell r="Q44">
            <v>0.16982088218140085</v>
          </cell>
          <cell r="R44">
            <v>153645.58193291764</v>
          </cell>
          <cell r="U44">
            <v>26092.228267122777</v>
          </cell>
        </row>
        <row r="45">
          <cell r="D45" t="str">
            <v>Ts1 x Fk</v>
          </cell>
          <cell r="L45" t="str">
            <v>3.</v>
          </cell>
          <cell r="N45" t="str">
            <v>Alat Bantu</v>
          </cell>
          <cell r="P45" t="str">
            <v>Ls</v>
          </cell>
          <cell r="Q45">
            <v>1</v>
          </cell>
          <cell r="R45">
            <v>1000</v>
          </cell>
          <cell r="U45">
            <v>1000</v>
          </cell>
        </row>
        <row r="47">
          <cell r="C47" t="str">
            <v>Koefisien Alat / M3</v>
          </cell>
          <cell r="D47" t="str">
            <v xml:space="preserve"> =  1  :  Q1</v>
          </cell>
          <cell r="G47" t="str">
            <v>-</v>
          </cell>
          <cell r="H47">
            <v>9.1261101754689013E-3</v>
          </cell>
          <cell r="I47" t="str">
            <v>Jam</v>
          </cell>
        </row>
        <row r="50">
          <cell r="R50" t="str">
            <v xml:space="preserve">JUMLAH HARGA PERALATAN   </v>
          </cell>
          <cell r="U50">
            <v>29265.931334967605</v>
          </cell>
        </row>
        <row r="51">
          <cell r="A51" t="str">
            <v xml:space="preserve">   2.b.</v>
          </cell>
          <cell r="C51" t="str">
            <v>DUMP TRUCK</v>
          </cell>
          <cell r="G51" t="str">
            <v>(E08)</v>
          </cell>
        </row>
        <row r="52">
          <cell r="C52" t="str">
            <v>Kaasitas bak</v>
          </cell>
          <cell r="G52" t="str">
            <v>V</v>
          </cell>
          <cell r="H52">
            <v>4</v>
          </cell>
          <cell r="I52" t="str">
            <v>M3</v>
          </cell>
          <cell r="L52" t="str">
            <v>D.</v>
          </cell>
          <cell r="N52" t="str">
            <v>JUMLAH HARGA TENAGA, BAHAN DAN PERALATAN  ( A + B + C )</v>
          </cell>
          <cell r="U52">
            <v>29399.563597350469</v>
          </cell>
        </row>
        <row r="53">
          <cell r="C53" t="str">
            <v>Faktor  efisiensi alat</v>
          </cell>
          <cell r="G53" t="str">
            <v>Fa</v>
          </cell>
          <cell r="H53">
            <v>0.83</v>
          </cell>
          <cell r="I53" t="str">
            <v>-</v>
          </cell>
          <cell r="L53" t="str">
            <v>E.</v>
          </cell>
          <cell r="N53" t="str">
            <v>OVERHEAD &amp; PROFIT</v>
          </cell>
          <cell r="P53">
            <v>10</v>
          </cell>
          <cell r="Q53" t="str">
            <v>%  x  D</v>
          </cell>
          <cell r="U53">
            <v>2939.956359735047</v>
          </cell>
        </row>
        <row r="54">
          <cell r="C54" t="str">
            <v>Kecepatan rata-rata bermuatan</v>
          </cell>
          <cell r="G54" t="str">
            <v>v1</v>
          </cell>
          <cell r="H54">
            <v>20</v>
          </cell>
          <cell r="I54" t="str">
            <v>Km/Jam</v>
          </cell>
          <cell r="L54" t="str">
            <v>F.</v>
          </cell>
          <cell r="N54" t="str">
            <v>HARGA SATUAN PEKERJAAN  ( D + E )</v>
          </cell>
          <cell r="U54">
            <v>32339.519957085515</v>
          </cell>
        </row>
        <row r="55">
          <cell r="C55" t="str">
            <v>Kecepatan rata-rata kosong</v>
          </cell>
          <cell r="G55" t="str">
            <v>v2</v>
          </cell>
          <cell r="H55">
            <v>30</v>
          </cell>
          <cell r="I55" t="str">
            <v>Km/Jam</v>
          </cell>
          <cell r="L55" t="str">
            <v>Note: 1</v>
          </cell>
          <cell r="N55" t="str">
            <v>SATUAN dapat berdasarkan atas jam operasi untuk Tenaga Kerja dan Peralatan, volume dan/atau ukuran</v>
          </cell>
        </row>
        <row r="56">
          <cell r="C56" t="str">
            <v>Waktu  siklus  :</v>
          </cell>
          <cell r="G56" t="str">
            <v>Ts2</v>
          </cell>
          <cell r="N56" t="str">
            <v>berat untuk bahan-bahan.</v>
          </cell>
        </row>
        <row r="57">
          <cell r="C57" t="str">
            <v>- Waktu tempuh isi</v>
          </cell>
          <cell r="E57" t="str">
            <v>=   (L  :  v1)  x  60</v>
          </cell>
          <cell r="G57" t="str">
            <v>T1</v>
          </cell>
          <cell r="H57">
            <v>15</v>
          </cell>
          <cell r="I57" t="str">
            <v>menit</v>
          </cell>
          <cell r="L57">
            <v>2</v>
          </cell>
          <cell r="N57" t="str">
            <v>Kuantitas satuan adalah kuantitas setiap komponen untuk menyelesaikan satu satuan pekerjaan dari nomor</v>
          </cell>
        </row>
        <row r="58">
          <cell r="C58" t="str">
            <v>- Waktu tempuh kosong</v>
          </cell>
          <cell r="E58" t="str">
            <v>=   (L  :  v2)  x  60</v>
          </cell>
          <cell r="G58" t="str">
            <v>T2</v>
          </cell>
          <cell r="H58">
            <v>10</v>
          </cell>
          <cell r="I58" t="str">
            <v>menit</v>
          </cell>
          <cell r="N58" t="str">
            <v>mata pembayaran.</v>
          </cell>
        </row>
        <row r="59">
          <cell r="C59" t="str">
            <v>- Muat</v>
          </cell>
          <cell r="E59" t="str">
            <v>=   (V  :  Q1) x 60</v>
          </cell>
          <cell r="G59" t="str">
            <v>T3</v>
          </cell>
          <cell r="H59">
            <v>2.1902664421125362</v>
          </cell>
          <cell r="I59" t="str">
            <v>menit</v>
          </cell>
          <cell r="L59">
            <v>3</v>
          </cell>
          <cell r="N59" t="str">
            <v>Biaya satuan untuk peralatan sudah termasuk bahan bakar, bahan habis dipakai dan operator.</v>
          </cell>
        </row>
        <row r="60">
          <cell r="C60" t="str">
            <v>- Lain-lain</v>
          </cell>
          <cell r="G60" t="str">
            <v>T4</v>
          </cell>
          <cell r="H60">
            <v>1</v>
          </cell>
          <cell r="I60" t="str">
            <v>menit</v>
          </cell>
          <cell r="L60">
            <v>4</v>
          </cell>
          <cell r="N60" t="str">
            <v>Biaya satuan sudah termasuk pengeluaran untuk seluruh pajak yang berkaitan (tetapi tidak termasuk PPN</v>
          </cell>
        </row>
        <row r="61">
          <cell r="G61" t="str">
            <v>Ts2</v>
          </cell>
          <cell r="H61">
            <v>28.190266442112538</v>
          </cell>
          <cell r="I61" t="str">
            <v>menit</v>
          </cell>
          <cell r="N61" t="str">
            <v>yang dibayar dari kontrak) dan biaya-biaya lainnya.</v>
          </cell>
        </row>
        <row r="62">
          <cell r="J62" t="str">
            <v>Berlanjut ke halaman berikut</v>
          </cell>
        </row>
        <row r="63">
          <cell r="A63" t="str">
            <v>ITEM PEMBAYARAN NO.</v>
          </cell>
          <cell r="D63" t="str">
            <v>:  2.1</v>
          </cell>
          <cell r="J63" t="str">
            <v xml:space="preserve">Analisa EI-21 </v>
          </cell>
        </row>
        <row r="64">
          <cell r="A64" t="str">
            <v>JENIS PEKERJAAN</v>
          </cell>
          <cell r="D64" t="str">
            <v>:  Galian Utk Drainase, Saluran dan Saluran Air</v>
          </cell>
        </row>
        <row r="65">
          <cell r="A65" t="str">
            <v>SATUAN PEMBAYARAN</v>
          </cell>
          <cell r="D65" t="str">
            <v>:  M3</v>
          </cell>
          <cell r="J65" t="str">
            <v xml:space="preserve">         URAIAN ANALISA HARGA SATUAN</v>
          </cell>
        </row>
        <row r="66">
          <cell r="J66" t="str">
            <v>Lanjutan</v>
          </cell>
        </row>
        <row r="68">
          <cell r="A68" t="str">
            <v>No.</v>
          </cell>
          <cell r="C68" t="str">
            <v>U R A I A N</v>
          </cell>
          <cell r="G68" t="str">
            <v>KODE</v>
          </cell>
          <cell r="H68" t="str">
            <v>KOEF.</v>
          </cell>
          <cell r="I68" t="str">
            <v>SATUAN</v>
          </cell>
          <cell r="J68" t="str">
            <v>KETERANGAN</v>
          </cell>
        </row>
        <row r="71">
          <cell r="C71" t="str">
            <v>Kapasitas Produksi / Jam   =</v>
          </cell>
          <cell r="E71" t="str">
            <v>V x Fa x 60</v>
          </cell>
          <cell r="G71" t="str">
            <v>Q2</v>
          </cell>
          <cell r="H71">
            <v>5.888557326723876</v>
          </cell>
          <cell r="I71" t="str">
            <v>M3</v>
          </cell>
        </row>
        <row r="72">
          <cell r="E72" t="str">
            <v xml:space="preserve">    Fk x Ts2</v>
          </cell>
        </row>
        <row r="75">
          <cell r="C75" t="str">
            <v>Koefisien Alat / M3</v>
          </cell>
          <cell r="D75" t="str">
            <v xml:space="preserve"> =  1  :  Q2</v>
          </cell>
          <cell r="G75" t="str">
            <v>-</v>
          </cell>
          <cell r="H75">
            <v>0.16982088218140085</v>
          </cell>
          <cell r="I75" t="str">
            <v>Jam</v>
          </cell>
        </row>
        <row r="78">
          <cell r="A78" t="str">
            <v>2.d.</v>
          </cell>
          <cell r="C78" t="str">
            <v>ALAT  BANTU</v>
          </cell>
        </row>
        <row r="79">
          <cell r="C79" t="str">
            <v>Diperlukan alat-alat bantu kecil</v>
          </cell>
          <cell r="J79" t="str">
            <v>Lump Sump</v>
          </cell>
        </row>
        <row r="80">
          <cell r="C80" t="str">
            <v>- Sekop</v>
          </cell>
        </row>
        <row r="81">
          <cell r="C81" t="str">
            <v>- Keranjang + Sapu</v>
          </cell>
        </row>
        <row r="83">
          <cell r="A83" t="str">
            <v xml:space="preserve">   3.</v>
          </cell>
          <cell r="C83" t="str">
            <v>TENAGA</v>
          </cell>
        </row>
        <row r="84">
          <cell r="C84" t="str">
            <v>Produksi menentukan : EXCAVATOR</v>
          </cell>
          <cell r="G84" t="str">
            <v>Q1</v>
          </cell>
          <cell r="H84">
            <v>109.5757097791798</v>
          </cell>
          <cell r="I84" t="str">
            <v>M3/Jam</v>
          </cell>
        </row>
        <row r="85">
          <cell r="C85" t="str">
            <v>Produksi Galian / hari  =  Tk x Q1</v>
          </cell>
          <cell r="G85" t="str">
            <v>Qt</v>
          </cell>
          <cell r="H85">
            <v>767.02996845425866</v>
          </cell>
          <cell r="I85" t="str">
            <v>M3</v>
          </cell>
        </row>
        <row r="86">
          <cell r="C86" t="str">
            <v>Kebutuhan tenaga :</v>
          </cell>
        </row>
        <row r="87">
          <cell r="D87" t="str">
            <v>- Pekerja</v>
          </cell>
          <cell r="G87" t="str">
            <v>P</v>
          </cell>
          <cell r="H87">
            <v>4</v>
          </cell>
          <cell r="I87" t="str">
            <v>orang</v>
          </cell>
        </row>
        <row r="88">
          <cell r="D88" t="str">
            <v>- Mandor</v>
          </cell>
          <cell r="G88" t="str">
            <v>M</v>
          </cell>
          <cell r="H88">
            <v>1</v>
          </cell>
          <cell r="I88" t="str">
            <v>orang</v>
          </cell>
        </row>
        <row r="90">
          <cell r="C90" t="str">
            <v>Koefisien tenaga / M3   :</v>
          </cell>
        </row>
        <row r="91">
          <cell r="D91" t="str">
            <v>- Pekerja</v>
          </cell>
          <cell r="E91" t="str">
            <v>= (Tk x P) : Qt</v>
          </cell>
          <cell r="G91" t="str">
            <v>(L01)</v>
          </cell>
          <cell r="H91">
            <v>3.6504440701875605E-2</v>
          </cell>
          <cell r="I91" t="str">
            <v>Jam</v>
          </cell>
        </row>
        <row r="92">
          <cell r="D92" t="str">
            <v>- Mandor</v>
          </cell>
          <cell r="E92" t="str">
            <v>= (Tk x M) : Qt</v>
          </cell>
          <cell r="G92" t="str">
            <v>(L03)</v>
          </cell>
          <cell r="H92">
            <v>9.1261101754689013E-3</v>
          </cell>
          <cell r="I92" t="str">
            <v>Jam</v>
          </cell>
        </row>
        <row r="94">
          <cell r="A94" t="str">
            <v>4.</v>
          </cell>
          <cell r="C94" t="str">
            <v>HARGA DASAR SATUAN UPAH, BAHAN DAN ALAT</v>
          </cell>
        </row>
        <row r="95">
          <cell r="C95" t="str">
            <v>Lihat lampiran.</v>
          </cell>
        </row>
        <row r="97">
          <cell r="A97" t="str">
            <v>5.</v>
          </cell>
          <cell r="C97" t="str">
            <v>ANALISA HARGA SATUAN PEKERJAAN</v>
          </cell>
        </row>
        <row r="98">
          <cell r="C98" t="str">
            <v>Lihat perhitungan dalam FORMULIR STANDAR UNTUK</v>
          </cell>
        </row>
        <row r="99">
          <cell r="C99" t="str">
            <v>PEREKEMAN ANALISA MASING-MASING HARGA</v>
          </cell>
        </row>
        <row r="100">
          <cell r="C100" t="str">
            <v>SATUAN.</v>
          </cell>
        </row>
        <row r="101">
          <cell r="C101" t="str">
            <v>Didapat Harga Satuan Pekerjaan :</v>
          </cell>
        </row>
        <row r="103">
          <cell r="C103" t="str">
            <v xml:space="preserve">Rp.  </v>
          </cell>
          <cell r="D103">
            <v>32339.519957085515</v>
          </cell>
          <cell r="E103" t="str">
            <v xml:space="preserve"> / M3</v>
          </cell>
        </row>
        <row r="106">
          <cell r="A106" t="str">
            <v>6.</v>
          </cell>
          <cell r="C106" t="str">
            <v>WAKTU PELAKSANAAN YANG DIPERLUKAN</v>
          </cell>
        </row>
        <row r="107">
          <cell r="C107" t="str">
            <v>Masa Pelaksanaan :</v>
          </cell>
          <cell r="D107" t="str">
            <v>. . . . . . . . . . . .</v>
          </cell>
          <cell r="E107" t="str">
            <v>bulan</v>
          </cell>
        </row>
        <row r="109">
          <cell r="A109" t="str">
            <v>7.</v>
          </cell>
          <cell r="C109" t="str">
            <v>VOLUME PEKERJAAN YANG DIPERLUKAN</v>
          </cell>
        </row>
        <row r="110">
          <cell r="C110" t="str">
            <v>Volume pekerjaan  :</v>
          </cell>
          <cell r="D110">
            <v>1</v>
          </cell>
          <cell r="E110" t="str">
            <v>M3</v>
          </cell>
        </row>
        <row r="121">
          <cell r="T121" t="str">
            <v xml:space="preserve">Analisa LI-22 </v>
          </cell>
        </row>
        <row r="123">
          <cell r="A123" t="str">
            <v>ITEM PEMBAYARAN NO.</v>
          </cell>
          <cell r="D123" t="str">
            <v>:  2.2</v>
          </cell>
          <cell r="E123" t="str">
            <v>oke</v>
          </cell>
          <cell r="J123" t="str">
            <v xml:space="preserve">Analisa EI-22 </v>
          </cell>
        </row>
        <row r="124">
          <cell r="A124" t="str">
            <v>JENIS PEKERJAAN</v>
          </cell>
          <cell r="D124" t="str">
            <v>:  Pasangan Batu Dengan Mortar untuk Saluran</v>
          </cell>
          <cell r="L124" t="str">
            <v>FORMULIR STANDAR UNTUK</v>
          </cell>
        </row>
        <row r="125">
          <cell r="A125" t="str">
            <v>SATUAN PEMBAYARAN</v>
          </cell>
          <cell r="D125" t="str">
            <v>:  M3</v>
          </cell>
          <cell r="J125" t="str">
            <v xml:space="preserve">         URAIAN ANALISA HARGA SATUAN</v>
          </cell>
          <cell r="L125" t="str">
            <v>PEREKAMAN ANALISA MASING-MASING HARGA SATUAN</v>
          </cell>
        </row>
        <row r="126">
          <cell r="L126" t="str">
            <v/>
          </cell>
        </row>
        <row r="128">
          <cell r="A128" t="str">
            <v>No.</v>
          </cell>
          <cell r="C128" t="str">
            <v>U R A I A N</v>
          </cell>
          <cell r="G128" t="str">
            <v>KODE</v>
          </cell>
          <cell r="H128" t="str">
            <v>KOEF.</v>
          </cell>
          <cell r="I128" t="str">
            <v>SATUAN</v>
          </cell>
          <cell r="J128" t="str">
            <v>KETERANGAN</v>
          </cell>
        </row>
        <row r="129">
          <cell r="L129" t="str">
            <v>PROYEK</v>
          </cell>
          <cell r="O129" t="str">
            <v>:</v>
          </cell>
        </row>
        <row r="130">
          <cell r="L130" t="str">
            <v>No. PAKET KONTRAK</v>
          </cell>
          <cell r="O130" t="str">
            <v>:</v>
          </cell>
        </row>
        <row r="131">
          <cell r="A131" t="str">
            <v>I.</v>
          </cell>
          <cell r="C131" t="str">
            <v>ASUMSI</v>
          </cell>
          <cell r="L131" t="str">
            <v>NAMA PAKET</v>
          </cell>
          <cell r="O131" t="str">
            <v>:</v>
          </cell>
        </row>
        <row r="132">
          <cell r="A132">
            <v>1</v>
          </cell>
          <cell r="C132" t="str">
            <v>Menggunakan alat (cara mekanik)</v>
          </cell>
          <cell r="L132" t="str">
            <v>PROP / KAB / KODYA</v>
          </cell>
          <cell r="O132" t="str">
            <v>:</v>
          </cell>
        </row>
        <row r="133">
          <cell r="A133">
            <v>2</v>
          </cell>
          <cell r="C133" t="str">
            <v>Lokasi pekerjaan : sepanjang jalan</v>
          </cell>
          <cell r="L133" t="str">
            <v>ITEM PEMBAYARAN NO.</v>
          </cell>
          <cell r="O133" t="str">
            <v>:  2.2</v>
          </cell>
          <cell r="R133" t="str">
            <v>PERKIRAAN VOL. PEK.</v>
          </cell>
          <cell r="T133" t="str">
            <v>:</v>
          </cell>
          <cell r="U133">
            <v>1</v>
          </cell>
        </row>
        <row r="134">
          <cell r="A134">
            <v>3</v>
          </cell>
          <cell r="C134" t="str">
            <v>Bahan dasar (batu, pasir dan semen) diterima</v>
          </cell>
          <cell r="L134" t="str">
            <v>JENIS PEKERJAAN</v>
          </cell>
          <cell r="O134" t="str">
            <v>:  Pasangan Batu Dengan Mortar untuk Saluran</v>
          </cell>
          <cell r="R134" t="str">
            <v>TOTAL HARGA (Rp.)</v>
          </cell>
          <cell r="T134" t="str">
            <v>:</v>
          </cell>
          <cell r="U134">
            <v>32339.52</v>
          </cell>
        </row>
        <row r="135">
          <cell r="C135" t="str">
            <v>seluruhnya di lokasi pekerjaan</v>
          </cell>
          <cell r="L135" t="str">
            <v>SATUAN PEMBAYARAN</v>
          </cell>
          <cell r="O135" t="str">
            <v>:  M3</v>
          </cell>
          <cell r="R135" t="str">
            <v>% THD. BIAYA PROYEK</v>
          </cell>
          <cell r="T135" t="str">
            <v>:</v>
          </cell>
          <cell r="U135" t="e">
            <v>#DIV/0!</v>
          </cell>
        </row>
        <row r="136">
          <cell r="A136">
            <v>4</v>
          </cell>
          <cell r="C136" t="str">
            <v>Jarak rata-rata Base camp ke lokasi pekerjaan</v>
          </cell>
          <cell r="G136" t="str">
            <v>L</v>
          </cell>
          <cell r="H136">
            <v>8.7249999999999996</v>
          </cell>
          <cell r="I136" t="str">
            <v>KM</v>
          </cell>
        </row>
        <row r="137">
          <cell r="A137">
            <v>5</v>
          </cell>
          <cell r="C137" t="str">
            <v>Jam kerja efektif per-hari</v>
          </cell>
          <cell r="G137" t="str">
            <v>Tk</v>
          </cell>
          <cell r="H137">
            <v>7</v>
          </cell>
          <cell r="I137" t="str">
            <v>jam</v>
          </cell>
        </row>
        <row r="138">
          <cell r="A138">
            <v>6</v>
          </cell>
          <cell r="C138" t="str">
            <v>Perbandingan Pasir &amp; Semen</v>
          </cell>
          <cell r="E138" t="str">
            <v>: - Volume Semen</v>
          </cell>
          <cell r="G138" t="str">
            <v>Sm</v>
          </cell>
          <cell r="H138">
            <v>20</v>
          </cell>
          <cell r="I138" t="str">
            <v>%</v>
          </cell>
          <cell r="J138" t="str">
            <v xml:space="preserve"> Kuat Tekan min.</v>
          </cell>
          <cell r="Q138" t="str">
            <v>PERKIRAAN</v>
          </cell>
          <cell r="R138" t="str">
            <v>HARGA</v>
          </cell>
          <cell r="S138" t="str">
            <v>JUMLAH</v>
          </cell>
        </row>
        <row r="139">
          <cell r="E139" t="str">
            <v>: - Volume Pasir</v>
          </cell>
          <cell r="G139" t="str">
            <v>Ps</v>
          </cell>
          <cell r="H139">
            <v>80</v>
          </cell>
          <cell r="I139" t="str">
            <v>%</v>
          </cell>
          <cell r="J139" t="str">
            <v xml:space="preserve"> 50 kg/cm2</v>
          </cell>
          <cell r="L139" t="str">
            <v>NO.</v>
          </cell>
          <cell r="N139" t="str">
            <v>KOMPONEN</v>
          </cell>
          <cell r="P139" t="str">
            <v>SATUAN</v>
          </cell>
          <cell r="Q139" t="str">
            <v>KUANTITAS</v>
          </cell>
          <cell r="R139" t="str">
            <v>SATUAN</v>
          </cell>
          <cell r="S139" t="str">
            <v>HARGA</v>
          </cell>
        </row>
        <row r="140">
          <cell r="A140">
            <v>7</v>
          </cell>
          <cell r="C140" t="str">
            <v>Perbandingan Batu &amp; Mortar  :</v>
          </cell>
          <cell r="R140" t="str">
            <v>(Rp.)</v>
          </cell>
          <cell r="S140" t="str">
            <v>(Rp.)</v>
          </cell>
        </row>
        <row r="141">
          <cell r="C141" t="str">
            <v>- Batu</v>
          </cell>
          <cell r="G141" t="str">
            <v>Bt</v>
          </cell>
          <cell r="H141">
            <v>60</v>
          </cell>
          <cell r="I141" t="str">
            <v>%</v>
          </cell>
        </row>
        <row r="142">
          <cell r="C142" t="str">
            <v>- Mortar (campuran semen &amp; pasir)</v>
          </cell>
          <cell r="G142" t="str">
            <v>Mr</v>
          </cell>
          <cell r="H142">
            <v>40</v>
          </cell>
          <cell r="I142" t="str">
            <v>%</v>
          </cell>
        </row>
        <row r="143">
          <cell r="A143">
            <v>8</v>
          </cell>
          <cell r="C143" t="str">
            <v>Berat Jenis Bahan  :</v>
          </cell>
          <cell r="L143" t="str">
            <v>A.</v>
          </cell>
          <cell r="N143" t="str">
            <v>TENAGA</v>
          </cell>
        </row>
        <row r="144">
          <cell r="C144" t="str">
            <v>- Pasangan Batu Dengan Mortar</v>
          </cell>
          <cell r="G144" t="str">
            <v>D1</v>
          </cell>
          <cell r="H144">
            <v>2.4</v>
          </cell>
          <cell r="I144" t="str">
            <v>ton/M3</v>
          </cell>
        </row>
        <row r="145">
          <cell r="C145" t="str">
            <v>- Batu</v>
          </cell>
          <cell r="G145" t="str">
            <v>D2</v>
          </cell>
          <cell r="H145">
            <v>1.6</v>
          </cell>
          <cell r="I145" t="str">
            <v>ton/M3</v>
          </cell>
          <cell r="L145" t="str">
            <v>1.</v>
          </cell>
          <cell r="N145" t="str">
            <v>Pekerja</v>
          </cell>
          <cell r="O145" t="str">
            <v>(L01)</v>
          </cell>
          <cell r="P145" t="str">
            <v>jam</v>
          </cell>
          <cell r="Q145">
            <v>5.2208835341365463</v>
          </cell>
          <cell r="R145">
            <v>2857.14</v>
          </cell>
          <cell r="U145">
            <v>14916.795180722891</v>
          </cell>
        </row>
        <row r="146">
          <cell r="C146" t="str">
            <v>- Adukan (mortar)</v>
          </cell>
          <cell r="G146" t="str">
            <v>D3</v>
          </cell>
          <cell r="H146">
            <v>1.8</v>
          </cell>
          <cell r="I146" t="str">
            <v>ton/M3</v>
          </cell>
          <cell r="L146" t="str">
            <v>2.</v>
          </cell>
          <cell r="N146" t="str">
            <v>Tukang Batu</v>
          </cell>
          <cell r="O146" t="str">
            <v>(L02)</v>
          </cell>
          <cell r="P146" t="str">
            <v>jam</v>
          </cell>
          <cell r="Q146">
            <v>1.5662650602409638</v>
          </cell>
          <cell r="R146">
            <v>4285.71</v>
          </cell>
          <cell r="U146">
            <v>6712.5578313253009</v>
          </cell>
        </row>
        <row r="147">
          <cell r="C147" t="str">
            <v>- Pasir</v>
          </cell>
          <cell r="G147" t="str">
            <v>D4</v>
          </cell>
          <cell r="H147">
            <v>1.67</v>
          </cell>
          <cell r="I147" t="str">
            <v>ton/M3</v>
          </cell>
          <cell r="L147" t="str">
            <v>3.</v>
          </cell>
          <cell r="N147" t="str">
            <v>Mandor</v>
          </cell>
          <cell r="O147" t="str">
            <v>(L03)</v>
          </cell>
          <cell r="P147" t="str">
            <v>jam</v>
          </cell>
          <cell r="Q147">
            <v>0.52208835341365456</v>
          </cell>
          <cell r="R147">
            <v>3214.29</v>
          </cell>
          <cell r="U147">
            <v>1678.1433734939758</v>
          </cell>
        </row>
        <row r="148">
          <cell r="C148" t="str">
            <v>- Semen Portland</v>
          </cell>
          <cell r="G148" t="str">
            <v>D5</v>
          </cell>
          <cell r="H148">
            <v>1.44</v>
          </cell>
          <cell r="I148" t="str">
            <v>ton/M3</v>
          </cell>
        </row>
        <row r="149">
          <cell r="Q149" t="str">
            <v xml:space="preserve">JUMLAH HARGA TENAGA   </v>
          </cell>
          <cell r="U149">
            <v>23307.496385542167</v>
          </cell>
        </row>
        <row r="150">
          <cell r="A150" t="str">
            <v>II.</v>
          </cell>
          <cell r="C150" t="str">
            <v>URUTAN KERJA</v>
          </cell>
        </row>
        <row r="151">
          <cell r="A151">
            <v>1</v>
          </cell>
          <cell r="C151" t="str">
            <v>Semen, pasir dan air dicampur dan diaduk menjadi</v>
          </cell>
          <cell r="L151" t="str">
            <v>B.</v>
          </cell>
          <cell r="N151" t="str">
            <v>BAHAN</v>
          </cell>
        </row>
        <row r="152">
          <cell r="C152" t="str">
            <v>mortar dengan menggunakan alat bantu</v>
          </cell>
        </row>
        <row r="153">
          <cell r="A153">
            <v>2</v>
          </cell>
          <cell r="C153" t="str">
            <v>Batu dibersihkan dan dibasahi seluruh permukaannya</v>
          </cell>
          <cell r="L153" t="str">
            <v>1.</v>
          </cell>
          <cell r="N153" t="str">
            <v>Batu</v>
          </cell>
          <cell r="O153" t="str">
            <v>(M02)</v>
          </cell>
          <cell r="P153" t="str">
            <v>M3</v>
          </cell>
          <cell r="Q153">
            <v>1.08</v>
          </cell>
          <cell r="R153">
            <v>166100</v>
          </cell>
          <cell r="U153">
            <v>179388</v>
          </cell>
        </row>
        <row r="154">
          <cell r="C154" t="str">
            <v>sebelum dipasang</v>
          </cell>
          <cell r="L154" t="str">
            <v>2.</v>
          </cell>
          <cell r="N154" t="str">
            <v>Semen (PC)</v>
          </cell>
          <cell r="O154" t="str">
            <v>(M12)</v>
          </cell>
          <cell r="P154" t="str">
            <v>zak</v>
          </cell>
          <cell r="Q154">
            <v>161</v>
          </cell>
          <cell r="R154">
            <v>688.65625</v>
          </cell>
          <cell r="U154">
            <v>110873.65625</v>
          </cell>
        </row>
        <row r="155">
          <cell r="A155">
            <v>3</v>
          </cell>
          <cell r="C155" t="str">
            <v>Penyelesaian dan perapihan setelah pemasangan</v>
          </cell>
          <cell r="L155" t="str">
            <v>3.</v>
          </cell>
          <cell r="N155" t="str">
            <v>Pasir</v>
          </cell>
          <cell r="O155" t="str">
            <v>(M01)</v>
          </cell>
          <cell r="P155" t="str">
            <v>M3</v>
          </cell>
          <cell r="Q155">
            <v>0.48287425149700602</v>
          </cell>
          <cell r="R155">
            <v>54300</v>
          </cell>
          <cell r="U155">
            <v>26220.071856287428</v>
          </cell>
        </row>
        <row r="157">
          <cell r="A157" t="str">
            <v>III.</v>
          </cell>
          <cell r="C157" t="str">
            <v>PEMAKAIAN BAHAN, ALAT DAN TENAGA</v>
          </cell>
        </row>
        <row r="159">
          <cell r="A159" t="str">
            <v xml:space="preserve">   1.</v>
          </cell>
          <cell r="C159" t="str">
            <v>BAHAN</v>
          </cell>
        </row>
        <row r="160">
          <cell r="A160" t="str">
            <v>1.a.</v>
          </cell>
          <cell r="C160" t="str">
            <v>Batu     -----&gt;</v>
          </cell>
          <cell r="D160" t="str">
            <v>{(Bt x D1 x 1 M3) : D2} x 1.20</v>
          </cell>
          <cell r="G160" t="str">
            <v>(M02)</v>
          </cell>
          <cell r="H160">
            <v>1.08</v>
          </cell>
          <cell r="I160" t="str">
            <v>M3</v>
          </cell>
          <cell r="J160" t="str">
            <v xml:space="preserve"> Lepas</v>
          </cell>
          <cell r="Q160" t="str">
            <v xml:space="preserve">JUMLAH HARGA BAHAN   </v>
          </cell>
          <cell r="U160">
            <v>316481.72810628742</v>
          </cell>
        </row>
        <row r="161">
          <cell r="A161" t="str">
            <v>1.b.</v>
          </cell>
          <cell r="C161" t="str">
            <v>Semen    ----&gt;</v>
          </cell>
          <cell r="D161" t="str">
            <v>Sm x {(Mr x D1 x 1 M3} : D3} x 1.05</v>
          </cell>
          <cell r="H161">
            <v>0.11200000000000002</v>
          </cell>
          <cell r="I161" t="str">
            <v>M3</v>
          </cell>
        </row>
        <row r="162">
          <cell r="D162" t="str">
            <v>x {D5 x (1000)}</v>
          </cell>
          <cell r="G162" t="str">
            <v>(M12)</v>
          </cell>
          <cell r="H162">
            <v>161</v>
          </cell>
          <cell r="I162" t="str">
            <v>Kg</v>
          </cell>
          <cell r="L162" t="str">
            <v>C.</v>
          </cell>
          <cell r="N162" t="str">
            <v>PERALATAN</v>
          </cell>
        </row>
        <row r="163">
          <cell r="A163" t="str">
            <v>1.c.</v>
          </cell>
          <cell r="C163" t="str">
            <v>Pasir    -----&gt;</v>
          </cell>
          <cell r="D163" t="str">
            <v>Ps x {(Mr x D1 x 1 M3) : D4} x 1.05</v>
          </cell>
          <cell r="G163" t="str">
            <v>(M01)</v>
          </cell>
          <cell r="H163">
            <v>0.48287425149700602</v>
          </cell>
          <cell r="I163" t="str">
            <v>M3</v>
          </cell>
        </row>
        <row r="164">
          <cell r="L164" t="str">
            <v>1.</v>
          </cell>
          <cell r="N164" t="str">
            <v>Conc. Mixer</v>
          </cell>
          <cell r="O164" t="str">
            <v>(E06)</v>
          </cell>
          <cell r="P164" t="str">
            <v>jam</v>
          </cell>
          <cell r="Q164">
            <v>0.52208835341365456</v>
          </cell>
          <cell r="R164">
            <v>47472.058636363639</v>
          </cell>
          <cell r="U164">
            <v>24784.60892661555</v>
          </cell>
        </row>
        <row r="165">
          <cell r="A165" t="str">
            <v>2.</v>
          </cell>
          <cell r="C165" t="str">
            <v>ALAT</v>
          </cell>
          <cell r="L165" t="str">
            <v>2.</v>
          </cell>
          <cell r="N165" t="str">
            <v>Alat Bantu</v>
          </cell>
          <cell r="P165" t="str">
            <v>Ls</v>
          </cell>
          <cell r="Q165">
            <v>1</v>
          </cell>
          <cell r="R165">
            <v>900</v>
          </cell>
          <cell r="U165">
            <v>900</v>
          </cell>
        </row>
        <row r="166">
          <cell r="A166" t="str">
            <v>2.a.</v>
          </cell>
          <cell r="C166" t="str">
            <v>CONCRETE MIXER</v>
          </cell>
          <cell r="G166" t="str">
            <v>(E06)</v>
          </cell>
        </row>
        <row r="167">
          <cell r="C167" t="str">
            <v>Kapasitas Alat</v>
          </cell>
          <cell r="G167" t="str">
            <v>V</v>
          </cell>
          <cell r="H167">
            <v>500</v>
          </cell>
          <cell r="I167" t="str">
            <v>Liter</v>
          </cell>
        </row>
        <row r="168">
          <cell r="C168" t="str">
            <v>Faktor Efisiensi Alat</v>
          </cell>
          <cell r="G168" t="str">
            <v>Fa</v>
          </cell>
          <cell r="H168">
            <v>0.83</v>
          </cell>
          <cell r="I168" t="str">
            <v>-</v>
          </cell>
        </row>
        <row r="169">
          <cell r="C169" t="str">
            <v>Waktu siklus   :</v>
          </cell>
          <cell r="D169" t="str">
            <v>(T1 + T2 + T3 + T4)</v>
          </cell>
        </row>
        <row r="170">
          <cell r="C170" t="str">
            <v>-  Memuat</v>
          </cell>
          <cell r="G170" t="str">
            <v>T1</v>
          </cell>
          <cell r="H170">
            <v>5</v>
          </cell>
          <cell r="I170" t="str">
            <v>menit</v>
          </cell>
        </row>
        <row r="171">
          <cell r="C171" t="str">
            <v>-  Mengaduk</v>
          </cell>
          <cell r="G171" t="str">
            <v>T2</v>
          </cell>
          <cell r="H171">
            <v>3.5</v>
          </cell>
          <cell r="I171" t="str">
            <v>menit</v>
          </cell>
          <cell r="Q171" t="str">
            <v xml:space="preserve">JUMLAH HARGA PERALATAN   </v>
          </cell>
          <cell r="U171">
            <v>25684.60892661555</v>
          </cell>
        </row>
        <row r="172">
          <cell r="C172" t="str">
            <v>-  Menuang</v>
          </cell>
          <cell r="G172" t="str">
            <v>T3</v>
          </cell>
          <cell r="H172">
            <v>3</v>
          </cell>
          <cell r="I172" t="str">
            <v>menit</v>
          </cell>
        </row>
        <row r="173">
          <cell r="C173" t="str">
            <v>-  Menunggu, dll.</v>
          </cell>
          <cell r="G173" t="str">
            <v>T4</v>
          </cell>
          <cell r="H173">
            <v>1.5</v>
          </cell>
          <cell r="I173" t="str">
            <v>menit</v>
          </cell>
          <cell r="L173" t="str">
            <v>D.</v>
          </cell>
          <cell r="N173" t="str">
            <v>JUMLAH HARGA TENAGA, BAHAN DAN PERALATAN  ( A + B + C )</v>
          </cell>
          <cell r="U173">
            <v>365473.83341844514</v>
          </cell>
        </row>
        <row r="174">
          <cell r="G174" t="str">
            <v>Ts1</v>
          </cell>
          <cell r="H174">
            <v>13</v>
          </cell>
          <cell r="I174" t="str">
            <v>menit</v>
          </cell>
          <cell r="L174" t="str">
            <v>E.</v>
          </cell>
          <cell r="N174" t="str">
            <v>OVERHEAD &amp; PROFIT</v>
          </cell>
          <cell r="P174">
            <v>10</v>
          </cell>
          <cell r="Q174" t="str">
            <v>%  x  D</v>
          </cell>
          <cell r="U174">
            <v>36547.383341844514</v>
          </cell>
        </row>
        <row r="175">
          <cell r="L175" t="str">
            <v>F.</v>
          </cell>
          <cell r="N175" t="str">
            <v>HARGA SATUAN PEKERJAAN  ( D + E )</v>
          </cell>
          <cell r="U175">
            <v>402021.21676028962</v>
          </cell>
        </row>
        <row r="176">
          <cell r="C176" t="str">
            <v>Kap. Prod. / jam  =</v>
          </cell>
          <cell r="D176" t="str">
            <v>V x Fa x 60</v>
          </cell>
          <cell r="G176" t="str">
            <v>Q1</v>
          </cell>
          <cell r="H176">
            <v>1.9153846153846155</v>
          </cell>
          <cell r="I176" t="str">
            <v>M3</v>
          </cell>
          <cell r="L176" t="str">
            <v>Note: 1</v>
          </cell>
          <cell r="N176" t="str">
            <v>SATUAN dapat berdasarkan atas jam operasi untuk Tenaga Kerja dan Peralatan, volume dan/atau ukuran</v>
          </cell>
        </row>
        <row r="177">
          <cell r="D177" t="str">
            <v>1000 x Ts1</v>
          </cell>
          <cell r="N177" t="str">
            <v>berat untuk bahan-bahan.</v>
          </cell>
        </row>
        <row r="178">
          <cell r="L178">
            <v>2</v>
          </cell>
          <cell r="N178" t="str">
            <v>Kuantitas satuan adalah kuantitas setiap komponen untuk menyelesaikan satu satuan pekerjaan dari nomor</v>
          </cell>
        </row>
        <row r="179">
          <cell r="C179" t="str">
            <v>Koefisien Alat / M3</v>
          </cell>
          <cell r="D179" t="str">
            <v xml:space="preserve">  =   1  :  Q1</v>
          </cell>
          <cell r="G179" t="str">
            <v>(E06)</v>
          </cell>
          <cell r="H179">
            <v>0.52208835341365456</v>
          </cell>
          <cell r="I179" t="str">
            <v>jam</v>
          </cell>
          <cell r="N179" t="str">
            <v>mata pembayaran.</v>
          </cell>
        </row>
        <row r="180">
          <cell r="L180">
            <v>3</v>
          </cell>
          <cell r="N180" t="str">
            <v>Biaya satuan untuk peralatan sudah termasuk bahan bakar, bahan habis dipakai dan operator.</v>
          </cell>
        </row>
        <row r="181">
          <cell r="L181">
            <v>4</v>
          </cell>
          <cell r="N181" t="str">
            <v>Biaya satuan sudah termasuk pengeluaran untuk seluruh pajak yang berkaitan (tetapi tidak termasuk PPN</v>
          </cell>
        </row>
        <row r="182">
          <cell r="N182" t="str">
            <v>yang dibayar dari kontrak) dan biaya-biaya lainnya.</v>
          </cell>
        </row>
        <row r="183">
          <cell r="J183" t="str">
            <v>Berlanjut ke halaman berikut</v>
          </cell>
        </row>
        <row r="184">
          <cell r="A184" t="str">
            <v>ITEM PEMBAYARAN NO.</v>
          </cell>
          <cell r="D184" t="str">
            <v>:  2.2</v>
          </cell>
          <cell r="J184" t="str">
            <v xml:space="preserve">Analisa EI-22 </v>
          </cell>
        </row>
        <row r="185">
          <cell r="A185" t="str">
            <v>JENIS PEKERJAAN</v>
          </cell>
          <cell r="D185" t="str">
            <v>:  Pasangan Batu Dengan Mortar untuk Saluran</v>
          </cell>
        </row>
        <row r="186">
          <cell r="A186" t="str">
            <v>SATUAN PEMBAYARAN</v>
          </cell>
          <cell r="D186" t="str">
            <v>:  M3</v>
          </cell>
          <cell r="J186" t="str">
            <v xml:space="preserve">         URAIAN ANALISA HARGA SATUAN</v>
          </cell>
        </row>
        <row r="187">
          <cell r="J187" t="str">
            <v>Lanjutan</v>
          </cell>
        </row>
        <row r="189">
          <cell r="A189" t="str">
            <v>No.</v>
          </cell>
          <cell r="C189" t="str">
            <v>U R A I A N</v>
          </cell>
          <cell r="G189" t="str">
            <v>KODE</v>
          </cell>
          <cell r="H189" t="str">
            <v>KOEF.</v>
          </cell>
          <cell r="I189" t="str">
            <v>SATUAN</v>
          </cell>
          <cell r="J189" t="str">
            <v>KETERANGAN</v>
          </cell>
        </row>
        <row r="193">
          <cell r="A193" t="str">
            <v>2.a.</v>
          </cell>
          <cell r="C193" t="str">
            <v>ALAT BANTU</v>
          </cell>
          <cell r="I193" t="str">
            <v>Lump Sum</v>
          </cell>
        </row>
        <row r="194">
          <cell r="C194" t="str">
            <v>Diperlukan  :</v>
          </cell>
        </row>
        <row r="195">
          <cell r="C195" t="str">
            <v>- Sekop</v>
          </cell>
          <cell r="D195" t="str">
            <v>=  4  buah</v>
          </cell>
        </row>
        <row r="196">
          <cell r="C196" t="str">
            <v>- Pacul</v>
          </cell>
          <cell r="D196" t="str">
            <v>=  4  buah</v>
          </cell>
        </row>
        <row r="197">
          <cell r="C197" t="str">
            <v>- Sendok Semen</v>
          </cell>
          <cell r="D197" t="str">
            <v>=  4  buah</v>
          </cell>
        </row>
        <row r="198">
          <cell r="C198" t="str">
            <v>- Ember Cor</v>
          </cell>
          <cell r="D198" t="str">
            <v>=  8  buah</v>
          </cell>
        </row>
        <row r="199">
          <cell r="C199" t="str">
            <v>- Gerobak Dorong</v>
          </cell>
          <cell r="D199" t="str">
            <v>=  3  buah</v>
          </cell>
        </row>
        <row r="203">
          <cell r="A203" t="str">
            <v>3.</v>
          </cell>
          <cell r="C203" t="str">
            <v>TENAGA</v>
          </cell>
        </row>
        <row r="204">
          <cell r="C204" t="str">
            <v>Produksi Pas. Batu yang menentukan</v>
          </cell>
          <cell r="E204" t="str">
            <v>( Prod. C. Mixer )</v>
          </cell>
          <cell r="G204" t="str">
            <v>Q1</v>
          </cell>
          <cell r="H204">
            <v>1.9153846153846155</v>
          </cell>
          <cell r="I204" t="str">
            <v>M3/Jam</v>
          </cell>
        </row>
        <row r="205">
          <cell r="C205" t="str">
            <v>Produksi Pasangan Batu dalam 1 hari  =  Tk x Q1</v>
          </cell>
          <cell r="G205" t="str">
            <v>Qt</v>
          </cell>
          <cell r="H205">
            <v>13.407692307692308</v>
          </cell>
          <cell r="I205" t="str">
            <v>M3</v>
          </cell>
        </row>
        <row r="207">
          <cell r="C207" t="str">
            <v>Kebutuhan tenaga :</v>
          </cell>
          <cell r="D207" t="str">
            <v>- Mandor</v>
          </cell>
          <cell r="G207" t="str">
            <v>M</v>
          </cell>
          <cell r="H207">
            <v>1</v>
          </cell>
          <cell r="I207" t="str">
            <v>orang</v>
          </cell>
        </row>
        <row r="208">
          <cell r="D208" t="str">
            <v>- Tukang Batu</v>
          </cell>
          <cell r="G208" t="str">
            <v>Tb</v>
          </cell>
          <cell r="H208">
            <v>3</v>
          </cell>
          <cell r="I208" t="str">
            <v>orang</v>
          </cell>
        </row>
        <row r="209">
          <cell r="D209" t="str">
            <v>- Pekerja</v>
          </cell>
          <cell r="G209" t="str">
            <v>P</v>
          </cell>
          <cell r="H209">
            <v>10</v>
          </cell>
          <cell r="I209" t="str">
            <v>orang</v>
          </cell>
        </row>
        <row r="211">
          <cell r="C211" t="str">
            <v>Koefisien Tenaga / M3   :</v>
          </cell>
        </row>
        <row r="212">
          <cell r="D212" t="str">
            <v>-  Mandor</v>
          </cell>
          <cell r="E212" t="str">
            <v>= (Tk x M) : Qt</v>
          </cell>
          <cell r="G212" t="str">
            <v>(L03)</v>
          </cell>
          <cell r="H212">
            <v>0.52208835341365456</v>
          </cell>
          <cell r="I212" t="str">
            <v>jam</v>
          </cell>
        </row>
        <row r="213">
          <cell r="D213" t="str">
            <v>-  Tukang</v>
          </cell>
          <cell r="E213" t="str">
            <v>= (Tk x Tb) : Qt</v>
          </cell>
          <cell r="G213" t="str">
            <v>(L02)</v>
          </cell>
          <cell r="H213">
            <v>1.5662650602409638</v>
          </cell>
          <cell r="I213" t="str">
            <v>jam</v>
          </cell>
        </row>
        <row r="214">
          <cell r="D214" t="str">
            <v>-  Pekerja</v>
          </cell>
          <cell r="E214" t="str">
            <v>= (Tk x P) : Qt</v>
          </cell>
          <cell r="G214" t="str">
            <v>(L01)</v>
          </cell>
          <cell r="H214">
            <v>5.2208835341365463</v>
          </cell>
          <cell r="I214" t="str">
            <v>jam</v>
          </cell>
        </row>
        <row r="216">
          <cell r="A216" t="str">
            <v>4.</v>
          </cell>
          <cell r="C216" t="str">
            <v>HARGA DASAR SATUAN UPAH, BAHAN DAN ALAT</v>
          </cell>
        </row>
        <row r="217">
          <cell r="C217" t="str">
            <v>Lihat lampiran.</v>
          </cell>
        </row>
        <row r="219">
          <cell r="A219" t="str">
            <v>5.</v>
          </cell>
          <cell r="C219" t="str">
            <v>ANALISA HARGA SATUAN PEKERJAAN</v>
          </cell>
        </row>
        <row r="220">
          <cell r="C220" t="str">
            <v>Lihat perhitungan dalam FORMULIR STANDAR UNTUK</v>
          </cell>
        </row>
        <row r="221">
          <cell r="C221" t="str">
            <v>PEREKEMAN ANALISA MASING-MASING HARGA</v>
          </cell>
        </row>
        <row r="222">
          <cell r="C222" t="str">
            <v>SATUAN.</v>
          </cell>
        </row>
        <row r="223">
          <cell r="C223" t="str">
            <v>Didapat Harga Satuan Pekerjaan :</v>
          </cell>
        </row>
        <row r="225">
          <cell r="C225" t="str">
            <v xml:space="preserve">Rp.  </v>
          </cell>
          <cell r="D225">
            <v>402021.21676028962</v>
          </cell>
          <cell r="E225" t="str">
            <v xml:space="preserve"> / M3</v>
          </cell>
        </row>
        <row r="228">
          <cell r="A228" t="str">
            <v>6.</v>
          </cell>
          <cell r="C228" t="str">
            <v>WAKTU PELAKSANAAN YANG DIPERLUKAN</v>
          </cell>
        </row>
        <row r="229">
          <cell r="C229" t="str">
            <v>Masa Pelaksanaan :</v>
          </cell>
          <cell r="D229" t="str">
            <v>. . . . . . . . . . . .</v>
          </cell>
          <cell r="E229" t="str">
            <v>bulan</v>
          </cell>
        </row>
        <row r="231">
          <cell r="A231" t="str">
            <v>7.</v>
          </cell>
          <cell r="C231" t="str">
            <v>VOLUME PEKERJAAN YANG DIPERLUKAN</v>
          </cell>
        </row>
        <row r="232">
          <cell r="C232" t="str">
            <v>Volume pekerjaan  :</v>
          </cell>
          <cell r="D232">
            <v>1</v>
          </cell>
          <cell r="E232" t="str">
            <v>M3</v>
          </cell>
        </row>
        <row r="243">
          <cell r="A243" t="str">
            <v>ITEM PEMBAYARAN NO.</v>
          </cell>
          <cell r="D243" t="str">
            <v>:  2.3 (1)</v>
          </cell>
          <cell r="J243" t="str">
            <v xml:space="preserve">Analisa EI-231 </v>
          </cell>
        </row>
        <row r="244">
          <cell r="A244" t="str">
            <v>JENIS PEKERJAAN</v>
          </cell>
          <cell r="D244" t="str">
            <v>:  Gorong2 Pipa Beton Bertulang Diameter &lt; 500 mm</v>
          </cell>
          <cell r="L244" t="str">
            <v>FORMULIR STANDAR UNTUK</v>
          </cell>
        </row>
        <row r="245">
          <cell r="A245" t="str">
            <v>SATUAN PEMBAYARAN</v>
          </cell>
          <cell r="D245" t="str">
            <v>:  M1</v>
          </cell>
          <cell r="J245" t="str">
            <v xml:space="preserve">         URAIAN ANALISA HARGA SATUAN</v>
          </cell>
          <cell r="L245" t="str">
            <v>PEREKAMAN ANALISA MASING-MASING HARGA SATUAN</v>
          </cell>
        </row>
        <row r="246">
          <cell r="L246" t="str">
            <v/>
          </cell>
        </row>
        <row r="248">
          <cell r="A248" t="str">
            <v>No.</v>
          </cell>
          <cell r="C248" t="str">
            <v>U R A I A N</v>
          </cell>
          <cell r="G248" t="str">
            <v>KODE</v>
          </cell>
          <cell r="H248" t="str">
            <v>KOEF.</v>
          </cell>
          <cell r="I248" t="str">
            <v>SATUAN</v>
          </cell>
          <cell r="J248" t="str">
            <v>KETERANGAN</v>
          </cell>
        </row>
        <row r="249">
          <cell r="L249" t="str">
            <v>PROYEK</v>
          </cell>
          <cell r="O249" t="str">
            <v>:</v>
          </cell>
        </row>
        <row r="250">
          <cell r="L250" t="str">
            <v>No. PAKET KONTRAK</v>
          </cell>
          <cell r="O250" t="str">
            <v>:</v>
          </cell>
        </row>
        <row r="251">
          <cell r="A251" t="str">
            <v>I.</v>
          </cell>
          <cell r="C251" t="str">
            <v>ASUMSI</v>
          </cell>
          <cell r="L251" t="str">
            <v>NAMA PAKET</v>
          </cell>
          <cell r="O251" t="str">
            <v>:</v>
          </cell>
        </row>
        <row r="252">
          <cell r="A252">
            <v>1</v>
          </cell>
          <cell r="C252" t="str">
            <v>Pekerjaan dilakukan secara mekanik/manual</v>
          </cell>
          <cell r="L252" t="str">
            <v>PROP / KAB / KODYA</v>
          </cell>
          <cell r="O252" t="str">
            <v>:</v>
          </cell>
        </row>
        <row r="253">
          <cell r="A253">
            <v>2</v>
          </cell>
          <cell r="C253" t="str">
            <v>Lokasi pekerjaan : sepanjang jalan</v>
          </cell>
          <cell r="L253" t="str">
            <v>ITEM PEMBAYARAN NO.</v>
          </cell>
          <cell r="O253" t="str">
            <v>:  2.3 (1)</v>
          </cell>
          <cell r="R253" t="str">
            <v>PERKIRAAN VOL. PEK.</v>
          </cell>
          <cell r="T253" t="str">
            <v>:</v>
          </cell>
          <cell r="U253">
            <v>1</v>
          </cell>
        </row>
        <row r="254">
          <cell r="A254">
            <v>3</v>
          </cell>
          <cell r="C254" t="str">
            <v>Diameter bagian dalam gorong-gorong</v>
          </cell>
          <cell r="G254" t="str">
            <v>d</v>
          </cell>
          <cell r="H254">
            <v>0.5</v>
          </cell>
          <cell r="I254" t="str">
            <v>m</v>
          </cell>
          <cell r="L254" t="str">
            <v>JENIS PEKERJAAN</v>
          </cell>
          <cell r="O254" t="str">
            <v>:  Gorong2 Pipa Beton Bertulang Diameter &lt; 500 mm</v>
          </cell>
          <cell r="R254" t="str">
            <v>TOTAL HARGA (Rp.)</v>
          </cell>
          <cell r="T254" t="str">
            <v>:</v>
          </cell>
          <cell r="U254">
            <v>218715.29344341051</v>
          </cell>
        </row>
        <row r="255">
          <cell r="A255">
            <v>4</v>
          </cell>
          <cell r="C255" t="str">
            <v>Jarak rata-rata Base Camp ke lokasi pekerjaan</v>
          </cell>
          <cell r="G255" t="str">
            <v>L</v>
          </cell>
          <cell r="H255">
            <v>8.7249999999999996</v>
          </cell>
          <cell r="I255" t="str">
            <v>Km</v>
          </cell>
          <cell r="L255" t="str">
            <v>SATUAN PEMBAYARAN</v>
          </cell>
          <cell r="O255" t="str">
            <v>:  M1</v>
          </cell>
          <cell r="Q255">
            <v>0</v>
          </cell>
          <cell r="R255" t="str">
            <v>% THD. BIAYA PROYEK</v>
          </cell>
          <cell r="T255" t="str">
            <v>:</v>
          </cell>
          <cell r="U255" t="e">
            <v>#DIV/0!</v>
          </cell>
        </row>
        <row r="256">
          <cell r="A256">
            <v>5</v>
          </cell>
          <cell r="C256" t="str">
            <v>Jam kerja efektif per-hari</v>
          </cell>
          <cell r="G256" t="str">
            <v>Tk</v>
          </cell>
          <cell r="H256">
            <v>7</v>
          </cell>
          <cell r="I256" t="str">
            <v>jam</v>
          </cell>
        </row>
        <row r="257">
          <cell r="A257">
            <v>6</v>
          </cell>
          <cell r="C257" t="str">
            <v>Tebal gorong-gorong</v>
          </cell>
          <cell r="G257" t="str">
            <v>tg</v>
          </cell>
          <cell r="H257">
            <v>6.5</v>
          </cell>
          <cell r="I257" t="str">
            <v>Cm</v>
          </cell>
        </row>
        <row r="258">
          <cell r="Q258" t="str">
            <v>PERKIRAAN</v>
          </cell>
          <cell r="R258" t="str">
            <v>HARGA</v>
          </cell>
          <cell r="S258" t="str">
            <v>JUMLAH</v>
          </cell>
        </row>
        <row r="259">
          <cell r="A259" t="str">
            <v>II.</v>
          </cell>
          <cell r="C259" t="str">
            <v>URUTAN KERJA</v>
          </cell>
          <cell r="L259" t="str">
            <v>NO.</v>
          </cell>
          <cell r="N259" t="str">
            <v>KOMPONEN</v>
          </cell>
          <cell r="P259" t="str">
            <v>SATUAN</v>
          </cell>
          <cell r="Q259" t="str">
            <v>KUANTITAS</v>
          </cell>
          <cell r="R259" t="str">
            <v>SATUAN</v>
          </cell>
          <cell r="S259" t="str">
            <v>HARGA</v>
          </cell>
        </row>
        <row r="260">
          <cell r="A260">
            <v>1</v>
          </cell>
          <cell r="C260" t="str">
            <v>Gorong-gorong dicetak di Base Camp</v>
          </cell>
          <cell r="R260" t="str">
            <v>(Rp.)</v>
          </cell>
          <cell r="S260" t="str">
            <v>(Rp.)</v>
          </cell>
        </row>
        <row r="261">
          <cell r="A261">
            <v>2</v>
          </cell>
          <cell r="C261" t="str">
            <v>Dump Truck mengangkut gorong-gorong jadi</v>
          </cell>
        </row>
        <row r="262">
          <cell r="C262" t="str">
            <v>ke lapangan</v>
          </cell>
        </row>
        <row r="263">
          <cell r="A263">
            <v>3</v>
          </cell>
          <cell r="C263" t="str">
            <v>Dasar gorong-gorong digali sesuai kebutuhan dan ma-</v>
          </cell>
          <cell r="L263" t="str">
            <v>A.</v>
          </cell>
          <cell r="N263" t="str">
            <v>TENAGA</v>
          </cell>
        </row>
        <row r="264">
          <cell r="C264" t="str">
            <v>terial backfill dipadatkan dengan Tamper</v>
          </cell>
        </row>
        <row r="265">
          <cell r="A265">
            <v>4</v>
          </cell>
          <cell r="C265" t="str">
            <v>Tebal lapis porus pada dasar gorong-gorong pipa</v>
          </cell>
          <cell r="G265" t="str">
            <v>tp</v>
          </cell>
          <cell r="H265">
            <v>0.1</v>
          </cell>
          <cell r="I265" t="str">
            <v>M</v>
          </cell>
          <cell r="J265" t="str">
            <v xml:space="preserve"> Sand bedding</v>
          </cell>
          <cell r="L265" t="str">
            <v>1.</v>
          </cell>
          <cell r="N265" t="str">
            <v>Pekerja</v>
          </cell>
          <cell r="O265" t="str">
            <v>(L01)</v>
          </cell>
          <cell r="P265" t="str">
            <v>jam</v>
          </cell>
          <cell r="Q265">
            <v>2.3333333333333335</v>
          </cell>
          <cell r="R265">
            <v>2857.14</v>
          </cell>
          <cell r="U265">
            <v>6666.66</v>
          </cell>
        </row>
        <row r="266">
          <cell r="A266">
            <v>5</v>
          </cell>
          <cell r="C266" t="str">
            <v>Material pilihan untuk penimbunan kembali (padat)</v>
          </cell>
          <cell r="L266" t="str">
            <v>2.</v>
          </cell>
          <cell r="N266" t="str">
            <v>Tukang</v>
          </cell>
          <cell r="O266" t="str">
            <v>(L02)</v>
          </cell>
          <cell r="P266" t="str">
            <v>jam</v>
          </cell>
          <cell r="Q266">
            <v>0.93333333333333335</v>
          </cell>
          <cell r="R266">
            <v>4285.71</v>
          </cell>
          <cell r="U266">
            <v>3999.9960000000001</v>
          </cell>
        </row>
        <row r="267">
          <cell r="A267">
            <v>6</v>
          </cell>
          <cell r="C267" t="str">
            <v>Sekelompok pekerja akan melaksanakan pekerjaan</v>
          </cell>
          <cell r="L267" t="str">
            <v>3.</v>
          </cell>
          <cell r="N267" t="str">
            <v>Mandor</v>
          </cell>
          <cell r="O267" t="str">
            <v>(L03)</v>
          </cell>
          <cell r="P267" t="str">
            <v>jam</v>
          </cell>
          <cell r="Q267">
            <v>0.46666666666666667</v>
          </cell>
          <cell r="R267">
            <v>3214.29</v>
          </cell>
          <cell r="U267">
            <v>1500.002</v>
          </cell>
        </row>
        <row r="268">
          <cell r="C268" t="str">
            <v>dengan cara manual dengan menggunakan alat bantu</v>
          </cell>
        </row>
        <row r="269">
          <cell r="Q269" t="str">
            <v xml:space="preserve">JUMLAH HARGA TENAGA   </v>
          </cell>
          <cell r="U269">
            <v>12166.657999999999</v>
          </cell>
        </row>
        <row r="271">
          <cell r="A271" t="str">
            <v>III.</v>
          </cell>
          <cell r="C271" t="str">
            <v>PEMAKAIAN BAHAN, ALAT DAN TENAGA</v>
          </cell>
          <cell r="L271" t="str">
            <v>B.</v>
          </cell>
          <cell r="N271" t="str">
            <v>BAHAN</v>
          </cell>
        </row>
        <row r="272">
          <cell r="A272" t="str">
            <v xml:space="preserve">   1.</v>
          </cell>
          <cell r="C272" t="str">
            <v>BAHAN</v>
          </cell>
        </row>
        <row r="273">
          <cell r="C273" t="str">
            <v>Untuk mendapatkan 1 M' gorong-gorong diperlukan</v>
          </cell>
          <cell r="L273" t="str">
            <v>1.</v>
          </cell>
          <cell r="N273" t="str">
            <v>Beton K-300</v>
          </cell>
          <cell r="O273" t="str">
            <v>(EI-714)</v>
          </cell>
          <cell r="P273" t="str">
            <v>M3</v>
          </cell>
          <cell r="Q273">
            <v>0.11537499020308517</v>
          </cell>
          <cell r="R273">
            <v>652902.54982502444</v>
          </cell>
          <cell r="U273">
            <v>75328.625289631527</v>
          </cell>
        </row>
        <row r="274">
          <cell r="C274" t="str">
            <v>- Beton K-300 = (22/7*((2*tg/100+d)/2)^2)-(22/7*(d/2)^2))*1</v>
          </cell>
          <cell r="G274" t="str">
            <v>(EI-714)</v>
          </cell>
          <cell r="H274">
            <v>0.11537499020308517</v>
          </cell>
          <cell r="I274" t="str">
            <v>M3</v>
          </cell>
          <cell r="L274" t="str">
            <v>2.</v>
          </cell>
          <cell r="N274" t="str">
            <v>Baja Tulangan</v>
          </cell>
          <cell r="O274" t="str">
            <v>(M39)</v>
          </cell>
          <cell r="P274" t="str">
            <v>Kg</v>
          </cell>
          <cell r="Q274">
            <v>12.691248922339369</v>
          </cell>
          <cell r="R274">
            <v>4000</v>
          </cell>
          <cell r="U274">
            <v>50764.995689357478</v>
          </cell>
        </row>
        <row r="275">
          <cell r="C275" t="str">
            <v>- Baja Tulangan (asumsi 100kg/m3)</v>
          </cell>
          <cell r="G275" t="str">
            <v>(M39)</v>
          </cell>
          <cell r="H275">
            <v>12.691248922339369</v>
          </cell>
          <cell r="I275" t="str">
            <v>Kg</v>
          </cell>
          <cell r="L275" t="str">
            <v>3.</v>
          </cell>
          <cell r="N275" t="str">
            <v>Urugan Porus</v>
          </cell>
          <cell r="O275" t="str">
            <v>(EI-241)</v>
          </cell>
          <cell r="P275" t="str">
            <v>M3</v>
          </cell>
          <cell r="Q275">
            <v>0.12915000000000001</v>
          </cell>
          <cell r="R275">
            <v>186901.40625406182</v>
          </cell>
          <cell r="U275">
            <v>24138.316617712087</v>
          </cell>
        </row>
        <row r="276">
          <cell r="C276" t="str">
            <v>- Timbunan Porus      = {(tp*(0.3+2*tg/100+d+0.3)*1)*1.05}</v>
          </cell>
          <cell r="G276" t="str">
            <v>(EI-241)</v>
          </cell>
          <cell r="H276">
            <v>0.12915000000000001</v>
          </cell>
          <cell r="I276" t="str">
            <v>M3</v>
          </cell>
          <cell r="L276" t="str">
            <v>4.</v>
          </cell>
          <cell r="N276" t="str">
            <v>Mat. Pilihan</v>
          </cell>
          <cell r="O276" t="str">
            <v>(M09)</v>
          </cell>
          <cell r="P276" t="str">
            <v>M3</v>
          </cell>
          <cell r="Q276">
            <v>0.87365249999999994</v>
          </cell>
          <cell r="R276">
            <v>25000</v>
          </cell>
          <cell r="U276">
            <v>21841.3125</v>
          </cell>
        </row>
        <row r="277">
          <cell r="C277" t="str">
            <v>- Material Pilihan</v>
          </cell>
          <cell r="D277" t="str">
            <v>= ((2*tg/100+d+0.3)*(0.3+2*tg/100+d+0.3)</v>
          </cell>
          <cell r="G277" t="str">
            <v>(M09)</v>
          </cell>
          <cell r="H277">
            <v>0.87365249999999994</v>
          </cell>
          <cell r="I277" t="str">
            <v>M3</v>
          </cell>
          <cell r="J277" t="str">
            <v xml:space="preserve"> = Vp</v>
          </cell>
        </row>
        <row r="278">
          <cell r="D278" t="str">
            <v xml:space="preserve">   -(22/7*(0.5*(2*tg/100+d))^2))*1*1.05</v>
          </cell>
        </row>
        <row r="279">
          <cell r="A279" t="str">
            <v xml:space="preserve">   2.</v>
          </cell>
          <cell r="C279" t="str">
            <v>ALAT</v>
          </cell>
          <cell r="Q279" t="str">
            <v xml:space="preserve">JUMLAH HARGA BAHAN   </v>
          </cell>
          <cell r="U279">
            <v>172073.25009670109</v>
          </cell>
        </row>
        <row r="280">
          <cell r="A280" t="str">
            <v>2.a.</v>
          </cell>
          <cell r="C280" t="str">
            <v>TAMPER</v>
          </cell>
          <cell r="G280" t="str">
            <v>(E25)</v>
          </cell>
        </row>
        <row r="281">
          <cell r="C281" t="str">
            <v>Kecepatan</v>
          </cell>
          <cell r="G281" t="str">
            <v>v</v>
          </cell>
          <cell r="H281">
            <v>0.5</v>
          </cell>
          <cell r="I281" t="str">
            <v>Km / Jam</v>
          </cell>
          <cell r="L281" t="str">
            <v>C.</v>
          </cell>
          <cell r="N281" t="str">
            <v>PERALATAN</v>
          </cell>
        </row>
        <row r="282">
          <cell r="C282" t="str">
            <v>Efisiensi alat</v>
          </cell>
          <cell r="G282" t="str">
            <v>Fa</v>
          </cell>
          <cell r="H282">
            <v>0.83</v>
          </cell>
          <cell r="I282" t="str">
            <v>-</v>
          </cell>
        </row>
        <row r="283">
          <cell r="C283" t="str">
            <v>Lebar pemadatan</v>
          </cell>
          <cell r="G283" t="str">
            <v>Lb</v>
          </cell>
          <cell r="H283">
            <v>0.4</v>
          </cell>
          <cell r="I283" t="str">
            <v>M</v>
          </cell>
          <cell r="L283" t="str">
            <v>1.</v>
          </cell>
          <cell r="N283" t="str">
            <v>Tamper</v>
          </cell>
          <cell r="O283" t="str">
            <v>(E25)</v>
          </cell>
          <cell r="P283" t="str">
            <v>jam</v>
          </cell>
          <cell r="Q283">
            <v>0.26314834337349391</v>
          </cell>
          <cell r="R283">
            <v>18672.16854694486</v>
          </cell>
          <cell r="U283">
            <v>4913.5502203191991</v>
          </cell>
        </row>
        <row r="284">
          <cell r="C284" t="str">
            <v>Banyak lintasan</v>
          </cell>
          <cell r="G284" t="str">
            <v>n</v>
          </cell>
          <cell r="H284">
            <v>10</v>
          </cell>
          <cell r="I284" t="str">
            <v>lintasan</v>
          </cell>
          <cell r="L284" t="str">
            <v>2.</v>
          </cell>
          <cell r="N284" t="str">
            <v>Dump Truck</v>
          </cell>
          <cell r="O284" t="str">
            <v>(E08)</v>
          </cell>
          <cell r="P284" t="str">
            <v>jam</v>
          </cell>
          <cell r="Q284">
            <v>5.9738955823293166E-2</v>
          </cell>
          <cell r="R284">
            <v>153645.58193291764</v>
          </cell>
          <cell r="U284">
            <v>9178.6266315347384</v>
          </cell>
        </row>
        <row r="285">
          <cell r="C285" t="str">
            <v>Tebal lapis hamparan</v>
          </cell>
          <cell r="G285" t="str">
            <v>tp</v>
          </cell>
          <cell r="H285">
            <v>0.2</v>
          </cell>
          <cell r="I285" t="str">
            <v>M</v>
          </cell>
          <cell r="L285" t="str">
            <v>3.</v>
          </cell>
          <cell r="N285" t="str">
            <v>Alat  Bantu</v>
          </cell>
          <cell r="P285" t="str">
            <v>Ls</v>
          </cell>
          <cell r="Q285">
            <v>1</v>
          </cell>
          <cell r="R285">
            <v>500</v>
          </cell>
          <cell r="U285">
            <v>500</v>
          </cell>
        </row>
        <row r="288">
          <cell r="C288" t="str">
            <v>Kap. Prod. / Jam   =</v>
          </cell>
          <cell r="D288" t="str">
            <v>v x 1000 x Fa x Lb x 60</v>
          </cell>
          <cell r="G288" t="str">
            <v>Q1</v>
          </cell>
          <cell r="H288">
            <v>3.3200000000000003</v>
          </cell>
          <cell r="I288" t="str">
            <v xml:space="preserve">M3 / Jam </v>
          </cell>
        </row>
        <row r="289">
          <cell r="D289" t="str">
            <v xml:space="preserve">    n x tp</v>
          </cell>
        </row>
        <row r="291">
          <cell r="C291" t="str">
            <v>Koefisien Alat / m'</v>
          </cell>
          <cell r="D291" t="str">
            <v xml:space="preserve"> =  1  :  Q1 x Vp</v>
          </cell>
          <cell r="G291" t="str">
            <v>(E25)</v>
          </cell>
          <cell r="H291">
            <v>0.26314834337349391</v>
          </cell>
          <cell r="I291" t="str">
            <v>jam</v>
          </cell>
          <cell r="Q291" t="str">
            <v xml:space="preserve">JUMLAH HARGA PERALATAN   </v>
          </cell>
          <cell r="U291">
            <v>14592.176851853937</v>
          </cell>
        </row>
        <row r="293">
          <cell r="A293" t="str">
            <v>2.b.</v>
          </cell>
          <cell r="C293" t="str">
            <v>DUMP TRUCK</v>
          </cell>
          <cell r="G293" t="str">
            <v>(E08)</v>
          </cell>
          <cell r="L293" t="str">
            <v>D.</v>
          </cell>
          <cell r="N293" t="str">
            <v>JUMLAH HARGA TENAGA, BAHAN DAN PERALATAN  ( A + B + C )</v>
          </cell>
          <cell r="U293">
            <v>198832.08494855501</v>
          </cell>
        </row>
        <row r="294">
          <cell r="C294" t="str">
            <v>Kapasitas bak sekali muat</v>
          </cell>
          <cell r="G294" t="str">
            <v>V</v>
          </cell>
          <cell r="H294">
            <v>15</v>
          </cell>
          <cell r="I294" t="str">
            <v>Buah/M'</v>
          </cell>
          <cell r="L294" t="str">
            <v>E.</v>
          </cell>
          <cell r="N294" t="str">
            <v>OVERHEAD &amp; PROFIT</v>
          </cell>
          <cell r="P294">
            <v>10</v>
          </cell>
          <cell r="Q294" t="str">
            <v>%  x  D</v>
          </cell>
          <cell r="U294">
            <v>19883.208494855502</v>
          </cell>
        </row>
        <row r="295">
          <cell r="C295" t="str">
            <v>Faktor efisiensi alat</v>
          </cell>
          <cell r="G295" t="str">
            <v>Fa</v>
          </cell>
          <cell r="H295">
            <v>0.83</v>
          </cell>
          <cell r="L295" t="str">
            <v>F.</v>
          </cell>
          <cell r="N295" t="str">
            <v>HARGA SATUAN PEKERJAAN  ( D + E )</v>
          </cell>
          <cell r="U295">
            <v>218715.29344341051</v>
          </cell>
        </row>
        <row r="296">
          <cell r="C296" t="str">
            <v>Kecepatanrata-rata bermuatan</v>
          </cell>
          <cell r="G296" t="str">
            <v>v1</v>
          </cell>
          <cell r="H296">
            <v>20</v>
          </cell>
          <cell r="I296" t="str">
            <v>Km/Jam</v>
          </cell>
          <cell r="L296" t="str">
            <v>Note: 1</v>
          </cell>
          <cell r="N296" t="str">
            <v>SATUAN dapat berdasarkan atas jam operasi untuk Tenaga Kerja dan Peralatan, volume dan/atau ukuran</v>
          </cell>
        </row>
        <row r="297">
          <cell r="C297" t="str">
            <v>Kecepatan rata-rata kosong</v>
          </cell>
          <cell r="G297" t="str">
            <v>v2</v>
          </cell>
          <cell r="H297">
            <v>30</v>
          </cell>
          <cell r="I297" t="str">
            <v>Km/Jam</v>
          </cell>
          <cell r="N297" t="str">
            <v>berat untuk bahan-bahan.</v>
          </cell>
        </row>
        <row r="298">
          <cell r="C298" t="str">
            <v>Waktu siklus    :</v>
          </cell>
          <cell r="G298" t="str">
            <v>Ts1</v>
          </cell>
          <cell r="L298">
            <v>2</v>
          </cell>
          <cell r="N298" t="str">
            <v>Kuantitas satuan adalah kuantitas setiap komponen untuk menyelesaikan satu satuan pekerjaan dari nomor</v>
          </cell>
        </row>
        <row r="299">
          <cell r="C299" t="str">
            <v>- Waktu  tempuh in  si  = (L : v1 ) x 60</v>
          </cell>
          <cell r="G299" t="str">
            <v>T1</v>
          </cell>
          <cell r="H299">
            <v>26.174999999999997</v>
          </cell>
          <cell r="I299" t="str">
            <v>menit</v>
          </cell>
          <cell r="N299" t="str">
            <v>mata pembayaran.</v>
          </cell>
        </row>
        <row r="300">
          <cell r="C300" t="str">
            <v>-  Waktutempuh kosong  = (L : v2)  x  60</v>
          </cell>
          <cell r="G300" t="str">
            <v>T2</v>
          </cell>
          <cell r="H300">
            <v>17.45</v>
          </cell>
          <cell r="I300" t="str">
            <v>menit</v>
          </cell>
          <cell r="L300">
            <v>3</v>
          </cell>
          <cell r="N300" t="str">
            <v>Biaya satuan untuk peralatan sudah termasuk bahan bakar, bahan habis dipakai dan operator.</v>
          </cell>
        </row>
        <row r="301">
          <cell r="C301" t="str">
            <v>-  Muat, bongkar dan lain-lain</v>
          </cell>
          <cell r="G301" t="str">
            <v>T3</v>
          </cell>
          <cell r="H301">
            <v>1</v>
          </cell>
          <cell r="I301" t="str">
            <v>menit</v>
          </cell>
          <cell r="L301">
            <v>4</v>
          </cell>
          <cell r="N301" t="str">
            <v>Biaya satuan sudah termasuk pengeluaran untuk seluruh pajak yang berkaitan (tetapi tidak termasuk PPN</v>
          </cell>
        </row>
        <row r="302">
          <cell r="G302" t="str">
            <v>Ts1</v>
          </cell>
          <cell r="H302">
            <v>44.625</v>
          </cell>
          <cell r="I302" t="str">
            <v>menit</v>
          </cell>
          <cell r="N302" t="str">
            <v>yang dibayar dari kontrak) dan biaya-biaya lainnya.</v>
          </cell>
        </row>
        <row r="303">
          <cell r="J303" t="str">
            <v>Berlanjut ke halaman berikut</v>
          </cell>
        </row>
        <row r="304">
          <cell r="A304" t="str">
            <v>ITEM PEMBAYARAN NO.</v>
          </cell>
          <cell r="D304" t="str">
            <v>:  2.3 (1)</v>
          </cell>
          <cell r="J304" t="str">
            <v xml:space="preserve">Analisa EI-231 </v>
          </cell>
        </row>
        <row r="305">
          <cell r="A305" t="str">
            <v>JENIS PEKERJAAN</v>
          </cell>
          <cell r="D305" t="str">
            <v>:  Gorong2 Pipa Beton Bertulang Diameter &lt; 500 mm</v>
          </cell>
        </row>
        <row r="306">
          <cell r="A306" t="str">
            <v>SATUAN PEMBAYARAN</v>
          </cell>
          <cell r="D306" t="str">
            <v>:  M1</v>
          </cell>
          <cell r="J306" t="str">
            <v xml:space="preserve">         URAIAN ANALISA HARGA SATUAN</v>
          </cell>
        </row>
        <row r="307">
          <cell r="J307" t="str">
            <v>Lanjutan</v>
          </cell>
        </row>
        <row r="309">
          <cell r="A309" t="str">
            <v>No.</v>
          </cell>
          <cell r="C309" t="str">
            <v>U R A I A N</v>
          </cell>
          <cell r="G309" t="str">
            <v>KODE</v>
          </cell>
          <cell r="H309" t="str">
            <v>KOEF.</v>
          </cell>
          <cell r="I309" t="str">
            <v>SATUAN</v>
          </cell>
          <cell r="J309" t="str">
            <v>KETERANGAN</v>
          </cell>
        </row>
        <row r="312">
          <cell r="C312" t="str">
            <v>Kapasitas Produksi / Jam   =</v>
          </cell>
          <cell r="E312" t="str">
            <v>V x Fa x 60</v>
          </cell>
          <cell r="G312" t="str">
            <v>Q2</v>
          </cell>
          <cell r="H312">
            <v>16.739495798319329</v>
          </cell>
          <cell r="I312" t="str">
            <v xml:space="preserve">M' / Jam </v>
          </cell>
        </row>
        <row r="313">
          <cell r="E313" t="str">
            <v>Ts1</v>
          </cell>
        </row>
        <row r="315">
          <cell r="C315" t="str">
            <v>Koefisien Alat / m'</v>
          </cell>
          <cell r="D315" t="str">
            <v xml:space="preserve"> =  1  :  Q2</v>
          </cell>
          <cell r="G315" t="str">
            <v>(E08)</v>
          </cell>
          <cell r="H315">
            <v>5.9738955823293166E-2</v>
          </cell>
          <cell r="I315" t="str">
            <v>jam</v>
          </cell>
        </row>
        <row r="318">
          <cell r="A318" t="str">
            <v>2.c.</v>
          </cell>
          <cell r="C318" t="str">
            <v>ALAT  BANTU</v>
          </cell>
        </row>
        <row r="319">
          <cell r="C319" t="str">
            <v>Diperlukan alat-alat bantu kecil</v>
          </cell>
          <cell r="J319" t="str">
            <v>Lump Sump</v>
          </cell>
        </row>
        <row r="320">
          <cell r="C320" t="str">
            <v>- Sekop    =         3   buah</v>
          </cell>
        </row>
        <row r="321">
          <cell r="C321" t="str">
            <v>- Pacul     =         3   buah</v>
          </cell>
        </row>
        <row r="322">
          <cell r="C322" t="str">
            <v>- Alat-alat kecil lain</v>
          </cell>
        </row>
        <row r="324">
          <cell r="A324" t="str">
            <v xml:space="preserve">   3.</v>
          </cell>
          <cell r="C324" t="str">
            <v>TENAGA</v>
          </cell>
        </row>
        <row r="325">
          <cell r="C325" t="str">
            <v>Produksi Gorong-gorong / hari</v>
          </cell>
          <cell r="G325" t="str">
            <v>Qt</v>
          </cell>
          <cell r="H325">
            <v>15</v>
          </cell>
          <cell r="I325" t="str">
            <v>M'</v>
          </cell>
        </row>
        <row r="326">
          <cell r="C326" t="str">
            <v>Kebutuhan tenaga :</v>
          </cell>
        </row>
        <row r="327">
          <cell r="D327" t="str">
            <v>- Pekerja</v>
          </cell>
          <cell r="G327" t="str">
            <v>P</v>
          </cell>
          <cell r="H327">
            <v>5</v>
          </cell>
          <cell r="I327" t="str">
            <v>orang</v>
          </cell>
        </row>
        <row r="328">
          <cell r="D328" t="str">
            <v>- Tukang</v>
          </cell>
          <cell r="G328" t="str">
            <v>T</v>
          </cell>
          <cell r="H328">
            <v>2</v>
          </cell>
          <cell r="I328" t="str">
            <v>orang</v>
          </cell>
        </row>
        <row r="329">
          <cell r="D329" t="str">
            <v>- Mandor</v>
          </cell>
          <cell r="G329" t="str">
            <v>M</v>
          </cell>
          <cell r="H329">
            <v>1</v>
          </cell>
          <cell r="I329" t="str">
            <v>orang</v>
          </cell>
        </row>
        <row r="331">
          <cell r="C331" t="str">
            <v>Koefisien tenaga / M1   :</v>
          </cell>
        </row>
        <row r="332">
          <cell r="D332" t="str">
            <v>- Pekerja</v>
          </cell>
          <cell r="E332" t="str">
            <v>= (Tk x P) : Qt</v>
          </cell>
          <cell r="G332" t="str">
            <v>(L01)</v>
          </cell>
          <cell r="H332">
            <v>2.3333333333333335</v>
          </cell>
          <cell r="I332" t="str">
            <v>Jam</v>
          </cell>
        </row>
        <row r="333">
          <cell r="D333" t="str">
            <v>- Tukang</v>
          </cell>
          <cell r="E333" t="str">
            <v>= (Tk x T) : Qt</v>
          </cell>
          <cell r="G333" t="str">
            <v>(L02)</v>
          </cell>
          <cell r="H333">
            <v>0.93333333333333335</v>
          </cell>
          <cell r="I333" t="str">
            <v>Jam</v>
          </cell>
        </row>
        <row r="334">
          <cell r="D334" t="str">
            <v>- Mandor</v>
          </cell>
          <cell r="E334" t="str">
            <v>= (Tk x M) : Qt</v>
          </cell>
          <cell r="G334" t="str">
            <v>(L03)</v>
          </cell>
          <cell r="H334">
            <v>0.46666666666666667</v>
          </cell>
          <cell r="I334" t="str">
            <v>Jam</v>
          </cell>
        </row>
        <row r="336">
          <cell r="A336" t="str">
            <v>4.</v>
          </cell>
          <cell r="C336" t="str">
            <v>HARGA DASAR SATUAN UPAH, BAHAN DAN ALAT</v>
          </cell>
        </row>
        <row r="337">
          <cell r="C337" t="str">
            <v>Lihat lampiran.</v>
          </cell>
        </row>
        <row r="340">
          <cell r="A340" t="str">
            <v>5.</v>
          </cell>
          <cell r="C340" t="str">
            <v>ANALISA HARGA SATUAN PEKERJAAN</v>
          </cell>
        </row>
        <row r="341">
          <cell r="C341" t="str">
            <v>Lihat perhitungan dalam FORMULIR STANDAR UNTUK</v>
          </cell>
        </row>
        <row r="342">
          <cell r="C342" t="str">
            <v>PEREKEMAN ANALISA MASING-MASING HARGA</v>
          </cell>
        </row>
        <row r="343">
          <cell r="C343" t="str">
            <v>SATUAN.</v>
          </cell>
        </row>
        <row r="344">
          <cell r="C344" t="str">
            <v>Didapat Harga Satuan Pekerjaan :</v>
          </cell>
        </row>
        <row r="346">
          <cell r="C346" t="str">
            <v xml:space="preserve">Rp.  </v>
          </cell>
          <cell r="D346">
            <v>218715.29344341051</v>
          </cell>
          <cell r="E346" t="str">
            <v xml:space="preserve"> / M'</v>
          </cell>
        </row>
        <row r="349">
          <cell r="A349" t="str">
            <v>6.</v>
          </cell>
          <cell r="C349" t="str">
            <v>WAKTU PELAKSANAAN YANG DIPERLUKAN</v>
          </cell>
        </row>
        <row r="350">
          <cell r="C350" t="str">
            <v>Masa Pelaksanaan :</v>
          </cell>
          <cell r="D350" t="str">
            <v>. . . . . . . . . . . .</v>
          </cell>
          <cell r="E350" t="str">
            <v>bulan</v>
          </cell>
        </row>
        <row r="352">
          <cell r="A352" t="str">
            <v>7.</v>
          </cell>
          <cell r="C352" t="str">
            <v>VOLUME PEKERJAAN YANG DIPERLUKAN</v>
          </cell>
        </row>
        <row r="353">
          <cell r="C353" t="str">
            <v>Volume pekerjaan  :</v>
          </cell>
          <cell r="D353">
            <v>1</v>
          </cell>
          <cell r="E353" t="str">
            <v>M'</v>
          </cell>
        </row>
        <row r="363">
          <cell r="A363" t="str">
            <v>ITEM PEMBAYARAN NO.</v>
          </cell>
          <cell r="D363" t="str">
            <v>:  2.3 (2)</v>
          </cell>
          <cell r="J363" t="str">
            <v xml:space="preserve">Analisa EI-232 </v>
          </cell>
        </row>
        <row r="364">
          <cell r="A364" t="str">
            <v>JENIS PEKERJAAN</v>
          </cell>
          <cell r="D364" t="str">
            <v>:  Gorong2 Pipa Beton Bertulang 500 mm &lt; diameter dalam 700 mm</v>
          </cell>
          <cell r="L364" t="str">
            <v>FORMULIR STANDAR UNTUK</v>
          </cell>
        </row>
        <row r="365">
          <cell r="A365" t="str">
            <v>SATUAN PEMBAYARAN</v>
          </cell>
          <cell r="D365" t="str">
            <v>:  M1</v>
          </cell>
          <cell r="J365" t="str">
            <v xml:space="preserve">         URAIAN ANALISA HARGA SATUAN</v>
          </cell>
          <cell r="L365" t="str">
            <v>PEREKAMAN ANALISA MASING-MASING HARGA SATUAN</v>
          </cell>
        </row>
        <row r="366">
          <cell r="L366" t="str">
            <v/>
          </cell>
        </row>
        <row r="368">
          <cell r="A368" t="str">
            <v>No.</v>
          </cell>
          <cell r="C368" t="str">
            <v>U R A I A N</v>
          </cell>
          <cell r="G368" t="str">
            <v>KODE</v>
          </cell>
          <cell r="H368" t="str">
            <v>KOEF.</v>
          </cell>
          <cell r="I368" t="str">
            <v>SATUAN</v>
          </cell>
          <cell r="J368" t="str">
            <v>KETERANGAN</v>
          </cell>
        </row>
        <row r="369">
          <cell r="L369" t="str">
            <v>PROYEK</v>
          </cell>
          <cell r="O369" t="str">
            <v>:</v>
          </cell>
        </row>
        <row r="370">
          <cell r="L370" t="str">
            <v>No. PAKET KONTRAK</v>
          </cell>
          <cell r="O370" t="str">
            <v>:</v>
          </cell>
        </row>
        <row r="371">
          <cell r="A371" t="str">
            <v>I.</v>
          </cell>
          <cell r="C371" t="str">
            <v>ASUMSI</v>
          </cell>
          <cell r="L371" t="str">
            <v>NAMA PAKET</v>
          </cell>
          <cell r="O371" t="str">
            <v>:</v>
          </cell>
        </row>
        <row r="372">
          <cell r="A372">
            <v>1</v>
          </cell>
          <cell r="C372" t="str">
            <v>Pekerjaan dilakukan secara mekanik/manual</v>
          </cell>
          <cell r="L372" t="str">
            <v>PROP / KAB / KODYA</v>
          </cell>
          <cell r="O372" t="str">
            <v>:</v>
          </cell>
        </row>
        <row r="373">
          <cell r="A373">
            <v>2</v>
          </cell>
          <cell r="C373" t="str">
            <v>Lokasi pekerjaan : sepanjang jalan</v>
          </cell>
          <cell r="L373" t="str">
            <v>ITEM PEMBAYARAN NO.</v>
          </cell>
          <cell r="O373" t="str">
            <v>:  2.3 (2)</v>
          </cell>
          <cell r="R373" t="str">
            <v>PERKIRAAN VOL. PEK.</v>
          </cell>
          <cell r="T373" t="str">
            <v>:</v>
          </cell>
          <cell r="U373">
            <v>1</v>
          </cell>
        </row>
        <row r="374">
          <cell r="A374">
            <v>3</v>
          </cell>
          <cell r="C374" t="str">
            <v>Diameter bagian dalam gorong-gorong</v>
          </cell>
          <cell r="G374" t="str">
            <v>d</v>
          </cell>
          <cell r="H374">
            <v>0.6</v>
          </cell>
          <cell r="I374" t="str">
            <v>m</v>
          </cell>
          <cell r="L374" t="str">
            <v>JENIS PEKERJAAN</v>
          </cell>
          <cell r="O374" t="str">
            <v>:  Gorong2 Pipa Beton Bertulang 500 mm &lt; diameter dalam 700 mm</v>
          </cell>
          <cell r="R374" t="str">
            <v>TOTAL HARGA (Rp.)</v>
          </cell>
          <cell r="T374" t="str">
            <v>:</v>
          </cell>
          <cell r="U374">
            <v>282846.80804673955</v>
          </cell>
        </row>
        <row r="375">
          <cell r="A375">
            <v>4</v>
          </cell>
          <cell r="C375" t="str">
            <v>Jarak rata-rata Base Camp ke lokasi pekerjaan</v>
          </cell>
          <cell r="G375" t="str">
            <v>L</v>
          </cell>
          <cell r="H375">
            <v>8.7249999999999996</v>
          </cell>
          <cell r="I375" t="str">
            <v>Km</v>
          </cell>
          <cell r="L375" t="str">
            <v>SATUAN PEMBAYARAN</v>
          </cell>
          <cell r="O375" t="str">
            <v>:  M1</v>
          </cell>
          <cell r="Q375">
            <v>0</v>
          </cell>
          <cell r="R375" t="str">
            <v>% THD. BIAYA PROYEK</v>
          </cell>
          <cell r="T375" t="str">
            <v>:</v>
          </cell>
          <cell r="U375" t="e">
            <v>#DIV/0!</v>
          </cell>
        </row>
        <row r="376">
          <cell r="A376">
            <v>5</v>
          </cell>
          <cell r="C376" t="str">
            <v>Jam kerja efektif per-hari</v>
          </cell>
          <cell r="G376" t="str">
            <v>Tk</v>
          </cell>
          <cell r="H376">
            <v>7</v>
          </cell>
          <cell r="I376" t="str">
            <v>jam</v>
          </cell>
        </row>
        <row r="377">
          <cell r="A377">
            <v>6</v>
          </cell>
          <cell r="C377" t="str">
            <v>Tebal gorong-gorong</v>
          </cell>
          <cell r="G377" t="str">
            <v>tg</v>
          </cell>
          <cell r="H377">
            <v>6.5</v>
          </cell>
          <cell r="I377" t="str">
            <v>Cm</v>
          </cell>
        </row>
        <row r="378">
          <cell r="Q378" t="str">
            <v>PERKIRAAN</v>
          </cell>
          <cell r="R378" t="str">
            <v>HARGA</v>
          </cell>
          <cell r="S378" t="str">
            <v>JUMLAH</v>
          </cell>
        </row>
        <row r="379">
          <cell r="A379" t="str">
            <v>II.</v>
          </cell>
          <cell r="C379" t="str">
            <v>URUTAN KERJA</v>
          </cell>
          <cell r="L379" t="str">
            <v>NO.</v>
          </cell>
          <cell r="N379" t="str">
            <v>KOMPONEN</v>
          </cell>
          <cell r="P379" t="str">
            <v>SATUAN</v>
          </cell>
          <cell r="Q379" t="str">
            <v>KUANTITAS</v>
          </cell>
          <cell r="R379" t="str">
            <v>SATUAN</v>
          </cell>
          <cell r="S379" t="str">
            <v>HARGA</v>
          </cell>
        </row>
        <row r="380">
          <cell r="A380">
            <v>1</v>
          </cell>
          <cell r="C380" t="str">
            <v>Gorong-gorong dicetak di Base Camp</v>
          </cell>
          <cell r="R380" t="str">
            <v>(Rp.)</v>
          </cell>
          <cell r="S380" t="str">
            <v>(Rp.)</v>
          </cell>
        </row>
        <row r="381">
          <cell r="A381">
            <v>2</v>
          </cell>
          <cell r="C381" t="str">
            <v>Dump Truck mengangkut gorong-gorong jadi</v>
          </cell>
        </row>
        <row r="382">
          <cell r="C382" t="str">
            <v>ke lapangan</v>
          </cell>
        </row>
        <row r="383">
          <cell r="A383">
            <v>3</v>
          </cell>
          <cell r="C383" t="str">
            <v>Dasar gorong-gorong digali sesuai kebutuhan dan ma-</v>
          </cell>
          <cell r="L383" t="str">
            <v>A.</v>
          </cell>
          <cell r="N383" t="str">
            <v>TENAGA</v>
          </cell>
        </row>
        <row r="384">
          <cell r="C384" t="str">
            <v>terial backfill dipadatkan dengan Tamper</v>
          </cell>
        </row>
        <row r="385">
          <cell r="A385">
            <v>4</v>
          </cell>
          <cell r="C385" t="str">
            <v>Tebal lapis porus pada dasar gorong-gorong pipa</v>
          </cell>
          <cell r="G385" t="str">
            <v>tp</v>
          </cell>
          <cell r="H385">
            <v>0.1</v>
          </cell>
          <cell r="I385" t="str">
            <v>M</v>
          </cell>
          <cell r="J385" t="str">
            <v xml:space="preserve"> Sand bedding</v>
          </cell>
          <cell r="L385" t="str">
            <v>1.</v>
          </cell>
          <cell r="N385" t="str">
            <v>Pekerja</v>
          </cell>
          <cell r="O385" t="str">
            <v>(L01)</v>
          </cell>
          <cell r="P385" t="str">
            <v>jam</v>
          </cell>
          <cell r="Q385">
            <v>4.9000000000000004</v>
          </cell>
          <cell r="R385">
            <v>2857.14</v>
          </cell>
          <cell r="U385">
            <v>13999.986000000001</v>
          </cell>
        </row>
        <row r="386">
          <cell r="A386">
            <v>5</v>
          </cell>
          <cell r="C386" t="str">
            <v>Material pilihan untuk penimbunan kembali (padat)</v>
          </cell>
          <cell r="L386" t="str">
            <v>2.</v>
          </cell>
          <cell r="N386" t="str">
            <v>Tukang</v>
          </cell>
          <cell r="O386" t="str">
            <v>(L02)</v>
          </cell>
          <cell r="P386" t="str">
            <v>jam</v>
          </cell>
          <cell r="Q386">
            <v>1.4</v>
          </cell>
          <cell r="R386">
            <v>4285.71</v>
          </cell>
          <cell r="U386">
            <v>5999.9939999999997</v>
          </cell>
        </row>
        <row r="387">
          <cell r="A387">
            <v>6</v>
          </cell>
          <cell r="C387" t="str">
            <v>Sekelompok pekerja akan melaksanakan pekerjaan</v>
          </cell>
          <cell r="L387" t="str">
            <v>3.</v>
          </cell>
          <cell r="N387" t="str">
            <v>Mandor</v>
          </cell>
          <cell r="O387" t="str">
            <v>(L03)</v>
          </cell>
          <cell r="P387" t="str">
            <v>jam</v>
          </cell>
          <cell r="Q387">
            <v>0.7</v>
          </cell>
          <cell r="R387">
            <v>3214.29</v>
          </cell>
          <cell r="U387">
            <v>2250.0029999999997</v>
          </cell>
        </row>
        <row r="388">
          <cell r="C388" t="str">
            <v>dengan cara manual dengan menggunakan alat bantu</v>
          </cell>
        </row>
        <row r="389">
          <cell r="Q389" t="str">
            <v xml:space="preserve">JUMLAH HARGA TENAGA   </v>
          </cell>
          <cell r="U389">
            <v>22249.983</v>
          </cell>
        </row>
        <row r="391">
          <cell r="A391" t="str">
            <v>III.</v>
          </cell>
          <cell r="C391" t="str">
            <v>PEMAKAIAN BAHAN, ALAT DAN TENAGA</v>
          </cell>
          <cell r="L391" t="str">
            <v>B.</v>
          </cell>
          <cell r="N391" t="str">
            <v>BAHAN</v>
          </cell>
        </row>
        <row r="392">
          <cell r="A392" t="str">
            <v xml:space="preserve">   1.</v>
          </cell>
          <cell r="C392" t="str">
            <v>BAHAN</v>
          </cell>
        </row>
        <row r="393">
          <cell r="C393" t="str">
            <v>Untuk mendapatkan 1 M' gorong-gorong diperlukan</v>
          </cell>
          <cell r="L393" t="str">
            <v>1.</v>
          </cell>
          <cell r="N393" t="str">
            <v>Beton K-300</v>
          </cell>
          <cell r="O393" t="str">
            <v>(EI-714)</v>
          </cell>
          <cell r="P393" t="str">
            <v>M3</v>
          </cell>
          <cell r="Q393">
            <v>0.13579534245141872</v>
          </cell>
          <cell r="R393">
            <v>652902.54982502444</v>
          </cell>
          <cell r="U393">
            <v>88661.125340893675</v>
          </cell>
        </row>
        <row r="394">
          <cell r="C394" t="str">
            <v>- Beton K-300 = (22/7*((2*tg/100+d)/2)^2)-(22/7*(d/2)^2))*1</v>
          </cell>
          <cell r="G394" t="str">
            <v>(EI-714)</v>
          </cell>
          <cell r="H394">
            <v>0.13579534245141872</v>
          </cell>
          <cell r="I394" t="str">
            <v>M3</v>
          </cell>
          <cell r="L394" t="str">
            <v>2.</v>
          </cell>
          <cell r="N394" t="str">
            <v>Baja Tulangan</v>
          </cell>
          <cell r="O394" t="str">
            <v>(M39)</v>
          </cell>
          <cell r="P394" t="str">
            <v>Kg</v>
          </cell>
          <cell r="Q394">
            <v>14.937487669656059</v>
          </cell>
          <cell r="R394">
            <v>4000</v>
          </cell>
          <cell r="U394">
            <v>59749.950678624235</v>
          </cell>
        </row>
        <row r="395">
          <cell r="C395" t="str">
            <v>- Baja Tulangan (asumsi 100kg/m3)</v>
          </cell>
          <cell r="G395" t="str">
            <v>(M39)</v>
          </cell>
          <cell r="H395">
            <v>14.937487669656059</v>
          </cell>
          <cell r="I395" t="str">
            <v>Kg</v>
          </cell>
          <cell r="L395" t="str">
            <v>3.</v>
          </cell>
          <cell r="N395" t="str">
            <v>Urugan Porus</v>
          </cell>
          <cell r="O395" t="str">
            <v>(EI-241)</v>
          </cell>
          <cell r="P395" t="str">
            <v>M3</v>
          </cell>
          <cell r="Q395">
            <v>0.13965000000000002</v>
          </cell>
          <cell r="R395">
            <v>186901.40625406182</v>
          </cell>
          <cell r="U395">
            <v>26100.781383379737</v>
          </cell>
        </row>
        <row r="396">
          <cell r="C396" t="str">
            <v>- Timbunan Porus      = {(tp*(0.3+2*tg/100+d+0.3)*1)*1.05}</v>
          </cell>
          <cell r="G396" t="str">
            <v>(EI-241)</v>
          </cell>
          <cell r="H396">
            <v>0.13965000000000002</v>
          </cell>
          <cell r="I396" t="str">
            <v>M3</v>
          </cell>
          <cell r="L396" t="str">
            <v>4.</v>
          </cell>
          <cell r="N396" t="str">
            <v>Mat. Pilihan</v>
          </cell>
          <cell r="O396" t="str">
            <v>(M09)</v>
          </cell>
          <cell r="P396" t="str">
            <v>M3</v>
          </cell>
          <cell r="Q396">
            <v>0.99875250000000027</v>
          </cell>
          <cell r="R396">
            <v>25000</v>
          </cell>
          <cell r="U396">
            <v>24968.812500000007</v>
          </cell>
        </row>
        <row r="397">
          <cell r="C397" t="str">
            <v>- Material Pilihan</v>
          </cell>
          <cell r="D397" t="str">
            <v>= ((2*tg/100+d+0.3)*(0.3+2*tg/100+d+0.3)</v>
          </cell>
          <cell r="G397" t="str">
            <v>(M09)</v>
          </cell>
          <cell r="H397">
            <v>0.99875250000000027</v>
          </cell>
          <cell r="I397" t="str">
            <v>M3</v>
          </cell>
          <cell r="J397" t="str">
            <v xml:space="preserve"> = Vp</v>
          </cell>
        </row>
        <row r="398">
          <cell r="D398" t="str">
            <v xml:space="preserve">   -(22/7*(0.5*(2*tg/100+d))^2))*1*1.05</v>
          </cell>
        </row>
        <row r="399">
          <cell r="A399" t="str">
            <v xml:space="preserve">   2.</v>
          </cell>
          <cell r="C399" t="str">
            <v>ALAT</v>
          </cell>
          <cell r="Q399" t="str">
            <v xml:space="preserve">JUMLAH HARGA BAHAN   </v>
          </cell>
          <cell r="U399">
            <v>199480.66990289764</v>
          </cell>
        </row>
        <row r="400">
          <cell r="A400" t="str">
            <v>2.a.</v>
          </cell>
          <cell r="C400" t="str">
            <v>TAMPER</v>
          </cell>
          <cell r="G400" t="str">
            <v>(E25)</v>
          </cell>
        </row>
        <row r="401">
          <cell r="C401" t="str">
            <v>Kecepatan</v>
          </cell>
          <cell r="G401" t="str">
            <v>v</v>
          </cell>
          <cell r="H401">
            <v>0.5</v>
          </cell>
          <cell r="I401" t="str">
            <v>Km / Jam</v>
          </cell>
          <cell r="L401" t="str">
            <v>C.</v>
          </cell>
          <cell r="N401" t="str">
            <v>PERALATAN</v>
          </cell>
        </row>
        <row r="402">
          <cell r="C402" t="str">
            <v>Efisiensi alat</v>
          </cell>
          <cell r="G402" t="str">
            <v>Fa</v>
          </cell>
          <cell r="H402">
            <v>0.83</v>
          </cell>
          <cell r="I402" t="str">
            <v>-</v>
          </cell>
        </row>
        <row r="403">
          <cell r="C403" t="str">
            <v>Lebar pemadatan</v>
          </cell>
          <cell r="G403" t="str">
            <v>Lb</v>
          </cell>
          <cell r="H403">
            <v>0.4</v>
          </cell>
          <cell r="I403" t="str">
            <v>M</v>
          </cell>
          <cell r="L403" t="str">
            <v>1.</v>
          </cell>
          <cell r="N403" t="str">
            <v>Tamper</v>
          </cell>
          <cell r="O403" t="str">
            <v>(E25)</v>
          </cell>
          <cell r="P403" t="str">
            <v>Jam</v>
          </cell>
          <cell r="Q403">
            <v>0.30082906626506029</v>
          </cell>
          <cell r="R403">
            <v>18672.16854694486</v>
          </cell>
          <cell r="U403">
            <v>5617.1310291212494</v>
          </cell>
        </row>
        <row r="404">
          <cell r="C404" t="str">
            <v>Banyak lintasan</v>
          </cell>
          <cell r="G404" t="str">
            <v>n</v>
          </cell>
          <cell r="H404">
            <v>10</v>
          </cell>
          <cell r="I404" t="str">
            <v>lintasan</v>
          </cell>
          <cell r="L404" t="str">
            <v>2.</v>
          </cell>
          <cell r="N404" t="str">
            <v>Dump Truck</v>
          </cell>
          <cell r="O404" t="str">
            <v>(E08)</v>
          </cell>
          <cell r="P404" t="str">
            <v>Jam</v>
          </cell>
          <cell r="Q404">
            <v>0.18800200803212852</v>
          </cell>
          <cell r="R404">
            <v>153645.58193291764</v>
          </cell>
          <cell r="U404">
            <v>28885.677928653444</v>
          </cell>
        </row>
        <row r="405">
          <cell r="C405" t="str">
            <v>Tebal lapis hamparan</v>
          </cell>
          <cell r="G405" t="str">
            <v>tp</v>
          </cell>
          <cell r="H405">
            <v>0.2</v>
          </cell>
          <cell r="I405" t="str">
            <v>M</v>
          </cell>
          <cell r="L405" t="str">
            <v>3.</v>
          </cell>
          <cell r="N405" t="str">
            <v>Alat  Bantu</v>
          </cell>
          <cell r="P405" t="str">
            <v>Ls</v>
          </cell>
          <cell r="Q405">
            <v>1</v>
          </cell>
          <cell r="R405">
            <v>900</v>
          </cell>
          <cell r="U405">
            <v>900</v>
          </cell>
        </row>
        <row r="408">
          <cell r="C408" t="str">
            <v>Kap. Prod. / Jam   =</v>
          </cell>
          <cell r="D408" t="str">
            <v>v x 1000 x Fa x Lb x 60</v>
          </cell>
          <cell r="G408" t="str">
            <v>Q1</v>
          </cell>
          <cell r="H408">
            <v>3.3200000000000003</v>
          </cell>
          <cell r="I408" t="str">
            <v xml:space="preserve">M3 / Jam </v>
          </cell>
        </row>
        <row r="409">
          <cell r="D409" t="str">
            <v xml:space="preserve">    n x tp</v>
          </cell>
        </row>
        <row r="411">
          <cell r="C411" t="str">
            <v>Koefisien Alat / m'</v>
          </cell>
          <cell r="D411" t="str">
            <v xml:space="preserve"> =  1  :  Q1 x Vp</v>
          </cell>
          <cell r="G411" t="str">
            <v>(E25)</v>
          </cell>
          <cell r="H411">
            <v>0.30082906626506029</v>
          </cell>
          <cell r="I411" t="str">
            <v>jam</v>
          </cell>
          <cell r="Q411" t="str">
            <v xml:space="preserve">JUMLAH HARGA PERALATAN   </v>
          </cell>
          <cell r="U411">
            <v>35402.808957774694</v>
          </cell>
        </row>
        <row r="413">
          <cell r="A413" t="str">
            <v>2.b.</v>
          </cell>
          <cell r="C413" t="str">
            <v>DUMP TRUCK</v>
          </cell>
          <cell r="G413" t="str">
            <v>(E08)</v>
          </cell>
          <cell r="L413" t="str">
            <v>D.</v>
          </cell>
          <cell r="N413" t="str">
            <v>JUMLAH HARGA TENAGA, BAHAN DAN PERALATAN  ( A + B + C )</v>
          </cell>
          <cell r="U413">
            <v>257133.46186067234</v>
          </cell>
        </row>
        <row r="414">
          <cell r="C414" t="str">
            <v>Kapasitas bak sekali muat</v>
          </cell>
          <cell r="G414" t="str">
            <v>V</v>
          </cell>
          <cell r="H414">
            <v>10</v>
          </cell>
          <cell r="I414" t="str">
            <v>Buah/M'</v>
          </cell>
          <cell r="L414" t="str">
            <v>E.</v>
          </cell>
          <cell r="N414" t="str">
            <v>OVERHEAD &amp; PROFIT</v>
          </cell>
          <cell r="P414">
            <v>10</v>
          </cell>
          <cell r="Q414" t="str">
            <v>%  x  D</v>
          </cell>
          <cell r="U414">
            <v>25713.346186067236</v>
          </cell>
        </row>
        <row r="415">
          <cell r="C415" t="str">
            <v>Faktor efisiensi alat</v>
          </cell>
          <cell r="G415" t="str">
            <v>Fa</v>
          </cell>
          <cell r="H415">
            <v>0.83</v>
          </cell>
          <cell r="L415" t="str">
            <v>F.</v>
          </cell>
          <cell r="N415" t="str">
            <v>HARGA SATUAN PEKERJAAN  ( D + E )</v>
          </cell>
          <cell r="U415">
            <v>282846.80804673955</v>
          </cell>
        </row>
        <row r="416">
          <cell r="C416" t="str">
            <v>Kecepatanrata-rata bermuatan</v>
          </cell>
          <cell r="G416" t="str">
            <v>v1</v>
          </cell>
          <cell r="H416">
            <v>20</v>
          </cell>
          <cell r="I416" t="str">
            <v>Km/Jam</v>
          </cell>
          <cell r="L416" t="str">
            <v>Note: 1</v>
          </cell>
          <cell r="N416" t="str">
            <v>SATUAN dapat berdasarkan atas jam operasi untuk Tenaga Kerja dan Peralatan, volume dan/atau ukuran</v>
          </cell>
        </row>
        <row r="417">
          <cell r="C417" t="str">
            <v>Kecepatan rata-rata kosong</v>
          </cell>
          <cell r="G417" t="str">
            <v>v2</v>
          </cell>
          <cell r="H417">
            <v>30</v>
          </cell>
          <cell r="I417" t="str">
            <v>Km/Jam</v>
          </cell>
          <cell r="N417" t="str">
            <v>berat untuk bahan-bahan.</v>
          </cell>
        </row>
        <row r="418">
          <cell r="C418" t="str">
            <v>Waktu siklus    :</v>
          </cell>
          <cell r="G418" t="str">
            <v>Ts</v>
          </cell>
          <cell r="L418">
            <v>2</v>
          </cell>
          <cell r="N418" t="str">
            <v>Kuantitas satuan adalah kuantitas setiap komponen untuk menyelesaikan satu satuan pekerjaan dari nomor</v>
          </cell>
        </row>
        <row r="419">
          <cell r="C419" t="str">
            <v>- Waktu  tempuh in  si  = (L : v1 ) x 60</v>
          </cell>
          <cell r="G419" t="str">
            <v>T1</v>
          </cell>
          <cell r="H419">
            <v>26.174999999999997</v>
          </cell>
          <cell r="I419" t="str">
            <v>menit</v>
          </cell>
          <cell r="N419" t="str">
            <v>mata pembayaran.</v>
          </cell>
        </row>
        <row r="420">
          <cell r="C420" t="str">
            <v>-  Waktutempuh kosong  = (L : v2)  x  60</v>
          </cell>
          <cell r="G420" t="str">
            <v>T2</v>
          </cell>
          <cell r="H420">
            <v>17.45</v>
          </cell>
          <cell r="I420" t="str">
            <v>menit</v>
          </cell>
          <cell r="L420">
            <v>3</v>
          </cell>
          <cell r="N420" t="str">
            <v>Biaya satuan untuk peralatan sudah termasuk bahan bakar, bahan habis dipakai dan operator.</v>
          </cell>
        </row>
        <row r="421">
          <cell r="C421" t="str">
            <v>-  Muat, bongkar dan lain-lain</v>
          </cell>
          <cell r="G421" t="str">
            <v>T3</v>
          </cell>
          <cell r="H421">
            <v>50</v>
          </cell>
          <cell r="I421" t="str">
            <v>menit</v>
          </cell>
          <cell r="L421">
            <v>4</v>
          </cell>
          <cell r="N421" t="str">
            <v>Biaya satuan sudah termasuk pengeluaran untuk seluruh pajak yang berkaitan (tetapi tidak termasuk PPN</v>
          </cell>
        </row>
        <row r="422">
          <cell r="G422" t="str">
            <v>Ts</v>
          </cell>
          <cell r="H422">
            <v>93.625</v>
          </cell>
          <cell r="I422" t="str">
            <v>menit</v>
          </cell>
          <cell r="N422" t="str">
            <v>yang dibayar dari kontrak) dan biaya-biaya lainnya.</v>
          </cell>
        </row>
        <row r="423">
          <cell r="J423" t="str">
            <v>Berlanjut ke halaman berikut</v>
          </cell>
        </row>
        <row r="424">
          <cell r="A424" t="str">
            <v>ITEM PEMBAYARAN NO.</v>
          </cell>
          <cell r="D424" t="str">
            <v>:  2.3 (2)</v>
          </cell>
          <cell r="J424" t="str">
            <v xml:space="preserve">Analisa EI-232 </v>
          </cell>
        </row>
        <row r="425">
          <cell r="A425" t="str">
            <v>JENIS PEKERJAAN</v>
          </cell>
          <cell r="D425" t="str">
            <v>:  Gorong2 Pipa Beton Bertulang 500 mm &lt; diameter dalam 700 mm</v>
          </cell>
        </row>
        <row r="426">
          <cell r="A426" t="str">
            <v>SATUAN PEMBAYARAN</v>
          </cell>
          <cell r="D426" t="str">
            <v>:  M1</v>
          </cell>
          <cell r="J426" t="str">
            <v xml:space="preserve">         URAIAN ANALISA HARGA SATUAN</v>
          </cell>
        </row>
        <row r="427">
          <cell r="J427" t="str">
            <v>Lanjutan</v>
          </cell>
        </row>
        <row r="429">
          <cell r="A429" t="str">
            <v>No.</v>
          </cell>
          <cell r="C429" t="str">
            <v>U R A I A N</v>
          </cell>
          <cell r="G429" t="str">
            <v>KODE</v>
          </cell>
          <cell r="H429" t="str">
            <v>KOEF.</v>
          </cell>
          <cell r="I429" t="str">
            <v>SATUAN</v>
          </cell>
          <cell r="J429" t="str">
            <v>KETERANGAN</v>
          </cell>
        </row>
        <row r="432">
          <cell r="C432" t="str">
            <v>Kapasitas Produksi / Jam   =</v>
          </cell>
          <cell r="E432" t="str">
            <v>V x Fa x 60</v>
          </cell>
          <cell r="G432" t="str">
            <v>Q2</v>
          </cell>
          <cell r="H432">
            <v>5.3190921228304404</v>
          </cell>
          <cell r="I432" t="str">
            <v xml:space="preserve">M' / Jam </v>
          </cell>
        </row>
        <row r="433">
          <cell r="E433" t="str">
            <v xml:space="preserve">    Ts</v>
          </cell>
        </row>
        <row r="435">
          <cell r="C435" t="str">
            <v>Koefisien Alat / m'</v>
          </cell>
          <cell r="D435" t="str">
            <v xml:space="preserve"> =  1  :  Q2</v>
          </cell>
          <cell r="G435" t="str">
            <v>(E08)</v>
          </cell>
          <cell r="H435">
            <v>0.18800200803212852</v>
          </cell>
          <cell r="I435" t="str">
            <v>jam</v>
          </cell>
        </row>
        <row r="438">
          <cell r="A438" t="str">
            <v>2.c.</v>
          </cell>
          <cell r="C438" t="str">
            <v>ALAT  BANTU</v>
          </cell>
        </row>
        <row r="439">
          <cell r="C439" t="str">
            <v>Diperlukan alat-alat bantu kecil</v>
          </cell>
          <cell r="J439" t="str">
            <v>Lump Sump</v>
          </cell>
        </row>
        <row r="440">
          <cell r="C440" t="str">
            <v>- Sekop    =         3   buah</v>
          </cell>
        </row>
        <row r="441">
          <cell r="C441" t="str">
            <v>- Pacul     =         3   buah</v>
          </cell>
        </row>
        <row r="442">
          <cell r="C442" t="str">
            <v>- Alat-alat kecil lain</v>
          </cell>
        </row>
        <row r="444">
          <cell r="A444" t="str">
            <v xml:space="preserve">   3.</v>
          </cell>
          <cell r="C444" t="str">
            <v>TENAGA</v>
          </cell>
        </row>
        <row r="445">
          <cell r="C445" t="str">
            <v>Produksi Gorong-gorong / hari</v>
          </cell>
          <cell r="G445" t="str">
            <v>Qt</v>
          </cell>
          <cell r="H445">
            <v>10</v>
          </cell>
          <cell r="I445" t="str">
            <v>M'</v>
          </cell>
        </row>
        <row r="446">
          <cell r="C446" t="str">
            <v>Kebutuhan tenaga :</v>
          </cell>
        </row>
        <row r="447">
          <cell r="D447" t="str">
            <v>- Pekerja</v>
          </cell>
          <cell r="G447" t="str">
            <v>P</v>
          </cell>
          <cell r="H447">
            <v>7</v>
          </cell>
          <cell r="I447" t="str">
            <v>orang</v>
          </cell>
        </row>
        <row r="448">
          <cell r="D448" t="str">
            <v>- Tukang</v>
          </cell>
          <cell r="G448" t="str">
            <v>T</v>
          </cell>
          <cell r="H448">
            <v>2</v>
          </cell>
          <cell r="I448" t="str">
            <v>orang</v>
          </cell>
        </row>
        <row r="449">
          <cell r="D449" t="str">
            <v>- Mandor</v>
          </cell>
          <cell r="G449" t="str">
            <v>M</v>
          </cell>
          <cell r="H449">
            <v>1</v>
          </cell>
          <cell r="I449" t="str">
            <v>orang</v>
          </cell>
        </row>
        <row r="451">
          <cell r="C451" t="str">
            <v>Koefisien tenaga / M'   :</v>
          </cell>
        </row>
        <row r="452">
          <cell r="D452" t="str">
            <v>- Pekerja</v>
          </cell>
          <cell r="E452" t="str">
            <v>= (Tk x P) : Qt</v>
          </cell>
          <cell r="G452" t="str">
            <v>(L01)</v>
          </cell>
          <cell r="H452">
            <v>4.9000000000000004</v>
          </cell>
          <cell r="I452" t="str">
            <v>jam</v>
          </cell>
        </row>
        <row r="453">
          <cell r="D453" t="str">
            <v>- Tukang</v>
          </cell>
          <cell r="E453" t="str">
            <v>= (Tk x T) : Qt</v>
          </cell>
          <cell r="G453" t="str">
            <v>(L02)</v>
          </cell>
          <cell r="H453">
            <v>1.4</v>
          </cell>
          <cell r="I453" t="str">
            <v>jam</v>
          </cell>
        </row>
        <row r="454">
          <cell r="D454" t="str">
            <v>- Mandor</v>
          </cell>
          <cell r="E454" t="str">
            <v>= (Tk x M) : Qt</v>
          </cell>
          <cell r="G454" t="str">
            <v>(L03)</v>
          </cell>
          <cell r="H454">
            <v>0.7</v>
          </cell>
          <cell r="I454" t="str">
            <v>jam</v>
          </cell>
        </row>
        <row r="456">
          <cell r="A456" t="str">
            <v>4.</v>
          </cell>
          <cell r="C456" t="str">
            <v>HARGA DASAR SATUAN UPAH, BAHAN DAN ALAT</v>
          </cell>
        </row>
        <row r="457">
          <cell r="C457" t="str">
            <v>Lihat lampiran.</v>
          </cell>
        </row>
        <row r="460">
          <cell r="A460" t="str">
            <v>5.</v>
          </cell>
          <cell r="C460" t="str">
            <v>ANALISA HARGA SATUAN PEKERJAAN</v>
          </cell>
        </row>
        <row r="461">
          <cell r="C461" t="str">
            <v>Lihat perhitungan dalam FORMULIR STANDAR UNTUK</v>
          </cell>
        </row>
        <row r="462">
          <cell r="C462" t="str">
            <v>PEREKEMAN ANALISA MASING-MASING HARGA</v>
          </cell>
        </row>
        <row r="463">
          <cell r="C463" t="str">
            <v>SATUAN.</v>
          </cell>
        </row>
        <row r="464">
          <cell r="C464" t="str">
            <v>Didapat Harga Satuan Pekerjaan :</v>
          </cell>
        </row>
        <row r="466">
          <cell r="C466" t="str">
            <v xml:space="preserve">Rp.  </v>
          </cell>
          <cell r="D466">
            <v>282846.80804673955</v>
          </cell>
          <cell r="E466" t="str">
            <v xml:space="preserve"> / M'</v>
          </cell>
        </row>
        <row r="469">
          <cell r="A469" t="str">
            <v>6.</v>
          </cell>
          <cell r="C469" t="str">
            <v>WAKTU PELAKSANAAN YANG DIPERLUKAN</v>
          </cell>
        </row>
        <row r="470">
          <cell r="C470" t="str">
            <v>Masa Pelaksanaan :</v>
          </cell>
          <cell r="D470" t="str">
            <v>. . . . . . . . . . . .</v>
          </cell>
          <cell r="E470" t="str">
            <v>bulan</v>
          </cell>
        </row>
        <row r="472">
          <cell r="A472" t="str">
            <v>7.</v>
          </cell>
          <cell r="C472" t="str">
            <v>VOLUME PEKERJAAN YANG DIPERLUKAN</v>
          </cell>
        </row>
        <row r="473">
          <cell r="C473" t="str">
            <v>Volume pekerjaan  :</v>
          </cell>
          <cell r="D473">
            <v>1</v>
          </cell>
          <cell r="E473" t="str">
            <v>M'</v>
          </cell>
        </row>
        <row r="483">
          <cell r="A483" t="str">
            <v>ITEM PEMBAYARAN NO.</v>
          </cell>
          <cell r="D483" t="str">
            <v>:  2.3 (3)</v>
          </cell>
          <cell r="J483" t="str">
            <v xml:space="preserve">Analisa EI-233 </v>
          </cell>
        </row>
        <row r="484">
          <cell r="A484" t="str">
            <v>JENIS PEKERJAAN</v>
          </cell>
          <cell r="D484" t="str">
            <v>:  Gorong2 Pipa Beton Bertulang 500 mm &lt; diameter dalam &lt; 1 m</v>
          </cell>
          <cell r="L484" t="str">
            <v>FORMULIR STANDAR UNTUK</v>
          </cell>
        </row>
        <row r="485">
          <cell r="A485" t="str">
            <v>SATUAN PEMBAYARAN</v>
          </cell>
          <cell r="D485" t="str">
            <v>:  M1</v>
          </cell>
          <cell r="J485" t="str">
            <v xml:space="preserve">         URAIAN ANALISA HARGA SATUAN</v>
          </cell>
          <cell r="L485" t="str">
            <v>PEREKAMAN ANALISA MASING-MASING HARGA SATUAN</v>
          </cell>
        </row>
        <row r="486">
          <cell r="L486" t="str">
            <v/>
          </cell>
        </row>
        <row r="488">
          <cell r="A488" t="str">
            <v>No.</v>
          </cell>
          <cell r="C488" t="str">
            <v>U R A I A N</v>
          </cell>
          <cell r="G488" t="str">
            <v>KODE</v>
          </cell>
          <cell r="H488" t="str">
            <v>KOEF.</v>
          </cell>
          <cell r="I488" t="str">
            <v>SATUAN</v>
          </cell>
          <cell r="J488" t="str">
            <v>KETERANGAN</v>
          </cell>
        </row>
        <row r="489">
          <cell r="L489" t="str">
            <v>PROYEK</v>
          </cell>
          <cell r="O489" t="str">
            <v>:</v>
          </cell>
        </row>
        <row r="490">
          <cell r="L490" t="str">
            <v>No. PAKET KONTRAK</v>
          </cell>
          <cell r="O490" t="str">
            <v>:</v>
          </cell>
        </row>
        <row r="491">
          <cell r="A491" t="str">
            <v>I.</v>
          </cell>
          <cell r="C491" t="str">
            <v>ASUMSI</v>
          </cell>
          <cell r="L491" t="str">
            <v>NAMA PAKET</v>
          </cell>
          <cell r="O491" t="str">
            <v>:</v>
          </cell>
        </row>
        <row r="492">
          <cell r="A492">
            <v>1</v>
          </cell>
          <cell r="C492" t="str">
            <v>Pekerjaan dilakukan secara mekanik/manual</v>
          </cell>
          <cell r="L492" t="str">
            <v>PROP / KAB / KODYA</v>
          </cell>
          <cell r="O492" t="str">
            <v>:</v>
          </cell>
        </row>
        <row r="493">
          <cell r="A493">
            <v>2</v>
          </cell>
          <cell r="C493" t="str">
            <v>Lokasi pekerjaan : sepanjang jalan</v>
          </cell>
          <cell r="L493" t="str">
            <v>ITEM PEMBAYARAN NO.</v>
          </cell>
          <cell r="O493" t="str">
            <v>:  2.3 (3)</v>
          </cell>
          <cell r="R493" t="str">
            <v>PERKIRAAN VOL. PEK.</v>
          </cell>
          <cell r="T493" t="str">
            <v>:</v>
          </cell>
          <cell r="U493">
            <v>1</v>
          </cell>
        </row>
        <row r="494">
          <cell r="A494">
            <v>3</v>
          </cell>
          <cell r="C494" t="str">
            <v>Diameter bagian dalam gorong-gorong</v>
          </cell>
          <cell r="G494" t="str">
            <v>d</v>
          </cell>
          <cell r="H494">
            <v>0.8</v>
          </cell>
          <cell r="I494" t="str">
            <v>m</v>
          </cell>
          <cell r="L494" t="str">
            <v>JENIS PEKERJAAN</v>
          </cell>
          <cell r="O494" t="str">
            <v>:  Gorong2 Pipa Beton Bertulang 500 mm &lt; diameter dalam &lt; 1 m</v>
          </cell>
          <cell r="R494" t="str">
            <v>TOTAL HARGA (Rp.)</v>
          </cell>
          <cell r="T494" t="str">
            <v>:</v>
          </cell>
          <cell r="U494">
            <v>447945.27138535964</v>
          </cell>
        </row>
        <row r="495">
          <cell r="A495">
            <v>4</v>
          </cell>
          <cell r="C495" t="str">
            <v>Jarak rata-rata Base Camp ke lokasi pekerjaan</v>
          </cell>
          <cell r="G495" t="str">
            <v>L</v>
          </cell>
          <cell r="H495">
            <v>8.7249999999999996</v>
          </cell>
          <cell r="I495" t="str">
            <v>Km</v>
          </cell>
          <cell r="L495" t="str">
            <v>SATUAN PEMBAYARAN</v>
          </cell>
          <cell r="O495" t="str">
            <v>:  M1</v>
          </cell>
          <cell r="Q495">
            <v>0</v>
          </cell>
          <cell r="R495" t="str">
            <v>% THD. BIAYA PROYEK</v>
          </cell>
          <cell r="T495" t="str">
            <v>:</v>
          </cell>
          <cell r="U495" t="e">
            <v>#DIV/0!</v>
          </cell>
        </row>
        <row r="496">
          <cell r="A496">
            <v>5</v>
          </cell>
          <cell r="C496" t="str">
            <v>Jam kerja efektif per-hari</v>
          </cell>
          <cell r="G496" t="str">
            <v>Tk</v>
          </cell>
          <cell r="H496">
            <v>7</v>
          </cell>
          <cell r="I496" t="str">
            <v>Jam</v>
          </cell>
        </row>
        <row r="497">
          <cell r="A497">
            <v>6</v>
          </cell>
          <cell r="C497" t="str">
            <v>Tebal gorong-gorong</v>
          </cell>
          <cell r="G497" t="str">
            <v>tg</v>
          </cell>
          <cell r="H497">
            <v>7.5</v>
          </cell>
          <cell r="I497" t="str">
            <v>Cm</v>
          </cell>
        </row>
        <row r="498">
          <cell r="Q498" t="str">
            <v>PERKIRAAN</v>
          </cell>
          <cell r="R498" t="str">
            <v>HARGA</v>
          </cell>
          <cell r="S498" t="str">
            <v>JUMLAH</v>
          </cell>
        </row>
        <row r="499">
          <cell r="A499" t="str">
            <v>II.</v>
          </cell>
          <cell r="C499" t="str">
            <v>URUTAN KERJA</v>
          </cell>
          <cell r="L499" t="str">
            <v>NO.</v>
          </cell>
          <cell r="N499" t="str">
            <v>KOMPONEN</v>
          </cell>
          <cell r="P499" t="str">
            <v>SATUAN</v>
          </cell>
          <cell r="Q499" t="str">
            <v>KUANTITAS</v>
          </cell>
          <cell r="R499" t="str">
            <v>SATUAN</v>
          </cell>
          <cell r="S499" t="str">
            <v>HARGA</v>
          </cell>
        </row>
        <row r="500">
          <cell r="A500">
            <v>1</v>
          </cell>
          <cell r="C500" t="str">
            <v>Gorong-gorong dicetak di Base Camp</v>
          </cell>
          <cell r="R500" t="str">
            <v>(Rp.)</v>
          </cell>
          <cell r="S500" t="str">
            <v>(Rp.)</v>
          </cell>
        </row>
        <row r="501">
          <cell r="A501">
            <v>2</v>
          </cell>
          <cell r="C501" t="str">
            <v>Dump Truck mengangkut gorong-gorong jadi</v>
          </cell>
        </row>
        <row r="502">
          <cell r="C502" t="str">
            <v>ke lapangan</v>
          </cell>
        </row>
        <row r="503">
          <cell r="A503">
            <v>3</v>
          </cell>
          <cell r="C503" t="str">
            <v>Dasar gorong-gorong digali sesuai kebutuhan dan ma-</v>
          </cell>
          <cell r="L503" t="str">
            <v>A.</v>
          </cell>
          <cell r="N503" t="str">
            <v>TENAGA</v>
          </cell>
        </row>
        <row r="504">
          <cell r="C504" t="str">
            <v>terial backfill dipadatkan dengan Tamper</v>
          </cell>
        </row>
        <row r="505">
          <cell r="A505">
            <v>4</v>
          </cell>
          <cell r="C505" t="str">
            <v>Tebal lapis porus pada dasar gorong-gorong pipa</v>
          </cell>
          <cell r="G505" t="str">
            <v>tp</v>
          </cell>
          <cell r="H505">
            <v>0.12</v>
          </cell>
          <cell r="I505" t="str">
            <v>M</v>
          </cell>
          <cell r="J505" t="str">
            <v xml:space="preserve"> Sand bedding</v>
          </cell>
          <cell r="L505" t="str">
            <v>1.</v>
          </cell>
          <cell r="N505" t="str">
            <v>Pekerja</v>
          </cell>
          <cell r="O505" t="str">
            <v>(L01)</v>
          </cell>
          <cell r="P505" t="str">
            <v>Jam</v>
          </cell>
          <cell r="Q505">
            <v>9.3333333333333339</v>
          </cell>
          <cell r="R505">
            <v>2857.14</v>
          </cell>
          <cell r="U505">
            <v>26666.639999999999</v>
          </cell>
        </row>
        <row r="506">
          <cell r="A506">
            <v>5</v>
          </cell>
          <cell r="C506" t="str">
            <v>Material pilihan untuk penimbunan kembali (padat)</v>
          </cell>
          <cell r="L506" t="str">
            <v>2.</v>
          </cell>
          <cell r="N506" t="str">
            <v>Tukang</v>
          </cell>
          <cell r="O506" t="str">
            <v>(L02)</v>
          </cell>
          <cell r="P506" t="str">
            <v>Jam</v>
          </cell>
          <cell r="Q506">
            <v>1.1666666666666667</v>
          </cell>
          <cell r="R506">
            <v>4285.71</v>
          </cell>
          <cell r="U506">
            <v>4999.9950000000008</v>
          </cell>
        </row>
        <row r="507">
          <cell r="A507">
            <v>6</v>
          </cell>
          <cell r="C507" t="str">
            <v>Sekelompok pekerja akan melaksanakan pekerjaan</v>
          </cell>
          <cell r="L507" t="str">
            <v>3.</v>
          </cell>
          <cell r="N507" t="str">
            <v>Mandor</v>
          </cell>
          <cell r="O507" t="str">
            <v>(L03)</v>
          </cell>
          <cell r="P507" t="str">
            <v>Jam</v>
          </cell>
          <cell r="Q507">
            <v>1.1666666666666667</v>
          </cell>
          <cell r="R507">
            <v>3214.29</v>
          </cell>
          <cell r="U507">
            <v>3750.0050000000001</v>
          </cell>
        </row>
        <row r="508">
          <cell r="C508" t="str">
            <v>dengan cara manual dengan menggunakan alat bantu</v>
          </cell>
        </row>
        <row r="509">
          <cell r="Q509" t="str">
            <v xml:space="preserve">JUMLAH HARGA TENAGA   </v>
          </cell>
          <cell r="U509">
            <v>35416.639999999999</v>
          </cell>
        </row>
        <row r="511">
          <cell r="A511" t="str">
            <v>III.</v>
          </cell>
          <cell r="C511" t="str">
            <v>PEMAKAIAN BAHAN, ALAT DAN TENAGA</v>
          </cell>
          <cell r="L511" t="str">
            <v>B.</v>
          </cell>
          <cell r="N511" t="str">
            <v>BAHAN</v>
          </cell>
        </row>
        <row r="512">
          <cell r="A512" t="str">
            <v xml:space="preserve">   1.</v>
          </cell>
          <cell r="C512" t="str">
            <v>BAHAN</v>
          </cell>
        </row>
        <row r="513">
          <cell r="C513" t="str">
            <v>Untuk mendapatkan 1 M' gorong-gorong diperlukan</v>
          </cell>
          <cell r="L513" t="str">
            <v>1.</v>
          </cell>
          <cell r="N513" t="str">
            <v>Beton K-300</v>
          </cell>
          <cell r="O513" t="str">
            <v>(EI-714)</v>
          </cell>
          <cell r="P513" t="str">
            <v>M3</v>
          </cell>
          <cell r="Q513">
            <v>0.20616701789183023</v>
          </cell>
          <cell r="R513">
            <v>652902.54982502444</v>
          </cell>
          <cell r="U513">
            <v>134606.97167139739</v>
          </cell>
        </row>
        <row r="514">
          <cell r="C514" t="str">
            <v>- Beton K-300 = (22/7*((2*tg/100+d)/2)^2)-(22/7*(d/2)^2))*1</v>
          </cell>
          <cell r="G514" t="str">
            <v>(EI-714)</v>
          </cell>
          <cell r="H514">
            <v>0.20616701789183023</v>
          </cell>
          <cell r="I514" t="str">
            <v>M3</v>
          </cell>
          <cell r="L514" t="str">
            <v>2.</v>
          </cell>
          <cell r="N514" t="str">
            <v>Baja Tulangan</v>
          </cell>
          <cell r="O514" t="str">
            <v>(M39)</v>
          </cell>
          <cell r="P514" t="str">
            <v>Kg</v>
          </cell>
          <cell r="Q514">
            <v>22.678371968101327</v>
          </cell>
          <cell r="R514">
            <v>4000</v>
          </cell>
          <cell r="U514">
            <v>90713.487872405312</v>
          </cell>
        </row>
        <row r="515">
          <cell r="C515" t="str">
            <v>- Baja Tulangan (asumsi 100kg/m3)</v>
          </cell>
          <cell r="G515" t="str">
            <v>(M39)</v>
          </cell>
          <cell r="H515">
            <v>22.678371968101327</v>
          </cell>
          <cell r="I515" t="str">
            <v>Kg</v>
          </cell>
          <cell r="L515" t="str">
            <v>3.</v>
          </cell>
          <cell r="N515" t="str">
            <v>Urugan Porus</v>
          </cell>
          <cell r="O515" t="str">
            <v>(EI-241)</v>
          </cell>
          <cell r="P515" t="str">
            <v>M3</v>
          </cell>
          <cell r="Q515">
            <v>0.2205</v>
          </cell>
          <cell r="R515">
            <v>186901.40625406182</v>
          </cell>
          <cell r="U515">
            <v>41211.760079020634</v>
          </cell>
        </row>
        <row r="516">
          <cell r="C516" t="str">
            <v>- Timbunan Porus      = {(tp*(0.4+2*tg/100+d+0.4)*1)*1.05}</v>
          </cell>
          <cell r="G516" t="str">
            <v>(EI-241)</v>
          </cell>
          <cell r="H516">
            <v>0.2205</v>
          </cell>
          <cell r="I516" t="str">
            <v>M3</v>
          </cell>
          <cell r="L516" t="str">
            <v>4.</v>
          </cell>
          <cell r="N516" t="str">
            <v>Mat. Pilihan</v>
          </cell>
          <cell r="O516" t="str">
            <v>(M09)</v>
          </cell>
          <cell r="P516" t="str">
            <v>M3</v>
          </cell>
          <cell r="Q516">
            <v>1.5523125</v>
          </cell>
          <cell r="R516">
            <v>25000</v>
          </cell>
          <cell r="U516">
            <v>38807.8125</v>
          </cell>
        </row>
        <row r="517">
          <cell r="C517" t="str">
            <v>- Material Pilihan</v>
          </cell>
          <cell r="D517" t="str">
            <v>= ((2*tg/100+d+0.3)*(0.4+2*tg/100+d+0.4)</v>
          </cell>
          <cell r="G517" t="str">
            <v>(M09)</v>
          </cell>
          <cell r="H517">
            <v>1.5523125</v>
          </cell>
          <cell r="I517" t="str">
            <v>M3</v>
          </cell>
          <cell r="J517" t="str">
            <v xml:space="preserve"> = Vp</v>
          </cell>
        </row>
        <row r="518">
          <cell r="D518" t="str">
            <v xml:space="preserve">   -(22/7*(0.5*(2*tg/100+d))^2))*1*1.05</v>
          </cell>
        </row>
        <row r="519">
          <cell r="A519" t="str">
            <v xml:space="preserve">   2.</v>
          </cell>
          <cell r="C519" t="str">
            <v>ALAT</v>
          </cell>
          <cell r="Q519" t="str">
            <v xml:space="preserve">JUMLAH HARGA BAHAN   </v>
          </cell>
          <cell r="U519">
            <v>305340.03212282335</v>
          </cell>
        </row>
        <row r="520">
          <cell r="A520" t="str">
            <v>2.a.</v>
          </cell>
          <cell r="C520" t="str">
            <v>TAMPER</v>
          </cell>
          <cell r="G520" t="str">
            <v>(E25)</v>
          </cell>
        </row>
        <row r="521">
          <cell r="C521" t="str">
            <v>Kecepatan</v>
          </cell>
          <cell r="G521" t="str">
            <v>V</v>
          </cell>
          <cell r="H521">
            <v>0.5</v>
          </cell>
          <cell r="I521" t="str">
            <v>Km / Jam</v>
          </cell>
          <cell r="L521" t="str">
            <v>C.</v>
          </cell>
          <cell r="N521" t="str">
            <v>PERALATAN</v>
          </cell>
        </row>
        <row r="522">
          <cell r="C522" t="str">
            <v>Efisiensi alat</v>
          </cell>
          <cell r="G522" t="str">
            <v>Fa</v>
          </cell>
          <cell r="H522">
            <v>0.83</v>
          </cell>
          <cell r="I522" t="str">
            <v>-</v>
          </cell>
        </row>
        <row r="523">
          <cell r="C523" t="str">
            <v>Lebar pemadatan</v>
          </cell>
          <cell r="G523" t="str">
            <v>Lb</v>
          </cell>
          <cell r="H523">
            <v>0.4</v>
          </cell>
          <cell r="I523" t="str">
            <v>M</v>
          </cell>
          <cell r="L523" t="str">
            <v>1.</v>
          </cell>
          <cell r="N523" t="str">
            <v>Tamper</v>
          </cell>
          <cell r="O523" t="str">
            <v>(E25)</v>
          </cell>
          <cell r="P523" t="str">
            <v>Jam</v>
          </cell>
          <cell r="Q523">
            <v>0.46756400602409631</v>
          </cell>
          <cell r="R523">
            <v>18672.16854694486</v>
          </cell>
          <cell r="U523">
            <v>8730.4339269666689</v>
          </cell>
        </row>
        <row r="524">
          <cell r="C524" t="str">
            <v>Banyak lintasan</v>
          </cell>
          <cell r="G524" t="str">
            <v>n</v>
          </cell>
          <cell r="H524">
            <v>10</v>
          </cell>
          <cell r="I524" t="str">
            <v>lintasan</v>
          </cell>
          <cell r="L524" t="str">
            <v>2.</v>
          </cell>
          <cell r="N524" t="str">
            <v>Dump Truck</v>
          </cell>
          <cell r="O524" t="str">
            <v>(E08)</v>
          </cell>
          <cell r="P524" t="str">
            <v>Jam</v>
          </cell>
          <cell r="Q524">
            <v>0.36926455823293175</v>
          </cell>
          <cell r="R524">
            <v>153645.58193291764</v>
          </cell>
          <cell r="U524">
            <v>56735.867936900555</v>
          </cell>
        </row>
        <row r="525">
          <cell r="C525" t="str">
            <v>Tebal lapis hamparan</v>
          </cell>
          <cell r="G525" t="str">
            <v>tp</v>
          </cell>
          <cell r="H525">
            <v>0.2</v>
          </cell>
          <cell r="I525" t="str">
            <v>M</v>
          </cell>
          <cell r="L525" t="str">
            <v>3.</v>
          </cell>
          <cell r="N525" t="str">
            <v>Alat  Bantu</v>
          </cell>
          <cell r="P525" t="str">
            <v>Ls</v>
          </cell>
          <cell r="Q525">
            <v>1</v>
          </cell>
          <cell r="R525">
            <v>1000</v>
          </cell>
          <cell r="U525">
            <v>1000</v>
          </cell>
        </row>
        <row r="528">
          <cell r="C528" t="str">
            <v>Kap. Prod. / Jam   =</v>
          </cell>
          <cell r="D528" t="str">
            <v>v x 1000 x Fa x Lb x 60</v>
          </cell>
          <cell r="G528" t="str">
            <v>Q1</v>
          </cell>
          <cell r="H528">
            <v>3.3200000000000003</v>
          </cell>
          <cell r="I528" t="str">
            <v xml:space="preserve">M3 / Jam </v>
          </cell>
        </row>
        <row r="529">
          <cell r="D529" t="str">
            <v xml:space="preserve">    n x tp</v>
          </cell>
        </row>
        <row r="531">
          <cell r="C531" t="str">
            <v>Koefisien Alat / m'</v>
          </cell>
          <cell r="D531" t="str">
            <v xml:space="preserve"> =  1  :  Q1 x Vp</v>
          </cell>
          <cell r="G531" t="str">
            <v>(E25)</v>
          </cell>
          <cell r="H531">
            <v>0.46756400602409631</v>
          </cell>
          <cell r="I531" t="str">
            <v>jam</v>
          </cell>
          <cell r="Q531" t="str">
            <v xml:space="preserve">JUMLAH HARGA PERALATAN   </v>
          </cell>
          <cell r="U531">
            <v>66466.301863867222</v>
          </cell>
        </row>
        <row r="533">
          <cell r="A533" t="str">
            <v>2.b.</v>
          </cell>
          <cell r="C533" t="str">
            <v>DUMP TRUCK</v>
          </cell>
          <cell r="G533" t="str">
            <v>(E08)</v>
          </cell>
          <cell r="L533" t="str">
            <v>D.</v>
          </cell>
          <cell r="N533" t="str">
            <v>JUMLAH HARGA TENAGA, BAHAN DAN PERALATAN  ( A + B + C )</v>
          </cell>
          <cell r="U533">
            <v>407222.97398669057</v>
          </cell>
        </row>
        <row r="534">
          <cell r="C534" t="str">
            <v>Kapasitas bak sekali muat</v>
          </cell>
          <cell r="G534" t="str">
            <v>V</v>
          </cell>
          <cell r="H534">
            <v>4</v>
          </cell>
          <cell r="I534" t="str">
            <v>Buah/M'</v>
          </cell>
          <cell r="L534" t="str">
            <v>E.</v>
          </cell>
          <cell r="N534" t="str">
            <v>OVERHEAD &amp; PROFIT</v>
          </cell>
          <cell r="P534">
            <v>10</v>
          </cell>
          <cell r="Q534" t="str">
            <v>%  x  D</v>
          </cell>
          <cell r="U534">
            <v>40722.297398669063</v>
          </cell>
        </row>
        <row r="535">
          <cell r="C535" t="str">
            <v>Faktor efisiensi alat</v>
          </cell>
          <cell r="G535" t="str">
            <v>Fa</v>
          </cell>
          <cell r="H535">
            <v>0.83</v>
          </cell>
          <cell r="L535" t="str">
            <v>F.</v>
          </cell>
          <cell r="N535" t="str">
            <v>HARGA SATUAN PEKERJAAN  ( D + E )</v>
          </cell>
          <cell r="U535">
            <v>447945.27138535964</v>
          </cell>
        </row>
        <row r="536">
          <cell r="C536" t="str">
            <v>Kecepatanrata-rata bermuatan</v>
          </cell>
          <cell r="G536" t="str">
            <v>v1</v>
          </cell>
          <cell r="H536">
            <v>40</v>
          </cell>
          <cell r="L536" t="str">
            <v>Note: 1</v>
          </cell>
          <cell r="N536" t="str">
            <v>SATUAN dapat berdasarkan atas jam operasi untuk Tenaga Kerja dan Peralatan, volume dan/atau ukuran</v>
          </cell>
        </row>
        <row r="537">
          <cell r="C537" t="str">
            <v>Kecepatan rata-rata kosong</v>
          </cell>
          <cell r="G537" t="str">
            <v>v2</v>
          </cell>
          <cell r="H537">
            <v>50</v>
          </cell>
          <cell r="N537" t="str">
            <v>berat untuk bahan-bahan.</v>
          </cell>
        </row>
        <row r="538">
          <cell r="C538" t="str">
            <v>Waktu siklus    :</v>
          </cell>
          <cell r="G538" t="str">
            <v>Ts</v>
          </cell>
          <cell r="L538">
            <v>2</v>
          </cell>
          <cell r="N538" t="str">
            <v>Kuantitas satuan adalah kuantitas setiap komponen untuk menyelesaikan satu satuan pekerjaan dari nomor</v>
          </cell>
        </row>
        <row r="539">
          <cell r="C539" t="str">
            <v>- Waktu  tempuh in  si    = (L : v1 ) x 60</v>
          </cell>
          <cell r="G539" t="str">
            <v>T1</v>
          </cell>
          <cell r="H539">
            <v>13.087499999999999</v>
          </cell>
          <cell r="I539" t="str">
            <v>menit</v>
          </cell>
          <cell r="N539" t="str">
            <v>mata pembayaran.</v>
          </cell>
        </row>
        <row r="540">
          <cell r="C540" t="str">
            <v>-  Waktutempuh kosong  = (L : v2)  x  60</v>
          </cell>
          <cell r="G540" t="str">
            <v>T2</v>
          </cell>
          <cell r="H540">
            <v>10.469999999999999</v>
          </cell>
          <cell r="I540" t="str">
            <v>menit</v>
          </cell>
          <cell r="L540">
            <v>3</v>
          </cell>
          <cell r="N540" t="str">
            <v>Biaya satuan untuk peralatan sudah termasuk bahan bakar, bahan habis dipakai dan operator.</v>
          </cell>
        </row>
        <row r="541">
          <cell r="C541" t="str">
            <v>- Muat, bongkar dan lain-lain</v>
          </cell>
          <cell r="G541" t="str">
            <v>T3</v>
          </cell>
          <cell r="H541">
            <v>50</v>
          </cell>
          <cell r="I541" t="str">
            <v>menit</v>
          </cell>
          <cell r="L541">
            <v>4</v>
          </cell>
          <cell r="N541" t="str">
            <v>Biaya satuan sudah termasuk pengeluaran untuk seluruh pajak yang berkaitan (tetapi tidak termasuk PPN</v>
          </cell>
        </row>
        <row r="542">
          <cell r="G542" t="str">
            <v>Ts</v>
          </cell>
          <cell r="H542">
            <v>73.557500000000005</v>
          </cell>
          <cell r="I542" t="str">
            <v>menit</v>
          </cell>
          <cell r="N542" t="str">
            <v>yang dibayar dari kontrak) dan biaya-biaya lainnya.</v>
          </cell>
        </row>
        <row r="543">
          <cell r="J543" t="str">
            <v>Berlanjut ke halaman berikut</v>
          </cell>
        </row>
        <row r="544">
          <cell r="A544" t="str">
            <v>ITEM PEMBAYARAN NO.</v>
          </cell>
          <cell r="D544" t="str">
            <v>:  2.3 (3)</v>
          </cell>
          <cell r="J544" t="str">
            <v xml:space="preserve">Analisa EI-233 </v>
          </cell>
        </row>
        <row r="545">
          <cell r="A545" t="str">
            <v>JENIS PEKERJAAN</v>
          </cell>
          <cell r="D545" t="str">
            <v>:  Gorong2 Pipa Beton Bertulang 500 mm &lt; diameter dalam &lt; 1 m</v>
          </cell>
        </row>
        <row r="546">
          <cell r="A546" t="str">
            <v>SATUAN PEMBAYARAN</v>
          </cell>
          <cell r="D546" t="str">
            <v>:  M1</v>
          </cell>
          <cell r="J546" t="str">
            <v xml:space="preserve">         URAIAN ANALISA HARGA SATUAN</v>
          </cell>
        </row>
        <row r="547">
          <cell r="J547" t="str">
            <v>Lanjutan</v>
          </cell>
        </row>
        <row r="549">
          <cell r="A549" t="str">
            <v>No.</v>
          </cell>
          <cell r="C549" t="str">
            <v>U R A I A N</v>
          </cell>
          <cell r="G549" t="str">
            <v>KODE</v>
          </cell>
          <cell r="H549" t="str">
            <v>KOEF.</v>
          </cell>
          <cell r="I549" t="str">
            <v>SATUAN</v>
          </cell>
          <cell r="J549" t="str">
            <v>KETERANGAN</v>
          </cell>
        </row>
        <row r="552">
          <cell r="C552" t="str">
            <v>Kapasitas Produksi / Jam   =</v>
          </cell>
          <cell r="E552" t="str">
            <v>V x Fa x 60</v>
          </cell>
          <cell r="G552" t="str">
            <v>Q2</v>
          </cell>
          <cell r="H552">
            <v>2.7080855113346698</v>
          </cell>
          <cell r="I552" t="str">
            <v xml:space="preserve">M' / Jam </v>
          </cell>
        </row>
        <row r="553">
          <cell r="E553" t="str">
            <v xml:space="preserve">    Ts</v>
          </cell>
        </row>
        <row r="555">
          <cell r="C555" t="str">
            <v>Koefisien Alat / m'</v>
          </cell>
          <cell r="D555" t="str">
            <v xml:space="preserve"> =  1  :  Q2</v>
          </cell>
          <cell r="G555" t="str">
            <v>(E08)</v>
          </cell>
          <cell r="H555">
            <v>0.36926455823293175</v>
          </cell>
          <cell r="I555" t="str">
            <v>jam</v>
          </cell>
        </row>
        <row r="558">
          <cell r="A558" t="str">
            <v>2.c.</v>
          </cell>
          <cell r="C558" t="str">
            <v>ALAT  BANTU</v>
          </cell>
        </row>
        <row r="559">
          <cell r="C559" t="str">
            <v>Diperlukan alat-alat bantu kecil</v>
          </cell>
          <cell r="J559" t="str">
            <v>Lump Sump</v>
          </cell>
        </row>
        <row r="560">
          <cell r="C560" t="str">
            <v>- Sekop    =         3   buah</v>
          </cell>
        </row>
        <row r="561">
          <cell r="C561" t="str">
            <v>- Pacul     =         3   buah</v>
          </cell>
        </row>
        <row r="562">
          <cell r="C562" t="str">
            <v>- Alat-alat kecil lain</v>
          </cell>
        </row>
        <row r="564">
          <cell r="A564" t="str">
            <v xml:space="preserve">   3.</v>
          </cell>
          <cell r="C564" t="str">
            <v>TENAGA</v>
          </cell>
        </row>
        <row r="565">
          <cell r="C565" t="str">
            <v>Produksi Gorong-gorong / hari</v>
          </cell>
          <cell r="G565" t="str">
            <v>Qt</v>
          </cell>
          <cell r="H565">
            <v>6</v>
          </cell>
          <cell r="I565" t="str">
            <v>M'</v>
          </cell>
        </row>
        <row r="566">
          <cell r="C566" t="str">
            <v>Kebutuhan tenaga :</v>
          </cell>
        </row>
        <row r="567">
          <cell r="D567" t="str">
            <v>- Pekerja</v>
          </cell>
          <cell r="G567" t="str">
            <v>P</v>
          </cell>
          <cell r="H567">
            <v>8</v>
          </cell>
          <cell r="I567" t="str">
            <v>orang</v>
          </cell>
        </row>
        <row r="568">
          <cell r="D568" t="str">
            <v>- Tukang</v>
          </cell>
          <cell r="G568" t="str">
            <v>T</v>
          </cell>
          <cell r="H568">
            <v>1</v>
          </cell>
          <cell r="I568" t="str">
            <v>orang</v>
          </cell>
        </row>
        <row r="569">
          <cell r="D569" t="str">
            <v>- Mandor</v>
          </cell>
          <cell r="G569" t="str">
            <v>M</v>
          </cell>
          <cell r="H569">
            <v>1</v>
          </cell>
          <cell r="I569" t="str">
            <v>orang</v>
          </cell>
        </row>
        <row r="571">
          <cell r="C571" t="str">
            <v>Koefisien tenaga / M'   :</v>
          </cell>
        </row>
        <row r="572">
          <cell r="D572" t="str">
            <v>- Pekerja</v>
          </cell>
          <cell r="E572" t="str">
            <v>= (Tk x P) : Qt</v>
          </cell>
          <cell r="G572" t="str">
            <v>(L01)</v>
          </cell>
          <cell r="H572">
            <v>9.3333333333333339</v>
          </cell>
          <cell r="I572" t="str">
            <v>jam</v>
          </cell>
        </row>
        <row r="573">
          <cell r="D573" t="str">
            <v>- Tukang</v>
          </cell>
          <cell r="E573" t="str">
            <v>= (Tk x T) : Qt</v>
          </cell>
          <cell r="G573" t="str">
            <v>(L02)</v>
          </cell>
          <cell r="H573">
            <v>1.1666666666666667</v>
          </cell>
          <cell r="I573" t="str">
            <v>jam</v>
          </cell>
        </row>
        <row r="574">
          <cell r="D574" t="str">
            <v>- Mandor</v>
          </cell>
          <cell r="E574" t="str">
            <v>= (Tk x M) : Qt</v>
          </cell>
          <cell r="G574" t="str">
            <v>(L03)</v>
          </cell>
          <cell r="H574">
            <v>1.1666666666666667</v>
          </cell>
          <cell r="I574" t="str">
            <v>jam</v>
          </cell>
        </row>
        <row r="576">
          <cell r="A576" t="str">
            <v>4.</v>
          </cell>
          <cell r="C576" t="str">
            <v>HARGA DASAR SATUAN UPAH, BAHAN DAN ALAT</v>
          </cell>
        </row>
        <row r="577">
          <cell r="C577" t="str">
            <v>Lihat lampiran.</v>
          </cell>
        </row>
        <row r="580">
          <cell r="A580" t="str">
            <v>5.</v>
          </cell>
          <cell r="C580" t="str">
            <v>ANALISA HARGA SATUAN PEKERJAAN</v>
          </cell>
        </row>
        <row r="581">
          <cell r="C581" t="str">
            <v>Lihat perhitungan dalam FORMULIR STANDAR UNTUK</v>
          </cell>
        </row>
        <row r="582">
          <cell r="C582" t="str">
            <v>PEREKEMAN ANALISA MASING-MASING HARGA</v>
          </cell>
        </row>
        <row r="583">
          <cell r="C583" t="str">
            <v>SATUAN.</v>
          </cell>
        </row>
        <row r="584">
          <cell r="C584" t="str">
            <v>Didapat Harga Satuan Pekerjaan :</v>
          </cell>
        </row>
        <row r="586">
          <cell r="C586" t="str">
            <v xml:space="preserve">Rp.  </v>
          </cell>
          <cell r="D586">
            <v>447945.27138535964</v>
          </cell>
          <cell r="E586" t="str">
            <v xml:space="preserve"> / M'</v>
          </cell>
        </row>
        <row r="589">
          <cell r="A589" t="str">
            <v>6.</v>
          </cell>
          <cell r="C589" t="str">
            <v>WAKTU PELAKSANAAN YANG DIPERLUKAN</v>
          </cell>
        </row>
        <row r="590">
          <cell r="C590" t="str">
            <v>Masa Pelaksanaan :</v>
          </cell>
          <cell r="D590" t="str">
            <v>. . . . . . . . . . . .</v>
          </cell>
          <cell r="E590" t="str">
            <v>bulan</v>
          </cell>
        </row>
        <row r="592">
          <cell r="A592" t="str">
            <v>7.</v>
          </cell>
          <cell r="C592" t="str">
            <v>VOLUME PEKERJAAN YANG DIPERLUKAN</v>
          </cell>
        </row>
        <row r="593">
          <cell r="C593" t="str">
            <v>Volume pekerjaan  :</v>
          </cell>
          <cell r="D593">
            <v>1</v>
          </cell>
          <cell r="E593" t="str">
            <v>M'</v>
          </cell>
        </row>
        <row r="603">
          <cell r="A603" t="str">
            <v>ITEM PEMBAYARAN NO.</v>
          </cell>
          <cell r="D603" t="str">
            <v>:  2.3 (4)</v>
          </cell>
          <cell r="J603" t="str">
            <v>Analisa EI-234</v>
          </cell>
        </row>
        <row r="604">
          <cell r="A604" t="str">
            <v>JENIS PEKERJAAN</v>
          </cell>
          <cell r="D604" t="str">
            <v>:  Gorong2 Pipa Beton Bertulang, 1 m &lt; diameter dalam &lt; 1.3 m</v>
          </cell>
          <cell r="L604" t="str">
            <v>FORMULIR STANDAR UNTUK</v>
          </cell>
        </row>
        <row r="605">
          <cell r="A605" t="str">
            <v>SATUAN PEMBAYARAN</v>
          </cell>
          <cell r="D605" t="str">
            <v>:  M1</v>
          </cell>
          <cell r="J605" t="str">
            <v xml:space="preserve">         URAIAN ANALISA HARGA SATUAN</v>
          </cell>
          <cell r="L605" t="str">
            <v>PEREKAMAN ANALISA MASING-MASING HARGA SATUAN</v>
          </cell>
        </row>
        <row r="606">
          <cell r="L606" t="str">
            <v/>
          </cell>
        </row>
        <row r="608">
          <cell r="A608" t="str">
            <v>No.</v>
          </cell>
          <cell r="C608" t="str">
            <v>U R A I A N</v>
          </cell>
          <cell r="G608" t="str">
            <v>KODE</v>
          </cell>
          <cell r="H608" t="str">
            <v>KOEF.</v>
          </cell>
          <cell r="I608" t="str">
            <v>SATUAN</v>
          </cell>
          <cell r="J608" t="str">
            <v>KETERANGAN</v>
          </cell>
        </row>
        <row r="609">
          <cell r="L609" t="str">
            <v>PROYEK</v>
          </cell>
          <cell r="O609" t="str">
            <v>:</v>
          </cell>
        </row>
        <row r="610">
          <cell r="L610" t="str">
            <v>No. PAKET KONTRAK</v>
          </cell>
          <cell r="O610" t="str">
            <v>:</v>
          </cell>
        </row>
        <row r="611">
          <cell r="A611" t="str">
            <v>I.</v>
          </cell>
          <cell r="C611" t="str">
            <v>ASUMSI</v>
          </cell>
          <cell r="L611" t="str">
            <v>NAMA PAKET</v>
          </cell>
          <cell r="O611" t="str">
            <v>:</v>
          </cell>
        </row>
        <row r="612">
          <cell r="A612">
            <v>1</v>
          </cell>
          <cell r="C612" t="str">
            <v>Pekerjaan dilakukan secara mekanik/manual</v>
          </cell>
          <cell r="L612" t="str">
            <v>PROP / KAB / KODYA</v>
          </cell>
          <cell r="O612" t="str">
            <v>:</v>
          </cell>
        </row>
        <row r="613">
          <cell r="A613">
            <v>2</v>
          </cell>
          <cell r="C613" t="str">
            <v>Lokasi pekerjaan : sepanjang jalan</v>
          </cell>
          <cell r="L613" t="str">
            <v>ITEM PEMBAYARAN NO.</v>
          </cell>
          <cell r="O613" t="str">
            <v>:  2.3 (4)</v>
          </cell>
          <cell r="R613" t="str">
            <v>PERKIRAAN VOL. PEK.</v>
          </cell>
          <cell r="T613" t="str">
            <v>:</v>
          </cell>
          <cell r="U613">
            <v>1</v>
          </cell>
        </row>
        <row r="614">
          <cell r="A614">
            <v>3</v>
          </cell>
          <cell r="C614" t="str">
            <v>Diameter bagian dalam gorong-gorong</v>
          </cell>
          <cell r="G614" t="str">
            <v>d</v>
          </cell>
          <cell r="H614">
            <v>1.2</v>
          </cell>
          <cell r="I614" t="str">
            <v>m</v>
          </cell>
          <cell r="L614" t="str">
            <v>JENIS PEKERJAAN</v>
          </cell>
          <cell r="O614" t="str">
            <v>:  Gorong2 Pipa Beton Bertulang, 1 m &lt; diameter dalam &lt; 1.3 m</v>
          </cell>
          <cell r="R614" t="str">
            <v>TOTAL HARGA (Rp.)</v>
          </cell>
          <cell r="T614" t="str">
            <v>:</v>
          </cell>
          <cell r="U614">
            <v>447945.27138535964</v>
          </cell>
        </row>
        <row r="615">
          <cell r="A615">
            <v>4</v>
          </cell>
          <cell r="C615" t="str">
            <v>Jarak rata-rata Base Camp ke lokasi pekerjaan</v>
          </cell>
          <cell r="G615" t="str">
            <v>L</v>
          </cell>
          <cell r="H615">
            <v>8.7249999999999996</v>
          </cell>
          <cell r="I615" t="str">
            <v>Km</v>
          </cell>
          <cell r="L615" t="str">
            <v>SATUAN PEMBAYARAN</v>
          </cell>
          <cell r="O615" t="str">
            <v>:  M1</v>
          </cell>
          <cell r="Q615">
            <v>0</v>
          </cell>
          <cell r="R615" t="str">
            <v>% THD. BIAYA PROYEK</v>
          </cell>
          <cell r="T615" t="str">
            <v>:</v>
          </cell>
          <cell r="U615" t="e">
            <v>#DIV/0!</v>
          </cell>
        </row>
        <row r="616">
          <cell r="A616">
            <v>5</v>
          </cell>
          <cell r="C616" t="str">
            <v>Jam kerja efektif per-hari</v>
          </cell>
          <cell r="G616" t="str">
            <v>Tk</v>
          </cell>
          <cell r="H616">
            <v>7</v>
          </cell>
          <cell r="I616" t="str">
            <v>Jam</v>
          </cell>
        </row>
        <row r="617">
          <cell r="A617">
            <v>6</v>
          </cell>
          <cell r="C617" t="str">
            <v>Tebal gorong-gorong</v>
          </cell>
          <cell r="G617" t="str">
            <v>tg</v>
          </cell>
          <cell r="H617">
            <v>10</v>
          </cell>
          <cell r="I617" t="str">
            <v>Cm</v>
          </cell>
        </row>
        <row r="618">
          <cell r="Q618" t="str">
            <v>PERKIRAAN</v>
          </cell>
          <cell r="R618" t="str">
            <v>HARGA</v>
          </cell>
          <cell r="S618" t="str">
            <v>JUMLAH</v>
          </cell>
        </row>
        <row r="619">
          <cell r="A619" t="str">
            <v>II.</v>
          </cell>
          <cell r="C619" t="str">
            <v>URUTAN KERJA</v>
          </cell>
          <cell r="L619" t="str">
            <v>NO.</v>
          </cell>
          <cell r="N619" t="str">
            <v>KOMPONEN</v>
          </cell>
          <cell r="P619" t="str">
            <v>SATUAN</v>
          </cell>
          <cell r="Q619" t="str">
            <v>KUANTITAS</v>
          </cell>
          <cell r="R619" t="str">
            <v>SATUAN</v>
          </cell>
          <cell r="S619" t="str">
            <v>HARGA</v>
          </cell>
        </row>
        <row r="620">
          <cell r="A620">
            <v>1</v>
          </cell>
          <cell r="C620" t="str">
            <v>Gorong-gorong dicetak di Base Camp</v>
          </cell>
          <cell r="R620" t="str">
            <v>(Rp.)</v>
          </cell>
          <cell r="S620" t="str">
            <v>(Rp.)</v>
          </cell>
        </row>
        <row r="621">
          <cell r="A621">
            <v>2</v>
          </cell>
          <cell r="C621" t="str">
            <v>Dump Truck mengangkut gorong-gorong jadi</v>
          </cell>
        </row>
        <row r="622">
          <cell r="C622" t="str">
            <v>ke lapangan</v>
          </cell>
        </row>
        <row r="623">
          <cell r="A623">
            <v>3</v>
          </cell>
          <cell r="C623" t="str">
            <v>Dasar gorong-gorong digali sesuai kebutuhan dan ma-</v>
          </cell>
          <cell r="L623" t="str">
            <v>A.</v>
          </cell>
          <cell r="N623" t="str">
            <v>TENAGA</v>
          </cell>
        </row>
        <row r="624">
          <cell r="C624" t="str">
            <v>terial backfill dipadatkan dengan Tamper</v>
          </cell>
        </row>
        <row r="625">
          <cell r="A625">
            <v>4</v>
          </cell>
          <cell r="C625" t="str">
            <v>Tebal lapis porus pada dasar gorong-gorong pipa</v>
          </cell>
          <cell r="G625" t="str">
            <v>tp</v>
          </cell>
          <cell r="H625">
            <v>0.18</v>
          </cell>
          <cell r="I625" t="str">
            <v>M</v>
          </cell>
          <cell r="J625" t="str">
            <v xml:space="preserve"> Sand bedding</v>
          </cell>
          <cell r="L625" t="str">
            <v>1.</v>
          </cell>
          <cell r="N625" t="str">
            <v>Pekerja</v>
          </cell>
          <cell r="O625" t="str">
            <v>(L01)</v>
          </cell>
          <cell r="P625" t="str">
            <v>Jam</v>
          </cell>
          <cell r="Q625">
            <v>9.3333333333333339</v>
          </cell>
          <cell r="R625">
            <v>2857.14</v>
          </cell>
          <cell r="U625">
            <v>26666.639999999999</v>
          </cell>
        </row>
        <row r="626">
          <cell r="A626">
            <v>5</v>
          </cell>
          <cell r="C626" t="str">
            <v>Material pilihan untuk penimbunan kembali (padat)</v>
          </cell>
          <cell r="L626" t="str">
            <v>2.</v>
          </cell>
          <cell r="N626" t="str">
            <v>Tukang</v>
          </cell>
          <cell r="O626" t="str">
            <v>(L02)</v>
          </cell>
          <cell r="P626" t="str">
            <v>Jam</v>
          </cell>
          <cell r="Q626">
            <v>1.1666666666666667</v>
          </cell>
          <cell r="R626">
            <v>4285.71</v>
          </cell>
          <cell r="U626">
            <v>4999.9950000000008</v>
          </cell>
        </row>
        <row r="627">
          <cell r="A627">
            <v>6</v>
          </cell>
          <cell r="C627" t="str">
            <v>Sekelompok pekerja akan melaksanakan pekerjaan</v>
          </cell>
          <cell r="L627" t="str">
            <v>3.</v>
          </cell>
          <cell r="N627" t="str">
            <v>Mandor</v>
          </cell>
          <cell r="O627" t="str">
            <v>(L03)</v>
          </cell>
          <cell r="P627" t="str">
            <v>Jam</v>
          </cell>
          <cell r="Q627">
            <v>1.1666666666666667</v>
          </cell>
          <cell r="R627">
            <v>3214.29</v>
          </cell>
          <cell r="U627">
            <v>3750.0050000000001</v>
          </cell>
        </row>
        <row r="628">
          <cell r="C628" t="str">
            <v>dengan cara manual dengan menggunakan alat bantu</v>
          </cell>
        </row>
        <row r="629">
          <cell r="Q629" t="str">
            <v xml:space="preserve">JUMLAH HARGA TENAGA   </v>
          </cell>
          <cell r="U629">
            <v>35416.639999999999</v>
          </cell>
        </row>
        <row r="631">
          <cell r="A631" t="str">
            <v>III.</v>
          </cell>
          <cell r="C631" t="str">
            <v>PEMAKAIAN BAHAN, ALAT DAN TENAGA</v>
          </cell>
          <cell r="L631" t="str">
            <v>B.</v>
          </cell>
          <cell r="N631" t="str">
            <v>BAHAN</v>
          </cell>
        </row>
        <row r="632">
          <cell r="A632" t="str">
            <v xml:space="preserve">   1.</v>
          </cell>
          <cell r="C632" t="str">
            <v>BAHAN</v>
          </cell>
        </row>
        <row r="633">
          <cell r="C633" t="str">
            <v>Untuk mendapatkan 1 M' gorong-gorong diperlukan</v>
          </cell>
          <cell r="L633" t="str">
            <v>1.</v>
          </cell>
          <cell r="N633" t="str">
            <v>Beton K-300</v>
          </cell>
          <cell r="O633" t="str">
            <v>(EI-714)</v>
          </cell>
          <cell r="P633" t="str">
            <v>M3</v>
          </cell>
          <cell r="Q633">
            <v>0.40840704496667279</v>
          </cell>
          <cell r="R633">
            <v>652902.54982502444</v>
          </cell>
          <cell r="U633">
            <v>266650.00102524407</v>
          </cell>
        </row>
        <row r="634">
          <cell r="C634" t="str">
            <v>- Beton K-300 = (22/7*((2*tg/100+d)/2)^2)-(22/7*(d/2)^2))*1</v>
          </cell>
          <cell r="G634" t="str">
            <v>(EI-714)</v>
          </cell>
          <cell r="H634">
            <v>0.40840704496667279</v>
          </cell>
          <cell r="I634" t="str">
            <v>M3</v>
          </cell>
          <cell r="L634" t="str">
            <v>2.</v>
          </cell>
          <cell r="N634" t="str">
            <v>Baja Tulangan</v>
          </cell>
          <cell r="O634" t="str">
            <v>(M39)</v>
          </cell>
          <cell r="P634" t="str">
            <v>Kg</v>
          </cell>
          <cell r="Q634">
            <v>44.924774946334011</v>
          </cell>
          <cell r="R634">
            <v>4000</v>
          </cell>
          <cell r="U634">
            <v>179699.09978533603</v>
          </cell>
        </row>
        <row r="635">
          <cell r="C635" t="str">
            <v>- Baja Tulangan (asumsi 100kg/m3)</v>
          </cell>
          <cell r="G635" t="str">
            <v>(M39)</v>
          </cell>
          <cell r="H635">
            <v>44.924774946334011</v>
          </cell>
          <cell r="I635" t="str">
            <v>Kg</v>
          </cell>
          <cell r="L635" t="str">
            <v>3.</v>
          </cell>
          <cell r="N635" t="str">
            <v>Urugan Porus</v>
          </cell>
          <cell r="O635" t="str">
            <v>(EI-241)</v>
          </cell>
          <cell r="P635" t="str">
            <v>M3</v>
          </cell>
          <cell r="Q635">
            <v>0.41580000000000006</v>
          </cell>
          <cell r="R635">
            <v>186901.40625406182</v>
          </cell>
          <cell r="U635">
            <v>77713.604720438918</v>
          </cell>
        </row>
        <row r="636">
          <cell r="C636" t="str">
            <v>- Timbunan Porus      = {(tp*(0.4+2*tg/100+d+0.4)*1)*1.05}</v>
          </cell>
          <cell r="G636" t="str">
            <v>(EI-241)</v>
          </cell>
          <cell r="H636">
            <v>0.41580000000000006</v>
          </cell>
          <cell r="I636" t="str">
            <v>M3</v>
          </cell>
          <cell r="L636" t="str">
            <v>4.</v>
          </cell>
          <cell r="N636" t="str">
            <v>Mat. Pilihan</v>
          </cell>
          <cell r="O636" t="str">
            <v>(M09)</v>
          </cell>
          <cell r="P636" t="str">
            <v>M3</v>
          </cell>
          <cell r="Q636">
            <v>2.3100000000000005</v>
          </cell>
          <cell r="R636">
            <v>25000</v>
          </cell>
          <cell r="U636">
            <v>57750.000000000015</v>
          </cell>
        </row>
        <row r="637">
          <cell r="C637" t="str">
            <v>- Material Pilihan</v>
          </cell>
          <cell r="D637" t="str">
            <v>= ((2*tg/100+d+0.3)*(0.4+2*tg/100+d+0.4)</v>
          </cell>
          <cell r="G637" t="str">
            <v>(M09)</v>
          </cell>
          <cell r="H637">
            <v>2.3100000000000005</v>
          </cell>
          <cell r="I637" t="str">
            <v>M3</v>
          </cell>
          <cell r="J637" t="str">
            <v xml:space="preserve"> = Vp</v>
          </cell>
        </row>
        <row r="638">
          <cell r="D638" t="str">
            <v xml:space="preserve">   -(22/7*(0.5*(2*tg/100+d))^2))*1*1.05</v>
          </cell>
        </row>
        <row r="639">
          <cell r="A639" t="str">
            <v xml:space="preserve">   2.</v>
          </cell>
          <cell r="C639" t="str">
            <v>ALAT</v>
          </cell>
          <cell r="Q639" t="str">
            <v xml:space="preserve">JUMLAH HARGA BAHAN   </v>
          </cell>
          <cell r="U639">
            <v>581812.70553101902</v>
          </cell>
        </row>
        <row r="640">
          <cell r="A640" t="str">
            <v>2.a.</v>
          </cell>
          <cell r="C640" t="str">
            <v>TAMPER</v>
          </cell>
          <cell r="G640" t="str">
            <v>(E25)</v>
          </cell>
        </row>
        <row r="641">
          <cell r="C641" t="str">
            <v>Kecepatan</v>
          </cell>
          <cell r="G641" t="str">
            <v>V</v>
          </cell>
          <cell r="H641">
            <v>0.5</v>
          </cell>
          <cell r="I641" t="str">
            <v>Km / Jam</v>
          </cell>
          <cell r="L641" t="str">
            <v>C.</v>
          </cell>
          <cell r="N641" t="str">
            <v>PERALATAN</v>
          </cell>
        </row>
        <row r="642">
          <cell r="C642" t="str">
            <v>Efisiensi alat</v>
          </cell>
          <cell r="G642" t="str">
            <v>Fa</v>
          </cell>
          <cell r="H642">
            <v>0.83</v>
          </cell>
          <cell r="I642" t="str">
            <v>-</v>
          </cell>
        </row>
        <row r="643">
          <cell r="C643" t="str">
            <v>Lebar pemadatan</v>
          </cell>
          <cell r="G643" t="str">
            <v>Lb</v>
          </cell>
          <cell r="H643">
            <v>0.4</v>
          </cell>
          <cell r="I643" t="str">
            <v>M</v>
          </cell>
          <cell r="L643" t="str">
            <v>1.</v>
          </cell>
          <cell r="N643" t="str">
            <v>Tamper</v>
          </cell>
          <cell r="O643" t="str">
            <v>(E25)</v>
          </cell>
          <cell r="P643" t="str">
            <v>Jam</v>
          </cell>
          <cell r="Q643">
            <v>0.69578313253012058</v>
          </cell>
          <cell r="R643">
            <v>18672.16854694486</v>
          </cell>
          <cell r="U643">
            <v>12991.779922723685</v>
          </cell>
        </row>
        <row r="644">
          <cell r="C644" t="str">
            <v>Banyak lintasan</v>
          </cell>
          <cell r="G644" t="str">
            <v>n</v>
          </cell>
          <cell r="H644">
            <v>10</v>
          </cell>
          <cell r="I644" t="str">
            <v>lintasan</v>
          </cell>
          <cell r="L644" t="str">
            <v>2.</v>
          </cell>
          <cell r="N644" t="str">
            <v>Dump Truck</v>
          </cell>
          <cell r="O644" t="str">
            <v>(E08)</v>
          </cell>
          <cell r="P644" t="str">
            <v>Jam</v>
          </cell>
          <cell r="Q644">
            <v>0.36926455823293175</v>
          </cell>
          <cell r="R644">
            <v>153645.58193291764</v>
          </cell>
          <cell r="U644">
            <v>56735.867936900555</v>
          </cell>
        </row>
        <row r="645">
          <cell r="C645" t="str">
            <v>Tebal lapis hamparan</v>
          </cell>
          <cell r="G645" t="str">
            <v>tp</v>
          </cell>
          <cell r="H645">
            <v>0.2</v>
          </cell>
          <cell r="I645" t="str">
            <v>M</v>
          </cell>
          <cell r="L645" t="str">
            <v>3.</v>
          </cell>
          <cell r="N645" t="str">
            <v>Alat  Bantu</v>
          </cell>
          <cell r="P645" t="str">
            <v>Ls</v>
          </cell>
          <cell r="Q645">
            <v>1</v>
          </cell>
          <cell r="R645">
            <v>1000</v>
          </cell>
          <cell r="U645">
            <v>1000</v>
          </cell>
        </row>
        <row r="648">
          <cell r="C648" t="str">
            <v>Kap. Prod. / Jam   =</v>
          </cell>
          <cell r="D648" t="str">
            <v>v x 1000 x Fa x Lb x 60</v>
          </cell>
          <cell r="G648" t="str">
            <v>Q1</v>
          </cell>
          <cell r="H648">
            <v>3.3200000000000003</v>
          </cell>
          <cell r="I648" t="str">
            <v xml:space="preserve">M3 / Jam </v>
          </cell>
        </row>
        <row r="649">
          <cell r="D649" t="str">
            <v xml:space="preserve">    n x tp</v>
          </cell>
        </row>
        <row r="651">
          <cell r="C651" t="str">
            <v>Koefisien Alat / m'</v>
          </cell>
          <cell r="D651" t="str">
            <v xml:space="preserve"> =  1  :  Q1 x Vp</v>
          </cell>
          <cell r="G651" t="str">
            <v>(E25)</v>
          </cell>
          <cell r="H651">
            <v>0.69578313253012058</v>
          </cell>
          <cell r="I651" t="str">
            <v>jam</v>
          </cell>
          <cell r="Q651" t="str">
            <v xml:space="preserve">JUMLAH HARGA PERALATAN   </v>
          </cell>
          <cell r="U651">
            <v>70727.647859624238</v>
          </cell>
        </row>
        <row r="653">
          <cell r="A653" t="str">
            <v>2.b.</v>
          </cell>
          <cell r="C653" t="str">
            <v>DUMP TRUCK</v>
          </cell>
          <cell r="G653" t="str">
            <v>(E08)</v>
          </cell>
          <cell r="L653" t="str">
            <v>D.</v>
          </cell>
          <cell r="N653" t="str">
            <v>JUMLAH HARGA TENAGA, BAHAN DAN PERALATAN  ( A + B + C )</v>
          </cell>
          <cell r="U653">
            <v>687956.99339064327</v>
          </cell>
        </row>
        <row r="654">
          <cell r="C654" t="str">
            <v>Kapasitas bak sekali muat</v>
          </cell>
          <cell r="G654" t="str">
            <v>V</v>
          </cell>
          <cell r="H654">
            <v>4</v>
          </cell>
          <cell r="I654" t="str">
            <v>Buah/M'</v>
          </cell>
          <cell r="L654" t="str">
            <v>E.</v>
          </cell>
          <cell r="N654" t="str">
            <v>OVERHEAD &amp; PROFIT</v>
          </cell>
          <cell r="P654">
            <v>10</v>
          </cell>
          <cell r="Q654" t="str">
            <v>%  x  D</v>
          </cell>
          <cell r="U654">
            <v>68795.699339064333</v>
          </cell>
        </row>
        <row r="655">
          <cell r="C655" t="str">
            <v>Faktor efisiensi alat</v>
          </cell>
          <cell r="G655" t="str">
            <v>Fa</v>
          </cell>
          <cell r="H655">
            <v>0.83</v>
          </cell>
          <cell r="L655" t="str">
            <v>F.</v>
          </cell>
          <cell r="N655" t="str">
            <v>HARGA SATUAN PEKERJAAN  ( D + E )</v>
          </cell>
          <cell r="U655">
            <v>756752.69272970757</v>
          </cell>
        </row>
        <row r="656">
          <cell r="C656" t="str">
            <v>Kecepatanrata-rata bermuatan</v>
          </cell>
          <cell r="G656" t="str">
            <v>v1</v>
          </cell>
          <cell r="H656">
            <v>40</v>
          </cell>
          <cell r="L656" t="str">
            <v>Note: 1</v>
          </cell>
          <cell r="N656" t="str">
            <v>SATUAN dapat berdasarkan atas jam operasi untuk Tenaga Kerja dan Peralatan, volume dan/atau ukuran</v>
          </cell>
        </row>
        <row r="657">
          <cell r="C657" t="str">
            <v>Kecepatan rata-rata kosong</v>
          </cell>
          <cell r="G657" t="str">
            <v>v2</v>
          </cell>
          <cell r="H657">
            <v>50</v>
          </cell>
          <cell r="N657" t="str">
            <v>berat untuk bahan-bahan.</v>
          </cell>
        </row>
        <row r="658">
          <cell r="C658" t="str">
            <v>Waktu siklus    :</v>
          </cell>
          <cell r="G658" t="str">
            <v>Ts</v>
          </cell>
          <cell r="L658">
            <v>2</v>
          </cell>
          <cell r="N658" t="str">
            <v>Kuantitas satuan adalah kuantitas setiap komponen untuk menyelesaikan satu satuan pekerjaan dari nomor</v>
          </cell>
        </row>
        <row r="659">
          <cell r="C659" t="str">
            <v>- Waktu  tempuh in  si    = (L : v1 ) x 60</v>
          </cell>
          <cell r="G659" t="str">
            <v>T1</v>
          </cell>
          <cell r="H659">
            <v>13.087499999999999</v>
          </cell>
          <cell r="I659" t="str">
            <v>menit</v>
          </cell>
          <cell r="N659" t="str">
            <v>mata pembayaran.</v>
          </cell>
        </row>
        <row r="660">
          <cell r="C660" t="str">
            <v>-  Waktutempuh kosong  = (L : v2)  x  60</v>
          </cell>
          <cell r="G660" t="str">
            <v>T2</v>
          </cell>
          <cell r="H660">
            <v>10.469999999999999</v>
          </cell>
          <cell r="I660" t="str">
            <v>menit</v>
          </cell>
          <cell r="L660">
            <v>3</v>
          </cell>
          <cell r="N660" t="str">
            <v>Biaya satuan untuk peralatan sudah termasuk bahan bakar, bahan habis dipakai dan operator.</v>
          </cell>
        </row>
        <row r="661">
          <cell r="C661" t="str">
            <v>- Muat, bongkar dan lain-lain</v>
          </cell>
          <cell r="G661" t="str">
            <v>T3</v>
          </cell>
          <cell r="H661">
            <v>50</v>
          </cell>
          <cell r="I661" t="str">
            <v>menit</v>
          </cell>
          <cell r="L661">
            <v>4</v>
          </cell>
          <cell r="N661" t="str">
            <v>Biaya satuan sudah termasuk pengeluaran untuk seluruh pajak yang berkaitan (tetapi tidak termasuk PPN</v>
          </cell>
        </row>
        <row r="662">
          <cell r="G662" t="str">
            <v>Ts</v>
          </cell>
          <cell r="H662">
            <v>73.557500000000005</v>
          </cell>
          <cell r="I662" t="str">
            <v>menit</v>
          </cell>
          <cell r="N662" t="str">
            <v>yang dibayar dari kontrak) dan biaya-biaya lainnya.</v>
          </cell>
        </row>
        <row r="663">
          <cell r="J663" t="str">
            <v>Berlanjut ke halaman berikut</v>
          </cell>
        </row>
        <row r="664">
          <cell r="A664" t="str">
            <v>ITEM PEMBAYARAN NO.</v>
          </cell>
          <cell r="D664" t="str">
            <v>:  2.3 (4)</v>
          </cell>
          <cell r="J664" t="str">
            <v>Analisa EI-234</v>
          </cell>
        </row>
        <row r="665">
          <cell r="A665" t="str">
            <v>JENIS PEKERJAAN</v>
          </cell>
          <cell r="D665" t="str">
            <v>:  Gorong2 Pipa Beton Bertulang, 1 m &lt; diameter dalam &lt; 1.3 m</v>
          </cell>
        </row>
        <row r="666">
          <cell r="A666" t="str">
            <v>SATUAN PEMBAYARAN</v>
          </cell>
          <cell r="D666" t="str">
            <v>:  M1</v>
          </cell>
          <cell r="J666" t="str">
            <v xml:space="preserve">         URAIAN ANALISA HARGA SATUAN</v>
          </cell>
        </row>
        <row r="667">
          <cell r="J667" t="str">
            <v>Lanjutan</v>
          </cell>
        </row>
        <row r="669">
          <cell r="A669" t="str">
            <v>No.</v>
          </cell>
          <cell r="C669" t="str">
            <v>U R A I A N</v>
          </cell>
          <cell r="G669" t="str">
            <v>KODE</v>
          </cell>
          <cell r="H669" t="str">
            <v>KOEF.</v>
          </cell>
          <cell r="I669" t="str">
            <v>SATUAN</v>
          </cell>
          <cell r="J669" t="str">
            <v>KETERANGAN</v>
          </cell>
        </row>
        <row r="672">
          <cell r="C672" t="str">
            <v>Kapasitas Produksi / Jam   =</v>
          </cell>
          <cell r="E672" t="str">
            <v>V x Fa x 60</v>
          </cell>
          <cell r="G672" t="str">
            <v>Q2</v>
          </cell>
          <cell r="H672">
            <v>2.7080855113346698</v>
          </cell>
          <cell r="I672" t="str">
            <v xml:space="preserve">M' / Jam </v>
          </cell>
        </row>
        <row r="673">
          <cell r="E673" t="str">
            <v xml:space="preserve">    Ts</v>
          </cell>
        </row>
        <row r="675">
          <cell r="C675" t="str">
            <v>Koefisien Alat / m'</v>
          </cell>
          <cell r="D675" t="str">
            <v xml:space="preserve"> =  1  :  Q2</v>
          </cell>
          <cell r="G675" t="str">
            <v>(E08)</v>
          </cell>
          <cell r="H675">
            <v>0.36926455823293175</v>
          </cell>
          <cell r="I675" t="str">
            <v>jam</v>
          </cell>
        </row>
        <row r="678">
          <cell r="A678" t="str">
            <v>2.c.</v>
          </cell>
          <cell r="C678" t="str">
            <v>ALAT  BANTU</v>
          </cell>
        </row>
        <row r="679">
          <cell r="C679" t="str">
            <v>Diperlukan alat-alat bantu kecil</v>
          </cell>
          <cell r="J679" t="str">
            <v>Lump Sump</v>
          </cell>
        </row>
        <row r="680">
          <cell r="C680" t="str">
            <v>- Sekop    =         3   buah</v>
          </cell>
        </row>
        <row r="681">
          <cell r="C681" t="str">
            <v>- Pacul     =         3   buah</v>
          </cell>
        </row>
        <row r="682">
          <cell r="C682" t="str">
            <v>- Alat-alat kecil lain</v>
          </cell>
        </row>
        <row r="684">
          <cell r="A684" t="str">
            <v xml:space="preserve">   3.</v>
          </cell>
          <cell r="C684" t="str">
            <v>TENAGA</v>
          </cell>
        </row>
        <row r="685">
          <cell r="C685" t="str">
            <v>Produksi Gorong-gorong / hari</v>
          </cell>
          <cell r="G685" t="str">
            <v>Qt</v>
          </cell>
          <cell r="H685">
            <v>6</v>
          </cell>
          <cell r="I685" t="str">
            <v>M'</v>
          </cell>
        </row>
        <row r="686">
          <cell r="C686" t="str">
            <v>Kebutuhan tenaga :</v>
          </cell>
        </row>
        <row r="687">
          <cell r="D687" t="str">
            <v>- Pekerja</v>
          </cell>
          <cell r="G687" t="str">
            <v>P</v>
          </cell>
          <cell r="H687">
            <v>8</v>
          </cell>
          <cell r="I687" t="str">
            <v>orang</v>
          </cell>
        </row>
        <row r="688">
          <cell r="D688" t="str">
            <v>- Tukang</v>
          </cell>
          <cell r="G688" t="str">
            <v>T</v>
          </cell>
          <cell r="H688">
            <v>1</v>
          </cell>
          <cell r="I688" t="str">
            <v>orang</v>
          </cell>
        </row>
        <row r="689">
          <cell r="D689" t="str">
            <v>- Mandor</v>
          </cell>
          <cell r="G689" t="str">
            <v>M</v>
          </cell>
          <cell r="H689">
            <v>1</v>
          </cell>
          <cell r="I689" t="str">
            <v>orang</v>
          </cell>
        </row>
        <row r="691">
          <cell r="C691" t="str">
            <v>Koefisien tenaga / M'   :</v>
          </cell>
        </row>
        <row r="692">
          <cell r="D692" t="str">
            <v>- Pekerja</v>
          </cell>
          <cell r="E692" t="str">
            <v>= (Tk x P) : Qt</v>
          </cell>
          <cell r="G692" t="str">
            <v>(L01)</v>
          </cell>
          <cell r="H692">
            <v>9.3333333333333339</v>
          </cell>
          <cell r="I692" t="str">
            <v>jam</v>
          </cell>
        </row>
        <row r="693">
          <cell r="D693" t="str">
            <v>- Tukang</v>
          </cell>
          <cell r="E693" t="str">
            <v>= (Tk x T) : Qt</v>
          </cell>
          <cell r="G693" t="str">
            <v>(L02)</v>
          </cell>
          <cell r="H693">
            <v>1.1666666666666667</v>
          </cell>
          <cell r="I693" t="str">
            <v>jam</v>
          </cell>
        </row>
        <row r="694">
          <cell r="D694" t="str">
            <v>- Mandor</v>
          </cell>
          <cell r="E694" t="str">
            <v>= (Tk x M) : Qt</v>
          </cell>
          <cell r="G694" t="str">
            <v>(L03)</v>
          </cell>
          <cell r="H694">
            <v>1.1666666666666667</v>
          </cell>
          <cell r="I694" t="str">
            <v>jam</v>
          </cell>
        </row>
        <row r="696">
          <cell r="A696" t="str">
            <v>4.</v>
          </cell>
          <cell r="C696" t="str">
            <v>HARGA DASAR SATUAN UPAH, BAHAN DAN ALAT</v>
          </cell>
        </row>
        <row r="697">
          <cell r="C697" t="str">
            <v>Lihat lampiran.</v>
          </cell>
        </row>
        <row r="700">
          <cell r="A700" t="str">
            <v>5.</v>
          </cell>
          <cell r="C700" t="str">
            <v>ANALISA HARGA SATUAN PEKERJAAN</v>
          </cell>
        </row>
        <row r="701">
          <cell r="C701" t="str">
            <v>Lihat perhitungan dalam FORMULIR STANDAR UNTUK</v>
          </cell>
        </row>
        <row r="702">
          <cell r="C702" t="str">
            <v>PEREKEMAN ANALISA MASING-MASING HARGA</v>
          </cell>
        </row>
        <row r="703">
          <cell r="C703" t="str">
            <v>SATUAN.</v>
          </cell>
        </row>
        <row r="704">
          <cell r="C704" t="str">
            <v>Didapat Harga Satuan Pekerjaan :</v>
          </cell>
        </row>
        <row r="706">
          <cell r="C706" t="str">
            <v xml:space="preserve">Rp.  </v>
          </cell>
          <cell r="D706">
            <v>756752.69272970757</v>
          </cell>
          <cell r="E706" t="str">
            <v xml:space="preserve"> / M'</v>
          </cell>
        </row>
        <row r="709">
          <cell r="A709" t="str">
            <v>6.</v>
          </cell>
          <cell r="C709" t="str">
            <v>WAKTU PELAKSANAAN YANG DIPERLUKAN</v>
          </cell>
        </row>
        <row r="710">
          <cell r="C710" t="str">
            <v>Masa Pelaksanaan :</v>
          </cell>
          <cell r="D710" t="str">
            <v>. . . . . . . . . . . .</v>
          </cell>
          <cell r="E710" t="str">
            <v>bulan</v>
          </cell>
        </row>
        <row r="712">
          <cell r="A712" t="str">
            <v>7.</v>
          </cell>
          <cell r="C712" t="str">
            <v>VOLUME PEKERJAAN YANG DIPERLUKAN</v>
          </cell>
        </row>
        <row r="713">
          <cell r="C713" t="str">
            <v>Volume pekerjaan  :</v>
          </cell>
          <cell r="D713">
            <v>1</v>
          </cell>
          <cell r="E713" t="str">
            <v>M'</v>
          </cell>
        </row>
        <row r="723">
          <cell r="A723" t="str">
            <v>ITEM PEMBAYARAN NO.</v>
          </cell>
          <cell r="D723" t="str">
            <v>:  2.3 (5)</v>
          </cell>
          <cell r="J723" t="str">
            <v>Analisa EI-236</v>
          </cell>
        </row>
        <row r="724">
          <cell r="A724" t="str">
            <v>JENIS PEKERJAAN</v>
          </cell>
          <cell r="D724" t="str">
            <v>: Gorong-Gorong Pipa Beton Bertulang, 1,3  m &lt; diameter dalam &lt; 1,5 m</v>
          </cell>
        </row>
        <row r="725">
          <cell r="A725" t="str">
            <v>SATUAN PEMBAYARAN</v>
          </cell>
          <cell r="D725" t="str">
            <v>: M1</v>
          </cell>
          <cell r="J725" t="str">
            <v xml:space="preserve">         URAIAN ANALISA HARGA SATUAN</v>
          </cell>
        </row>
        <row r="727">
          <cell r="A727" t="str">
            <v>ITEM PEMBAYARAN NO.</v>
          </cell>
          <cell r="D727" t="str">
            <v>:  2.3 (6)</v>
          </cell>
          <cell r="J727" t="str">
            <v>Analisa EI-236</v>
          </cell>
        </row>
        <row r="728">
          <cell r="A728" t="str">
            <v>JENIS PEKERJAAN</v>
          </cell>
          <cell r="D728" t="str">
            <v>: Gorong-Gorong Pipa Beton Bertulang, 1,5  m &lt; diameter dalam &lt;  2,3 m</v>
          </cell>
        </row>
        <row r="729">
          <cell r="A729" t="str">
            <v>SATUAN PEMBAYARAN</v>
          </cell>
          <cell r="D729" t="str">
            <v>: M1</v>
          </cell>
          <cell r="J729" t="str">
            <v xml:space="preserve">         URAIAN ANALISA HARGA SATUAN</v>
          </cell>
        </row>
        <row r="734">
          <cell r="A734" t="str">
            <v>ITEM PEMBAYARAN NO.</v>
          </cell>
          <cell r="D734" t="str">
            <v>:  2.3 (7)</v>
          </cell>
          <cell r="J734" t="str">
            <v>Analisa EI-236</v>
          </cell>
        </row>
        <row r="735">
          <cell r="A735" t="str">
            <v>JENIS PEKERJAAN</v>
          </cell>
          <cell r="D735" t="str">
            <v>:  Gorong2 Baja Bergelombang dengan dimensi … (mengacu pada SNI 03-6719-2002)</v>
          </cell>
        </row>
        <row r="736">
          <cell r="A736" t="str">
            <v>SATUAN PEMBAYARAN</v>
          </cell>
          <cell r="D736" t="str">
            <v>:  Ton</v>
          </cell>
          <cell r="J736" t="str">
            <v xml:space="preserve">         URAIAN ANALISA HARGA SATUAN</v>
          </cell>
        </row>
        <row r="739">
          <cell r="A739" t="str">
            <v>No.</v>
          </cell>
          <cell r="C739" t="str">
            <v>U R A I A N</v>
          </cell>
          <cell r="G739" t="str">
            <v>KODE</v>
          </cell>
          <cell r="H739" t="str">
            <v>KOEF.</v>
          </cell>
          <cell r="I739" t="str">
            <v>SATUAN</v>
          </cell>
          <cell r="J739" t="str">
            <v>KETERANGAN</v>
          </cell>
        </row>
        <row r="742">
          <cell r="A742" t="str">
            <v>I.</v>
          </cell>
          <cell r="C742" t="str">
            <v>ASUMSI</v>
          </cell>
        </row>
        <row r="743">
          <cell r="A743">
            <v>1</v>
          </cell>
          <cell r="C743" t="str">
            <v>Pekerjaan dilakukan secara mekanik/manual</v>
          </cell>
        </row>
        <row r="744">
          <cell r="A744">
            <v>2</v>
          </cell>
          <cell r="C744" t="str">
            <v>Lokasi pekerjaan : sepanjang jalan</v>
          </cell>
        </row>
        <row r="745">
          <cell r="A745">
            <v>3</v>
          </cell>
          <cell r="C745" t="str">
            <v>Diameter gorong-gorong baja</v>
          </cell>
          <cell r="G745" t="str">
            <v>d</v>
          </cell>
          <cell r="H745">
            <v>1</v>
          </cell>
          <cell r="I745" t="str">
            <v>m</v>
          </cell>
        </row>
        <row r="746">
          <cell r="A746">
            <v>4</v>
          </cell>
          <cell r="C746" t="str">
            <v>Jarak rata-rata Base Camp ke lokasi pekerjaan</v>
          </cell>
          <cell r="G746" t="str">
            <v>L</v>
          </cell>
          <cell r="H746">
            <v>8.7249999999999996</v>
          </cell>
          <cell r="I746" t="str">
            <v>Km</v>
          </cell>
        </row>
        <row r="747">
          <cell r="A747">
            <v>5</v>
          </cell>
          <cell r="C747" t="str">
            <v>Jam kerja efektif per-hari</v>
          </cell>
          <cell r="G747" t="str">
            <v>Tk</v>
          </cell>
          <cell r="H747">
            <v>7</v>
          </cell>
          <cell r="I747" t="str">
            <v>Jam</v>
          </cell>
        </row>
        <row r="748">
          <cell r="A748">
            <v>6</v>
          </cell>
          <cell r="C748" t="str">
            <v>Tebal gorong-gorong</v>
          </cell>
          <cell r="G748" t="str">
            <v>tg</v>
          </cell>
          <cell r="H748">
            <v>0.25</v>
          </cell>
          <cell r="I748" t="str">
            <v>Cm</v>
          </cell>
        </row>
        <row r="749">
          <cell r="A749">
            <v>7</v>
          </cell>
          <cell r="C749" t="str">
            <v>BJ Pipa Baja Bergelombang</v>
          </cell>
          <cell r="G749" t="str">
            <v>BJp</v>
          </cell>
          <cell r="H749">
            <v>7.9</v>
          </cell>
          <cell r="I749" t="str">
            <v>T/m3</v>
          </cell>
        </row>
        <row r="750">
          <cell r="G750" t="str">
            <v>BJp1</v>
          </cell>
          <cell r="H750">
            <v>0.12445321428571117</v>
          </cell>
          <cell r="I750" t="str">
            <v>T/m'</v>
          </cell>
        </row>
        <row r="751">
          <cell r="A751" t="str">
            <v>II.</v>
          </cell>
          <cell r="C751" t="str">
            <v>URUTAN KERJA</v>
          </cell>
        </row>
        <row r="753">
          <cell r="A753">
            <v>1</v>
          </cell>
          <cell r="C753" t="str">
            <v>Gorong-gorong baja diterima dari pemasok</v>
          </cell>
        </row>
        <row r="754">
          <cell r="C754" t="str">
            <v>di lokasi pekerjaan</v>
          </cell>
        </row>
        <row r="755">
          <cell r="A755">
            <v>3</v>
          </cell>
          <cell r="C755" t="str">
            <v>Dasar gorong-gorong digali sesuai kebutuhan dan ma-</v>
          </cell>
        </row>
        <row r="756">
          <cell r="C756" t="str">
            <v>terial backfill dipadatkan dengan Tamper</v>
          </cell>
        </row>
        <row r="757">
          <cell r="A757">
            <v>4</v>
          </cell>
          <cell r="C757" t="str">
            <v>Tebal lapis porus pada dasar gorong-gorong baja</v>
          </cell>
          <cell r="G757" t="str">
            <v>tp</v>
          </cell>
          <cell r="H757">
            <v>0.15</v>
          </cell>
          <cell r="I757" t="str">
            <v>M</v>
          </cell>
        </row>
        <row r="758">
          <cell r="A758">
            <v>5</v>
          </cell>
          <cell r="C758" t="str">
            <v>Material pilihan untuk penimbunan kembali (padat)</v>
          </cell>
        </row>
        <row r="759">
          <cell r="A759">
            <v>6</v>
          </cell>
          <cell r="C759" t="str">
            <v>Sekelompok pekerja akan melaksanakan pekerjaan</v>
          </cell>
        </row>
        <row r="760">
          <cell r="C760" t="str">
            <v>dengan cara manual dengan menggunakan alat bantu</v>
          </cell>
        </row>
        <row r="762">
          <cell r="A762" t="str">
            <v>III.</v>
          </cell>
          <cell r="C762" t="str">
            <v>PEMAKAIAN BAHAN, ALAT DAN TENAGA</v>
          </cell>
        </row>
        <row r="763">
          <cell r="A763" t="str">
            <v xml:space="preserve">   1.</v>
          </cell>
          <cell r="C763" t="str">
            <v>BAHAN</v>
          </cell>
        </row>
        <row r="764">
          <cell r="C764" t="str">
            <v>Untuk mendapatkan 1 M' gorong-gorong diperlukan</v>
          </cell>
        </row>
        <row r="765">
          <cell r="C765" t="str">
            <v>- Baja Bergelombang</v>
          </cell>
          <cell r="G765" t="str">
            <v>(M46)</v>
          </cell>
          <cell r="H765">
            <v>1050</v>
          </cell>
          <cell r="I765" t="str">
            <v>Kg</v>
          </cell>
        </row>
        <row r="766">
          <cell r="C766" t="str">
            <v>- Urugan Porus = {(tp*(0.5+2*tg/100+d+0.5)*1)*1.05} x (1/BJp1)</v>
          </cell>
          <cell r="G766" t="str">
            <v>(EI-241)</v>
          </cell>
          <cell r="H766">
            <v>2.5373993095512715</v>
          </cell>
          <cell r="I766" t="str">
            <v>M3</v>
          </cell>
        </row>
        <row r="767">
          <cell r="C767" t="str">
            <v>- Mat. Pilihan = {((2*tg/100+d+0.5)*(0.5+2*tg/100+d+0.5)</v>
          </cell>
          <cell r="G767" t="str">
            <v>(M09)</v>
          </cell>
          <cell r="H767">
            <v>18.763120248860478</v>
          </cell>
          <cell r="I767" t="str">
            <v>M3</v>
          </cell>
          <cell r="J767" t="str">
            <v xml:space="preserve"> = Vp</v>
          </cell>
        </row>
        <row r="768">
          <cell r="C768" t="str">
            <v xml:space="preserve">                      -(22/7*(0.5*(2*tg/100+d))^2)*1)*1.05} x (1/BJp1)</v>
          </cell>
        </row>
        <row r="770">
          <cell r="A770" t="str">
            <v xml:space="preserve">   2.</v>
          </cell>
          <cell r="C770" t="str">
            <v>ALAT</v>
          </cell>
        </row>
        <row r="771">
          <cell r="A771" t="str">
            <v>2.a.</v>
          </cell>
          <cell r="C771" t="str">
            <v>TAMPER</v>
          </cell>
          <cell r="G771" t="str">
            <v>(E25)</v>
          </cell>
        </row>
        <row r="772">
          <cell r="C772" t="str">
            <v>Kecepatan</v>
          </cell>
          <cell r="G772" t="str">
            <v>v</v>
          </cell>
          <cell r="H772">
            <v>0.5</v>
          </cell>
          <cell r="I772" t="str">
            <v>Km / Jam</v>
          </cell>
        </row>
        <row r="773">
          <cell r="C773" t="str">
            <v>Efisiensi alat</v>
          </cell>
          <cell r="G773" t="str">
            <v>Fa</v>
          </cell>
          <cell r="H773">
            <v>0.83</v>
          </cell>
          <cell r="I773" t="str">
            <v>-</v>
          </cell>
        </row>
        <row r="774">
          <cell r="C774" t="str">
            <v>Lebar pemadatan</v>
          </cell>
          <cell r="G774" t="str">
            <v>Lb</v>
          </cell>
          <cell r="H774">
            <v>0.4</v>
          </cell>
          <cell r="I774" t="str">
            <v>M</v>
          </cell>
        </row>
        <row r="775">
          <cell r="C775" t="str">
            <v>Banyak lintasan</v>
          </cell>
          <cell r="G775" t="str">
            <v>n</v>
          </cell>
          <cell r="H775">
            <v>10</v>
          </cell>
          <cell r="I775" t="str">
            <v>lintasan</v>
          </cell>
        </row>
        <row r="776">
          <cell r="C776" t="str">
            <v>Tebal lapis hamparan</v>
          </cell>
          <cell r="G776" t="str">
            <v>tp</v>
          </cell>
          <cell r="H776">
            <v>0.2</v>
          </cell>
          <cell r="I776" t="str">
            <v>M</v>
          </cell>
        </row>
        <row r="779">
          <cell r="C779" t="str">
            <v>Kap. Prod. / Jam   =</v>
          </cell>
          <cell r="D779" t="str">
            <v>v x 1000 x Fa x Lb x 60</v>
          </cell>
          <cell r="G779" t="str">
            <v>Q1</v>
          </cell>
          <cell r="H779">
            <v>3.3200000000000003</v>
          </cell>
          <cell r="I779" t="str">
            <v xml:space="preserve">M3 / Jam </v>
          </cell>
        </row>
        <row r="780">
          <cell r="D780" t="str">
            <v xml:space="preserve">    n x tp</v>
          </cell>
        </row>
        <row r="782">
          <cell r="C782" t="str">
            <v>Koefisien Alat / T</v>
          </cell>
          <cell r="D782" t="str">
            <v xml:space="preserve"> =  1  :  Q1 x Vp</v>
          </cell>
          <cell r="G782" t="str">
            <v>(E25)</v>
          </cell>
          <cell r="H782">
            <v>0.76427690046725039</v>
          </cell>
          <cell r="I782" t="str">
            <v>jam</v>
          </cell>
        </row>
        <row r="785">
          <cell r="A785" t="str">
            <v>2.c.</v>
          </cell>
          <cell r="C785" t="str">
            <v>ALAT  BANTU</v>
          </cell>
        </row>
        <row r="786">
          <cell r="C786" t="str">
            <v>Diperlukan alat-alat bantu kecil</v>
          </cell>
          <cell r="J786" t="str">
            <v>Lump Sump</v>
          </cell>
        </row>
        <row r="787">
          <cell r="C787" t="str">
            <v>- Sekop    =         3   buah</v>
          </cell>
        </row>
        <row r="788">
          <cell r="C788" t="str">
            <v>- Pacul     =         3   buah</v>
          </cell>
        </row>
        <row r="789">
          <cell r="C789" t="str">
            <v>- Alat-alat kecil lain</v>
          </cell>
        </row>
        <row r="794">
          <cell r="J794" t="str">
            <v>Berlanjut ke halaman berikut</v>
          </cell>
        </row>
        <row r="795">
          <cell r="A795" t="str">
            <v>ITEM PEMBAYARAN NO.</v>
          </cell>
          <cell r="D795" t="str">
            <v>:  2.3 (7)</v>
          </cell>
          <cell r="J795" t="str">
            <v>Analisa EI-236</v>
          </cell>
        </row>
        <row r="796">
          <cell r="A796" t="str">
            <v>JENIS PEKERJAAN</v>
          </cell>
          <cell r="D796" t="str">
            <v>:  Gorong2 Baja Bergelombang dengan dimensi … (mengacu pada SNI 03-6719-2002)</v>
          </cell>
        </row>
        <row r="797">
          <cell r="A797" t="str">
            <v>SATUAN PEMBAYARAN</v>
          </cell>
          <cell r="D797" t="str">
            <v>:  Ton</v>
          </cell>
          <cell r="J797" t="str">
            <v xml:space="preserve">         URAIAN ANALISA HARGA SATUAN</v>
          </cell>
        </row>
        <row r="798">
          <cell r="J798" t="str">
            <v>Lanjutan</v>
          </cell>
        </row>
        <row r="800">
          <cell r="A800" t="str">
            <v>No.</v>
          </cell>
          <cell r="C800" t="str">
            <v>U R A I A N</v>
          </cell>
          <cell r="G800" t="str">
            <v>KODE</v>
          </cell>
          <cell r="H800" t="str">
            <v>KOEF.</v>
          </cell>
          <cell r="I800" t="str">
            <v>SATUAN</v>
          </cell>
          <cell r="J800" t="str">
            <v>KETERANGAN</v>
          </cell>
        </row>
        <row r="803">
          <cell r="A803" t="str">
            <v xml:space="preserve">   3.</v>
          </cell>
          <cell r="C803" t="str">
            <v>TENAGA</v>
          </cell>
        </row>
        <row r="804">
          <cell r="C804" t="str">
            <v xml:space="preserve">Produksi Gorong-gorong / hari </v>
          </cell>
          <cell r="G804" t="str">
            <v>Qt</v>
          </cell>
          <cell r="H804">
            <v>1.3</v>
          </cell>
          <cell r="I804" t="str">
            <v>Ton</v>
          </cell>
          <cell r="J804">
            <v>10</v>
          </cell>
        </row>
        <row r="805">
          <cell r="J805" t="str">
            <v>M' per hari</v>
          </cell>
        </row>
        <row r="806">
          <cell r="C806" t="str">
            <v>Kebutuhan tenaga :</v>
          </cell>
        </row>
        <row r="807">
          <cell r="D807" t="str">
            <v>- Pekerja</v>
          </cell>
          <cell r="G807" t="str">
            <v>P</v>
          </cell>
          <cell r="H807">
            <v>12</v>
          </cell>
          <cell r="I807" t="str">
            <v>orang</v>
          </cell>
        </row>
        <row r="808">
          <cell r="D808" t="str">
            <v>- Tukang</v>
          </cell>
          <cell r="G808" t="str">
            <v>T</v>
          </cell>
          <cell r="H808">
            <v>1</v>
          </cell>
          <cell r="I808" t="str">
            <v>orang</v>
          </cell>
        </row>
        <row r="809">
          <cell r="D809" t="str">
            <v>- Mandor</v>
          </cell>
          <cell r="G809" t="str">
            <v>M</v>
          </cell>
          <cell r="H809">
            <v>1</v>
          </cell>
          <cell r="I809" t="str">
            <v>orang</v>
          </cell>
        </row>
        <row r="811">
          <cell r="C811" t="str">
            <v>Koefisien tenaga / Ton   :</v>
          </cell>
        </row>
        <row r="812">
          <cell r="D812" t="str">
            <v>- Pekerja</v>
          </cell>
          <cell r="E812" t="str">
            <v>= (Tk x P) : Qt</v>
          </cell>
          <cell r="G812" t="str">
            <v>(L01)</v>
          </cell>
          <cell r="H812">
            <v>64.615384615384613</v>
          </cell>
          <cell r="I812" t="str">
            <v>jam</v>
          </cell>
        </row>
        <row r="813">
          <cell r="D813" t="str">
            <v>- Tukang</v>
          </cell>
          <cell r="E813" t="str">
            <v>= (Tk x T) : Qt</v>
          </cell>
          <cell r="G813" t="str">
            <v>(L02)</v>
          </cell>
          <cell r="H813">
            <v>5.3846153846153841</v>
          </cell>
          <cell r="I813" t="str">
            <v>jam</v>
          </cell>
        </row>
        <row r="814">
          <cell r="D814" t="str">
            <v>- Mandor</v>
          </cell>
          <cell r="E814" t="str">
            <v>= (Tk x M) : Qt</v>
          </cell>
          <cell r="G814" t="str">
            <v>(L03)</v>
          </cell>
          <cell r="H814">
            <v>5.3846153846153841</v>
          </cell>
          <cell r="I814" t="str">
            <v>jam</v>
          </cell>
        </row>
        <row r="816">
          <cell r="A816" t="str">
            <v>4.</v>
          </cell>
          <cell r="C816" t="str">
            <v>HARGA DASAR SATUAN UPAH, BAHAN DAN ALAT</v>
          </cell>
        </row>
        <row r="817">
          <cell r="C817" t="str">
            <v>Lihat lampiran.</v>
          </cell>
        </row>
        <row r="819">
          <cell r="A819" t="str">
            <v>5.</v>
          </cell>
          <cell r="C819" t="str">
            <v>ANALISA HARGA SATUAN PEKERJAAN</v>
          </cell>
        </row>
        <row r="820">
          <cell r="C820" t="str">
            <v>Lihat perhitungan dalam FORMULIR STANDAR UNTUK</v>
          </cell>
        </row>
        <row r="821">
          <cell r="C821" t="str">
            <v>PEREKEMAN ANALISA MASING-MASING HARGA</v>
          </cell>
        </row>
        <row r="822">
          <cell r="C822" t="str">
            <v>SATUAN.</v>
          </cell>
        </row>
        <row r="823">
          <cell r="C823" t="str">
            <v>Didapat Harga Satuan Pekerjaan :</v>
          </cell>
        </row>
        <row r="825">
          <cell r="C825" t="str">
            <v xml:space="preserve">Rp.  </v>
          </cell>
          <cell r="D825">
            <v>9967201.2306805458</v>
          </cell>
          <cell r="E825" t="str">
            <v xml:space="preserve"> / M'</v>
          </cell>
        </row>
        <row r="828">
          <cell r="A828" t="str">
            <v>6.</v>
          </cell>
          <cell r="C828" t="str">
            <v>WAKTU PELAKSANAAN YANG DIPERLUKAN</v>
          </cell>
        </row>
        <row r="829">
          <cell r="C829" t="str">
            <v>Masa Pelaksanaan :</v>
          </cell>
          <cell r="D829" t="str">
            <v>. . . . . . . . . . . .</v>
          </cell>
          <cell r="E829" t="str">
            <v>bulan</v>
          </cell>
        </row>
        <row r="831">
          <cell r="A831" t="str">
            <v>7.</v>
          </cell>
          <cell r="C831" t="str">
            <v>VOLUME PEKERJAAN YANG DIPERLUKAN</v>
          </cell>
        </row>
        <row r="832">
          <cell r="C832" t="str">
            <v>Volume pekerjaan  :</v>
          </cell>
          <cell r="D832">
            <v>1</v>
          </cell>
          <cell r="E832" t="str">
            <v>M'</v>
          </cell>
        </row>
        <row r="854">
          <cell r="A854" t="str">
            <v>ITEM PEMBAYARAN NO.</v>
          </cell>
          <cell r="D854" t="str">
            <v>:  2.3 (8)</v>
          </cell>
          <cell r="J854" t="str">
            <v xml:space="preserve">Analisa EI-235 </v>
          </cell>
        </row>
        <row r="855">
          <cell r="A855" t="str">
            <v>JENIS PEKERJAAN</v>
          </cell>
          <cell r="D855" t="str">
            <v>: Gorong-Gorong Pipa beton tanpa tulangan diameter dalam 100 mm sampai 900 mm</v>
          </cell>
          <cell r="L855" t="str">
            <v>FORMULIR STANDAR UNTUK</v>
          </cell>
        </row>
        <row r="856">
          <cell r="A856" t="str">
            <v>SATUAN PEMBAYARAN</v>
          </cell>
          <cell r="D856" t="str">
            <v>:  M1</v>
          </cell>
          <cell r="J856" t="str">
            <v xml:space="preserve">         URAIAN ANALISA HARGA SATUAN</v>
          </cell>
          <cell r="L856" t="str">
            <v>PEREKAMAN ANALISA MASING-MASING HARGA SATUAN</v>
          </cell>
        </row>
        <row r="857">
          <cell r="L857" t="str">
            <v/>
          </cell>
        </row>
        <row r="859">
          <cell r="A859" t="str">
            <v>No.</v>
          </cell>
          <cell r="C859" t="str">
            <v>U R A I A N</v>
          </cell>
          <cell r="G859" t="str">
            <v>KODE</v>
          </cell>
          <cell r="H859" t="str">
            <v>KOEF.</v>
          </cell>
          <cell r="I859" t="str">
            <v>SATUAN</v>
          </cell>
          <cell r="J859" t="str">
            <v>KETERANGAN</v>
          </cell>
        </row>
        <row r="860">
          <cell r="L860" t="str">
            <v>PROYEK</v>
          </cell>
          <cell r="O860" t="str">
            <v>:</v>
          </cell>
        </row>
        <row r="861">
          <cell r="L861" t="str">
            <v>No. PAKET KONTRAK</v>
          </cell>
          <cell r="O861" t="str">
            <v>:</v>
          </cell>
        </row>
        <row r="862">
          <cell r="A862" t="str">
            <v>I.</v>
          </cell>
          <cell r="C862" t="str">
            <v>ASUMSI</v>
          </cell>
          <cell r="L862" t="str">
            <v>NAMA PAKET</v>
          </cell>
          <cell r="O862" t="str">
            <v>:</v>
          </cell>
        </row>
        <row r="863">
          <cell r="A863">
            <v>1</v>
          </cell>
          <cell r="C863" t="str">
            <v>Pekerjaan dilakukan secara mekanik/manual</v>
          </cell>
          <cell r="L863" t="str">
            <v>PROP / KAB / KODYA</v>
          </cell>
          <cell r="O863" t="str">
            <v>:</v>
          </cell>
        </row>
        <row r="864">
          <cell r="A864">
            <v>2</v>
          </cell>
          <cell r="C864" t="str">
            <v>Lokasi pekerjaan : sepanjang jalan</v>
          </cell>
          <cell r="L864" t="str">
            <v>ITEM PEMBAYARAN NO.</v>
          </cell>
          <cell r="O864" t="str">
            <v>:  2.3 (8)</v>
          </cell>
          <cell r="R864" t="str">
            <v>PERKIRAAN VOL. PEK.</v>
          </cell>
          <cell r="T864" t="str">
            <v>:</v>
          </cell>
          <cell r="U864">
            <v>1</v>
          </cell>
        </row>
        <row r="865">
          <cell r="A865">
            <v>3</v>
          </cell>
          <cell r="C865" t="str">
            <v>Diameter bagian dalam gorong-gorong</v>
          </cell>
          <cell r="G865" t="str">
            <v>d</v>
          </cell>
          <cell r="H865">
            <v>0.25</v>
          </cell>
          <cell r="I865" t="str">
            <v>m</v>
          </cell>
          <cell r="L865" t="str">
            <v>JENIS PEKERJAAN</v>
          </cell>
          <cell r="O865" t="str">
            <v>: Gorong-Gorong Pipa beton tanpa tulangan diameter dalam 100 mm sampai 900 mm</v>
          </cell>
          <cell r="R865" t="str">
            <v>TOTAL HARGA (Rp.)</v>
          </cell>
          <cell r="T865" t="str">
            <v>:</v>
          </cell>
          <cell r="U865">
            <v>218715.29344341051</v>
          </cell>
        </row>
        <row r="866">
          <cell r="A866">
            <v>4</v>
          </cell>
          <cell r="C866" t="str">
            <v>Jarak rata-rata Base Camp ke lokasi pekerjaan</v>
          </cell>
          <cell r="G866" t="str">
            <v>L</v>
          </cell>
          <cell r="H866">
            <v>8.7249999999999996</v>
          </cell>
          <cell r="I866" t="str">
            <v>Km</v>
          </cell>
          <cell r="L866" t="str">
            <v>SATUAN PEMBAYARAN</v>
          </cell>
          <cell r="O866" t="str">
            <v>:  M1</v>
          </cell>
          <cell r="Q866">
            <v>0</v>
          </cell>
          <cell r="R866" t="str">
            <v>% THD. BIAYA PROYEK</v>
          </cell>
          <cell r="T866" t="str">
            <v>:</v>
          </cell>
          <cell r="U866" t="e">
            <v>#DIV/0!</v>
          </cell>
        </row>
        <row r="867">
          <cell r="A867">
            <v>5</v>
          </cell>
          <cell r="C867" t="str">
            <v>Jam kerja efektif per-hari</v>
          </cell>
          <cell r="G867" t="str">
            <v>Tk</v>
          </cell>
          <cell r="H867">
            <v>7</v>
          </cell>
          <cell r="I867" t="str">
            <v>jam</v>
          </cell>
        </row>
        <row r="868">
          <cell r="A868">
            <v>6</v>
          </cell>
          <cell r="C868" t="str">
            <v>Tebal gorong-gorong</v>
          </cell>
          <cell r="G868" t="str">
            <v>tg</v>
          </cell>
          <cell r="H868">
            <v>6.5</v>
          </cell>
          <cell r="I868" t="str">
            <v>Cm</v>
          </cell>
        </row>
        <row r="869">
          <cell r="Q869" t="str">
            <v>PERKIRAAN</v>
          </cell>
          <cell r="R869" t="str">
            <v>HARGA</v>
          </cell>
          <cell r="S869" t="str">
            <v>JUMLAH</v>
          </cell>
        </row>
        <row r="870">
          <cell r="A870" t="str">
            <v>II.</v>
          </cell>
          <cell r="C870" t="str">
            <v>URUTAN KERJA</v>
          </cell>
          <cell r="L870" t="str">
            <v>NO.</v>
          </cell>
          <cell r="N870" t="str">
            <v>KOMPONEN</v>
          </cell>
          <cell r="P870" t="str">
            <v>SATUAN</v>
          </cell>
          <cell r="Q870" t="str">
            <v>KUANTITAS</v>
          </cell>
          <cell r="R870" t="str">
            <v>SATUAN</v>
          </cell>
          <cell r="S870" t="str">
            <v>HARGA</v>
          </cell>
        </row>
        <row r="871">
          <cell r="A871">
            <v>1</v>
          </cell>
          <cell r="C871" t="str">
            <v>Gorong-gorong dicetak di Base Camp</v>
          </cell>
          <cell r="R871" t="str">
            <v>(Rp.)</v>
          </cell>
          <cell r="S871" t="str">
            <v>(Rp.)</v>
          </cell>
        </row>
        <row r="872">
          <cell r="A872">
            <v>2</v>
          </cell>
          <cell r="C872" t="str">
            <v>Dump Truck mengangkut gorong-gorong jadi</v>
          </cell>
        </row>
        <row r="873">
          <cell r="C873" t="str">
            <v>ke lapangan</v>
          </cell>
        </row>
        <row r="874">
          <cell r="A874">
            <v>3</v>
          </cell>
          <cell r="C874" t="str">
            <v>Dasar gorong-gorong digali sesuai kebutuhan dan ma-</v>
          </cell>
          <cell r="L874" t="str">
            <v>A.</v>
          </cell>
          <cell r="N874" t="str">
            <v>TENAGA</v>
          </cell>
        </row>
        <row r="875">
          <cell r="C875" t="str">
            <v>terial backfill dipadatkan dengan Tamper</v>
          </cell>
        </row>
        <row r="876">
          <cell r="A876">
            <v>4</v>
          </cell>
          <cell r="C876" t="str">
            <v>Tebal lapis porus pada dasar gorong-gorong pipa baja</v>
          </cell>
          <cell r="G876" t="str">
            <v>tp</v>
          </cell>
          <cell r="H876">
            <v>0.1</v>
          </cell>
          <cell r="I876" t="str">
            <v>M</v>
          </cell>
          <cell r="J876" t="str">
            <v xml:space="preserve"> Sand bedding</v>
          </cell>
          <cell r="L876" t="str">
            <v>1.</v>
          </cell>
          <cell r="N876" t="str">
            <v>Pekerja</v>
          </cell>
          <cell r="O876" t="str">
            <v>(L01)</v>
          </cell>
          <cell r="P876" t="str">
            <v>jam</v>
          </cell>
          <cell r="Q876">
            <v>1.75</v>
          </cell>
          <cell r="R876">
            <v>2857.14</v>
          </cell>
          <cell r="U876">
            <v>4999.9949999999999</v>
          </cell>
        </row>
        <row r="877">
          <cell r="A877">
            <v>5</v>
          </cell>
          <cell r="C877" t="str">
            <v>Material pilihan untuk penimbunan kembali (padat)</v>
          </cell>
          <cell r="L877" t="str">
            <v>2.</v>
          </cell>
          <cell r="N877" t="str">
            <v>Tukang</v>
          </cell>
          <cell r="O877" t="str">
            <v>(L02)</v>
          </cell>
          <cell r="P877" t="str">
            <v>jam</v>
          </cell>
          <cell r="Q877">
            <v>0</v>
          </cell>
          <cell r="R877">
            <v>4285.71</v>
          </cell>
          <cell r="U877">
            <v>0</v>
          </cell>
        </row>
        <row r="878">
          <cell r="A878">
            <v>6</v>
          </cell>
          <cell r="C878" t="str">
            <v>Sekelompok pekerja akan melaksanakan pekerjaan</v>
          </cell>
          <cell r="L878" t="str">
            <v>3.</v>
          </cell>
          <cell r="N878" t="str">
            <v>Mandor</v>
          </cell>
          <cell r="O878" t="str">
            <v>(L03)</v>
          </cell>
          <cell r="P878" t="str">
            <v>jam</v>
          </cell>
          <cell r="Q878">
            <v>0.35</v>
          </cell>
          <cell r="R878">
            <v>3214.29</v>
          </cell>
          <cell r="U878">
            <v>1125.0014999999999</v>
          </cell>
        </row>
        <row r="879">
          <cell r="C879" t="str">
            <v>dengan cara manual dengan menggunakan alat bantu</v>
          </cell>
        </row>
        <row r="880">
          <cell r="Q880" t="str">
            <v xml:space="preserve">JUMLAH HARGA TENAGA   </v>
          </cell>
          <cell r="U880">
            <v>6124.9964999999993</v>
          </cell>
        </row>
        <row r="882">
          <cell r="A882" t="str">
            <v>III.</v>
          </cell>
          <cell r="C882" t="str">
            <v>PEMAKAIAN BAHAN, ALAT DAN TENAGA</v>
          </cell>
          <cell r="L882" t="str">
            <v>B.</v>
          </cell>
          <cell r="N882" t="str">
            <v>BAHAN</v>
          </cell>
        </row>
        <row r="883">
          <cell r="A883" t="str">
            <v xml:space="preserve">   1.</v>
          </cell>
          <cell r="C883" t="str">
            <v>BAHAN</v>
          </cell>
        </row>
        <row r="884">
          <cell r="C884" t="str">
            <v>Untuk mendapatkan 1 M' gorong-gorong diperlukan</v>
          </cell>
          <cell r="L884" t="str">
            <v>1.</v>
          </cell>
          <cell r="N884" t="str">
            <v>Beton K-175</v>
          </cell>
          <cell r="O884" t="str">
            <v>(EI-716)</v>
          </cell>
          <cell r="P884" t="str">
            <v>M3</v>
          </cell>
          <cell r="Q884">
            <v>6.4324109582251016E-2</v>
          </cell>
          <cell r="R884">
            <v>579443.14540291647</v>
          </cell>
          <cell r="U884">
            <v>37272.16438158141</v>
          </cell>
        </row>
        <row r="885">
          <cell r="C885" t="str">
            <v>- Beton K-175 = (22/7*((2*tg/100+d)/2)^2)-(22/7*(d/2)^2))*1</v>
          </cell>
          <cell r="G885" t="str">
            <v>(EI-716)</v>
          </cell>
          <cell r="H885">
            <v>6.4324109582251016E-2</v>
          </cell>
          <cell r="I885" t="str">
            <v>M3</v>
          </cell>
          <cell r="L885" t="str">
            <v>2.</v>
          </cell>
          <cell r="N885" t="str">
            <v>Urugan Porus</v>
          </cell>
          <cell r="O885" t="str">
            <v>(EI-241)</v>
          </cell>
          <cell r="P885" t="str">
            <v>M3</v>
          </cell>
          <cell r="Q885">
            <v>7.1400000000000005E-2</v>
          </cell>
          <cell r="R885">
            <v>186901.40625406182</v>
          </cell>
          <cell r="U885">
            <v>13344.760406540016</v>
          </cell>
        </row>
        <row r="886">
          <cell r="C886" t="str">
            <v>- Timbunan Porus      = {(tp*(0.15+2*tg/100+d+0.15)*1)*1.05}</v>
          </cell>
          <cell r="G886" t="str">
            <v>(EI-241)</v>
          </cell>
          <cell r="H886">
            <v>7.1400000000000005E-2</v>
          </cell>
          <cell r="I886" t="str">
            <v>M3</v>
          </cell>
          <cell r="L886" t="str">
            <v>3.</v>
          </cell>
          <cell r="N886" t="str">
            <v>Mat. Pilihan</v>
          </cell>
          <cell r="O886" t="str">
            <v>(M09)</v>
          </cell>
          <cell r="P886" t="str">
            <v>M3</v>
          </cell>
          <cell r="Q886">
            <v>0.25929000000000008</v>
          </cell>
          <cell r="R886">
            <v>25000</v>
          </cell>
          <cell r="U886">
            <v>6482.2500000000018</v>
          </cell>
        </row>
        <row r="887">
          <cell r="C887" t="str">
            <v>- Material Pilihan  = ((2*tg/100+d+0.15)*(0.15+2*tg/100+d+0.15)</v>
          </cell>
          <cell r="G887" t="str">
            <v>(M09)</v>
          </cell>
          <cell r="H887">
            <v>0.25929000000000008</v>
          </cell>
          <cell r="I887" t="str">
            <v>M3</v>
          </cell>
          <cell r="J887" t="str">
            <v xml:space="preserve"> = Vp</v>
          </cell>
        </row>
        <row r="888">
          <cell r="D888" t="str">
            <v>-(22/7*(0.5*(2*tg/100+d))^2))*1*1.05</v>
          </cell>
        </row>
        <row r="890">
          <cell r="A890" t="str">
            <v xml:space="preserve">   2.</v>
          </cell>
          <cell r="C890" t="str">
            <v>ALAT</v>
          </cell>
          <cell r="Q890" t="str">
            <v xml:space="preserve">JUMLAH HARGA BAHAN   </v>
          </cell>
          <cell r="U890">
            <v>57099.174788121425</v>
          </cell>
        </row>
        <row r="891">
          <cell r="A891" t="str">
            <v>2.a.</v>
          </cell>
          <cell r="C891" t="str">
            <v>TAMPER</v>
          </cell>
          <cell r="G891" t="str">
            <v>(E25)</v>
          </cell>
        </row>
        <row r="892">
          <cell r="C892" t="str">
            <v>Kecepatan</v>
          </cell>
          <cell r="G892" t="str">
            <v>v</v>
          </cell>
          <cell r="H892">
            <v>0.5</v>
          </cell>
          <cell r="I892" t="str">
            <v>Km / Jam</v>
          </cell>
          <cell r="L892" t="str">
            <v>C.</v>
          </cell>
          <cell r="N892" t="str">
            <v>PERALATAN</v>
          </cell>
        </row>
        <row r="893">
          <cell r="C893" t="str">
            <v>Efisiensi alat</v>
          </cell>
          <cell r="G893" t="str">
            <v>Fa</v>
          </cell>
          <cell r="H893">
            <v>0.83</v>
          </cell>
          <cell r="I893" t="str">
            <v>-</v>
          </cell>
        </row>
        <row r="894">
          <cell r="C894" t="str">
            <v>Lebar pemadatan</v>
          </cell>
          <cell r="G894" t="str">
            <v>Lb</v>
          </cell>
          <cell r="H894">
            <v>0.4</v>
          </cell>
          <cell r="I894" t="str">
            <v>M</v>
          </cell>
          <cell r="L894" t="str">
            <v>1.</v>
          </cell>
          <cell r="N894" t="str">
            <v>Tamper</v>
          </cell>
          <cell r="O894" t="str">
            <v>(E25)</v>
          </cell>
          <cell r="P894" t="str">
            <v>jam</v>
          </cell>
          <cell r="Q894">
            <v>7.8099397590361455E-2</v>
          </cell>
          <cell r="R894">
            <v>18672.16854694486</v>
          </cell>
          <cell r="U894">
            <v>1458.2851152220883</v>
          </cell>
        </row>
        <row r="895">
          <cell r="C895" t="str">
            <v>Banyak lintasan</v>
          </cell>
          <cell r="G895" t="str">
            <v>n</v>
          </cell>
          <cell r="H895">
            <v>10</v>
          </cell>
          <cell r="I895" t="str">
            <v>lintasan</v>
          </cell>
          <cell r="L895" t="str">
            <v>2.</v>
          </cell>
          <cell r="N895" t="str">
            <v>Dump Truck</v>
          </cell>
          <cell r="O895" t="str">
            <v>(E08)</v>
          </cell>
          <cell r="P895" t="str">
            <v>jam</v>
          </cell>
          <cell r="Q895">
            <v>7.210090361445784E-2</v>
          </cell>
          <cell r="R895">
            <v>153645.58193291764</v>
          </cell>
          <cell r="U895">
            <v>11077.98529373258</v>
          </cell>
        </row>
        <row r="896">
          <cell r="C896" t="str">
            <v>Tebal lapis hamparan</v>
          </cell>
          <cell r="G896" t="str">
            <v>tp</v>
          </cell>
          <cell r="H896">
            <v>0.2</v>
          </cell>
          <cell r="I896" t="str">
            <v>M</v>
          </cell>
          <cell r="L896" t="str">
            <v>3.</v>
          </cell>
          <cell r="N896" t="str">
            <v>Alat  Bantu</v>
          </cell>
          <cell r="P896" t="str">
            <v>Ls</v>
          </cell>
          <cell r="Q896">
            <v>1</v>
          </cell>
          <cell r="R896">
            <v>150</v>
          </cell>
          <cell r="U896">
            <v>150</v>
          </cell>
        </row>
        <row r="899">
          <cell r="C899" t="str">
            <v>Kap. Prod. / Jam   =</v>
          </cell>
          <cell r="D899" t="str">
            <v>v x 1000 x Fa x Lb x 60</v>
          </cell>
          <cell r="G899" t="str">
            <v>Q1</v>
          </cell>
          <cell r="H899">
            <v>3.3200000000000003</v>
          </cell>
          <cell r="I899" t="str">
            <v xml:space="preserve">M3 / Jam </v>
          </cell>
        </row>
        <row r="900">
          <cell r="D900" t="str">
            <v xml:space="preserve">    n x tp</v>
          </cell>
        </row>
        <row r="902">
          <cell r="C902" t="str">
            <v>Koefisien Alat / m'</v>
          </cell>
          <cell r="D902" t="str">
            <v xml:space="preserve"> =  1  :  Q1 x Vp</v>
          </cell>
          <cell r="G902" t="str">
            <v>(E25)</v>
          </cell>
          <cell r="H902">
            <v>7.8099397590361455E-2</v>
          </cell>
          <cell r="I902" t="str">
            <v>jam</v>
          </cell>
          <cell r="Q902" t="str">
            <v xml:space="preserve">JUMLAH HARGA PERALATAN   </v>
          </cell>
          <cell r="U902">
            <v>12686.270408954668</v>
          </cell>
        </row>
        <row r="904">
          <cell r="A904" t="str">
            <v>2.b.</v>
          </cell>
          <cell r="C904" t="str">
            <v>DUMP TRUCK</v>
          </cell>
          <cell r="G904" t="str">
            <v>(E08)</v>
          </cell>
          <cell r="L904" t="str">
            <v>D.</v>
          </cell>
          <cell r="N904" t="str">
            <v>JUMLAH HARGA TENAGA, BAHAN DAN PERALATAN  ( A + B + C )</v>
          </cell>
          <cell r="U904">
            <v>75910.441697076094</v>
          </cell>
        </row>
        <row r="905">
          <cell r="C905" t="str">
            <v>Kapasitas bak sekali muat</v>
          </cell>
          <cell r="G905" t="str">
            <v>V</v>
          </cell>
          <cell r="H905">
            <v>20</v>
          </cell>
          <cell r="I905" t="str">
            <v>Buah/M'</v>
          </cell>
          <cell r="L905" t="str">
            <v>E.</v>
          </cell>
          <cell r="N905" t="str">
            <v>OVERHEAD &amp; PROFIT</v>
          </cell>
          <cell r="P905">
            <v>10</v>
          </cell>
          <cell r="Q905" t="str">
            <v>%  x  D</v>
          </cell>
          <cell r="U905">
            <v>7591.0441697076094</v>
          </cell>
        </row>
        <row r="906">
          <cell r="C906" t="str">
            <v>Faktor efisiensi alat</v>
          </cell>
          <cell r="G906" t="str">
            <v>Fa</v>
          </cell>
          <cell r="H906">
            <v>0.83</v>
          </cell>
          <cell r="L906" t="str">
            <v>F.</v>
          </cell>
          <cell r="N906" t="str">
            <v>HARGA SATUAN PEKERJAAN  ( D + E )</v>
          </cell>
          <cell r="U906">
            <v>83501.485866783711</v>
          </cell>
        </row>
        <row r="907">
          <cell r="C907" t="str">
            <v>Kecepatanrata-rata bermuatan</v>
          </cell>
          <cell r="G907" t="str">
            <v>v1</v>
          </cell>
          <cell r="H907">
            <v>40</v>
          </cell>
          <cell r="I907" t="str">
            <v>Km/Jam</v>
          </cell>
          <cell r="L907" t="str">
            <v>Note: 1</v>
          </cell>
          <cell r="N907" t="str">
            <v>SATUAN dapat berdasarkan atas jam operasi untuk Tenaga Kerja dan Peralatan, volume dan/atau ukuran</v>
          </cell>
        </row>
        <row r="908">
          <cell r="C908" t="str">
            <v>Kecepatan rata-rata kosong</v>
          </cell>
          <cell r="G908" t="str">
            <v>v2</v>
          </cell>
          <cell r="H908">
            <v>60</v>
          </cell>
          <cell r="I908" t="str">
            <v>Km/Jam</v>
          </cell>
          <cell r="N908" t="str">
            <v>berat untuk bahan-bahan.</v>
          </cell>
        </row>
        <row r="909">
          <cell r="C909" t="str">
            <v>Waktu siklus    :</v>
          </cell>
          <cell r="G909" t="str">
            <v>Ts1</v>
          </cell>
          <cell r="L909">
            <v>2</v>
          </cell>
          <cell r="N909" t="str">
            <v>Kuantitas satuan adalah kuantitas setiap komponen untuk menyelesaikan satu satuan pekerjaan dari nomor</v>
          </cell>
        </row>
        <row r="910">
          <cell r="C910" t="str">
            <v>- Waktu  tempuh in  si  = (L : v1 ) x 60</v>
          </cell>
          <cell r="G910" t="str">
            <v>T1</v>
          </cell>
          <cell r="H910">
            <v>13.087499999999999</v>
          </cell>
          <cell r="I910" t="str">
            <v>menit</v>
          </cell>
          <cell r="N910" t="str">
            <v>mata pembayaran.</v>
          </cell>
        </row>
        <row r="911">
          <cell r="C911" t="str">
            <v>-  Waktutempuh kosong  = (L : v2)  x  60</v>
          </cell>
          <cell r="G911" t="str">
            <v>T2</v>
          </cell>
          <cell r="H911">
            <v>8.7249999999999996</v>
          </cell>
          <cell r="I911" t="str">
            <v>menit</v>
          </cell>
          <cell r="L911">
            <v>3</v>
          </cell>
          <cell r="N911" t="str">
            <v>Biaya satuan untuk peralatan sudah termasuk bahan bakar, bahan habis dipakai dan operator.</v>
          </cell>
        </row>
        <row r="912">
          <cell r="C912" t="str">
            <v>-  Muat, bongkar dan lain-lain</v>
          </cell>
          <cell r="G912" t="str">
            <v>T3</v>
          </cell>
          <cell r="H912">
            <v>50</v>
          </cell>
          <cell r="I912" t="str">
            <v>menit</v>
          </cell>
          <cell r="L912">
            <v>4</v>
          </cell>
          <cell r="N912" t="str">
            <v>Biaya satuan sudah termasuk pengeluaran untuk seluruh pajak yang berkaitan (tetapi tidak termasuk PPN</v>
          </cell>
        </row>
        <row r="913">
          <cell r="G913" t="str">
            <v>Ts1</v>
          </cell>
          <cell r="H913">
            <v>71.8125</v>
          </cell>
          <cell r="I913" t="str">
            <v>menit</v>
          </cell>
          <cell r="N913" t="str">
            <v>yang dibayar dari kontrak) dan biaya-biaya lainnya.</v>
          </cell>
        </row>
        <row r="914">
          <cell r="J914" t="str">
            <v>Berlanjut ke halaman berikut</v>
          </cell>
        </row>
        <row r="915">
          <cell r="A915" t="str">
            <v>ITEM PEMBAYARAN NO.</v>
          </cell>
          <cell r="D915" t="str">
            <v>:  2.3 (8)</v>
          </cell>
          <cell r="J915" t="str">
            <v xml:space="preserve">Analisa EI-235 </v>
          </cell>
        </row>
        <row r="916">
          <cell r="A916" t="str">
            <v>JENIS PEKERJAAN</v>
          </cell>
          <cell r="D916" t="str">
            <v>: Gorong-Gorong Pipa beton tanpa tulangan diameter dalam 100 mm sampai 900 mm</v>
          </cell>
        </row>
        <row r="917">
          <cell r="A917" t="str">
            <v>SATUAN PEMBAYARAN</v>
          </cell>
          <cell r="D917" t="str">
            <v>:  M1</v>
          </cell>
          <cell r="J917" t="str">
            <v xml:space="preserve">         URAIAN ANALISA HARGA SATUAN</v>
          </cell>
        </row>
        <row r="918">
          <cell r="J918" t="str">
            <v>Lanjutan</v>
          </cell>
        </row>
        <row r="920">
          <cell r="A920" t="str">
            <v>No.</v>
          </cell>
          <cell r="C920" t="str">
            <v>U R A I A N</v>
          </cell>
          <cell r="G920" t="str">
            <v>KODE</v>
          </cell>
          <cell r="H920" t="str">
            <v>KOEF.</v>
          </cell>
          <cell r="I920" t="str">
            <v>SATUAN</v>
          </cell>
          <cell r="J920" t="str">
            <v>KETERANGAN</v>
          </cell>
        </row>
        <row r="923">
          <cell r="C923" t="str">
            <v>Kapasitas Produksi / Jam   =</v>
          </cell>
          <cell r="E923" t="str">
            <v>V x Fa x 60</v>
          </cell>
          <cell r="G923" t="str">
            <v>Q2</v>
          </cell>
          <cell r="H923">
            <v>13.869451697127936</v>
          </cell>
          <cell r="I923" t="str">
            <v xml:space="preserve">M' / Jam </v>
          </cell>
        </row>
        <row r="924">
          <cell r="E924" t="str">
            <v>Ts1</v>
          </cell>
        </row>
        <row r="926">
          <cell r="C926" t="str">
            <v>Koefisien Alat / m'</v>
          </cell>
          <cell r="D926" t="str">
            <v xml:space="preserve"> =  1  :  Q2</v>
          </cell>
          <cell r="G926" t="str">
            <v>(E08)</v>
          </cell>
          <cell r="H926">
            <v>7.210090361445784E-2</v>
          </cell>
          <cell r="I926" t="str">
            <v>jam</v>
          </cell>
        </row>
        <row r="929">
          <cell r="A929" t="str">
            <v>2.c.</v>
          </cell>
          <cell r="C929" t="str">
            <v>ALAT  BANTU</v>
          </cell>
        </row>
        <row r="930">
          <cell r="C930" t="str">
            <v>Diperlukan alat-alat bantu kecil</v>
          </cell>
          <cell r="J930" t="str">
            <v>Lump Sump</v>
          </cell>
        </row>
        <row r="931">
          <cell r="C931" t="str">
            <v>- Sekop    =         3   buah</v>
          </cell>
        </row>
        <row r="932">
          <cell r="C932" t="str">
            <v>- Pacul     =         3   buah</v>
          </cell>
        </row>
        <row r="933">
          <cell r="C933" t="str">
            <v>- Alat-alat kecil lain</v>
          </cell>
        </row>
        <row r="935">
          <cell r="A935" t="str">
            <v xml:space="preserve">   3.</v>
          </cell>
          <cell r="C935" t="str">
            <v>TENAGA</v>
          </cell>
        </row>
        <row r="936">
          <cell r="C936" t="str">
            <v>Produksi Gorong-gorong / hari</v>
          </cell>
          <cell r="G936" t="str">
            <v>Qt</v>
          </cell>
          <cell r="H936">
            <v>20</v>
          </cell>
          <cell r="I936" t="str">
            <v>M'</v>
          </cell>
        </row>
        <row r="937">
          <cell r="C937" t="str">
            <v>Kebutuhan tenaga :</v>
          </cell>
        </row>
        <row r="938">
          <cell r="D938" t="str">
            <v>- Pekerja</v>
          </cell>
          <cell r="G938" t="str">
            <v>P</v>
          </cell>
          <cell r="H938">
            <v>5</v>
          </cell>
          <cell r="I938" t="str">
            <v>orang</v>
          </cell>
        </row>
        <row r="939">
          <cell r="D939" t="str">
            <v>- Tukang</v>
          </cell>
          <cell r="G939" t="str">
            <v>T</v>
          </cell>
          <cell r="H939">
            <v>0</v>
          </cell>
          <cell r="I939" t="str">
            <v>orang</v>
          </cell>
        </row>
        <row r="940">
          <cell r="D940" t="str">
            <v>- Mandor</v>
          </cell>
          <cell r="G940" t="str">
            <v>M</v>
          </cell>
          <cell r="H940">
            <v>1</v>
          </cell>
          <cell r="I940" t="str">
            <v>orang</v>
          </cell>
        </row>
        <row r="942">
          <cell r="C942" t="str">
            <v>Koefisien tenaga / M1   :</v>
          </cell>
        </row>
        <row r="943">
          <cell r="D943" t="str">
            <v>- Pekerja</v>
          </cell>
          <cell r="E943" t="str">
            <v>= (Tk x P) : Qt</v>
          </cell>
          <cell r="G943" t="str">
            <v>(L01)</v>
          </cell>
          <cell r="H943">
            <v>1.75</v>
          </cell>
          <cell r="I943" t="str">
            <v>Jam</v>
          </cell>
        </row>
        <row r="944">
          <cell r="D944" t="str">
            <v>- Tukang</v>
          </cell>
          <cell r="E944" t="str">
            <v>= (Tk x T) : Qt</v>
          </cell>
          <cell r="G944" t="str">
            <v>(L02)</v>
          </cell>
          <cell r="H944">
            <v>0</v>
          </cell>
          <cell r="I944" t="str">
            <v>Jam</v>
          </cell>
        </row>
        <row r="945">
          <cell r="D945" t="str">
            <v>- Mandor</v>
          </cell>
          <cell r="E945" t="str">
            <v>= (Tk x M) : Qt</v>
          </cell>
          <cell r="G945" t="str">
            <v>(L03)</v>
          </cell>
          <cell r="H945">
            <v>0.35</v>
          </cell>
          <cell r="I945" t="str">
            <v>Jam</v>
          </cell>
        </row>
        <row r="947">
          <cell r="A947" t="str">
            <v>4.</v>
          </cell>
          <cell r="C947" t="str">
            <v>HARGA DASAR SATUAN UPAH, BAHAN DAN ALAT</v>
          </cell>
        </row>
        <row r="948">
          <cell r="C948" t="str">
            <v>Lihat lampiran.</v>
          </cell>
        </row>
        <row r="951">
          <cell r="A951" t="str">
            <v>5.</v>
          </cell>
          <cell r="C951" t="str">
            <v>ANALISA HARGA SATUAN PEKERJAAN</v>
          </cell>
        </row>
        <row r="952">
          <cell r="C952" t="str">
            <v>Lihat perhitungan dalam FORMULIR STANDAR UNTUK</v>
          </cell>
        </row>
        <row r="953">
          <cell r="C953" t="str">
            <v>PEREKEMAN ANALISA MASING-MASING HARGA</v>
          </cell>
        </row>
        <row r="954">
          <cell r="C954" t="str">
            <v>SATUAN.</v>
          </cell>
        </row>
        <row r="955">
          <cell r="C955" t="str">
            <v>Didapat Harga Satuan Pekerjaan :</v>
          </cell>
        </row>
        <row r="957">
          <cell r="C957" t="str">
            <v xml:space="preserve">Rp.  </v>
          </cell>
          <cell r="D957">
            <v>83501.485866783711</v>
          </cell>
          <cell r="E957" t="str">
            <v xml:space="preserve"> / M'</v>
          </cell>
        </row>
        <row r="960">
          <cell r="A960" t="str">
            <v>6.</v>
          </cell>
          <cell r="C960" t="str">
            <v>WAKTU PELAKSANAAN YANG DIPERLUKAN</v>
          </cell>
        </row>
        <row r="961">
          <cell r="C961" t="str">
            <v>Masa Pelaksanaan :</v>
          </cell>
          <cell r="D961" t="str">
            <v>. . . . . . . . . . . .</v>
          </cell>
          <cell r="E961" t="str">
            <v>bulan</v>
          </cell>
        </row>
        <row r="963">
          <cell r="A963" t="str">
            <v>7.</v>
          </cell>
          <cell r="C963" t="str">
            <v>VOLUME PEKERJAAN YANG DIPERLUKAN</v>
          </cell>
        </row>
        <row r="964">
          <cell r="C964" t="str">
            <v>Volume pekerjaan  :</v>
          </cell>
          <cell r="D964">
            <v>1</v>
          </cell>
          <cell r="E964" t="str">
            <v>M'</v>
          </cell>
        </row>
        <row r="974">
          <cell r="A974" t="str">
            <v>ITEM PEMBAYARAN NO.</v>
          </cell>
          <cell r="D974" t="str">
            <v>:  2.3 (9)</v>
          </cell>
          <cell r="J974" t="str">
            <v xml:space="preserve">Analisa EI-241 </v>
          </cell>
        </row>
        <row r="975">
          <cell r="A975" t="str">
            <v>JENIS PEKERJAAN</v>
          </cell>
          <cell r="D975" t="str">
            <v>: Gorong-gorong persegi beton bertulang pracetak dengan dimensi………</v>
          </cell>
        </row>
        <row r="976">
          <cell r="A976" t="str">
            <v>SATUAN PEMBAYARAN</v>
          </cell>
          <cell r="D976" t="str">
            <v>:  M1</v>
          </cell>
          <cell r="J976" t="str">
            <v xml:space="preserve">         URAIAN ANALISA HARGA SATUAN</v>
          </cell>
        </row>
        <row r="978">
          <cell r="A978" t="str">
            <v>ITEM PEMBAYARAN NO.</v>
          </cell>
          <cell r="D978" t="str">
            <v>:  2.4 (1)</v>
          </cell>
          <cell r="J978" t="str">
            <v xml:space="preserve">Analisa EI-241 </v>
          </cell>
        </row>
        <row r="979">
          <cell r="A979" t="str">
            <v>JENIS PEKERJAAN</v>
          </cell>
          <cell r="D979" t="str">
            <v>:  Timbunan Porous / Bhn.Penyaring</v>
          </cell>
          <cell r="L979" t="str">
            <v>FORMULIR STANDAR UNTUK</v>
          </cell>
        </row>
        <row r="980">
          <cell r="A980" t="str">
            <v>SATUAN PEMBAYARAN</v>
          </cell>
          <cell r="D980" t="str">
            <v>:  M3</v>
          </cell>
          <cell r="J980" t="str">
            <v xml:space="preserve">         URAIAN ANALISA HARGA SATUAN</v>
          </cell>
          <cell r="L980" t="str">
            <v>PEREKAMAN ANALISA MASING-MASING HARGA SATUAN</v>
          </cell>
        </row>
        <row r="981">
          <cell r="L981" t="str">
            <v/>
          </cell>
        </row>
        <row r="983">
          <cell r="A983" t="str">
            <v>No.</v>
          </cell>
          <cell r="C983" t="str">
            <v>U R A I A N</v>
          </cell>
          <cell r="G983" t="str">
            <v>KODE</v>
          </cell>
          <cell r="H983" t="str">
            <v>KOEF.</v>
          </cell>
          <cell r="I983" t="str">
            <v>SATUAN</v>
          </cell>
          <cell r="J983" t="str">
            <v>KETERANGAN</v>
          </cell>
        </row>
        <row r="984">
          <cell r="L984" t="str">
            <v>PROYEK</v>
          </cell>
          <cell r="O984" t="str">
            <v>:</v>
          </cell>
        </row>
        <row r="985">
          <cell r="L985" t="str">
            <v>No. PAKET KONTRAK</v>
          </cell>
          <cell r="O985" t="str">
            <v>:</v>
          </cell>
        </row>
        <row r="986">
          <cell r="A986" t="str">
            <v>I.</v>
          </cell>
          <cell r="C986" t="str">
            <v>ASUMSI</v>
          </cell>
          <cell r="L986" t="str">
            <v>NAMA PAKET</v>
          </cell>
          <cell r="O986" t="str">
            <v>:</v>
          </cell>
        </row>
        <row r="987">
          <cell r="A987">
            <v>1</v>
          </cell>
          <cell r="C987" t="str">
            <v>Pekerjaan dilakukan secara manual</v>
          </cell>
          <cell r="L987" t="str">
            <v>PROP / KAB / KODYA</v>
          </cell>
          <cell r="O987" t="str">
            <v>:</v>
          </cell>
        </row>
        <row r="988">
          <cell r="A988">
            <v>2</v>
          </cell>
          <cell r="C988" t="str">
            <v>Lokasi pekerjaan : sepanjang jalan</v>
          </cell>
          <cell r="L988" t="str">
            <v>ITEM PEMBAYARAN NO.</v>
          </cell>
          <cell r="O988" t="str">
            <v>:  2.4 (1)</v>
          </cell>
          <cell r="R988" t="str">
            <v>PERKIRAAN VOL. PEK.</v>
          </cell>
          <cell r="T988" t="str">
            <v>:</v>
          </cell>
          <cell r="U988">
            <v>1</v>
          </cell>
        </row>
        <row r="989">
          <cell r="A989">
            <v>3</v>
          </cell>
          <cell r="C989" t="str">
            <v>Kondisi Jalan   :  sedang / baik</v>
          </cell>
          <cell r="L989" t="str">
            <v>JENIS PEKERJAAN</v>
          </cell>
          <cell r="O989" t="str">
            <v>:  Timbunan Porous / Bhn.Penyaring</v>
          </cell>
          <cell r="R989" t="str">
            <v>TOTAL HARGA (Rp.)</v>
          </cell>
          <cell r="T989" t="str">
            <v>:</v>
          </cell>
          <cell r="U989">
            <v>83501.485866783711</v>
          </cell>
        </row>
        <row r="990">
          <cell r="A990">
            <v>4</v>
          </cell>
          <cell r="C990" t="str">
            <v>Jam kerja efektif per-hari</v>
          </cell>
          <cell r="G990" t="str">
            <v>Tk</v>
          </cell>
          <cell r="H990">
            <v>7</v>
          </cell>
          <cell r="I990" t="str">
            <v>Jam</v>
          </cell>
          <cell r="L990" t="str">
            <v>SATUAN PEMBAYARAN</v>
          </cell>
          <cell r="O990" t="str">
            <v>:  M3</v>
          </cell>
          <cell r="R990" t="str">
            <v>% THD. BIAYA PROYEK</v>
          </cell>
          <cell r="T990" t="str">
            <v>:</v>
          </cell>
          <cell r="U990" t="e">
            <v>#DIV/0!</v>
          </cell>
        </row>
        <row r="991">
          <cell r="A991">
            <v>5</v>
          </cell>
          <cell r="C991" t="str">
            <v>Faktor kehilangan material</v>
          </cell>
          <cell r="G991" t="str">
            <v>Fh</v>
          </cell>
          <cell r="H991">
            <v>1.1000000000000001</v>
          </cell>
          <cell r="I991" t="str">
            <v>-</v>
          </cell>
        </row>
        <row r="992">
          <cell r="A992">
            <v>6</v>
          </cell>
          <cell r="C992" t="str">
            <v>Material Porous terdiri dari batu pecah dan pasir</v>
          </cell>
        </row>
        <row r="993">
          <cell r="Q993" t="str">
            <v>PERKIRAAN</v>
          </cell>
          <cell r="R993" t="str">
            <v>HARGA</v>
          </cell>
          <cell r="S993" t="str">
            <v>JUMLAH</v>
          </cell>
        </row>
        <row r="994">
          <cell r="A994" t="str">
            <v>II.</v>
          </cell>
          <cell r="C994" t="str">
            <v>URUTAN KERJA</v>
          </cell>
          <cell r="L994" t="str">
            <v>NO.</v>
          </cell>
          <cell r="N994" t="str">
            <v>KOMPONEN</v>
          </cell>
          <cell r="P994" t="str">
            <v>SATUAN</v>
          </cell>
          <cell r="Q994" t="str">
            <v>KUANTITAS</v>
          </cell>
          <cell r="R994" t="str">
            <v>SATUAN</v>
          </cell>
          <cell r="S994" t="str">
            <v>HARGA</v>
          </cell>
        </row>
        <row r="995">
          <cell r="A995">
            <v>1</v>
          </cell>
          <cell r="C995" t="str">
            <v>Material Porous diterima dilokasi pekerjaan</v>
          </cell>
          <cell r="R995" t="str">
            <v>(Rp.)</v>
          </cell>
          <cell r="S995" t="str">
            <v>(Rp.)</v>
          </cell>
        </row>
        <row r="996">
          <cell r="A996">
            <v>2</v>
          </cell>
          <cell r="C996" t="str">
            <v>Material dipadatkan dengan menggunakan</v>
          </cell>
        </row>
        <row r="997">
          <cell r="C997" t="str">
            <v>Tamper</v>
          </cell>
        </row>
        <row r="998">
          <cell r="A998">
            <v>3</v>
          </cell>
          <cell r="C998" t="str">
            <v>Pemadatan dilakukan lapis demi lapis</v>
          </cell>
          <cell r="G998" t="str">
            <v>t</v>
          </cell>
          <cell r="H998">
            <v>0.15</v>
          </cell>
          <cell r="I998" t="str">
            <v>M</v>
          </cell>
          <cell r="L998" t="str">
            <v>A.</v>
          </cell>
          <cell r="N998" t="str">
            <v>TENAGA</v>
          </cell>
        </row>
        <row r="999">
          <cell r="A999">
            <v>4</v>
          </cell>
          <cell r="C999" t="str">
            <v>Pekerjaan galian dilaksanakan oleh pekerja</v>
          </cell>
        </row>
        <row r="1000">
          <cell r="L1000" t="str">
            <v>1.</v>
          </cell>
          <cell r="N1000" t="str">
            <v>Pekerja</v>
          </cell>
          <cell r="O1000" t="str">
            <v>(L01)</v>
          </cell>
          <cell r="P1000" t="str">
            <v>Jam</v>
          </cell>
          <cell r="Q1000">
            <v>2.8</v>
          </cell>
          <cell r="R1000">
            <v>2857.14</v>
          </cell>
          <cell r="U1000">
            <v>7999.9919999999993</v>
          </cell>
        </row>
        <row r="1001">
          <cell r="A1001" t="str">
            <v>III.</v>
          </cell>
          <cell r="C1001" t="str">
            <v>PEMAKAIAN BAHAN, ALAT DAN TENAGA</v>
          </cell>
          <cell r="L1001" t="str">
            <v>2.</v>
          </cell>
          <cell r="N1001" t="str">
            <v>Mandor</v>
          </cell>
          <cell r="O1001" t="str">
            <v>(L03)</v>
          </cell>
          <cell r="P1001" t="str">
            <v>Jam</v>
          </cell>
          <cell r="Q1001">
            <v>0.7</v>
          </cell>
          <cell r="R1001">
            <v>3214.29</v>
          </cell>
          <cell r="U1001">
            <v>2250.0029999999997</v>
          </cell>
        </row>
        <row r="1002">
          <cell r="A1002" t="str">
            <v xml:space="preserve">   1.</v>
          </cell>
          <cell r="C1002" t="str">
            <v>BAHAN</v>
          </cell>
        </row>
        <row r="1003">
          <cell r="C1003" t="str">
            <v>Material Porous terdiri dari :</v>
          </cell>
        </row>
        <row r="1004">
          <cell r="C1004" t="str">
            <v>- Batu pecah</v>
          </cell>
          <cell r="G1004" t="str">
            <v>Bt</v>
          </cell>
          <cell r="H1004">
            <v>50</v>
          </cell>
          <cell r="I1004" t="str">
            <v>%</v>
          </cell>
          <cell r="Q1004" t="str">
            <v xml:space="preserve">JUMLAH HARGA TENAGA   </v>
          </cell>
          <cell r="U1004">
            <v>10249.994999999999</v>
          </cell>
        </row>
        <row r="1005">
          <cell r="C1005" t="str">
            <v>- Pasir</v>
          </cell>
          <cell r="G1005" t="str">
            <v>Ps</v>
          </cell>
          <cell r="H1005">
            <v>50</v>
          </cell>
          <cell r="I1005" t="str">
            <v>%</v>
          </cell>
        </row>
        <row r="1006">
          <cell r="L1006" t="str">
            <v>B.</v>
          </cell>
          <cell r="N1006" t="str">
            <v>BAHAN</v>
          </cell>
        </row>
        <row r="1007">
          <cell r="C1007" t="str">
            <v>Kebutuhan Batu Pecah / M3  = (Bt : 100) x Fh</v>
          </cell>
          <cell r="G1007" t="str">
            <v>(M03)</v>
          </cell>
          <cell r="H1007">
            <v>0.55000000000000004</v>
          </cell>
          <cell r="I1007" t="str">
            <v>M3</v>
          </cell>
          <cell r="J1007" t="str">
            <v xml:space="preserve"> Agregat Kasar</v>
          </cell>
        </row>
        <row r="1008">
          <cell r="C1008" t="str">
            <v>Kebutuhan Pasir / M3   =  (Ps : 100) x Fh</v>
          </cell>
          <cell r="G1008" t="str">
            <v>(M01)</v>
          </cell>
          <cell r="H1008">
            <v>0.55000000000000004</v>
          </cell>
          <cell r="I1008" t="str">
            <v>M3</v>
          </cell>
          <cell r="L1008" t="str">
            <v>1.</v>
          </cell>
          <cell r="N1008" t="str">
            <v>Agregat Kasar</v>
          </cell>
          <cell r="O1008" t="str">
            <v>(M03)</v>
          </cell>
          <cell r="P1008" t="str">
            <v>M3</v>
          </cell>
          <cell r="Q1008">
            <v>0.55000000000000004</v>
          </cell>
          <cell r="R1008">
            <v>222345.54558042376</v>
          </cell>
          <cell r="U1008">
            <v>122290.05006923308</v>
          </cell>
        </row>
        <row r="1009">
          <cell r="L1009" t="str">
            <v>2.</v>
          </cell>
          <cell r="N1009" t="str">
            <v>Pasir</v>
          </cell>
          <cell r="O1009" t="str">
            <v>(M01)</v>
          </cell>
          <cell r="P1009" t="str">
            <v>M3</v>
          </cell>
          <cell r="Q1009">
            <v>0.55000000000000004</v>
          </cell>
          <cell r="R1009">
            <v>54300</v>
          </cell>
          <cell r="U1009">
            <v>29865.000000000004</v>
          </cell>
        </row>
        <row r="1011">
          <cell r="A1011" t="str">
            <v xml:space="preserve">   2.</v>
          </cell>
          <cell r="C1011" t="str">
            <v>ALAT</v>
          </cell>
        </row>
        <row r="1012">
          <cell r="A1012" t="str">
            <v>2.a.</v>
          </cell>
          <cell r="C1012" t="str">
            <v>HAND COMPACTOR</v>
          </cell>
          <cell r="G1012" t="str">
            <v>(E25)</v>
          </cell>
        </row>
        <row r="1013">
          <cell r="C1013" t="str">
            <v>Kecepatan</v>
          </cell>
          <cell r="G1013" t="str">
            <v>v</v>
          </cell>
          <cell r="H1013">
            <v>0.25</v>
          </cell>
          <cell r="I1013" t="str">
            <v>Km / Jam</v>
          </cell>
        </row>
        <row r="1014">
          <cell r="C1014" t="str">
            <v>Efisiensi alat</v>
          </cell>
          <cell r="G1014" t="str">
            <v>Fa</v>
          </cell>
          <cell r="H1014">
            <v>0.83</v>
          </cell>
          <cell r="I1014" t="str">
            <v>-</v>
          </cell>
          <cell r="Q1014" t="str">
            <v xml:space="preserve">JUMLAH HARGA BAHAN   </v>
          </cell>
          <cell r="U1014">
            <v>152155.05006923308</v>
          </cell>
        </row>
        <row r="1015">
          <cell r="C1015" t="str">
            <v>Lebar pemadatan</v>
          </cell>
          <cell r="G1015" t="str">
            <v>b</v>
          </cell>
          <cell r="H1015">
            <v>0.25</v>
          </cell>
          <cell r="I1015" t="str">
            <v>M</v>
          </cell>
        </row>
        <row r="1016">
          <cell r="C1016" t="str">
            <v>Banyak lintasan</v>
          </cell>
          <cell r="G1016" t="str">
            <v>n</v>
          </cell>
          <cell r="H1016">
            <v>10</v>
          </cell>
          <cell r="I1016" t="str">
            <v>lintasan</v>
          </cell>
          <cell r="L1016" t="str">
            <v>C.</v>
          </cell>
          <cell r="N1016" t="str">
            <v>PERALATAN</v>
          </cell>
        </row>
        <row r="1018">
          <cell r="L1018" t="str">
            <v>1.</v>
          </cell>
          <cell r="N1018" t="str">
            <v>Tamper</v>
          </cell>
          <cell r="O1018" t="str">
            <v>(E25)</v>
          </cell>
          <cell r="P1018" t="str">
            <v>Jam</v>
          </cell>
          <cell r="Q1018">
            <v>1.285140562248996</v>
          </cell>
          <cell r="R1018">
            <v>18672.16854694486</v>
          </cell>
          <cell r="U1018">
            <v>23996.361184828736</v>
          </cell>
        </row>
        <row r="1019">
          <cell r="C1019" t="str">
            <v>Kap. Prod. / Jam   =</v>
          </cell>
          <cell r="D1019" t="str">
            <v>v x 1000 x Fa x b x t</v>
          </cell>
          <cell r="G1019" t="str">
            <v>Q1</v>
          </cell>
          <cell r="H1019">
            <v>0.77812499999999996</v>
          </cell>
          <cell r="I1019" t="str">
            <v xml:space="preserve">M3 / Jam </v>
          </cell>
          <cell r="L1019" t="str">
            <v>2.</v>
          </cell>
          <cell r="N1019" t="str">
            <v>Alat  Bantu</v>
          </cell>
          <cell r="P1019" t="str">
            <v>Ls</v>
          </cell>
          <cell r="Q1019">
            <v>1</v>
          </cell>
          <cell r="R1019">
            <v>500</v>
          </cell>
          <cell r="U1019">
            <v>500</v>
          </cell>
        </row>
        <row r="1020">
          <cell r="D1020" t="str">
            <v xml:space="preserve">        n</v>
          </cell>
        </row>
        <row r="1022">
          <cell r="C1022" t="str">
            <v>Koefisien Alat / M3</v>
          </cell>
          <cell r="D1022" t="str">
            <v xml:space="preserve"> =  1  :  Q1</v>
          </cell>
          <cell r="G1022" t="str">
            <v>(E25)</v>
          </cell>
          <cell r="H1022">
            <v>1.285140562248996</v>
          </cell>
          <cell r="I1022" t="str">
            <v>Jam</v>
          </cell>
        </row>
        <row r="1025">
          <cell r="A1025" t="str">
            <v>2.b.</v>
          </cell>
          <cell r="C1025" t="str">
            <v>ALAT  BANTU</v>
          </cell>
        </row>
        <row r="1026">
          <cell r="C1026" t="str">
            <v>Diperlukan alat-alat bantu kecil</v>
          </cell>
          <cell r="J1026" t="str">
            <v>Lump Sump</v>
          </cell>
          <cell r="Q1026" t="str">
            <v xml:space="preserve">JUMLAH HARGA PERALATAN   </v>
          </cell>
          <cell r="U1026">
            <v>24496.361184828736</v>
          </cell>
        </row>
        <row r="1027">
          <cell r="C1027" t="str">
            <v>- Sekop    =         3   buah</v>
          </cell>
        </row>
        <row r="1028">
          <cell r="C1028" t="str">
            <v>- Alat-alat kecil lain</v>
          </cell>
          <cell r="L1028" t="str">
            <v>D.</v>
          </cell>
          <cell r="N1028" t="str">
            <v>JUMLAH HARGA TENAGA, BAHAN DAN PERALATAN  ( A + B + C )</v>
          </cell>
          <cell r="U1028">
            <v>186901.40625406182</v>
          </cell>
        </row>
        <row r="1029">
          <cell r="L1029" t="str">
            <v>E.</v>
          </cell>
          <cell r="N1029" t="str">
            <v>OVERHEAD &amp; PROFIT</v>
          </cell>
          <cell r="P1029">
            <v>10</v>
          </cell>
          <cell r="Q1029" t="str">
            <v>%  x  D</v>
          </cell>
          <cell r="U1029">
            <v>18690.140625406184</v>
          </cell>
        </row>
        <row r="1030">
          <cell r="L1030" t="str">
            <v>F.</v>
          </cell>
          <cell r="N1030" t="str">
            <v>HARGA SATUAN PEKERJAAN  ( D + E )</v>
          </cell>
          <cell r="U1030">
            <v>205591.54687946799</v>
          </cell>
        </row>
        <row r="1031">
          <cell r="L1031" t="str">
            <v>Note: 1</v>
          </cell>
          <cell r="N1031" t="str">
            <v>SATUAN dapat berdasarkan atas jam operasi untuk Tenaga Kerja dan Peralatan, volume dan/atau ukuran</v>
          </cell>
        </row>
        <row r="1032">
          <cell r="N1032" t="str">
            <v>berat untuk bahan-bahan.</v>
          </cell>
        </row>
        <row r="1033">
          <cell r="L1033">
            <v>2</v>
          </cell>
          <cell r="N1033" t="str">
            <v>Kuantitas satuan adalah kuantitas setiap komponen untuk menyelesaikan satu satuan pekerjaan dari nomor</v>
          </cell>
        </row>
        <row r="1034">
          <cell r="N1034" t="str">
            <v>mata pembayaran.</v>
          </cell>
        </row>
        <row r="1035">
          <cell r="L1035">
            <v>3</v>
          </cell>
          <cell r="N1035" t="str">
            <v>Biaya satuan untuk peralatan sudah termasuk bahan bakar, bahan habis dipakai dan operator.</v>
          </cell>
        </row>
        <row r="1036">
          <cell r="L1036">
            <v>4</v>
          </cell>
          <cell r="N1036" t="str">
            <v>Biaya satuan sudah termasuk pengeluaran untuk seluruh pajak yang berkaitan (tetapi tidak termasuk PPN</v>
          </cell>
        </row>
        <row r="1037">
          <cell r="N1037" t="str">
            <v>yang dibayar dari kontrak) dan biaya-biaya lainnya.</v>
          </cell>
        </row>
        <row r="1038">
          <cell r="J1038" t="str">
            <v>Berlanjut ke halaman berikut</v>
          </cell>
        </row>
        <row r="1039">
          <cell r="A1039" t="str">
            <v>ITEM PEMBAYARAN NO.</v>
          </cell>
          <cell r="D1039" t="str">
            <v>:  2.4 (1)</v>
          </cell>
          <cell r="J1039" t="str">
            <v xml:space="preserve">Analisa EI-241 </v>
          </cell>
        </row>
        <row r="1040">
          <cell r="A1040" t="str">
            <v>JENIS PEKERJAAN</v>
          </cell>
          <cell r="D1040" t="str">
            <v>:  Timbunan Porous / Bhn.Penyaring</v>
          </cell>
        </row>
        <row r="1041">
          <cell r="A1041" t="str">
            <v>SATUAN PEMBAYARAN</v>
          </cell>
          <cell r="D1041" t="str">
            <v>:  M3</v>
          </cell>
          <cell r="J1041" t="str">
            <v xml:space="preserve">         URAIAN ANALISA HARGA SATUAN</v>
          </cell>
        </row>
        <row r="1042">
          <cell r="J1042" t="str">
            <v>Lanjutan</v>
          </cell>
        </row>
        <row r="1044">
          <cell r="A1044" t="str">
            <v>No.</v>
          </cell>
          <cell r="C1044" t="str">
            <v>U R A I A N</v>
          </cell>
          <cell r="G1044" t="str">
            <v>KODE</v>
          </cell>
          <cell r="H1044" t="str">
            <v>KOEF.</v>
          </cell>
          <cell r="I1044" t="str">
            <v>SATUAN</v>
          </cell>
          <cell r="J1044" t="str">
            <v>KETERANGAN</v>
          </cell>
        </row>
        <row r="1047">
          <cell r="A1047" t="str">
            <v xml:space="preserve">   3.</v>
          </cell>
          <cell r="C1047" t="str">
            <v>TENAGA</v>
          </cell>
        </row>
        <row r="1048">
          <cell r="C1048" t="str">
            <v>Produksi yang dapat diselesaikan / hari</v>
          </cell>
          <cell r="G1048" t="str">
            <v>Qt</v>
          </cell>
          <cell r="H1048">
            <v>10</v>
          </cell>
          <cell r="I1048" t="str">
            <v>M3</v>
          </cell>
        </row>
        <row r="1049">
          <cell r="C1049" t="str">
            <v>Kebutuhan tenaga :</v>
          </cell>
        </row>
        <row r="1050">
          <cell r="D1050" t="str">
            <v>- Pekerja</v>
          </cell>
          <cell r="G1050" t="str">
            <v>P</v>
          </cell>
          <cell r="H1050">
            <v>4</v>
          </cell>
          <cell r="I1050" t="str">
            <v>orang</v>
          </cell>
        </row>
        <row r="1051">
          <cell r="D1051" t="str">
            <v>- Mandor</v>
          </cell>
          <cell r="G1051" t="str">
            <v>M</v>
          </cell>
          <cell r="H1051">
            <v>1</v>
          </cell>
          <cell r="I1051" t="str">
            <v>orang</v>
          </cell>
        </row>
        <row r="1054">
          <cell r="C1054" t="str">
            <v>Koefisien tenaga / M3   :</v>
          </cell>
        </row>
        <row r="1055">
          <cell r="D1055" t="str">
            <v>- Pekerja</v>
          </cell>
          <cell r="E1055" t="str">
            <v>= (Tk x P) : Qt</v>
          </cell>
          <cell r="G1055" t="str">
            <v>(L01)</v>
          </cell>
          <cell r="H1055">
            <v>2.8</v>
          </cell>
          <cell r="I1055" t="str">
            <v>Jam</v>
          </cell>
        </row>
        <row r="1056">
          <cell r="D1056" t="str">
            <v>- Mandor</v>
          </cell>
          <cell r="E1056" t="str">
            <v>= (Tk x M) : Qt</v>
          </cell>
          <cell r="G1056" t="str">
            <v>(L03)</v>
          </cell>
          <cell r="H1056">
            <v>0.7</v>
          </cell>
          <cell r="I1056" t="str">
            <v>Jam</v>
          </cell>
        </row>
        <row r="1059">
          <cell r="A1059" t="str">
            <v>4.</v>
          </cell>
          <cell r="C1059" t="str">
            <v>HARGA DASAR SATUAN UPAH, BAHAN DAN ALAT</v>
          </cell>
        </row>
        <row r="1060">
          <cell r="C1060" t="str">
            <v>Lihat lampiran.</v>
          </cell>
        </row>
        <row r="1063">
          <cell r="A1063" t="str">
            <v>5.</v>
          </cell>
          <cell r="C1063" t="str">
            <v>ANALISA HARGA SATUAN PEKERJAAN</v>
          </cell>
        </row>
        <row r="1064">
          <cell r="C1064" t="str">
            <v>Lihat perhitungan dalam FORMULIR STANDAR UNTUK</v>
          </cell>
        </row>
        <row r="1065">
          <cell r="C1065" t="str">
            <v>PEREKEMAN ANALISA MASING-MASING HARGA</v>
          </cell>
        </row>
        <row r="1066">
          <cell r="C1066" t="str">
            <v>SATUAN.</v>
          </cell>
        </row>
        <row r="1067">
          <cell r="C1067" t="str">
            <v>Didapat Harga Satuan Pekerjaan :</v>
          </cell>
        </row>
        <row r="1069">
          <cell r="C1069" t="str">
            <v xml:space="preserve">Rp.  </v>
          </cell>
          <cell r="D1069">
            <v>205591.54687946799</v>
          </cell>
          <cell r="E1069" t="str">
            <v xml:space="preserve"> / M3</v>
          </cell>
        </row>
        <row r="1072">
          <cell r="A1072" t="str">
            <v>6.</v>
          </cell>
          <cell r="C1072" t="str">
            <v>WAKTU PELAKSANAAN YANG DIPERLUKAN</v>
          </cell>
        </row>
        <row r="1073">
          <cell r="C1073" t="str">
            <v>Masa Pelaksanaan :</v>
          </cell>
          <cell r="D1073" t="str">
            <v>. . . . . . . . . . . .</v>
          </cell>
          <cell r="E1073" t="str">
            <v>bulan</v>
          </cell>
        </row>
        <row r="1075">
          <cell r="A1075" t="str">
            <v>7.</v>
          </cell>
          <cell r="C1075" t="str">
            <v>VOLUME PEKERJAAN YANG DIPERLUKAN</v>
          </cell>
        </row>
        <row r="1076">
          <cell r="C1076" t="str">
            <v>Volume pekerjaan  :</v>
          </cell>
          <cell r="D1076">
            <v>1</v>
          </cell>
          <cell r="E1076" t="str">
            <v>M3</v>
          </cell>
        </row>
        <row r="1097">
          <cell r="T1097" t="str">
            <v xml:space="preserve">Analisa LI-242 </v>
          </cell>
        </row>
        <row r="1098">
          <cell r="A1098" t="str">
            <v>ITEM PEMBAYARAN NO.</v>
          </cell>
          <cell r="D1098" t="str">
            <v>:  2.4 (2)</v>
          </cell>
          <cell r="J1098" t="str">
            <v xml:space="preserve">Analisa LI-242 </v>
          </cell>
        </row>
        <row r="1099">
          <cell r="A1099" t="str">
            <v>JENIS PEKERJAAN</v>
          </cell>
          <cell r="D1099" t="str">
            <v>:  Anyaman Filter Plastik</v>
          </cell>
          <cell r="L1099" t="str">
            <v>FORMULIR STANDAR UNTUK</v>
          </cell>
        </row>
        <row r="1100">
          <cell r="A1100" t="str">
            <v>SATUAN PEMBAYARAN</v>
          </cell>
          <cell r="D1100" t="str">
            <v>:  M2</v>
          </cell>
          <cell r="J1100" t="str">
            <v xml:space="preserve">         URAIAN ANALISA HARGA SATUAN</v>
          </cell>
          <cell r="L1100" t="str">
            <v>PEREKAMAN ANALISA MASING-MASING HARGA SATUAN</v>
          </cell>
        </row>
      </sheetData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-DIV3"/>
    </sheetNames>
    <sheetDataSet>
      <sheetData sheetId="0" refreshError="1">
        <row r="1">
          <cell r="A1" t="str">
            <v>ITEM PEMBAYARAN NO.</v>
          </cell>
          <cell r="D1" t="str">
            <v>:  3.1 (1)</v>
          </cell>
          <cell r="J1" t="str">
            <v>Analisa EI-311</v>
          </cell>
          <cell r="T1" t="str">
            <v>Analisa EI-311</v>
          </cell>
        </row>
        <row r="2">
          <cell r="A2" t="str">
            <v>JENIS PEKERJAAN</v>
          </cell>
          <cell r="D2" t="str">
            <v>:  Galian Biasa</v>
          </cell>
        </row>
        <row r="3">
          <cell r="A3" t="str">
            <v>SATUAN PEMBAYARAN</v>
          </cell>
          <cell r="D3" t="str">
            <v>:  M3</v>
          </cell>
          <cell r="H3" t="str">
            <v xml:space="preserve">         URAIAN ANALISA HARGA SATUAN</v>
          </cell>
          <cell r="L3" t="str">
            <v>FORMULIR STANDAR UNTUK</v>
          </cell>
        </row>
        <row r="4">
          <cell r="L4" t="str">
            <v>PEREKAMAN ANALISA MASING-MASING HARGA SATUAN</v>
          </cell>
        </row>
        <row r="5">
          <cell r="L5" t="str">
            <v/>
          </cell>
        </row>
        <row r="6">
          <cell r="A6" t="str">
            <v>No.</v>
          </cell>
          <cell r="C6" t="str">
            <v>U R A I A N</v>
          </cell>
          <cell r="G6" t="str">
            <v>KODE</v>
          </cell>
          <cell r="H6" t="str">
            <v>KOEF.</v>
          </cell>
          <cell r="I6" t="str">
            <v>SATUAN</v>
          </cell>
          <cell r="J6" t="str">
            <v>KETERANGAN</v>
          </cell>
        </row>
        <row r="8">
          <cell r="L8" t="str">
            <v>PROYEK</v>
          </cell>
          <cell r="O8" t="str">
            <v>:</v>
          </cell>
        </row>
        <row r="9">
          <cell r="A9" t="str">
            <v>I.</v>
          </cell>
          <cell r="C9" t="str">
            <v>ASUMSI</v>
          </cell>
          <cell r="L9" t="str">
            <v>No. PAKET KONTRAK</v>
          </cell>
          <cell r="O9" t="str">
            <v>:</v>
          </cell>
        </row>
        <row r="10">
          <cell r="A10">
            <v>1</v>
          </cell>
          <cell r="C10" t="str">
            <v>Menggunakan alat berat (cara mekanik)</v>
          </cell>
          <cell r="L10" t="str">
            <v>NAMA PAKET</v>
          </cell>
          <cell r="O10" t="str">
            <v>:</v>
          </cell>
        </row>
        <row r="11">
          <cell r="A11">
            <v>2</v>
          </cell>
          <cell r="C11" t="str">
            <v>Lokasi pekerjaan : sepanjang jalan</v>
          </cell>
          <cell r="L11" t="str">
            <v>PROP / KAB / KODYA</v>
          </cell>
          <cell r="O11" t="str">
            <v>:</v>
          </cell>
        </row>
        <row r="12">
          <cell r="A12">
            <v>3</v>
          </cell>
          <cell r="C12" t="str">
            <v>Kondisi Jalan   :  sedang / baik</v>
          </cell>
          <cell r="L12" t="str">
            <v>ITEM PEMBAYARAN NO.</v>
          </cell>
          <cell r="O12" t="str">
            <v>:  3.1 (1)</v>
          </cell>
          <cell r="R12" t="str">
            <v>PERKIRAAN VOL. PEK.</v>
          </cell>
          <cell r="T12" t="str">
            <v>:</v>
          </cell>
          <cell r="U12">
            <v>0</v>
          </cell>
        </row>
        <row r="13">
          <cell r="A13">
            <v>4</v>
          </cell>
          <cell r="C13" t="str">
            <v>Jam kerja efektif per-hari</v>
          </cell>
          <cell r="G13" t="str">
            <v>Tk</v>
          </cell>
          <cell r="H13">
            <v>7</v>
          </cell>
          <cell r="I13" t="str">
            <v>Jam</v>
          </cell>
          <cell r="L13" t="str">
            <v>JENIS PEKERJAAN</v>
          </cell>
          <cell r="O13" t="str">
            <v>:  Galian Biasa</v>
          </cell>
          <cell r="R13" t="str">
            <v>TOTAL HARGA (Rp.)</v>
          </cell>
          <cell r="T13" t="str">
            <v>:</v>
          </cell>
          <cell r="U13">
            <v>0</v>
          </cell>
        </row>
        <row r="14">
          <cell r="A14">
            <v>5</v>
          </cell>
          <cell r="C14" t="str">
            <v>Faktor pengembangan bahan</v>
          </cell>
          <cell r="G14" t="str">
            <v>Fk</v>
          </cell>
          <cell r="H14">
            <v>1.2</v>
          </cell>
          <cell r="I14" t="str">
            <v>-</v>
          </cell>
          <cell r="L14" t="str">
            <v>SATUAN PEMBAYARAN</v>
          </cell>
          <cell r="O14" t="str">
            <v>:  M3</v>
          </cell>
          <cell r="R14" t="str">
            <v>% THD. BIAYA PROYEK</v>
          </cell>
          <cell r="T14" t="str">
            <v>:</v>
          </cell>
          <cell r="U14" t="e">
            <v>#DIV/0!</v>
          </cell>
        </row>
        <row r="17">
          <cell r="A17" t="str">
            <v>II.</v>
          </cell>
          <cell r="C17" t="str">
            <v>URUTAN KERJA</v>
          </cell>
          <cell r="Q17" t="str">
            <v>PERKIRAAN</v>
          </cell>
          <cell r="R17" t="str">
            <v>HARGA</v>
          </cell>
          <cell r="S17" t="str">
            <v>JUMLAH</v>
          </cell>
        </row>
        <row r="18">
          <cell r="A18">
            <v>1</v>
          </cell>
          <cell r="C18" t="str">
            <v>Tanah yang dipotong umumnya berada disisi jalan</v>
          </cell>
          <cell r="L18" t="str">
            <v>NO.</v>
          </cell>
          <cell r="N18" t="str">
            <v>KOMPONEN</v>
          </cell>
          <cell r="P18" t="str">
            <v>SATUAN</v>
          </cell>
          <cell r="Q18" t="str">
            <v>KUANTITAS</v>
          </cell>
          <cell r="R18" t="str">
            <v>SATUAN</v>
          </cell>
          <cell r="S18" t="str">
            <v>HARGA</v>
          </cell>
        </row>
        <row r="19">
          <cell r="A19">
            <v>2</v>
          </cell>
          <cell r="C19" t="str">
            <v>Penggalian dilakukan dengan menggunakan Excavator</v>
          </cell>
          <cell r="R19" t="str">
            <v>(Rp.)</v>
          </cell>
          <cell r="S19" t="str">
            <v>(Rp.)</v>
          </cell>
        </row>
        <row r="20">
          <cell r="A20">
            <v>3</v>
          </cell>
          <cell r="C20" t="str">
            <v>Selanjutnya Excavator menuangkan material hasil</v>
          </cell>
        </row>
        <row r="21">
          <cell r="C21" t="str">
            <v>galian kedalam Dump Truck</v>
          </cell>
        </row>
        <row r="22">
          <cell r="A22">
            <v>4</v>
          </cell>
          <cell r="C22" t="str">
            <v>Dump Truck membuang material hasil galian keluar</v>
          </cell>
          <cell r="L22" t="str">
            <v>A.</v>
          </cell>
          <cell r="N22" t="str">
            <v>TENAGA</v>
          </cell>
        </row>
        <row r="23">
          <cell r="C23" t="str">
            <v>lokasi jalan sejauh</v>
          </cell>
          <cell r="G23" t="str">
            <v>L</v>
          </cell>
          <cell r="H23">
            <v>5</v>
          </cell>
          <cell r="I23" t="str">
            <v>Km</v>
          </cell>
        </row>
        <row r="24">
          <cell r="L24" t="str">
            <v>1.</v>
          </cell>
          <cell r="N24" t="str">
            <v>Pekerja</v>
          </cell>
          <cell r="O24" t="str">
            <v>(L01)</v>
          </cell>
          <cell r="P24" t="str">
            <v>Jam</v>
          </cell>
          <cell r="Q24">
            <v>1.6426998315844023E-2</v>
          </cell>
          <cell r="R24">
            <v>2857.14</v>
          </cell>
          <cell r="U24">
            <v>46.934233968130592</v>
          </cell>
        </row>
        <row r="25">
          <cell r="L25" t="str">
            <v>2.</v>
          </cell>
          <cell r="N25" t="str">
            <v>Mandor</v>
          </cell>
          <cell r="O25" t="str">
            <v>(L03)</v>
          </cell>
          <cell r="P25" t="str">
            <v>Jam</v>
          </cell>
          <cell r="Q25">
            <v>8.2134991579220114E-3</v>
          </cell>
          <cell r="R25">
            <v>3214.29</v>
          </cell>
          <cell r="U25">
            <v>26.400568208317143</v>
          </cell>
        </row>
        <row r="26">
          <cell r="A26" t="str">
            <v>III.</v>
          </cell>
          <cell r="C26" t="str">
            <v>PEMAKAIAN BAHAN, ALAT DAN TENAGA</v>
          </cell>
        </row>
        <row r="28">
          <cell r="A28" t="str">
            <v xml:space="preserve">   1.</v>
          </cell>
          <cell r="C28" t="str">
            <v>BAHAN</v>
          </cell>
          <cell r="Q28" t="str">
            <v xml:space="preserve">JUMLAH HARGA TENAGA   </v>
          </cell>
          <cell r="U28">
            <v>73.334802176447738</v>
          </cell>
        </row>
        <row r="29">
          <cell r="C29" t="str">
            <v>Tidak ada bahan yang diperlukan</v>
          </cell>
        </row>
        <row r="30">
          <cell r="L30" t="str">
            <v>B.</v>
          </cell>
          <cell r="N30" t="str">
            <v>BAHAN</v>
          </cell>
        </row>
        <row r="32">
          <cell r="A32" t="str">
            <v xml:space="preserve">   2.</v>
          </cell>
          <cell r="C32" t="str">
            <v>ALAT</v>
          </cell>
        </row>
        <row r="33">
          <cell r="A33" t="str">
            <v xml:space="preserve">   2.a.</v>
          </cell>
          <cell r="C33" t="str">
            <v>EXCAVATOR</v>
          </cell>
          <cell r="G33" t="str">
            <v>(E10)</v>
          </cell>
        </row>
        <row r="34">
          <cell r="C34" t="str">
            <v>Kapasitas Bucket</v>
          </cell>
          <cell r="G34" t="str">
            <v>V</v>
          </cell>
          <cell r="H34">
            <v>0.93</v>
          </cell>
          <cell r="I34" t="str">
            <v>M3</v>
          </cell>
        </row>
        <row r="35">
          <cell r="C35" t="str">
            <v>Faktor Bucket</v>
          </cell>
          <cell r="G35" t="str">
            <v>Fb</v>
          </cell>
          <cell r="H35">
            <v>1</v>
          </cell>
          <cell r="I35" t="str">
            <v>-</v>
          </cell>
        </row>
        <row r="36">
          <cell r="C36" t="str">
            <v>Faktor  Efisiensi alat</v>
          </cell>
          <cell r="G36" t="str">
            <v>Fa</v>
          </cell>
          <cell r="H36">
            <v>0.83</v>
          </cell>
          <cell r="I36" t="str">
            <v>-</v>
          </cell>
        </row>
        <row r="38">
          <cell r="C38" t="str">
            <v>Waktu siklus</v>
          </cell>
          <cell r="G38" t="str">
            <v>Ts1</v>
          </cell>
          <cell r="I38" t="str">
            <v>menit</v>
          </cell>
          <cell r="Q38" t="str">
            <v xml:space="preserve">JUMLAH HARGA BAHAN   </v>
          </cell>
          <cell r="U38">
            <v>0</v>
          </cell>
        </row>
        <row r="39">
          <cell r="C39" t="str">
            <v>- Menggali / memuat</v>
          </cell>
          <cell r="G39" t="str">
            <v>T1</v>
          </cell>
          <cell r="H39">
            <v>0.317</v>
          </cell>
          <cell r="I39" t="str">
            <v>menit</v>
          </cell>
        </row>
        <row r="40">
          <cell r="C40" t="str">
            <v>- Lain-lain</v>
          </cell>
          <cell r="G40" t="str">
            <v>T2</v>
          </cell>
          <cell r="I40" t="str">
            <v>menit</v>
          </cell>
        </row>
        <row r="41">
          <cell r="G41" t="str">
            <v>Ts1</v>
          </cell>
          <cell r="H41">
            <v>0.317</v>
          </cell>
          <cell r="I41" t="str">
            <v>menit</v>
          </cell>
          <cell r="L41" t="str">
            <v>C.</v>
          </cell>
          <cell r="N41" t="str">
            <v>PERALATAN</v>
          </cell>
        </row>
        <row r="43">
          <cell r="C43" t="str">
            <v>Kap. Prod. / jam =</v>
          </cell>
          <cell r="D43" t="str">
            <v>V  x Fb x Fa x 60</v>
          </cell>
          <cell r="G43" t="str">
            <v>Q1</v>
          </cell>
          <cell r="H43">
            <v>121.75078864353311</v>
          </cell>
          <cell r="I43" t="str">
            <v>M3/Jam</v>
          </cell>
          <cell r="L43" t="str">
            <v>1.</v>
          </cell>
          <cell r="N43" t="str">
            <v>Excavator</v>
          </cell>
          <cell r="O43" t="str">
            <v>(E10)</v>
          </cell>
          <cell r="P43" t="str">
            <v>Jam</v>
          </cell>
          <cell r="Q43">
            <v>8.2134991579220114E-3</v>
          </cell>
          <cell r="R43">
            <v>238185.05650827778</v>
          </cell>
          <cell r="U43">
            <v>1956.3327610603462</v>
          </cell>
        </row>
        <row r="44">
          <cell r="D44" t="str">
            <v>Ts1 x Fh</v>
          </cell>
          <cell r="L44" t="str">
            <v>2.</v>
          </cell>
          <cell r="N44" t="str">
            <v>Dump Truck</v>
          </cell>
          <cell r="O44" t="str">
            <v>(E08)</v>
          </cell>
          <cell r="P44" t="str">
            <v>Jam</v>
          </cell>
          <cell r="Q44">
            <v>5.7658071071694475E-2</v>
          </cell>
          <cell r="R44">
            <v>153645.58193291764</v>
          </cell>
          <cell r="U44">
            <v>8858.9078829400223</v>
          </cell>
        </row>
        <row r="45">
          <cell r="L45" t="str">
            <v>3.</v>
          </cell>
          <cell r="N45" t="str">
            <v>Alat Bantu</v>
          </cell>
          <cell r="P45" t="str">
            <v>Ls</v>
          </cell>
          <cell r="Q45">
            <v>1</v>
          </cell>
          <cell r="R45">
            <v>75</v>
          </cell>
          <cell r="U45">
            <v>75</v>
          </cell>
        </row>
        <row r="46">
          <cell r="C46" t="str">
            <v>Koefisien Alat / M3</v>
          </cell>
          <cell r="D46" t="str">
            <v xml:space="preserve"> =  1  :  Q1</v>
          </cell>
          <cell r="G46" t="str">
            <v>(E10)</v>
          </cell>
          <cell r="H46">
            <v>8.2134991579220114E-3</v>
          </cell>
          <cell r="I46" t="str">
            <v>Jam</v>
          </cell>
        </row>
        <row r="50">
          <cell r="A50" t="str">
            <v xml:space="preserve">   2.b.</v>
          </cell>
          <cell r="C50" t="str">
            <v>DUMP TRUCK</v>
          </cell>
          <cell r="G50" t="str">
            <v>(E08)</v>
          </cell>
          <cell r="Q50" t="str">
            <v xml:space="preserve">JUMLAH HARGA PERALATAN   </v>
          </cell>
          <cell r="U50">
            <v>10890.240644000369</v>
          </cell>
        </row>
        <row r="51">
          <cell r="C51" t="str">
            <v>Kapasitas bak</v>
          </cell>
          <cell r="G51" t="str">
            <v>V</v>
          </cell>
          <cell r="H51">
            <v>6.666666666666667</v>
          </cell>
          <cell r="I51" t="str">
            <v>M3</v>
          </cell>
        </row>
        <row r="52">
          <cell r="C52" t="str">
            <v>Faktor  efisiensi alat</v>
          </cell>
          <cell r="G52" t="str">
            <v>Fa</v>
          </cell>
          <cell r="H52">
            <v>0.83</v>
          </cell>
          <cell r="I52" t="str">
            <v>-</v>
          </cell>
          <cell r="L52" t="str">
            <v>D.</v>
          </cell>
          <cell r="N52" t="str">
            <v>JUMLAH HARGA TENAGA, BAHAN DAN PERALATAN  ( A + B + C )</v>
          </cell>
          <cell r="U52">
            <v>10963.575446176816</v>
          </cell>
        </row>
        <row r="53">
          <cell r="C53" t="str">
            <v>Kecepatan rata-rata bermuatan</v>
          </cell>
          <cell r="G53" t="str">
            <v>v1</v>
          </cell>
          <cell r="H53">
            <v>45</v>
          </cell>
          <cell r="I53" t="str">
            <v>KM/Jam</v>
          </cell>
          <cell r="L53" t="str">
            <v>E.</v>
          </cell>
          <cell r="N53" t="str">
            <v>OVERHEAD &amp; PROFIT</v>
          </cell>
          <cell r="P53">
            <v>10</v>
          </cell>
          <cell r="Q53" t="str">
            <v>%  x  D</v>
          </cell>
          <cell r="U53">
            <v>1096.3575446176817</v>
          </cell>
        </row>
        <row r="54">
          <cell r="C54" t="str">
            <v>Kecepatan rata-rata kosong</v>
          </cell>
          <cell r="G54" t="str">
            <v>v2</v>
          </cell>
          <cell r="H54">
            <v>60</v>
          </cell>
          <cell r="I54" t="str">
            <v>KM/Jam</v>
          </cell>
          <cell r="L54" t="str">
            <v>F.</v>
          </cell>
          <cell r="N54" t="str">
            <v>HARGA SATUAN PEKERJAAN  ( D + E )</v>
          </cell>
          <cell r="U54">
            <v>12059.932990794498</v>
          </cell>
        </row>
        <row r="55">
          <cell r="C55" t="str">
            <v>Waktu  siklus</v>
          </cell>
          <cell r="G55" t="str">
            <v>Ts2</v>
          </cell>
          <cell r="I55" t="str">
            <v>menit</v>
          </cell>
          <cell r="L55" t="str">
            <v>Note: 1</v>
          </cell>
          <cell r="N55" t="str">
            <v>SATUAN dapat berdasarkan atas jam operasi untuk Tenaga Kerja dan Peralatan, volume dan/atau ukuran</v>
          </cell>
        </row>
        <row r="56">
          <cell r="C56" t="str">
            <v>- Waktu tempuh isi</v>
          </cell>
          <cell r="E56" t="str">
            <v>=   (L  :  v1)  x  60</v>
          </cell>
          <cell r="G56" t="str">
            <v>T1</v>
          </cell>
          <cell r="H56">
            <v>6.6666666666666661</v>
          </cell>
          <cell r="I56" t="str">
            <v>menit</v>
          </cell>
          <cell r="N56" t="str">
            <v>berat untuk bahan-bahan.</v>
          </cell>
        </row>
        <row r="57">
          <cell r="C57" t="str">
            <v>- Waktu tempuh kosong</v>
          </cell>
          <cell r="E57" t="str">
            <v>=   (L  :  v2)  x  60</v>
          </cell>
          <cell r="G57" t="str">
            <v>T2</v>
          </cell>
          <cell r="H57">
            <v>5</v>
          </cell>
          <cell r="I57" t="str">
            <v>menit</v>
          </cell>
          <cell r="L57">
            <v>2</v>
          </cell>
          <cell r="N57" t="str">
            <v>Kuantitas satuan adalah kuantitas setiap komponen untuk menyelesaikan satu satuan pekerjaan dari nomor</v>
          </cell>
        </row>
        <row r="58">
          <cell r="C58" t="str">
            <v>- Muat</v>
          </cell>
          <cell r="E58" t="str">
            <v>=   (V  :  Q1) x 60</v>
          </cell>
          <cell r="G58" t="str">
            <v>T3</v>
          </cell>
          <cell r="H58">
            <v>3.2853996631688047</v>
          </cell>
          <cell r="I58" t="str">
            <v>menit</v>
          </cell>
          <cell r="N58" t="str">
            <v>mata pembayaran.</v>
          </cell>
        </row>
        <row r="59">
          <cell r="C59" t="str">
            <v>- Lain-lain</v>
          </cell>
          <cell r="G59" t="str">
            <v>T4</v>
          </cell>
          <cell r="H59">
            <v>1</v>
          </cell>
          <cell r="I59" t="str">
            <v>menit</v>
          </cell>
          <cell r="L59">
            <v>3</v>
          </cell>
          <cell r="N59" t="str">
            <v>Biaya satuan untuk peralatan sudah termasuk bahan bakar, bahan habis dipakai dan operator.</v>
          </cell>
        </row>
        <row r="60">
          <cell r="G60" t="str">
            <v>Ts2</v>
          </cell>
          <cell r="H60">
            <v>15.952066329835471</v>
          </cell>
          <cell r="I60" t="str">
            <v>menit</v>
          </cell>
          <cell r="L60">
            <v>4</v>
          </cell>
          <cell r="N60" t="str">
            <v>Biaya satuan sudah termasuk pengeluaran untuk seluruh pajak yang berkaitan (tetapi tidak termasuk PPN</v>
          </cell>
        </row>
        <row r="61">
          <cell r="J61" t="str">
            <v>Berlanjut ke halaman berikut</v>
          </cell>
          <cell r="N61" t="str">
            <v>yang dibayar dari kontrak) dan biaya-biaya lainnya.</v>
          </cell>
        </row>
        <row r="62">
          <cell r="A62" t="str">
            <v>ITEM PEMBAYARAN NO.</v>
          </cell>
          <cell r="D62" t="str">
            <v>:  3.1 (1)</v>
          </cell>
          <cell r="J62" t="str">
            <v>Analisa EI-311</v>
          </cell>
        </row>
        <row r="63">
          <cell r="A63" t="str">
            <v>JENIS PEKERJAAN</v>
          </cell>
          <cell r="D63" t="str">
            <v>:  Galian Biasa</v>
          </cell>
        </row>
        <row r="64">
          <cell r="A64" t="str">
            <v>SATUAN PEMBAYARAN</v>
          </cell>
          <cell r="D64" t="str">
            <v>:  M3</v>
          </cell>
          <cell r="H64" t="str">
            <v xml:space="preserve">         URAIAN ANALISA HARGA SATUAN</v>
          </cell>
        </row>
        <row r="65">
          <cell r="J65" t="str">
            <v>Lanjutan</v>
          </cell>
        </row>
        <row r="67">
          <cell r="A67" t="str">
            <v>No.</v>
          </cell>
          <cell r="C67" t="str">
            <v>U R A I A N</v>
          </cell>
          <cell r="G67" t="str">
            <v>KODE</v>
          </cell>
          <cell r="H67" t="str">
            <v>KOEF.</v>
          </cell>
          <cell r="I67" t="str">
            <v>SATUAN</v>
          </cell>
          <cell r="J67" t="str">
            <v>KETERANGAN</v>
          </cell>
        </row>
        <row r="70">
          <cell r="C70" t="str">
            <v>Kapasitas Produksi / Jam   =</v>
          </cell>
          <cell r="E70" t="str">
            <v>V x Fa x 60</v>
          </cell>
          <cell r="G70" t="str">
            <v>Q2</v>
          </cell>
          <cell r="H70">
            <v>17.343625643607776</v>
          </cell>
          <cell r="I70" t="str">
            <v xml:space="preserve">M3/Jam </v>
          </cell>
        </row>
        <row r="71">
          <cell r="E71" t="str">
            <v xml:space="preserve">    Fk x Ts2</v>
          </cell>
        </row>
        <row r="74">
          <cell r="C74" t="str">
            <v>Koefisien Alat / M3</v>
          </cell>
          <cell r="D74" t="str">
            <v xml:space="preserve"> =  1  :  Q2</v>
          </cell>
          <cell r="G74" t="str">
            <v>(E08)</v>
          </cell>
          <cell r="H74">
            <v>5.7658071071694475E-2</v>
          </cell>
          <cell r="I74" t="str">
            <v>Jam</v>
          </cell>
        </row>
        <row r="77">
          <cell r="A77" t="str">
            <v>2.d.</v>
          </cell>
          <cell r="C77" t="str">
            <v>ALAT  BANTU</v>
          </cell>
        </row>
        <row r="78">
          <cell r="C78" t="str">
            <v>Diperlukan alat-alat bantu kecil</v>
          </cell>
          <cell r="J78" t="str">
            <v>Lump Sump</v>
          </cell>
        </row>
        <row r="79">
          <cell r="C79" t="str">
            <v>- Sekop</v>
          </cell>
        </row>
        <row r="80">
          <cell r="C80" t="str">
            <v>- Keranjang</v>
          </cell>
        </row>
        <row r="82">
          <cell r="A82" t="str">
            <v xml:space="preserve">   3.</v>
          </cell>
          <cell r="C82" t="str">
            <v>TENAGA</v>
          </cell>
        </row>
        <row r="83">
          <cell r="C83" t="str">
            <v>Produksi menentukan : EXCAVATOR</v>
          </cell>
          <cell r="G83" t="str">
            <v>Q1</v>
          </cell>
          <cell r="H83">
            <v>121.75078864353311</v>
          </cell>
          <cell r="I83" t="str">
            <v>M3/Jam</v>
          </cell>
        </row>
        <row r="84">
          <cell r="C84" t="str">
            <v>Produksi Galian / hari  =  Tk x Q1</v>
          </cell>
          <cell r="G84" t="str">
            <v>Qt</v>
          </cell>
          <cell r="H84">
            <v>852.25552050473175</v>
          </cell>
          <cell r="I84" t="str">
            <v>M3</v>
          </cell>
        </row>
        <row r="85">
          <cell r="C85" t="str">
            <v>Kebutuhan tenaga :</v>
          </cell>
        </row>
        <row r="86">
          <cell r="D86" t="str">
            <v>- Pekerja</v>
          </cell>
          <cell r="G86" t="str">
            <v>P</v>
          </cell>
          <cell r="H86">
            <v>2</v>
          </cell>
          <cell r="I86" t="str">
            <v>orang</v>
          </cell>
        </row>
        <row r="87">
          <cell r="D87" t="str">
            <v>- Mandor</v>
          </cell>
          <cell r="G87" t="str">
            <v>M</v>
          </cell>
          <cell r="H87">
            <v>1</v>
          </cell>
          <cell r="I87" t="str">
            <v>orang</v>
          </cell>
        </row>
        <row r="89">
          <cell r="C89" t="str">
            <v>Koefisien tenaga / M3   :</v>
          </cell>
        </row>
        <row r="90">
          <cell r="D90" t="str">
            <v>- Pekerja</v>
          </cell>
          <cell r="E90" t="str">
            <v>= (Tk x P) : Qt</v>
          </cell>
          <cell r="G90" t="str">
            <v>(L01)</v>
          </cell>
          <cell r="H90">
            <v>1.6426998315844023E-2</v>
          </cell>
          <cell r="I90" t="str">
            <v>Jam</v>
          </cell>
        </row>
        <row r="91">
          <cell r="D91" t="str">
            <v>- Mandor</v>
          </cell>
          <cell r="E91" t="str">
            <v>= (Tk x M) : Qt</v>
          </cell>
          <cell r="G91" t="str">
            <v>(L03)</v>
          </cell>
          <cell r="H91">
            <v>8.2134991579220114E-3</v>
          </cell>
          <cell r="I91" t="str">
            <v>Jam</v>
          </cell>
        </row>
        <row r="93">
          <cell r="A93" t="str">
            <v>4.</v>
          </cell>
          <cell r="C93" t="str">
            <v>HARGA DASAR SATUAN UPAH, BAHAN DAN ALAT</v>
          </cell>
        </row>
        <row r="94">
          <cell r="C94" t="str">
            <v>Lihat lampiran.</v>
          </cell>
        </row>
        <row r="96">
          <cell r="A96" t="str">
            <v>5.</v>
          </cell>
          <cell r="C96" t="str">
            <v>ANALISA HARGA SATUAN PEKERJAAN</v>
          </cell>
        </row>
        <row r="97">
          <cell r="C97" t="str">
            <v>Lihat perhitungan dalam FORMULIR STANDAR UNTUK</v>
          </cell>
        </row>
        <row r="98">
          <cell r="C98" t="str">
            <v>PEREKEMAN ANALISA MASING-MASING HARGA</v>
          </cell>
        </row>
        <row r="99">
          <cell r="C99" t="str">
            <v>SATUAN.</v>
          </cell>
        </row>
        <row r="100">
          <cell r="C100" t="str">
            <v>Didapat Harga Satuan Pekerjaan :</v>
          </cell>
        </row>
        <row r="102">
          <cell r="C102" t="str">
            <v xml:space="preserve">Rp.  </v>
          </cell>
          <cell r="D102">
            <v>12059.932990794498</v>
          </cell>
          <cell r="E102" t="str">
            <v xml:space="preserve"> / M3</v>
          </cell>
        </row>
        <row r="105">
          <cell r="A105" t="str">
            <v>6.</v>
          </cell>
          <cell r="C105" t="str">
            <v>WAKTU PELAKSANAAN YANG DIPERLUKAN</v>
          </cell>
        </row>
        <row r="106">
          <cell r="C106" t="str">
            <v>Masa Pelaksanaan :</v>
          </cell>
          <cell r="D106" t="str">
            <v>. . . . . . . . . . . .</v>
          </cell>
          <cell r="E106" t="str">
            <v>bulan</v>
          </cell>
        </row>
        <row r="108">
          <cell r="A108" t="str">
            <v>7.</v>
          </cell>
          <cell r="C108" t="str">
            <v>VOLUME PEKERJAAN YANG DIPERLUKAN</v>
          </cell>
        </row>
        <row r="109">
          <cell r="C109" t="str">
            <v>Volume pekerjaan  :</v>
          </cell>
          <cell r="D109">
            <v>0</v>
          </cell>
          <cell r="E109" t="str">
            <v>M3</v>
          </cell>
        </row>
        <row r="121">
          <cell r="A121" t="str">
            <v>ITEM PEMBAYARAN NO.</v>
          </cell>
          <cell r="D121" t="str">
            <v>:  3.1 (2)</v>
          </cell>
          <cell r="J121" t="str">
            <v>Analisa EI-312</v>
          </cell>
          <cell r="T121" t="str">
            <v>Analisa EI-312</v>
          </cell>
        </row>
        <row r="122">
          <cell r="A122" t="str">
            <v>JENIS PEKERJAAN</v>
          </cell>
          <cell r="D122" t="str">
            <v>:  Galian Batu</v>
          </cell>
        </row>
        <row r="123">
          <cell r="A123" t="str">
            <v>SATUAN PEMBAYARAN</v>
          </cell>
          <cell r="D123" t="str">
            <v>:  M3</v>
          </cell>
          <cell r="H123" t="str">
            <v xml:space="preserve">         URAIAN ANALISA HARGA SATUAN</v>
          </cell>
          <cell r="L123" t="str">
            <v>FORMULIR STANDAR UNTUK</v>
          </cell>
        </row>
        <row r="124">
          <cell r="L124" t="str">
            <v>PEREKAMAN ANALISA MASING-MASING HARGA SATUAN</v>
          </cell>
        </row>
        <row r="125">
          <cell r="L125" t="str">
            <v/>
          </cell>
        </row>
        <row r="126">
          <cell r="A126" t="str">
            <v>No.</v>
          </cell>
          <cell r="C126" t="str">
            <v>U R A I A N</v>
          </cell>
          <cell r="G126" t="str">
            <v>KODE</v>
          </cell>
          <cell r="H126" t="str">
            <v>KOEF.</v>
          </cell>
          <cell r="I126" t="str">
            <v>SATUAN</v>
          </cell>
          <cell r="J126" t="str">
            <v>KETERANGAN</v>
          </cell>
        </row>
        <row r="128">
          <cell r="L128" t="str">
            <v>PROYEK</v>
          </cell>
          <cell r="O128" t="str">
            <v>:</v>
          </cell>
        </row>
        <row r="129">
          <cell r="A129" t="str">
            <v>I.</v>
          </cell>
          <cell r="C129" t="str">
            <v>ASUMSI</v>
          </cell>
          <cell r="L129" t="str">
            <v>No. PAKET KONTRAK</v>
          </cell>
          <cell r="O129" t="str">
            <v>:</v>
          </cell>
        </row>
        <row r="130">
          <cell r="A130">
            <v>1</v>
          </cell>
          <cell r="C130" t="str">
            <v>Pekerjaan dilakukan secara manual</v>
          </cell>
          <cell r="L130" t="str">
            <v>NAMA PAKET</v>
          </cell>
          <cell r="O130" t="str">
            <v>:</v>
          </cell>
        </row>
        <row r="131">
          <cell r="A131">
            <v>2</v>
          </cell>
          <cell r="C131" t="str">
            <v>Lokasi pekerjaan : sepanjang jalan</v>
          </cell>
          <cell r="L131" t="str">
            <v>PROP / KAB / KODYA</v>
          </cell>
          <cell r="O131" t="str">
            <v>:</v>
          </cell>
        </row>
        <row r="132">
          <cell r="A132">
            <v>3</v>
          </cell>
          <cell r="C132" t="str">
            <v>Kondisi Jalan   :  sedang / baik</v>
          </cell>
          <cell r="L132" t="str">
            <v>ITEM PEMBAYARAN NO.</v>
          </cell>
          <cell r="O132" t="str">
            <v>:  3.1 (2)</v>
          </cell>
          <cell r="R132" t="str">
            <v>PERKIRAAN VOL. PEK.</v>
          </cell>
          <cell r="T132" t="str">
            <v>:</v>
          </cell>
          <cell r="U132">
            <v>0</v>
          </cell>
        </row>
        <row r="133">
          <cell r="A133">
            <v>4</v>
          </cell>
          <cell r="C133" t="str">
            <v>Jam kerja efektif per-hari</v>
          </cell>
          <cell r="G133" t="str">
            <v>Tk</v>
          </cell>
          <cell r="H133">
            <v>7</v>
          </cell>
          <cell r="I133" t="str">
            <v>Jam</v>
          </cell>
          <cell r="L133" t="str">
            <v>JENIS PEKERJAAN</v>
          </cell>
          <cell r="O133" t="str">
            <v>:  Galian Batu</v>
          </cell>
          <cell r="R133" t="str">
            <v>TOTAL HARGA (Rp.)</v>
          </cell>
          <cell r="T133" t="str">
            <v>:</v>
          </cell>
          <cell r="U133">
            <v>0</v>
          </cell>
        </row>
        <row r="134">
          <cell r="A134">
            <v>5</v>
          </cell>
          <cell r="C134" t="str">
            <v>Faktor pengembangan bahan</v>
          </cell>
          <cell r="G134" t="str">
            <v>Fk</v>
          </cell>
          <cell r="H134">
            <v>1.2</v>
          </cell>
          <cell r="I134" t="str">
            <v>-</v>
          </cell>
          <cell r="L134" t="str">
            <v>SATUAN PEMBAYARAN</v>
          </cell>
          <cell r="O134" t="str">
            <v>:  M3</v>
          </cell>
          <cell r="R134" t="str">
            <v>% THD. BIAYA PROYEK</v>
          </cell>
          <cell r="T134" t="str">
            <v>:</v>
          </cell>
          <cell r="U134" t="e">
            <v>#DIV/0!</v>
          </cell>
        </row>
        <row r="137">
          <cell r="A137" t="str">
            <v>II.</v>
          </cell>
          <cell r="C137" t="str">
            <v>URUTAN KERJA</v>
          </cell>
          <cell r="Q137" t="str">
            <v>PERKIRAAN</v>
          </cell>
          <cell r="R137" t="str">
            <v>HARGA</v>
          </cell>
          <cell r="S137" t="str">
            <v>JUMLAH</v>
          </cell>
        </row>
        <row r="138">
          <cell r="A138">
            <v>1</v>
          </cell>
          <cell r="C138" t="str">
            <v>Batu yg dipotong umumnya berada disisi jalan</v>
          </cell>
          <cell r="L138" t="str">
            <v>NO.</v>
          </cell>
          <cell r="N138" t="str">
            <v>KOMPONEN</v>
          </cell>
          <cell r="P138" t="str">
            <v>SATUAN</v>
          </cell>
          <cell r="Q138" t="str">
            <v>KUANTITAS</v>
          </cell>
          <cell r="R138" t="str">
            <v>SATUAN</v>
          </cell>
          <cell r="S138" t="str">
            <v>HARGA</v>
          </cell>
        </row>
        <row r="139">
          <cell r="A139">
            <v>2</v>
          </cell>
          <cell r="C139" t="str">
            <v>Penggalian dilakukan dengan Excavator, Compresor</v>
          </cell>
          <cell r="R139" t="str">
            <v>(Rp.)</v>
          </cell>
          <cell r="S139" t="str">
            <v>(Rp.)</v>
          </cell>
        </row>
        <row r="140">
          <cell r="C140" t="str">
            <v>dan Jack Hammer, dimuat ke dlm Truk dengan Loader.</v>
          </cell>
        </row>
        <row r="141">
          <cell r="A141">
            <v>3</v>
          </cell>
          <cell r="C141" t="str">
            <v>Dump Truck membuang material hasil galian keluar</v>
          </cell>
        </row>
        <row r="142">
          <cell r="C142" t="str">
            <v>lokasi jalan sejauh :</v>
          </cell>
          <cell r="G142" t="str">
            <v>L</v>
          </cell>
          <cell r="H142">
            <v>5</v>
          </cell>
          <cell r="I142" t="str">
            <v>Km</v>
          </cell>
          <cell r="L142" t="str">
            <v>A.</v>
          </cell>
          <cell r="N142" t="str">
            <v>TENAGA</v>
          </cell>
        </row>
        <row r="144">
          <cell r="L144" t="str">
            <v>1.</v>
          </cell>
          <cell r="N144" t="str">
            <v>Pekerja</v>
          </cell>
          <cell r="O144" t="str">
            <v>(L01)</v>
          </cell>
          <cell r="P144" t="str">
            <v>Jam</v>
          </cell>
          <cell r="Q144">
            <v>1</v>
          </cell>
          <cell r="R144">
            <v>2857.14</v>
          </cell>
          <cell r="U144">
            <v>2857.14</v>
          </cell>
        </row>
        <row r="145">
          <cell r="L145" t="str">
            <v>2.</v>
          </cell>
          <cell r="N145" t="str">
            <v>Mandor</v>
          </cell>
          <cell r="O145" t="str">
            <v>(L03)</v>
          </cell>
          <cell r="P145" t="str">
            <v>Jam</v>
          </cell>
          <cell r="Q145">
            <v>0.125</v>
          </cell>
          <cell r="R145">
            <v>3214.29</v>
          </cell>
          <cell r="U145">
            <v>401.78625</v>
          </cell>
        </row>
        <row r="146">
          <cell r="A146" t="str">
            <v>III.</v>
          </cell>
          <cell r="C146" t="str">
            <v>PEMAKAIAN BAHAN, ALAT DAN TENAGA</v>
          </cell>
        </row>
        <row r="148">
          <cell r="A148" t="str">
            <v xml:space="preserve">   1.</v>
          </cell>
          <cell r="C148" t="str">
            <v>BAHAN</v>
          </cell>
          <cell r="Q148" t="str">
            <v xml:space="preserve">JUMLAH HARGA TENAGA   </v>
          </cell>
          <cell r="U148">
            <v>3258.92625</v>
          </cell>
        </row>
        <row r="149">
          <cell r="C149" t="str">
            <v>Tidak ada bahan yang diperlukan</v>
          </cell>
        </row>
        <row r="150">
          <cell r="L150" t="str">
            <v>B.</v>
          </cell>
          <cell r="N150" t="str">
            <v>BAHAN</v>
          </cell>
        </row>
        <row r="152">
          <cell r="A152" t="str">
            <v xml:space="preserve">   2.</v>
          </cell>
          <cell r="C152" t="str">
            <v>ALAT</v>
          </cell>
        </row>
        <row r="153">
          <cell r="A153" t="str">
            <v xml:space="preserve">   2.a.</v>
          </cell>
          <cell r="C153" t="str">
            <v>COMPRESSOR, EXCAVATOR, JACK HAMMER &amp; LOADER</v>
          </cell>
          <cell r="J153" t="str">
            <v xml:space="preserve"> (E05/26/10/15)</v>
          </cell>
        </row>
        <row r="154">
          <cell r="C154" t="str">
            <v>Produksi per jam</v>
          </cell>
          <cell r="G154" t="str">
            <v>Q1</v>
          </cell>
          <cell r="H154">
            <v>8</v>
          </cell>
          <cell r="I154" t="str">
            <v>M3 / Jam</v>
          </cell>
        </row>
        <row r="156">
          <cell r="C156" t="str">
            <v>Koefisien Alat / m3</v>
          </cell>
          <cell r="D156" t="str">
            <v xml:space="preserve"> =  1  :  Q1</v>
          </cell>
          <cell r="G156" t="str">
            <v>(E05/26)</v>
          </cell>
          <cell r="H156">
            <v>0.125</v>
          </cell>
          <cell r="I156" t="str">
            <v>Jam</v>
          </cell>
        </row>
        <row r="158">
          <cell r="Q158" t="str">
            <v xml:space="preserve">JUMLAH HARGA BAHAN   </v>
          </cell>
          <cell r="U158">
            <v>0</v>
          </cell>
        </row>
        <row r="159">
          <cell r="A159" t="str">
            <v xml:space="preserve">   2.b.</v>
          </cell>
          <cell r="C159" t="str">
            <v>DUMP TRUCK</v>
          </cell>
          <cell r="G159" t="str">
            <v>(E08)</v>
          </cell>
        </row>
        <row r="160">
          <cell r="C160" t="str">
            <v>Kapasitas bak</v>
          </cell>
          <cell r="G160" t="str">
            <v>V</v>
          </cell>
          <cell r="H160">
            <v>4</v>
          </cell>
          <cell r="I160" t="str">
            <v>M3</v>
          </cell>
          <cell r="L160" t="str">
            <v>C.</v>
          </cell>
          <cell r="N160" t="str">
            <v>PERALATAN</v>
          </cell>
        </row>
        <row r="161">
          <cell r="C161" t="str">
            <v>Faktor  efisiensi alat</v>
          </cell>
          <cell r="G161" t="str">
            <v>Fa</v>
          </cell>
          <cell r="H161">
            <v>0.83</v>
          </cell>
          <cell r="I161" t="str">
            <v>-</v>
          </cell>
          <cell r="L161" t="str">
            <v>1.</v>
          </cell>
          <cell r="N161" t="str">
            <v>Compressor</v>
          </cell>
          <cell r="O161" t="str">
            <v>(E05)</v>
          </cell>
          <cell r="P161" t="str">
            <v>Jam</v>
          </cell>
          <cell r="Q161">
            <v>0.125</v>
          </cell>
          <cell r="R161">
            <v>53840.365312835944</v>
          </cell>
          <cell r="U161">
            <v>6730.045664104493</v>
          </cell>
        </row>
        <row r="162">
          <cell r="C162" t="str">
            <v>Kecepatan rata-rata bermuatan</v>
          </cell>
          <cell r="G162" t="str">
            <v>v1</v>
          </cell>
          <cell r="H162">
            <v>45</v>
          </cell>
          <cell r="I162" t="str">
            <v>KM/Jam</v>
          </cell>
          <cell r="L162" t="str">
            <v>2.</v>
          </cell>
          <cell r="N162" t="str">
            <v>Jack Hammer</v>
          </cell>
          <cell r="O162" t="str">
            <v>(E26)</v>
          </cell>
          <cell r="P162" t="str">
            <v>Jam</v>
          </cell>
          <cell r="Q162">
            <v>0.125</v>
          </cell>
          <cell r="R162">
            <v>16417.550326811437</v>
          </cell>
          <cell r="U162">
            <v>2052.1937908514296</v>
          </cell>
        </row>
        <row r="163">
          <cell r="C163" t="str">
            <v>Kecepatan rata-rata kosong</v>
          </cell>
          <cell r="G163" t="str">
            <v>v2</v>
          </cell>
          <cell r="H163">
            <v>60</v>
          </cell>
          <cell r="I163" t="str">
            <v>KM/Jam</v>
          </cell>
          <cell r="L163" t="str">
            <v>3.</v>
          </cell>
          <cell r="N163" t="str">
            <v>Wheel Loader</v>
          </cell>
          <cell r="O163" t="str">
            <v>(E15)</v>
          </cell>
          <cell r="P163" t="str">
            <v>Jam</v>
          </cell>
          <cell r="Q163">
            <v>0.125</v>
          </cell>
          <cell r="R163">
            <v>163808.13869490434</v>
          </cell>
          <cell r="U163">
            <v>20476.017336863042</v>
          </cell>
        </row>
        <row r="164">
          <cell r="C164" t="str">
            <v>Waktu  siklus</v>
          </cell>
          <cell r="G164" t="str">
            <v>Ts1</v>
          </cell>
          <cell r="I164" t="str">
            <v>menit</v>
          </cell>
          <cell r="L164" t="str">
            <v>4.</v>
          </cell>
          <cell r="N164" t="str">
            <v>Excavator</v>
          </cell>
          <cell r="O164" t="str">
            <v>(E10)</v>
          </cell>
          <cell r="P164" t="str">
            <v>Jam</v>
          </cell>
          <cell r="Q164">
            <v>0.125</v>
          </cell>
          <cell r="R164">
            <v>238185.05650827778</v>
          </cell>
          <cell r="U164">
            <v>29773.132063534722</v>
          </cell>
        </row>
        <row r="165">
          <cell r="C165" t="str">
            <v>- Waktu tempuh isi</v>
          </cell>
          <cell r="E165" t="str">
            <v>=   (L  :  v1)  x  60</v>
          </cell>
          <cell r="G165" t="str">
            <v>T1</v>
          </cell>
          <cell r="H165">
            <v>6.6666666666666661</v>
          </cell>
          <cell r="I165" t="str">
            <v>menit</v>
          </cell>
          <cell r="L165">
            <v>5</v>
          </cell>
          <cell r="N165" t="str">
            <v>Dump Truck</v>
          </cell>
          <cell r="O165" t="str">
            <v>(E08)</v>
          </cell>
          <cell r="P165" t="str">
            <v>Jam</v>
          </cell>
          <cell r="Q165">
            <v>0.26305220883534136</v>
          </cell>
          <cell r="R165">
            <v>153645.58193291764</v>
          </cell>
          <cell r="U165">
            <v>40416.809705245403</v>
          </cell>
        </row>
        <row r="166">
          <cell r="C166" t="str">
            <v>- Waktu tempuh kosong</v>
          </cell>
          <cell r="E166" t="str">
            <v>=   (L  :  v2)  x  60</v>
          </cell>
          <cell r="G166" t="str">
            <v>T2</v>
          </cell>
          <cell r="H166">
            <v>5</v>
          </cell>
          <cell r="I166" t="str">
            <v>menit</v>
          </cell>
          <cell r="N166" t="str">
            <v>Alat  bantu</v>
          </cell>
          <cell r="P166" t="str">
            <v>Ls</v>
          </cell>
          <cell r="Q166">
            <v>1</v>
          </cell>
          <cell r="R166">
            <v>225</v>
          </cell>
          <cell r="U166">
            <v>225</v>
          </cell>
        </row>
        <row r="167">
          <cell r="C167" t="str">
            <v>- Muat</v>
          </cell>
          <cell r="E167" t="str">
            <v>=   (V  :  Q1) x 60</v>
          </cell>
          <cell r="G167" t="str">
            <v>T3</v>
          </cell>
          <cell r="H167">
            <v>30</v>
          </cell>
          <cell r="I167" t="str">
            <v>menit</v>
          </cell>
        </row>
        <row r="168">
          <cell r="C168" t="str">
            <v>- Lain-lain</v>
          </cell>
          <cell r="G168" t="str">
            <v>T4</v>
          </cell>
          <cell r="H168">
            <v>2</v>
          </cell>
          <cell r="I168" t="str">
            <v>menit</v>
          </cell>
        </row>
        <row r="169">
          <cell r="G169" t="str">
            <v>Ts1</v>
          </cell>
          <cell r="H169">
            <v>43.666666666666664</v>
          </cell>
          <cell r="I169" t="str">
            <v>menit</v>
          </cell>
        </row>
        <row r="170">
          <cell r="Q170" t="str">
            <v xml:space="preserve">JUMLAH HARGA PERALATAN   </v>
          </cell>
          <cell r="U170">
            <v>99673.198560599092</v>
          </cell>
        </row>
        <row r="172">
          <cell r="C172" t="str">
            <v>Kapasitas Produksi / Jam   =</v>
          </cell>
          <cell r="E172" t="str">
            <v>V x Fa x 60</v>
          </cell>
          <cell r="G172" t="str">
            <v>Q2</v>
          </cell>
          <cell r="H172">
            <v>3.8015267175572518</v>
          </cell>
          <cell r="I172" t="str">
            <v xml:space="preserve">M3 / Jam </v>
          </cell>
          <cell r="L172" t="str">
            <v>D.</v>
          </cell>
          <cell r="N172" t="str">
            <v>JUMLAH HARGA TENAGA, BAHAN DAN PERALATAN  ( A + B + C )</v>
          </cell>
          <cell r="U172">
            <v>102932.1248105991</v>
          </cell>
        </row>
        <row r="173">
          <cell r="E173" t="str">
            <v xml:space="preserve">    Fk x Ts1</v>
          </cell>
          <cell r="L173" t="str">
            <v>E.</v>
          </cell>
          <cell r="N173" t="str">
            <v>OVERHEAD &amp; PROFIT</v>
          </cell>
          <cell r="P173">
            <v>10</v>
          </cell>
          <cell r="Q173" t="str">
            <v>%  x  D</v>
          </cell>
          <cell r="U173">
            <v>10293.212481059911</v>
          </cell>
        </row>
        <row r="174">
          <cell r="L174" t="str">
            <v>F.</v>
          </cell>
          <cell r="N174" t="str">
            <v>HARGA SATUAN PEKERJAAN  ( D + E )</v>
          </cell>
          <cell r="U174">
            <v>113225.337291659</v>
          </cell>
        </row>
        <row r="175">
          <cell r="L175" t="str">
            <v>Note: 1</v>
          </cell>
          <cell r="N175" t="str">
            <v>SATUAN dapat berdasarkan atas jam operasi untuk Tenaga Kerja dan Peralatan, volume dan/atau ukuran</v>
          </cell>
        </row>
        <row r="176">
          <cell r="C176" t="str">
            <v>Koefisien Alat / m3</v>
          </cell>
          <cell r="D176" t="str">
            <v xml:space="preserve"> =  1  :  Q2</v>
          </cell>
          <cell r="G176" t="str">
            <v>(E08)</v>
          </cell>
          <cell r="H176">
            <v>0.26305220883534136</v>
          </cell>
          <cell r="I176" t="str">
            <v>Jam</v>
          </cell>
          <cell r="N176" t="str">
            <v>berat untuk bahan-bahan.</v>
          </cell>
        </row>
        <row r="177">
          <cell r="L177">
            <v>2</v>
          </cell>
          <cell r="N177" t="str">
            <v>Kuantitas satuan adalah kuantitas setiap komponen untuk menyelesaikan satu satuan pekerjaan dari nomor</v>
          </cell>
        </row>
        <row r="178">
          <cell r="N178" t="str">
            <v>mata pembayaran.</v>
          </cell>
        </row>
        <row r="179">
          <cell r="L179">
            <v>3</v>
          </cell>
          <cell r="N179" t="str">
            <v>Biaya satuan untuk peralatan sudah termasuk bahan bakar, bahan habis dipakai dan operator.</v>
          </cell>
        </row>
        <row r="180">
          <cell r="L180">
            <v>4</v>
          </cell>
          <cell r="N180" t="str">
            <v>Biaya satuan sudah termasuk pengeluaran untuk seluruh pajak yang berkaitan (tetapi tidak termasuk PPN</v>
          </cell>
        </row>
        <row r="181">
          <cell r="J181" t="str">
            <v>Berlanjut ke halaman berikut</v>
          </cell>
          <cell r="N181" t="str">
            <v>yang dibayar dari kontrak) dan biaya-biaya lainnya.</v>
          </cell>
        </row>
        <row r="182">
          <cell r="A182" t="str">
            <v>ITEM PEMBAYARAN NO.</v>
          </cell>
          <cell r="D182" t="str">
            <v>:  3.1 (2)</v>
          </cell>
          <cell r="J182" t="str">
            <v>Analisa EI-312</v>
          </cell>
        </row>
        <row r="183">
          <cell r="A183" t="str">
            <v>JENIS PEKERJAAN</v>
          </cell>
          <cell r="D183" t="str">
            <v>:  Galian Batu</v>
          </cell>
        </row>
        <row r="184">
          <cell r="A184" t="str">
            <v>SATUAN PEMBAYARAN</v>
          </cell>
          <cell r="D184" t="str">
            <v>:  M3</v>
          </cell>
          <cell r="H184" t="str">
            <v xml:space="preserve">         URAIAN ANALISA HARGA SATUAN</v>
          </cell>
        </row>
        <row r="185">
          <cell r="J185" t="str">
            <v>Lanjutan</v>
          </cell>
        </row>
        <row r="187">
          <cell r="A187" t="str">
            <v>No.</v>
          </cell>
          <cell r="C187" t="str">
            <v>U R A I A N</v>
          </cell>
          <cell r="G187" t="str">
            <v>KODE</v>
          </cell>
          <cell r="H187" t="str">
            <v>KOEF.</v>
          </cell>
          <cell r="I187" t="str">
            <v>SATUAN</v>
          </cell>
          <cell r="J187" t="str">
            <v>KETERANGAN</v>
          </cell>
        </row>
        <row r="190">
          <cell r="A190" t="str">
            <v>2.d.</v>
          </cell>
          <cell r="C190" t="str">
            <v>ALAT  BANTU</v>
          </cell>
        </row>
        <row r="191">
          <cell r="C191" t="str">
            <v>Diperlukan alat-alat bantu kecil</v>
          </cell>
          <cell r="J191" t="str">
            <v>Lump Sump</v>
          </cell>
        </row>
        <row r="192">
          <cell r="C192" t="str">
            <v>- Pahat / Tatah</v>
          </cell>
          <cell r="D192" t="str">
            <v>=  2  buah</v>
          </cell>
        </row>
        <row r="193">
          <cell r="C193" t="str">
            <v>- Palu Besar</v>
          </cell>
          <cell r="D193" t="str">
            <v>=  2  buah</v>
          </cell>
        </row>
        <row r="195">
          <cell r="A195" t="str">
            <v xml:space="preserve">   3.</v>
          </cell>
          <cell r="C195" t="str">
            <v>TENAGA</v>
          </cell>
        </row>
        <row r="196">
          <cell r="C196" t="str">
            <v>Produksi menentukan : JACK HAMMER</v>
          </cell>
          <cell r="G196" t="str">
            <v>Q1</v>
          </cell>
          <cell r="H196">
            <v>8</v>
          </cell>
          <cell r="I196" t="str">
            <v>M3/Jam</v>
          </cell>
        </row>
        <row r="197">
          <cell r="C197" t="str">
            <v>Produksi Galian / hari  =  Tk x Q1</v>
          </cell>
          <cell r="G197" t="str">
            <v>Qt</v>
          </cell>
          <cell r="H197">
            <v>56</v>
          </cell>
          <cell r="I197" t="str">
            <v>M3</v>
          </cell>
        </row>
        <row r="198">
          <cell r="C198" t="str">
            <v>Kebutuhan tenaga :</v>
          </cell>
        </row>
        <row r="199">
          <cell r="D199" t="str">
            <v>- Pekerja</v>
          </cell>
          <cell r="G199" t="str">
            <v>P</v>
          </cell>
          <cell r="H199">
            <v>8</v>
          </cell>
          <cell r="I199" t="str">
            <v>orang</v>
          </cell>
        </row>
        <row r="200">
          <cell r="D200" t="str">
            <v>- Mandor</v>
          </cell>
          <cell r="G200" t="str">
            <v>M</v>
          </cell>
          <cell r="H200">
            <v>1</v>
          </cell>
          <cell r="I200" t="str">
            <v>orang</v>
          </cell>
        </row>
        <row r="202">
          <cell r="C202" t="str">
            <v>Koefisien tenaga / M3   :</v>
          </cell>
        </row>
        <row r="203">
          <cell r="D203" t="str">
            <v>- Pekerja</v>
          </cell>
          <cell r="E203" t="str">
            <v>= (Tk x P) : Qt</v>
          </cell>
          <cell r="G203" t="str">
            <v>(L01)</v>
          </cell>
          <cell r="H203">
            <v>1</v>
          </cell>
          <cell r="I203" t="str">
            <v>Jam</v>
          </cell>
        </row>
        <row r="204">
          <cell r="D204" t="str">
            <v>- Mandor</v>
          </cell>
          <cell r="E204" t="str">
            <v>= (Tk x M) : Qt</v>
          </cell>
          <cell r="G204" t="str">
            <v>(L03)</v>
          </cell>
          <cell r="H204">
            <v>0.125</v>
          </cell>
          <cell r="I204" t="str">
            <v>Jam</v>
          </cell>
        </row>
        <row r="206">
          <cell r="A206" t="str">
            <v>4.</v>
          </cell>
          <cell r="C206" t="str">
            <v>HARGA DASAR SATUAN UPAH, BAHAN DAN ALAT</v>
          </cell>
        </row>
        <row r="207">
          <cell r="C207" t="str">
            <v>Lihat lampiran.</v>
          </cell>
        </row>
        <row r="209">
          <cell r="A209" t="str">
            <v>5.</v>
          </cell>
          <cell r="C209" t="str">
            <v>ANALISA HARGA SATUAN PEKERJAAN</v>
          </cell>
        </row>
        <row r="210">
          <cell r="C210" t="str">
            <v>Lihat perhitungan dalam FORMULIR STANDAR UNTUK</v>
          </cell>
        </row>
        <row r="211">
          <cell r="C211" t="str">
            <v>PEREKEMAN ANALISA MASING-MASING HARGA</v>
          </cell>
        </row>
        <row r="212">
          <cell r="C212" t="str">
            <v>SATUAN.</v>
          </cell>
        </row>
        <row r="213">
          <cell r="C213" t="str">
            <v>Didapat Harga Satuan Pekerjaan :</v>
          </cell>
        </row>
        <row r="215">
          <cell r="C215" t="str">
            <v xml:space="preserve">Rp.  </v>
          </cell>
          <cell r="D215">
            <v>113225.337291659</v>
          </cell>
          <cell r="E215" t="str">
            <v xml:space="preserve"> / M3</v>
          </cell>
        </row>
        <row r="218">
          <cell r="A218" t="str">
            <v>6.</v>
          </cell>
          <cell r="C218" t="str">
            <v>WAKTU PELAKSANAAN YANG DIPERLUKAN</v>
          </cell>
        </row>
        <row r="219">
          <cell r="C219" t="str">
            <v>Masa Pelaksanaan :</v>
          </cell>
          <cell r="D219" t="str">
            <v>. . . . . . . . . . . .</v>
          </cell>
          <cell r="E219" t="str">
            <v>bulan</v>
          </cell>
        </row>
        <row r="221">
          <cell r="A221" t="str">
            <v>7.</v>
          </cell>
          <cell r="C221" t="str">
            <v>VOLUME PEKERJAAN YANG DIPERLUKAN</v>
          </cell>
        </row>
        <row r="222">
          <cell r="C222" t="str">
            <v>Volume pekerjaan  :</v>
          </cell>
          <cell r="D222">
            <v>0</v>
          </cell>
          <cell r="E222" t="str">
            <v>M3</v>
          </cell>
        </row>
        <row r="255">
          <cell r="A255" t="str">
            <v>ITEM PEMBAYARAN NO.</v>
          </cell>
          <cell r="D255" t="str">
            <v>:  3.1 (6)</v>
          </cell>
          <cell r="J255" t="str">
            <v>Analisa EI-313</v>
          </cell>
          <cell r="T255" t="str">
            <v>Analisa EI-313</v>
          </cell>
        </row>
        <row r="256">
          <cell r="A256" t="str">
            <v>JENIS PEKERJAAN</v>
          </cell>
          <cell r="D256" t="str">
            <v>:  Galian Struktur dengan Kedalaman 0 - 2 M</v>
          </cell>
        </row>
        <row r="257">
          <cell r="A257" t="str">
            <v>SATUAN PEMBAYARAN</v>
          </cell>
          <cell r="D257" t="str">
            <v>:  M3</v>
          </cell>
          <cell r="H257" t="str">
            <v xml:space="preserve">         URAIAN ANALISA HARGA SATUAN</v>
          </cell>
          <cell r="L257" t="str">
            <v>FORMULIR STANDAR UNTUK</v>
          </cell>
        </row>
        <row r="258">
          <cell r="L258" t="str">
            <v>PEREKAMAN ANALISA MASING-MASING HARGA SATUAN</v>
          </cell>
        </row>
        <row r="259">
          <cell r="L259" t="str">
            <v/>
          </cell>
        </row>
        <row r="260">
          <cell r="A260" t="str">
            <v>No.</v>
          </cell>
          <cell r="C260" t="str">
            <v>U R A I A N</v>
          </cell>
          <cell r="G260" t="str">
            <v>KODE</v>
          </cell>
          <cell r="H260" t="str">
            <v>KOEF.</v>
          </cell>
          <cell r="I260" t="str">
            <v>SATUAN</v>
          </cell>
          <cell r="J260" t="str">
            <v>KETERANGAN</v>
          </cell>
        </row>
        <row r="262">
          <cell r="L262" t="str">
            <v>PROYEK</v>
          </cell>
          <cell r="O262" t="str">
            <v>:</v>
          </cell>
        </row>
        <row r="263">
          <cell r="A263" t="str">
            <v>I.</v>
          </cell>
          <cell r="C263" t="str">
            <v>ASUMSI</v>
          </cell>
          <cell r="L263" t="str">
            <v>No. PAKET KONTRAK</v>
          </cell>
          <cell r="O263" t="str">
            <v>:</v>
          </cell>
        </row>
        <row r="264">
          <cell r="A264">
            <v>1</v>
          </cell>
          <cell r="C264" t="str">
            <v>Pekerjaan dilakukan secara manual</v>
          </cell>
          <cell r="L264" t="str">
            <v>NAMA PAKET</v>
          </cell>
          <cell r="O264" t="str">
            <v>:</v>
          </cell>
        </row>
        <row r="265">
          <cell r="A265">
            <v>2</v>
          </cell>
          <cell r="C265" t="str">
            <v>Lokasi pekerjaan : sekitar jembatan</v>
          </cell>
          <cell r="L265" t="str">
            <v>PROP / KAB / KODYA</v>
          </cell>
          <cell r="O265" t="str">
            <v>:</v>
          </cell>
        </row>
        <row r="266">
          <cell r="A266">
            <v>3</v>
          </cell>
          <cell r="C266" t="str">
            <v>Kondisi Jalan   :  sedang / baik</v>
          </cell>
          <cell r="L266" t="str">
            <v>ITEM PEMBAYARAN NO.</v>
          </cell>
          <cell r="O266" t="str">
            <v>:  3.1 (6)</v>
          </cell>
          <cell r="R266" t="str">
            <v>PERKIRAAN VOL. PEK.</v>
          </cell>
          <cell r="T266" t="str">
            <v>:</v>
          </cell>
          <cell r="U266">
            <v>0</v>
          </cell>
        </row>
        <row r="267">
          <cell r="A267">
            <v>4</v>
          </cell>
          <cell r="C267" t="str">
            <v>Jam kerja efektif per-hari</v>
          </cell>
          <cell r="G267" t="str">
            <v>Tk</v>
          </cell>
          <cell r="H267">
            <v>7</v>
          </cell>
          <cell r="I267" t="str">
            <v>Jam</v>
          </cell>
          <cell r="L267" t="str">
            <v>JENIS PEKERJAAN</v>
          </cell>
          <cell r="O267" t="str">
            <v>:  Galian Struktur dengan Kedalaman 0 - 2 M</v>
          </cell>
          <cell r="R267" t="str">
            <v>TOTAL HARGA (Rp.)</v>
          </cell>
          <cell r="T267" t="str">
            <v>:</v>
          </cell>
          <cell r="U267">
            <v>0</v>
          </cell>
        </row>
        <row r="268">
          <cell r="A268">
            <v>5</v>
          </cell>
          <cell r="C268" t="str">
            <v>Faktor pengembangan bahan</v>
          </cell>
          <cell r="G268" t="str">
            <v>Fh</v>
          </cell>
          <cell r="H268">
            <v>1.2</v>
          </cell>
          <cell r="I268" t="str">
            <v>-</v>
          </cell>
          <cell r="L268" t="str">
            <v>SATUAN PEMBAYARAN</v>
          </cell>
          <cell r="O268" t="str">
            <v>:  M3</v>
          </cell>
          <cell r="R268" t="str">
            <v>% THD. BIAYA PROYEK</v>
          </cell>
          <cell r="T268" t="str">
            <v>:</v>
          </cell>
          <cell r="U268" t="e">
            <v>#DIV/0!</v>
          </cell>
        </row>
        <row r="269">
          <cell r="A269">
            <v>6</v>
          </cell>
          <cell r="C269" t="str">
            <v>Pengurugan kembali (backfill) untuk struktur</v>
          </cell>
          <cell r="G269" t="str">
            <v>Uk</v>
          </cell>
          <cell r="H269">
            <v>50</v>
          </cell>
          <cell r="I269" t="str">
            <v>%/M3</v>
          </cell>
        </row>
        <row r="271">
          <cell r="A271" t="str">
            <v>II.</v>
          </cell>
          <cell r="C271" t="str">
            <v>METHODE PELAKSANAAN</v>
          </cell>
          <cell r="Q271" t="str">
            <v>PERKIRAAN</v>
          </cell>
          <cell r="R271" t="str">
            <v>HARGA</v>
          </cell>
          <cell r="S271" t="str">
            <v>JUMLAH</v>
          </cell>
        </row>
        <row r="272">
          <cell r="A272">
            <v>1</v>
          </cell>
          <cell r="C272" t="str">
            <v>Tanah yang dipotong berada disekitar lokasi</v>
          </cell>
          <cell r="L272" t="str">
            <v>NO.</v>
          </cell>
          <cell r="N272" t="str">
            <v>KOMPONEN</v>
          </cell>
          <cell r="P272" t="str">
            <v>SATUAN</v>
          </cell>
          <cell r="Q272" t="str">
            <v>KUANTITAS</v>
          </cell>
          <cell r="R272" t="str">
            <v>SATUAN</v>
          </cell>
          <cell r="S272" t="str">
            <v>HARGA</v>
          </cell>
        </row>
        <row r="273">
          <cell r="A273">
            <v>2</v>
          </cell>
          <cell r="C273" t="str">
            <v>Penggalian dilakukan dengan menggunakan alat</v>
          </cell>
          <cell r="R273" t="str">
            <v>(Rp.)</v>
          </cell>
          <cell r="S273" t="str">
            <v>(Rp.)</v>
          </cell>
        </row>
        <row r="274">
          <cell r="C274" t="str">
            <v>Excavator</v>
          </cell>
        </row>
        <row r="275">
          <cell r="A275">
            <v>3</v>
          </cell>
          <cell r="C275" t="str">
            <v>Bulldozer mengangkut/mengusur hasil galian ke tempat</v>
          </cell>
        </row>
        <row r="276">
          <cell r="C276" t="str">
            <v>pembuangan di sekitar lokasi pekerjaan</v>
          </cell>
          <cell r="G276" t="str">
            <v>L</v>
          </cell>
          <cell r="H276">
            <v>0.1</v>
          </cell>
          <cell r="I276" t="str">
            <v>Km</v>
          </cell>
          <cell r="L276" t="str">
            <v>A.</v>
          </cell>
          <cell r="N276" t="str">
            <v>TENAGA</v>
          </cell>
        </row>
        <row r="278">
          <cell r="A278" t="str">
            <v>III.</v>
          </cell>
          <cell r="C278" t="str">
            <v>PEMAKAIAN BAHAN, ALAT DAN TENAGA</v>
          </cell>
          <cell r="L278" t="str">
            <v>1.</v>
          </cell>
          <cell r="N278" t="str">
            <v>Pekerja</v>
          </cell>
          <cell r="O278" t="str">
            <v>(L01)</v>
          </cell>
          <cell r="P278" t="str">
            <v>Jam</v>
          </cell>
          <cell r="Q278">
            <v>0.12701025480797318</v>
          </cell>
          <cell r="R278">
            <v>2857.14</v>
          </cell>
          <cell r="U278">
            <v>362.88607942205249</v>
          </cell>
        </row>
        <row r="279">
          <cell r="L279" t="str">
            <v>2.</v>
          </cell>
          <cell r="N279" t="str">
            <v>Mandor</v>
          </cell>
          <cell r="O279" t="str">
            <v>(L03)</v>
          </cell>
          <cell r="P279" t="str">
            <v>Jam</v>
          </cell>
          <cell r="Q279">
            <v>3.1752563701993294E-2</v>
          </cell>
          <cell r="R279">
            <v>3214.29</v>
          </cell>
          <cell r="U279">
            <v>102.06194798168002</v>
          </cell>
        </row>
        <row r="280">
          <cell r="A280" t="str">
            <v xml:space="preserve">   1.</v>
          </cell>
          <cell r="C280" t="str">
            <v>BAHAN</v>
          </cell>
        </row>
        <row r="281">
          <cell r="C281" t="str">
            <v>- Urugan Pilihan (untuk backfill)</v>
          </cell>
          <cell r="E281" t="str">
            <v>= Uk x 1M3</v>
          </cell>
          <cell r="G281" t="str">
            <v>(EI-322)</v>
          </cell>
          <cell r="H281">
            <v>0.5</v>
          </cell>
          <cell r="I281" t="str">
            <v>M3</v>
          </cell>
        </row>
        <row r="282">
          <cell r="Q282" t="str">
            <v xml:space="preserve">JUMLAH HARGA TENAGA   </v>
          </cell>
          <cell r="U282">
            <v>464.94802740373251</v>
          </cell>
        </row>
        <row r="283">
          <cell r="A283" t="str">
            <v xml:space="preserve">   2.</v>
          </cell>
          <cell r="C283" t="str">
            <v>ALAT</v>
          </cell>
        </row>
        <row r="284">
          <cell r="A284" t="str">
            <v xml:space="preserve">   2.a.</v>
          </cell>
          <cell r="C284" t="str">
            <v>EXCAVATOR</v>
          </cell>
          <cell r="G284" t="str">
            <v>(E10)</v>
          </cell>
          <cell r="L284" t="str">
            <v>B.</v>
          </cell>
          <cell r="N284" t="str">
            <v>BAHAN</v>
          </cell>
        </row>
        <row r="285">
          <cell r="C285" t="str">
            <v>Kapasitas Bucket</v>
          </cell>
          <cell r="G285" t="str">
            <v>V</v>
          </cell>
          <cell r="H285">
            <v>0.93</v>
          </cell>
          <cell r="I285" t="str">
            <v>M3</v>
          </cell>
        </row>
        <row r="286">
          <cell r="C286" t="str">
            <v>Faktor Bucket</v>
          </cell>
          <cell r="G286" t="str">
            <v>Fb</v>
          </cell>
          <cell r="H286">
            <v>0.9</v>
          </cell>
          <cell r="I286" t="str">
            <v>-</v>
          </cell>
          <cell r="L286" t="str">
            <v>1.</v>
          </cell>
          <cell r="N286" t="str">
            <v xml:space="preserve">Urugan Pilihan </v>
          </cell>
          <cell r="O286" t="str">
            <v>(EI-322)</v>
          </cell>
          <cell r="P286" t="str">
            <v>M3</v>
          </cell>
          <cell r="Q286">
            <v>0.5</v>
          </cell>
          <cell r="R286">
            <v>455558.60740011773</v>
          </cell>
          <cell r="U286">
            <v>227779.30370005887</v>
          </cell>
        </row>
        <row r="287">
          <cell r="C287" t="str">
            <v>Faktor  Efisiensi alat</v>
          </cell>
          <cell r="G287" t="str">
            <v>Fa</v>
          </cell>
          <cell r="H287">
            <v>0.83</v>
          </cell>
          <cell r="I287" t="str">
            <v>-</v>
          </cell>
        </row>
        <row r="288">
          <cell r="C288" t="str">
            <v>Faktor kedalaman</v>
          </cell>
          <cell r="G288" t="str">
            <v>Fd</v>
          </cell>
          <cell r="H288">
            <v>0.8</v>
          </cell>
          <cell r="I288" t="str">
            <v>-</v>
          </cell>
        </row>
        <row r="289">
          <cell r="C289" t="str">
            <v>Berat isi material</v>
          </cell>
          <cell r="G289" t="str">
            <v>Bim</v>
          </cell>
          <cell r="H289">
            <v>0.85</v>
          </cell>
          <cell r="I289" t="str">
            <v>-</v>
          </cell>
        </row>
        <row r="291">
          <cell r="C291" t="str">
            <v>Waktu siklus</v>
          </cell>
        </row>
        <row r="292">
          <cell r="C292" t="str">
            <v>- Menggali / memuat</v>
          </cell>
          <cell r="G292" t="str">
            <v>Te1</v>
          </cell>
          <cell r="H292">
            <v>0.5</v>
          </cell>
          <cell r="I292" t="str">
            <v>menit</v>
          </cell>
          <cell r="Q292" t="str">
            <v xml:space="preserve">JUMLAH HARGA BAHAN   </v>
          </cell>
          <cell r="U292">
            <v>227779.30370005887</v>
          </cell>
        </row>
        <row r="293">
          <cell r="C293" t="str">
            <v>- Lain-lain</v>
          </cell>
          <cell r="G293" t="str">
            <v>Te2</v>
          </cell>
          <cell r="H293">
            <v>0.25</v>
          </cell>
          <cell r="I293" t="str">
            <v>menit</v>
          </cell>
        </row>
        <row r="294">
          <cell r="G294" t="str">
            <v>Te</v>
          </cell>
          <cell r="H294">
            <v>0.75</v>
          </cell>
          <cell r="I294" t="str">
            <v>menit</v>
          </cell>
          <cell r="L294" t="str">
            <v>C.</v>
          </cell>
          <cell r="N294" t="str">
            <v>PERALATAN</v>
          </cell>
        </row>
        <row r="295">
          <cell r="L295" t="str">
            <v>1.</v>
          </cell>
          <cell r="N295" t="str">
            <v>Excavator</v>
          </cell>
          <cell r="O295" t="str">
            <v>(E10)</v>
          </cell>
          <cell r="P295" t="str">
            <v>Jam</v>
          </cell>
          <cell r="Q295">
            <v>3.1752563701993294E-2</v>
          </cell>
          <cell r="R295">
            <v>238185.05650827778</v>
          </cell>
          <cell r="U295">
            <v>7562.9861796419627</v>
          </cell>
        </row>
        <row r="296">
          <cell r="L296" t="str">
            <v>2.</v>
          </cell>
          <cell r="N296" t="str">
            <v>Bulldozer</v>
          </cell>
          <cell r="O296" t="str">
            <v>(E04)</v>
          </cell>
          <cell r="P296" t="str">
            <v>Jam</v>
          </cell>
          <cell r="Q296">
            <v>1.0213694283306062E-4</v>
          </cell>
          <cell r="R296">
            <v>256721.09983229413</v>
          </cell>
          <cell r="U296">
            <v>26.220708297611473</v>
          </cell>
        </row>
        <row r="297">
          <cell r="C297" t="str">
            <v>Kap. Prod. / jam =</v>
          </cell>
          <cell r="D297" t="str">
            <v>V  x Fb x Fa x Fd x Bim x 60</v>
          </cell>
          <cell r="G297" t="str">
            <v>Q1</v>
          </cell>
          <cell r="H297">
            <v>31.493520000000004</v>
          </cell>
          <cell r="I297" t="str">
            <v>M3/Jam</v>
          </cell>
          <cell r="L297" t="str">
            <v>3.</v>
          </cell>
          <cell r="N297" t="str">
            <v>Alat  bantu</v>
          </cell>
          <cell r="P297" t="str">
            <v>Ls</v>
          </cell>
          <cell r="Q297">
            <v>1</v>
          </cell>
          <cell r="R297">
            <v>100</v>
          </cell>
          <cell r="U297">
            <v>100</v>
          </cell>
        </row>
        <row r="298">
          <cell r="D298" t="str">
            <v>Te x Fh</v>
          </cell>
        </row>
        <row r="300">
          <cell r="C300" t="str">
            <v>Koefisien Alat / M3</v>
          </cell>
          <cell r="D300" t="str">
            <v xml:space="preserve"> =  1  :  Q1</v>
          </cell>
          <cell r="G300" t="str">
            <v>(E10)</v>
          </cell>
          <cell r="H300">
            <v>3.1752563701993294E-2</v>
          </cell>
          <cell r="I300" t="str">
            <v>Jam</v>
          </cell>
        </row>
        <row r="303">
          <cell r="A303" t="str">
            <v>2.a.</v>
          </cell>
          <cell r="C303" t="str">
            <v>BULLDOZER</v>
          </cell>
          <cell r="G303" t="str">
            <v>(E04)</v>
          </cell>
        </row>
        <row r="304">
          <cell r="C304" t="str">
            <v>Faktor pisau (blade)</v>
          </cell>
          <cell r="G304" t="str">
            <v>Fb</v>
          </cell>
          <cell r="H304">
            <v>1</v>
          </cell>
          <cell r="I304" t="str">
            <v>-</v>
          </cell>
          <cell r="Q304" t="str">
            <v xml:space="preserve">JUMLAH HARGA PERALATAN   </v>
          </cell>
          <cell r="U304">
            <v>7689.2068879395738</v>
          </cell>
        </row>
        <row r="305">
          <cell r="C305" t="str">
            <v>Faktor  efisiensi kerja</v>
          </cell>
          <cell r="G305" t="str">
            <v>Fa</v>
          </cell>
          <cell r="H305">
            <v>0.83</v>
          </cell>
          <cell r="I305" t="str">
            <v>-</v>
          </cell>
        </row>
        <row r="306">
          <cell r="C306" t="str">
            <v>Kecepatan mengupas</v>
          </cell>
          <cell r="G306" t="str">
            <v>Vf</v>
          </cell>
          <cell r="H306">
            <v>3</v>
          </cell>
          <cell r="I306" t="str">
            <v>Km/Jam</v>
          </cell>
          <cell r="L306" t="str">
            <v>D.</v>
          </cell>
          <cell r="N306" t="str">
            <v>JUMLAH HARGA TENAGA, BAHAN DAN PERALATAN  ( A + B + C )</v>
          </cell>
          <cell r="U306">
            <v>235933.45861540217</v>
          </cell>
        </row>
        <row r="307">
          <cell r="C307" t="str">
            <v>Kecepatan mundur</v>
          </cell>
          <cell r="G307" t="str">
            <v>Vr</v>
          </cell>
          <cell r="H307">
            <v>5</v>
          </cell>
          <cell r="I307" t="str">
            <v>Km/Jam</v>
          </cell>
          <cell r="L307" t="str">
            <v>E.</v>
          </cell>
          <cell r="N307" t="str">
            <v>OVERHEAD &amp; PROFIT</v>
          </cell>
          <cell r="P307">
            <v>10</v>
          </cell>
          <cell r="Q307" t="str">
            <v>%  x  D</v>
          </cell>
          <cell r="U307">
            <v>23593.34586154022</v>
          </cell>
        </row>
        <row r="308">
          <cell r="C308" t="str">
            <v>Kapasitas pisau</v>
          </cell>
          <cell r="G308" t="str">
            <v>q</v>
          </cell>
          <cell r="H308">
            <v>5.4</v>
          </cell>
          <cell r="I308" t="str">
            <v>M3</v>
          </cell>
          <cell r="L308" t="str">
            <v>F.</v>
          </cell>
          <cell r="N308" t="str">
            <v>HARGA SATUAN PEKERJAAN  ( D + E )</v>
          </cell>
          <cell r="U308">
            <v>259526.8044769424</v>
          </cell>
        </row>
        <row r="309">
          <cell r="A309" t="str">
            <v>`</v>
          </cell>
          <cell r="C309" t="str">
            <v>Faktor kemiringan (grade)</v>
          </cell>
          <cell r="G309" t="str">
            <v>Fm</v>
          </cell>
          <cell r="H309">
            <v>1</v>
          </cell>
          <cell r="L309" t="str">
            <v>Note: 1</v>
          </cell>
          <cell r="N309" t="str">
            <v>SATUAN dapat berdasarkan atas jam operasi untuk Tenaga Kerja dan Peralatan, volume dan/atau ukuran</v>
          </cell>
        </row>
        <row r="310">
          <cell r="N310" t="str">
            <v>berat untuk bahan-bahan.</v>
          </cell>
        </row>
        <row r="311">
          <cell r="L311">
            <v>2</v>
          </cell>
          <cell r="N311" t="str">
            <v>Kuantitas satuan adalah kuantitas setiap komponen untuk menyelesaikan satu satuan pekerjaan dari nomor</v>
          </cell>
        </row>
        <row r="312">
          <cell r="N312" t="str">
            <v>mata pembayaran.</v>
          </cell>
        </row>
        <row r="313">
          <cell r="L313">
            <v>3</v>
          </cell>
          <cell r="N313" t="str">
            <v>Biaya satuan untuk peralatan sudah termasuk bahan bakar, bahan habis dipakai dan operator.</v>
          </cell>
        </row>
        <row r="314">
          <cell r="L314">
            <v>4</v>
          </cell>
          <cell r="N314" t="str">
            <v>Biaya satuan sudah termasuk pengeluaran untuk seluruh pajak yang berkaitan (tetapi tidak termasuk PPN</v>
          </cell>
        </row>
        <row r="315">
          <cell r="J315" t="str">
            <v>Berlanjut ke halaman berikut</v>
          </cell>
          <cell r="N315" t="str">
            <v>yang dibayar dari kontrak) dan biaya-biaya lainnya.</v>
          </cell>
        </row>
        <row r="316">
          <cell r="A316" t="str">
            <v>ITEM PEMBAYARAN NO.</v>
          </cell>
          <cell r="D316" t="str">
            <v>:  3.1 (6)</v>
          </cell>
          <cell r="J316" t="str">
            <v>Analisa EI-313</v>
          </cell>
        </row>
        <row r="317">
          <cell r="A317" t="str">
            <v>JENIS PEKERJAAN</v>
          </cell>
          <cell r="D317" t="str">
            <v>:  Galian Struktur dengan Kedalaman 0 - 2 M</v>
          </cell>
        </row>
        <row r="318">
          <cell r="A318" t="str">
            <v>SATUAN PEMBAYARAN</v>
          </cell>
          <cell r="D318" t="str">
            <v>:  M3</v>
          </cell>
          <cell r="H318" t="str">
            <v xml:space="preserve">         URAIAN ANALISA HARGA SATUAN</v>
          </cell>
        </row>
        <row r="319">
          <cell r="J319" t="str">
            <v>Lanjutan</v>
          </cell>
        </row>
        <row r="321">
          <cell r="A321" t="str">
            <v>No.</v>
          </cell>
          <cell r="C321" t="str">
            <v>U R A I A N</v>
          </cell>
          <cell r="G321" t="str">
            <v>KODE</v>
          </cell>
          <cell r="H321" t="str">
            <v>KOEF.</v>
          </cell>
          <cell r="I321" t="str">
            <v>SATUAN</v>
          </cell>
          <cell r="J321" t="str">
            <v>KETERANGAN</v>
          </cell>
        </row>
        <row r="324">
          <cell r="C324" t="str">
            <v>Waktu Siklus</v>
          </cell>
          <cell r="G324" t="str">
            <v>Ts</v>
          </cell>
        </row>
        <row r="325">
          <cell r="C325" t="str">
            <v>- Waktu gusur</v>
          </cell>
          <cell r="D325" t="str">
            <v>= l / Vf</v>
          </cell>
          <cell r="G325" t="str">
            <v>T1</v>
          </cell>
          <cell r="H325">
            <v>1.6666666666666666E-2</v>
          </cell>
          <cell r="I325" t="str">
            <v>menit</v>
          </cell>
        </row>
        <row r="326">
          <cell r="C326" t="str">
            <v>- Waktu kembali</v>
          </cell>
          <cell r="D326" t="str">
            <v>= l / Vr</v>
          </cell>
          <cell r="G326" t="str">
            <v>T2</v>
          </cell>
          <cell r="H326">
            <v>0.01</v>
          </cell>
          <cell r="I326" t="str">
            <v>menit</v>
          </cell>
        </row>
        <row r="327">
          <cell r="C327" t="str">
            <v>- Waktu lain-lain</v>
          </cell>
          <cell r="G327" t="str">
            <v>T3</v>
          </cell>
          <cell r="H327">
            <v>8.0000000000000004E-4</v>
          </cell>
          <cell r="I327" t="str">
            <v>menit</v>
          </cell>
        </row>
        <row r="328">
          <cell r="G328" t="str">
            <v>Ts</v>
          </cell>
          <cell r="H328">
            <v>2.7466666666666664E-2</v>
          </cell>
          <cell r="I328" t="str">
            <v>menit</v>
          </cell>
        </row>
        <row r="330">
          <cell r="C330" t="str">
            <v>Kapasitas Produksi / Jam   =</v>
          </cell>
          <cell r="E330" t="str">
            <v>q x Fb x Fm x Fa x 60/Ts</v>
          </cell>
          <cell r="G330" t="str">
            <v>Q2</v>
          </cell>
          <cell r="H330">
            <v>9790.7766990291275</v>
          </cell>
          <cell r="I330" t="str">
            <v>M3</v>
          </cell>
        </row>
        <row r="333">
          <cell r="C333" t="str">
            <v>Koefisien Alat / M3</v>
          </cell>
          <cell r="D333" t="str">
            <v xml:space="preserve"> =  1  :  Q2</v>
          </cell>
          <cell r="G333" t="str">
            <v>(E04)</v>
          </cell>
          <cell r="H333">
            <v>1.0213694283306062E-4</v>
          </cell>
          <cell r="I333" t="str">
            <v>Jam</v>
          </cell>
        </row>
        <row r="336">
          <cell r="A336" t="str">
            <v>2.d.</v>
          </cell>
          <cell r="C336" t="str">
            <v>ALAT  BANTU</v>
          </cell>
        </row>
        <row r="337">
          <cell r="C337" t="str">
            <v>Diperlukan alat-alat bantu kecil</v>
          </cell>
          <cell r="J337" t="str">
            <v>Lump Sump</v>
          </cell>
        </row>
        <row r="338">
          <cell r="C338" t="str">
            <v>- Pacul</v>
          </cell>
          <cell r="D338" t="str">
            <v>=  2  buah</v>
          </cell>
        </row>
        <row r="339">
          <cell r="C339" t="str">
            <v>- Sekop</v>
          </cell>
          <cell r="D339" t="str">
            <v>=  2  buah</v>
          </cell>
        </row>
        <row r="342">
          <cell r="A342" t="str">
            <v xml:space="preserve">   3.</v>
          </cell>
          <cell r="C342" t="str">
            <v>TENAGA</v>
          </cell>
        </row>
        <row r="343">
          <cell r="C343" t="str">
            <v>Produksi menentukan : EXCAVATOR</v>
          </cell>
          <cell r="G343" t="str">
            <v>Q1</v>
          </cell>
          <cell r="H343">
            <v>31.493520000000004</v>
          </cell>
          <cell r="I343" t="str">
            <v>M3/Jam</v>
          </cell>
        </row>
        <row r="344">
          <cell r="C344" t="str">
            <v>Produksi Galian / hari  =  Tk x Q1</v>
          </cell>
          <cell r="G344" t="str">
            <v>Qt</v>
          </cell>
          <cell r="H344">
            <v>220.45464000000004</v>
          </cell>
          <cell r="I344" t="str">
            <v>M3</v>
          </cell>
        </row>
        <row r="345">
          <cell r="C345" t="str">
            <v>Kebutuhan tenaga :</v>
          </cell>
        </row>
        <row r="346">
          <cell r="D346" t="str">
            <v>- Pekerja</v>
          </cell>
          <cell r="G346" t="str">
            <v>P</v>
          </cell>
          <cell r="H346">
            <v>4</v>
          </cell>
          <cell r="I346" t="str">
            <v>orang</v>
          </cell>
        </row>
        <row r="347">
          <cell r="D347" t="str">
            <v>- Mandor</v>
          </cell>
          <cell r="G347" t="str">
            <v>M</v>
          </cell>
          <cell r="H347">
            <v>1</v>
          </cell>
          <cell r="I347" t="str">
            <v>orang</v>
          </cell>
        </row>
        <row r="349">
          <cell r="C349" t="str">
            <v>Koefisien tenaga / M3   :</v>
          </cell>
        </row>
        <row r="350">
          <cell r="D350" t="str">
            <v>- Pekerja</v>
          </cell>
          <cell r="E350" t="str">
            <v>= (Tk x P) : Qt</v>
          </cell>
          <cell r="G350" t="str">
            <v>(L01)</v>
          </cell>
          <cell r="H350">
            <v>0.12701025480797318</v>
          </cell>
          <cell r="I350" t="str">
            <v>Jam</v>
          </cell>
        </row>
        <row r="351">
          <cell r="D351" t="str">
            <v>- Mandor</v>
          </cell>
          <cell r="E351" t="str">
            <v>= (Tk x M) : Qt</v>
          </cell>
          <cell r="G351" t="str">
            <v>(L03)</v>
          </cell>
          <cell r="H351">
            <v>3.1752563701993294E-2</v>
          </cell>
          <cell r="I351" t="str">
            <v>Jam</v>
          </cell>
        </row>
        <row r="353">
          <cell r="A353" t="str">
            <v>4.</v>
          </cell>
          <cell r="C353" t="str">
            <v>HARGA DASAR SATUAN UPAH, BAHAN DAN ALAT</v>
          </cell>
        </row>
        <row r="354">
          <cell r="C354" t="str">
            <v>Lihat lampiran.</v>
          </cell>
        </row>
        <row r="356">
          <cell r="A356" t="str">
            <v>5.</v>
          </cell>
          <cell r="C356" t="str">
            <v>ANALISA HARGA SATUAN PEKERJAAN</v>
          </cell>
        </row>
        <row r="357">
          <cell r="C357" t="str">
            <v>Lihat perhitungan dalam FORMULIR STANDAR UNTUK</v>
          </cell>
        </row>
        <row r="358">
          <cell r="C358" t="str">
            <v>PEREKEMAN ANALISA MASING-MASING HARGA</v>
          </cell>
        </row>
        <row r="359">
          <cell r="C359" t="str">
            <v>SATUAN.</v>
          </cell>
        </row>
        <row r="360">
          <cell r="C360" t="str">
            <v>Didapat Harga Satuan Pekerjaan :</v>
          </cell>
        </row>
        <row r="362">
          <cell r="C362" t="str">
            <v xml:space="preserve">Rp.  </v>
          </cell>
          <cell r="D362">
            <v>259526.8044769424</v>
          </cell>
          <cell r="E362" t="str">
            <v xml:space="preserve"> / M3</v>
          </cell>
        </row>
        <row r="365">
          <cell r="A365" t="str">
            <v>6.</v>
          </cell>
          <cell r="C365" t="str">
            <v>WAKTU PELAKSANAAN YANG DIPERLUKAN</v>
          </cell>
        </row>
        <row r="366">
          <cell r="C366" t="str">
            <v>Masa Pelaksanaan :</v>
          </cell>
          <cell r="D366" t="str">
            <v>. . . . . . . . . . . .</v>
          </cell>
          <cell r="E366" t="str">
            <v>bulan</v>
          </cell>
        </row>
        <row r="368">
          <cell r="A368" t="str">
            <v>7.</v>
          </cell>
          <cell r="C368" t="str">
            <v>VOLUME PEKERJAAN YANG DIPERLUKAN</v>
          </cell>
        </row>
        <row r="369">
          <cell r="C369" t="str">
            <v>Volume pekerjaan  :</v>
          </cell>
          <cell r="D369">
            <v>102.06194798168002</v>
          </cell>
          <cell r="E369" t="str">
            <v>M3</v>
          </cell>
        </row>
        <row r="375">
          <cell r="A375" t="str">
            <v>ITEM PEMBAYARAN NO.</v>
          </cell>
          <cell r="D375" t="str">
            <v>:  3.1 (7)</v>
          </cell>
          <cell r="J375" t="str">
            <v>Analisa EI-314</v>
          </cell>
          <cell r="T375" t="str">
            <v>Analisa EI-314</v>
          </cell>
        </row>
        <row r="376">
          <cell r="A376" t="str">
            <v>JENIS PEKERJAAN</v>
          </cell>
          <cell r="D376" t="str">
            <v>:  Galian Struktur dengan Kedalaman 2 - 4 M</v>
          </cell>
        </row>
        <row r="377">
          <cell r="A377" t="str">
            <v>SATUAN PEMBAYARAN</v>
          </cell>
          <cell r="D377" t="str">
            <v>:  M3</v>
          </cell>
          <cell r="H377" t="str">
            <v xml:space="preserve">         URAIAN ANALISA HARGA SATUAN</v>
          </cell>
          <cell r="L377" t="str">
            <v>FORMULIR STANDAR UNTUK</v>
          </cell>
        </row>
        <row r="378">
          <cell r="L378" t="str">
            <v>PEREKAMAN ANALISA MASING-MASING HARGA SATUAN</v>
          </cell>
        </row>
        <row r="379">
          <cell r="L379" t="str">
            <v/>
          </cell>
        </row>
        <row r="380">
          <cell r="A380" t="str">
            <v>No.</v>
          </cell>
          <cell r="C380" t="str">
            <v>U R A I A N</v>
          </cell>
          <cell r="G380" t="str">
            <v>KODE</v>
          </cell>
          <cell r="H380" t="str">
            <v>KOEF.</v>
          </cell>
          <cell r="I380" t="str">
            <v>SATUAN</v>
          </cell>
          <cell r="J380" t="str">
            <v>KETERANGAN</v>
          </cell>
        </row>
        <row r="382">
          <cell r="L382" t="str">
            <v>PROYEK</v>
          </cell>
          <cell r="O382" t="str">
            <v>:</v>
          </cell>
        </row>
        <row r="383">
          <cell r="A383" t="str">
            <v>I.</v>
          </cell>
          <cell r="C383" t="str">
            <v>ASUMSI</v>
          </cell>
          <cell r="L383" t="str">
            <v>No. PAKET KONTRAK</v>
          </cell>
          <cell r="O383" t="str">
            <v>:</v>
          </cell>
        </row>
        <row r="384">
          <cell r="A384">
            <v>1</v>
          </cell>
          <cell r="C384" t="str">
            <v>Pekerjaan dilakukan secara manual</v>
          </cell>
          <cell r="L384" t="str">
            <v>NAMA PAKET</v>
          </cell>
          <cell r="O384" t="str">
            <v>:</v>
          </cell>
        </row>
        <row r="385">
          <cell r="A385">
            <v>2</v>
          </cell>
          <cell r="C385" t="str">
            <v>Lokasi pekerjaan : sekitar jembatan</v>
          </cell>
          <cell r="L385" t="str">
            <v>PROP / KAB / KODYA</v>
          </cell>
          <cell r="O385" t="str">
            <v>:</v>
          </cell>
        </row>
        <row r="386">
          <cell r="A386">
            <v>3</v>
          </cell>
          <cell r="C386" t="str">
            <v>Kondisi Jalan   :  sedang / baik</v>
          </cell>
          <cell r="L386" t="str">
            <v>ITEM PEMBAYARAN NO.</v>
          </cell>
          <cell r="O386" t="str">
            <v>:  3.1 (7)</v>
          </cell>
          <cell r="R386" t="str">
            <v>PERKIRAAN VOL. PEK.</v>
          </cell>
          <cell r="T386" t="str">
            <v>:</v>
          </cell>
          <cell r="U386">
            <v>0</v>
          </cell>
        </row>
        <row r="387">
          <cell r="A387">
            <v>4</v>
          </cell>
          <cell r="C387" t="str">
            <v>Jam kerja efektif per-hari</v>
          </cell>
          <cell r="G387" t="str">
            <v>Tk</v>
          </cell>
          <cell r="H387">
            <v>7</v>
          </cell>
          <cell r="I387" t="str">
            <v>Jam</v>
          </cell>
          <cell r="L387" t="str">
            <v>JENIS PEKERJAAN</v>
          </cell>
          <cell r="O387" t="str">
            <v>:  Galian Struktur dengan Kedalaman 2 - 4 M</v>
          </cell>
          <cell r="R387" t="str">
            <v>TOTAL HARGA (Rp.)</v>
          </cell>
          <cell r="T387" t="str">
            <v>:</v>
          </cell>
          <cell r="U387">
            <v>0</v>
          </cell>
        </row>
        <row r="388">
          <cell r="A388">
            <v>5</v>
          </cell>
          <cell r="C388" t="str">
            <v>Faktor pengembangan bahan</v>
          </cell>
          <cell r="G388" t="str">
            <v>Fh</v>
          </cell>
          <cell r="H388">
            <v>1.2</v>
          </cell>
          <cell r="I388" t="str">
            <v>-</v>
          </cell>
          <cell r="L388" t="str">
            <v>SATUAN PEMBAYARAN</v>
          </cell>
          <cell r="O388" t="str">
            <v>:  M3</v>
          </cell>
          <cell r="R388" t="str">
            <v>% THD. BIAYA PROYEK</v>
          </cell>
          <cell r="T388" t="str">
            <v>:</v>
          </cell>
          <cell r="U388" t="e">
            <v>#DIV/0!</v>
          </cell>
        </row>
        <row r="389">
          <cell r="A389">
            <v>6</v>
          </cell>
          <cell r="C389" t="str">
            <v>Pengurugan kembali (backfill) untuk struktur</v>
          </cell>
          <cell r="G389" t="str">
            <v>Uk</v>
          </cell>
          <cell r="H389">
            <v>50</v>
          </cell>
          <cell r="I389" t="str">
            <v>%/M3</v>
          </cell>
        </row>
        <row r="391">
          <cell r="A391" t="str">
            <v>II.</v>
          </cell>
          <cell r="C391" t="str">
            <v>METHODE PELAKSANAAN</v>
          </cell>
          <cell r="Q391" t="str">
            <v>PERKIRAAN</v>
          </cell>
          <cell r="R391" t="str">
            <v>HARGA</v>
          </cell>
          <cell r="S391" t="str">
            <v>JUMLAH</v>
          </cell>
        </row>
        <row r="392">
          <cell r="A392">
            <v>1</v>
          </cell>
          <cell r="C392" t="str">
            <v>Tanah yang dipotong berada disekitar jembatan</v>
          </cell>
          <cell r="L392" t="str">
            <v>NO.</v>
          </cell>
          <cell r="N392" t="str">
            <v>KOMPONEN</v>
          </cell>
          <cell r="P392" t="str">
            <v>SATUAN</v>
          </cell>
          <cell r="Q392" t="str">
            <v>KUANTITAS</v>
          </cell>
          <cell r="R392" t="str">
            <v>SATUAN</v>
          </cell>
          <cell r="S392" t="str">
            <v>HARGA</v>
          </cell>
        </row>
        <row r="393">
          <cell r="A393">
            <v>2</v>
          </cell>
          <cell r="C393" t="str">
            <v>Penggalian dilakukan dengan menggunakan alat</v>
          </cell>
          <cell r="R393" t="str">
            <v>(Rp.)</v>
          </cell>
          <cell r="S393" t="str">
            <v>(Rp.)</v>
          </cell>
        </row>
        <row r="394">
          <cell r="C394" t="str">
            <v>Excavator</v>
          </cell>
        </row>
        <row r="395">
          <cell r="A395">
            <v>3</v>
          </cell>
          <cell r="C395" t="str">
            <v>Bulldozer mengangkut/mengusur hasil galian ke tempat</v>
          </cell>
        </row>
        <row r="396">
          <cell r="C396" t="str">
            <v>pembuangan di sekitar lokasi pekerjaan</v>
          </cell>
          <cell r="G396" t="str">
            <v>L</v>
          </cell>
          <cell r="H396">
            <v>0.1</v>
          </cell>
          <cell r="I396" t="str">
            <v>Km</v>
          </cell>
          <cell r="L396" t="str">
            <v>A.</v>
          </cell>
          <cell r="N396" t="str">
            <v>TENAGA</v>
          </cell>
        </row>
        <row r="398">
          <cell r="A398" t="str">
            <v>III.</v>
          </cell>
          <cell r="C398" t="str">
            <v>PEMAKAIAN BAHAN, ALAT DAN TENAGA</v>
          </cell>
          <cell r="L398" t="str">
            <v>1.</v>
          </cell>
          <cell r="N398" t="str">
            <v>Pekerja</v>
          </cell>
          <cell r="O398" t="str">
            <v>(L01)</v>
          </cell>
          <cell r="P398" t="str">
            <v>Jam</v>
          </cell>
          <cell r="Q398">
            <v>0.41685416962616839</v>
          </cell>
          <cell r="R398">
            <v>2857.14</v>
          </cell>
          <cell r="U398">
            <v>1191.0107222057106</v>
          </cell>
        </row>
        <row r="399">
          <cell r="L399" t="str">
            <v>2.</v>
          </cell>
          <cell r="N399" t="str">
            <v>Mandor</v>
          </cell>
          <cell r="O399" t="str">
            <v>(L03)</v>
          </cell>
          <cell r="P399" t="str">
            <v>Jam</v>
          </cell>
          <cell r="Q399">
            <v>4.1685416962616843E-2</v>
          </cell>
          <cell r="R399">
            <v>3214.29</v>
          </cell>
          <cell r="U399">
            <v>133.98901888876969</v>
          </cell>
        </row>
        <row r="400">
          <cell r="A400" t="str">
            <v xml:space="preserve">   1.</v>
          </cell>
          <cell r="C400" t="str">
            <v>BAHAN</v>
          </cell>
        </row>
        <row r="401">
          <cell r="C401" t="str">
            <v>- Urugan Pilihan (untuk backfill)</v>
          </cell>
          <cell r="E401" t="str">
            <v>= Uk x 1M3</v>
          </cell>
          <cell r="G401" t="str">
            <v>(EI-322)</v>
          </cell>
          <cell r="H401">
            <v>0.5</v>
          </cell>
          <cell r="I401" t="str">
            <v>M3</v>
          </cell>
        </row>
        <row r="402">
          <cell r="Q402" t="str">
            <v xml:space="preserve">JUMLAH HARGA TENAGA   </v>
          </cell>
          <cell r="U402">
            <v>1324.9997410944802</v>
          </cell>
        </row>
        <row r="403">
          <cell r="A403" t="str">
            <v xml:space="preserve">   2.</v>
          </cell>
          <cell r="C403" t="str">
            <v>ALAT</v>
          </cell>
        </row>
        <row r="404">
          <cell r="A404" t="str">
            <v xml:space="preserve">   2.a.</v>
          </cell>
          <cell r="C404" t="str">
            <v>EXCAVATOR</v>
          </cell>
          <cell r="G404" t="str">
            <v>(E10)</v>
          </cell>
          <cell r="L404" t="str">
            <v>B.</v>
          </cell>
          <cell r="N404" t="str">
            <v>BAHAN</v>
          </cell>
        </row>
        <row r="405">
          <cell r="C405" t="str">
            <v>Kapasitas Bucket</v>
          </cell>
          <cell r="G405" t="str">
            <v>V</v>
          </cell>
          <cell r="H405">
            <v>0.93</v>
          </cell>
          <cell r="I405" t="str">
            <v>M3</v>
          </cell>
        </row>
        <row r="406">
          <cell r="C406" t="str">
            <v>Faktor Bucket</v>
          </cell>
          <cell r="G406" t="str">
            <v>Fb</v>
          </cell>
          <cell r="H406">
            <v>0.9</v>
          </cell>
          <cell r="I406" t="str">
            <v>-</v>
          </cell>
          <cell r="L406" t="str">
            <v>1.</v>
          </cell>
          <cell r="N406" t="str">
            <v xml:space="preserve">Urugan Pilihan </v>
          </cell>
          <cell r="O406" t="str">
            <v>(EI-322)</v>
          </cell>
          <cell r="P406" t="str">
            <v>M3</v>
          </cell>
          <cell r="Q406">
            <v>0.5</v>
          </cell>
          <cell r="R406">
            <v>455558.60740011773</v>
          </cell>
          <cell r="U406">
            <v>227779.30370005887</v>
          </cell>
        </row>
        <row r="407">
          <cell r="C407" t="str">
            <v>Faktor  Efisiensi alat</v>
          </cell>
          <cell r="G407" t="str">
            <v>Fa</v>
          </cell>
          <cell r="H407">
            <v>0.83</v>
          </cell>
          <cell r="I407" t="str">
            <v>-</v>
          </cell>
        </row>
        <row r="408">
          <cell r="C408" t="str">
            <v>Faktor kedalaman</v>
          </cell>
          <cell r="G408" t="str">
            <v>Fd</v>
          </cell>
          <cell r="H408">
            <v>0.65</v>
          </cell>
          <cell r="I408" t="str">
            <v>-</v>
          </cell>
        </row>
        <row r="409">
          <cell r="C409" t="str">
            <v>Berat isi material</v>
          </cell>
          <cell r="G409" t="str">
            <v>Bim</v>
          </cell>
          <cell r="H409">
            <v>0.85</v>
          </cell>
          <cell r="I409" t="str">
            <v>-</v>
          </cell>
        </row>
        <row r="411">
          <cell r="C411" t="str">
            <v>Waktu siklus</v>
          </cell>
        </row>
        <row r="412">
          <cell r="C412" t="str">
            <v>- Menggali / memuat</v>
          </cell>
          <cell r="G412" t="str">
            <v>Te1</v>
          </cell>
          <cell r="H412">
            <v>0.55000000000000004</v>
          </cell>
          <cell r="I412" t="str">
            <v>menit</v>
          </cell>
          <cell r="Q412" t="str">
            <v xml:space="preserve">JUMLAH HARGA BAHAN   </v>
          </cell>
          <cell r="U412">
            <v>227779.30370005887</v>
          </cell>
        </row>
        <row r="413">
          <cell r="C413" t="str">
            <v>- Lain-lain</v>
          </cell>
          <cell r="G413" t="str">
            <v>Te2</v>
          </cell>
          <cell r="H413">
            <v>0.25</v>
          </cell>
          <cell r="I413" t="str">
            <v>menit</v>
          </cell>
        </row>
        <row r="414">
          <cell r="G414" t="str">
            <v>Te</v>
          </cell>
          <cell r="H414">
            <v>0.8</v>
          </cell>
          <cell r="I414" t="str">
            <v>menit</v>
          </cell>
          <cell r="L414" t="str">
            <v>C.</v>
          </cell>
          <cell r="N414" t="str">
            <v>PERALATAN</v>
          </cell>
        </row>
        <row r="415">
          <cell r="L415" t="str">
            <v>1.</v>
          </cell>
          <cell r="N415" t="str">
            <v>Excavator</v>
          </cell>
          <cell r="O415" t="str">
            <v>(E10)</v>
          </cell>
          <cell r="P415" t="str">
            <v>Jam</v>
          </cell>
          <cell r="Q415">
            <v>4.1685416962616836E-2</v>
          </cell>
          <cell r="R415">
            <v>238185.05650827778</v>
          </cell>
          <cell r="U415">
            <v>9928.8433948120128</v>
          </cell>
        </row>
        <row r="416">
          <cell r="L416" t="str">
            <v>2.</v>
          </cell>
          <cell r="N416" t="str">
            <v>Bulldozer</v>
          </cell>
          <cell r="O416" t="str">
            <v>(E04)</v>
          </cell>
          <cell r="P416" t="str">
            <v>Jam</v>
          </cell>
          <cell r="Q416">
            <v>1.0213694283306062E-4</v>
          </cell>
          <cell r="R416">
            <v>256721.09983229413</v>
          </cell>
          <cell r="U416">
            <v>26.220708297611473</v>
          </cell>
        </row>
        <row r="417">
          <cell r="C417" t="str">
            <v>Kap. Prod. / jam =</v>
          </cell>
          <cell r="D417" t="str">
            <v>V  x Fb x Fa x Fd x Bim x 60</v>
          </cell>
          <cell r="G417" t="str">
            <v>Q1</v>
          </cell>
          <cell r="H417">
            <v>23.989204687500003</v>
          </cell>
          <cell r="I417" t="str">
            <v>M3/Jam</v>
          </cell>
          <cell r="L417" t="str">
            <v>3.</v>
          </cell>
          <cell r="N417" t="str">
            <v>Alat  bantu</v>
          </cell>
          <cell r="P417" t="str">
            <v>Ls</v>
          </cell>
          <cell r="Q417">
            <v>1</v>
          </cell>
          <cell r="R417">
            <v>200</v>
          </cell>
          <cell r="U417">
            <v>200</v>
          </cell>
        </row>
        <row r="418">
          <cell r="D418" t="str">
            <v>Te x Fh</v>
          </cell>
        </row>
        <row r="420">
          <cell r="C420" t="str">
            <v>Koefisien Alat / M3</v>
          </cell>
          <cell r="D420" t="str">
            <v xml:space="preserve"> =  1  :  Q1</v>
          </cell>
          <cell r="G420" t="str">
            <v>(E10)</v>
          </cell>
          <cell r="H420">
            <v>4.1685416962616836E-2</v>
          </cell>
          <cell r="I420" t="str">
            <v>Jam</v>
          </cell>
        </row>
        <row r="423">
          <cell r="A423" t="str">
            <v>2.a.</v>
          </cell>
          <cell r="C423" t="str">
            <v>BULLDOZER</v>
          </cell>
          <cell r="G423" t="str">
            <v>(E04)</v>
          </cell>
        </row>
        <row r="424">
          <cell r="C424" t="str">
            <v>Faktor pisau (blade)</v>
          </cell>
          <cell r="G424" t="str">
            <v>Fb</v>
          </cell>
          <cell r="H424">
            <v>1</v>
          </cell>
          <cell r="I424" t="str">
            <v>-</v>
          </cell>
          <cell r="Q424" t="str">
            <v xml:space="preserve">JUMLAH HARGA PERALATAN   </v>
          </cell>
          <cell r="U424">
            <v>10155.064103109624</v>
          </cell>
        </row>
        <row r="425">
          <cell r="C425" t="str">
            <v>Faktor  efisiensi kerja</v>
          </cell>
          <cell r="G425" t="str">
            <v>Fa</v>
          </cell>
          <cell r="H425">
            <v>0.83</v>
          </cell>
          <cell r="I425" t="str">
            <v>-</v>
          </cell>
        </row>
        <row r="426">
          <cell r="C426" t="str">
            <v>Kecepatan mengupas</v>
          </cell>
          <cell r="G426" t="str">
            <v>Vf</v>
          </cell>
          <cell r="H426">
            <v>3</v>
          </cell>
          <cell r="I426" t="str">
            <v>Km/Jam</v>
          </cell>
          <cell r="L426" t="str">
            <v>D.</v>
          </cell>
          <cell r="N426" t="str">
            <v>JUMLAH HARGA TENAGA, BAHAN DAN PERALATAN  ( A + B + C )</v>
          </cell>
          <cell r="U426">
            <v>239259.36754426296</v>
          </cell>
        </row>
        <row r="427">
          <cell r="C427" t="str">
            <v>Kecepatan mundur</v>
          </cell>
          <cell r="G427" t="str">
            <v>Vr</v>
          </cell>
          <cell r="H427">
            <v>5</v>
          </cell>
          <cell r="I427" t="str">
            <v>Km/Jam</v>
          </cell>
          <cell r="L427" t="str">
            <v>E.</v>
          </cell>
          <cell r="N427" t="str">
            <v>OVERHEAD &amp; PROFIT</v>
          </cell>
          <cell r="P427">
            <v>10</v>
          </cell>
          <cell r="Q427" t="str">
            <v>%  x  D</v>
          </cell>
          <cell r="U427">
            <v>23925.936754426297</v>
          </cell>
        </row>
        <row r="428">
          <cell r="C428" t="str">
            <v>Kapasitas pisau</v>
          </cell>
          <cell r="G428" t="str">
            <v>q</v>
          </cell>
          <cell r="H428">
            <v>5.4</v>
          </cell>
          <cell r="I428" t="str">
            <v>M3</v>
          </cell>
          <cell r="L428" t="str">
            <v>F.</v>
          </cell>
          <cell r="N428" t="str">
            <v>HARGA SATUAN PEKERJAAN  ( D + E )</v>
          </cell>
          <cell r="U428">
            <v>263185.30429868924</v>
          </cell>
        </row>
        <row r="429">
          <cell r="A429" t="str">
            <v>`</v>
          </cell>
          <cell r="C429" t="str">
            <v>Faktor kemiringan (grade)</v>
          </cell>
          <cell r="G429" t="str">
            <v>Fm</v>
          </cell>
          <cell r="H429">
            <v>1</v>
          </cell>
          <cell r="L429" t="str">
            <v>Note: 1</v>
          </cell>
          <cell r="N429" t="str">
            <v>SATUAN dapat berdasarkan atas jam operasi untuk Tenaga Kerja dan Peralatan, volume dan/atau ukuran</v>
          </cell>
        </row>
        <row r="430">
          <cell r="N430" t="str">
            <v>berat untuk bahan-bahan.</v>
          </cell>
        </row>
        <row r="431">
          <cell r="L431">
            <v>2</v>
          </cell>
          <cell r="N431" t="str">
            <v>Kuantitas satuan adalah kuantitas setiap komponen untuk menyelesaikan satu satuan pekerjaan dari nomor</v>
          </cell>
        </row>
        <row r="432">
          <cell r="N432" t="str">
            <v>mata pembayaran.</v>
          </cell>
        </row>
        <row r="433">
          <cell r="L433">
            <v>3</v>
          </cell>
          <cell r="N433" t="str">
            <v>Biaya satuan untuk peralatan sudah termasuk bahan bakar, bahan habis dipakai dan operator.</v>
          </cell>
        </row>
        <row r="434">
          <cell r="L434">
            <v>4</v>
          </cell>
          <cell r="N434" t="str">
            <v>Biaya satuan sudah termasuk pengeluaran untuk seluruh pajak yang berkaitan (tetapi tidak termasuk PPN</v>
          </cell>
        </row>
        <row r="435">
          <cell r="J435" t="str">
            <v>Berlanjut ke halaman berikut</v>
          </cell>
          <cell r="N435" t="str">
            <v>yang dibayar dari kontrak) dan biaya-biaya lainnya.</v>
          </cell>
        </row>
        <row r="436">
          <cell r="A436" t="str">
            <v>ITEM PEMBAYARAN NO.</v>
          </cell>
          <cell r="D436" t="str">
            <v>:  3.1 (7)</v>
          </cell>
          <cell r="J436" t="str">
            <v>Analisa EI-314</v>
          </cell>
        </row>
        <row r="437">
          <cell r="A437" t="str">
            <v>JENIS PEKERJAAN</v>
          </cell>
          <cell r="D437" t="str">
            <v>:  Galian Struktur dengan Kedalaman 2 - 4 M</v>
          </cell>
        </row>
        <row r="438">
          <cell r="A438" t="str">
            <v>SATUAN PEMBAYARAN</v>
          </cell>
          <cell r="D438" t="str">
            <v>:  M3</v>
          </cell>
          <cell r="H438" t="str">
            <v xml:space="preserve">         URAIAN ANALISA HARGA SATUAN</v>
          </cell>
        </row>
        <row r="439">
          <cell r="J439" t="str">
            <v>Lanjutan</v>
          </cell>
        </row>
        <row r="441">
          <cell r="A441" t="str">
            <v>No.</v>
          </cell>
          <cell r="C441" t="str">
            <v>U R A I A N</v>
          </cell>
          <cell r="G441" t="str">
            <v>KODE</v>
          </cell>
          <cell r="H441" t="str">
            <v>KOEF.</v>
          </cell>
          <cell r="I441" t="str">
            <v>SATUAN</v>
          </cell>
          <cell r="J441" t="str">
            <v>KETERANGAN</v>
          </cell>
        </row>
        <row r="444">
          <cell r="C444" t="str">
            <v>Waktu Siklus</v>
          </cell>
        </row>
        <row r="445">
          <cell r="C445" t="str">
            <v>- Waktu gusur</v>
          </cell>
          <cell r="D445" t="str">
            <v>= l / Vf</v>
          </cell>
          <cell r="G445" t="str">
            <v>T1</v>
          </cell>
          <cell r="H445">
            <v>1.6666666666666666E-2</v>
          </cell>
          <cell r="I445" t="str">
            <v>menit</v>
          </cell>
        </row>
        <row r="446">
          <cell r="C446" t="str">
            <v>- Waktu kembali</v>
          </cell>
          <cell r="D446" t="str">
            <v>= l / Vr</v>
          </cell>
          <cell r="G446" t="str">
            <v>T2</v>
          </cell>
          <cell r="H446">
            <v>0.01</v>
          </cell>
          <cell r="I446" t="str">
            <v>menit</v>
          </cell>
        </row>
        <row r="447">
          <cell r="C447" t="str">
            <v>- Waktu lain-lain</v>
          </cell>
          <cell r="G447" t="str">
            <v>T3</v>
          </cell>
          <cell r="H447">
            <v>8.0000000000000004E-4</v>
          </cell>
          <cell r="I447" t="str">
            <v>menit</v>
          </cell>
        </row>
        <row r="448">
          <cell r="G448" t="str">
            <v>Ts</v>
          </cell>
          <cell r="H448">
            <v>2.7466666666666664E-2</v>
          </cell>
          <cell r="I448" t="str">
            <v>menit</v>
          </cell>
        </row>
        <row r="450">
          <cell r="C450" t="str">
            <v>Kapasitas Produksi / Jam   =</v>
          </cell>
          <cell r="E450" t="str">
            <v>q x Fb x Fm x Fa x 60/Ts</v>
          </cell>
          <cell r="G450" t="str">
            <v>Q2</v>
          </cell>
          <cell r="H450">
            <v>9790.7766990291275</v>
          </cell>
          <cell r="I450" t="str">
            <v>M3</v>
          </cell>
        </row>
        <row r="453">
          <cell r="C453" t="str">
            <v>Koefisien Alat / M3</v>
          </cell>
          <cell r="D453" t="str">
            <v xml:space="preserve"> =  1  :  Q2</v>
          </cell>
          <cell r="G453" t="str">
            <v>(E04)</v>
          </cell>
          <cell r="H453">
            <v>1.0213694283306062E-4</v>
          </cell>
          <cell r="I453" t="str">
            <v>Jam</v>
          </cell>
        </row>
        <row r="456">
          <cell r="A456" t="str">
            <v>2.d.</v>
          </cell>
          <cell r="C456" t="str">
            <v>ALAT  BANTU</v>
          </cell>
        </row>
        <row r="457">
          <cell r="C457" t="str">
            <v>Diperlukan alat-alat bantu kecil</v>
          </cell>
          <cell r="J457" t="str">
            <v>Lump Sump</v>
          </cell>
        </row>
        <row r="458">
          <cell r="C458" t="str">
            <v>- Pacul</v>
          </cell>
          <cell r="D458" t="str">
            <v>=  2  buah</v>
          </cell>
        </row>
        <row r="459">
          <cell r="C459" t="str">
            <v>- Sekop</v>
          </cell>
          <cell r="D459" t="str">
            <v>=  2  buah</v>
          </cell>
        </row>
        <row r="462">
          <cell r="A462" t="str">
            <v xml:space="preserve">   3.</v>
          </cell>
          <cell r="C462" t="str">
            <v>TENAGA</v>
          </cell>
        </row>
        <row r="463">
          <cell r="C463" t="str">
            <v>Produksi menentukan : EXCAVATOR</v>
          </cell>
          <cell r="G463" t="str">
            <v>Q1</v>
          </cell>
          <cell r="H463">
            <v>23.989204687500003</v>
          </cell>
          <cell r="I463" t="str">
            <v>M3/Jam</v>
          </cell>
        </row>
        <row r="464">
          <cell r="C464" t="str">
            <v>Produksi Galian / hari  =  Tk x Q1</v>
          </cell>
          <cell r="G464" t="str">
            <v>Qt</v>
          </cell>
          <cell r="H464">
            <v>167.92443281250002</v>
          </cell>
          <cell r="I464" t="str">
            <v>M3</v>
          </cell>
        </row>
        <row r="465">
          <cell r="C465" t="str">
            <v>Kebutuhan tenaga :</v>
          </cell>
        </row>
        <row r="466">
          <cell r="D466" t="str">
            <v>- Pekerja</v>
          </cell>
          <cell r="G466" t="str">
            <v>P</v>
          </cell>
          <cell r="H466">
            <v>10</v>
          </cell>
          <cell r="I466" t="str">
            <v>orang</v>
          </cell>
        </row>
        <row r="467">
          <cell r="D467" t="str">
            <v>- Mandor</v>
          </cell>
          <cell r="G467" t="str">
            <v>M</v>
          </cell>
          <cell r="H467">
            <v>1</v>
          </cell>
          <cell r="I467" t="str">
            <v>orang</v>
          </cell>
        </row>
        <row r="469">
          <cell r="C469" t="str">
            <v>Koefisien tenaga / M3   :</v>
          </cell>
        </row>
        <row r="470">
          <cell r="D470" t="str">
            <v>- Pekerja</v>
          </cell>
          <cell r="E470" t="str">
            <v>= (Tk x P) : Qt</v>
          </cell>
          <cell r="G470" t="str">
            <v>(L01)</v>
          </cell>
          <cell r="H470">
            <v>0.41685416962616839</v>
          </cell>
          <cell r="I470" t="str">
            <v>Jam</v>
          </cell>
        </row>
        <row r="471">
          <cell r="D471" t="str">
            <v>- Mandor</v>
          </cell>
          <cell r="E471" t="str">
            <v>= (Tk x M) : Qt</v>
          </cell>
          <cell r="G471" t="str">
            <v>(L03)</v>
          </cell>
          <cell r="H471">
            <v>4.1685416962616843E-2</v>
          </cell>
          <cell r="I471" t="str">
            <v>Jam</v>
          </cell>
        </row>
        <row r="473">
          <cell r="A473" t="str">
            <v>4.</v>
          </cell>
          <cell r="C473" t="str">
            <v>HARGA DASAR SATUAN UPAH, BAHAN DAN ALAT</v>
          </cell>
        </row>
        <row r="474">
          <cell r="C474" t="str">
            <v>Lihat lampiran.</v>
          </cell>
        </row>
        <row r="476">
          <cell r="A476" t="str">
            <v>5.</v>
          </cell>
          <cell r="C476" t="str">
            <v>ANALISA HARGA SATUAN PEKERJAAN</v>
          </cell>
        </row>
        <row r="477">
          <cell r="C477" t="str">
            <v>Lihat perhitungan dalam FORMULIR STANDAR UNTUK</v>
          </cell>
        </row>
        <row r="478">
          <cell r="C478" t="str">
            <v>PEREKEMAN ANALISA MASING-MASING HARGA</v>
          </cell>
        </row>
        <row r="479">
          <cell r="C479" t="str">
            <v>SATUAN.</v>
          </cell>
        </row>
        <row r="480">
          <cell r="C480" t="str">
            <v>Didapat Harga Satuan Pekerjaan :</v>
          </cell>
        </row>
        <row r="482">
          <cell r="C482" t="str">
            <v xml:space="preserve">Rp.  </v>
          </cell>
          <cell r="D482">
            <v>263185.30429868924</v>
          </cell>
          <cell r="E482" t="str">
            <v xml:space="preserve"> / M3</v>
          </cell>
        </row>
        <row r="485">
          <cell r="A485" t="str">
            <v>6.</v>
          </cell>
          <cell r="C485" t="str">
            <v>WAKTU PELAKSANAAN YANG DIPERLUKAN</v>
          </cell>
        </row>
        <row r="486">
          <cell r="C486" t="str">
            <v>Masa Pelaksanaan :</v>
          </cell>
          <cell r="D486" t="str">
            <v>. . . . . . . . . . . .</v>
          </cell>
          <cell r="E486" t="str">
            <v>bulan</v>
          </cell>
        </row>
        <row r="488">
          <cell r="A488" t="str">
            <v>7.</v>
          </cell>
          <cell r="C488" t="str">
            <v>VOLUME PEKERJAAN YANG DIPERLUKAN</v>
          </cell>
        </row>
        <row r="489">
          <cell r="C489" t="str">
            <v>Volume pekerjaan  :</v>
          </cell>
          <cell r="D489">
            <v>133.98901888876969</v>
          </cell>
          <cell r="E489" t="str">
            <v>M3</v>
          </cell>
        </row>
        <row r="1766">
          <cell r="C1766" t="str">
            <v>Faktor efisiensi alat</v>
          </cell>
          <cell r="G1766" t="str">
            <v>Fa</v>
          </cell>
          <cell r="H1766">
            <v>0.83</v>
          </cell>
          <cell r="I1766" t="str">
            <v>-</v>
          </cell>
        </row>
        <row r="1768">
          <cell r="C1768" t="str">
            <v>Kapasitas Prod./Jam   =</v>
          </cell>
          <cell r="D1768" t="str">
            <v>(v x 1000) x b x t x Fa</v>
          </cell>
          <cell r="G1768" t="str">
            <v>Q4</v>
          </cell>
          <cell r="H1768">
            <v>104.58</v>
          </cell>
          <cell r="I1768" t="str">
            <v>M3</v>
          </cell>
        </row>
        <row r="1769">
          <cell r="D1769" t="str">
            <v>n</v>
          </cell>
        </row>
        <row r="1771">
          <cell r="C1771" t="str">
            <v>Koefisien Alat / m3</v>
          </cell>
          <cell r="D1771" t="str">
            <v xml:space="preserve"> =  1  :  Q4</v>
          </cell>
          <cell r="G1771" t="str">
            <v>(E19)</v>
          </cell>
          <cell r="H1771">
            <v>9.5620577548288389E-3</v>
          </cell>
          <cell r="I1771" t="str">
            <v>Jam</v>
          </cell>
        </row>
        <row r="1774">
          <cell r="A1774" t="str">
            <v>2.e.</v>
          </cell>
          <cell r="C1774" t="str">
            <v>WATER TANK TRUCK</v>
          </cell>
          <cell r="G1774" t="str">
            <v>(E23)</v>
          </cell>
        </row>
        <row r="1775">
          <cell r="C1775" t="str">
            <v>Volume tangki air</v>
          </cell>
          <cell r="G1775" t="str">
            <v>V</v>
          </cell>
          <cell r="H1775">
            <v>4</v>
          </cell>
          <cell r="I1775" t="str">
            <v>M3</v>
          </cell>
        </row>
        <row r="1776">
          <cell r="C1776" t="str">
            <v>Kebutuhan air / M3 material padat</v>
          </cell>
          <cell r="G1776" t="str">
            <v>Wc</v>
          </cell>
          <cell r="H1776">
            <v>7.0000000000000007E-2</v>
          </cell>
          <cell r="I1776" t="str">
            <v>M3</v>
          </cell>
        </row>
        <row r="1777">
          <cell r="C1777" t="str">
            <v>Pengisian Tangki / jam</v>
          </cell>
          <cell r="G1777" t="str">
            <v>n</v>
          </cell>
          <cell r="H1777">
            <v>3</v>
          </cell>
          <cell r="I1777" t="str">
            <v>kali</v>
          </cell>
        </row>
        <row r="1778">
          <cell r="C1778" t="str">
            <v>Faktor efisiensi alat</v>
          </cell>
          <cell r="G1778" t="str">
            <v>Fa</v>
          </cell>
          <cell r="H1778">
            <v>0.83</v>
          </cell>
          <cell r="I1778" t="str">
            <v>-</v>
          </cell>
        </row>
        <row r="1780">
          <cell r="C1780" t="str">
            <v>Kapasitas Produksi / Jam   =</v>
          </cell>
          <cell r="E1780" t="str">
            <v>V  x  n x Fa</v>
          </cell>
          <cell r="G1780" t="str">
            <v>Q5</v>
          </cell>
          <cell r="H1780">
            <v>142.28571428571425</v>
          </cell>
          <cell r="I1780" t="str">
            <v>M3</v>
          </cell>
        </row>
        <row r="1781">
          <cell r="E1781" t="str">
            <v xml:space="preserve">     Wc</v>
          </cell>
        </row>
        <row r="1783">
          <cell r="C1783" t="str">
            <v>Koefisien Alat / m3</v>
          </cell>
          <cell r="D1783" t="str">
            <v xml:space="preserve"> =  1  :  Q5</v>
          </cell>
          <cell r="G1783" t="str">
            <v>(E23)</v>
          </cell>
          <cell r="H1783">
            <v>7.0281124497991983E-3</v>
          </cell>
          <cell r="I1783" t="str">
            <v>Jam</v>
          </cell>
        </row>
        <row r="1785">
          <cell r="A1785" t="str">
            <v>2.f.</v>
          </cell>
          <cell r="C1785" t="str">
            <v>ALAT  BANTU</v>
          </cell>
        </row>
        <row r="1786">
          <cell r="C1786" t="str">
            <v>Diperlukan alat-alat bantu kecil</v>
          </cell>
          <cell r="J1786" t="str">
            <v>Lump Sump</v>
          </cell>
        </row>
        <row r="1787">
          <cell r="C1787" t="str">
            <v>- Sekop    =         3   buah</v>
          </cell>
        </row>
        <row r="1791">
          <cell r="J1791" t="str">
            <v>Berlanjut ke halaman berikut</v>
          </cell>
        </row>
        <row r="1792">
          <cell r="A1792" t="str">
            <v>ITEM PEMBAYARAN NO.</v>
          </cell>
          <cell r="D1792" t="str">
            <v>:  3.2 (3)</v>
          </cell>
          <cell r="J1792" t="str">
            <v>Analisa EI-323</v>
          </cell>
        </row>
        <row r="1793">
          <cell r="A1793" t="str">
            <v>JENIS PEKERJAAN</v>
          </cell>
          <cell r="D1793" t="str">
            <v>:  Timbunan Pilihan</v>
          </cell>
        </row>
        <row r="1794">
          <cell r="A1794" t="str">
            <v>SATUAN PEMBAYARAN</v>
          </cell>
          <cell r="D1794" t="str">
            <v>:  M3</v>
          </cell>
          <cell r="H1794" t="str">
            <v xml:space="preserve">         URAIAN ANALISA HARGA SATUAN</v>
          </cell>
        </row>
        <row r="1795">
          <cell r="J1795" t="str">
            <v>Lanjutan</v>
          </cell>
        </row>
        <row r="1797">
          <cell r="A1797" t="str">
            <v>No.</v>
          </cell>
          <cell r="C1797" t="str">
            <v>U R A I A N</v>
          </cell>
          <cell r="G1797" t="str">
            <v>KODE</v>
          </cell>
          <cell r="H1797" t="str">
            <v>KOEF.</v>
          </cell>
          <cell r="I1797" t="str">
            <v>SATUAN</v>
          </cell>
          <cell r="J1797" t="str">
            <v>KETERANGAN</v>
          </cell>
        </row>
        <row r="1800">
          <cell r="A1800" t="str">
            <v xml:space="preserve">   3.</v>
          </cell>
          <cell r="C1800" t="str">
            <v>TENAGA</v>
          </cell>
        </row>
        <row r="1801">
          <cell r="C1801" t="str">
            <v>Produksi menentukan : DUMP TRUCK</v>
          </cell>
          <cell r="G1801" t="str">
            <v>Q1</v>
          </cell>
          <cell r="H1801">
            <v>0.40310830500242839</v>
          </cell>
          <cell r="I1801" t="str">
            <v>M3/Jam</v>
          </cell>
        </row>
        <row r="1802">
          <cell r="C1802" t="str">
            <v>Produksi Timbunan / hari  =  Tk x Q1</v>
          </cell>
          <cell r="G1802" t="str">
            <v>Qt</v>
          </cell>
          <cell r="H1802">
            <v>2.8217581350169989</v>
          </cell>
          <cell r="I1802" t="str">
            <v>M3</v>
          </cell>
        </row>
        <row r="1803">
          <cell r="C1803" t="str">
            <v>Kebutuhan tenaga :</v>
          </cell>
        </row>
        <row r="1804">
          <cell r="D1804" t="str">
            <v>- Pekerja</v>
          </cell>
          <cell r="G1804" t="str">
            <v>P</v>
          </cell>
          <cell r="H1804">
            <v>4</v>
          </cell>
          <cell r="I1804" t="str">
            <v>orang</v>
          </cell>
        </row>
        <row r="1805">
          <cell r="D1805" t="str">
            <v>- Mandor</v>
          </cell>
          <cell r="G1805" t="str">
            <v>M</v>
          </cell>
          <cell r="H1805">
            <v>1</v>
          </cell>
          <cell r="I1805" t="str">
            <v>orang</v>
          </cell>
        </row>
        <row r="1808">
          <cell r="C1808" t="str">
            <v>Koefisien tenaga / M3   :</v>
          </cell>
        </row>
        <row r="1809">
          <cell r="D1809" t="str">
            <v>- Pekerja</v>
          </cell>
          <cell r="E1809" t="str">
            <v>= (Tk x P) : Qt</v>
          </cell>
          <cell r="G1809" t="str">
            <v>(L01)</v>
          </cell>
          <cell r="H1809">
            <v>9.9228915662650596</v>
          </cell>
          <cell r="I1809" t="str">
            <v>Jam</v>
          </cell>
        </row>
        <row r="1810">
          <cell r="D1810" t="str">
            <v>- Mandor</v>
          </cell>
          <cell r="E1810" t="str">
            <v>= (Tk x M) : Qt</v>
          </cell>
          <cell r="G1810" t="str">
            <v>(L03)</v>
          </cell>
          <cell r="H1810">
            <v>2.4807228915662649</v>
          </cell>
          <cell r="I1810" t="str">
            <v>Jam</v>
          </cell>
        </row>
        <row r="1813">
          <cell r="A1813" t="str">
            <v>4.</v>
          </cell>
          <cell r="C1813" t="str">
            <v>HARGA DASAR SATUAN UPAH, BAHAN DAN ALAT</v>
          </cell>
        </row>
        <row r="1814">
          <cell r="C1814" t="str">
            <v>Lihat lampiran.</v>
          </cell>
        </row>
        <row r="1817">
          <cell r="A1817" t="str">
            <v>5.</v>
          </cell>
          <cell r="C1817" t="str">
            <v>ANALISA HARGA SATUAN PEKERJAAN</v>
          </cell>
        </row>
        <row r="1818">
          <cell r="C1818" t="str">
            <v>Lihat perhitungan dalam FORMULIR STANDAR UNTUK</v>
          </cell>
        </row>
        <row r="1819">
          <cell r="C1819" t="str">
            <v>PEREKEMAN ANALISA MASING-MASING HARGA</v>
          </cell>
        </row>
        <row r="1820">
          <cell r="C1820" t="str">
            <v>SATUAN.</v>
          </cell>
        </row>
        <row r="1821">
          <cell r="C1821" t="str">
            <v>Didapat Harga Satuan Pekerjaan :</v>
          </cell>
        </row>
        <row r="1823">
          <cell r="C1823" t="str">
            <v xml:space="preserve">Rp.  </v>
          </cell>
          <cell r="D1823">
            <v>501114.46814012952</v>
          </cell>
          <cell r="E1823" t="str">
            <v xml:space="preserve"> / M3.</v>
          </cell>
        </row>
        <row r="1826">
          <cell r="A1826" t="str">
            <v>6.</v>
          </cell>
          <cell r="C1826" t="str">
            <v>WAKTU PELAKSANAAN YANG DIPERLUKAN</v>
          </cell>
        </row>
        <row r="1827">
          <cell r="C1827" t="str">
            <v>Masa Pelaksanaan :</v>
          </cell>
          <cell r="D1827" t="str">
            <v>. . . . . . . . . . . .</v>
          </cell>
          <cell r="E1827" t="str">
            <v>bulan</v>
          </cell>
        </row>
        <row r="1829">
          <cell r="A1829" t="str">
            <v>7.</v>
          </cell>
          <cell r="C1829" t="str">
            <v>VOLUME PEKERJAAN YANG DIPERLUKAN</v>
          </cell>
        </row>
        <row r="1830">
          <cell r="C1830" t="str">
            <v>Volume pekerjaan  :</v>
          </cell>
          <cell r="D1830">
            <v>1</v>
          </cell>
          <cell r="E1830" t="str">
            <v>M3</v>
          </cell>
        </row>
        <row r="1851">
          <cell r="A1851" t="str">
            <v>ITEM PEMBAYARAN NO.</v>
          </cell>
          <cell r="D1851" t="str">
            <v>:  3.2 (4)</v>
          </cell>
          <cell r="J1851" t="str">
            <v>Analisa EI-324</v>
          </cell>
        </row>
        <row r="1852">
          <cell r="A1852" t="str">
            <v>JENIS PEKERJAAN</v>
          </cell>
          <cell r="D1852" t="str">
            <v>:  Timb. Pilihan Di Atas Tnh. Rawa</v>
          </cell>
        </row>
        <row r="1853">
          <cell r="A1853" t="str">
            <v>SATUAN PEMBAYARAN</v>
          </cell>
          <cell r="D1853" t="str">
            <v>:  M3</v>
          </cell>
          <cell r="H1853" t="str">
            <v xml:space="preserve">         URAIAN ANALISA HARGA SATUAN</v>
          </cell>
        </row>
        <row r="1856">
          <cell r="A1856" t="str">
            <v>No.</v>
          </cell>
          <cell r="C1856" t="str">
            <v>U R A I A N</v>
          </cell>
          <cell r="G1856" t="str">
            <v>KODE</v>
          </cell>
          <cell r="H1856" t="str">
            <v>KOEF.</v>
          </cell>
          <cell r="I1856" t="str">
            <v>SATUAN</v>
          </cell>
          <cell r="J1856" t="str">
            <v>KETERANGAN</v>
          </cell>
        </row>
        <row r="1859">
          <cell r="A1859" t="str">
            <v>I.</v>
          </cell>
          <cell r="C1859" t="str">
            <v>ASUMSI</v>
          </cell>
        </row>
        <row r="1860">
          <cell r="A1860">
            <v>1</v>
          </cell>
          <cell r="C1860" t="str">
            <v>Pekerjaan dilakukan secara mekanis</v>
          </cell>
        </row>
        <row r="1861">
          <cell r="A1861">
            <v>2</v>
          </cell>
          <cell r="C1861" t="str">
            <v>Lokasi pekerjaan : di atas tanah rawa</v>
          </cell>
        </row>
        <row r="1862">
          <cell r="A1862">
            <v>3</v>
          </cell>
          <cell r="C1862" t="str">
            <v>Kondisi Jalan   :  sedang / baik</v>
          </cell>
        </row>
        <row r="1863">
          <cell r="A1863">
            <v>4</v>
          </cell>
          <cell r="C1863" t="str">
            <v>Jam kerja efektif per-hari</v>
          </cell>
          <cell r="G1863" t="str">
            <v>Tk</v>
          </cell>
          <cell r="H1863">
            <v>7</v>
          </cell>
          <cell r="I1863" t="str">
            <v>Jam</v>
          </cell>
        </row>
        <row r="1864">
          <cell r="A1864">
            <v>5</v>
          </cell>
          <cell r="C1864" t="str">
            <v>Faktor pengembangan bahan</v>
          </cell>
          <cell r="G1864" t="str">
            <v>Fk</v>
          </cell>
          <cell r="H1864">
            <v>1.2</v>
          </cell>
          <cell r="I1864" t="str">
            <v>-</v>
          </cell>
        </row>
        <row r="1867">
          <cell r="A1867" t="str">
            <v>II.</v>
          </cell>
          <cell r="C1867" t="str">
            <v>URUTAN KERJA</v>
          </cell>
        </row>
        <row r="1869">
          <cell r="A1869">
            <v>1</v>
          </cell>
          <cell r="C1869" t="str">
            <v>Whell Loader memuat ke dalam Dump Truck</v>
          </cell>
        </row>
        <row r="1870">
          <cell r="A1870">
            <v>2</v>
          </cell>
          <cell r="C1870" t="str">
            <v>Dump Truck mengangkut material pilihan</v>
          </cell>
        </row>
        <row r="1871">
          <cell r="C1871" t="str">
            <v>ke lapangan dimana : jarak quari ke lapangan</v>
          </cell>
          <cell r="G1871" t="str">
            <v>L</v>
          </cell>
          <cell r="H1871">
            <v>10</v>
          </cell>
          <cell r="I1871" t="str">
            <v>Km</v>
          </cell>
        </row>
        <row r="1872">
          <cell r="A1872">
            <v>3</v>
          </cell>
          <cell r="C1872" t="str">
            <v>Dump Truck menuang material pilihan di lokasi rawa</v>
          </cell>
        </row>
        <row r="1873">
          <cell r="C1873" t="str">
            <v>yang telah ditetapkan mulai dari tepian rawa hingga</v>
          </cell>
        </row>
        <row r="1874">
          <cell r="C1874" t="str">
            <v>permukaan timbunan mencapai permukaan air rawa.</v>
          </cell>
        </row>
        <row r="1875">
          <cell r="A1875">
            <v>4</v>
          </cell>
          <cell r="C1875" t="str">
            <v>Sekelompok pekerja merapikan timbunan</v>
          </cell>
        </row>
        <row r="1876">
          <cell r="A1876">
            <v>5</v>
          </cell>
          <cell r="C1876" t="str">
            <v>Geotekstil atau batangan kayu (bila diperlukan)</v>
          </cell>
        </row>
        <row r="1877">
          <cell r="C1877" t="str">
            <v>dianggap telah terpasang</v>
          </cell>
        </row>
        <row r="1879">
          <cell r="A1879" t="str">
            <v>III.</v>
          </cell>
          <cell r="C1879" t="str">
            <v>PEMAKAIAN BAHAN, ALAT DAN TENAGA</v>
          </cell>
        </row>
        <row r="1880">
          <cell r="A1880" t="str">
            <v xml:space="preserve">   1.</v>
          </cell>
          <cell r="C1880" t="str">
            <v>BAHAN</v>
          </cell>
        </row>
        <row r="1881">
          <cell r="A1881" t="str">
            <v>1.a.</v>
          </cell>
          <cell r="C1881" t="str">
            <v>Bahan pilihan</v>
          </cell>
          <cell r="G1881" t="str">
            <v>(M09)</v>
          </cell>
          <cell r="H1881">
            <v>1</v>
          </cell>
          <cell r="I1881" t="str">
            <v>M3</v>
          </cell>
        </row>
        <row r="1883">
          <cell r="A1883" t="str">
            <v xml:space="preserve">   2.</v>
          </cell>
          <cell r="C1883" t="str">
            <v>ALAT</v>
          </cell>
        </row>
        <row r="1885">
          <cell r="A1885" t="str">
            <v xml:space="preserve">   2.a.</v>
          </cell>
          <cell r="C1885" t="str">
            <v>DUMP TRUCK</v>
          </cell>
          <cell r="G1885" t="str">
            <v>(E09)</v>
          </cell>
        </row>
        <row r="1886">
          <cell r="C1886" t="str">
            <v>Kapasitas bak</v>
          </cell>
          <cell r="G1886" t="str">
            <v>V</v>
          </cell>
          <cell r="H1886">
            <v>1.9444444444444444</v>
          </cell>
          <cell r="I1886" t="str">
            <v>M3</v>
          </cell>
        </row>
        <row r="1887">
          <cell r="C1887" t="str">
            <v>Faktor  efisiensi alat</v>
          </cell>
          <cell r="G1887" t="str">
            <v>Fa</v>
          </cell>
          <cell r="H1887">
            <v>0.83</v>
          </cell>
          <cell r="I1887" t="str">
            <v>-</v>
          </cell>
          <cell r="Q1887" t="str">
            <v xml:space="preserve">JUMLAH HARGA BAHAN   </v>
          </cell>
          <cell r="U1887">
            <v>25000</v>
          </cell>
        </row>
        <row r="1888">
          <cell r="C1888" t="str">
            <v>Kecepatan rata-rata bermuatan</v>
          </cell>
          <cell r="G1888" t="str">
            <v>v1</v>
          </cell>
          <cell r="H1888">
            <v>45</v>
          </cell>
          <cell r="I1888" t="str">
            <v>KM/Jam</v>
          </cell>
        </row>
        <row r="1889">
          <cell r="C1889" t="str">
            <v>Kecepatan rata-rata kosong</v>
          </cell>
          <cell r="G1889" t="str">
            <v>v2</v>
          </cell>
          <cell r="H1889">
            <v>60</v>
          </cell>
          <cell r="I1889" t="str">
            <v>KM/Jam</v>
          </cell>
          <cell r="L1889" t="str">
            <v>C.</v>
          </cell>
          <cell r="N1889" t="str">
            <v>PERALATAN</v>
          </cell>
        </row>
        <row r="1890">
          <cell r="C1890" t="str">
            <v>Waktusiklus :</v>
          </cell>
          <cell r="G1890" t="str">
            <v>Ts2</v>
          </cell>
          <cell r="L1890" t="str">
            <v>1.</v>
          </cell>
          <cell r="N1890" t="str">
            <v>Dump Truck</v>
          </cell>
          <cell r="O1890" t="str">
            <v>(E08)</v>
          </cell>
          <cell r="P1890" t="str">
            <v>Jam</v>
          </cell>
          <cell r="Q1890">
            <v>0.27194492254733216</v>
          </cell>
          <cell r="R1890">
            <v>153645.58193291764</v>
          </cell>
          <cell r="U1890">
            <v>41783.135878487068</v>
          </cell>
        </row>
        <row r="1891">
          <cell r="C1891" t="str">
            <v>-  Waktu tempuh isi   = (L : v1) x 60</v>
          </cell>
          <cell r="G1891" t="str">
            <v>T1</v>
          </cell>
          <cell r="H1891">
            <v>13.333333333333332</v>
          </cell>
          <cell r="I1891" t="str">
            <v>menit</v>
          </cell>
          <cell r="L1891" t="str">
            <v>2.</v>
          </cell>
          <cell r="N1891" t="str">
            <v>Whell  Loader</v>
          </cell>
          <cell r="O1891" t="str">
            <v>(E15)</v>
          </cell>
          <cell r="P1891" t="str">
            <v>Jam</v>
          </cell>
          <cell r="Q1891">
            <v>1.4874312063067082E-2</v>
          </cell>
          <cell r="R1891">
            <v>163808.13869490434</v>
          </cell>
          <cell r="U1891">
            <v>2436.5333734181813</v>
          </cell>
        </row>
        <row r="1892">
          <cell r="C1892" t="str">
            <v>-  Waktu tempuh kosong   = (L : v2) x 60</v>
          </cell>
          <cell r="G1892" t="str">
            <v>T2</v>
          </cell>
          <cell r="H1892">
            <v>10</v>
          </cell>
          <cell r="I1892" t="str">
            <v>menit</v>
          </cell>
          <cell r="L1892" t="str">
            <v>3.</v>
          </cell>
          <cell r="N1892" t="str">
            <v>Alat  Bantu</v>
          </cell>
          <cell r="P1892" t="str">
            <v>Ls</v>
          </cell>
          <cell r="Q1892">
            <v>1</v>
          </cell>
          <cell r="R1892">
            <v>100</v>
          </cell>
          <cell r="U1892">
            <v>100</v>
          </cell>
        </row>
        <row r="1893">
          <cell r="C1893" t="str">
            <v>- Lain-lain</v>
          </cell>
          <cell r="G1893" t="str">
            <v>T3</v>
          </cell>
          <cell r="H1893">
            <v>3</v>
          </cell>
          <cell r="I1893" t="str">
            <v>menit</v>
          </cell>
        </row>
        <row r="1894">
          <cell r="G1894" t="str">
            <v>Ts1</v>
          </cell>
          <cell r="H1894">
            <v>26.333333333333332</v>
          </cell>
          <cell r="I1894" t="str">
            <v>menit</v>
          </cell>
        </row>
        <row r="1896">
          <cell r="C1896" t="str">
            <v>Kapasitas Produksi / Jam   =</v>
          </cell>
          <cell r="E1896" t="str">
            <v>V x Fa x 60</v>
          </cell>
          <cell r="G1896" t="str">
            <v>Q1</v>
          </cell>
          <cell r="H1896">
            <v>3.6772151898734178</v>
          </cell>
          <cell r="I1896" t="str">
            <v>M3/Jam</v>
          </cell>
        </row>
        <row r="1897">
          <cell r="E1897" t="str">
            <v>Ts1</v>
          </cell>
        </row>
        <row r="1898">
          <cell r="Q1898" t="str">
            <v xml:space="preserve">JUMLAH HARGA PERALATAN   </v>
          </cell>
          <cell r="U1898">
            <v>44319.669251905252</v>
          </cell>
        </row>
        <row r="1899">
          <cell r="C1899" t="str">
            <v>Koefisien Alat / M3</v>
          </cell>
          <cell r="D1899" t="str">
            <v xml:space="preserve"> =  1  :  Q1</v>
          </cell>
          <cell r="G1899" t="str">
            <v>(E08)</v>
          </cell>
          <cell r="H1899">
            <v>0.27194492254733216</v>
          </cell>
          <cell r="I1899" t="str">
            <v>Jam</v>
          </cell>
        </row>
        <row r="1900">
          <cell r="L1900" t="str">
            <v>D.</v>
          </cell>
          <cell r="N1900" t="str">
            <v>JUMLAH HARGA TENAGA, BAHAN DAN PERALATAN  ( A + B + C )</v>
          </cell>
          <cell r="U1900">
            <v>71747.748529013697</v>
          </cell>
        </row>
        <row r="1901">
          <cell r="L1901" t="str">
            <v>E.</v>
          </cell>
          <cell r="N1901" t="str">
            <v>OVERHEAD &amp; PROFIT</v>
          </cell>
          <cell r="P1901">
            <v>10</v>
          </cell>
          <cell r="Q1901" t="str">
            <v>%  x  D</v>
          </cell>
          <cell r="U1901">
            <v>7174.7748529013697</v>
          </cell>
        </row>
        <row r="1902">
          <cell r="A1902" t="str">
            <v>2.b.</v>
          </cell>
          <cell r="C1902" t="str">
            <v>ALAT  BANTU</v>
          </cell>
          <cell r="L1902" t="str">
            <v>F.</v>
          </cell>
          <cell r="N1902" t="str">
            <v>HARGA SATUAN PEKERJAAN  ( D + E )</v>
          </cell>
          <cell r="U1902">
            <v>78922.52338191506</v>
          </cell>
        </row>
        <row r="1903">
          <cell r="C1903" t="str">
            <v>Diperlukan alat-alat bantu kecil</v>
          </cell>
          <cell r="J1903" t="str">
            <v>Lump Sump</v>
          </cell>
          <cell r="L1903" t="str">
            <v>Note: 1</v>
          </cell>
          <cell r="N1903" t="str">
            <v>SATUAN dapat berdasarkan atas jam operasi untuk Tenaga Kerja dan Peralatan, volume dan/atau ukuran</v>
          </cell>
        </row>
        <row r="1904">
          <cell r="C1904" t="str">
            <v>- Sekop    =         3   buah</v>
          </cell>
          <cell r="N1904" t="str">
            <v>berat untuk bahan-bahan.</v>
          </cell>
        </row>
        <row r="1905">
          <cell r="L1905">
            <v>2</v>
          </cell>
          <cell r="N1905" t="str">
            <v>Kuantitas satuan adalah kuantitas setiap komponen untuk menyelesaikan satu satuan pekerjaan dari nomor</v>
          </cell>
        </row>
        <row r="1906">
          <cell r="N1906" t="str">
            <v>mata pembayaran.</v>
          </cell>
        </row>
        <row r="1907">
          <cell r="L1907">
            <v>3</v>
          </cell>
          <cell r="N1907" t="str">
            <v>Biaya satuan untuk peralatan sudah termasuk bahan bakar, bahan habis dipakai dan operator.</v>
          </cell>
        </row>
        <row r="1908">
          <cell r="L1908">
            <v>4</v>
          </cell>
          <cell r="N1908" t="str">
            <v>Biaya satuan sudah termasuk pengeluaran untuk seluruh pajak yang berkaitan (tetapi tidak termasuk PPN</v>
          </cell>
        </row>
        <row r="1909">
          <cell r="N1909" t="str">
            <v>yang dibayar dari kontrak) dan biaya-biaya lainnya.</v>
          </cell>
        </row>
        <row r="1911">
          <cell r="J1911" t="str">
            <v>Berlanjut ke halaman berikut</v>
          </cell>
        </row>
        <row r="1912">
          <cell r="A1912" t="str">
            <v>ITEM PEMBAYARAN NO.</v>
          </cell>
          <cell r="D1912" t="str">
            <v>:  3.2 (4)</v>
          </cell>
          <cell r="J1912" t="str">
            <v>Analisa EI-324</v>
          </cell>
        </row>
        <row r="1913">
          <cell r="A1913" t="str">
            <v>JENIS PEKERJAAN</v>
          </cell>
          <cell r="D1913" t="str">
            <v>:  Timb. Pilihan Di Atas Tnh. Rawa</v>
          </cell>
        </row>
        <row r="1914">
          <cell r="A1914" t="str">
            <v>SATUAN PEMBAYARAN</v>
          </cell>
          <cell r="D1914" t="str">
            <v>:  M3</v>
          </cell>
          <cell r="H1914" t="str">
            <v xml:space="preserve">         URAIAN ANALISA HARGA SATUAN</v>
          </cell>
        </row>
        <row r="1915">
          <cell r="J1915" t="str">
            <v>Lanjutan</v>
          </cell>
        </row>
        <row r="1917">
          <cell r="A1917" t="str">
            <v>No.</v>
          </cell>
          <cell r="C1917" t="str">
            <v>U R A I A N</v>
          </cell>
          <cell r="G1917" t="str">
            <v>KODE</v>
          </cell>
          <cell r="H1917" t="str">
            <v>KOEF.</v>
          </cell>
          <cell r="I1917" t="str">
            <v>SATUAN</v>
          </cell>
          <cell r="J1917" t="str">
            <v>KETERANGAN</v>
          </cell>
        </row>
        <row r="1920">
          <cell r="A1920" t="str">
            <v>2.c.</v>
          </cell>
          <cell r="C1920" t="str">
            <v>WHELL  LOADER</v>
          </cell>
          <cell r="G1920" t="str">
            <v>(E15)</v>
          </cell>
        </row>
        <row r="1921">
          <cell r="C1921" t="str">
            <v>Kapasitas  Bucket</v>
          </cell>
          <cell r="G1921" t="str">
            <v>V</v>
          </cell>
          <cell r="H1921">
            <v>1.5</v>
          </cell>
          <cell r="I1921" t="str">
            <v>M3</v>
          </cell>
        </row>
        <row r="1922">
          <cell r="C1922" t="str">
            <v>Faktor Bucket</v>
          </cell>
          <cell r="G1922" t="str">
            <v>Fb</v>
          </cell>
          <cell r="H1922">
            <v>0.9</v>
          </cell>
          <cell r="I1922" t="str">
            <v>-</v>
          </cell>
        </row>
        <row r="1923">
          <cell r="C1923" t="str">
            <v>Faktor Efisiensi Alat</v>
          </cell>
          <cell r="G1923" t="str">
            <v>Fa</v>
          </cell>
          <cell r="H1923">
            <v>0.83</v>
          </cell>
          <cell r="I1923" t="str">
            <v>-</v>
          </cell>
        </row>
        <row r="1924">
          <cell r="C1924" t="str">
            <v>Waktu sklus</v>
          </cell>
          <cell r="G1924" t="str">
            <v>Ts1</v>
          </cell>
          <cell r="I1924" t="str">
            <v>menit</v>
          </cell>
        </row>
        <row r="1925">
          <cell r="C1925" t="str">
            <v>- Muat</v>
          </cell>
          <cell r="G1925" t="str">
            <v>T1</v>
          </cell>
          <cell r="H1925">
            <v>0.5</v>
          </cell>
          <cell r="I1925" t="str">
            <v>menit</v>
          </cell>
        </row>
        <row r="1926">
          <cell r="C1926" t="str">
            <v>- Lain-lain</v>
          </cell>
          <cell r="G1926" t="str">
            <v>T2</v>
          </cell>
          <cell r="H1926">
            <v>0.5</v>
          </cell>
          <cell r="I1926" t="str">
            <v>menit</v>
          </cell>
        </row>
        <row r="1927">
          <cell r="G1927" t="str">
            <v>Ts2</v>
          </cell>
          <cell r="H1927">
            <v>1</v>
          </cell>
          <cell r="I1927" t="str">
            <v>menit</v>
          </cell>
        </row>
        <row r="1929">
          <cell r="C1929" t="str">
            <v>Kapasitas Produksi / Jam =</v>
          </cell>
          <cell r="E1929" t="str">
            <v>V  x  Fb x Fa x 60</v>
          </cell>
          <cell r="G1929" t="str">
            <v>Q2</v>
          </cell>
          <cell r="H1929">
            <v>67.23</v>
          </cell>
          <cell r="I1929" t="str">
            <v>M3</v>
          </cell>
        </row>
        <row r="1930">
          <cell r="E1930" t="str">
            <v>Ts1</v>
          </cell>
        </row>
        <row r="1932">
          <cell r="C1932" t="str">
            <v>Koefisienalat / M3</v>
          </cell>
          <cell r="D1932" t="str">
            <v xml:space="preserve"> =   1 : Q2</v>
          </cell>
          <cell r="G1932" t="str">
            <v>(E15)</v>
          </cell>
          <cell r="H1932">
            <v>1.4874312063067082E-2</v>
          </cell>
          <cell r="I1932" t="str">
            <v>Jam</v>
          </cell>
        </row>
        <row r="1934">
          <cell r="A1934" t="str">
            <v xml:space="preserve">   3.</v>
          </cell>
          <cell r="C1934" t="str">
            <v>TENAGA</v>
          </cell>
        </row>
        <row r="1935">
          <cell r="C1935" t="str">
            <v>Produksi menentukan : DUMP TRUCK</v>
          </cell>
          <cell r="G1935" t="str">
            <v>Q1</v>
          </cell>
          <cell r="H1935">
            <v>3.6772151898734178</v>
          </cell>
          <cell r="I1935" t="str">
            <v>M3/Jam</v>
          </cell>
        </row>
        <row r="1936">
          <cell r="C1936" t="str">
            <v>Produksi Timbunan / hari  =  Tk x Q1</v>
          </cell>
          <cell r="G1936" t="str">
            <v>Qt</v>
          </cell>
          <cell r="H1936">
            <v>25.740506329113924</v>
          </cell>
          <cell r="I1936" t="str">
            <v>M3</v>
          </cell>
        </row>
        <row r="1937">
          <cell r="C1937" t="str">
            <v>Asumsi permukaan hamparan di permukaan rawa :</v>
          </cell>
        </row>
        <row r="1939">
          <cell r="C1939" t="str">
            <v>Kebutuhan tenaga :</v>
          </cell>
        </row>
        <row r="1940">
          <cell r="D1940" t="str">
            <v>- Pekerja</v>
          </cell>
          <cell r="G1940" t="str">
            <v>P</v>
          </cell>
          <cell r="H1940">
            <v>2</v>
          </cell>
          <cell r="I1940" t="str">
            <v>orang</v>
          </cell>
        </row>
        <row r="1941">
          <cell r="D1941" t="str">
            <v>- Mandor</v>
          </cell>
          <cell r="G1941" t="str">
            <v>M</v>
          </cell>
          <cell r="H1941">
            <v>1</v>
          </cell>
          <cell r="I1941" t="str">
            <v>orang</v>
          </cell>
        </row>
        <row r="1944">
          <cell r="C1944" t="str">
            <v>Koefisien tenaga / M3   :</v>
          </cell>
        </row>
        <row r="1945">
          <cell r="D1945" t="str">
            <v>- Pekerja</v>
          </cell>
          <cell r="E1945" t="str">
            <v>= (Tk x P) : Qt</v>
          </cell>
          <cell r="G1945" t="str">
            <v>(L01)</v>
          </cell>
          <cell r="H1945">
            <v>0.54388984509466443</v>
          </cell>
          <cell r="I1945" t="str">
            <v>Jam</v>
          </cell>
        </row>
        <row r="1946">
          <cell r="D1946" t="str">
            <v>- Mandor</v>
          </cell>
          <cell r="E1946" t="str">
            <v>= (Tk x M) : Qt</v>
          </cell>
          <cell r="G1946" t="str">
            <v>(L02)</v>
          </cell>
          <cell r="H1946">
            <v>0.27194492254733221</v>
          </cell>
          <cell r="I1946" t="str">
            <v>Jam</v>
          </cell>
        </row>
        <row r="1949">
          <cell r="A1949" t="str">
            <v>4.</v>
          </cell>
          <cell r="C1949" t="str">
            <v>HARGA DASAR SATUAN UPAH, BAHAN DAN ALAT</v>
          </cell>
        </row>
        <row r="1950">
          <cell r="C1950" t="str">
            <v>Lihat lampiran.</v>
          </cell>
        </row>
        <row r="1953">
          <cell r="A1953" t="str">
            <v>5.</v>
          </cell>
          <cell r="C1953" t="str">
            <v>ANALISA HARGA SATUAN PEKERJAAN</v>
          </cell>
        </row>
        <row r="1954">
          <cell r="C1954" t="str">
            <v>Lihat perhitungan dalam FORMULIR STANDAR UNTUK</v>
          </cell>
        </row>
        <row r="1955">
          <cell r="C1955" t="str">
            <v>PEREKEMAN ANALISA MASING-MASING HARGA</v>
          </cell>
        </row>
        <row r="1956">
          <cell r="C1956" t="str">
            <v>SATUAN.</v>
          </cell>
        </row>
        <row r="1957">
          <cell r="C1957" t="str">
            <v>Didapat Harga Satuan Pekerjaan :</v>
          </cell>
        </row>
        <row r="1959">
          <cell r="C1959" t="str">
            <v xml:space="preserve">Rp.  </v>
          </cell>
          <cell r="D1959">
            <v>78922.52338191506</v>
          </cell>
          <cell r="E1959" t="str">
            <v xml:space="preserve"> / M3</v>
          </cell>
        </row>
        <row r="1962">
          <cell r="A1962" t="str">
            <v>6.</v>
          </cell>
          <cell r="C1962" t="str">
            <v>WAKTU PELAKSANAAN YANG DIPERLUKAN</v>
          </cell>
        </row>
        <row r="1963">
          <cell r="C1963" t="str">
            <v>Masa Pelaksanaan :</v>
          </cell>
          <cell r="D1963" t="str">
            <v>. . . . . . . . . . . .</v>
          </cell>
          <cell r="E1963" t="str">
            <v>bulan</v>
          </cell>
        </row>
        <row r="1965">
          <cell r="A1965" t="str">
            <v>7.</v>
          </cell>
          <cell r="C1965" t="str">
            <v>VOLUME PEKERJAAN YANG DIPERLUKAN</v>
          </cell>
        </row>
        <row r="1966">
          <cell r="C1966" t="str">
            <v>Volume pekerjaan  :</v>
          </cell>
          <cell r="D1966">
            <v>1</v>
          </cell>
          <cell r="E1966" t="str">
            <v>M3</v>
          </cell>
        </row>
        <row r="1971">
          <cell r="T1971" t="str">
            <v>Analisa EI-331</v>
          </cell>
        </row>
        <row r="1973">
          <cell r="A1973" t="str">
            <v>ITEM PEMBAYARAN NO.</v>
          </cell>
          <cell r="D1973" t="str">
            <v>:  3.3 (1)</v>
          </cell>
          <cell r="J1973" t="str">
            <v>Analisa EI-331</v>
          </cell>
          <cell r="L1973" t="str">
            <v>FORMULIR STANDAR UNTUK</v>
          </cell>
        </row>
        <row r="1974">
          <cell r="A1974" t="str">
            <v>JENIS PEKERJAAN</v>
          </cell>
          <cell r="D1974" t="str">
            <v>:  Penyiapan Badan Jalan pada Galian</v>
          </cell>
          <cell r="L1974" t="str">
            <v>PEREKAMAN ANALISA MASING-MASING HARGA SATUAN</v>
          </cell>
        </row>
        <row r="1975">
          <cell r="A1975" t="str">
            <v>SATUAN PEMBAYARAN</v>
          </cell>
          <cell r="D1975" t="str">
            <v>:  M2</v>
          </cell>
          <cell r="F1975" t="str">
            <v>Biasa</v>
          </cell>
          <cell r="H1975" t="str">
            <v xml:space="preserve">         URAIAN ANALISA HARGA SATUAN</v>
          </cell>
          <cell r="L1975" t="str">
            <v/>
          </cell>
        </row>
        <row r="1978">
          <cell r="A1978" t="str">
            <v>No.</v>
          </cell>
          <cell r="C1978" t="str">
            <v>U R A I A N</v>
          </cell>
          <cell r="G1978" t="str">
            <v>KODE</v>
          </cell>
          <cell r="H1978" t="str">
            <v>KOEF.</v>
          </cell>
          <cell r="I1978" t="str">
            <v>SATUAN</v>
          </cell>
          <cell r="J1978" t="str">
            <v>KETERANGAN</v>
          </cell>
          <cell r="L1978" t="str">
            <v>PROYEK</v>
          </cell>
          <cell r="O1978" t="str">
            <v>:</v>
          </cell>
        </row>
        <row r="1979">
          <cell r="L1979" t="str">
            <v>No. PAKET KONTRAK</v>
          </cell>
          <cell r="O1979" t="str">
            <v>:</v>
          </cell>
        </row>
        <row r="1980">
          <cell r="L1980" t="str">
            <v>NAMA PAKET</v>
          </cell>
          <cell r="O1980" t="str">
            <v>:</v>
          </cell>
        </row>
        <row r="1981">
          <cell r="A1981" t="str">
            <v>I.</v>
          </cell>
          <cell r="C1981" t="str">
            <v>ASUMSI</v>
          </cell>
          <cell r="L1981" t="str">
            <v>PROP / KAB / KODYA</v>
          </cell>
          <cell r="O1981" t="str">
            <v>:</v>
          </cell>
        </row>
        <row r="1982">
          <cell r="A1982">
            <v>1</v>
          </cell>
          <cell r="C1982" t="str">
            <v>Pekerjaan dilaksanakan hanya pada tanah  galian</v>
          </cell>
          <cell r="L1982" t="str">
            <v>ITEM PEMBAYARAN NO.</v>
          </cell>
          <cell r="O1982" t="str">
            <v>:  3.3 (1)</v>
          </cell>
          <cell r="R1982" t="str">
            <v>PERKIRAAN VOL. PEK.</v>
          </cell>
          <cell r="T1982" t="str">
            <v>:</v>
          </cell>
          <cell r="U1982">
            <v>1</v>
          </cell>
        </row>
        <row r="1983">
          <cell r="A1983">
            <v>2</v>
          </cell>
          <cell r="C1983" t="str">
            <v>Pekerjaan dilakukan secara mekanis</v>
          </cell>
          <cell r="L1983" t="str">
            <v>JENIS PEKERJAAN</v>
          </cell>
          <cell r="O1983" t="str">
            <v>:  Penyiapan Badan Jalan pada Galian</v>
          </cell>
          <cell r="R1983" t="str">
            <v>TOTAL HARGA (Rp.)</v>
          </cell>
          <cell r="T1983" t="str">
            <v>:</v>
          </cell>
          <cell r="U1983">
            <v>809086.35646871035</v>
          </cell>
        </row>
        <row r="1984">
          <cell r="A1984">
            <v>3</v>
          </cell>
          <cell r="C1984" t="str">
            <v>Lokasi pekerjaan : sepanjang jalan</v>
          </cell>
          <cell r="L1984" t="str">
            <v>SATUAN PEMBAYARAN</v>
          </cell>
          <cell r="O1984" t="str">
            <v>:  M2</v>
          </cell>
          <cell r="Q1984" t="str">
            <v>Biasa</v>
          </cell>
          <cell r="R1984" t="str">
            <v>% THD. BIAYA PROYEK</v>
          </cell>
          <cell r="T1984" t="str">
            <v>:</v>
          </cell>
          <cell r="U1984" t="e">
            <v>#DIV/0!</v>
          </cell>
        </row>
        <row r="1985">
          <cell r="A1985">
            <v>4</v>
          </cell>
          <cell r="C1985" t="str">
            <v>Kondisi Jalan   : jelek / belum padat</v>
          </cell>
        </row>
        <row r="1986">
          <cell r="A1986">
            <v>5</v>
          </cell>
          <cell r="C1986" t="str">
            <v>Jam kerja efektif per-hari</v>
          </cell>
          <cell r="G1986" t="str">
            <v>Tk</v>
          </cell>
          <cell r="H1986">
            <v>7</v>
          </cell>
          <cell r="I1986" t="str">
            <v>Jam</v>
          </cell>
        </row>
        <row r="1987">
          <cell r="Q1987" t="str">
            <v>PERKIRAAN</v>
          </cell>
          <cell r="R1987" t="str">
            <v>HARGA</v>
          </cell>
          <cell r="S1987" t="str">
            <v>JUMLAH</v>
          </cell>
        </row>
        <row r="1988">
          <cell r="L1988" t="str">
            <v>NO.</v>
          </cell>
          <cell r="N1988" t="str">
            <v>KOMPONEN</v>
          </cell>
          <cell r="P1988" t="str">
            <v>SATUAN</v>
          </cell>
          <cell r="Q1988" t="str">
            <v>KUANTITAS</v>
          </cell>
          <cell r="R1988" t="str">
            <v>SATUAN</v>
          </cell>
          <cell r="S1988" t="str">
            <v>HARGA</v>
          </cell>
        </row>
        <row r="1989">
          <cell r="A1989" t="str">
            <v>II.</v>
          </cell>
          <cell r="C1989" t="str">
            <v>URUTAN KERJA</v>
          </cell>
          <cell r="R1989" t="str">
            <v>(Rp.)</v>
          </cell>
          <cell r="S1989" t="str">
            <v>(Rp.)</v>
          </cell>
        </row>
        <row r="1990">
          <cell r="A1990">
            <v>1</v>
          </cell>
          <cell r="C1990" t="str">
            <v>Motor Grader meratakan permukaan hasil galian</v>
          </cell>
        </row>
        <row r="1991">
          <cell r="A1991">
            <v>2</v>
          </cell>
          <cell r="C1991" t="str">
            <v>Vibro Roller memadatkan permukaan yang telah</v>
          </cell>
        </row>
        <row r="1992">
          <cell r="C1992" t="str">
            <v>dipotong/diratakan oleh Motor Grader</v>
          </cell>
          <cell r="L1992" t="str">
            <v>A.</v>
          </cell>
          <cell r="N1992" t="str">
            <v>TENAGA</v>
          </cell>
        </row>
        <row r="1993">
          <cell r="A1993">
            <v>3</v>
          </cell>
          <cell r="C1993" t="str">
            <v>Sekelompok pekerja akan membantu meratakan</v>
          </cell>
        </row>
        <row r="1994">
          <cell r="C1994" t="str">
            <v>badan jalan dengan alat bantu</v>
          </cell>
          <cell r="L1994" t="str">
            <v>1.</v>
          </cell>
          <cell r="N1994" t="str">
            <v>Pekerja</v>
          </cell>
          <cell r="O1994" t="str">
            <v>(L01)</v>
          </cell>
          <cell r="P1994" t="str">
            <v>jam</v>
          </cell>
          <cell r="Q1994">
            <v>1.6064257028112448E-2</v>
          </cell>
          <cell r="R1994">
            <v>2857.14</v>
          </cell>
          <cell r="U1994">
            <v>45.897831325301198</v>
          </cell>
        </row>
        <row r="1995">
          <cell r="L1995" t="str">
            <v>2.</v>
          </cell>
          <cell r="N1995" t="str">
            <v>Mandor</v>
          </cell>
          <cell r="O1995" t="str">
            <v>(L02)</v>
          </cell>
          <cell r="P1995" t="str">
            <v>jam</v>
          </cell>
          <cell r="Q1995">
            <v>4.0160642570281121E-3</v>
          </cell>
          <cell r="R1995">
            <v>3214.29</v>
          </cell>
          <cell r="U1995">
            <v>12.90879518072289</v>
          </cell>
        </row>
        <row r="1998">
          <cell r="Q1998" t="str">
            <v xml:space="preserve">JUMLAH HARGA TENAGA   </v>
          </cell>
          <cell r="U1998">
            <v>58.806626506024088</v>
          </cell>
        </row>
        <row r="2000">
          <cell r="L2000" t="str">
            <v>B.</v>
          </cell>
          <cell r="N2000" t="str">
            <v>BAHAN</v>
          </cell>
        </row>
        <row r="2001">
          <cell r="A2001" t="str">
            <v>III.</v>
          </cell>
          <cell r="C2001" t="str">
            <v>PEMAKAIAN BAHAN, ALAT DAN TENAGA</v>
          </cell>
        </row>
        <row r="2002">
          <cell r="A2002" t="str">
            <v xml:space="preserve">   1.</v>
          </cell>
          <cell r="C2002" t="str">
            <v>BAHAN</v>
          </cell>
        </row>
        <row r="2003">
          <cell r="C2003" t="str">
            <v>Tidak diperlukan bahan / material</v>
          </cell>
        </row>
        <row r="2005">
          <cell r="A2005" t="str">
            <v xml:space="preserve">   2.</v>
          </cell>
          <cell r="C2005" t="str">
            <v>ALAT</v>
          </cell>
        </row>
        <row r="2006">
          <cell r="A2006" t="str">
            <v>2.a.</v>
          </cell>
          <cell r="C2006" t="str">
            <v>MOTOR GRADER</v>
          </cell>
          <cell r="G2006" t="str">
            <v>(E13)</v>
          </cell>
        </row>
        <row r="2007">
          <cell r="C2007" t="str">
            <v>Panjang operasi grader sekali jalan</v>
          </cell>
          <cell r="G2007" t="str">
            <v>Lh</v>
          </cell>
          <cell r="H2007">
            <v>50</v>
          </cell>
          <cell r="I2007" t="str">
            <v>M</v>
          </cell>
        </row>
        <row r="2008">
          <cell r="C2008" t="str">
            <v>Lebar Efektif kerja Blade</v>
          </cell>
          <cell r="G2008" t="str">
            <v>b</v>
          </cell>
          <cell r="H2008">
            <v>2.4</v>
          </cell>
          <cell r="I2008" t="str">
            <v>M</v>
          </cell>
        </row>
        <row r="2009">
          <cell r="C2009" t="str">
            <v>Faktor Efisiensi Alat</v>
          </cell>
          <cell r="G2009" t="str">
            <v>Fa</v>
          </cell>
          <cell r="H2009">
            <v>0.83</v>
          </cell>
          <cell r="I2009" t="str">
            <v>-</v>
          </cell>
        </row>
        <row r="2010">
          <cell r="C2010" t="str">
            <v>Kecepatan rata-rata alat</v>
          </cell>
          <cell r="G2010" t="str">
            <v>v</v>
          </cell>
          <cell r="H2010">
            <v>2</v>
          </cell>
          <cell r="I2010" t="str">
            <v>Km / Jam</v>
          </cell>
        </row>
        <row r="2011">
          <cell r="C2011" t="str">
            <v>Jumlah lintasan</v>
          </cell>
          <cell r="G2011" t="str">
            <v>n</v>
          </cell>
          <cell r="H2011">
            <v>6</v>
          </cell>
          <cell r="I2011" t="str">
            <v>lintasan</v>
          </cell>
        </row>
        <row r="2012">
          <cell r="C2012" t="str">
            <v>Waktu siklus</v>
          </cell>
          <cell r="G2012" t="str">
            <v>Ts1</v>
          </cell>
        </row>
        <row r="2013">
          <cell r="C2013" t="str">
            <v>- Perataan 1 kali lintasan    = Lh : (v x 1000) x 60</v>
          </cell>
          <cell r="G2013" t="str">
            <v>T1</v>
          </cell>
          <cell r="H2013">
            <v>1.5</v>
          </cell>
          <cell r="I2013" t="str">
            <v>menit</v>
          </cell>
        </row>
        <row r="2014">
          <cell r="C2014" t="str">
            <v>- Lain-lain</v>
          </cell>
          <cell r="G2014" t="str">
            <v>T2</v>
          </cell>
          <cell r="H2014">
            <v>1</v>
          </cell>
          <cell r="I2014" t="str">
            <v>menit</v>
          </cell>
        </row>
        <row r="2015">
          <cell r="G2015" t="str">
            <v>Ts1</v>
          </cell>
          <cell r="H2015">
            <v>2.5</v>
          </cell>
          <cell r="I2015" t="str">
            <v>menit</v>
          </cell>
        </row>
        <row r="2017">
          <cell r="C2017" t="str">
            <v>Kapasitas Produksi / Jam   =</v>
          </cell>
          <cell r="E2017" t="str">
            <v>Lh x b x Fa x 60</v>
          </cell>
          <cell r="G2017" t="str">
            <v>Q1</v>
          </cell>
          <cell r="H2017">
            <v>398.4</v>
          </cell>
          <cell r="I2017" t="str">
            <v>M2</v>
          </cell>
        </row>
        <row r="2018">
          <cell r="E2018" t="str">
            <v xml:space="preserve">      n x Ts</v>
          </cell>
        </row>
        <row r="2020">
          <cell r="C2020" t="str">
            <v>Koefisien Alat / m2</v>
          </cell>
          <cell r="D2020" t="str">
            <v xml:space="preserve"> =  1  :  Q1</v>
          </cell>
          <cell r="G2020" t="str">
            <v>(E13)</v>
          </cell>
          <cell r="H2020">
            <v>2.5100401606425703E-3</v>
          </cell>
          <cell r="I2020" t="str">
            <v>Jam</v>
          </cell>
        </row>
        <row r="2022">
          <cell r="A2022" t="str">
            <v>2.b.</v>
          </cell>
          <cell r="C2022" t="str">
            <v>VIBRATOR ROLLER</v>
          </cell>
          <cell r="G2022" t="str">
            <v>(E19)</v>
          </cell>
        </row>
        <row r="2023">
          <cell r="C2023" t="str">
            <v>Kecepatan rata-rata alat</v>
          </cell>
          <cell r="G2023" t="str">
            <v>v</v>
          </cell>
          <cell r="H2023">
            <v>2</v>
          </cell>
          <cell r="I2023" t="str">
            <v>Km / jam</v>
          </cell>
        </row>
        <row r="2024">
          <cell r="C2024" t="str">
            <v>Lebar efektif pemadatan</v>
          </cell>
          <cell r="G2024" t="str">
            <v>b</v>
          </cell>
          <cell r="H2024">
            <v>1.2</v>
          </cell>
          <cell r="I2024" t="str">
            <v>M</v>
          </cell>
        </row>
        <row r="2025">
          <cell r="C2025" t="str">
            <v>Jumlah lintasan</v>
          </cell>
          <cell r="G2025" t="str">
            <v>n</v>
          </cell>
          <cell r="H2025">
            <v>8</v>
          </cell>
          <cell r="I2025" t="str">
            <v>lintasan</v>
          </cell>
        </row>
        <row r="2026">
          <cell r="C2026" t="str">
            <v>Faktor efisiensi alat</v>
          </cell>
          <cell r="G2026" t="str">
            <v>Fa</v>
          </cell>
          <cell r="H2026">
            <v>0.83</v>
          </cell>
          <cell r="I2026" t="str">
            <v>-</v>
          </cell>
        </row>
        <row r="2028">
          <cell r="C2028" t="str">
            <v>Kapasitas Produksi / Jam   =</v>
          </cell>
          <cell r="E2028" t="str">
            <v>(v x 1000) x b x Fa</v>
          </cell>
          <cell r="G2028" t="str">
            <v>Q2</v>
          </cell>
          <cell r="H2028">
            <v>249</v>
          </cell>
          <cell r="I2028" t="str">
            <v>M2</v>
          </cell>
        </row>
        <row r="2029">
          <cell r="E2029" t="str">
            <v>n</v>
          </cell>
        </row>
        <row r="2031">
          <cell r="C2031" t="str">
            <v>Koefisien Alat / m2</v>
          </cell>
          <cell r="D2031" t="str">
            <v xml:space="preserve"> =  1  :  Q2</v>
          </cell>
          <cell r="G2031" t="str">
            <v>(E19)</v>
          </cell>
          <cell r="H2031">
            <v>4.0160642570281121E-3</v>
          </cell>
          <cell r="I2031" t="str">
            <v>Jam</v>
          </cell>
        </row>
        <row r="2033">
          <cell r="J2033" t="str">
            <v>Berlanjut ke halaman berikut</v>
          </cell>
        </row>
        <row r="2034">
          <cell r="A2034" t="str">
            <v>ITEM PEMBAYARAN NO.</v>
          </cell>
          <cell r="D2034" t="str">
            <v>:  3.3 (1)</v>
          </cell>
          <cell r="J2034" t="str">
            <v>Analisa EI-331</v>
          </cell>
        </row>
        <row r="2035">
          <cell r="A2035" t="str">
            <v>JENIS PEKERJAAN</v>
          </cell>
          <cell r="D2035" t="str">
            <v>:  Penyiapan Badan Jalan pada Galian</v>
          </cell>
        </row>
        <row r="2036">
          <cell r="A2036" t="str">
            <v>SATUAN PEMBAYARAN</v>
          </cell>
          <cell r="D2036" t="str">
            <v>:  M2</v>
          </cell>
          <cell r="H2036" t="str">
            <v xml:space="preserve">         URAIAN ANALISA HARGA SATUAN</v>
          </cell>
        </row>
        <row r="2037">
          <cell r="J2037" t="str">
            <v>Lanjutan</v>
          </cell>
        </row>
        <row r="2039">
          <cell r="A2039" t="str">
            <v>No.</v>
          </cell>
          <cell r="C2039" t="str">
            <v>U R A I A N</v>
          </cell>
          <cell r="G2039" t="str">
            <v>KODE</v>
          </cell>
          <cell r="H2039" t="str">
            <v>KOEF.</v>
          </cell>
          <cell r="I2039" t="str">
            <v>SATUAN</v>
          </cell>
          <cell r="J2039" t="str">
            <v>KETERANGAN</v>
          </cell>
        </row>
        <row r="2042">
          <cell r="A2042" t="str">
            <v>2.c.</v>
          </cell>
          <cell r="C2042" t="str">
            <v>WATER TANK TRUCK</v>
          </cell>
          <cell r="G2042" t="str">
            <v>(E23)</v>
          </cell>
        </row>
        <row r="2043">
          <cell r="C2043" t="str">
            <v>Volume tangki air</v>
          </cell>
          <cell r="G2043" t="str">
            <v>V</v>
          </cell>
          <cell r="H2043">
            <v>4</v>
          </cell>
          <cell r="I2043" t="str">
            <v>M3</v>
          </cell>
        </row>
        <row r="2044">
          <cell r="C2044" t="str">
            <v>Kebutuhan air / M2 permukaan padat</v>
          </cell>
          <cell r="G2044" t="str">
            <v>Wc</v>
          </cell>
          <cell r="H2044">
            <v>0.01</v>
          </cell>
          <cell r="I2044" t="str">
            <v>M3</v>
          </cell>
        </row>
        <row r="2045">
          <cell r="C2045" t="str">
            <v>Pengisian Tangki / jam</v>
          </cell>
          <cell r="G2045" t="str">
            <v>n</v>
          </cell>
          <cell r="H2045">
            <v>1</v>
          </cell>
          <cell r="I2045" t="str">
            <v>kali</v>
          </cell>
        </row>
        <row r="2046">
          <cell r="C2046" t="str">
            <v>Faktor efisiensi alat</v>
          </cell>
          <cell r="G2046" t="str">
            <v>Fa</v>
          </cell>
          <cell r="H2046">
            <v>0.83</v>
          </cell>
          <cell r="I2046" t="str">
            <v>-</v>
          </cell>
        </row>
        <row r="2048">
          <cell r="C2048" t="str">
            <v>Kapasitas Produksi / Jam   =</v>
          </cell>
          <cell r="E2048" t="str">
            <v>V  x  n x Fa</v>
          </cell>
          <cell r="G2048" t="str">
            <v>Q3</v>
          </cell>
          <cell r="H2048">
            <v>332</v>
          </cell>
          <cell r="I2048" t="str">
            <v>M2</v>
          </cell>
        </row>
        <row r="2049">
          <cell r="E2049" t="str">
            <v xml:space="preserve">     Wc</v>
          </cell>
        </row>
        <row r="2051">
          <cell r="C2051" t="str">
            <v>Koefisien Alat / m2</v>
          </cell>
          <cell r="D2051" t="str">
            <v xml:space="preserve"> =  1  :  Q3</v>
          </cell>
          <cell r="G2051" t="str">
            <v>(E23)</v>
          </cell>
          <cell r="H2051">
            <v>3.0120481927710845E-3</v>
          </cell>
          <cell r="I2051" t="str">
            <v>Jam</v>
          </cell>
        </row>
        <row r="2054">
          <cell r="A2054" t="str">
            <v>2.d.</v>
          </cell>
          <cell r="C2054" t="str">
            <v>ALAT  BANTU</v>
          </cell>
        </row>
        <row r="2055">
          <cell r="C2055" t="str">
            <v>Diperlukan alat-alat bantu kecil</v>
          </cell>
          <cell r="J2055" t="str">
            <v>Lump Sum</v>
          </cell>
        </row>
        <row r="2056">
          <cell r="C2056" t="str">
            <v>- Sekop    =         3   buah</v>
          </cell>
        </row>
        <row r="2059">
          <cell r="A2059" t="str">
            <v xml:space="preserve">   3.</v>
          </cell>
          <cell r="C2059" t="str">
            <v>TENAGA</v>
          </cell>
        </row>
        <row r="2060">
          <cell r="C2060" t="str">
            <v>Produksi menentukan : VIBRATORY  ROLLER</v>
          </cell>
          <cell r="G2060" t="str">
            <v>Q2</v>
          </cell>
          <cell r="H2060">
            <v>249</v>
          </cell>
          <cell r="I2060" t="str">
            <v>M2/Jam</v>
          </cell>
        </row>
        <row r="2061">
          <cell r="C2061" t="str">
            <v>Produksi Pekerjaan / hari  =  Tk x Q1</v>
          </cell>
          <cell r="G2061" t="str">
            <v>Qt</v>
          </cell>
          <cell r="H2061">
            <v>1743</v>
          </cell>
          <cell r="I2061" t="str">
            <v>M2</v>
          </cell>
        </row>
        <row r="2062">
          <cell r="C2062" t="str">
            <v>Kebutuhan tenaga :</v>
          </cell>
        </row>
        <row r="2063">
          <cell r="D2063" t="str">
            <v>- Pekerja</v>
          </cell>
          <cell r="G2063" t="str">
            <v>P</v>
          </cell>
          <cell r="H2063">
            <v>4</v>
          </cell>
          <cell r="I2063" t="str">
            <v>orang</v>
          </cell>
        </row>
        <row r="2064">
          <cell r="D2064" t="str">
            <v>- Mandor</v>
          </cell>
          <cell r="G2064" t="str">
            <v>M</v>
          </cell>
          <cell r="H2064">
            <v>1</v>
          </cell>
          <cell r="I2064" t="str">
            <v>orang</v>
          </cell>
        </row>
        <row r="2067">
          <cell r="C2067" t="str">
            <v>Koefisien tenaga / M2</v>
          </cell>
        </row>
        <row r="2068">
          <cell r="D2068" t="str">
            <v>- Pekerja</v>
          </cell>
          <cell r="E2068" t="str">
            <v>= (Tk x P) : Qt</v>
          </cell>
          <cell r="G2068" t="str">
            <v>(L01)</v>
          </cell>
          <cell r="H2068">
            <v>1.6064257028112448E-2</v>
          </cell>
          <cell r="I2068" t="str">
            <v>Jam</v>
          </cell>
        </row>
        <row r="2069">
          <cell r="D2069" t="str">
            <v>- Mandor</v>
          </cell>
          <cell r="E2069" t="str">
            <v>= (Tk x M) : Qt</v>
          </cell>
          <cell r="G2069" t="str">
            <v>(L02)</v>
          </cell>
          <cell r="H2069">
            <v>4.0160642570281121E-3</v>
          </cell>
          <cell r="I2069" t="str">
            <v>Jam</v>
          </cell>
        </row>
        <row r="2072">
          <cell r="A2072" t="str">
            <v>4.</v>
          </cell>
          <cell r="C2072" t="str">
            <v>HARGA DASAR SATUAN UPAH, BAHAN DAN ALAT</v>
          </cell>
        </row>
        <row r="2073">
          <cell r="C2073" t="str">
            <v>Lihat lampiran.</v>
          </cell>
        </row>
        <row r="2076">
          <cell r="A2076" t="str">
            <v>5.</v>
          </cell>
          <cell r="C2076" t="str">
            <v>ANALISA HARGA SATUAN PEKERJAAN</v>
          </cell>
        </row>
        <row r="2077">
          <cell r="C2077" t="str">
            <v>Lihat perhitungan dalam FORMULIR STANDAR UNTUK</v>
          </cell>
        </row>
        <row r="2078">
          <cell r="C2078" t="str">
            <v>PEREKEMAN ANALISA MASING-MASING HARGA</v>
          </cell>
        </row>
        <row r="2079">
          <cell r="C2079" t="str">
            <v>SATUAN.</v>
          </cell>
        </row>
        <row r="2080">
          <cell r="C2080" t="str">
            <v>Didapat Harga Satuan Pekerjaan :</v>
          </cell>
        </row>
        <row r="2082">
          <cell r="C2082" t="str">
            <v xml:space="preserve">Rp.  </v>
          </cell>
          <cell r="D2082">
            <v>1891.5348272711353</v>
          </cell>
          <cell r="E2082" t="str">
            <v xml:space="preserve"> / M2</v>
          </cell>
        </row>
        <row r="2085">
          <cell r="A2085" t="str">
            <v>6.</v>
          </cell>
          <cell r="C2085" t="str">
            <v>WAKTU PELAKSANAAN YANG DIPERLUKAN</v>
          </cell>
        </row>
        <row r="2086">
          <cell r="C2086" t="str">
            <v>Masa Pelaksanaan :</v>
          </cell>
          <cell r="D2086" t="str">
            <v>. . . . . . . . . . . .</v>
          </cell>
          <cell r="E2086" t="str">
            <v>bulan</v>
          </cell>
        </row>
        <row r="2088">
          <cell r="A2088" t="str">
            <v>7.</v>
          </cell>
          <cell r="C2088" t="str">
            <v>VOLUME PEKERJAAN YANG DIPERLUKAN</v>
          </cell>
        </row>
        <row r="2089">
          <cell r="C2089" t="str">
            <v>Volume pekerjaan  :</v>
          </cell>
          <cell r="D2089">
            <v>1</v>
          </cell>
          <cell r="E2089" t="str">
            <v>M2</v>
          </cell>
        </row>
        <row r="2094">
          <cell r="A2094" t="str">
            <v>ITEM PEMBAYARAN NO.</v>
          </cell>
          <cell r="D2094" t="str">
            <v>:  3.1.(7)</v>
          </cell>
          <cell r="J2094" t="str">
            <v>Analisa EI-312</v>
          </cell>
        </row>
        <row r="2095">
          <cell r="A2095" t="str">
            <v>JENIS PEKERJAAN</v>
          </cell>
          <cell r="D2095" t="str">
            <v>:  Pembongk Perk Beraspal dg Cold Milling Machine</v>
          </cell>
        </row>
        <row r="2096">
          <cell r="A2096" t="str">
            <v>SATUAN PEMBAYARAN</v>
          </cell>
          <cell r="D2096" t="str">
            <v>:  M3</v>
          </cell>
          <cell r="H2096" t="str">
            <v xml:space="preserve">         URAIAN ANALISA HARGA SATUAN</v>
          </cell>
        </row>
        <row r="2099">
          <cell r="A2099" t="str">
            <v>No.</v>
          </cell>
          <cell r="C2099" t="str">
            <v>U R A I A N</v>
          </cell>
          <cell r="G2099" t="str">
            <v>KODE</v>
          </cell>
          <cell r="H2099" t="str">
            <v>KOEF.</v>
          </cell>
          <cell r="I2099" t="str">
            <v>SATUAN</v>
          </cell>
          <cell r="J2099" t="str">
            <v>KETERANGAN</v>
          </cell>
        </row>
        <row r="2102">
          <cell r="A2102" t="str">
            <v>I.</v>
          </cell>
          <cell r="C2102" t="str">
            <v>ASUMSI</v>
          </cell>
        </row>
        <row r="2103">
          <cell r="A2103">
            <v>1</v>
          </cell>
          <cell r="C2103" t="str">
            <v>Pekerjaan dilakukan secara mekanik</v>
          </cell>
        </row>
        <row r="2104">
          <cell r="A2104">
            <v>2</v>
          </cell>
          <cell r="C2104" t="str">
            <v>Lokasi pekerjaan : sepanjang jalan</v>
          </cell>
        </row>
        <row r="2105">
          <cell r="A2105">
            <v>3</v>
          </cell>
          <cell r="C2105" t="str">
            <v>Kondisi Jalan   :  sedang / baik</v>
          </cell>
        </row>
        <row r="2106">
          <cell r="A2106">
            <v>4</v>
          </cell>
          <cell r="C2106" t="str">
            <v>Jam kerja efektif per-hari</v>
          </cell>
          <cell r="G2106" t="str">
            <v>Tk</v>
          </cell>
          <cell r="H2106">
            <v>7</v>
          </cell>
          <cell r="I2106" t="str">
            <v>Jam</v>
          </cell>
        </row>
        <row r="2107">
          <cell r="A2107">
            <v>5</v>
          </cell>
          <cell r="C2107" t="str">
            <v>Faktor pengembangan bahan</v>
          </cell>
          <cell r="G2107" t="str">
            <v>Fk</v>
          </cell>
          <cell r="H2107">
            <v>1.24</v>
          </cell>
          <cell r="I2107" t="str">
            <v>-</v>
          </cell>
        </row>
        <row r="2110">
          <cell r="A2110" t="str">
            <v>II.</v>
          </cell>
          <cell r="C2110" t="str">
            <v>URUTAN KERJA</v>
          </cell>
        </row>
        <row r="2111">
          <cell r="A2111">
            <v>1</v>
          </cell>
          <cell r="C2111" t="str">
            <v>Aspal yg dikeruk umumnya berada di badan jalan</v>
          </cell>
        </row>
        <row r="2112">
          <cell r="A2112">
            <v>2</v>
          </cell>
          <cell r="C2112" t="str">
            <v xml:space="preserve">Pengerukan dilakukan dengan Cold Milling </v>
          </cell>
        </row>
        <row r="2113">
          <cell r="C2113" t="str">
            <v xml:space="preserve">dimuat ke dlm Truk </v>
          </cell>
        </row>
        <row r="2114">
          <cell r="A2114">
            <v>3</v>
          </cell>
          <cell r="C2114" t="str">
            <v>Dump Truck membuang material hasil galian keluar</v>
          </cell>
        </row>
        <row r="2115">
          <cell r="C2115" t="str">
            <v>lokasi jalan sejauh :</v>
          </cell>
          <cell r="G2115" t="str">
            <v>L</v>
          </cell>
          <cell r="H2115">
            <v>5</v>
          </cell>
          <cell r="I2115" t="str">
            <v>Km</v>
          </cell>
        </row>
        <row r="2119">
          <cell r="A2119" t="str">
            <v>III.</v>
          </cell>
          <cell r="C2119" t="str">
            <v>PEMAKAIAN BAHAN, ALAT DAN TENAGA</v>
          </cell>
        </row>
        <row r="2121">
          <cell r="A2121" t="str">
            <v xml:space="preserve">   1.</v>
          </cell>
          <cell r="C2121" t="str">
            <v>BAHAN</v>
          </cell>
        </row>
        <row r="2122">
          <cell r="C2122" t="str">
            <v>Tidak ada bahan yang diperlukan</v>
          </cell>
        </row>
        <row r="2125">
          <cell r="A2125" t="str">
            <v xml:space="preserve">   2.</v>
          </cell>
          <cell r="C2125" t="str">
            <v>ALAT</v>
          </cell>
        </row>
        <row r="2126">
          <cell r="A2126" t="str">
            <v xml:space="preserve">   2.a.</v>
          </cell>
          <cell r="C2126" t="str">
            <v>COLD MILLING</v>
          </cell>
        </row>
        <row r="2127">
          <cell r="C2127" t="str">
            <v xml:space="preserve">Produksi teoritis per jam </v>
          </cell>
          <cell r="G2127" t="str">
            <v>q</v>
          </cell>
          <cell r="H2127">
            <v>300</v>
          </cell>
          <cell r="I2127" t="str">
            <v>m</v>
          </cell>
        </row>
        <row r="2128">
          <cell r="C2128" t="str">
            <v>Kapasitas lebar galian</v>
          </cell>
          <cell r="G2128" t="str">
            <v>b</v>
          </cell>
          <cell r="H2128">
            <v>1000</v>
          </cell>
          <cell r="I2128" t="str">
            <v>m</v>
          </cell>
        </row>
        <row r="2129">
          <cell r="C2129" t="str">
            <v>tebal galian</v>
          </cell>
          <cell r="G2129" t="str">
            <v>t</v>
          </cell>
          <cell r="H2129">
            <v>0.15</v>
          </cell>
          <cell r="I2129" t="str">
            <v>m</v>
          </cell>
        </row>
        <row r="2130">
          <cell r="C2130" t="str">
            <v>kecepatan</v>
          </cell>
          <cell r="G2130" t="str">
            <v>v</v>
          </cell>
          <cell r="H2130">
            <v>5</v>
          </cell>
          <cell r="I2130" t="str">
            <v>m/menit</v>
          </cell>
        </row>
        <row r="2131">
          <cell r="C2131" t="str">
            <v>Faktor effesiensi kerja</v>
          </cell>
          <cell r="G2131" t="str">
            <v>Fa</v>
          </cell>
          <cell r="H2131">
            <v>0.6</v>
          </cell>
          <cell r="J2131" t="str">
            <v>grafik cold</v>
          </cell>
          <cell r="Q2131" t="str">
            <v xml:space="preserve">JUMLAH HARGA BAHAN   </v>
          </cell>
          <cell r="U2131">
            <v>0</v>
          </cell>
        </row>
        <row r="2132">
          <cell r="J2132" t="str">
            <v>miling</v>
          </cell>
        </row>
        <row r="2133">
          <cell r="C2133" t="str">
            <v>Kapasitas prod/jam =</v>
          </cell>
          <cell r="E2133" t="str">
            <v>Fa x q x t x Fk</v>
          </cell>
          <cell r="G2133" t="str">
            <v>Q1</v>
          </cell>
          <cell r="H2133">
            <v>33.479999999999997</v>
          </cell>
          <cell r="I2133" t="str">
            <v>M3</v>
          </cell>
          <cell r="L2133" t="str">
            <v>C.</v>
          </cell>
          <cell r="N2133" t="str">
            <v>PERALATAN</v>
          </cell>
        </row>
        <row r="2134">
          <cell r="L2134" t="str">
            <v>1.</v>
          </cell>
          <cell r="N2134" t="str">
            <v>Cold Milling</v>
          </cell>
          <cell r="P2134" t="str">
            <v>Jam</v>
          </cell>
          <cell r="Q2134">
            <v>2.9868578255675033E-2</v>
          </cell>
          <cell r="R2134">
            <v>1163221.6447452162</v>
          </cell>
          <cell r="U2134">
            <v>34743.776724767515</v>
          </cell>
        </row>
        <row r="2135">
          <cell r="C2135" t="str">
            <v>Koefisien Alat / m3</v>
          </cell>
          <cell r="D2135" t="str">
            <v xml:space="preserve"> =  1  :  Q1</v>
          </cell>
          <cell r="H2135">
            <v>2.9868578255675033E-2</v>
          </cell>
          <cell r="I2135" t="str">
            <v>Jam</v>
          </cell>
          <cell r="L2135">
            <v>2</v>
          </cell>
          <cell r="N2135" t="str">
            <v>Dump Truck</v>
          </cell>
          <cell r="O2135" t="str">
            <v>(E08)</v>
          </cell>
          <cell r="P2135" t="str">
            <v>Jam</v>
          </cell>
          <cell r="Q2135">
            <v>0.12969656403391344</v>
          </cell>
          <cell r="R2135">
            <v>153645.58193291764</v>
          </cell>
          <cell r="U2135">
            <v>19927.304055690547</v>
          </cell>
        </row>
        <row r="2138">
          <cell r="A2138" t="str">
            <v xml:space="preserve">   2.b.</v>
          </cell>
          <cell r="C2138" t="str">
            <v>DUMP TRUCK</v>
          </cell>
          <cell r="G2138" t="str">
            <v>(E08)</v>
          </cell>
        </row>
        <row r="2139">
          <cell r="C2139" t="str">
            <v>Kapasitas bak</v>
          </cell>
          <cell r="G2139" t="str">
            <v>V</v>
          </cell>
          <cell r="H2139">
            <v>4</v>
          </cell>
          <cell r="I2139" t="str">
            <v>M3</v>
          </cell>
        </row>
        <row r="2140">
          <cell r="C2140" t="str">
            <v>Faktor  efisiensi alat</v>
          </cell>
          <cell r="G2140" t="str">
            <v>Fa</v>
          </cell>
          <cell r="H2140">
            <v>0.83</v>
          </cell>
          <cell r="I2140" t="str">
            <v>-</v>
          </cell>
          <cell r="Q2140" t="str">
            <v xml:space="preserve">JUMLAH HARGA PERALATAN   </v>
          </cell>
          <cell r="U2140">
            <v>54671.080780458062</v>
          </cell>
        </row>
        <row r="2141">
          <cell r="C2141" t="str">
            <v>Kecepatan rata-rata bermuatan</v>
          </cell>
          <cell r="G2141" t="str">
            <v>v1</v>
          </cell>
          <cell r="H2141">
            <v>45</v>
          </cell>
          <cell r="I2141" t="str">
            <v>KM/Jam</v>
          </cell>
        </row>
        <row r="2142">
          <cell r="C2142" t="str">
            <v>Kecepatan rata-rata kosong</v>
          </cell>
          <cell r="G2142" t="str">
            <v>v2</v>
          </cell>
          <cell r="H2142">
            <v>60</v>
          </cell>
          <cell r="I2142" t="str">
            <v>KM/Jam</v>
          </cell>
          <cell r="L2142" t="str">
            <v>D.</v>
          </cell>
          <cell r="N2142" t="str">
            <v>JUMLAH HARGA TENAGA, BAHAN DAN PERALATAN  ( A + B + C )</v>
          </cell>
          <cell r="U2142">
            <v>54937.764472214338</v>
          </cell>
        </row>
        <row r="2143">
          <cell r="C2143" t="str">
            <v>Waktu  siklus</v>
          </cell>
          <cell r="G2143" t="str">
            <v>Ts1</v>
          </cell>
          <cell r="I2143" t="str">
            <v>menit</v>
          </cell>
          <cell r="L2143" t="str">
            <v>E.</v>
          </cell>
          <cell r="N2143" t="str">
            <v>OVERHEAD &amp; PROFIT</v>
          </cell>
          <cell r="P2143">
            <v>10</v>
          </cell>
          <cell r="Q2143" t="str">
            <v>%  x  D</v>
          </cell>
          <cell r="U2143">
            <v>5493.776447221434</v>
          </cell>
        </row>
        <row r="2144">
          <cell r="C2144" t="str">
            <v>- Waktu tempuh isi</v>
          </cell>
          <cell r="E2144" t="str">
            <v>=   (L  :  v1)  x  60</v>
          </cell>
          <cell r="G2144" t="str">
            <v>T1</v>
          </cell>
          <cell r="H2144">
            <v>6.6666666666666661</v>
          </cell>
          <cell r="I2144" t="str">
            <v>menit</v>
          </cell>
          <cell r="L2144" t="str">
            <v>F.</v>
          </cell>
          <cell r="N2144" t="str">
            <v>HARGA SATUAN PEKERJAAN  ( D + E )</v>
          </cell>
          <cell r="U2144">
            <v>60431.540919435771</v>
          </cell>
        </row>
        <row r="2145">
          <cell r="C2145" t="str">
            <v>- Waktu tempuh kosong</v>
          </cell>
          <cell r="E2145" t="str">
            <v>=   (L  :  v2)  x  60</v>
          </cell>
          <cell r="G2145" t="str">
            <v>T2</v>
          </cell>
          <cell r="H2145">
            <v>5</v>
          </cell>
          <cell r="I2145" t="str">
            <v>menit</v>
          </cell>
          <cell r="L2145" t="str">
            <v>Note: 1</v>
          </cell>
          <cell r="N2145" t="str">
            <v>SATUAN dapat berdasarkan atas jam operasi untuk Tenaga Kerja dan Peralatan, volume dan/atau ukuran</v>
          </cell>
        </row>
        <row r="2146">
          <cell r="C2146" t="str">
            <v>- Muat</v>
          </cell>
          <cell r="E2146" t="str">
            <v>=   (V  :  Q1) x 60</v>
          </cell>
          <cell r="G2146" t="str">
            <v>T3</v>
          </cell>
          <cell r="H2146">
            <v>7.1684587813620082</v>
          </cell>
          <cell r="I2146" t="str">
            <v>menit</v>
          </cell>
          <cell r="N2146" t="str">
            <v>berat untuk bahan-bahan.</v>
          </cell>
        </row>
        <row r="2147">
          <cell r="C2147" t="str">
            <v>- Lain-lain</v>
          </cell>
          <cell r="G2147" t="str">
            <v>T4</v>
          </cell>
          <cell r="H2147">
            <v>2</v>
          </cell>
          <cell r="I2147" t="str">
            <v>menit</v>
          </cell>
          <cell r="L2147">
            <v>2</v>
          </cell>
          <cell r="N2147" t="str">
            <v>Kuantitas satuan adalah kuantitas setiap komponen untuk menyelesaikan satu satuan pekerjaan dari nomor</v>
          </cell>
        </row>
        <row r="2148">
          <cell r="G2148" t="str">
            <v>Ts1</v>
          </cell>
          <cell r="H2148">
            <v>20.835125448028673</v>
          </cell>
          <cell r="I2148" t="str">
            <v>menit</v>
          </cell>
          <cell r="N2148" t="str">
            <v>mata pembayaran.</v>
          </cell>
        </row>
        <row r="2149">
          <cell r="L2149">
            <v>3</v>
          </cell>
          <cell r="N2149" t="str">
            <v>Biaya satuan untuk peralatan sudah termasuk bahan bakar, bahan habis dipakai dan operator.</v>
          </cell>
        </row>
        <row r="2150">
          <cell r="L2150">
            <v>4</v>
          </cell>
          <cell r="N2150" t="str">
            <v>Biaya satuan sudah termasuk pengeluaran untuk seluruh pajak yang berkaitan (tetapi tidak termasuk PPN</v>
          </cell>
        </row>
        <row r="2151">
          <cell r="C2151" t="str">
            <v>Kapasitas Produksi / Jam   =</v>
          </cell>
          <cell r="E2151" t="str">
            <v>V x Fa x 60</v>
          </cell>
          <cell r="G2151" t="str">
            <v>Q2</v>
          </cell>
          <cell r="H2151">
            <v>7.7103044899363491</v>
          </cell>
          <cell r="I2151" t="str">
            <v xml:space="preserve">M3 / Jam </v>
          </cell>
          <cell r="N2151" t="str">
            <v>yang dibayar dari kontrak) dan biaya-biaya lainnya.</v>
          </cell>
        </row>
        <row r="2152">
          <cell r="E2152" t="str">
            <v xml:space="preserve">    Fk x Ts1</v>
          </cell>
        </row>
        <row r="2155">
          <cell r="C2155" t="str">
            <v>Koefisien Alat / m3</v>
          </cell>
          <cell r="D2155" t="str">
            <v xml:space="preserve"> =  1  :  Q2</v>
          </cell>
          <cell r="G2155" t="str">
            <v>(E08)</v>
          </cell>
          <cell r="H2155">
            <v>0.12969656403391344</v>
          </cell>
          <cell r="I2155" t="str">
            <v>Jam</v>
          </cell>
        </row>
        <row r="2160">
          <cell r="J2160" t="str">
            <v>Berlanjut ke halaman berikut</v>
          </cell>
        </row>
        <row r="2161">
          <cell r="A2161" t="str">
            <v>ITEM PEMBAYARAN NO.</v>
          </cell>
          <cell r="D2161" t="str">
            <v>:  3.1.(7)</v>
          </cell>
          <cell r="J2161" t="str">
            <v>Analisa EI-312</v>
          </cell>
        </row>
        <row r="2162">
          <cell r="A2162" t="str">
            <v>JENIS PEKERJAAN</v>
          </cell>
          <cell r="D2162" t="str">
            <v>:  Pembongk Perk Beraspal dg Cold Milling Machine</v>
          </cell>
        </row>
        <row r="2163">
          <cell r="A2163" t="str">
            <v>SATUAN PEMBAYARAN</v>
          </cell>
          <cell r="D2163" t="str">
            <v>:  M3</v>
          </cell>
          <cell r="H2163" t="str">
            <v xml:space="preserve">         URAIAN ANALISA HARGA SATUAN</v>
          </cell>
        </row>
        <row r="2164">
          <cell r="J2164" t="str">
            <v>Lanjutan</v>
          </cell>
        </row>
        <row r="2166">
          <cell r="A2166" t="str">
            <v>No.</v>
          </cell>
          <cell r="C2166" t="str">
            <v>U R A I A N</v>
          </cell>
          <cell r="G2166" t="str">
            <v>KODE</v>
          </cell>
          <cell r="H2166" t="str">
            <v>KOEF.</v>
          </cell>
          <cell r="I2166" t="str">
            <v>SATUAN</v>
          </cell>
          <cell r="J2166" t="str">
            <v>KETERANGAN</v>
          </cell>
        </row>
        <row r="2169">
          <cell r="A2169" t="str">
            <v xml:space="preserve"> 2.c</v>
          </cell>
          <cell r="C2169" t="str">
            <v>ALAT  BANTU</v>
          </cell>
        </row>
        <row r="2170">
          <cell r="C2170" t="str">
            <v>Diperlukan alat-alat bantu kecil</v>
          </cell>
          <cell r="J2170" t="str">
            <v>Lump Sump</v>
          </cell>
        </row>
        <row r="2171">
          <cell r="C2171" t="str">
            <v>- Pahat / Tatah</v>
          </cell>
          <cell r="D2171" t="str">
            <v>=  2  buah</v>
          </cell>
        </row>
        <row r="2172">
          <cell r="C2172" t="str">
            <v>- Palu Besar</v>
          </cell>
          <cell r="D2172" t="str">
            <v>=  2  buah</v>
          </cell>
        </row>
        <row r="2174">
          <cell r="A2174" t="str">
            <v xml:space="preserve">   3.</v>
          </cell>
          <cell r="C2174" t="str">
            <v>TENAGA</v>
          </cell>
        </row>
        <row r="2175">
          <cell r="C2175" t="str">
            <v>Produksi menentukan : COLD MILLING</v>
          </cell>
          <cell r="G2175" t="str">
            <v>Q1</v>
          </cell>
          <cell r="H2175">
            <v>33.479999999999997</v>
          </cell>
          <cell r="I2175" t="str">
            <v>M3/Jam</v>
          </cell>
        </row>
        <row r="2176">
          <cell r="C2176" t="str">
            <v>Produksi Galian / hari  =  Tk x Q1</v>
          </cell>
          <cell r="G2176" t="str">
            <v>Qt</v>
          </cell>
          <cell r="H2176">
            <v>234.35999999999999</v>
          </cell>
          <cell r="I2176" t="str">
            <v>M2</v>
          </cell>
        </row>
        <row r="2177">
          <cell r="C2177" t="str">
            <v>Kebutuhan tenaga :</v>
          </cell>
        </row>
        <row r="2178">
          <cell r="D2178" t="str">
            <v>- Pekerja</v>
          </cell>
          <cell r="G2178" t="str">
            <v>P</v>
          </cell>
          <cell r="H2178">
            <v>2</v>
          </cell>
          <cell r="I2178" t="str">
            <v>orang</v>
          </cell>
        </row>
        <row r="2179">
          <cell r="D2179" t="str">
            <v>- Mandor</v>
          </cell>
          <cell r="G2179" t="str">
            <v>M</v>
          </cell>
          <cell r="H2179">
            <v>1</v>
          </cell>
          <cell r="I2179" t="str">
            <v>orang</v>
          </cell>
        </row>
        <row r="2181">
          <cell r="C2181" t="str">
            <v>Koefisien tenaga / M3   :</v>
          </cell>
        </row>
        <row r="2182">
          <cell r="D2182" t="str">
            <v>- Pekerja</v>
          </cell>
          <cell r="E2182" t="str">
            <v>= (Tk x P) : Qt</v>
          </cell>
          <cell r="G2182" t="str">
            <v>(L01)</v>
          </cell>
          <cell r="H2182">
            <v>5.9737156511350066E-2</v>
          </cell>
          <cell r="I2182" t="str">
            <v>Jam</v>
          </cell>
        </row>
        <row r="2183">
          <cell r="D2183" t="str">
            <v>- Mandor</v>
          </cell>
          <cell r="E2183" t="str">
            <v>= (Tk x M) : Qt</v>
          </cell>
          <cell r="G2183" t="str">
            <v>(L03)</v>
          </cell>
          <cell r="H2183">
            <v>2.9868578255675033E-2</v>
          </cell>
          <cell r="I2183" t="str">
            <v>Jam</v>
          </cell>
        </row>
        <row r="2185">
          <cell r="A2185" t="str">
            <v>4.</v>
          </cell>
          <cell r="C2185" t="str">
            <v>HARGA DASAR SATUAN UPAH, BAHAN DAN ALAT</v>
          </cell>
        </row>
        <row r="2186">
          <cell r="C2186" t="str">
            <v>Lihat lampiran.</v>
          </cell>
        </row>
        <row r="2188">
          <cell r="A2188" t="str">
            <v>5.</v>
          </cell>
          <cell r="C2188" t="str">
            <v>ANALISA HARGA SATUAN PEKERJAAN</v>
          </cell>
        </row>
        <row r="2189">
          <cell r="C2189" t="str">
            <v>Lihat perhitungan dalam FORMULIR STANDAR UNTUK</v>
          </cell>
        </row>
        <row r="2190">
          <cell r="C2190" t="str">
            <v>PEREKEMAN ANALISA MASING-MASING HARGA</v>
          </cell>
        </row>
        <row r="2191">
          <cell r="C2191" t="str">
            <v>SATUAN.</v>
          </cell>
        </row>
        <row r="2192">
          <cell r="C2192" t="str">
            <v>Didapat Harga Satuan Pekerjaan :</v>
          </cell>
        </row>
        <row r="2194">
          <cell r="C2194" t="str">
            <v xml:space="preserve">Rp.  </v>
          </cell>
          <cell r="D2194">
            <v>60431.540919435771</v>
          </cell>
          <cell r="E2194" t="str">
            <v xml:space="preserve"> / M2</v>
          </cell>
        </row>
        <row r="2197">
          <cell r="A2197" t="str">
            <v>6.</v>
          </cell>
          <cell r="C2197" t="str">
            <v>WAKTU PELAKSANAAN YANG DIPERLUKAN</v>
          </cell>
        </row>
        <row r="2198">
          <cell r="C2198" t="str">
            <v>Masa Pelaksanaan :</v>
          </cell>
          <cell r="D2198" t="str">
            <v>. . . . . . . . . . . .</v>
          </cell>
          <cell r="E2198" t="str">
            <v>bulan</v>
          </cell>
        </row>
        <row r="2200">
          <cell r="A2200" t="str">
            <v>7.</v>
          </cell>
          <cell r="C2200" t="str">
            <v>VOLUME PEKERJAAN YANG DIPERLUKAN</v>
          </cell>
        </row>
        <row r="2201">
          <cell r="C2201" t="str">
            <v>Volume pekerjaan  :</v>
          </cell>
          <cell r="D2201">
            <v>0</v>
          </cell>
          <cell r="E2201" t="str">
            <v>M3</v>
          </cell>
        </row>
        <row r="2217">
          <cell r="A2217" t="str">
            <v>ITEM PEMBAYARAN NO.</v>
          </cell>
          <cell r="D2217" t="str">
            <v>:  3.1.(8)</v>
          </cell>
          <cell r="J2217" t="str">
            <v>=T2272</v>
          </cell>
        </row>
        <row r="2218">
          <cell r="A2218" t="str">
            <v>JENIS PEKERJAAN</v>
          </cell>
          <cell r="D2218" t="str">
            <v>:  Pembongk Perk Beraspal tanpa Cold Milling Machine</v>
          </cell>
        </row>
        <row r="2219">
          <cell r="A2219" t="str">
            <v>SATUAN PEMBAYARAN</v>
          </cell>
          <cell r="D2219" t="str">
            <v>:  M3</v>
          </cell>
          <cell r="H2219" t="str">
            <v xml:space="preserve">         URAIAN ANALISA HARGA SATUAN</v>
          </cell>
        </row>
        <row r="2222">
          <cell r="A2222" t="str">
            <v>No.</v>
          </cell>
          <cell r="C2222" t="str">
            <v>U R A I A N</v>
          </cell>
          <cell r="G2222" t="str">
            <v>KODE</v>
          </cell>
          <cell r="H2222" t="str">
            <v>KOEF.</v>
          </cell>
          <cell r="I2222" t="str">
            <v>SATUAN</v>
          </cell>
          <cell r="J2222" t="str">
            <v>KETERANGAN</v>
          </cell>
        </row>
        <row r="2225">
          <cell r="A2225" t="str">
            <v>I.</v>
          </cell>
          <cell r="C2225" t="str">
            <v>ASUMSI</v>
          </cell>
        </row>
        <row r="2226">
          <cell r="A2226">
            <v>1</v>
          </cell>
          <cell r="C2226" t="str">
            <v>Pekerjaan dilakukan secara mekanik/manual</v>
          </cell>
        </row>
        <row r="2227">
          <cell r="A2227">
            <v>2</v>
          </cell>
          <cell r="C2227" t="str">
            <v>Lokasi pekerjaan : sepanjang jalan</v>
          </cell>
        </row>
        <row r="2228">
          <cell r="A2228">
            <v>3</v>
          </cell>
          <cell r="C2228" t="str">
            <v>Kondisi Jalan   :  sedang / baik</v>
          </cell>
        </row>
        <row r="2229">
          <cell r="A2229">
            <v>4</v>
          </cell>
          <cell r="C2229" t="str">
            <v>Jam kerja efektif per-hari</v>
          </cell>
          <cell r="G2229" t="str">
            <v>Tk</v>
          </cell>
          <cell r="H2229">
            <v>7</v>
          </cell>
          <cell r="I2229" t="str">
            <v>Jam</v>
          </cell>
        </row>
        <row r="2230">
          <cell r="A2230">
            <v>5</v>
          </cell>
          <cell r="C2230" t="str">
            <v>Faktor pengembangan bahan</v>
          </cell>
          <cell r="G2230" t="str">
            <v>Fk</v>
          </cell>
          <cell r="H2230">
            <v>1.24</v>
          </cell>
          <cell r="I2230" t="str">
            <v>-</v>
          </cell>
        </row>
        <row r="2233">
          <cell r="A2233" t="str">
            <v>II.</v>
          </cell>
          <cell r="C2233" t="str">
            <v>URUTAN KERJA</v>
          </cell>
        </row>
        <row r="2234">
          <cell r="A2234">
            <v>1</v>
          </cell>
          <cell r="C2234" t="str">
            <v>Aspal yg dikeruk umumnya berada di badan jalan</v>
          </cell>
        </row>
        <row r="2235">
          <cell r="A2235">
            <v>2</v>
          </cell>
          <cell r="C2235" t="str">
            <v>Pengerukan dilakukan dengan Jack Hammer dan</v>
          </cell>
        </row>
        <row r="2236">
          <cell r="C2236" t="str">
            <v>dimuat ke dalam truck secara manual</v>
          </cell>
        </row>
        <row r="2237">
          <cell r="A2237">
            <v>3</v>
          </cell>
          <cell r="C2237" t="str">
            <v>Dump Truck membuang material hasil galian keluar</v>
          </cell>
        </row>
        <row r="2238">
          <cell r="C2238" t="str">
            <v>lokasi jalan sejauh :</v>
          </cell>
          <cell r="G2238" t="str">
            <v>L</v>
          </cell>
          <cell r="H2238">
            <v>5</v>
          </cell>
          <cell r="I2238" t="str">
            <v>Km</v>
          </cell>
        </row>
        <row r="2242">
          <cell r="A2242" t="str">
            <v>III.</v>
          </cell>
          <cell r="C2242" t="str">
            <v>PEMAKAIAN BAHAN, ALAT DAN TENAGA</v>
          </cell>
        </row>
        <row r="2244">
          <cell r="A2244" t="str">
            <v xml:space="preserve">   1.</v>
          </cell>
          <cell r="C2244" t="str">
            <v>BAHAN</v>
          </cell>
        </row>
        <row r="2245">
          <cell r="C2245" t="str">
            <v>Tidak ada bahan yang diperlukan</v>
          </cell>
        </row>
        <row r="2248">
          <cell r="A2248" t="str">
            <v xml:space="preserve">   2.</v>
          </cell>
          <cell r="C2248" t="str">
            <v>ALAT</v>
          </cell>
        </row>
        <row r="2249">
          <cell r="A2249" t="str">
            <v xml:space="preserve">   2.a.</v>
          </cell>
          <cell r="C2249" t="str">
            <v>JACK HAMMER, COMPRESSOR</v>
          </cell>
        </row>
        <row r="2250">
          <cell r="C2250" t="str">
            <v>Produksi per jam</v>
          </cell>
          <cell r="G2250" t="str">
            <v>Q1</v>
          </cell>
          <cell r="H2250">
            <v>1</v>
          </cell>
          <cell r="I2250" t="str">
            <v>M3 / Jam</v>
          </cell>
        </row>
        <row r="2252">
          <cell r="C2252" t="str">
            <v>Koefisien Alat / m3</v>
          </cell>
          <cell r="D2252" t="str">
            <v xml:space="preserve"> =  1  :  Q1</v>
          </cell>
          <cell r="H2252">
            <v>1</v>
          </cell>
          <cell r="I2252" t="str">
            <v>Jam</v>
          </cell>
        </row>
        <row r="2255">
          <cell r="A2255" t="str">
            <v xml:space="preserve">   2.b.</v>
          </cell>
          <cell r="C2255" t="str">
            <v>DUMP TRUCK</v>
          </cell>
          <cell r="G2255" t="str">
            <v>(E08)</v>
          </cell>
        </row>
        <row r="2256">
          <cell r="C2256" t="str">
            <v>Kapasitas bak</v>
          </cell>
          <cell r="G2256" t="str">
            <v>V</v>
          </cell>
          <cell r="H2256">
            <v>4</v>
          </cell>
          <cell r="I2256" t="str">
            <v>M3</v>
          </cell>
        </row>
        <row r="2257">
          <cell r="C2257" t="str">
            <v>Faktor  efisiensi alat</v>
          </cell>
          <cell r="G2257" t="str">
            <v>Fa</v>
          </cell>
          <cell r="H2257">
            <v>0.83</v>
          </cell>
          <cell r="I2257" t="str">
            <v>-</v>
          </cell>
        </row>
        <row r="2258">
          <cell r="C2258" t="str">
            <v>Kecepatan rata-rata bermuatan</v>
          </cell>
          <cell r="G2258" t="str">
            <v>v1</v>
          </cell>
          <cell r="H2258">
            <v>45</v>
          </cell>
          <cell r="I2258" t="str">
            <v>KM/Jam</v>
          </cell>
        </row>
        <row r="2259">
          <cell r="C2259" t="str">
            <v>Kecepatan rata-rata kosong</v>
          </cell>
          <cell r="G2259" t="str">
            <v>v2</v>
          </cell>
          <cell r="H2259">
            <v>60</v>
          </cell>
          <cell r="I2259" t="str">
            <v>KM/Jam</v>
          </cell>
        </row>
        <row r="2260">
          <cell r="C2260" t="str">
            <v>Waktu  siklus</v>
          </cell>
          <cell r="G2260" t="str">
            <v>Ts1</v>
          </cell>
          <cell r="I2260" t="str">
            <v>menit</v>
          </cell>
        </row>
        <row r="2261">
          <cell r="C2261" t="str">
            <v>- Waktu tempuh isi</v>
          </cell>
          <cell r="E2261" t="str">
            <v>=   (L  :  v1)  x  60</v>
          </cell>
          <cell r="G2261" t="str">
            <v>T1</v>
          </cell>
          <cell r="H2261">
            <v>6.6666666666666661</v>
          </cell>
          <cell r="I2261" t="str">
            <v>menit</v>
          </cell>
        </row>
        <row r="2262">
          <cell r="C2262" t="str">
            <v>- Waktu tempuh kosong</v>
          </cell>
          <cell r="E2262" t="str">
            <v>=   (L  :  v2)  x  60</v>
          </cell>
          <cell r="G2262" t="str">
            <v>T2</v>
          </cell>
          <cell r="H2262">
            <v>5</v>
          </cell>
          <cell r="I2262" t="str">
            <v>menit</v>
          </cell>
        </row>
        <row r="2263">
          <cell r="C2263" t="str">
            <v>- Muat</v>
          </cell>
          <cell r="E2263" t="str">
            <v>=   (V  :  Q1) x 60</v>
          </cell>
          <cell r="G2263" t="str">
            <v>T3</v>
          </cell>
          <cell r="H2263">
            <v>240</v>
          </cell>
          <cell r="I2263" t="str">
            <v>menit</v>
          </cell>
        </row>
        <row r="2264">
          <cell r="C2264" t="str">
            <v>- Lain-lain</v>
          </cell>
          <cell r="G2264" t="str">
            <v>T4</v>
          </cell>
          <cell r="H2264">
            <v>2</v>
          </cell>
          <cell r="I2264" t="str">
            <v>menit</v>
          </cell>
        </row>
        <row r="2265">
          <cell r="G2265" t="str">
            <v>Ts1</v>
          </cell>
          <cell r="H2265">
            <v>253.66666666666666</v>
          </cell>
          <cell r="I2265" t="str">
            <v>menit</v>
          </cell>
        </row>
        <row r="2268">
          <cell r="C2268" t="str">
            <v>Kapasitas Produksi / Jam   =</v>
          </cell>
          <cell r="E2268" t="str">
            <v>V x Fa x 60</v>
          </cell>
          <cell r="G2268" t="str">
            <v>Q2</v>
          </cell>
          <cell r="H2268">
            <v>0.63329235725488531</v>
          </cell>
          <cell r="I2268" t="str">
            <v xml:space="preserve">M3 / Jam </v>
          </cell>
        </row>
        <row r="2269">
          <cell r="E2269" t="str">
            <v xml:space="preserve">    Fk x Ts1</v>
          </cell>
        </row>
        <row r="2272">
          <cell r="C2272" t="str">
            <v>Koefisien Alat / m3</v>
          </cell>
          <cell r="D2272" t="str">
            <v xml:space="preserve"> =  1  :  Q2</v>
          </cell>
          <cell r="G2272" t="str">
            <v>(E08)</v>
          </cell>
          <cell r="H2272">
            <v>1.5790495314591702</v>
          </cell>
          <cell r="I2272" t="str">
            <v>Jam</v>
          </cell>
        </row>
        <row r="2274">
          <cell r="C2274" t="str">
            <v/>
          </cell>
        </row>
        <row r="2275">
          <cell r="C2275" t="str">
            <v/>
          </cell>
        </row>
        <row r="2277">
          <cell r="J2277" t="str">
            <v>Berlanjut ke halaman berikut</v>
          </cell>
        </row>
        <row r="2278">
          <cell r="A2278" t="str">
            <v>ITEM PEMBAYARAN NO.</v>
          </cell>
          <cell r="D2278" t="str">
            <v>:  3.1.(8)</v>
          </cell>
          <cell r="J2278" t="str">
            <v>=T2272</v>
          </cell>
        </row>
        <row r="2279">
          <cell r="A2279" t="str">
            <v>JENIS PEKERJAAN</v>
          </cell>
          <cell r="D2279" t="str">
            <v>:  Pembongk Perk Beraspal tanpa Cold Milling Machine</v>
          </cell>
        </row>
        <row r="2280">
          <cell r="A2280" t="str">
            <v>SATUAN PEMBAYARAN</v>
          </cell>
          <cell r="D2280" t="str">
            <v>:  M3</v>
          </cell>
          <cell r="H2280" t="str">
            <v xml:space="preserve">         URAIAN ANALISA HARGA SATUAN</v>
          </cell>
        </row>
        <row r="2281">
          <cell r="J2281" t="str">
            <v>Lanjutan</v>
          </cell>
        </row>
        <row r="2283">
          <cell r="A2283" t="str">
            <v>No.</v>
          </cell>
          <cell r="C2283" t="str">
            <v>U R A I A N</v>
          </cell>
          <cell r="G2283" t="str">
            <v>KODE</v>
          </cell>
          <cell r="H2283" t="str">
            <v>KOEF.</v>
          </cell>
          <cell r="I2283" t="str">
            <v>SATUAN</v>
          </cell>
          <cell r="J2283" t="str">
            <v>KETERANGAN</v>
          </cell>
        </row>
        <row r="2286">
          <cell r="A2286" t="str">
            <v xml:space="preserve"> 2.c</v>
          </cell>
          <cell r="C2286" t="str">
            <v>ALAT  BANTU</v>
          </cell>
        </row>
        <row r="2287">
          <cell r="C2287" t="str">
            <v>Diperlukan alat-alat bantu kecil</v>
          </cell>
          <cell r="J2287" t="str">
            <v>Lump Sump</v>
          </cell>
        </row>
        <row r="2288">
          <cell r="C2288" t="str">
            <v>- Sekop</v>
          </cell>
          <cell r="D2288" t="str">
            <v>= 2 buah</v>
          </cell>
        </row>
        <row r="2289">
          <cell r="C2289" t="str">
            <v>- Kereta Sorong</v>
          </cell>
          <cell r="D2289" t="str">
            <v>= 2 buah</v>
          </cell>
        </row>
        <row r="2291">
          <cell r="A2291" t="str">
            <v xml:space="preserve">   3.</v>
          </cell>
          <cell r="C2291" t="str">
            <v>TENAGA</v>
          </cell>
        </row>
        <row r="2292">
          <cell r="C2292" t="str">
            <v>Produksi menentukan : Jack Hammer</v>
          </cell>
          <cell r="G2292" t="str">
            <v>Q1</v>
          </cell>
          <cell r="H2292">
            <v>1</v>
          </cell>
          <cell r="I2292" t="str">
            <v>M3/Jam</v>
          </cell>
        </row>
        <row r="2293">
          <cell r="C2293" t="str">
            <v>Produksi Galian / hari  =  Tk x Q1</v>
          </cell>
          <cell r="G2293" t="str">
            <v>Qt</v>
          </cell>
          <cell r="H2293">
            <v>7</v>
          </cell>
          <cell r="I2293" t="str">
            <v>M3</v>
          </cell>
        </row>
        <row r="2294">
          <cell r="C2294" t="str">
            <v>Kebutuhan tenaga :</v>
          </cell>
        </row>
        <row r="2295">
          <cell r="D2295" t="str">
            <v>- Pekerja</v>
          </cell>
          <cell r="G2295" t="str">
            <v>P</v>
          </cell>
          <cell r="H2295">
            <v>2</v>
          </cell>
          <cell r="I2295" t="str">
            <v>orang</v>
          </cell>
        </row>
        <row r="2296">
          <cell r="D2296" t="str">
            <v>- Mandor</v>
          </cell>
          <cell r="G2296" t="str">
            <v>M</v>
          </cell>
          <cell r="H2296">
            <v>1</v>
          </cell>
          <cell r="I2296" t="str">
            <v>orang</v>
          </cell>
        </row>
        <row r="2298">
          <cell r="C2298" t="str">
            <v>Koefisien tenaga / M3   :</v>
          </cell>
        </row>
        <row r="2299">
          <cell r="D2299" t="str">
            <v>- Pekerja</v>
          </cell>
          <cell r="E2299" t="str">
            <v>= (Tk x P) : Qt</v>
          </cell>
          <cell r="G2299" t="str">
            <v>(L01)</v>
          </cell>
          <cell r="H2299">
            <v>2</v>
          </cell>
          <cell r="I2299" t="str">
            <v>Jam</v>
          </cell>
        </row>
        <row r="2300">
          <cell r="D2300" t="str">
            <v>- Mandor</v>
          </cell>
          <cell r="E2300" t="str">
            <v>= (Tk x M) : Qt</v>
          </cell>
          <cell r="G2300" t="str">
            <v>(L03)</v>
          </cell>
          <cell r="H2300">
            <v>1</v>
          </cell>
          <cell r="I2300" t="str">
            <v>Jam</v>
          </cell>
        </row>
        <row r="2302">
          <cell r="A2302" t="str">
            <v>4.</v>
          </cell>
          <cell r="C2302" t="str">
            <v>HARGA DASAR SATUAN UPAH, BAHAN DAN ALAT</v>
          </cell>
        </row>
        <row r="2303">
          <cell r="C2303" t="str">
            <v>Lihat lampiran.</v>
          </cell>
        </row>
        <row r="2305">
          <cell r="A2305" t="str">
            <v>5.</v>
          </cell>
          <cell r="C2305" t="str">
            <v>ANALISA HARGA SATUAN PEKERJAAN</v>
          </cell>
        </row>
        <row r="2306">
          <cell r="C2306" t="str">
            <v>Lihat perhitungan dalam FORMULIR STANDAR UNTUK</v>
          </cell>
        </row>
        <row r="2307">
          <cell r="C2307" t="str">
            <v>PEREKEMAN ANALISA MASING-MASING HARGA</v>
          </cell>
        </row>
        <row r="2308">
          <cell r="C2308" t="str">
            <v>SATUAN.</v>
          </cell>
        </row>
        <row r="2309">
          <cell r="C2309" t="str">
            <v>Didapat Harga Satuan Pekerjaan :</v>
          </cell>
        </row>
        <row r="2311">
          <cell r="C2311" t="str">
            <v xml:space="preserve">Rp.  </v>
          </cell>
          <cell r="D2311">
            <v>1633771.8260014895</v>
          </cell>
          <cell r="E2311" t="str">
            <v xml:space="preserve"> / M2</v>
          </cell>
        </row>
        <row r="2314">
          <cell r="A2314" t="str">
            <v>6.</v>
          </cell>
          <cell r="C2314" t="str">
            <v>WAKTU PELAKSANAAN YANG DIPERLUKAN</v>
          </cell>
        </row>
        <row r="2315">
          <cell r="C2315" t="str">
            <v>Masa Pelaksanaan :</v>
          </cell>
          <cell r="D2315" t="str">
            <v>. . . . . . . . . . . .</v>
          </cell>
          <cell r="E2315" t="str">
            <v>bulan</v>
          </cell>
        </row>
        <row r="2317">
          <cell r="A2317" t="str">
            <v>7.</v>
          </cell>
          <cell r="C2317" t="str">
            <v>VOLUME PEKERJAAN YANG DIPERLUKAN</v>
          </cell>
        </row>
        <row r="2318">
          <cell r="C2318" t="str">
            <v>Volume pekerjaan  :</v>
          </cell>
          <cell r="D2318">
            <v>0</v>
          </cell>
          <cell r="E2318" t="str">
            <v>M3</v>
          </cell>
        </row>
        <row r="2335">
          <cell r="A2335" t="str">
            <v>ITEM PEMBAYARAN NO.</v>
          </cell>
          <cell r="D2335" t="str">
            <v xml:space="preserve">:  3.4 </v>
          </cell>
          <cell r="J2335" t="str">
            <v>Analisa EI-312</v>
          </cell>
          <cell r="T2335" t="str">
            <v>Analisa EI-312</v>
          </cell>
        </row>
        <row r="2336">
          <cell r="A2336" t="str">
            <v>JENIS PEKERJAAN</v>
          </cell>
          <cell r="D2336" t="str">
            <v>:  Pengupasan Permukaan Aspal Lama dan Pencampuran Kembali</v>
          </cell>
        </row>
        <row r="2337">
          <cell r="A2337" t="str">
            <v>SATUAN PEMBAYARAN</v>
          </cell>
          <cell r="D2337" t="str">
            <v>:  M2</v>
          </cell>
          <cell r="H2337" t="str">
            <v xml:space="preserve">         URAIAN ANALISA HARGA SATUAN</v>
          </cell>
          <cell r="L2337" t="str">
            <v>FORMULIR STANDAR UNTUK</v>
          </cell>
        </row>
        <row r="2338">
          <cell r="L2338" t="str">
            <v>PEREKAMAN ANALISA MASING-MASING HARGA SATUAN</v>
          </cell>
        </row>
        <row r="2339">
          <cell r="L2339" t="str">
            <v/>
          </cell>
        </row>
        <row r="2340">
          <cell r="A2340" t="str">
            <v>No.</v>
          </cell>
          <cell r="C2340" t="str">
            <v>U R A I A N</v>
          </cell>
          <cell r="G2340" t="str">
            <v>KODE</v>
          </cell>
          <cell r="H2340" t="str">
            <v>KOEF.</v>
          </cell>
          <cell r="I2340" t="str">
            <v>SATUAN</v>
          </cell>
          <cell r="J2340" t="str">
            <v>KETERANGAN</v>
          </cell>
        </row>
        <row r="2342">
          <cell r="L2342" t="str">
            <v>PROYEK</v>
          </cell>
          <cell r="O2342" t="str">
            <v>:</v>
          </cell>
        </row>
        <row r="2343">
          <cell r="A2343" t="str">
            <v>I.</v>
          </cell>
          <cell r="C2343" t="str">
            <v>ASUMSI</v>
          </cell>
          <cell r="L2343" t="str">
            <v>No. PAKET KONTRAK</v>
          </cell>
          <cell r="O2343" t="str">
            <v>:</v>
          </cell>
        </row>
        <row r="2344">
          <cell r="A2344">
            <v>1</v>
          </cell>
          <cell r="C2344" t="str">
            <v>Pekerjaan dilakukan secara mekananik</v>
          </cell>
          <cell r="L2344" t="str">
            <v>NAMA PAKET</v>
          </cell>
          <cell r="O2344" t="str">
            <v>:</v>
          </cell>
        </row>
        <row r="2345">
          <cell r="A2345">
            <v>2</v>
          </cell>
          <cell r="C2345" t="str">
            <v>Lokasi pekerjaan : sepanjang jalan</v>
          </cell>
          <cell r="L2345" t="str">
            <v>PROP / KAB / KODYA</v>
          </cell>
          <cell r="O2345" t="str">
            <v>:</v>
          </cell>
        </row>
        <row r="2346">
          <cell r="A2346">
            <v>3</v>
          </cell>
          <cell r="C2346" t="str">
            <v>Kondisi Jalan   :  sedang / baik</v>
          </cell>
          <cell r="L2346" t="str">
            <v>ITEM PEMBAYARAN NO.</v>
          </cell>
          <cell r="O2346" t="str">
            <v xml:space="preserve">:  3.4 </v>
          </cell>
          <cell r="R2346" t="str">
            <v>PERKIRAAN VOL. PEK.</v>
          </cell>
          <cell r="T2346" t="str">
            <v>:</v>
          </cell>
          <cell r="U2346">
            <v>0</v>
          </cell>
        </row>
        <row r="2347">
          <cell r="A2347">
            <v>4</v>
          </cell>
          <cell r="C2347" t="str">
            <v>Jam kerja efektif per-hari</v>
          </cell>
          <cell r="G2347" t="str">
            <v>Tk</v>
          </cell>
          <cell r="H2347">
            <v>7</v>
          </cell>
          <cell r="I2347" t="str">
            <v>Jam</v>
          </cell>
          <cell r="L2347" t="str">
            <v>JENIS PEKERJAAN</v>
          </cell>
          <cell r="O2347" t="str">
            <v>:  Pengupasan Permukaan Aspal Lama dan Pencampuran Kembali</v>
          </cell>
          <cell r="R2347" t="str">
            <v>TOTAL HARGA (Rp.)</v>
          </cell>
          <cell r="T2347" t="str">
            <v>:</v>
          </cell>
          <cell r="U2347">
            <v>0</v>
          </cell>
        </row>
        <row r="2348">
          <cell r="A2348">
            <v>5</v>
          </cell>
          <cell r="C2348" t="str">
            <v>Faktor pengembangan bahan</v>
          </cell>
          <cell r="G2348" t="str">
            <v>Fk</v>
          </cell>
          <cell r="H2348">
            <v>1.24</v>
          </cell>
          <cell r="I2348" t="str">
            <v>-</v>
          </cell>
          <cell r="L2348" t="str">
            <v>SATUAN PEMBAYARAN</v>
          </cell>
          <cell r="O2348" t="str">
            <v>:  M2</v>
          </cell>
          <cell r="R2348" t="str">
            <v>% THD. BIAYA PROYEK</v>
          </cell>
          <cell r="T2348" t="str">
            <v>:</v>
          </cell>
          <cell r="U2348" t="e">
            <v>#DIV/0!</v>
          </cell>
        </row>
        <row r="2349">
          <cell r="A2349">
            <v>6</v>
          </cell>
          <cell r="C2349" t="str">
            <v>Tebal penggaruan 15 cm</v>
          </cell>
        </row>
        <row r="2351">
          <cell r="A2351" t="str">
            <v>II.</v>
          </cell>
          <cell r="C2351" t="str">
            <v>URUTAN KERJA</v>
          </cell>
          <cell r="Q2351" t="str">
            <v>PERKIRAAN</v>
          </cell>
          <cell r="R2351" t="str">
            <v>HARGA</v>
          </cell>
          <cell r="S2351" t="str">
            <v>JUMLAH</v>
          </cell>
        </row>
        <row r="2352">
          <cell r="A2352">
            <v>1</v>
          </cell>
          <cell r="C2352" t="str">
            <v>Penggaruan perkerasan dengan alat cold recycler</v>
          </cell>
          <cell r="L2352" t="str">
            <v>NO.</v>
          </cell>
          <cell r="N2352" t="str">
            <v>KOMPONEN</v>
          </cell>
          <cell r="P2352" t="str">
            <v>SATUAN</v>
          </cell>
          <cell r="Q2352" t="str">
            <v>KUANTITAS</v>
          </cell>
          <cell r="R2352" t="str">
            <v>SATUAN</v>
          </cell>
          <cell r="S2352" t="str">
            <v>HARGA</v>
          </cell>
        </row>
        <row r="2353">
          <cell r="A2353">
            <v>2</v>
          </cell>
          <cell r="C2353" t="str">
            <v xml:space="preserve">Pencampuran kembali dengan bahan pengikat di dalam </v>
          </cell>
          <cell r="R2353" t="str">
            <v>(Rp.)</v>
          </cell>
          <cell r="S2353" t="str">
            <v>(Rp.)</v>
          </cell>
        </row>
        <row r="2354">
          <cell r="C2354" t="str">
            <v>cold recycler</v>
          </cell>
        </row>
        <row r="2355">
          <cell r="A2355">
            <v>3</v>
          </cell>
          <cell r="C2355" t="str">
            <v>Penghamparan langsung dari alat cold recycler</v>
          </cell>
        </row>
        <row r="2356">
          <cell r="A2356">
            <v>4</v>
          </cell>
          <cell r="C2356" t="str">
            <v>Pemadatan dengan alat pemadat tandem roller</v>
          </cell>
          <cell r="G2356" t="str">
            <v/>
          </cell>
          <cell r="H2356" t="str">
            <v/>
          </cell>
          <cell r="I2356" t="str">
            <v/>
          </cell>
          <cell r="L2356" t="str">
            <v>A.</v>
          </cell>
          <cell r="N2356" t="str">
            <v>TENAGA</v>
          </cell>
        </row>
        <row r="2358">
          <cell r="L2358" t="str">
            <v>1.</v>
          </cell>
          <cell r="N2358" t="str">
            <v>Pekerja</v>
          </cell>
          <cell r="O2358" t="str">
            <v>(L01)</v>
          </cell>
          <cell r="P2358" t="str">
            <v>Jam</v>
          </cell>
          <cell r="Q2358">
            <v>2</v>
          </cell>
          <cell r="R2358">
            <v>2857.14</v>
          </cell>
          <cell r="U2358">
            <v>5714.28</v>
          </cell>
        </row>
        <row r="2359">
          <cell r="L2359" t="str">
            <v>2.</v>
          </cell>
          <cell r="N2359" t="str">
            <v>Mandor</v>
          </cell>
          <cell r="O2359" t="str">
            <v>(L03)</v>
          </cell>
          <cell r="P2359" t="str">
            <v>Jam</v>
          </cell>
          <cell r="Q2359">
            <v>0.5</v>
          </cell>
          <cell r="R2359">
            <v>3214.29</v>
          </cell>
          <cell r="U2359">
            <v>1607.145</v>
          </cell>
        </row>
        <row r="2360">
          <cell r="A2360" t="str">
            <v>III.</v>
          </cell>
          <cell r="C2360" t="str">
            <v>PEMAKAIAN BAHAN, ALAT DAN TENAGA</v>
          </cell>
        </row>
        <row r="2362">
          <cell r="A2362" t="str">
            <v xml:space="preserve">   1.</v>
          </cell>
          <cell r="C2362" t="str">
            <v>BAHAN</v>
          </cell>
          <cell r="Q2362" t="str">
            <v xml:space="preserve">JUMLAH HARGA TENAGA   </v>
          </cell>
          <cell r="U2362">
            <v>7321.4249999999993</v>
          </cell>
        </row>
        <row r="2363">
          <cell r="C2363" t="str">
            <v xml:space="preserve">Bahan pengikat (semen, aspal dan air) </v>
          </cell>
        </row>
        <row r="2364">
          <cell r="C2364" t="str">
            <v>- semen</v>
          </cell>
          <cell r="D2364">
            <v>0.06</v>
          </cell>
          <cell r="L2364" t="str">
            <v>B.</v>
          </cell>
          <cell r="N2364" t="str">
            <v>BAHAN</v>
          </cell>
        </row>
        <row r="2365">
          <cell r="C2365" t="str">
            <v>- aspal</v>
          </cell>
          <cell r="D2365">
            <v>0.03</v>
          </cell>
        </row>
        <row r="2366">
          <cell r="C2366" t="str">
            <v>- air</v>
          </cell>
        </row>
        <row r="2368">
          <cell r="A2368" t="str">
            <v xml:space="preserve">   2.</v>
          </cell>
          <cell r="C2368" t="str">
            <v>ALAT</v>
          </cell>
        </row>
        <row r="2369">
          <cell r="A2369" t="str">
            <v xml:space="preserve">   2.a.</v>
          </cell>
          <cell r="C2369" t="str">
            <v>COLD RECYCLER</v>
          </cell>
          <cell r="J2369" t="str">
            <v xml:space="preserve"> (E05/26/10/15)</v>
          </cell>
        </row>
        <row r="2370">
          <cell r="C2370" t="str">
            <v>Produksi per jam</v>
          </cell>
          <cell r="G2370" t="str">
            <v>Q1</v>
          </cell>
          <cell r="H2370">
            <v>2</v>
          </cell>
          <cell r="I2370" t="str">
            <v>M3 / Jam</v>
          </cell>
        </row>
        <row r="2372">
          <cell r="C2372" t="str">
            <v>Koefisien Alat / m3</v>
          </cell>
          <cell r="D2372" t="str">
            <v xml:space="preserve"> =  1  :  Q1</v>
          </cell>
          <cell r="G2372" t="str">
            <v>(E05/26)</v>
          </cell>
          <cell r="H2372">
            <v>0.5</v>
          </cell>
          <cell r="I2372" t="str">
            <v>Jam</v>
          </cell>
        </row>
        <row r="2375">
          <cell r="A2375" t="str">
            <v xml:space="preserve">   2.b.</v>
          </cell>
          <cell r="C2375" t="str">
            <v>WATER TANKER</v>
          </cell>
          <cell r="G2375" t="str">
            <v>(E08)</v>
          </cell>
        </row>
        <row r="2378">
          <cell r="A2378" t="str">
            <v xml:space="preserve">   2.c.</v>
          </cell>
          <cell r="C2378" t="str">
            <v>ASPHALT TANKER</v>
          </cell>
        </row>
        <row r="2381">
          <cell r="A2381" t="str">
            <v xml:space="preserve">   2.d.</v>
          </cell>
          <cell r="C2381" t="str">
            <v>CEMENT TANKER</v>
          </cell>
        </row>
        <row r="2397">
          <cell r="J2397" t="str">
            <v>Berlanjut ke halaman berikut</v>
          </cell>
        </row>
        <row r="2398">
          <cell r="A2398" t="str">
            <v>ITEM PEMBAYARAN NO.</v>
          </cell>
          <cell r="D2398" t="str">
            <v xml:space="preserve">:  3.4 </v>
          </cell>
          <cell r="J2398" t="str">
            <v>Analisa EI-312</v>
          </cell>
        </row>
        <row r="2399">
          <cell r="A2399" t="str">
            <v>JENIS PEKERJAAN</v>
          </cell>
          <cell r="D2399" t="str">
            <v>:  Pengupasan Permukaan Aspal Lama dan Pencampuran Kembali</v>
          </cell>
        </row>
        <row r="2400">
          <cell r="A2400" t="str">
            <v>SATUAN PEMBAYARAN</v>
          </cell>
          <cell r="D2400" t="str">
            <v>:  M2</v>
          </cell>
          <cell r="H2400" t="str">
            <v xml:space="preserve">         URAIAN ANALISA HARGA SATUAN</v>
          </cell>
        </row>
        <row r="2401">
          <cell r="J2401" t="str">
            <v>Lanjutan</v>
          </cell>
        </row>
        <row r="2403">
          <cell r="A2403" t="str">
            <v>No.</v>
          </cell>
          <cell r="C2403" t="str">
            <v>U R A I A N</v>
          </cell>
          <cell r="G2403" t="str">
            <v>KODE</v>
          </cell>
          <cell r="H2403" t="str">
            <v>KOEF.</v>
          </cell>
          <cell r="I2403" t="str">
            <v>SATUAN</v>
          </cell>
          <cell r="J2403" t="str">
            <v>KETERANGAN</v>
          </cell>
        </row>
        <row r="2406">
          <cell r="A2406" t="str">
            <v xml:space="preserve">   3.</v>
          </cell>
          <cell r="C2406" t="str">
            <v>TENAGA</v>
          </cell>
        </row>
        <row r="2407">
          <cell r="C2407" t="str">
            <v>Produksi menentukan :COLD RECYCLER</v>
          </cell>
          <cell r="G2407" t="str">
            <v>Q1</v>
          </cell>
          <cell r="H2407">
            <v>2</v>
          </cell>
          <cell r="I2407" t="str">
            <v>M2/Jam</v>
          </cell>
        </row>
        <row r="2408">
          <cell r="C2408" t="str">
            <v>Produksi Galian / hari  =  Tk x Q1</v>
          </cell>
          <cell r="G2408" t="str">
            <v>Qt</v>
          </cell>
          <cell r="H2408">
            <v>14</v>
          </cell>
          <cell r="I2408" t="str">
            <v>M3</v>
          </cell>
        </row>
        <row r="2409">
          <cell r="C2409" t="str">
            <v>Kebutuhan tenaga :</v>
          </cell>
        </row>
        <row r="2410">
          <cell r="D2410" t="str">
            <v>- Pekerja</v>
          </cell>
          <cell r="G2410" t="str">
            <v>P</v>
          </cell>
          <cell r="H2410">
            <v>4</v>
          </cell>
          <cell r="I2410" t="str">
            <v>orang</v>
          </cell>
        </row>
        <row r="2411">
          <cell r="D2411" t="str">
            <v>- Mandor</v>
          </cell>
          <cell r="G2411" t="str">
            <v>M</v>
          </cell>
          <cell r="H2411">
            <v>1</v>
          </cell>
          <cell r="I2411" t="str">
            <v>orang</v>
          </cell>
        </row>
        <row r="2413">
          <cell r="C2413" t="str">
            <v>Koefisien tenaga / M3   :</v>
          </cell>
        </row>
        <row r="2414">
          <cell r="D2414" t="str">
            <v>- Pekerja</v>
          </cell>
          <cell r="E2414" t="str">
            <v>= (Tk x P) : Qt</v>
          </cell>
          <cell r="G2414" t="str">
            <v>(L01)</v>
          </cell>
          <cell r="H2414">
            <v>2</v>
          </cell>
          <cell r="I2414" t="str">
            <v>Jam</v>
          </cell>
        </row>
        <row r="2415">
          <cell r="D2415" t="str">
            <v>- Mandor</v>
          </cell>
          <cell r="E2415" t="str">
            <v>= (Tk x M) : Qt</v>
          </cell>
          <cell r="G2415" t="str">
            <v>(L03)</v>
          </cell>
          <cell r="H2415">
            <v>0.5</v>
          </cell>
          <cell r="I2415" t="str">
            <v>Jam</v>
          </cell>
        </row>
        <row r="2417">
          <cell r="A2417" t="str">
            <v>4.</v>
          </cell>
          <cell r="C2417" t="str">
            <v>HARGA DASAR SATUAN UPAH, BAHAN DAN ALAT</v>
          </cell>
        </row>
        <row r="2418">
          <cell r="C2418" t="str">
            <v>Lihat lampiran.</v>
          </cell>
        </row>
        <row r="2420">
          <cell r="A2420" t="str">
            <v>5.</v>
          </cell>
          <cell r="C2420" t="str">
            <v>ANALISA HARGA SATUAN PEKERJAAN</v>
          </cell>
        </row>
        <row r="2421">
          <cell r="C2421" t="str">
            <v>Lihat perhitungan dalam FORMULIR STANDAR UNTUK</v>
          </cell>
        </row>
        <row r="2422">
          <cell r="C2422" t="str">
            <v>PEREKEMAN ANALISA MASING-MASING HARGA</v>
          </cell>
        </row>
        <row r="2423">
          <cell r="C2423" t="str">
            <v>SATUAN.</v>
          </cell>
        </row>
        <row r="2424">
          <cell r="C2424" t="str">
            <v>Didapat Harga Satuan Pekerjaan :</v>
          </cell>
        </row>
        <row r="2426">
          <cell r="C2426" t="str">
            <v xml:space="preserve">Rp.  </v>
          </cell>
          <cell r="D2426">
            <v>8053.5674999999992</v>
          </cell>
          <cell r="E2426" t="str">
            <v xml:space="preserve"> / M3</v>
          </cell>
        </row>
        <row r="2429">
          <cell r="A2429" t="str">
            <v>6.</v>
          </cell>
          <cell r="C2429" t="str">
            <v>WAKTU PELAKSANAAN YANG DIPERLUKAN</v>
          </cell>
        </row>
        <row r="2430">
          <cell r="C2430" t="str">
            <v>Masa Pelaksanaan :</v>
          </cell>
          <cell r="D2430" t="str">
            <v>. . . . . . . . . . . .</v>
          </cell>
          <cell r="E2430" t="str">
            <v>bulan</v>
          </cell>
        </row>
        <row r="2432">
          <cell r="A2432" t="str">
            <v>7.</v>
          </cell>
          <cell r="C2432" t="str">
            <v>VOLUME PEKERJAAN YANG DIPERLUKAN</v>
          </cell>
        </row>
        <row r="2433">
          <cell r="C2433" t="str">
            <v>Volume pekerjaan  :</v>
          </cell>
          <cell r="D2433">
            <v>0</v>
          </cell>
          <cell r="E2433" t="str">
            <v>M3</v>
          </cell>
        </row>
        <row r="2452">
          <cell r="N2452" t="str">
            <v>yang dibayar dari kontrak) dan biaya-biaya lainnya.</v>
          </cell>
        </row>
        <row r="2453">
          <cell r="A2453" t="str">
            <v>ITEM PEMBAYARAN NO.</v>
          </cell>
          <cell r="D2453" t="str">
            <v>:  3.2 (4)</v>
          </cell>
          <cell r="J2453">
            <v>0</v>
          </cell>
          <cell r="T2453" t="str">
            <v>Analisa EI-322</v>
          </cell>
        </row>
        <row r="2454">
          <cell r="A2454" t="str">
            <v>JENIS PEKERJAAN</v>
          </cell>
          <cell r="D2454" t="str">
            <v xml:space="preserve">:  Timbunan Batu dengan Manual </v>
          </cell>
        </row>
        <row r="2455">
          <cell r="A2455" t="str">
            <v>SATUAN PEMBAYARAN</v>
          </cell>
          <cell r="D2455" t="str">
            <v>:  M3</v>
          </cell>
          <cell r="E2455" t="str">
            <v/>
          </cell>
          <cell r="H2455" t="str">
            <v xml:space="preserve">         URAIAN ANALISA HARGA SATUAN</v>
          </cell>
          <cell r="L2455" t="str">
            <v>FORMULIR STANDAR UNTUK</v>
          </cell>
        </row>
        <row r="2456">
          <cell r="L2456" t="str">
            <v>PEREKAMAN ANALISA MASING-MASING HARGA SATUAN</v>
          </cell>
        </row>
        <row r="2457">
          <cell r="L2457" t="str">
            <v/>
          </cell>
        </row>
        <row r="2458">
          <cell r="A2458" t="str">
            <v>No.</v>
          </cell>
          <cell r="C2458" t="str">
            <v>U R A I A N</v>
          </cell>
          <cell r="G2458" t="str">
            <v>KODE</v>
          </cell>
          <cell r="H2458" t="str">
            <v>KOEF.</v>
          </cell>
          <cell r="I2458" t="str">
            <v>SATUAN</v>
          </cell>
          <cell r="J2458" t="str">
            <v>KETERANGAN</v>
          </cell>
        </row>
        <row r="2460">
          <cell r="L2460" t="str">
            <v>PROYEK</v>
          </cell>
          <cell r="O2460" t="str">
            <v>:</v>
          </cell>
        </row>
        <row r="2461">
          <cell r="A2461" t="str">
            <v>I.</v>
          </cell>
          <cell r="C2461" t="str">
            <v>ASUMSI</v>
          </cell>
          <cell r="L2461" t="str">
            <v>No. PAKET KONTRAK</v>
          </cell>
          <cell r="O2461" t="str">
            <v>:</v>
          </cell>
        </row>
        <row r="2462">
          <cell r="A2462">
            <v>1</v>
          </cell>
          <cell r="C2462" t="str">
            <v>Pekerjaan dilakukan secara manual</v>
          </cell>
          <cell r="L2462" t="str">
            <v>NAMA PAKET</v>
          </cell>
          <cell r="O2462" t="str">
            <v>:</v>
          </cell>
        </row>
        <row r="2463">
          <cell r="A2463">
            <v>2</v>
          </cell>
          <cell r="C2463" t="str">
            <v>Lokasi pekerjaan : sepanjang jalan</v>
          </cell>
          <cell r="L2463" t="str">
            <v>PROP / KAB / KODYA</v>
          </cell>
          <cell r="O2463" t="str">
            <v>:</v>
          </cell>
        </row>
        <row r="2464">
          <cell r="A2464">
            <v>3</v>
          </cell>
          <cell r="C2464" t="str">
            <v>Kondisi Jalan   :  sedang / baik</v>
          </cell>
          <cell r="L2464" t="str">
            <v>ITEM PEMBAYARAN NO.</v>
          </cell>
          <cell r="O2464" t="str">
            <v>:  3.2 (4)</v>
          </cell>
          <cell r="R2464" t="str">
            <v>PERKIRAAN VOL. PEK.</v>
          </cell>
          <cell r="T2464" t="str">
            <v>:</v>
          </cell>
          <cell r="U2464">
            <v>1</v>
          </cell>
        </row>
        <row r="2465">
          <cell r="A2465">
            <v>4</v>
          </cell>
          <cell r="C2465" t="str">
            <v>Jam kerja efektif per-hari</v>
          </cell>
          <cell r="G2465" t="str">
            <v>Tk</v>
          </cell>
          <cell r="H2465">
            <v>7</v>
          </cell>
          <cell r="I2465" t="str">
            <v>Jam</v>
          </cell>
          <cell r="L2465" t="str">
            <v>JENIS PEKERJAAN</v>
          </cell>
          <cell r="O2465" t="str">
            <v xml:space="preserve">:  Timbunan Batu dengan Manual </v>
          </cell>
          <cell r="R2465" t="str">
            <v>TOTAL HARGA (Rp.)</v>
          </cell>
          <cell r="T2465" t="str">
            <v>:</v>
          </cell>
          <cell r="U2465">
            <v>263185.3</v>
          </cell>
        </row>
        <row r="2466">
          <cell r="A2466">
            <v>5</v>
          </cell>
          <cell r="C2466" t="str">
            <v>Faktor pengembangan bahan</v>
          </cell>
          <cell r="G2466" t="str">
            <v>Fk</v>
          </cell>
          <cell r="H2466">
            <v>1.24</v>
          </cell>
          <cell r="I2466" t="str">
            <v>-</v>
          </cell>
          <cell r="L2466" t="str">
            <v>SATUAN PEMBAYARAN</v>
          </cell>
          <cell r="O2466" t="str">
            <v>:  M3</v>
          </cell>
          <cell r="P2466" t="str">
            <v/>
          </cell>
          <cell r="R2466" t="str">
            <v>% THD. BIAYA PROYEK</v>
          </cell>
          <cell r="T2466" t="str">
            <v>:</v>
          </cell>
          <cell r="U2466" t="e">
            <v>#DIV/0!</v>
          </cell>
        </row>
        <row r="2467">
          <cell r="A2467">
            <v>6</v>
          </cell>
          <cell r="C2467" t="str">
            <v>Tebal hamparan padat</v>
          </cell>
          <cell r="G2467" t="str">
            <v>t</v>
          </cell>
          <cell r="H2467">
            <v>0.45</v>
          </cell>
          <cell r="I2467" t="str">
            <v>M</v>
          </cell>
        </row>
        <row r="2469">
          <cell r="A2469" t="str">
            <v>II.</v>
          </cell>
          <cell r="C2469" t="str">
            <v>URUTAN KERJA</v>
          </cell>
          <cell r="Q2469" t="str">
            <v>PERKIRAAN</v>
          </cell>
          <cell r="R2469" t="str">
            <v>HARGA</v>
          </cell>
          <cell r="S2469" t="str">
            <v>JUMLAH</v>
          </cell>
        </row>
        <row r="2470">
          <cell r="A2470">
            <v>1</v>
          </cell>
          <cell r="C2470" t="str">
            <v>Whell Loader memuat batu ke dalam Dump Truck</v>
          </cell>
          <cell r="L2470" t="str">
            <v>NO.</v>
          </cell>
          <cell r="N2470" t="str">
            <v>KOMPONEN</v>
          </cell>
          <cell r="P2470" t="str">
            <v>SATUAN</v>
          </cell>
          <cell r="Q2470" t="str">
            <v>KUANTITAS</v>
          </cell>
          <cell r="R2470" t="str">
            <v>SATUAN</v>
          </cell>
          <cell r="S2470" t="str">
            <v>HARGA</v>
          </cell>
        </row>
        <row r="2471">
          <cell r="A2471">
            <v>2</v>
          </cell>
          <cell r="C2471" t="str">
            <v>Dump Truck mengangkut ke lapangan dengan jarak</v>
          </cell>
          <cell r="R2471" t="str">
            <v>(Rp.)</v>
          </cell>
          <cell r="S2471" t="str">
            <v>(Rp.)</v>
          </cell>
        </row>
        <row r="2472">
          <cell r="C2472" t="str">
            <v>quari ke lapangan</v>
          </cell>
          <cell r="G2472" t="str">
            <v>L</v>
          </cell>
          <cell r="H2472">
            <v>80.61</v>
          </cell>
          <cell r="I2472" t="str">
            <v>Km</v>
          </cell>
        </row>
        <row r="2473">
          <cell r="A2473">
            <v>3</v>
          </cell>
          <cell r="C2473" t="str">
            <v>Material Timbunan Batu dihampar secara Manual</v>
          </cell>
        </row>
        <row r="2474">
          <cell r="A2474">
            <v>4</v>
          </cell>
          <cell r="C2474" t="str">
            <v>Hamparan batu dipadatkan menggunakan Vibratory</v>
          </cell>
        </row>
        <row r="2475">
          <cell r="C2475" t="str">
            <v>Roller</v>
          </cell>
        </row>
        <row r="2476">
          <cell r="A2476">
            <v>5</v>
          </cell>
          <cell r="C2476" t="str">
            <v>Agregat pengunci dihampar dari Dump Truck, diratakan</v>
          </cell>
        </row>
        <row r="2477">
          <cell r="C2477" t="str">
            <v>menggunakan Bulldozer</v>
          </cell>
        </row>
        <row r="2478">
          <cell r="A2478">
            <v>6</v>
          </cell>
          <cell r="C2478" t="str">
            <v>Hamparan material dipadatkan menggunakan Vibratory</v>
          </cell>
          <cell r="L2478" t="str">
            <v>A.</v>
          </cell>
          <cell r="N2478" t="str">
            <v>TENAGA</v>
          </cell>
        </row>
        <row r="2479">
          <cell r="C2479" t="str">
            <v>Roller</v>
          </cell>
        </row>
        <row r="2480">
          <cell r="C2480" t="str">
            <v/>
          </cell>
          <cell r="L2480" t="str">
            <v>1.</v>
          </cell>
          <cell r="N2480" t="str">
            <v>Pekerja</v>
          </cell>
          <cell r="O2480" t="str">
            <v>(L01)</v>
          </cell>
          <cell r="P2480" t="str">
            <v>Jam</v>
          </cell>
          <cell r="Q2480">
            <v>0.14755317566562548</v>
          </cell>
          <cell r="R2480">
            <v>2857.14</v>
          </cell>
          <cell r="U2480">
            <v>421.58008032128515</v>
          </cell>
        </row>
        <row r="2481">
          <cell r="A2481">
            <v>7</v>
          </cell>
          <cell r="C2481" t="str">
            <v>Selama pemadatan sekelompok pekerja  akan</v>
          </cell>
          <cell r="L2481" t="str">
            <v>2.</v>
          </cell>
          <cell r="N2481" t="str">
            <v>Mandor</v>
          </cell>
          <cell r="O2481" t="str">
            <v>(L02)</v>
          </cell>
          <cell r="P2481" t="str">
            <v>Jam</v>
          </cell>
          <cell r="Q2481">
            <v>1.8444146958203185E-2</v>
          </cell>
          <cell r="R2481">
            <v>3214.29</v>
          </cell>
          <cell r="U2481">
            <v>59.284837126282916</v>
          </cell>
        </row>
        <row r="2482">
          <cell r="C2482" t="str">
            <v>merapikan tepi hamparan dan level permukaan</v>
          </cell>
        </row>
        <row r="2483">
          <cell r="C2483" t="str">
            <v>dengan menggunakan alat bantu</v>
          </cell>
        </row>
        <row r="2484">
          <cell r="Q2484" t="str">
            <v xml:space="preserve">JUMLAH HARGA TENAGA   </v>
          </cell>
          <cell r="U2484">
            <v>480.86491744756808</v>
          </cell>
        </row>
        <row r="2485">
          <cell r="A2485" t="str">
            <v>III.</v>
          </cell>
          <cell r="C2485" t="str">
            <v>PEMAKAIAN BAHAN, ALAT DAN TENAGA</v>
          </cell>
        </row>
        <row r="2486">
          <cell r="A2486" t="str">
            <v xml:space="preserve">   1.</v>
          </cell>
          <cell r="C2486" t="str">
            <v>BAHAN</v>
          </cell>
          <cell r="L2486" t="str">
            <v>B.</v>
          </cell>
          <cell r="N2486" t="str">
            <v>BAHAN</v>
          </cell>
        </row>
        <row r="2487">
          <cell r="A2487" t="str">
            <v>1.a.</v>
          </cell>
          <cell r="C2487" t="str">
            <v>Bahan timbunan</v>
          </cell>
          <cell r="D2487" t="str">
            <v xml:space="preserve"> =  1 x  Fk</v>
          </cell>
          <cell r="G2487" t="str">
            <v>(M08)</v>
          </cell>
          <cell r="H2487">
            <v>1.24</v>
          </cell>
          <cell r="I2487" t="str">
            <v>M3</v>
          </cell>
          <cell r="J2487" t="str">
            <v xml:space="preserve"> Borrow Pit</v>
          </cell>
        </row>
        <row r="2489">
          <cell r="A2489" t="str">
            <v xml:space="preserve">   2.</v>
          </cell>
          <cell r="C2489" t="str">
            <v>ALAT</v>
          </cell>
        </row>
        <row r="2490">
          <cell r="A2490" t="str">
            <v>2.a.</v>
          </cell>
          <cell r="C2490" t="str">
            <v>WHELL  LOADER</v>
          </cell>
          <cell r="G2490" t="str">
            <v>(E15)</v>
          </cell>
        </row>
        <row r="2491">
          <cell r="C2491" t="str">
            <v>Kapasitas  Bucket</v>
          </cell>
          <cell r="G2491" t="str">
            <v>V</v>
          </cell>
          <cell r="H2491">
            <v>1.5</v>
          </cell>
          <cell r="I2491" t="str">
            <v>M3</v>
          </cell>
        </row>
        <row r="2492">
          <cell r="C2492" t="str">
            <v>Faktor Bucket</v>
          </cell>
          <cell r="G2492" t="str">
            <v>Fb</v>
          </cell>
          <cell r="H2492">
            <v>0.9</v>
          </cell>
          <cell r="I2492" t="str">
            <v>-</v>
          </cell>
        </row>
        <row r="2493">
          <cell r="C2493" t="str">
            <v>Faktor Efisiensi Alat</v>
          </cell>
          <cell r="G2493" t="str">
            <v>Fa</v>
          </cell>
          <cell r="H2493">
            <v>0.83</v>
          </cell>
          <cell r="I2493" t="str">
            <v>-</v>
          </cell>
        </row>
        <row r="2494">
          <cell r="C2494" t="str">
            <v>Waktu sklus</v>
          </cell>
          <cell r="G2494" t="str">
            <v>Ts1</v>
          </cell>
          <cell r="I2494" t="str">
            <v>menit</v>
          </cell>
        </row>
        <row r="2495">
          <cell r="C2495" t="str">
            <v>- Muat</v>
          </cell>
          <cell r="G2495" t="str">
            <v>T1</v>
          </cell>
          <cell r="H2495">
            <v>0.5</v>
          </cell>
          <cell r="I2495" t="str">
            <v>menit</v>
          </cell>
        </row>
        <row r="2496">
          <cell r="C2496" t="str">
            <v>- Lain-lain</v>
          </cell>
          <cell r="G2496" t="str">
            <v>T2</v>
          </cell>
          <cell r="H2496">
            <v>0.5</v>
          </cell>
          <cell r="I2496" t="str">
            <v>menit</v>
          </cell>
        </row>
        <row r="2497">
          <cell r="G2497" t="str">
            <v>Ts1</v>
          </cell>
          <cell r="H2497">
            <v>1</v>
          </cell>
          <cell r="I2497" t="str">
            <v>menit</v>
          </cell>
        </row>
        <row r="2499">
          <cell r="C2499" t="str">
            <v>Kapasitas Produksi / Jam =</v>
          </cell>
          <cell r="E2499" t="str">
            <v>V  x  Fb x Fa x 60</v>
          </cell>
          <cell r="G2499" t="str">
            <v>Q1</v>
          </cell>
          <cell r="H2499">
            <v>54.217741935483872</v>
          </cell>
          <cell r="I2499" t="str">
            <v>M3</v>
          </cell>
        </row>
        <row r="2500">
          <cell r="E2500" t="str">
            <v xml:space="preserve">      Fk x Ts1</v>
          </cell>
        </row>
        <row r="2502">
          <cell r="C2502" t="str">
            <v>Koefisienalat / M3</v>
          </cell>
          <cell r="D2502" t="str">
            <v xml:space="preserve"> =   1 : Q1</v>
          </cell>
          <cell r="G2502" t="str">
            <v>(E15)</v>
          </cell>
          <cell r="H2502">
            <v>1.8444146958203182E-2</v>
          </cell>
          <cell r="I2502" t="str">
            <v>Jam</v>
          </cell>
        </row>
        <row r="2504">
          <cell r="A2504" t="str">
            <v xml:space="preserve">   2.b.</v>
          </cell>
          <cell r="C2504" t="str">
            <v>DUMP TRUCK</v>
          </cell>
          <cell r="G2504" t="str">
            <v>(E08)</v>
          </cell>
        </row>
        <row r="2505">
          <cell r="C2505" t="str">
            <v>Kapasitas bak</v>
          </cell>
          <cell r="G2505" t="str">
            <v>V</v>
          </cell>
          <cell r="H2505">
            <v>6.666666666666667</v>
          </cell>
          <cell r="I2505" t="str">
            <v>M3</v>
          </cell>
        </row>
        <row r="2506">
          <cell r="C2506" t="str">
            <v>Faktor  efisiensi alat</v>
          </cell>
          <cell r="G2506" t="str">
            <v>Fa</v>
          </cell>
          <cell r="H2506">
            <v>0.83</v>
          </cell>
          <cell r="I2506" t="str">
            <v>-</v>
          </cell>
        </row>
        <row r="2507">
          <cell r="C2507" t="str">
            <v>Kecepatan rata-rata bermuatan</v>
          </cell>
          <cell r="G2507" t="str">
            <v>v1</v>
          </cell>
          <cell r="H2507">
            <v>40</v>
          </cell>
          <cell r="I2507" t="str">
            <v>KM/Jam</v>
          </cell>
        </row>
        <row r="2508">
          <cell r="C2508" t="str">
            <v>Kecepatan rata-rata kosong</v>
          </cell>
          <cell r="G2508" t="str">
            <v>v2</v>
          </cell>
          <cell r="H2508">
            <v>60</v>
          </cell>
          <cell r="I2508" t="str">
            <v>KM/Jam</v>
          </cell>
        </row>
        <row r="2509">
          <cell r="C2509" t="str">
            <v>Waktusiklus :</v>
          </cell>
          <cell r="G2509" t="str">
            <v>Ts2</v>
          </cell>
        </row>
        <row r="2510">
          <cell r="C2510" t="str">
            <v>-  Waktu tempuh isi   = (L : v1) x 60</v>
          </cell>
          <cell r="G2510" t="str">
            <v>T1</v>
          </cell>
          <cell r="H2510">
            <v>120.91499999999999</v>
          </cell>
          <cell r="I2510" t="str">
            <v>menit</v>
          </cell>
        </row>
        <row r="2511">
          <cell r="C2511" t="str">
            <v>-  Waktu tempuh kosong   = (L : v2) x 60</v>
          </cell>
          <cell r="G2511" t="str">
            <v>T2</v>
          </cell>
          <cell r="H2511">
            <v>80.61</v>
          </cell>
          <cell r="I2511" t="str">
            <v>menit</v>
          </cell>
        </row>
        <row r="2512">
          <cell r="C2512" t="str">
            <v>- Lain-lain</v>
          </cell>
          <cell r="G2512" t="str">
            <v>T3</v>
          </cell>
          <cell r="H2512">
            <v>4</v>
          </cell>
          <cell r="I2512" t="str">
            <v>menit</v>
          </cell>
        </row>
        <row r="2513">
          <cell r="G2513" t="str">
            <v>Ts2</v>
          </cell>
          <cell r="H2513">
            <v>205.52499999999998</v>
          </cell>
          <cell r="I2513" t="str">
            <v>menit</v>
          </cell>
        </row>
        <row r="2517">
          <cell r="J2517" t="str">
            <v>Berlanjut ke halaman berikut</v>
          </cell>
        </row>
        <row r="2518">
          <cell r="A2518" t="str">
            <v>ITEM PEMBAYARAN NO.</v>
          </cell>
          <cell r="D2518" t="str">
            <v>:  3.2 (4)</v>
          </cell>
          <cell r="J2518">
            <v>0</v>
          </cell>
        </row>
        <row r="2519">
          <cell r="A2519" t="str">
            <v>JENIS PEKERJAAN</v>
          </cell>
          <cell r="D2519" t="str">
            <v xml:space="preserve">:  Timbunan Batu dengan Manual </v>
          </cell>
        </row>
        <row r="2520">
          <cell r="A2520" t="str">
            <v>SATUAN PEMBAYARAN</v>
          </cell>
          <cell r="D2520" t="str">
            <v>:  M3</v>
          </cell>
          <cell r="E2520" t="str">
            <v/>
          </cell>
          <cell r="H2520" t="str">
            <v xml:space="preserve">         URAIAN ANALISA HARGA SATUAN</v>
          </cell>
        </row>
        <row r="2521">
          <cell r="J2521" t="str">
            <v>Lanjutan</v>
          </cell>
        </row>
        <row r="2523">
          <cell r="A2523" t="str">
            <v>No.</v>
          </cell>
          <cell r="C2523" t="str">
            <v>U R A I A N</v>
          </cell>
          <cell r="G2523" t="str">
            <v>KODE</v>
          </cell>
          <cell r="H2523" t="str">
            <v>KOEF.</v>
          </cell>
          <cell r="I2523" t="str">
            <v>SATUAN</v>
          </cell>
          <cell r="J2523" t="str">
            <v>KETERANGAN</v>
          </cell>
        </row>
        <row r="2526">
          <cell r="C2526" t="str">
            <v>Kapasitas Produksi / Jam   =</v>
          </cell>
          <cell r="E2526" t="str">
            <v>V x Fa x 60</v>
          </cell>
          <cell r="G2526" t="str">
            <v>Q2</v>
          </cell>
          <cell r="H2526">
            <v>1.3027219826486851</v>
          </cell>
          <cell r="I2526" t="str">
            <v>M3</v>
          </cell>
        </row>
        <row r="2527">
          <cell r="E2527" t="str">
            <v xml:space="preserve">    Fk x Ts2</v>
          </cell>
        </row>
        <row r="2529">
          <cell r="C2529" t="str">
            <v>Koefisien Alat / M3</v>
          </cell>
          <cell r="D2529" t="str">
            <v xml:space="preserve"> =  1  :  Q2</v>
          </cell>
          <cell r="G2529" t="str">
            <v>(E08)</v>
          </cell>
          <cell r="H2529">
            <v>0.76762349397590346</v>
          </cell>
          <cell r="I2529" t="str">
            <v>Jam</v>
          </cell>
        </row>
        <row r="2531">
          <cell r="A2531" t="str">
            <v>2.c.</v>
          </cell>
          <cell r="C2531" t="str">
            <v>BULLDOZER</v>
          </cell>
          <cell r="G2531" t="str">
            <v>(E13)</v>
          </cell>
        </row>
        <row r="2532">
          <cell r="C2532" t="str">
            <v>Panjang hamparan</v>
          </cell>
          <cell r="G2532" t="str">
            <v>Lh</v>
          </cell>
          <cell r="H2532">
            <v>50</v>
          </cell>
          <cell r="I2532" t="str">
            <v>M</v>
          </cell>
        </row>
        <row r="2533">
          <cell r="C2533" t="str">
            <v>Lebar Efektif kerja Blade</v>
          </cell>
          <cell r="G2533" t="str">
            <v>b</v>
          </cell>
          <cell r="H2533">
            <v>2.4</v>
          </cell>
          <cell r="I2533" t="str">
            <v>M</v>
          </cell>
        </row>
        <row r="2534">
          <cell r="C2534" t="str">
            <v>Faktor Efisiensi Alat</v>
          </cell>
          <cell r="G2534" t="str">
            <v>Fa</v>
          </cell>
          <cell r="H2534">
            <v>0.83</v>
          </cell>
          <cell r="I2534" t="str">
            <v>-</v>
          </cell>
        </row>
        <row r="2535">
          <cell r="C2535" t="str">
            <v>Kecepatan rata-rata alat</v>
          </cell>
          <cell r="G2535" t="str">
            <v>v</v>
          </cell>
          <cell r="H2535">
            <v>5</v>
          </cell>
          <cell r="I2535" t="str">
            <v>Km / Jam</v>
          </cell>
        </row>
        <row r="2536">
          <cell r="C2536" t="str">
            <v>Jumlah lintasan</v>
          </cell>
          <cell r="G2536" t="str">
            <v>n</v>
          </cell>
          <cell r="H2536">
            <v>5</v>
          </cell>
          <cell r="I2536" t="str">
            <v>lintasan</v>
          </cell>
        </row>
        <row r="2537">
          <cell r="C2537" t="str">
            <v>Waktu siklus</v>
          </cell>
          <cell r="G2537" t="str">
            <v>Ts3</v>
          </cell>
        </row>
        <row r="2538">
          <cell r="C2538" t="str">
            <v>- Perataan 1 kali lintasan    = Lh : (v x 1000) x 60</v>
          </cell>
          <cell r="G2538" t="str">
            <v>T1</v>
          </cell>
          <cell r="H2538">
            <v>0.6</v>
          </cell>
          <cell r="I2538" t="str">
            <v>menit</v>
          </cell>
        </row>
        <row r="2539">
          <cell r="C2539" t="str">
            <v>- Lain-lain</v>
          </cell>
          <cell r="G2539" t="str">
            <v>T2</v>
          </cell>
          <cell r="H2539">
            <v>0.5</v>
          </cell>
          <cell r="I2539" t="str">
            <v>menit</v>
          </cell>
        </row>
        <row r="2540">
          <cell r="G2540" t="str">
            <v>Ts3</v>
          </cell>
          <cell r="H2540">
            <v>1.1000000000000001</v>
          </cell>
          <cell r="I2540" t="str">
            <v>menit</v>
          </cell>
        </row>
        <row r="2542">
          <cell r="C2542" t="str">
            <v>Kapasitas Produksi / Jam   =</v>
          </cell>
          <cell r="E2542" t="str">
            <v>Lh x b x t x Fa x 60</v>
          </cell>
          <cell r="G2542" t="str">
            <v>Q3</v>
          </cell>
          <cell r="H2542">
            <v>488.94545454545454</v>
          </cell>
          <cell r="I2542" t="str">
            <v>M3</v>
          </cell>
        </row>
        <row r="2543">
          <cell r="E2543" t="str">
            <v xml:space="preserve">      n x Ts3</v>
          </cell>
        </row>
        <row r="2545">
          <cell r="C2545" t="str">
            <v>Koefisien Alat / M3</v>
          </cell>
          <cell r="D2545" t="str">
            <v xml:space="preserve"> =  1  :  Q3</v>
          </cell>
          <cell r="G2545" t="str">
            <v>(E13)</v>
          </cell>
          <cell r="H2545">
            <v>2.045217908671724E-3</v>
          </cell>
          <cell r="I2545" t="str">
            <v>Jam</v>
          </cell>
        </row>
        <row r="2547">
          <cell r="A2547" t="str">
            <v>2.d.</v>
          </cell>
          <cell r="C2547" t="str">
            <v>VIBRATORY ROLLER</v>
          </cell>
          <cell r="G2547" t="str">
            <v>(E19)</v>
          </cell>
        </row>
        <row r="2548">
          <cell r="C2548" t="str">
            <v>Kecepatan rata-rata alat</v>
          </cell>
          <cell r="G2548" t="str">
            <v>v</v>
          </cell>
          <cell r="H2548">
            <v>4</v>
          </cell>
          <cell r="I2548" t="str">
            <v>Km / Jam</v>
          </cell>
        </row>
        <row r="2549">
          <cell r="C2549" t="str">
            <v>Lebar efektif pemadatan</v>
          </cell>
          <cell r="G2549" t="str">
            <v>b</v>
          </cell>
          <cell r="H2549">
            <v>1.2</v>
          </cell>
          <cell r="I2549" t="str">
            <v>M</v>
          </cell>
        </row>
        <row r="2550">
          <cell r="C2550" t="str">
            <v>Jumlah lintasan</v>
          </cell>
          <cell r="G2550" t="str">
            <v>n</v>
          </cell>
          <cell r="H2550">
            <v>6</v>
          </cell>
          <cell r="I2550" t="str">
            <v>lintasan</v>
          </cell>
        </row>
        <row r="2551">
          <cell r="C2551" t="str">
            <v>Faktor efisiensi alat</v>
          </cell>
          <cell r="G2551" t="str">
            <v>Fa</v>
          </cell>
          <cell r="H2551">
            <v>0.83</v>
          </cell>
          <cell r="I2551" t="str">
            <v>-</v>
          </cell>
        </row>
        <row r="2553">
          <cell r="C2553" t="str">
            <v>Kapasitas Prod./Jam   =</v>
          </cell>
          <cell r="D2553" t="str">
            <v>(v x 1000) x b x t x Fa</v>
          </cell>
          <cell r="G2553" t="str">
            <v>Q4</v>
          </cell>
          <cell r="H2553">
            <v>298.8</v>
          </cell>
          <cell r="I2553" t="str">
            <v>M3</v>
          </cell>
        </row>
        <row r="2554">
          <cell r="D2554" t="str">
            <v>n</v>
          </cell>
        </row>
        <row r="2556">
          <cell r="C2556" t="str">
            <v>Koefisien Alat / M3</v>
          </cell>
          <cell r="D2556" t="str">
            <v xml:space="preserve"> =  1  :  Q4</v>
          </cell>
          <cell r="G2556" t="str">
            <v>(E19)</v>
          </cell>
          <cell r="H2556">
            <v>3.3467202141900937E-3</v>
          </cell>
          <cell r="I2556" t="str">
            <v>Jam</v>
          </cell>
        </row>
        <row r="2570">
          <cell r="A2570" t="str">
            <v>2.f.</v>
          </cell>
          <cell r="C2570" t="str">
            <v>ALAT  BANTU</v>
          </cell>
        </row>
        <row r="2571">
          <cell r="C2571" t="str">
            <v>Diperlukan alat-alat bantu kecil</v>
          </cell>
          <cell r="J2571" t="str">
            <v>Lump Sump</v>
          </cell>
        </row>
        <row r="2572">
          <cell r="C2572" t="str">
            <v xml:space="preserve">- Sekop    </v>
          </cell>
          <cell r="D2572" t="str">
            <v>= 2 buah</v>
          </cell>
        </row>
        <row r="2573">
          <cell r="C2573" t="str">
            <v>- Palu besar</v>
          </cell>
          <cell r="D2573" t="str">
            <v>= 1 buah</v>
          </cell>
        </row>
        <row r="2574">
          <cell r="C2574" t="str">
            <v>- Kereta dorong</v>
          </cell>
          <cell r="D2574" t="str">
            <v>= 6 buah</v>
          </cell>
        </row>
        <row r="2576">
          <cell r="J2576" t="str">
            <v>Berlanjut ke halaman berikut</v>
          </cell>
        </row>
        <row r="2577">
          <cell r="A2577" t="str">
            <v>ITEM PEMBAYARAN NO.</v>
          </cell>
          <cell r="D2577" t="str">
            <v>:  3.2 (4)</v>
          </cell>
          <cell r="J2577">
            <v>0</v>
          </cell>
        </row>
        <row r="2578">
          <cell r="A2578" t="str">
            <v>JENIS PEKERJAAN</v>
          </cell>
          <cell r="D2578" t="str">
            <v xml:space="preserve">:  Timbunan Batu dengan Manual </v>
          </cell>
        </row>
        <row r="2579">
          <cell r="A2579" t="str">
            <v>SATUAN PEMBAYARAN</v>
          </cell>
          <cell r="D2579" t="str">
            <v>:  M3</v>
          </cell>
          <cell r="E2579" t="str">
            <v/>
          </cell>
          <cell r="H2579" t="str">
            <v xml:space="preserve">         URAIAN ANALISA HARGA SATUAN</v>
          </cell>
        </row>
        <row r="2580">
          <cell r="J2580" t="str">
            <v>Lanjutan</v>
          </cell>
        </row>
        <row r="2582">
          <cell r="A2582" t="str">
            <v>No.</v>
          </cell>
          <cell r="C2582" t="str">
            <v>U R A I A N</v>
          </cell>
          <cell r="G2582" t="str">
            <v>KODE</v>
          </cell>
          <cell r="H2582" t="str">
            <v>KOEF.</v>
          </cell>
          <cell r="I2582" t="str">
            <v>SATUAN</v>
          </cell>
          <cell r="J2582" t="str">
            <v>KETERANGAN</v>
          </cell>
        </row>
        <row r="2585">
          <cell r="A2585" t="str">
            <v xml:space="preserve">   3.</v>
          </cell>
          <cell r="C2585" t="str">
            <v>TENAGA</v>
          </cell>
        </row>
        <row r="2586">
          <cell r="C2586" t="str">
            <v>Produksi menentukan : DUMP TRUCK</v>
          </cell>
          <cell r="G2586" t="str">
            <v>Q1</v>
          </cell>
          <cell r="H2586">
            <v>54.217741935483872</v>
          </cell>
          <cell r="I2586" t="str">
            <v>M3/Jam</v>
          </cell>
        </row>
        <row r="2587">
          <cell r="C2587" t="str">
            <v>Produksi Timbunan / hari  =  Tk x Q1</v>
          </cell>
          <cell r="G2587" t="str">
            <v>Qt</v>
          </cell>
          <cell r="H2587">
            <v>379.52419354838707</v>
          </cell>
          <cell r="I2587" t="str">
            <v>M3</v>
          </cell>
        </row>
        <row r="2588">
          <cell r="C2588" t="str">
            <v>Kebutuhan tenaga :</v>
          </cell>
        </row>
        <row r="2589">
          <cell r="D2589" t="str">
            <v>- Pekerja</v>
          </cell>
          <cell r="G2589" t="str">
            <v>P</v>
          </cell>
          <cell r="H2589">
            <v>8</v>
          </cell>
          <cell r="I2589" t="str">
            <v>orang</v>
          </cell>
        </row>
        <row r="2590">
          <cell r="D2590" t="str">
            <v>- Mandor</v>
          </cell>
          <cell r="G2590" t="str">
            <v>M</v>
          </cell>
          <cell r="H2590">
            <v>1</v>
          </cell>
          <cell r="I2590" t="str">
            <v>orang</v>
          </cell>
        </row>
        <row r="2593">
          <cell r="C2593" t="str">
            <v>Koefisien tenaga / M3   :</v>
          </cell>
        </row>
        <row r="2594">
          <cell r="D2594" t="str">
            <v>- Pekerja</v>
          </cell>
          <cell r="E2594" t="str">
            <v>= (Tk x P) : Qt</v>
          </cell>
          <cell r="G2594" t="str">
            <v>(L01)</v>
          </cell>
          <cell r="H2594">
            <v>0.14755317566562548</v>
          </cell>
          <cell r="I2594" t="str">
            <v>Jam</v>
          </cell>
        </row>
        <row r="2595">
          <cell r="D2595" t="str">
            <v>- Mandor</v>
          </cell>
          <cell r="E2595" t="str">
            <v>= (Tk x M) : Qt</v>
          </cell>
          <cell r="G2595" t="str">
            <v>(L02)</v>
          </cell>
          <cell r="H2595">
            <v>1.8444146958203185E-2</v>
          </cell>
          <cell r="I2595" t="str">
            <v>Jam</v>
          </cell>
        </row>
        <row r="2598">
          <cell r="A2598" t="str">
            <v>4.</v>
          </cell>
          <cell r="C2598" t="str">
            <v>HARGA DASAR SATUAN UPAH, BAHAN DAN ALAT</v>
          </cell>
        </row>
        <row r="2599">
          <cell r="C2599" t="str">
            <v>Lihat lampiran.</v>
          </cell>
        </row>
        <row r="2602">
          <cell r="A2602" t="str">
            <v>5.</v>
          </cell>
          <cell r="C2602" t="str">
            <v>ANALISA HARGA SATUAN PEKERJAAN</v>
          </cell>
        </row>
        <row r="2603">
          <cell r="C2603" t="str">
            <v>Lihat perhitungan dalam FORMULIR STANDAR UNTUK</v>
          </cell>
        </row>
        <row r="2604">
          <cell r="C2604" t="str">
            <v>PEREKEMAN ANALISA MASING-MASING HARGA</v>
          </cell>
        </row>
        <row r="2605">
          <cell r="C2605" t="str">
            <v>SATUAN.</v>
          </cell>
        </row>
        <row r="2606">
          <cell r="C2606" t="str">
            <v>Didapat Harga Satuan Pekerjaan :</v>
          </cell>
        </row>
        <row r="2608">
          <cell r="C2608" t="str">
            <v xml:space="preserve">Rp.  </v>
          </cell>
          <cell r="D2608">
            <v>162398.24383290968</v>
          </cell>
          <cell r="E2608" t="str">
            <v xml:space="preserve"> / M3</v>
          </cell>
        </row>
      </sheetData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-DIV3"/>
    </sheetNames>
    <sheetDataSet>
      <sheetData sheetId="0" refreshError="1">
        <row r="1">
          <cell r="A1" t="str">
            <v>ITEM PEMBAYARAN NO.</v>
          </cell>
          <cell r="D1" t="str">
            <v>:  3.1 (1)</v>
          </cell>
          <cell r="J1" t="str">
            <v>Analisa EI-311</v>
          </cell>
        </row>
        <row r="2">
          <cell r="A2" t="str">
            <v>JENIS PEKERJAAN</v>
          </cell>
          <cell r="D2" t="str">
            <v>:  Galian Biasa</v>
          </cell>
        </row>
        <row r="3">
          <cell r="A3" t="str">
            <v>SATUAN PEMBAYARAN</v>
          </cell>
          <cell r="D3" t="str">
            <v>:  M3</v>
          </cell>
          <cell r="H3" t="str">
            <v xml:space="preserve">         URAIAN ANALISA HARGA SATUAN</v>
          </cell>
        </row>
        <row r="6">
          <cell r="A6" t="str">
            <v>No.</v>
          </cell>
          <cell r="C6" t="str">
            <v>U R A I A N</v>
          </cell>
          <cell r="G6" t="str">
            <v>KODE</v>
          </cell>
          <cell r="H6" t="str">
            <v>KOEF.</v>
          </cell>
          <cell r="I6" t="str">
            <v>SATUAN</v>
          </cell>
          <cell r="J6" t="str">
            <v>KETERANGAN</v>
          </cell>
        </row>
        <row r="9">
          <cell r="A9" t="str">
            <v>I.</v>
          </cell>
          <cell r="C9" t="str">
            <v>ASUMSI</v>
          </cell>
        </row>
        <row r="10">
          <cell r="A10">
            <v>1</v>
          </cell>
          <cell r="C10" t="str">
            <v>Menggunakan alat berat (cara mekanik)</v>
          </cell>
        </row>
        <row r="11">
          <cell r="A11">
            <v>2</v>
          </cell>
          <cell r="C11" t="str">
            <v>Lokasi pekerjaan : sepanjang jalan</v>
          </cell>
        </row>
        <row r="12">
          <cell r="A12">
            <v>3</v>
          </cell>
          <cell r="C12" t="str">
            <v>Kondisi Jalan   :  sedang / baik</v>
          </cell>
        </row>
        <row r="13">
          <cell r="A13">
            <v>4</v>
          </cell>
          <cell r="C13" t="str">
            <v>Jam kerja efektif per-hari</v>
          </cell>
          <cell r="G13" t="str">
            <v>Tk</v>
          </cell>
          <cell r="H13">
            <v>7</v>
          </cell>
          <cell r="I13" t="str">
            <v>Jam</v>
          </cell>
        </row>
        <row r="14">
          <cell r="A14">
            <v>5</v>
          </cell>
          <cell r="C14" t="str">
            <v>Faktor pengembangan bahan</v>
          </cell>
          <cell r="G14" t="str">
            <v>Fk</v>
          </cell>
          <cell r="H14">
            <v>1.2</v>
          </cell>
          <cell r="I14" t="str">
            <v>-</v>
          </cell>
        </row>
        <row r="17">
          <cell r="A17" t="str">
            <v>II.</v>
          </cell>
          <cell r="C17" t="str">
            <v>URUTAN KERJA</v>
          </cell>
        </row>
        <row r="18">
          <cell r="A18">
            <v>1</v>
          </cell>
          <cell r="C18" t="str">
            <v>Tanah yang dipotong umumnya berada disisi jalan</v>
          </cell>
        </row>
        <row r="19">
          <cell r="A19">
            <v>2</v>
          </cell>
          <cell r="C19" t="str">
            <v>Penggalian dilakukan dengan menggunakan Excavator</v>
          </cell>
        </row>
        <row r="20">
          <cell r="A20">
            <v>3</v>
          </cell>
          <cell r="C20" t="str">
            <v>Selanjutnya Excavator menuangkan material hasil</v>
          </cell>
        </row>
        <row r="21">
          <cell r="C21" t="str">
            <v>galian kedalam Dump Truck</v>
          </cell>
        </row>
        <row r="22">
          <cell r="A22">
            <v>4</v>
          </cell>
          <cell r="C22" t="str">
            <v>Dump Truck membuang material hasil galian keluar</v>
          </cell>
        </row>
        <row r="23">
          <cell r="C23" t="str">
            <v>lokasi jalan sejauh</v>
          </cell>
          <cell r="G23" t="str">
            <v>L</v>
          </cell>
          <cell r="H23">
            <v>5</v>
          </cell>
          <cell r="I23" t="str">
            <v>Km</v>
          </cell>
        </row>
        <row r="26">
          <cell r="A26" t="str">
            <v>III.</v>
          </cell>
          <cell r="C26" t="str">
            <v>PEMAKAIAN BAHAN, ALAT DAN TENAGA</v>
          </cell>
        </row>
        <row r="28">
          <cell r="A28" t="str">
            <v xml:space="preserve">   1.</v>
          </cell>
          <cell r="C28" t="str">
            <v>BAHAN</v>
          </cell>
        </row>
        <row r="29">
          <cell r="C29" t="str">
            <v>Tidak ada bahan yang diperlukan</v>
          </cell>
        </row>
        <row r="32">
          <cell r="A32" t="str">
            <v xml:space="preserve">   2.</v>
          </cell>
          <cell r="C32" t="str">
            <v>ALAT</v>
          </cell>
        </row>
        <row r="33">
          <cell r="A33" t="str">
            <v xml:space="preserve">   2.a.</v>
          </cell>
          <cell r="C33" t="str">
            <v>EXCAVATOR</v>
          </cell>
          <cell r="G33" t="str">
            <v>(E10)</v>
          </cell>
        </row>
        <row r="34">
          <cell r="C34" t="str">
            <v>Kapasitas Bucket</v>
          </cell>
          <cell r="G34" t="str">
            <v>V</v>
          </cell>
          <cell r="H34">
            <v>0.93</v>
          </cell>
          <cell r="I34" t="str">
            <v>M3</v>
          </cell>
        </row>
        <row r="35">
          <cell r="C35" t="str">
            <v>Faktor Bucket</v>
          </cell>
          <cell r="G35" t="str">
            <v>Fb</v>
          </cell>
          <cell r="H35">
            <v>1</v>
          </cell>
          <cell r="I35" t="str">
            <v>-</v>
          </cell>
        </row>
        <row r="36">
          <cell r="C36" t="str">
            <v>Faktor  Efisiensi alat</v>
          </cell>
          <cell r="G36" t="str">
            <v>Fa</v>
          </cell>
          <cell r="H36">
            <v>0.83</v>
          </cell>
          <cell r="I36" t="str">
            <v>-</v>
          </cell>
        </row>
        <row r="38">
          <cell r="C38" t="str">
            <v>Waktu siklus</v>
          </cell>
          <cell r="G38" t="str">
            <v>Ts1</v>
          </cell>
          <cell r="I38" t="str">
            <v>menit</v>
          </cell>
        </row>
        <row r="39">
          <cell r="C39" t="str">
            <v>- Menggali / memuat</v>
          </cell>
          <cell r="G39" t="str">
            <v>T1</v>
          </cell>
          <cell r="H39">
            <v>0.317</v>
          </cell>
          <cell r="I39" t="str">
            <v>menit</v>
          </cell>
        </row>
        <row r="40">
          <cell r="C40" t="str">
            <v>- Lain-lain</v>
          </cell>
          <cell r="G40" t="str">
            <v>T2</v>
          </cell>
          <cell r="I40" t="str">
            <v>menit</v>
          </cell>
        </row>
        <row r="41">
          <cell r="G41" t="str">
            <v>Ts1</v>
          </cell>
          <cell r="H41">
            <v>0.317</v>
          </cell>
          <cell r="I41" t="str">
            <v>menit</v>
          </cell>
        </row>
        <row r="43">
          <cell r="C43" t="str">
            <v>Kap. Prod. / jam =</v>
          </cell>
          <cell r="D43" t="str">
            <v>V  x Fb x Fa x 60</v>
          </cell>
          <cell r="G43" t="str">
            <v>Q1</v>
          </cell>
          <cell r="H43">
            <v>121.75078864353311</v>
          </cell>
          <cell r="I43" t="str">
            <v>M3/Jam</v>
          </cell>
        </row>
        <row r="44">
          <cell r="D44" t="str">
            <v>Ts1 x Fh</v>
          </cell>
        </row>
        <row r="46">
          <cell r="C46" t="str">
            <v>Koefisien Alat / M3</v>
          </cell>
          <cell r="D46" t="str">
            <v xml:space="preserve"> =  1  :  Q1</v>
          </cell>
          <cell r="G46" t="str">
            <v>(E10)</v>
          </cell>
          <cell r="H46">
            <v>8.2134991579220114E-3</v>
          </cell>
          <cell r="I46" t="str">
            <v>Jam</v>
          </cell>
        </row>
        <row r="50">
          <cell r="A50" t="str">
            <v xml:space="preserve">   2.b.</v>
          </cell>
          <cell r="C50" t="str">
            <v>DUMP TRUCK</v>
          </cell>
          <cell r="G50" t="str">
            <v>(E08)</v>
          </cell>
        </row>
        <row r="51">
          <cell r="C51" t="str">
            <v>Kapasitas bak</v>
          </cell>
          <cell r="G51" t="str">
            <v>V</v>
          </cell>
          <cell r="H51">
            <v>6.666666666666667</v>
          </cell>
          <cell r="I51" t="str">
            <v>M3</v>
          </cell>
        </row>
        <row r="52">
          <cell r="C52" t="str">
            <v>Faktor  efisiensi alat</v>
          </cell>
          <cell r="G52" t="str">
            <v>Fa</v>
          </cell>
          <cell r="H52">
            <v>0.83</v>
          </cell>
          <cell r="I52" t="str">
            <v>-</v>
          </cell>
        </row>
        <row r="53">
          <cell r="C53" t="str">
            <v>Kecepatan rata-rata bermuatan</v>
          </cell>
          <cell r="G53" t="str">
            <v>v1</v>
          </cell>
          <cell r="H53">
            <v>45</v>
          </cell>
          <cell r="I53" t="str">
            <v>KM/Jam</v>
          </cell>
        </row>
        <row r="54">
          <cell r="C54" t="str">
            <v>Kecepatan rata-rata kosong</v>
          </cell>
          <cell r="G54" t="str">
            <v>v2</v>
          </cell>
          <cell r="H54">
            <v>60</v>
          </cell>
          <cell r="I54" t="str">
            <v>KM/Jam</v>
          </cell>
        </row>
        <row r="55">
          <cell r="C55" t="str">
            <v>Waktu  siklus</v>
          </cell>
          <cell r="G55" t="str">
            <v>Ts2</v>
          </cell>
          <cell r="I55" t="str">
            <v>menit</v>
          </cell>
        </row>
        <row r="56">
          <cell r="C56" t="str">
            <v>- Waktu tempuh isi</v>
          </cell>
          <cell r="E56" t="str">
            <v>=   (L  :  v1)  x  60</v>
          </cell>
          <cell r="G56" t="str">
            <v>T1</v>
          </cell>
          <cell r="H56">
            <v>6.6666666666666661</v>
          </cell>
          <cell r="I56" t="str">
            <v>menit</v>
          </cell>
        </row>
        <row r="57">
          <cell r="C57" t="str">
            <v>- Waktu tempuh kosong</v>
          </cell>
          <cell r="E57" t="str">
            <v>=   (L  :  v2)  x  60</v>
          </cell>
          <cell r="G57" t="str">
            <v>T2</v>
          </cell>
          <cell r="H57">
            <v>5</v>
          </cell>
          <cell r="I57" t="str">
            <v>menit</v>
          </cell>
        </row>
        <row r="58">
          <cell r="C58" t="str">
            <v>- Muat</v>
          </cell>
          <cell r="E58" t="str">
            <v>=   (V  :  Q1) x 60</v>
          </cell>
          <cell r="G58" t="str">
            <v>T3</v>
          </cell>
          <cell r="H58">
            <v>3.2853996631688047</v>
          </cell>
          <cell r="I58" t="str">
            <v>menit</v>
          </cell>
        </row>
        <row r="59">
          <cell r="C59" t="str">
            <v>- Lain-lain</v>
          </cell>
          <cell r="G59" t="str">
            <v>T4</v>
          </cell>
          <cell r="H59">
            <v>1</v>
          </cell>
          <cell r="I59" t="str">
            <v>menit</v>
          </cell>
        </row>
        <row r="60">
          <cell r="G60" t="str">
            <v>Ts2</v>
          </cell>
          <cell r="H60">
            <v>15.952066329835471</v>
          </cell>
          <cell r="I60" t="str">
            <v>menit</v>
          </cell>
        </row>
        <row r="61">
          <cell r="J61" t="str">
            <v>Berlanjut ke halaman berikut</v>
          </cell>
        </row>
        <row r="62">
          <cell r="A62" t="str">
            <v>ITEM PEMBAYARAN NO.</v>
          </cell>
          <cell r="D62" t="str">
            <v>:  3.1 (1)</v>
          </cell>
          <cell r="J62" t="str">
            <v>Analisa EI-311</v>
          </cell>
        </row>
        <row r="63">
          <cell r="A63" t="str">
            <v>JENIS PEKERJAAN</v>
          </cell>
          <cell r="D63" t="str">
            <v>:  Galian Biasa</v>
          </cell>
        </row>
        <row r="64">
          <cell r="A64" t="str">
            <v>SATUAN PEMBAYARAN</v>
          </cell>
          <cell r="D64" t="str">
            <v>:  M3</v>
          </cell>
          <cell r="H64" t="str">
            <v xml:space="preserve">         URAIAN ANALISA HARGA SATUAN</v>
          </cell>
        </row>
        <row r="65">
          <cell r="J65" t="str">
            <v>Lanjutan</v>
          </cell>
        </row>
        <row r="67">
          <cell r="A67" t="str">
            <v>No.</v>
          </cell>
          <cell r="C67" t="str">
            <v>U R A I A N</v>
          </cell>
          <cell r="G67" t="str">
            <v>KODE</v>
          </cell>
          <cell r="H67" t="str">
            <v>KOEF.</v>
          </cell>
          <cell r="I67" t="str">
            <v>SATUAN</v>
          </cell>
          <cell r="J67" t="str">
            <v>KETERANGAN</v>
          </cell>
        </row>
        <row r="70">
          <cell r="C70" t="str">
            <v>Kapasitas Produksi / Jam   =</v>
          </cell>
          <cell r="E70" t="str">
            <v>V x Fa x 60</v>
          </cell>
          <cell r="G70" t="str">
            <v>Q2</v>
          </cell>
          <cell r="H70">
            <v>17.343625643607776</v>
          </cell>
          <cell r="I70" t="str">
            <v xml:space="preserve">M3/Jam </v>
          </cell>
        </row>
        <row r="71">
          <cell r="E71" t="str">
            <v xml:space="preserve">    Fk x Ts2</v>
          </cell>
        </row>
        <row r="74">
          <cell r="C74" t="str">
            <v>Koefisien Alat / M3</v>
          </cell>
          <cell r="D74" t="str">
            <v xml:space="preserve"> =  1  :  Q2</v>
          </cell>
          <cell r="G74" t="str">
            <v>(E08)</v>
          </cell>
          <cell r="H74">
            <v>5.7658071071694475E-2</v>
          </cell>
          <cell r="I74" t="str">
            <v>Jam</v>
          </cell>
        </row>
        <row r="77">
          <cell r="A77" t="str">
            <v>2.d.</v>
          </cell>
          <cell r="C77" t="str">
            <v>ALAT  BANTU</v>
          </cell>
        </row>
        <row r="78">
          <cell r="C78" t="str">
            <v>Diperlukan alat-alat bantu kecil</v>
          </cell>
          <cell r="J78" t="str">
            <v>Lump Sump</v>
          </cell>
        </row>
        <row r="79">
          <cell r="C79" t="str">
            <v>- Sekop</v>
          </cell>
        </row>
        <row r="80">
          <cell r="C80" t="str">
            <v>- Keranjang</v>
          </cell>
        </row>
        <row r="82">
          <cell r="A82" t="str">
            <v xml:space="preserve">   3.</v>
          </cell>
          <cell r="C82" t="str">
            <v>TENAGA</v>
          </cell>
        </row>
        <row r="83">
          <cell r="C83" t="str">
            <v>Produksi menentukan : EXCAVATOR</v>
          </cell>
          <cell r="G83" t="str">
            <v>Q1</v>
          </cell>
          <cell r="H83">
            <v>121.75078864353311</v>
          </cell>
          <cell r="I83" t="str">
            <v>M3/Jam</v>
          </cell>
        </row>
        <row r="84">
          <cell r="C84" t="str">
            <v>Produksi Galian / hari  =  Tk x Q1</v>
          </cell>
          <cell r="G84" t="str">
            <v>Qt</v>
          </cell>
          <cell r="H84">
            <v>852.25552050473175</v>
          </cell>
          <cell r="I84" t="str">
            <v>M3</v>
          </cell>
        </row>
        <row r="85">
          <cell r="C85" t="str">
            <v>Kebutuhan tenaga :</v>
          </cell>
        </row>
        <row r="86">
          <cell r="D86" t="str">
            <v>- Pekerja</v>
          </cell>
          <cell r="G86" t="str">
            <v>P</v>
          </cell>
          <cell r="H86">
            <v>2</v>
          </cell>
          <cell r="I86" t="str">
            <v>orang</v>
          </cell>
        </row>
        <row r="87">
          <cell r="D87" t="str">
            <v>- Mandor</v>
          </cell>
          <cell r="G87" t="str">
            <v>M</v>
          </cell>
          <cell r="H87">
            <v>1</v>
          </cell>
          <cell r="I87" t="str">
            <v>orang</v>
          </cell>
        </row>
        <row r="89">
          <cell r="C89" t="str">
            <v>Koefisien tenaga / M3   :</v>
          </cell>
        </row>
        <row r="90">
          <cell r="D90" t="str">
            <v>- Pekerja</v>
          </cell>
          <cell r="E90" t="str">
            <v>= (Tk x P) : Qt</v>
          </cell>
          <cell r="G90" t="str">
            <v>(L01)</v>
          </cell>
          <cell r="H90">
            <v>1.6426998315844023E-2</v>
          </cell>
          <cell r="I90" t="str">
            <v>Jam</v>
          </cell>
        </row>
        <row r="91">
          <cell r="D91" t="str">
            <v>- Mandor</v>
          </cell>
          <cell r="E91" t="str">
            <v>= (Tk x M) : Qt</v>
          </cell>
          <cell r="G91" t="str">
            <v>(L03)</v>
          </cell>
          <cell r="H91">
            <v>8.2134991579220114E-3</v>
          </cell>
          <cell r="I91" t="str">
            <v>Jam</v>
          </cell>
        </row>
        <row r="93">
          <cell r="A93" t="str">
            <v>4.</v>
          </cell>
          <cell r="C93" t="str">
            <v>HARGA DASAR SATUAN UPAH, BAHAN DAN ALAT</v>
          </cell>
        </row>
        <row r="94">
          <cell r="C94" t="str">
            <v>Lihat lampiran.</v>
          </cell>
        </row>
        <row r="96">
          <cell r="A96" t="str">
            <v>5.</v>
          </cell>
          <cell r="C96" t="str">
            <v>ANALISA HARGA SATUAN PEKERJAAN</v>
          </cell>
        </row>
        <row r="97">
          <cell r="C97" t="str">
            <v>Lihat perhitungan dalam FORMULIR STANDAR UNTUK</v>
          </cell>
        </row>
        <row r="98">
          <cell r="C98" t="str">
            <v>PEREKEMAN ANALISA MASING-MASING HARGA</v>
          </cell>
        </row>
        <row r="99">
          <cell r="C99" t="str">
            <v>SATUAN.</v>
          </cell>
        </row>
        <row r="100">
          <cell r="C100" t="str">
            <v>Didapat Harga Satuan Pekerjaan :</v>
          </cell>
        </row>
        <row r="102">
          <cell r="C102" t="str">
            <v xml:space="preserve">Rp.  </v>
          </cell>
          <cell r="D102">
            <v>12059.932990794498</v>
          </cell>
          <cell r="E102" t="str">
            <v xml:space="preserve"> / M3</v>
          </cell>
        </row>
        <row r="105">
          <cell r="A105" t="str">
            <v>6.</v>
          </cell>
          <cell r="C105" t="str">
            <v>WAKTU PELAKSANAAN YANG DIPERLUKAN</v>
          </cell>
        </row>
        <row r="106">
          <cell r="C106" t="str">
            <v>Masa Pelaksanaan :</v>
          </cell>
          <cell r="D106" t="str">
            <v>. . . . . . . . . . . .</v>
          </cell>
          <cell r="E106" t="str">
            <v>bulan</v>
          </cell>
        </row>
        <row r="108">
          <cell r="A108" t="str">
            <v>7.</v>
          </cell>
          <cell r="C108" t="str">
            <v>VOLUME PEKERJAAN YANG DIPERLUKAN</v>
          </cell>
        </row>
        <row r="109">
          <cell r="C109" t="str">
            <v>Volume pekerjaan  :</v>
          </cell>
          <cell r="D109">
            <v>0</v>
          </cell>
          <cell r="E109" t="str">
            <v>M3</v>
          </cell>
        </row>
        <row r="121">
          <cell r="A121" t="str">
            <v>ITEM PEMBAYARAN NO.</v>
          </cell>
          <cell r="D121" t="str">
            <v>:  3.1 (2)</v>
          </cell>
          <cell r="J121" t="str">
            <v>Analisa EI-312</v>
          </cell>
        </row>
        <row r="122">
          <cell r="A122" t="str">
            <v>JENIS PEKERJAAN</v>
          </cell>
          <cell r="D122" t="str">
            <v>:  Galian Batu</v>
          </cell>
        </row>
        <row r="123">
          <cell r="A123" t="str">
            <v>SATUAN PEMBAYARAN</v>
          </cell>
          <cell r="D123" t="str">
            <v>:  M3</v>
          </cell>
          <cell r="H123" t="str">
            <v xml:space="preserve">         URAIAN ANALISA HARGA SATUAN</v>
          </cell>
        </row>
        <row r="126">
          <cell r="A126" t="str">
            <v>No.</v>
          </cell>
          <cell r="C126" t="str">
            <v>U R A I A N</v>
          </cell>
          <cell r="G126" t="str">
            <v>KODE</v>
          </cell>
          <cell r="H126" t="str">
            <v>KOEF.</v>
          </cell>
          <cell r="I126" t="str">
            <v>SATUAN</v>
          </cell>
          <cell r="J126" t="str">
            <v>KETERANGAN</v>
          </cell>
        </row>
        <row r="129">
          <cell r="A129" t="str">
            <v>I.</v>
          </cell>
          <cell r="C129" t="str">
            <v>ASUMSI</v>
          </cell>
        </row>
        <row r="130">
          <cell r="A130">
            <v>1</v>
          </cell>
          <cell r="C130" t="str">
            <v>Pekerjaan dilakukan secara manual</v>
          </cell>
        </row>
        <row r="131">
          <cell r="A131">
            <v>2</v>
          </cell>
          <cell r="C131" t="str">
            <v>Lokasi pekerjaan : sepanjang jalan</v>
          </cell>
        </row>
        <row r="132">
          <cell r="A132">
            <v>3</v>
          </cell>
          <cell r="C132" t="str">
            <v>Kondisi Jalan   :  sedang / baik</v>
          </cell>
        </row>
        <row r="133">
          <cell r="A133">
            <v>4</v>
          </cell>
          <cell r="C133" t="str">
            <v>Jam kerja efektif per-hari</v>
          </cell>
          <cell r="G133" t="str">
            <v>Tk</v>
          </cell>
          <cell r="H133">
            <v>7</v>
          </cell>
          <cell r="I133" t="str">
            <v>Jam</v>
          </cell>
        </row>
        <row r="134">
          <cell r="A134">
            <v>5</v>
          </cell>
          <cell r="C134" t="str">
            <v>Faktor pengembangan bahan</v>
          </cell>
          <cell r="G134" t="str">
            <v>Fk</v>
          </cell>
          <cell r="H134">
            <v>1.2</v>
          </cell>
          <cell r="I134" t="str">
            <v>-</v>
          </cell>
        </row>
        <row r="137">
          <cell r="A137" t="str">
            <v>II.</v>
          </cell>
          <cell r="C137" t="str">
            <v>URUTAN KERJA</v>
          </cell>
        </row>
        <row r="138">
          <cell r="A138">
            <v>1</v>
          </cell>
          <cell r="C138" t="str">
            <v>Batu yg dipotong umumnya berada disisi jalan</v>
          </cell>
        </row>
        <row r="139">
          <cell r="A139">
            <v>2</v>
          </cell>
          <cell r="C139" t="str">
            <v>Penggalian dilakukan dengan Excavator, Compresor</v>
          </cell>
        </row>
        <row r="140">
          <cell r="C140" t="str">
            <v>dan Jack Hammer, dimuat ke dlm Truk dengan Loader.</v>
          </cell>
        </row>
        <row r="141">
          <cell r="A141">
            <v>3</v>
          </cell>
          <cell r="C141" t="str">
            <v>Dump Truck membuang material hasil galian keluar</v>
          </cell>
        </row>
        <row r="142">
          <cell r="C142" t="str">
            <v>lokasi jalan sejauh :</v>
          </cell>
          <cell r="G142" t="str">
            <v>L</v>
          </cell>
          <cell r="H142">
            <v>5</v>
          </cell>
          <cell r="I142" t="str">
            <v>Km</v>
          </cell>
        </row>
        <row r="146">
          <cell r="A146" t="str">
            <v>III.</v>
          </cell>
          <cell r="C146" t="str">
            <v>PEMAKAIAN BAHAN, ALAT DAN TENAGA</v>
          </cell>
        </row>
        <row r="148">
          <cell r="A148" t="str">
            <v xml:space="preserve">   1.</v>
          </cell>
          <cell r="C148" t="str">
            <v>BAHAN</v>
          </cell>
        </row>
        <row r="149">
          <cell r="C149" t="str">
            <v>Tidak ada bahan yang diperlukan</v>
          </cell>
        </row>
        <row r="152">
          <cell r="A152" t="str">
            <v xml:space="preserve">   2.</v>
          </cell>
          <cell r="C152" t="str">
            <v>ALAT</v>
          </cell>
        </row>
        <row r="153">
          <cell r="A153" t="str">
            <v xml:space="preserve">   2.a.</v>
          </cell>
          <cell r="C153" t="str">
            <v>COMPRESSOR, EXCAVATOR, JACK HAMMER &amp; LOADER</v>
          </cell>
          <cell r="J153" t="str">
            <v xml:space="preserve"> (E05/26/10/15)</v>
          </cell>
        </row>
        <row r="154">
          <cell r="C154" t="str">
            <v>Produksi per jam</v>
          </cell>
          <cell r="G154" t="str">
            <v>Q1</v>
          </cell>
          <cell r="H154">
            <v>8</v>
          </cell>
          <cell r="I154" t="str">
            <v>M3 / Jam</v>
          </cell>
        </row>
        <row r="156">
          <cell r="C156" t="str">
            <v>Koefisien Alat / m3</v>
          </cell>
          <cell r="D156" t="str">
            <v xml:space="preserve"> =  1  :  Q1</v>
          </cell>
          <cell r="G156" t="str">
            <v>(E05/26)</v>
          </cell>
          <cell r="H156">
            <v>0.125</v>
          </cell>
          <cell r="I156" t="str">
            <v>Jam</v>
          </cell>
        </row>
        <row r="159">
          <cell r="A159" t="str">
            <v xml:space="preserve">   2.b.</v>
          </cell>
          <cell r="C159" t="str">
            <v>DUMP TRUCK</v>
          </cell>
          <cell r="G159" t="str">
            <v>(E08)</v>
          </cell>
        </row>
        <row r="160">
          <cell r="C160" t="str">
            <v>Kapasitas bak</v>
          </cell>
          <cell r="G160" t="str">
            <v>V</v>
          </cell>
          <cell r="H160">
            <v>4</v>
          </cell>
          <cell r="I160" t="str">
            <v>M3</v>
          </cell>
        </row>
        <row r="161">
          <cell r="C161" t="str">
            <v>Faktor  efisiensi alat</v>
          </cell>
          <cell r="G161" t="str">
            <v>Fa</v>
          </cell>
          <cell r="H161">
            <v>0.83</v>
          </cell>
          <cell r="I161" t="str">
            <v>-</v>
          </cell>
        </row>
        <row r="162">
          <cell r="C162" t="str">
            <v>Kecepatan rata-rata bermuatan</v>
          </cell>
          <cell r="G162" t="str">
            <v>v1</v>
          </cell>
          <cell r="H162">
            <v>45</v>
          </cell>
          <cell r="I162" t="str">
            <v>KM/Jam</v>
          </cell>
        </row>
        <row r="163">
          <cell r="C163" t="str">
            <v>Kecepatan rata-rata kosong</v>
          </cell>
          <cell r="G163" t="str">
            <v>v2</v>
          </cell>
          <cell r="H163">
            <v>60</v>
          </cell>
          <cell r="I163" t="str">
            <v>KM/Jam</v>
          </cell>
        </row>
        <row r="164">
          <cell r="C164" t="str">
            <v>Waktu  siklus</v>
          </cell>
          <cell r="G164" t="str">
            <v>Ts1</v>
          </cell>
          <cell r="I164" t="str">
            <v>menit</v>
          </cell>
        </row>
        <row r="165">
          <cell r="C165" t="str">
            <v>- Waktu tempuh isi</v>
          </cell>
          <cell r="E165" t="str">
            <v>=   (L  :  v1)  x  60</v>
          </cell>
          <cell r="G165" t="str">
            <v>T1</v>
          </cell>
          <cell r="H165">
            <v>6.6666666666666661</v>
          </cell>
          <cell r="I165" t="str">
            <v>menit</v>
          </cell>
        </row>
        <row r="166">
          <cell r="C166" t="str">
            <v>- Waktu tempuh kosong</v>
          </cell>
          <cell r="E166" t="str">
            <v>=   (L  :  v2)  x  60</v>
          </cell>
          <cell r="G166" t="str">
            <v>T2</v>
          </cell>
          <cell r="H166">
            <v>5</v>
          </cell>
          <cell r="I166" t="str">
            <v>menit</v>
          </cell>
        </row>
        <row r="167">
          <cell r="C167" t="str">
            <v>- Muat</v>
          </cell>
          <cell r="E167" t="str">
            <v>=   (V  :  Q1) x 60</v>
          </cell>
          <cell r="G167" t="str">
            <v>T3</v>
          </cell>
          <cell r="H167">
            <v>30</v>
          </cell>
          <cell r="I167" t="str">
            <v>menit</v>
          </cell>
        </row>
        <row r="168">
          <cell r="C168" t="str">
            <v>- Lain-lain</v>
          </cell>
          <cell r="G168" t="str">
            <v>T4</v>
          </cell>
          <cell r="H168">
            <v>2</v>
          </cell>
          <cell r="I168" t="str">
            <v>menit</v>
          </cell>
        </row>
        <row r="169">
          <cell r="G169" t="str">
            <v>Ts1</v>
          </cell>
          <cell r="H169">
            <v>43.666666666666664</v>
          </cell>
          <cell r="I169" t="str">
            <v>menit</v>
          </cell>
        </row>
        <row r="172">
          <cell r="C172" t="str">
            <v>Kapasitas Produksi / Jam   =</v>
          </cell>
          <cell r="E172" t="str">
            <v>V x Fa x 60</v>
          </cell>
          <cell r="G172" t="str">
            <v>Q2</v>
          </cell>
          <cell r="H172">
            <v>3.8015267175572518</v>
          </cell>
          <cell r="I172" t="str">
            <v xml:space="preserve">M3 / Jam </v>
          </cell>
        </row>
        <row r="173">
          <cell r="E173" t="str">
            <v xml:space="preserve">    Fk x Ts1</v>
          </cell>
        </row>
        <row r="176">
          <cell r="C176" t="str">
            <v>Koefisien Alat / m3</v>
          </cell>
          <cell r="D176" t="str">
            <v xml:space="preserve"> =  1  :  Q2</v>
          </cell>
          <cell r="G176" t="str">
            <v>(E08)</v>
          </cell>
          <cell r="H176">
            <v>0.26305220883534136</v>
          </cell>
          <cell r="I176" t="str">
            <v>Jam</v>
          </cell>
        </row>
        <row r="181">
          <cell r="J181" t="str">
            <v>Berlanjut ke halaman berikut</v>
          </cell>
        </row>
        <row r="182">
          <cell r="A182" t="str">
            <v>ITEM PEMBAYARAN NO.</v>
          </cell>
          <cell r="D182" t="str">
            <v>:  3.1 (2)</v>
          </cell>
          <cell r="J182" t="str">
            <v>Analisa EI-312</v>
          </cell>
        </row>
        <row r="183">
          <cell r="A183" t="str">
            <v>JENIS PEKERJAAN</v>
          </cell>
          <cell r="D183" t="str">
            <v>:  Galian Batu</v>
          </cell>
        </row>
        <row r="184">
          <cell r="A184" t="str">
            <v>SATUAN PEMBAYARAN</v>
          </cell>
          <cell r="D184" t="str">
            <v>:  M3</v>
          </cell>
          <cell r="H184" t="str">
            <v xml:space="preserve">         URAIAN ANALISA HARGA SATUAN</v>
          </cell>
        </row>
        <row r="185">
          <cell r="J185" t="str">
            <v>Lanjutan</v>
          </cell>
        </row>
        <row r="187">
          <cell r="A187" t="str">
            <v>No.</v>
          </cell>
          <cell r="C187" t="str">
            <v>U R A I A N</v>
          </cell>
          <cell r="G187" t="str">
            <v>KODE</v>
          </cell>
          <cell r="H187" t="str">
            <v>KOEF.</v>
          </cell>
          <cell r="I187" t="str">
            <v>SATUAN</v>
          </cell>
          <cell r="J187" t="str">
            <v>KETERANGAN</v>
          </cell>
        </row>
        <row r="190">
          <cell r="A190" t="str">
            <v>2.d.</v>
          </cell>
          <cell r="C190" t="str">
            <v>ALAT  BANTU</v>
          </cell>
        </row>
        <row r="191">
          <cell r="C191" t="str">
            <v>Diperlukan alat-alat bantu kecil</v>
          </cell>
          <cell r="J191" t="str">
            <v>Lump Sump</v>
          </cell>
        </row>
        <row r="192">
          <cell r="C192" t="str">
            <v>- Pahat / Tatah</v>
          </cell>
          <cell r="D192" t="str">
            <v>=  2  buah</v>
          </cell>
        </row>
        <row r="193">
          <cell r="C193" t="str">
            <v>- Palu Besar</v>
          </cell>
          <cell r="D193" t="str">
            <v>=  2  buah</v>
          </cell>
        </row>
        <row r="195">
          <cell r="A195" t="str">
            <v xml:space="preserve">   3.</v>
          </cell>
          <cell r="C195" t="str">
            <v>TENAGA</v>
          </cell>
        </row>
        <row r="196">
          <cell r="C196" t="str">
            <v>Produksi menentukan : JACK HAMMER</v>
          </cell>
          <cell r="G196" t="str">
            <v>Q1</v>
          </cell>
          <cell r="H196">
            <v>8</v>
          </cell>
          <cell r="I196" t="str">
            <v>M3/Jam</v>
          </cell>
        </row>
        <row r="197">
          <cell r="C197" t="str">
            <v>Produksi Galian / hari  =  Tk x Q1</v>
          </cell>
          <cell r="G197" t="str">
            <v>Qt</v>
          </cell>
          <cell r="H197">
            <v>56</v>
          </cell>
          <cell r="I197" t="str">
            <v>M3</v>
          </cell>
        </row>
        <row r="198">
          <cell r="C198" t="str">
            <v>Kebutuhan tenaga :</v>
          </cell>
        </row>
        <row r="199">
          <cell r="D199" t="str">
            <v>- Pekerja</v>
          </cell>
          <cell r="G199" t="str">
            <v>P</v>
          </cell>
          <cell r="H199">
            <v>8</v>
          </cell>
          <cell r="I199" t="str">
            <v>orang</v>
          </cell>
        </row>
        <row r="200">
          <cell r="D200" t="str">
            <v>- Mandor</v>
          </cell>
          <cell r="G200" t="str">
            <v>M</v>
          </cell>
          <cell r="H200">
            <v>1</v>
          </cell>
          <cell r="I200" t="str">
            <v>orang</v>
          </cell>
        </row>
        <row r="202">
          <cell r="C202" t="str">
            <v>Koefisien tenaga / M3   :</v>
          </cell>
        </row>
        <row r="203">
          <cell r="D203" t="str">
            <v>- Pekerja</v>
          </cell>
          <cell r="E203" t="str">
            <v>= (Tk x P) : Qt</v>
          </cell>
          <cell r="G203" t="str">
            <v>(L01)</v>
          </cell>
          <cell r="H203">
            <v>1</v>
          </cell>
          <cell r="I203" t="str">
            <v>Jam</v>
          </cell>
        </row>
        <row r="204">
          <cell r="D204" t="str">
            <v>- Mandor</v>
          </cell>
          <cell r="E204" t="str">
            <v>= (Tk x M) : Qt</v>
          </cell>
          <cell r="G204" t="str">
            <v>(L03)</v>
          </cell>
          <cell r="H204">
            <v>0.125</v>
          </cell>
          <cell r="I204" t="str">
            <v>Jam</v>
          </cell>
        </row>
        <row r="206">
          <cell r="A206" t="str">
            <v>4.</v>
          </cell>
          <cell r="C206" t="str">
            <v>HARGA DASAR SATUAN UPAH, BAHAN DAN ALAT</v>
          </cell>
        </row>
        <row r="207">
          <cell r="C207" t="str">
            <v>Lihat lampiran.</v>
          </cell>
        </row>
        <row r="209">
          <cell r="A209" t="str">
            <v>5.</v>
          </cell>
          <cell r="C209" t="str">
            <v>ANALISA HARGA SATUAN PEKERJAAN</v>
          </cell>
        </row>
        <row r="210">
          <cell r="C210" t="str">
            <v>Lihat perhitungan dalam FORMULIR STANDAR UNTUK</v>
          </cell>
        </row>
        <row r="211">
          <cell r="C211" t="str">
            <v>PEREKEMAN ANALISA MASING-MASING HARGA</v>
          </cell>
        </row>
        <row r="212">
          <cell r="C212" t="str">
            <v>SATUAN.</v>
          </cell>
        </row>
        <row r="213">
          <cell r="C213" t="str">
            <v>Didapat Harga Satuan Pekerjaan :</v>
          </cell>
        </row>
        <row r="215">
          <cell r="C215" t="str">
            <v xml:space="preserve">Rp.  </v>
          </cell>
          <cell r="D215">
            <v>113225.337291659</v>
          </cell>
          <cell r="E215" t="str">
            <v xml:space="preserve"> / M3</v>
          </cell>
        </row>
        <row r="218">
          <cell r="A218" t="str">
            <v>6.</v>
          </cell>
          <cell r="C218" t="str">
            <v>WAKTU PELAKSANAAN YANG DIPERLUKAN</v>
          </cell>
        </row>
        <row r="219">
          <cell r="C219" t="str">
            <v>Masa Pelaksanaan :</v>
          </cell>
          <cell r="D219" t="str">
            <v>. . . . . . . . . . . .</v>
          </cell>
          <cell r="E219" t="str">
            <v>bulan</v>
          </cell>
        </row>
        <row r="221">
          <cell r="A221" t="str">
            <v>7.</v>
          </cell>
          <cell r="C221" t="str">
            <v>VOLUME PEKERJAAN YANG DIPERLUKAN</v>
          </cell>
        </row>
        <row r="222">
          <cell r="C222" t="str">
            <v>Volume pekerjaan  :</v>
          </cell>
          <cell r="D222">
            <v>0</v>
          </cell>
          <cell r="E222" t="str">
            <v>M3</v>
          </cell>
        </row>
        <row r="1886">
          <cell r="C1886" t="str">
            <v>Kapasitas bak</v>
          </cell>
          <cell r="G1886" t="str">
            <v>V</v>
          </cell>
          <cell r="H1886">
            <v>1.9444444444444444</v>
          </cell>
          <cell r="I1886" t="str">
            <v>M3</v>
          </cell>
        </row>
        <row r="1887">
          <cell r="C1887" t="str">
            <v>Faktor  efisiensi alat</v>
          </cell>
          <cell r="G1887" t="str">
            <v>Fa</v>
          </cell>
          <cell r="H1887">
            <v>0.83</v>
          </cell>
          <cell r="I1887" t="str">
            <v>-</v>
          </cell>
          <cell r="Q1887" t="str">
            <v xml:space="preserve">JUMLAH HARGA BAHAN   </v>
          </cell>
          <cell r="U1887">
            <v>25000</v>
          </cell>
        </row>
        <row r="1888">
          <cell r="C1888" t="str">
            <v>Kecepatan rata-rata bermuatan</v>
          </cell>
          <cell r="G1888" t="str">
            <v>v1</v>
          </cell>
          <cell r="H1888">
            <v>45</v>
          </cell>
          <cell r="I1888" t="str">
            <v>KM/Jam</v>
          </cell>
        </row>
        <row r="1889">
          <cell r="C1889" t="str">
            <v>Kecepatan rata-rata kosong</v>
          </cell>
          <cell r="G1889" t="str">
            <v>v2</v>
          </cell>
          <cell r="H1889">
            <v>60</v>
          </cell>
          <cell r="I1889" t="str">
            <v>KM/Jam</v>
          </cell>
          <cell r="L1889" t="str">
            <v>C.</v>
          </cell>
          <cell r="N1889" t="str">
            <v>PERALATAN</v>
          </cell>
        </row>
        <row r="1890">
          <cell r="C1890" t="str">
            <v>Waktusiklus :</v>
          </cell>
          <cell r="G1890" t="str">
            <v>Ts2</v>
          </cell>
          <cell r="L1890" t="str">
            <v>1.</v>
          </cell>
          <cell r="N1890" t="str">
            <v>Dump Truck</v>
          </cell>
          <cell r="O1890" t="str">
            <v>(E08)</v>
          </cell>
          <cell r="P1890" t="str">
            <v>Jam</v>
          </cell>
          <cell r="Q1890">
            <v>0.27194492254733216</v>
          </cell>
          <cell r="R1890">
            <v>153645.58193291764</v>
          </cell>
          <cell r="U1890">
            <v>41783.135878487068</v>
          </cell>
        </row>
        <row r="1891">
          <cell r="C1891" t="str">
            <v>-  Waktu tempuh isi   = (L : v1) x 60</v>
          </cell>
          <cell r="G1891" t="str">
            <v>T1</v>
          </cell>
          <cell r="H1891">
            <v>13.333333333333332</v>
          </cell>
          <cell r="I1891" t="str">
            <v>menit</v>
          </cell>
          <cell r="L1891" t="str">
            <v>2.</v>
          </cell>
          <cell r="N1891" t="str">
            <v>Whell  Loader</v>
          </cell>
          <cell r="O1891" t="str">
            <v>(E15)</v>
          </cell>
          <cell r="P1891" t="str">
            <v>Jam</v>
          </cell>
          <cell r="Q1891">
            <v>1.4874312063067082E-2</v>
          </cell>
          <cell r="R1891">
            <v>163808.13869490434</v>
          </cell>
          <cell r="U1891">
            <v>2436.5333734181813</v>
          </cell>
        </row>
        <row r="1892">
          <cell r="C1892" t="str">
            <v>-  Waktu tempuh kosong   = (L : v2) x 60</v>
          </cell>
          <cell r="G1892" t="str">
            <v>T2</v>
          </cell>
          <cell r="H1892">
            <v>10</v>
          </cell>
          <cell r="I1892" t="str">
            <v>menit</v>
          </cell>
          <cell r="L1892" t="str">
            <v>3.</v>
          </cell>
          <cell r="N1892" t="str">
            <v>Alat  Bantu</v>
          </cell>
          <cell r="P1892" t="str">
            <v>Ls</v>
          </cell>
          <cell r="Q1892">
            <v>1</v>
          </cell>
          <cell r="R1892">
            <v>100</v>
          </cell>
          <cell r="U1892">
            <v>100</v>
          </cell>
        </row>
        <row r="1893">
          <cell r="C1893" t="str">
            <v>- Lain-lain</v>
          </cell>
          <cell r="G1893" t="str">
            <v>T3</v>
          </cell>
          <cell r="H1893">
            <v>3</v>
          </cell>
          <cell r="I1893" t="str">
            <v>menit</v>
          </cell>
        </row>
        <row r="1894">
          <cell r="G1894" t="str">
            <v>Ts1</v>
          </cell>
          <cell r="H1894">
            <v>26.333333333333332</v>
          </cell>
          <cell r="I1894" t="str">
            <v>menit</v>
          </cell>
        </row>
        <row r="1896">
          <cell r="C1896" t="str">
            <v>Kapasitas Produksi / Jam   =</v>
          </cell>
          <cell r="E1896" t="str">
            <v>V x Fa x 60</v>
          </cell>
          <cell r="G1896" t="str">
            <v>Q1</v>
          </cell>
          <cell r="H1896">
            <v>3.6772151898734178</v>
          </cell>
          <cell r="I1896" t="str">
            <v>M3/Jam</v>
          </cell>
        </row>
        <row r="1897">
          <cell r="E1897" t="str">
            <v>Ts1</v>
          </cell>
        </row>
        <row r="1898">
          <cell r="Q1898" t="str">
            <v xml:space="preserve">JUMLAH HARGA PERALATAN   </v>
          </cell>
          <cell r="U1898">
            <v>44319.669251905252</v>
          </cell>
        </row>
        <row r="1899">
          <cell r="C1899" t="str">
            <v>Koefisien Alat / M3</v>
          </cell>
          <cell r="D1899" t="str">
            <v xml:space="preserve"> =  1  :  Q1</v>
          </cell>
          <cell r="G1899" t="str">
            <v>(E08)</v>
          </cell>
          <cell r="H1899">
            <v>0.27194492254733216</v>
          </cell>
          <cell r="I1899" t="str">
            <v>Jam</v>
          </cell>
        </row>
        <row r="1900">
          <cell r="L1900" t="str">
            <v>D.</v>
          </cell>
          <cell r="N1900" t="str">
            <v>JUMLAH HARGA TENAGA, BAHAN DAN PERALATAN  ( A + B + C )</v>
          </cell>
          <cell r="U1900">
            <v>71747.748529013697</v>
          </cell>
        </row>
        <row r="1901">
          <cell r="L1901" t="str">
            <v>E.</v>
          </cell>
          <cell r="N1901" t="str">
            <v>OVERHEAD &amp; PROFIT</v>
          </cell>
          <cell r="P1901">
            <v>10</v>
          </cell>
          <cell r="Q1901" t="str">
            <v>%  x  D</v>
          </cell>
          <cell r="U1901">
            <v>7174.7748529013697</v>
          </cell>
        </row>
        <row r="1902">
          <cell r="A1902" t="str">
            <v>2.b.</v>
          </cell>
          <cell r="C1902" t="str">
            <v>ALAT  BANTU</v>
          </cell>
          <cell r="L1902" t="str">
            <v>F.</v>
          </cell>
          <cell r="N1902" t="str">
            <v>HARGA SATUAN PEKERJAAN  ( D + E )</v>
          </cell>
          <cell r="U1902">
            <v>78922.52338191506</v>
          </cell>
        </row>
        <row r="1903">
          <cell r="C1903" t="str">
            <v>Diperlukan alat-alat bantu kecil</v>
          </cell>
          <cell r="J1903" t="str">
            <v>Lump Sump</v>
          </cell>
          <cell r="L1903" t="str">
            <v>Note: 1</v>
          </cell>
          <cell r="N1903" t="str">
            <v>SATUAN dapat berdasarkan atas jam operasi untuk Tenaga Kerja dan Peralatan, volume dan/atau ukuran</v>
          </cell>
        </row>
        <row r="1904">
          <cell r="C1904" t="str">
            <v>- Sekop    =         3   buah</v>
          </cell>
          <cell r="N1904" t="str">
            <v>berat untuk bahan-bahan.</v>
          </cell>
        </row>
        <row r="1905">
          <cell r="L1905">
            <v>2</v>
          </cell>
          <cell r="N1905" t="str">
            <v>Kuantitas satuan adalah kuantitas setiap komponen untuk menyelesaikan satu satuan pekerjaan dari nomor</v>
          </cell>
        </row>
        <row r="1906">
          <cell r="N1906" t="str">
            <v>mata pembayaran.</v>
          </cell>
        </row>
        <row r="1907">
          <cell r="L1907">
            <v>3</v>
          </cell>
          <cell r="N1907" t="str">
            <v>Biaya satuan untuk peralatan sudah termasuk bahan bakar, bahan habis dipakai dan operator.</v>
          </cell>
        </row>
        <row r="1908">
          <cell r="L1908">
            <v>4</v>
          </cell>
          <cell r="N1908" t="str">
            <v>Biaya satuan sudah termasuk pengeluaran untuk seluruh pajak yang berkaitan (tetapi tidak termasuk PPN</v>
          </cell>
        </row>
        <row r="1909">
          <cell r="N1909" t="str">
            <v>yang dibayar dari kontrak) dan biaya-biaya lainnya.</v>
          </cell>
        </row>
        <row r="1911">
          <cell r="J1911" t="str">
            <v>Berlanjut ke halaman berikut</v>
          </cell>
        </row>
        <row r="1912">
          <cell r="A1912" t="str">
            <v>ITEM PEMBAYARAN NO.</v>
          </cell>
          <cell r="D1912" t="str">
            <v>:  3.2 (4)</v>
          </cell>
          <cell r="J1912" t="str">
            <v>Analisa EI-324</v>
          </cell>
        </row>
        <row r="1913">
          <cell r="A1913" t="str">
            <v>JENIS PEKERJAAN</v>
          </cell>
          <cell r="D1913" t="str">
            <v>:  Timb. Pilihan Di Atas Tnh. Rawa</v>
          </cell>
        </row>
        <row r="1914">
          <cell r="A1914" t="str">
            <v>SATUAN PEMBAYARAN</v>
          </cell>
          <cell r="D1914" t="str">
            <v>:  M3</v>
          </cell>
          <cell r="H1914" t="str">
            <v xml:space="preserve">         URAIAN ANALISA HARGA SATUAN</v>
          </cell>
        </row>
        <row r="1915">
          <cell r="J1915" t="str">
            <v>Lanjutan</v>
          </cell>
        </row>
        <row r="1917">
          <cell r="A1917" t="str">
            <v>No.</v>
          </cell>
          <cell r="C1917" t="str">
            <v>U R A I A N</v>
          </cell>
          <cell r="G1917" t="str">
            <v>KODE</v>
          </cell>
          <cell r="H1917" t="str">
            <v>KOEF.</v>
          </cell>
          <cell r="I1917" t="str">
            <v>SATUAN</v>
          </cell>
          <cell r="J1917" t="str">
            <v>KETERANGAN</v>
          </cell>
        </row>
        <row r="1920">
          <cell r="A1920" t="str">
            <v>2.c.</v>
          </cell>
          <cell r="C1920" t="str">
            <v>WHELL  LOADER</v>
          </cell>
          <cell r="G1920" t="str">
            <v>(E15)</v>
          </cell>
        </row>
        <row r="1921">
          <cell r="C1921" t="str">
            <v>Kapasitas  Bucket</v>
          </cell>
          <cell r="G1921" t="str">
            <v>V</v>
          </cell>
          <cell r="H1921">
            <v>1.5</v>
          </cell>
          <cell r="I1921" t="str">
            <v>M3</v>
          </cell>
        </row>
        <row r="1922">
          <cell r="C1922" t="str">
            <v>Faktor Bucket</v>
          </cell>
          <cell r="G1922" t="str">
            <v>Fb</v>
          </cell>
          <cell r="H1922">
            <v>0.9</v>
          </cell>
          <cell r="I1922" t="str">
            <v>-</v>
          </cell>
        </row>
        <row r="1923">
          <cell r="C1923" t="str">
            <v>Faktor Efisiensi Alat</v>
          </cell>
          <cell r="G1923" t="str">
            <v>Fa</v>
          </cell>
          <cell r="H1923">
            <v>0.83</v>
          </cell>
          <cell r="I1923" t="str">
            <v>-</v>
          </cell>
        </row>
        <row r="1924">
          <cell r="C1924" t="str">
            <v>Waktu sklus</v>
          </cell>
          <cell r="G1924" t="str">
            <v>Ts1</v>
          </cell>
          <cell r="I1924" t="str">
            <v>menit</v>
          </cell>
        </row>
        <row r="1925">
          <cell r="C1925" t="str">
            <v>- Muat</v>
          </cell>
          <cell r="G1925" t="str">
            <v>T1</v>
          </cell>
          <cell r="H1925">
            <v>0.5</v>
          </cell>
          <cell r="I1925" t="str">
            <v>menit</v>
          </cell>
        </row>
        <row r="1926">
          <cell r="C1926" t="str">
            <v>- Lain-lain</v>
          </cell>
          <cell r="G1926" t="str">
            <v>T2</v>
          </cell>
          <cell r="H1926">
            <v>0.5</v>
          </cell>
          <cell r="I1926" t="str">
            <v>menit</v>
          </cell>
        </row>
        <row r="1927">
          <cell r="G1927" t="str">
            <v>Ts2</v>
          </cell>
          <cell r="H1927">
            <v>1</v>
          </cell>
          <cell r="I1927" t="str">
            <v>menit</v>
          </cell>
        </row>
        <row r="1929">
          <cell r="C1929" t="str">
            <v>Kapasitas Produksi / Jam =</v>
          </cell>
          <cell r="E1929" t="str">
            <v>V  x  Fb x Fa x 60</v>
          </cell>
          <cell r="G1929" t="str">
            <v>Q2</v>
          </cell>
          <cell r="H1929">
            <v>67.23</v>
          </cell>
          <cell r="I1929" t="str">
            <v>M3</v>
          </cell>
        </row>
        <row r="1930">
          <cell r="E1930" t="str">
            <v>Ts1</v>
          </cell>
        </row>
        <row r="1932">
          <cell r="C1932" t="str">
            <v>Koefisienalat / M3</v>
          </cell>
          <cell r="D1932" t="str">
            <v xml:space="preserve"> =   1 : Q2</v>
          </cell>
          <cell r="G1932" t="str">
            <v>(E15)</v>
          </cell>
          <cell r="H1932">
            <v>1.4874312063067082E-2</v>
          </cell>
          <cell r="I1932" t="str">
            <v>Jam</v>
          </cell>
        </row>
        <row r="1934">
          <cell r="A1934" t="str">
            <v xml:space="preserve">   3.</v>
          </cell>
          <cell r="C1934" t="str">
            <v>TENAGA</v>
          </cell>
        </row>
        <row r="1935">
          <cell r="C1935" t="str">
            <v>Produksi menentukan : DUMP TRUCK</v>
          </cell>
          <cell r="G1935" t="str">
            <v>Q1</v>
          </cell>
          <cell r="H1935">
            <v>3.6772151898734178</v>
          </cell>
          <cell r="I1935" t="str">
            <v>M3/Jam</v>
          </cell>
        </row>
        <row r="1936">
          <cell r="C1936" t="str">
            <v>Produksi Timbunan / hari  =  Tk x Q1</v>
          </cell>
          <cell r="G1936" t="str">
            <v>Qt</v>
          </cell>
          <cell r="H1936">
            <v>25.740506329113924</v>
          </cell>
          <cell r="I1936" t="str">
            <v>M3</v>
          </cell>
        </row>
        <row r="1937">
          <cell r="C1937" t="str">
            <v>Asumsi permukaan hamparan di permukaan rawa :</v>
          </cell>
        </row>
        <row r="1939">
          <cell r="C1939" t="str">
            <v>Kebutuhan tenaga :</v>
          </cell>
        </row>
        <row r="1940">
          <cell r="D1940" t="str">
            <v>- Pekerja</v>
          </cell>
          <cell r="G1940" t="str">
            <v>P</v>
          </cell>
          <cell r="H1940">
            <v>2</v>
          </cell>
          <cell r="I1940" t="str">
            <v>orang</v>
          </cell>
        </row>
        <row r="1941">
          <cell r="D1941" t="str">
            <v>- Mandor</v>
          </cell>
          <cell r="G1941" t="str">
            <v>M</v>
          </cell>
          <cell r="H1941">
            <v>1</v>
          </cell>
          <cell r="I1941" t="str">
            <v>orang</v>
          </cell>
        </row>
        <row r="1944">
          <cell r="C1944" t="str">
            <v>Koefisien tenaga / M3   :</v>
          </cell>
        </row>
        <row r="1945">
          <cell r="D1945" t="str">
            <v>- Pekerja</v>
          </cell>
          <cell r="E1945" t="str">
            <v>= (Tk x P) : Qt</v>
          </cell>
          <cell r="G1945" t="str">
            <v>(L01)</v>
          </cell>
          <cell r="H1945">
            <v>0.54388984509466443</v>
          </cell>
          <cell r="I1945" t="str">
            <v>Jam</v>
          </cell>
        </row>
        <row r="1946">
          <cell r="D1946" t="str">
            <v>- Mandor</v>
          </cell>
          <cell r="E1946" t="str">
            <v>= (Tk x M) : Qt</v>
          </cell>
          <cell r="G1946" t="str">
            <v>(L02)</v>
          </cell>
          <cell r="H1946">
            <v>0.27194492254733221</v>
          </cell>
          <cell r="I1946" t="str">
            <v>Jam</v>
          </cell>
        </row>
        <row r="2335">
          <cell r="T2335" t="str">
            <v>Analisa EI-312</v>
          </cell>
        </row>
        <row r="2337">
          <cell r="L2337" t="str">
            <v>FORMULIR STANDAR UNTUK</v>
          </cell>
        </row>
        <row r="2338">
          <cell r="L2338" t="str">
            <v>PEREKAMAN ANALISA MASING-MASING HARGA SATUAN</v>
          </cell>
        </row>
        <row r="2339">
          <cell r="L2339" t="str">
            <v/>
          </cell>
        </row>
        <row r="2342">
          <cell r="L2342" t="str">
            <v>PROYEK</v>
          </cell>
          <cell r="O2342" t="str">
            <v>:</v>
          </cell>
        </row>
        <row r="2343">
          <cell r="L2343" t="str">
            <v>No. PAKET KONTRAK</v>
          </cell>
          <cell r="O2343" t="str">
            <v>:</v>
          </cell>
        </row>
        <row r="2344">
          <cell r="L2344" t="str">
            <v>NAMA PAKET</v>
          </cell>
          <cell r="O2344" t="str">
            <v>:</v>
          </cell>
        </row>
        <row r="2345">
          <cell r="L2345" t="str">
            <v>PROP / KAB / KODYA</v>
          </cell>
          <cell r="O2345" t="str">
            <v>:</v>
          </cell>
        </row>
        <row r="2346">
          <cell r="L2346" t="str">
            <v>ITEM PEMBAYARAN NO.</v>
          </cell>
          <cell r="O2346" t="str">
            <v xml:space="preserve">:  3.4 </v>
          </cell>
          <cell r="R2346" t="str">
            <v>PERKIRAAN VOL. PEK.</v>
          </cell>
          <cell r="T2346" t="str">
            <v>:</v>
          </cell>
          <cell r="U2346">
            <v>0</v>
          </cell>
        </row>
        <row r="2347">
          <cell r="L2347" t="str">
            <v>JENIS PEKERJAAN</v>
          </cell>
          <cell r="O2347" t="str">
            <v>:  Pengupasan Permukaan Aspal Lama dan Pencampuran Kembali</v>
          </cell>
          <cell r="R2347" t="str">
            <v>TOTAL HARGA (Rp.)</v>
          </cell>
          <cell r="T2347" t="str">
            <v>:</v>
          </cell>
          <cell r="U2347">
            <v>0</v>
          </cell>
        </row>
        <row r="2348">
          <cell r="L2348" t="str">
            <v>SATUAN PEMBAYARAN</v>
          </cell>
          <cell r="O2348" t="str">
            <v>:  M2</v>
          </cell>
          <cell r="R2348" t="str">
            <v>% THD. BIAYA PROYEK</v>
          </cell>
          <cell r="T2348" t="str">
            <v>:</v>
          </cell>
          <cell r="U2348" t="e">
            <v>#DIV/0!</v>
          </cell>
        </row>
        <row r="2351">
          <cell r="Q2351" t="str">
            <v>PERKIRAAN</v>
          </cell>
          <cell r="R2351" t="str">
            <v>HARGA</v>
          </cell>
          <cell r="S2351" t="str">
            <v>JUMLAH</v>
          </cell>
        </row>
        <row r="2352">
          <cell r="L2352" t="str">
            <v>NO.</v>
          </cell>
          <cell r="N2352" t="str">
            <v>KOMPONEN</v>
          </cell>
          <cell r="P2352" t="str">
            <v>SATUAN</v>
          </cell>
          <cell r="Q2352" t="str">
            <v>KUANTITAS</v>
          </cell>
          <cell r="R2352" t="str">
            <v>SATUAN</v>
          </cell>
          <cell r="S2352" t="str">
            <v>HARGA</v>
          </cell>
        </row>
        <row r="2353">
          <cell r="R2353" t="str">
            <v>(Rp.)</v>
          </cell>
          <cell r="S2353" t="str">
            <v>(Rp.)</v>
          </cell>
        </row>
        <row r="2356">
          <cell r="L2356" t="str">
            <v>A.</v>
          </cell>
          <cell r="N2356" t="str">
            <v>TENAGA</v>
          </cell>
        </row>
        <row r="2358">
          <cell r="L2358" t="str">
            <v>1.</v>
          </cell>
          <cell r="N2358" t="str">
            <v>Pekerja</v>
          </cell>
          <cell r="O2358" t="str">
            <v>(L01)</v>
          </cell>
          <cell r="P2358" t="str">
            <v>Jam</v>
          </cell>
          <cell r="Q2358">
            <v>2</v>
          </cell>
          <cell r="R2358">
            <v>2857.14</v>
          </cell>
          <cell r="U2358">
            <v>5714.28</v>
          </cell>
        </row>
        <row r="2359">
          <cell r="L2359" t="str">
            <v>2.</v>
          </cell>
          <cell r="N2359" t="str">
            <v>Mandor</v>
          </cell>
          <cell r="O2359" t="str">
            <v>(L03)</v>
          </cell>
          <cell r="P2359" t="str">
            <v>Jam</v>
          </cell>
          <cell r="Q2359">
            <v>0.5</v>
          </cell>
          <cell r="R2359">
            <v>3214.29</v>
          </cell>
          <cell r="U2359">
            <v>1607.145</v>
          </cell>
        </row>
        <row r="2362">
          <cell r="Q2362" t="str">
            <v xml:space="preserve">JUMLAH HARGA TENAGA   </v>
          </cell>
          <cell r="U2362">
            <v>7321.4249999999993</v>
          </cell>
        </row>
        <row r="2364">
          <cell r="L2364" t="str">
            <v>B.</v>
          </cell>
          <cell r="N2364" t="str">
            <v>BAHAN</v>
          </cell>
        </row>
      </sheetData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-DIV4"/>
    </sheetNames>
    <sheetDataSet>
      <sheetData sheetId="0" refreshError="1">
        <row r="1">
          <cell r="A1" t="str">
            <v>ITEM PEMBAYARAN NO.</v>
          </cell>
          <cell r="D1" t="str">
            <v>:  4.2 (1)</v>
          </cell>
          <cell r="J1" t="str">
            <v>Analisa EI-421</v>
          </cell>
          <cell r="T1" t="str">
            <v>Analisa EI-421</v>
          </cell>
        </row>
        <row r="2">
          <cell r="A2" t="str">
            <v>JENIS PEKERJAAN</v>
          </cell>
          <cell r="D2" t="str">
            <v>:  Lps. Pond. Ag. Kls. A, CBR Min 80%</v>
          </cell>
        </row>
        <row r="3">
          <cell r="A3" t="str">
            <v>SATUAN PEMBAYARAN</v>
          </cell>
          <cell r="D3" t="str">
            <v>:  M3</v>
          </cell>
          <cell r="J3" t="str">
            <v xml:space="preserve">         URAIAN ANALISA HARGA SATUAN</v>
          </cell>
          <cell r="L3" t="str">
            <v>FORMULIR STANDAR UNTUK</v>
          </cell>
        </row>
        <row r="4">
          <cell r="L4" t="str">
            <v>PEREKAMAN ANALISA MASING-MASING HARGA SATUAN</v>
          </cell>
        </row>
        <row r="5">
          <cell r="L5" t="str">
            <v/>
          </cell>
        </row>
        <row r="6">
          <cell r="A6" t="str">
            <v>No.</v>
          </cell>
          <cell r="C6" t="str">
            <v>U R A I A N</v>
          </cell>
          <cell r="G6" t="str">
            <v>KODE</v>
          </cell>
          <cell r="H6" t="str">
            <v>KOEF.</v>
          </cell>
          <cell r="I6" t="str">
            <v>SATUAN</v>
          </cell>
          <cell r="J6" t="str">
            <v>KETERANGAN</v>
          </cell>
        </row>
        <row r="8">
          <cell r="L8" t="str">
            <v>PROYEK</v>
          </cell>
          <cell r="O8" t="str">
            <v>:</v>
          </cell>
        </row>
        <row r="9">
          <cell r="A9" t="str">
            <v>I.</v>
          </cell>
          <cell r="C9" t="str">
            <v>ASUMSI</v>
          </cell>
          <cell r="L9" t="str">
            <v>No. PAKET KONTRAK</v>
          </cell>
          <cell r="O9" t="str">
            <v>:</v>
          </cell>
        </row>
        <row r="10">
          <cell r="A10">
            <v>1</v>
          </cell>
          <cell r="C10" t="str">
            <v>Menggunakan alat berat (cara mekanik)</v>
          </cell>
          <cell r="L10" t="str">
            <v>NAMA PAKET</v>
          </cell>
          <cell r="O10" t="str">
            <v>:</v>
          </cell>
        </row>
        <row r="11">
          <cell r="A11">
            <v>2</v>
          </cell>
          <cell r="C11" t="str">
            <v>Lokasi pekerjaan : sepanjang jalan</v>
          </cell>
          <cell r="L11" t="str">
            <v>PROP / KAB / KODYA</v>
          </cell>
          <cell r="O11" t="str">
            <v>:</v>
          </cell>
        </row>
        <row r="12">
          <cell r="A12">
            <v>3</v>
          </cell>
          <cell r="C12" t="str">
            <v>Kondisi existing jalan : sedang</v>
          </cell>
          <cell r="L12" t="str">
            <v>ITEM PEMBAYARAN NO.</v>
          </cell>
          <cell r="O12" t="str">
            <v>:  4.2 (1)</v>
          </cell>
          <cell r="R12" t="str">
            <v>PERKIRAAN VOL. PEK.</v>
          </cell>
          <cell r="T12" t="str">
            <v>:</v>
          </cell>
          <cell r="U12">
            <v>0</v>
          </cell>
        </row>
        <row r="13">
          <cell r="A13">
            <v>4</v>
          </cell>
          <cell r="C13" t="str">
            <v>Jarak rata-rata Base Camp ke lokasi pekerjaan</v>
          </cell>
          <cell r="G13" t="str">
            <v>L</v>
          </cell>
          <cell r="H13">
            <v>8.7249999999999996</v>
          </cell>
          <cell r="I13" t="str">
            <v>KM</v>
          </cell>
          <cell r="L13" t="str">
            <v>JENIS PEKERJAAN</v>
          </cell>
          <cell r="O13" t="str">
            <v>:  Lps. Pond. Ag. Kls. A, CBR Min 80%</v>
          </cell>
          <cell r="R13" t="str">
            <v>TOTAL HARGA (Rp.)</v>
          </cell>
          <cell r="T13" t="str">
            <v>:</v>
          </cell>
          <cell r="U13">
            <v>0</v>
          </cell>
        </row>
        <row r="14">
          <cell r="A14">
            <v>5</v>
          </cell>
          <cell r="C14" t="str">
            <v>Tebal lapis Agregat padat</v>
          </cell>
          <cell r="G14" t="str">
            <v>t</v>
          </cell>
          <cell r="H14">
            <v>0.15</v>
          </cell>
          <cell r="I14" t="str">
            <v>M</v>
          </cell>
          <cell r="L14" t="str">
            <v>SATUAN PEMBAYARAN</v>
          </cell>
          <cell r="O14" t="str">
            <v>:  M3</v>
          </cell>
          <cell r="R14" t="str">
            <v>% THD. BIAYA PROYEK</v>
          </cell>
          <cell r="T14" t="str">
            <v>:</v>
          </cell>
          <cell r="U14" t="e">
            <v>#DIV/0!</v>
          </cell>
        </row>
        <row r="15">
          <cell r="A15">
            <v>6</v>
          </cell>
          <cell r="C15" t="str">
            <v>Faktor kembang material (Padat-Lepas)</v>
          </cell>
          <cell r="G15" t="str">
            <v>Fk</v>
          </cell>
          <cell r="H15">
            <v>1.2</v>
          </cell>
          <cell r="I15" t="str">
            <v>-</v>
          </cell>
        </row>
        <row r="16">
          <cell r="A16">
            <v>7</v>
          </cell>
          <cell r="C16" t="str">
            <v>Jam kerja efektif per-hari</v>
          </cell>
          <cell r="G16" t="str">
            <v>Tk</v>
          </cell>
          <cell r="H16">
            <v>7</v>
          </cell>
          <cell r="I16" t="str">
            <v>Jam</v>
          </cell>
        </row>
        <row r="17">
          <cell r="A17">
            <v>8</v>
          </cell>
          <cell r="C17" t="str">
            <v>Lebar bahu jalan</v>
          </cell>
          <cell r="G17" t="str">
            <v>Lb</v>
          </cell>
          <cell r="H17">
            <v>1</v>
          </cell>
          <cell r="I17" t="str">
            <v>M</v>
          </cell>
          <cell r="Q17" t="str">
            <v>PERKIRAAN</v>
          </cell>
          <cell r="R17" t="str">
            <v>HARGA</v>
          </cell>
          <cell r="S17" t="str">
            <v>JUMLAH</v>
          </cell>
        </row>
        <row r="18">
          <cell r="A18">
            <v>9</v>
          </cell>
          <cell r="C18" t="str">
            <v>Proporsi Campuran :</v>
          </cell>
          <cell r="D18" t="str">
            <v>- Agregat Kasar</v>
          </cell>
          <cell r="G18" t="str">
            <v>Ak</v>
          </cell>
          <cell r="H18">
            <v>55</v>
          </cell>
          <cell r="I18" t="str">
            <v>%</v>
          </cell>
          <cell r="J18" t="str">
            <v xml:space="preserve"> Gradasi harus -</v>
          </cell>
          <cell r="L18" t="str">
            <v>NO.</v>
          </cell>
          <cell r="N18" t="str">
            <v>KOMPONEN</v>
          </cell>
          <cell r="P18" t="str">
            <v>SATUAN</v>
          </cell>
          <cell r="Q18" t="str">
            <v>KUANTITAS</v>
          </cell>
          <cell r="R18" t="str">
            <v>SATUAN</v>
          </cell>
          <cell r="S18" t="str">
            <v>HARGA</v>
          </cell>
        </row>
        <row r="19">
          <cell r="D19" t="str">
            <v>- Agregat Halus</v>
          </cell>
          <cell r="G19" t="str">
            <v>Ah</v>
          </cell>
          <cell r="H19">
            <v>45</v>
          </cell>
          <cell r="I19" t="str">
            <v>%</v>
          </cell>
          <cell r="J19" t="str">
            <v xml:space="preserve"> memenuhi Spec.</v>
          </cell>
          <cell r="R19" t="str">
            <v>(Rp.)</v>
          </cell>
          <cell r="S19" t="str">
            <v>(Rp.)</v>
          </cell>
        </row>
        <row r="20">
          <cell r="A20" t="str">
            <v>II.</v>
          </cell>
          <cell r="C20" t="str">
            <v>URUTAN KERJA</v>
          </cell>
        </row>
        <row r="21">
          <cell r="A21">
            <v>1</v>
          </cell>
          <cell r="C21" t="str">
            <v xml:space="preserve">Wheel Loader mencampur &amp; memuat Agregat ke </v>
          </cell>
        </row>
        <row r="22">
          <cell r="C22" t="str">
            <v>dalam Dump Truck di Base Camp</v>
          </cell>
          <cell r="L22" t="str">
            <v>A.</v>
          </cell>
          <cell r="N22" t="str">
            <v>TENAGA</v>
          </cell>
        </row>
        <row r="23">
          <cell r="A23">
            <v>2</v>
          </cell>
          <cell r="C23" t="str">
            <v>Dump Truck mengangkut Agregat ke lokasi</v>
          </cell>
        </row>
        <row r="24">
          <cell r="C24" t="str">
            <v>pekerjaan dan dihampar dengan Motor Grader</v>
          </cell>
          <cell r="L24" t="str">
            <v>1.</v>
          </cell>
          <cell r="N24" t="str">
            <v>Pekerja</v>
          </cell>
          <cell r="O24" t="str">
            <v>(L01)</v>
          </cell>
          <cell r="P24" t="str">
            <v>Jam</v>
          </cell>
          <cell r="Q24">
            <v>0.24988844265952695</v>
          </cell>
          <cell r="R24">
            <v>2857.14</v>
          </cell>
          <cell r="U24">
            <v>713.96626506024074</v>
          </cell>
        </row>
        <row r="25">
          <cell r="A25">
            <v>3</v>
          </cell>
          <cell r="C25" t="str">
            <v>Hamparan Agregat dibasahi dengan Water Tank Truck</v>
          </cell>
          <cell r="L25" t="str">
            <v>2.</v>
          </cell>
          <cell r="N25" t="str">
            <v>Mandor</v>
          </cell>
          <cell r="O25" t="str">
            <v>(L03)</v>
          </cell>
          <cell r="P25" t="str">
            <v>Jam</v>
          </cell>
          <cell r="Q25">
            <v>3.5698348951360995E-2</v>
          </cell>
          <cell r="R25">
            <v>3214.29</v>
          </cell>
          <cell r="U25">
            <v>114.74484605087014</v>
          </cell>
        </row>
        <row r="26">
          <cell r="C26" t="str">
            <v>sebelum dipadatkan dengan Tandem Roller &amp; PTR</v>
          </cell>
        </row>
        <row r="27">
          <cell r="A27">
            <v>4</v>
          </cell>
          <cell r="C27" t="str">
            <v>Selama pemadatan sekelompok pekerja akan</v>
          </cell>
        </row>
        <row r="28">
          <cell r="C28" t="str">
            <v>merapikan tepi hamparan dan level permukaan</v>
          </cell>
          <cell r="Q28" t="str">
            <v xml:space="preserve">JUMLAH HARGA TENAGA   </v>
          </cell>
          <cell r="U28">
            <v>828.71111111111088</v>
          </cell>
        </row>
        <row r="29">
          <cell r="C29" t="str">
            <v>dengan menggunakan alat bantu</v>
          </cell>
        </row>
        <row r="30">
          <cell r="L30" t="str">
            <v>B.</v>
          </cell>
          <cell r="N30" t="str">
            <v>BAHAN</v>
          </cell>
        </row>
        <row r="31">
          <cell r="A31" t="str">
            <v>III.</v>
          </cell>
          <cell r="C31" t="str">
            <v>PEMAKAIAN BAHAN, ALAT DAN TENAGA</v>
          </cell>
        </row>
        <row r="32">
          <cell r="L32" t="str">
            <v>1.</v>
          </cell>
          <cell r="N32" t="str">
            <v>Agregat Kasar     (M03)</v>
          </cell>
          <cell r="P32" t="str">
            <v>M3</v>
          </cell>
          <cell r="Q32">
            <v>0.66</v>
          </cell>
          <cell r="R32">
            <v>222345.54558042376</v>
          </cell>
          <cell r="U32">
            <v>146748.06008307968</v>
          </cell>
        </row>
        <row r="33">
          <cell r="A33" t="str">
            <v xml:space="preserve">   1.</v>
          </cell>
          <cell r="C33" t="str">
            <v>BAHAN</v>
          </cell>
          <cell r="L33" t="str">
            <v>2.</v>
          </cell>
          <cell r="N33" t="str">
            <v>Agregat Halus     (M04)</v>
          </cell>
          <cell r="P33" t="str">
            <v>M3</v>
          </cell>
          <cell r="Q33">
            <v>0.54</v>
          </cell>
          <cell r="R33">
            <v>194196.70775416915</v>
          </cell>
          <cell r="U33">
            <v>104866.22218725135</v>
          </cell>
        </row>
        <row r="34">
          <cell r="C34" t="str">
            <v>- Agregat Kasar</v>
          </cell>
          <cell r="D34" t="str">
            <v>=  Ak x 1 M3 x Fk</v>
          </cell>
          <cell r="G34" t="str">
            <v>M03</v>
          </cell>
          <cell r="H34">
            <v>0.66</v>
          </cell>
          <cell r="I34" t="str">
            <v>M3</v>
          </cell>
        </row>
        <row r="35">
          <cell r="C35" t="str">
            <v>- Agregat Halus</v>
          </cell>
          <cell r="D35" t="str">
            <v>=  Ah x 1 M3 x Fk</v>
          </cell>
          <cell r="G35" t="str">
            <v>M04</v>
          </cell>
          <cell r="H35">
            <v>0.54</v>
          </cell>
          <cell r="I35" t="str">
            <v>M3</v>
          </cell>
        </row>
        <row r="37">
          <cell r="A37" t="str">
            <v xml:space="preserve">   2.</v>
          </cell>
          <cell r="C37" t="str">
            <v>ALAT</v>
          </cell>
        </row>
        <row r="38">
          <cell r="A38" t="str">
            <v>2.a.</v>
          </cell>
          <cell r="C38" t="str">
            <v>WHEEL LOADER</v>
          </cell>
          <cell r="G38" t="str">
            <v>(E15)</v>
          </cell>
          <cell r="Q38" t="str">
            <v xml:space="preserve">JUMLAH HARGA BAHAN   </v>
          </cell>
          <cell r="U38">
            <v>251614.28227033102</v>
          </cell>
        </row>
        <row r="39">
          <cell r="C39" t="str">
            <v>Kapasitas bucket</v>
          </cell>
          <cell r="G39" t="str">
            <v>V</v>
          </cell>
          <cell r="H39">
            <v>1.5</v>
          </cell>
          <cell r="I39" t="str">
            <v>M3</v>
          </cell>
        </row>
        <row r="40">
          <cell r="C40" t="str">
            <v>Faktor bucket</v>
          </cell>
          <cell r="G40" t="str">
            <v>Fb</v>
          </cell>
          <cell r="H40">
            <v>0.9</v>
          </cell>
          <cell r="I40" t="str">
            <v>-</v>
          </cell>
          <cell r="J40" t="str">
            <v>Pemuatan ringan</v>
          </cell>
          <cell r="L40" t="str">
            <v>C.</v>
          </cell>
          <cell r="N40" t="str">
            <v>PERALATAN</v>
          </cell>
        </row>
        <row r="41">
          <cell r="C41" t="str">
            <v>Faktor Efisiensi alat</v>
          </cell>
          <cell r="G41" t="str">
            <v>Fa</v>
          </cell>
          <cell r="H41">
            <v>0.83</v>
          </cell>
          <cell r="I41" t="str">
            <v>-</v>
          </cell>
        </row>
        <row r="42">
          <cell r="C42" t="str">
            <v>Waktu siklus</v>
          </cell>
          <cell r="G42" t="str">
            <v>Ts1</v>
          </cell>
          <cell r="L42" t="str">
            <v>1</v>
          </cell>
          <cell r="N42" t="str">
            <v>Wheel Loader</v>
          </cell>
          <cell r="O42" t="str">
            <v>E15</v>
          </cell>
          <cell r="P42" t="str">
            <v>Jam</v>
          </cell>
          <cell r="Q42">
            <v>3.5698348951360995E-2</v>
          </cell>
          <cell r="R42">
            <v>163808.13869490434</v>
          </cell>
          <cell r="U42">
            <v>5847.680096203635</v>
          </cell>
        </row>
        <row r="43">
          <cell r="C43" t="str">
            <v>- Mencampur</v>
          </cell>
          <cell r="G43" t="str">
            <v>T1</v>
          </cell>
          <cell r="H43">
            <v>1.5</v>
          </cell>
          <cell r="I43" t="str">
            <v>menit</v>
          </cell>
          <cell r="L43" t="str">
            <v>2</v>
          </cell>
          <cell r="N43" t="str">
            <v>Dump Truck</v>
          </cell>
          <cell r="O43" t="str">
            <v>E09</v>
          </cell>
          <cell r="P43" t="str">
            <v>Jam</v>
          </cell>
          <cell r="Q43">
            <v>0.14542063837680036</v>
          </cell>
          <cell r="R43">
            <v>70230.073977639215</v>
          </cell>
          <cell r="U43">
            <v>10212.90219107821</v>
          </cell>
        </row>
        <row r="44">
          <cell r="C44" t="str">
            <v>- Memuat dan lain-lain</v>
          </cell>
          <cell r="G44" t="str">
            <v>T2</v>
          </cell>
          <cell r="H44">
            <v>0.5</v>
          </cell>
          <cell r="I44" t="str">
            <v>menit</v>
          </cell>
          <cell r="L44" t="str">
            <v>3</v>
          </cell>
          <cell r="N44" t="str">
            <v>Motor Grader</v>
          </cell>
          <cell r="O44" t="str">
            <v>E13</v>
          </cell>
          <cell r="P44" t="str">
            <v>Jam</v>
          </cell>
          <cell r="Q44">
            <v>1.1713520749665328E-2</v>
          </cell>
          <cell r="R44">
            <v>201666.62574070093</v>
          </cell>
          <cell r="U44">
            <v>2362.2262051286921</v>
          </cell>
        </row>
        <row r="45">
          <cell r="G45" t="str">
            <v>Ts1</v>
          </cell>
          <cell r="H45">
            <v>2</v>
          </cell>
          <cell r="I45" t="str">
            <v>menit</v>
          </cell>
          <cell r="L45" t="str">
            <v>4</v>
          </cell>
          <cell r="N45" t="str">
            <v>Tandem Roller</v>
          </cell>
          <cell r="O45" t="str">
            <v>E17</v>
          </cell>
          <cell r="P45" t="str">
            <v>Jam</v>
          </cell>
          <cell r="Q45">
            <v>1.7849174475680501E-2</v>
          </cell>
          <cell r="R45">
            <v>293927.19306224468</v>
          </cell>
          <cell r="U45">
            <v>5246.3577521150328</v>
          </cell>
        </row>
        <row r="46">
          <cell r="L46" t="str">
            <v>5</v>
          </cell>
          <cell r="N46" t="str">
            <v>Water Tanker</v>
          </cell>
          <cell r="O46" t="str">
            <v>E23</v>
          </cell>
          <cell r="P46" t="str">
            <v>Jam</v>
          </cell>
          <cell r="Q46">
            <v>2.1084337349397592E-2</v>
          </cell>
          <cell r="R46">
            <v>67020.510980434308</v>
          </cell>
          <cell r="U46">
            <v>1413.0830628404826</v>
          </cell>
        </row>
        <row r="47">
          <cell r="C47" t="str">
            <v>Kap. Prod. / jam =</v>
          </cell>
          <cell r="D47" t="str">
            <v>V x Fb x Fa x 60</v>
          </cell>
          <cell r="G47" t="str">
            <v>Q1</v>
          </cell>
          <cell r="H47">
            <v>28.012500000000003</v>
          </cell>
          <cell r="I47" t="str">
            <v>M3</v>
          </cell>
          <cell r="L47" t="str">
            <v>6</v>
          </cell>
          <cell r="N47" t="str">
            <v>Alat Bantu</v>
          </cell>
          <cell r="P47" t="str">
            <v>Ls</v>
          </cell>
          <cell r="Q47">
            <v>1</v>
          </cell>
          <cell r="R47">
            <v>75</v>
          </cell>
          <cell r="U47">
            <v>75</v>
          </cell>
        </row>
        <row r="48">
          <cell r="D48" t="str">
            <v>Fk x Ts1</v>
          </cell>
        </row>
        <row r="49">
          <cell r="C49" t="str">
            <v>Koefisien Alat / M3</v>
          </cell>
          <cell r="D49" t="str">
            <v xml:space="preserve"> =  1  :  Q1</v>
          </cell>
          <cell r="G49" t="str">
            <v>(E15)</v>
          </cell>
          <cell r="H49">
            <v>3.5698348951360995E-2</v>
          </cell>
          <cell r="I49" t="str">
            <v>Jam</v>
          </cell>
        </row>
        <row r="50">
          <cell r="Q50" t="str">
            <v xml:space="preserve">JUMLAH HARGA PERALATAN   </v>
          </cell>
          <cell r="U50">
            <v>25157.249307366055</v>
          </cell>
        </row>
        <row r="51">
          <cell r="A51" t="str">
            <v>2.b.</v>
          </cell>
          <cell r="C51" t="str">
            <v>DUMP TRUCK</v>
          </cell>
          <cell r="G51" t="str">
            <v>(E09)</v>
          </cell>
        </row>
        <row r="52">
          <cell r="C52" t="str">
            <v>Kapasitas bak</v>
          </cell>
          <cell r="G52" t="str">
            <v>V</v>
          </cell>
          <cell r="H52">
            <v>6</v>
          </cell>
          <cell r="I52" t="str">
            <v>M3</v>
          </cell>
          <cell r="L52" t="str">
            <v>D.</v>
          </cell>
          <cell r="N52" t="str">
            <v>JUMLAH HARGA TENAGA, BAHAN DAN PERALATAN  ( A + B + C )</v>
          </cell>
          <cell r="U52">
            <v>277600.24268880818</v>
          </cell>
        </row>
        <row r="53">
          <cell r="C53" t="str">
            <v>Faktor Efisiensi alat</v>
          </cell>
          <cell r="G53" t="str">
            <v>Fa</v>
          </cell>
          <cell r="H53">
            <v>0.83</v>
          </cell>
          <cell r="I53" t="str">
            <v>-</v>
          </cell>
          <cell r="L53" t="str">
            <v>E.</v>
          </cell>
          <cell r="N53" t="str">
            <v>OVERHEAD &amp; PROFIT</v>
          </cell>
          <cell r="P53">
            <v>10</v>
          </cell>
          <cell r="Q53" t="str">
            <v>%  x  D</v>
          </cell>
          <cell r="U53">
            <v>27760.024268880821</v>
          </cell>
        </row>
        <row r="54">
          <cell r="C54" t="str">
            <v>Kecepatan rata-rata bermuatan</v>
          </cell>
          <cell r="G54" t="str">
            <v>v1</v>
          </cell>
          <cell r="H54">
            <v>45</v>
          </cell>
          <cell r="I54" t="str">
            <v>KM / Jam</v>
          </cell>
          <cell r="L54" t="str">
            <v>F.</v>
          </cell>
          <cell r="N54" t="str">
            <v>HARGA SATUAN PEKERJAAN  ( D + E )</v>
          </cell>
          <cell r="U54">
            <v>305360.26695768902</v>
          </cell>
        </row>
        <row r="55">
          <cell r="C55" t="str">
            <v>Kecepatan rata-rata kosong</v>
          </cell>
          <cell r="G55" t="str">
            <v>v2</v>
          </cell>
          <cell r="H55">
            <v>60</v>
          </cell>
          <cell r="I55" t="str">
            <v>KM / Jam</v>
          </cell>
          <cell r="L55" t="str">
            <v>Note: 1</v>
          </cell>
          <cell r="N55" t="str">
            <v>SATUAN dapat berdasarkan atas jam operasi untuk Tenaga Kerja dan Peralatan, volume dan/atau ukuran</v>
          </cell>
        </row>
        <row r="56">
          <cell r="C56" t="str">
            <v>Waktu Siklus  :  - Waktu memuat = V : Q1 x 60</v>
          </cell>
          <cell r="G56" t="str">
            <v>T1</v>
          </cell>
          <cell r="H56">
            <v>12.851405622489958</v>
          </cell>
          <cell r="I56" t="str">
            <v>menit</v>
          </cell>
          <cell r="N56" t="str">
            <v>berat untuk bahan-bahan.</v>
          </cell>
        </row>
        <row r="57">
          <cell r="C57" t="str">
            <v>- Waktu tempuh isi = (L : v1) x 60 menit</v>
          </cell>
          <cell r="G57" t="str">
            <v>T2</v>
          </cell>
          <cell r="H57">
            <v>11.633333333333333</v>
          </cell>
          <cell r="I57" t="str">
            <v>menit</v>
          </cell>
          <cell r="L57">
            <v>2</v>
          </cell>
          <cell r="N57" t="str">
            <v>Kuantitas satuan adalah kuantitas setiap komponen untuk menyelesaikan satu satuan pekerjaan dari nomor</v>
          </cell>
        </row>
        <row r="58">
          <cell r="C58" t="str">
            <v>- Waktu tempuh kosong = (L : v2) x 60 menit</v>
          </cell>
          <cell r="G58" t="str">
            <v>T3</v>
          </cell>
          <cell r="H58">
            <v>8.7249999999999996</v>
          </cell>
          <cell r="I58" t="str">
            <v>menit</v>
          </cell>
          <cell r="N58" t="str">
            <v>mata pembayaran.</v>
          </cell>
        </row>
        <row r="59">
          <cell r="C59" t="str">
            <v>- Lain-lain termasuk menurunkan Agregat</v>
          </cell>
          <cell r="G59" t="str">
            <v>T4</v>
          </cell>
          <cell r="H59">
            <v>3</v>
          </cell>
          <cell r="I59" t="str">
            <v>menit</v>
          </cell>
          <cell r="L59">
            <v>3</v>
          </cell>
          <cell r="N59" t="str">
            <v>Biaya satuan untuk peralatan sudah termasuk bahan bakar, bahan habis dipakai dan operator.</v>
          </cell>
        </row>
        <row r="60">
          <cell r="G60" t="str">
            <v>Ts2</v>
          </cell>
          <cell r="H60">
            <v>36.20973895582329</v>
          </cell>
          <cell r="I60" t="str">
            <v>menit</v>
          </cell>
          <cell r="L60">
            <v>4</v>
          </cell>
          <cell r="N60" t="str">
            <v>Biaya satuan sudah termasuk pengeluaran untuk seluruh pajak yang berkaitan (tetapi tidak termasuk PPN</v>
          </cell>
        </row>
        <row r="61">
          <cell r="J61" t="str">
            <v>Berlanjut ke halaman berikut</v>
          </cell>
          <cell r="N61" t="str">
            <v>yang dibayar dari kontrak) dan biaya-biaya lainnya.</v>
          </cell>
        </row>
        <row r="62">
          <cell r="A62" t="str">
            <v>ITEM PEMBAYARAN NO.</v>
          </cell>
          <cell r="D62" t="str">
            <v>:  4.2 (1)</v>
          </cell>
          <cell r="J62" t="str">
            <v>Analisa EI-421</v>
          </cell>
        </row>
        <row r="63">
          <cell r="A63" t="str">
            <v>JENIS PEKERJAAN</v>
          </cell>
          <cell r="D63" t="str">
            <v>:  Lps. Pond. Ag. Kls. A, CBR Min 80%</v>
          </cell>
        </row>
        <row r="64">
          <cell r="A64" t="str">
            <v>SATUAN PEMBAYARAN</v>
          </cell>
          <cell r="D64" t="str">
            <v>:  M3</v>
          </cell>
          <cell r="J64" t="str">
            <v xml:space="preserve">         URAIAN ANALISA HARGA SATUAN</v>
          </cell>
        </row>
        <row r="65">
          <cell r="J65" t="str">
            <v>Lanjutan</v>
          </cell>
        </row>
        <row r="67">
          <cell r="A67" t="str">
            <v>No.</v>
          </cell>
          <cell r="C67" t="str">
            <v>U R A I A N</v>
          </cell>
          <cell r="G67" t="str">
            <v>KODE</v>
          </cell>
          <cell r="H67" t="str">
            <v>KOEF.</v>
          </cell>
          <cell r="I67" t="str">
            <v>SATUAN</v>
          </cell>
          <cell r="J67" t="str">
            <v>KETERANGAN</v>
          </cell>
        </row>
        <row r="70">
          <cell r="C70" t="str">
            <v xml:space="preserve">Kap. Prod./jam = </v>
          </cell>
          <cell r="D70" t="str">
            <v>V x Fa x 60</v>
          </cell>
          <cell r="G70" t="str">
            <v>Q2</v>
          </cell>
          <cell r="H70">
            <v>6.8766030129017413</v>
          </cell>
          <cell r="I70" t="str">
            <v>M3</v>
          </cell>
        </row>
        <row r="71">
          <cell r="D71" t="str">
            <v>Fk x Ts2</v>
          </cell>
        </row>
        <row r="72">
          <cell r="C72" t="str">
            <v>Koefisien Alat / M3 = 1 : Q2</v>
          </cell>
          <cell r="D72" t="str">
            <v xml:space="preserve"> =  1 : Q2</v>
          </cell>
          <cell r="G72" t="str">
            <v>(E08)</v>
          </cell>
          <cell r="H72">
            <v>0.14542063837680036</v>
          </cell>
          <cell r="I72" t="str">
            <v>Jam</v>
          </cell>
        </row>
        <row r="74">
          <cell r="A74" t="str">
            <v>2.c.</v>
          </cell>
          <cell r="C74" t="str">
            <v>MOTOR GRADER</v>
          </cell>
          <cell r="G74" t="str">
            <v>(E13)</v>
          </cell>
        </row>
        <row r="75">
          <cell r="C75" t="str">
            <v>Panjang hamparan</v>
          </cell>
          <cell r="G75" t="str">
            <v>Lh</v>
          </cell>
          <cell r="H75">
            <v>50</v>
          </cell>
          <cell r="I75" t="str">
            <v>M</v>
          </cell>
        </row>
        <row r="76">
          <cell r="C76" t="str">
            <v>Lebar efektif kerja blade</v>
          </cell>
          <cell r="G76" t="str">
            <v>b</v>
          </cell>
          <cell r="H76">
            <v>2.4</v>
          </cell>
          <cell r="I76" t="str">
            <v>M</v>
          </cell>
        </row>
        <row r="77">
          <cell r="C77" t="str">
            <v>Faktor Efisiensi alat</v>
          </cell>
          <cell r="G77" t="str">
            <v>Fa</v>
          </cell>
          <cell r="H77">
            <v>0.83</v>
          </cell>
          <cell r="I77" t="str">
            <v>-</v>
          </cell>
        </row>
        <row r="78">
          <cell r="C78" t="str">
            <v>Kecepatan rata-rata alat</v>
          </cell>
          <cell r="G78" t="str">
            <v>v</v>
          </cell>
          <cell r="H78">
            <v>4</v>
          </cell>
          <cell r="I78" t="str">
            <v>KM / Jam</v>
          </cell>
        </row>
        <row r="79">
          <cell r="C79" t="str">
            <v>Jumlah lintasan</v>
          </cell>
          <cell r="G79" t="str">
            <v>n</v>
          </cell>
          <cell r="H79">
            <v>6</v>
          </cell>
          <cell r="I79" t="str">
            <v>lintasan</v>
          </cell>
          <cell r="J79" t="str">
            <v>3 x pp</v>
          </cell>
        </row>
        <row r="80">
          <cell r="C80" t="str">
            <v>Waktu Siklus</v>
          </cell>
          <cell r="G80" t="str">
            <v>Ts3</v>
          </cell>
        </row>
        <row r="81">
          <cell r="C81" t="str">
            <v>- Perataan 1 lintasan  = (Lh x 60) : (v x 1000)</v>
          </cell>
          <cell r="G81" t="str">
            <v>T1</v>
          </cell>
          <cell r="H81">
            <v>0.75</v>
          </cell>
          <cell r="I81" t="str">
            <v>menit</v>
          </cell>
        </row>
        <row r="82">
          <cell r="C82" t="str">
            <v>- Lain-lain</v>
          </cell>
          <cell r="G82" t="str">
            <v>T2</v>
          </cell>
          <cell r="H82">
            <v>1</v>
          </cell>
          <cell r="I82" t="str">
            <v>menit</v>
          </cell>
        </row>
        <row r="83">
          <cell r="G83" t="str">
            <v>Ts3</v>
          </cell>
          <cell r="H83">
            <v>1.75</v>
          </cell>
          <cell r="I83" t="str">
            <v>menit</v>
          </cell>
        </row>
        <row r="85">
          <cell r="C85" t="str">
            <v>Kap.Prod. / jam =</v>
          </cell>
          <cell r="D85" t="str">
            <v>Lh x b x t x Fa x 60</v>
          </cell>
          <cell r="G85" t="str">
            <v>Q3</v>
          </cell>
          <cell r="H85">
            <v>85.371428571428567</v>
          </cell>
          <cell r="I85" t="str">
            <v>M3</v>
          </cell>
        </row>
        <row r="86">
          <cell r="D86" t="str">
            <v>n x Ts3</v>
          </cell>
        </row>
        <row r="87">
          <cell r="C87" t="str">
            <v>Koefisien Alat / M3</v>
          </cell>
          <cell r="D87" t="str">
            <v xml:space="preserve"> = 1 : Q3</v>
          </cell>
          <cell r="G87" t="str">
            <v>(E13)</v>
          </cell>
          <cell r="H87">
            <v>1.1713520749665328E-2</v>
          </cell>
          <cell r="I87" t="str">
            <v>Jam</v>
          </cell>
        </row>
        <row r="89">
          <cell r="A89" t="str">
            <v>2.d.</v>
          </cell>
          <cell r="C89" t="str">
            <v>TANDEM ROLLER</v>
          </cell>
          <cell r="G89" t="str">
            <v>(E17)</v>
          </cell>
        </row>
        <row r="90">
          <cell r="C90" t="str">
            <v>Kecepatan rata-rata</v>
          </cell>
          <cell r="G90" t="str">
            <v>v</v>
          </cell>
          <cell r="H90">
            <v>3</v>
          </cell>
          <cell r="I90" t="str">
            <v>KM / Jam</v>
          </cell>
        </row>
        <row r="91">
          <cell r="C91" t="str">
            <v>Lebar efektif pemadatan</v>
          </cell>
          <cell r="G91" t="str">
            <v>b</v>
          </cell>
          <cell r="H91">
            <v>1.2</v>
          </cell>
          <cell r="I91" t="str">
            <v>M</v>
          </cell>
        </row>
        <row r="92">
          <cell r="C92" t="str">
            <v>Jumlah lintasan</v>
          </cell>
          <cell r="G92" t="str">
            <v>n</v>
          </cell>
          <cell r="H92">
            <v>8</v>
          </cell>
          <cell r="I92" t="str">
            <v>lintasan</v>
          </cell>
        </row>
        <row r="93">
          <cell r="C93" t="str">
            <v>Faktor Efisiensi alat</v>
          </cell>
          <cell r="G93" t="str">
            <v>Fa</v>
          </cell>
          <cell r="H93">
            <v>0.83</v>
          </cell>
          <cell r="I93" t="str">
            <v>-</v>
          </cell>
        </row>
        <row r="95">
          <cell r="C95" t="str">
            <v>Kap.Prod. / jam =</v>
          </cell>
          <cell r="D95" t="str">
            <v>(v x 1000) x b x t x Fa</v>
          </cell>
          <cell r="G95" t="str">
            <v>Q4</v>
          </cell>
          <cell r="H95">
            <v>56.024999999999999</v>
          </cell>
          <cell r="I95" t="str">
            <v>M3</v>
          </cell>
        </row>
        <row r="96">
          <cell r="D96" t="str">
            <v>n</v>
          </cell>
        </row>
        <row r="97">
          <cell r="C97" t="str">
            <v>Koefisien Alat / M3</v>
          </cell>
          <cell r="D97" t="str">
            <v xml:space="preserve"> = 1 : Q4</v>
          </cell>
          <cell r="G97" t="str">
            <v>(E17)</v>
          </cell>
          <cell r="H97">
            <v>1.7849174475680501E-2</v>
          </cell>
          <cell r="I97" t="str">
            <v>Jam</v>
          </cell>
        </row>
        <row r="99">
          <cell r="A99" t="str">
            <v>2.e.</v>
          </cell>
          <cell r="C99" t="str">
            <v>WATERTANK TRUCK</v>
          </cell>
          <cell r="G99" t="str">
            <v>(E23)</v>
          </cell>
        </row>
        <row r="100">
          <cell r="C100" t="str">
            <v>Volume tangki air</v>
          </cell>
          <cell r="G100" t="str">
            <v>V</v>
          </cell>
          <cell r="H100">
            <v>4</v>
          </cell>
          <cell r="I100" t="str">
            <v>M3</v>
          </cell>
        </row>
        <row r="101">
          <cell r="C101" t="str">
            <v>Kebutuhan air / M3 agregat padat</v>
          </cell>
          <cell r="G101" t="str">
            <v>Wc</v>
          </cell>
          <cell r="H101">
            <v>7.0000000000000007E-2</v>
          </cell>
          <cell r="I101" t="str">
            <v>M3</v>
          </cell>
        </row>
        <row r="102">
          <cell r="C102" t="str">
            <v>Pengisian tangki / jam</v>
          </cell>
          <cell r="G102" t="str">
            <v>n</v>
          </cell>
          <cell r="H102">
            <v>1</v>
          </cell>
          <cell r="I102" t="str">
            <v>kali</v>
          </cell>
        </row>
        <row r="103">
          <cell r="C103" t="str">
            <v>Faktor Efisiensi alat</v>
          </cell>
          <cell r="G103" t="str">
            <v>Fa</v>
          </cell>
          <cell r="H103">
            <v>0.83</v>
          </cell>
          <cell r="I103" t="str">
            <v>-</v>
          </cell>
        </row>
        <row r="105">
          <cell r="C105" t="str">
            <v>Kap.Prod. / jam =</v>
          </cell>
          <cell r="D105" t="str">
            <v>V x n x Fa</v>
          </cell>
          <cell r="G105" t="str">
            <v>Q5</v>
          </cell>
          <cell r="H105">
            <v>47.428571428571423</v>
          </cell>
          <cell r="I105" t="str">
            <v>M3</v>
          </cell>
        </row>
        <row r="106">
          <cell r="D106" t="str">
            <v>Wc</v>
          </cell>
        </row>
        <row r="107">
          <cell r="C107" t="str">
            <v>Koefisien Alat / M3</v>
          </cell>
          <cell r="D107" t="str">
            <v xml:space="preserve"> = 1 : Q5</v>
          </cell>
          <cell r="G107" t="str">
            <v>(E23)</v>
          </cell>
          <cell r="H107">
            <v>2.1084337349397592E-2</v>
          </cell>
          <cell r="I107" t="str">
            <v>Jam</v>
          </cell>
        </row>
        <row r="110">
          <cell r="A110" t="str">
            <v>2.g.</v>
          </cell>
          <cell r="C110" t="str">
            <v>ALAT BANTU</v>
          </cell>
        </row>
        <row r="111">
          <cell r="C111" t="str">
            <v>diperlukan :</v>
          </cell>
          <cell r="J111" t="str">
            <v>Lump Sum</v>
          </cell>
        </row>
        <row r="112">
          <cell r="C112" t="str">
            <v>- Kereta dorong     = 2 buah</v>
          </cell>
        </row>
        <row r="113">
          <cell r="C113" t="str">
            <v>- Sekop                = 3 buah</v>
          </cell>
        </row>
        <row r="114">
          <cell r="C114" t="str">
            <v>- Garpu                = 2 buah</v>
          </cell>
        </row>
        <row r="120">
          <cell r="J120" t="str">
            <v>Berlanjut ke halaman berikut</v>
          </cell>
        </row>
        <row r="121">
          <cell r="A121" t="str">
            <v>ITEM PEMBAYARAN NO.</v>
          </cell>
          <cell r="D121" t="str">
            <v>:  4.2 (1)</v>
          </cell>
          <cell r="J121" t="str">
            <v>Analisa EI-421</v>
          </cell>
        </row>
        <row r="122">
          <cell r="A122" t="str">
            <v>JENIS PEKERJAAN</v>
          </cell>
          <cell r="D122" t="str">
            <v>:  Lps. Pond. Ag. Kls. A, CBR Min 80%</v>
          </cell>
        </row>
        <row r="123">
          <cell r="A123" t="str">
            <v>SATUAN PEMBAYARAN</v>
          </cell>
          <cell r="D123" t="str">
            <v>:  M3</v>
          </cell>
          <cell r="J123" t="str">
            <v xml:space="preserve">         URAIAN ANALISA HARGA SATUAN</v>
          </cell>
        </row>
        <row r="124">
          <cell r="J124" t="str">
            <v>Lanjutan</v>
          </cell>
        </row>
        <row r="126">
          <cell r="A126" t="str">
            <v>No.</v>
          </cell>
          <cell r="C126" t="str">
            <v>U R A I A N</v>
          </cell>
          <cell r="G126" t="str">
            <v>KODE</v>
          </cell>
          <cell r="H126" t="str">
            <v>KOEF.</v>
          </cell>
          <cell r="I126" t="str">
            <v>SATUAN</v>
          </cell>
          <cell r="J126" t="str">
            <v>KETERANGAN</v>
          </cell>
        </row>
        <row r="129">
          <cell r="A129" t="str">
            <v xml:space="preserve">   3.</v>
          </cell>
          <cell r="C129" t="str">
            <v>TENAGA</v>
          </cell>
        </row>
        <row r="130">
          <cell r="C130" t="str">
            <v>Produksi menentukan : WHEEL LOADER</v>
          </cell>
          <cell r="G130" t="str">
            <v>Q1</v>
          </cell>
          <cell r="H130">
            <v>28.012500000000003</v>
          </cell>
          <cell r="I130" t="str">
            <v>M3/Jam</v>
          </cell>
        </row>
        <row r="131">
          <cell r="C131" t="str">
            <v>Produksi Agregat / hari  =  Tk x Q1</v>
          </cell>
          <cell r="G131" t="str">
            <v>Qt</v>
          </cell>
          <cell r="H131">
            <v>196.08750000000003</v>
          </cell>
          <cell r="I131" t="str">
            <v>M3</v>
          </cell>
        </row>
        <row r="132">
          <cell r="C132" t="str">
            <v>Kebutuhan tenaga :</v>
          </cell>
        </row>
        <row r="133">
          <cell r="D133" t="str">
            <v>- Pekerja</v>
          </cell>
          <cell r="G133" t="str">
            <v>P</v>
          </cell>
          <cell r="H133">
            <v>7</v>
          </cell>
          <cell r="I133" t="str">
            <v>orang</v>
          </cell>
        </row>
        <row r="134">
          <cell r="D134" t="str">
            <v>- Mandor</v>
          </cell>
          <cell r="G134" t="str">
            <v>M</v>
          </cell>
          <cell r="H134">
            <v>1</v>
          </cell>
          <cell r="I134" t="str">
            <v>orang</v>
          </cell>
        </row>
        <row r="136">
          <cell r="C136" t="str">
            <v>Koefisien tenaga / M3     :</v>
          </cell>
        </row>
        <row r="137">
          <cell r="D137" t="str">
            <v>- Pekerja</v>
          </cell>
          <cell r="E137" t="str">
            <v>= (Tk x P) : Qt</v>
          </cell>
          <cell r="G137" t="str">
            <v>(L01)</v>
          </cell>
          <cell r="H137">
            <v>0.24988844265952695</v>
          </cell>
          <cell r="I137" t="str">
            <v>Jam</v>
          </cell>
        </row>
        <row r="138">
          <cell r="D138" t="str">
            <v>- Mandor</v>
          </cell>
          <cell r="E138" t="str">
            <v>= (Tk x M) : Qt</v>
          </cell>
          <cell r="G138" t="str">
            <v>(L03)</v>
          </cell>
          <cell r="H138">
            <v>3.5698348951360995E-2</v>
          </cell>
          <cell r="I138" t="str">
            <v>Jam</v>
          </cell>
        </row>
        <row r="141">
          <cell r="A141" t="str">
            <v>4.</v>
          </cell>
          <cell r="C141" t="str">
            <v>HARGA DASAR SATUAN UPAH, BAHAN DAN ALAT</v>
          </cell>
        </row>
        <row r="142">
          <cell r="C142" t="str">
            <v>Lihat lampiran.</v>
          </cell>
        </row>
        <row r="144">
          <cell r="A144" t="str">
            <v>5.</v>
          </cell>
          <cell r="C144" t="str">
            <v>ANALISA HARGA SATUAN PEKERJAAN</v>
          </cell>
        </row>
        <row r="145">
          <cell r="C145" t="str">
            <v>Lihat perhitungan dalam FORMULIR STANDAR UNTUK</v>
          </cell>
        </row>
        <row r="146">
          <cell r="C146" t="str">
            <v>PEREKEMAN ANALISA MASING-MASING HARGA</v>
          </cell>
        </row>
        <row r="147">
          <cell r="C147" t="str">
            <v>SATUAN.</v>
          </cell>
        </row>
        <row r="148">
          <cell r="C148" t="str">
            <v>Didapat Harga Satuan Pekerjaan :</v>
          </cell>
        </row>
        <row r="150">
          <cell r="C150" t="str">
            <v xml:space="preserve">Rp.  </v>
          </cell>
          <cell r="D150">
            <v>305360.26695768902</v>
          </cell>
          <cell r="E150" t="str">
            <v xml:space="preserve"> / M3.</v>
          </cell>
        </row>
        <row r="153">
          <cell r="A153" t="str">
            <v>6.</v>
          </cell>
          <cell r="C153" t="str">
            <v>WAKTU PELAKSANAAN YANG DIPERLUKAN</v>
          </cell>
        </row>
        <row r="154">
          <cell r="C154" t="str">
            <v>Waktu pelaksanaan</v>
          </cell>
          <cell r="D154" t="str">
            <v>:  . . . . . . .  bulan</v>
          </cell>
        </row>
        <row r="156">
          <cell r="A156" t="str">
            <v>7.</v>
          </cell>
          <cell r="C156" t="str">
            <v>VOLUME PEKERJAAN YANG DIPERLUKAN</v>
          </cell>
        </row>
        <row r="157">
          <cell r="C157" t="str">
            <v>Volume pekerjaan  :</v>
          </cell>
          <cell r="D157">
            <v>0</v>
          </cell>
          <cell r="E157" t="str">
            <v>M3</v>
          </cell>
        </row>
        <row r="180">
          <cell r="A180" t="str">
            <v>ITEM PEMBAYARAN NO.</v>
          </cell>
          <cell r="D180" t="str">
            <v>:  4.2 (2)</v>
          </cell>
          <cell r="J180" t="str">
            <v>Analisa EI-422</v>
          </cell>
          <cell r="T180" t="str">
            <v>Analisa EI-422</v>
          </cell>
        </row>
        <row r="181">
          <cell r="A181" t="str">
            <v>JENIS PEKERJAAN</v>
          </cell>
          <cell r="D181" t="str">
            <v>:  Lps. Pond. Ag. Kls. B, CBR Min 35%</v>
          </cell>
        </row>
        <row r="182">
          <cell r="A182" t="str">
            <v>SATUAN PEMBAYARAN</v>
          </cell>
          <cell r="D182" t="str">
            <v>:  M3</v>
          </cell>
          <cell r="J182" t="str">
            <v xml:space="preserve">         URAIAN ANALISA HARGA SATUAN</v>
          </cell>
          <cell r="L182" t="str">
            <v>FORMULIR STANDAR UNTUK</v>
          </cell>
        </row>
        <row r="183">
          <cell r="L183" t="str">
            <v>PEREKAMAN ANALISA MASING-MASING HARGA SATUAN</v>
          </cell>
        </row>
        <row r="184">
          <cell r="L184" t="str">
            <v/>
          </cell>
        </row>
        <row r="185">
          <cell r="A185" t="str">
            <v>No.</v>
          </cell>
          <cell r="C185" t="str">
            <v>U R A I A N</v>
          </cell>
          <cell r="G185" t="str">
            <v>KODE</v>
          </cell>
          <cell r="H185" t="str">
            <v>KOEF.</v>
          </cell>
          <cell r="I185" t="str">
            <v>SATUAN</v>
          </cell>
          <cell r="J185" t="str">
            <v>KETERANGAN</v>
          </cell>
        </row>
        <row r="187">
          <cell r="L187" t="str">
            <v>PROYEK</v>
          </cell>
          <cell r="O187" t="str">
            <v>:</v>
          </cell>
        </row>
        <row r="188">
          <cell r="A188" t="str">
            <v>I.</v>
          </cell>
          <cell r="C188" t="str">
            <v>ASUMSI</v>
          </cell>
          <cell r="L188" t="str">
            <v>No. PAKET KONTRAK</v>
          </cell>
          <cell r="O188" t="str">
            <v>:</v>
          </cell>
        </row>
        <row r="189">
          <cell r="A189">
            <v>1</v>
          </cell>
          <cell r="C189" t="str">
            <v>Menggunakan alat berat (cara mekanik)</v>
          </cell>
          <cell r="L189" t="str">
            <v>NAMA PAKET</v>
          </cell>
          <cell r="O189" t="str">
            <v>:</v>
          </cell>
        </row>
        <row r="190">
          <cell r="A190">
            <v>2</v>
          </cell>
          <cell r="C190" t="str">
            <v>Lokasi pekerjaan : sepanjang jalan</v>
          </cell>
          <cell r="L190" t="str">
            <v>PROP / KAB / KODYA</v>
          </cell>
          <cell r="O190" t="str">
            <v>:</v>
          </cell>
        </row>
        <row r="191">
          <cell r="A191">
            <v>3</v>
          </cell>
          <cell r="C191" t="str">
            <v>Kondisi existing jalan : sedang</v>
          </cell>
          <cell r="L191" t="str">
            <v>ITEM PEMBAYARAN NO.</v>
          </cell>
          <cell r="O191" t="str">
            <v>:  4.2 (2)</v>
          </cell>
          <cell r="R191" t="str">
            <v>PERKIRAAN VOL. PEK.</v>
          </cell>
          <cell r="T191" t="str">
            <v>:</v>
          </cell>
          <cell r="U191">
            <v>0</v>
          </cell>
        </row>
        <row r="192">
          <cell r="A192">
            <v>4</v>
          </cell>
          <cell r="C192" t="str">
            <v>Jarak rata-rata Base Camp ke lokasi pekerjaan</v>
          </cell>
          <cell r="G192" t="str">
            <v>L</v>
          </cell>
          <cell r="H192">
            <v>8.7249999999999996</v>
          </cell>
          <cell r="I192" t="str">
            <v>KM</v>
          </cell>
          <cell r="L192" t="str">
            <v>JENIS PEKERJAAN</v>
          </cell>
          <cell r="O192" t="str">
            <v>:  Lps. Pond. Ag. Kls. B, CBR Min 35%</v>
          </cell>
          <cell r="R192" t="str">
            <v>TOTAL HARGA (Rp.)</v>
          </cell>
          <cell r="T192" t="str">
            <v>:</v>
          </cell>
          <cell r="U192">
            <v>3711291.7469440131</v>
          </cell>
        </row>
        <row r="193">
          <cell r="A193">
            <v>5</v>
          </cell>
          <cell r="C193" t="str">
            <v>Tebal lapis Agregat padat</v>
          </cell>
          <cell r="G193" t="str">
            <v>t</v>
          </cell>
          <cell r="H193">
            <v>0.15</v>
          </cell>
          <cell r="I193" t="str">
            <v>M</v>
          </cell>
          <cell r="L193" t="str">
            <v>SATUAN PEMBAYARAN</v>
          </cell>
          <cell r="O193" t="str">
            <v>:  M3</v>
          </cell>
          <cell r="R193" t="str">
            <v>% THD. BIAYA PROYEK</v>
          </cell>
          <cell r="T193" t="str">
            <v>:</v>
          </cell>
          <cell r="U193" t="e">
            <v>#DIV/0!</v>
          </cell>
        </row>
        <row r="194">
          <cell r="A194">
            <v>6</v>
          </cell>
          <cell r="C194" t="str">
            <v>Faktor kembang material (Padat-Lepas)</v>
          </cell>
          <cell r="G194" t="str">
            <v>Fk</v>
          </cell>
          <cell r="H194">
            <v>1.2</v>
          </cell>
          <cell r="I194" t="str">
            <v>-</v>
          </cell>
        </row>
        <row r="195">
          <cell r="A195">
            <v>7</v>
          </cell>
          <cell r="C195" t="str">
            <v>Jam kerja efektif per-hari</v>
          </cell>
          <cell r="G195" t="str">
            <v>Tk</v>
          </cell>
          <cell r="H195">
            <v>7</v>
          </cell>
          <cell r="I195" t="str">
            <v>Jam</v>
          </cell>
        </row>
        <row r="196">
          <cell r="A196">
            <v>8</v>
          </cell>
          <cell r="C196" t="str">
            <v>Lebar bahu jalan</v>
          </cell>
          <cell r="G196" t="str">
            <v>Lb</v>
          </cell>
          <cell r="H196">
            <v>1</v>
          </cell>
          <cell r="I196" t="str">
            <v>M</v>
          </cell>
          <cell r="Q196" t="str">
            <v>PERKIRAAN</v>
          </cell>
          <cell r="R196" t="str">
            <v>HARGA</v>
          </cell>
          <cell r="S196" t="str">
            <v>JUMLAH</v>
          </cell>
        </row>
        <row r="197">
          <cell r="A197">
            <v>9</v>
          </cell>
          <cell r="C197" t="str">
            <v>Proporsi Campuran :</v>
          </cell>
          <cell r="D197" t="str">
            <v>- Agregat Kasar</v>
          </cell>
          <cell r="G197" t="str">
            <v>Ak</v>
          </cell>
          <cell r="H197">
            <v>35</v>
          </cell>
          <cell r="I197" t="str">
            <v>%</v>
          </cell>
          <cell r="J197" t="str">
            <v xml:space="preserve"> Gradasi harus</v>
          </cell>
          <cell r="L197" t="str">
            <v>NO.</v>
          </cell>
          <cell r="N197" t="str">
            <v>KOMPONEN</v>
          </cell>
          <cell r="P197" t="str">
            <v>SATUAN</v>
          </cell>
          <cell r="Q197" t="str">
            <v>KUANTITAS</v>
          </cell>
          <cell r="R197" t="str">
            <v>SATUAN</v>
          </cell>
          <cell r="S197" t="str">
            <v>HARGA</v>
          </cell>
        </row>
        <row r="198">
          <cell r="D198" t="str">
            <v>- Agregat Halus</v>
          </cell>
          <cell r="G198" t="str">
            <v>Ah</v>
          </cell>
          <cell r="H198">
            <v>20</v>
          </cell>
          <cell r="I198" t="str">
            <v>%</v>
          </cell>
          <cell r="J198" t="str">
            <v xml:space="preserve"> memenuhi</v>
          </cell>
          <cell r="R198" t="str">
            <v>(Rp.)</v>
          </cell>
          <cell r="S198" t="str">
            <v>(Rp.)</v>
          </cell>
        </row>
        <row r="199">
          <cell r="D199" t="str">
            <v>- Sirtu</v>
          </cell>
          <cell r="G199" t="str">
            <v>St</v>
          </cell>
          <cell r="H199">
            <v>45</v>
          </cell>
          <cell r="I199" t="str">
            <v>%</v>
          </cell>
          <cell r="J199" t="str">
            <v xml:space="preserve"> Spesifikasi</v>
          </cell>
        </row>
        <row r="200">
          <cell r="A200" t="str">
            <v>II.</v>
          </cell>
          <cell r="C200" t="str">
            <v>URUTAN KERJA</v>
          </cell>
        </row>
        <row r="201">
          <cell r="A201">
            <v>1</v>
          </cell>
          <cell r="C201" t="str">
            <v xml:space="preserve">Wheel Loader mencampur &amp; memuat Agregat ke </v>
          </cell>
          <cell r="L201" t="str">
            <v>A.</v>
          </cell>
          <cell r="N201" t="str">
            <v>TENAGA</v>
          </cell>
        </row>
        <row r="202">
          <cell r="C202" t="str">
            <v>dalam Dump Truck di Base Camp</v>
          </cell>
        </row>
        <row r="203">
          <cell r="A203">
            <v>2</v>
          </cell>
          <cell r="C203" t="str">
            <v>Dump Truck mengangkut Agregat ke lokasi</v>
          </cell>
          <cell r="L203" t="str">
            <v>1.</v>
          </cell>
          <cell r="N203" t="str">
            <v>Pekerja</v>
          </cell>
          <cell r="O203" t="str">
            <v>(L01)</v>
          </cell>
          <cell r="P203" t="str">
            <v>Jam</v>
          </cell>
          <cell r="Q203">
            <v>0.24988844265952695</v>
          </cell>
          <cell r="R203">
            <v>2857.14</v>
          </cell>
          <cell r="U203">
            <v>713.96626506024074</v>
          </cell>
        </row>
        <row r="204">
          <cell r="C204" t="str">
            <v>pekerjaan dan dihampar dengan Motor Grader</v>
          </cell>
          <cell r="L204" t="str">
            <v>2.</v>
          </cell>
          <cell r="N204" t="str">
            <v>Mandor</v>
          </cell>
          <cell r="O204" t="str">
            <v>(L03)</v>
          </cell>
          <cell r="P204" t="str">
            <v>Jam</v>
          </cell>
          <cell r="Q204">
            <v>3.5698348951360995E-2</v>
          </cell>
          <cell r="R204">
            <v>3214.29</v>
          </cell>
          <cell r="U204">
            <v>114.74484605087014</v>
          </cell>
        </row>
        <row r="205">
          <cell r="A205">
            <v>3</v>
          </cell>
          <cell r="C205" t="str">
            <v>Hamparan Agregat dibasahi dengan Water Tank Truck</v>
          </cell>
        </row>
        <row r="206">
          <cell r="C206" t="str">
            <v>sebelum dipadatkan dengan Tandem Roller &amp; PTR</v>
          </cell>
        </row>
        <row r="207">
          <cell r="A207">
            <v>4</v>
          </cell>
          <cell r="C207" t="str">
            <v>Selama pemadatan sekelompok pekerja akan</v>
          </cell>
          <cell r="Q207" t="str">
            <v xml:space="preserve">JUMLAH HARGA TENAGA   </v>
          </cell>
          <cell r="U207">
            <v>828.71111111111088</v>
          </cell>
        </row>
        <row r="208">
          <cell r="C208" t="str">
            <v>merapikan tepi hamparan dan level permukaan</v>
          </cell>
        </row>
        <row r="209">
          <cell r="C209" t="str">
            <v>dengan menggunakan alat bantu</v>
          </cell>
          <cell r="L209" t="str">
            <v>B.</v>
          </cell>
          <cell r="N209" t="str">
            <v>BAHAN</v>
          </cell>
        </row>
        <row r="211">
          <cell r="A211" t="str">
            <v>III.</v>
          </cell>
          <cell r="C211" t="str">
            <v>PEMAKAIAN BAHAN, ALAT DAN TENAGA</v>
          </cell>
          <cell r="L211" t="str">
            <v>1.</v>
          </cell>
          <cell r="N211" t="str">
            <v>Agregat Kasar     (M03)</v>
          </cell>
          <cell r="P211" t="str">
            <v>M3</v>
          </cell>
          <cell r="Q211">
            <v>0.42</v>
          </cell>
          <cell r="R211">
            <v>222345.54558042376</v>
          </cell>
          <cell r="U211">
            <v>93385.129143777973</v>
          </cell>
        </row>
        <row r="212">
          <cell r="A212" t="str">
            <v xml:space="preserve">   1.</v>
          </cell>
          <cell r="C212" t="str">
            <v>BAHAN</v>
          </cell>
          <cell r="L212" t="str">
            <v>2.</v>
          </cell>
          <cell r="N212" t="str">
            <v>Agregat Halus     (M04)</v>
          </cell>
          <cell r="P212" t="str">
            <v>M3</v>
          </cell>
          <cell r="Q212">
            <v>0.24</v>
          </cell>
          <cell r="R212">
            <v>194196.70775416915</v>
          </cell>
          <cell r="U212">
            <v>46607.209861000592</v>
          </cell>
        </row>
        <row r="213">
          <cell r="C213" t="str">
            <v>- Agregat Kasar</v>
          </cell>
          <cell r="D213" t="str">
            <v>=  Ak x 1 M3 x Fk</v>
          </cell>
          <cell r="G213" t="str">
            <v>M03</v>
          </cell>
          <cell r="H213">
            <v>0.42</v>
          </cell>
          <cell r="I213" t="str">
            <v>M3</v>
          </cell>
          <cell r="L213" t="str">
            <v>3.</v>
          </cell>
          <cell r="N213" t="str">
            <v>Sirtu</v>
          </cell>
          <cell r="O213" t="str">
            <v>(M16)</v>
          </cell>
          <cell r="P213" t="str">
            <v>M3</v>
          </cell>
          <cell r="Q213">
            <v>0.54</v>
          </cell>
          <cell r="R213">
            <v>264500</v>
          </cell>
          <cell r="U213">
            <v>142830</v>
          </cell>
        </row>
        <row r="214">
          <cell r="C214" t="str">
            <v>- Agregat Halus</v>
          </cell>
          <cell r="D214" t="str">
            <v>=  Ah x 1 M3 x Fk</v>
          </cell>
          <cell r="G214" t="str">
            <v>M04</v>
          </cell>
          <cell r="H214">
            <v>0.24</v>
          </cell>
          <cell r="I214" t="str">
            <v>M3</v>
          </cell>
        </row>
        <row r="215">
          <cell r="C215" t="str">
            <v>- Sirtu</v>
          </cell>
          <cell r="D215" t="str">
            <v>=  St x 1 M3 x Fk</v>
          </cell>
          <cell r="G215" t="str">
            <v>M16</v>
          </cell>
          <cell r="H215">
            <v>0.54</v>
          </cell>
          <cell r="I215" t="str">
            <v>M3</v>
          </cell>
        </row>
        <row r="216">
          <cell r="A216" t="str">
            <v xml:space="preserve">   2.</v>
          </cell>
          <cell r="C216" t="str">
            <v>ALAT</v>
          </cell>
        </row>
        <row r="217">
          <cell r="A217" t="str">
            <v>2.a.</v>
          </cell>
          <cell r="C217" t="str">
            <v>WHEEL LOADER</v>
          </cell>
          <cell r="G217" t="str">
            <v>(E15)</v>
          </cell>
          <cell r="Q217" t="str">
            <v xml:space="preserve">JUMLAH HARGA BAHAN   </v>
          </cell>
          <cell r="U217">
            <v>282822.33900477854</v>
          </cell>
        </row>
        <row r="218">
          <cell r="C218" t="str">
            <v>Kapasitas bucket</v>
          </cell>
          <cell r="G218" t="str">
            <v>V</v>
          </cell>
          <cell r="H218">
            <v>1.5</v>
          </cell>
          <cell r="I218" t="str">
            <v>M3</v>
          </cell>
        </row>
        <row r="219">
          <cell r="C219" t="str">
            <v>Faktor bucket</v>
          </cell>
          <cell r="G219" t="str">
            <v>Fb</v>
          </cell>
          <cell r="H219">
            <v>0.9</v>
          </cell>
          <cell r="I219" t="str">
            <v>-</v>
          </cell>
          <cell r="J219" t="str">
            <v>Pemuatan ringan</v>
          </cell>
          <cell r="L219" t="str">
            <v>C.</v>
          </cell>
          <cell r="N219" t="str">
            <v>PERALATAN</v>
          </cell>
        </row>
        <row r="220">
          <cell r="C220" t="str">
            <v>Faktor Efisiensi alat</v>
          </cell>
          <cell r="G220" t="str">
            <v>Fa</v>
          </cell>
          <cell r="H220">
            <v>0.83</v>
          </cell>
          <cell r="I220" t="str">
            <v>-</v>
          </cell>
        </row>
        <row r="221">
          <cell r="C221" t="str">
            <v>Waktu siklus</v>
          </cell>
          <cell r="G221" t="str">
            <v>Ts1</v>
          </cell>
          <cell r="L221" t="str">
            <v>1</v>
          </cell>
          <cell r="N221" t="str">
            <v>Wheel Loader</v>
          </cell>
          <cell r="O221" t="str">
            <v>E15</v>
          </cell>
          <cell r="P221" t="str">
            <v>Jam</v>
          </cell>
          <cell r="Q221">
            <v>3.5698348951360995E-2</v>
          </cell>
          <cell r="R221">
            <v>163808.13869490434</v>
          </cell>
          <cell r="U221">
            <v>5847.680096203635</v>
          </cell>
        </row>
        <row r="222">
          <cell r="C222" t="str">
            <v>- Mencampur</v>
          </cell>
          <cell r="G222" t="str">
            <v>T1</v>
          </cell>
          <cell r="H222">
            <v>1.5</v>
          </cell>
          <cell r="I222" t="str">
            <v>menit</v>
          </cell>
          <cell r="L222" t="str">
            <v>2</v>
          </cell>
          <cell r="N222" t="str">
            <v>Dump Truck</v>
          </cell>
          <cell r="O222" t="str">
            <v>E09</v>
          </cell>
          <cell r="P222" t="str">
            <v>Jam</v>
          </cell>
          <cell r="Q222">
            <v>0.14542063837680036</v>
          </cell>
          <cell r="R222">
            <v>70230.073977639215</v>
          </cell>
          <cell r="U222">
            <v>10212.90219107821</v>
          </cell>
        </row>
        <row r="223">
          <cell r="C223" t="str">
            <v>- Memuat dan lain-lain</v>
          </cell>
          <cell r="G223" t="str">
            <v>T2</v>
          </cell>
          <cell r="H223">
            <v>0.5</v>
          </cell>
          <cell r="I223" t="str">
            <v>menit</v>
          </cell>
          <cell r="L223" t="str">
            <v>3</v>
          </cell>
          <cell r="N223" t="str">
            <v>Motor Grader</v>
          </cell>
          <cell r="O223" t="str">
            <v>E13</v>
          </cell>
          <cell r="P223" t="str">
            <v>Jam</v>
          </cell>
          <cell r="Q223">
            <v>1.1713520749665328E-2</v>
          </cell>
          <cell r="R223">
            <v>201666.62574070093</v>
          </cell>
          <cell r="U223">
            <v>2362.2262051286921</v>
          </cell>
        </row>
        <row r="224">
          <cell r="G224" t="str">
            <v>Ts1</v>
          </cell>
          <cell r="H224">
            <v>2</v>
          </cell>
          <cell r="I224" t="str">
            <v>menit</v>
          </cell>
          <cell r="L224" t="str">
            <v>4</v>
          </cell>
          <cell r="N224" t="str">
            <v>Tandem Roller</v>
          </cell>
          <cell r="O224" t="str">
            <v>E17</v>
          </cell>
          <cell r="P224" t="str">
            <v>Jam</v>
          </cell>
          <cell r="Q224">
            <v>1.7849174475680501E-2</v>
          </cell>
          <cell r="R224">
            <v>293927.19306224468</v>
          </cell>
          <cell r="U224">
            <v>5246.3577521150328</v>
          </cell>
        </row>
        <row r="225">
          <cell r="L225" t="str">
            <v>5</v>
          </cell>
          <cell r="N225" t="str">
            <v>Water Tanker</v>
          </cell>
          <cell r="O225" t="str">
            <v>E23</v>
          </cell>
          <cell r="P225" t="str">
            <v>Jam</v>
          </cell>
          <cell r="Q225">
            <v>2.1084337349397592E-2</v>
          </cell>
          <cell r="R225">
            <v>67020.510980434308</v>
          </cell>
          <cell r="U225">
            <v>1413.0830628404826</v>
          </cell>
        </row>
        <row r="226">
          <cell r="C226" t="str">
            <v>Kap. Prod. / jam =</v>
          </cell>
          <cell r="D226" t="str">
            <v>V x Fb x Fa x 60</v>
          </cell>
          <cell r="G226" t="str">
            <v>Q1</v>
          </cell>
          <cell r="H226">
            <v>28.012500000000003</v>
          </cell>
          <cell r="I226" t="str">
            <v>M3</v>
          </cell>
          <cell r="L226" t="str">
            <v>6</v>
          </cell>
          <cell r="N226" t="str">
            <v>Alat Bantu</v>
          </cell>
          <cell r="P226" t="str">
            <v>Ls</v>
          </cell>
          <cell r="Q226">
            <v>1</v>
          </cell>
          <cell r="R226">
            <v>75</v>
          </cell>
          <cell r="U226">
            <v>75</v>
          </cell>
        </row>
        <row r="227">
          <cell r="D227" t="str">
            <v>Fk x Ts1</v>
          </cell>
        </row>
        <row r="228">
          <cell r="C228" t="str">
            <v>Koefisien Alat / M3</v>
          </cell>
          <cell r="D228" t="str">
            <v xml:space="preserve"> =  1  :  Q1</v>
          </cell>
          <cell r="G228" t="str">
            <v>(E15)</v>
          </cell>
          <cell r="H228">
            <v>3.5698348951360995E-2</v>
          </cell>
          <cell r="I228" t="str">
            <v>Jam</v>
          </cell>
        </row>
        <row r="229">
          <cell r="Q229" t="str">
            <v xml:space="preserve">JUMLAH HARGA PERALATAN   </v>
          </cell>
          <cell r="U229">
            <v>25157.249307366055</v>
          </cell>
        </row>
        <row r="230">
          <cell r="A230" t="str">
            <v>2.b.</v>
          </cell>
          <cell r="C230" t="str">
            <v>DUMP TRUCK</v>
          </cell>
          <cell r="G230" t="str">
            <v>(E09)</v>
          </cell>
        </row>
        <row r="231">
          <cell r="C231" t="str">
            <v>Kapasitas bak</v>
          </cell>
          <cell r="G231" t="str">
            <v>V</v>
          </cell>
          <cell r="H231">
            <v>6</v>
          </cell>
          <cell r="I231" t="str">
            <v>M3</v>
          </cell>
          <cell r="L231" t="str">
            <v>D.</v>
          </cell>
          <cell r="N231" t="str">
            <v>JUMLAH HARGA TENAGA, BAHAN DAN PERALATAN  ( A + B + C )</v>
          </cell>
          <cell r="U231">
            <v>308808.29942325567</v>
          </cell>
        </row>
        <row r="232">
          <cell r="C232" t="str">
            <v>Faktor Efisiensi alat</v>
          </cell>
          <cell r="G232" t="str">
            <v>Fa</v>
          </cell>
          <cell r="H232">
            <v>0.83</v>
          </cell>
          <cell r="I232" t="str">
            <v>-</v>
          </cell>
          <cell r="L232" t="str">
            <v>E.</v>
          </cell>
          <cell r="N232" t="str">
            <v>OVERHEAD &amp; PROFIT</v>
          </cell>
          <cell r="P232">
            <v>10</v>
          </cell>
          <cell r="Q232" t="str">
            <v>%  x  D</v>
          </cell>
          <cell r="U232">
            <v>30880.829942325567</v>
          </cell>
        </row>
        <row r="233">
          <cell r="C233" t="str">
            <v>Kecepatan rata-rata bermuatan</v>
          </cell>
          <cell r="G233" t="str">
            <v>v1</v>
          </cell>
          <cell r="H233">
            <v>45</v>
          </cell>
          <cell r="I233" t="str">
            <v>KM / Jam</v>
          </cell>
          <cell r="L233" t="str">
            <v>F.</v>
          </cell>
          <cell r="N233" t="str">
            <v>HARGA SATUAN PEKERJAAN  ( D + E )</v>
          </cell>
          <cell r="U233">
            <v>339689.1293655812</v>
          </cell>
        </row>
        <row r="234">
          <cell r="C234" t="str">
            <v>Kecepatan rata-rata kosong</v>
          </cell>
          <cell r="G234" t="str">
            <v>v2</v>
          </cell>
          <cell r="H234">
            <v>60</v>
          </cell>
          <cell r="I234" t="str">
            <v>KM / Jam</v>
          </cell>
          <cell r="L234" t="str">
            <v>Note: 1</v>
          </cell>
          <cell r="N234" t="str">
            <v>SATUAN dapat berdasarkan atas jam operasi untuk Tenaga Kerja dan Peralatan, volume dan/atau ukuran</v>
          </cell>
        </row>
        <row r="235">
          <cell r="C235" t="str">
            <v>Waktu Siklus  :  - Waktu memuat = V : Q1 x 60</v>
          </cell>
          <cell r="G235" t="str">
            <v>T1</v>
          </cell>
          <cell r="H235">
            <v>12.851405622489958</v>
          </cell>
          <cell r="I235" t="str">
            <v>menit</v>
          </cell>
          <cell r="N235" t="str">
            <v>berat untuk bahan-bahan.</v>
          </cell>
        </row>
        <row r="236">
          <cell r="C236" t="str">
            <v>- Waktu tempuh isi = (L : v1) x 60 menit</v>
          </cell>
          <cell r="G236" t="str">
            <v>T2</v>
          </cell>
          <cell r="H236">
            <v>11.633333333333333</v>
          </cell>
          <cell r="I236" t="str">
            <v>menit</v>
          </cell>
          <cell r="L236">
            <v>2</v>
          </cell>
          <cell r="N236" t="str">
            <v>Kuantitas satuan adalah kuantitas setiap komponen untuk menyelesaikan satu satuan pekerjaan dari nomor</v>
          </cell>
        </row>
        <row r="237">
          <cell r="C237" t="str">
            <v>- Waktu tempuh kosong = (L : v2) x 60 menit</v>
          </cell>
          <cell r="G237" t="str">
            <v>T3</v>
          </cell>
          <cell r="H237">
            <v>8.7249999999999996</v>
          </cell>
          <cell r="I237" t="str">
            <v>menit</v>
          </cell>
          <cell r="N237" t="str">
            <v>mata pembayaran.</v>
          </cell>
        </row>
        <row r="238">
          <cell r="C238" t="str">
            <v>- Lain-lain termasuk menurunkan Agregat</v>
          </cell>
          <cell r="G238" t="str">
            <v>T4</v>
          </cell>
          <cell r="H238">
            <v>3</v>
          </cell>
          <cell r="I238" t="str">
            <v>menit</v>
          </cell>
          <cell r="L238">
            <v>3</v>
          </cell>
          <cell r="N238" t="str">
            <v>Biaya satuan untuk peralatan sudah termasuk bahan bakar, bahan habis dipakai dan operator.</v>
          </cell>
        </row>
        <row r="239">
          <cell r="G239" t="str">
            <v>Ts2</v>
          </cell>
          <cell r="H239">
            <v>36.20973895582329</v>
          </cell>
          <cell r="I239" t="str">
            <v>menit</v>
          </cell>
          <cell r="L239">
            <v>4</v>
          </cell>
          <cell r="N239" t="str">
            <v>Biaya satuan sudah termasuk pengeluaran untuk seluruh pajak yang berkaitan (tetapi tidak termasuk PPN</v>
          </cell>
        </row>
        <row r="240">
          <cell r="J240" t="str">
            <v>Berlanjut ke halaman berikut</v>
          </cell>
          <cell r="N240" t="str">
            <v>yang dibayar dari kontrak) dan biaya-biaya lainnya.</v>
          </cell>
        </row>
        <row r="241">
          <cell r="A241" t="str">
            <v>ITEM PEMBAYARAN NO.</v>
          </cell>
          <cell r="D241" t="str">
            <v>:  4.2 (2)</v>
          </cell>
          <cell r="J241" t="str">
            <v>Analisa EI-422</v>
          </cell>
        </row>
        <row r="242">
          <cell r="A242" t="str">
            <v>JENIS PEKERJAAN</v>
          </cell>
          <cell r="D242" t="str">
            <v>:  Lps. Pond. Ag. Kls. B, CBR Min 35%</v>
          </cell>
        </row>
        <row r="243">
          <cell r="A243" t="str">
            <v>SATUAN PEMBAYARAN</v>
          </cell>
          <cell r="D243" t="str">
            <v>:  M3</v>
          </cell>
          <cell r="J243" t="str">
            <v xml:space="preserve">         URAIAN ANALISA HARGA SATUAN</v>
          </cell>
        </row>
        <row r="244">
          <cell r="J244" t="str">
            <v>Lanjutan</v>
          </cell>
        </row>
        <row r="246">
          <cell r="A246" t="str">
            <v>No.</v>
          </cell>
          <cell r="C246" t="str">
            <v>U R A I A N</v>
          </cell>
          <cell r="G246" t="str">
            <v>KODE</v>
          </cell>
          <cell r="H246" t="str">
            <v>KOEF.</v>
          </cell>
          <cell r="I246" t="str">
            <v>SATUAN</v>
          </cell>
          <cell r="J246" t="str">
            <v>KETERANGAN</v>
          </cell>
        </row>
        <row r="249">
          <cell r="C249" t="str">
            <v xml:space="preserve">Kap. Prod. / Jam = </v>
          </cell>
          <cell r="D249" t="str">
            <v>V x Fa x 60</v>
          </cell>
          <cell r="G249" t="str">
            <v>Q2</v>
          </cell>
          <cell r="H249">
            <v>6.8766030129017413</v>
          </cell>
          <cell r="I249" t="str">
            <v>M3</v>
          </cell>
        </row>
        <row r="250">
          <cell r="D250" t="str">
            <v>Fk x Ts2</v>
          </cell>
        </row>
        <row r="251">
          <cell r="C251" t="str">
            <v>Koefisien Alat / M3</v>
          </cell>
          <cell r="D251" t="str">
            <v xml:space="preserve"> = 1 : Q2</v>
          </cell>
          <cell r="G251" t="str">
            <v>(E08)</v>
          </cell>
          <cell r="H251">
            <v>0.14542063837680036</v>
          </cell>
          <cell r="I251" t="str">
            <v>Jam</v>
          </cell>
        </row>
        <row r="253">
          <cell r="A253" t="str">
            <v>2.c.</v>
          </cell>
          <cell r="C253" t="str">
            <v>MOTOR GRADER</v>
          </cell>
          <cell r="G253" t="str">
            <v>(E13)</v>
          </cell>
        </row>
        <row r="254">
          <cell r="C254" t="str">
            <v>Panjang hamparaan</v>
          </cell>
          <cell r="G254" t="str">
            <v>Lh</v>
          </cell>
          <cell r="H254">
            <v>50</v>
          </cell>
          <cell r="I254" t="str">
            <v>M</v>
          </cell>
        </row>
        <row r="255">
          <cell r="C255" t="str">
            <v>Lebar efektif kerja blade</v>
          </cell>
          <cell r="G255" t="str">
            <v>b</v>
          </cell>
          <cell r="H255">
            <v>2.4</v>
          </cell>
          <cell r="I255" t="str">
            <v>M</v>
          </cell>
        </row>
        <row r="256">
          <cell r="C256" t="str">
            <v>Faktor Efisiensi alat</v>
          </cell>
          <cell r="G256" t="str">
            <v>Fa</v>
          </cell>
          <cell r="H256">
            <v>0.83</v>
          </cell>
          <cell r="I256" t="str">
            <v>-</v>
          </cell>
        </row>
        <row r="257">
          <cell r="C257" t="str">
            <v>Kecepatan rata-rata alat</v>
          </cell>
          <cell r="G257" t="str">
            <v>v</v>
          </cell>
          <cell r="H257">
            <v>4</v>
          </cell>
          <cell r="I257" t="str">
            <v>KM / Jam</v>
          </cell>
        </row>
        <row r="258">
          <cell r="C258" t="str">
            <v>Jumlah lintasan</v>
          </cell>
          <cell r="G258" t="str">
            <v>n</v>
          </cell>
          <cell r="H258">
            <v>6</v>
          </cell>
          <cell r="I258" t="str">
            <v>lintasan</v>
          </cell>
          <cell r="J258" t="str">
            <v>3 x pp</v>
          </cell>
        </row>
        <row r="259">
          <cell r="C259" t="str">
            <v>Waktu Siklus</v>
          </cell>
          <cell r="G259" t="str">
            <v>Ts3</v>
          </cell>
        </row>
        <row r="260">
          <cell r="C260" t="str">
            <v>- Perataan 1 lintasan  = (Lh x 60) : (v x 1000)</v>
          </cell>
          <cell r="G260" t="str">
            <v>T1</v>
          </cell>
          <cell r="H260">
            <v>0.75</v>
          </cell>
          <cell r="I260" t="str">
            <v>menit</v>
          </cell>
        </row>
        <row r="261">
          <cell r="C261" t="str">
            <v>- Lain-lain</v>
          </cell>
          <cell r="G261" t="str">
            <v>T2</v>
          </cell>
          <cell r="H261">
            <v>1</v>
          </cell>
          <cell r="I261" t="str">
            <v>menit</v>
          </cell>
        </row>
        <row r="262">
          <cell r="G262" t="str">
            <v>Ts3</v>
          </cell>
          <cell r="H262">
            <v>1.75</v>
          </cell>
          <cell r="I262" t="str">
            <v>menit</v>
          </cell>
        </row>
        <row r="264">
          <cell r="C264" t="str">
            <v>Kap.Prod. / jam =</v>
          </cell>
          <cell r="D264" t="str">
            <v>Lh x b x t x Fa x 60</v>
          </cell>
          <cell r="G264" t="str">
            <v>Q3</v>
          </cell>
          <cell r="H264">
            <v>85.371428571428567</v>
          </cell>
          <cell r="I264" t="str">
            <v>M3</v>
          </cell>
        </row>
        <row r="265">
          <cell r="D265" t="str">
            <v>n x Ts3</v>
          </cell>
        </row>
        <row r="266">
          <cell r="C266" t="str">
            <v>Koefisien Alat / M3</v>
          </cell>
          <cell r="D266" t="str">
            <v xml:space="preserve"> = 1 : Q3</v>
          </cell>
          <cell r="G266" t="str">
            <v>(E13)</v>
          </cell>
          <cell r="H266">
            <v>1.1713520749665328E-2</v>
          </cell>
          <cell r="I266" t="str">
            <v>Jam</v>
          </cell>
        </row>
        <row r="268">
          <cell r="A268" t="str">
            <v>2.d.</v>
          </cell>
          <cell r="C268" t="str">
            <v>TANDEM ROLLER</v>
          </cell>
          <cell r="G268" t="str">
            <v>(E17)</v>
          </cell>
        </row>
        <row r="269">
          <cell r="C269" t="str">
            <v>Kecepatan rata-rata</v>
          </cell>
          <cell r="G269" t="str">
            <v>v</v>
          </cell>
          <cell r="H269">
            <v>3</v>
          </cell>
          <cell r="I269" t="str">
            <v>KM / Jam</v>
          </cell>
        </row>
        <row r="270">
          <cell r="C270" t="str">
            <v>Lebar efektif pemadatan</v>
          </cell>
          <cell r="G270" t="str">
            <v>b</v>
          </cell>
          <cell r="H270">
            <v>1.2</v>
          </cell>
          <cell r="I270" t="str">
            <v>M</v>
          </cell>
        </row>
        <row r="271">
          <cell r="C271" t="str">
            <v>Jumlah lintasan</v>
          </cell>
          <cell r="G271" t="str">
            <v>n</v>
          </cell>
          <cell r="H271">
            <v>8</v>
          </cell>
          <cell r="I271" t="str">
            <v>lintasan</v>
          </cell>
        </row>
        <row r="272">
          <cell r="C272" t="str">
            <v>Faktor Efisiensi alat</v>
          </cell>
          <cell r="G272" t="str">
            <v>Fa</v>
          </cell>
          <cell r="H272">
            <v>0.83</v>
          </cell>
          <cell r="I272" t="str">
            <v>-</v>
          </cell>
        </row>
        <row r="274">
          <cell r="C274" t="str">
            <v>Kap.Prod./jam =</v>
          </cell>
          <cell r="D274" t="str">
            <v>(v x 1000) x b x t x Fa</v>
          </cell>
          <cell r="G274" t="str">
            <v>Q4</v>
          </cell>
          <cell r="H274">
            <v>56.024999999999999</v>
          </cell>
          <cell r="I274" t="str">
            <v>M3</v>
          </cell>
        </row>
        <row r="275">
          <cell r="D275" t="str">
            <v>n</v>
          </cell>
        </row>
        <row r="276">
          <cell r="C276" t="str">
            <v>Koefisien Alat / M3</v>
          </cell>
          <cell r="D276" t="str">
            <v xml:space="preserve"> = 1 : Q4</v>
          </cell>
          <cell r="G276" t="str">
            <v>(E17)</v>
          </cell>
          <cell r="H276">
            <v>1.7849174475680501E-2</v>
          </cell>
          <cell r="I276" t="str">
            <v>Jam</v>
          </cell>
        </row>
        <row r="279">
          <cell r="A279" t="str">
            <v>2.e.</v>
          </cell>
          <cell r="C279" t="str">
            <v>WATER TANKER</v>
          </cell>
          <cell r="G279" t="str">
            <v>(E23)</v>
          </cell>
        </row>
        <row r="280">
          <cell r="C280" t="str">
            <v>Volume Tangki air</v>
          </cell>
          <cell r="G280" t="str">
            <v>V</v>
          </cell>
          <cell r="H280">
            <v>4</v>
          </cell>
          <cell r="I280" t="str">
            <v>M3</v>
          </cell>
          <cell r="J280" t="str">
            <v>Lump Sum</v>
          </cell>
        </row>
        <row r="281">
          <cell r="C281" t="str">
            <v>Kebutuhan air / M3 agregat padat</v>
          </cell>
          <cell r="G281" t="str">
            <v>Wc</v>
          </cell>
          <cell r="H281">
            <v>7.0000000000000007E-2</v>
          </cell>
          <cell r="I281" t="str">
            <v>M3</v>
          </cell>
        </row>
        <row r="282">
          <cell r="C282" t="str">
            <v>Pengisian tangki / Jam</v>
          </cell>
          <cell r="G282" t="str">
            <v>n</v>
          </cell>
          <cell r="H282">
            <v>1</v>
          </cell>
          <cell r="I282" t="str">
            <v>kali</v>
          </cell>
        </row>
        <row r="283">
          <cell r="C283" t="str">
            <v>Faktor efisiensi alat</v>
          </cell>
          <cell r="G283" t="str">
            <v>Fa</v>
          </cell>
          <cell r="H283">
            <v>0.83</v>
          </cell>
          <cell r="I283" t="str">
            <v>-</v>
          </cell>
        </row>
        <row r="285">
          <cell r="C285" t="str">
            <v>Kap. Prod. / Jam  =</v>
          </cell>
          <cell r="D285" t="str">
            <v>V x n Fa</v>
          </cell>
          <cell r="G285" t="str">
            <v>Q5</v>
          </cell>
          <cell r="H285">
            <v>47.428571428571423</v>
          </cell>
          <cell r="I285" t="str">
            <v>M3</v>
          </cell>
        </row>
        <row r="286">
          <cell r="D286" t="str">
            <v>Wc</v>
          </cell>
        </row>
        <row r="288">
          <cell r="C288" t="str">
            <v>Koefisien Alat / M3</v>
          </cell>
          <cell r="D288" t="str">
            <v xml:space="preserve"> =   1 : Q5</v>
          </cell>
          <cell r="G288" t="str">
            <v>(E23)</v>
          </cell>
          <cell r="H288">
            <v>2.1084337349397592E-2</v>
          </cell>
          <cell r="I288" t="str">
            <v>Jam</v>
          </cell>
        </row>
        <row r="292">
          <cell r="C292" t="str">
            <v>ALAT BANTU</v>
          </cell>
        </row>
        <row r="293">
          <cell r="C293" t="str">
            <v>diperlukan :</v>
          </cell>
        </row>
        <row r="294">
          <cell r="C294" t="str">
            <v>- Kereta dorong   = 2 buah</v>
          </cell>
        </row>
        <row r="295">
          <cell r="C295" t="str">
            <v>- Sekop                = 3 buah</v>
          </cell>
        </row>
        <row r="296">
          <cell r="C296" t="str">
            <v>- Garpu                = 2 buah</v>
          </cell>
        </row>
        <row r="299">
          <cell r="J299" t="str">
            <v>Berlanjut ke halaman berikut</v>
          </cell>
        </row>
        <row r="300">
          <cell r="A300" t="str">
            <v>ITEM PEMBAYARAN NO.</v>
          </cell>
          <cell r="D300" t="str">
            <v>:  4.2 (2)</v>
          </cell>
          <cell r="J300" t="str">
            <v>Analisa EI-422</v>
          </cell>
        </row>
        <row r="301">
          <cell r="A301" t="str">
            <v>JENIS PEKERJAAN</v>
          </cell>
          <cell r="D301" t="str">
            <v>:  Lps. Pond. Ag. Kls. B, CBR Min 35%</v>
          </cell>
        </row>
        <row r="302">
          <cell r="A302" t="str">
            <v>SATUAN PEMBAYARAN</v>
          </cell>
          <cell r="D302" t="str">
            <v>:  M3</v>
          </cell>
          <cell r="J302" t="str">
            <v xml:space="preserve">         URAIAN ANALISA HARGA SATUAN</v>
          </cell>
        </row>
        <row r="303">
          <cell r="J303" t="str">
            <v>Lanjutan</v>
          </cell>
        </row>
        <row r="305">
          <cell r="A305" t="str">
            <v>No.</v>
          </cell>
          <cell r="C305" t="str">
            <v>U R A I A N</v>
          </cell>
          <cell r="G305" t="str">
            <v>KODE</v>
          </cell>
          <cell r="H305" t="str">
            <v>KOEF.</v>
          </cell>
          <cell r="I305" t="str">
            <v>SATUAN</v>
          </cell>
          <cell r="J305" t="str">
            <v>KETERANGAN</v>
          </cell>
        </row>
        <row r="308">
          <cell r="A308" t="str">
            <v xml:space="preserve">   3.</v>
          </cell>
          <cell r="C308" t="str">
            <v>TENAGA</v>
          </cell>
        </row>
        <row r="309">
          <cell r="C309" t="str">
            <v>Produksi menentukan : WHEEL LOADER</v>
          </cell>
          <cell r="G309" t="str">
            <v>Q1</v>
          </cell>
          <cell r="H309">
            <v>28.012500000000003</v>
          </cell>
          <cell r="I309" t="str">
            <v>M3/Jam</v>
          </cell>
        </row>
        <row r="310">
          <cell r="C310" t="str">
            <v>Produksi Agregat / hari  =  Tk x Q1</v>
          </cell>
          <cell r="G310" t="str">
            <v>Qt</v>
          </cell>
          <cell r="H310">
            <v>196.08750000000003</v>
          </cell>
          <cell r="I310" t="str">
            <v>M3</v>
          </cell>
        </row>
        <row r="311">
          <cell r="C311" t="str">
            <v>Kebutuhan tenaga :</v>
          </cell>
        </row>
        <row r="312">
          <cell r="D312" t="str">
            <v>- Pekerja</v>
          </cell>
          <cell r="G312" t="str">
            <v>P</v>
          </cell>
          <cell r="H312">
            <v>7</v>
          </cell>
          <cell r="I312" t="str">
            <v>orang</v>
          </cell>
        </row>
        <row r="313">
          <cell r="D313" t="str">
            <v>- Mandor</v>
          </cell>
          <cell r="G313" t="str">
            <v>M</v>
          </cell>
          <cell r="H313">
            <v>1</v>
          </cell>
          <cell r="I313" t="str">
            <v>orang</v>
          </cell>
        </row>
        <row r="315">
          <cell r="C315" t="str">
            <v>Koefisien tenaga / M3     :</v>
          </cell>
        </row>
        <row r="316">
          <cell r="D316" t="str">
            <v>- Pekerja</v>
          </cell>
          <cell r="E316" t="str">
            <v>= (Tk x P) : Qt</v>
          </cell>
          <cell r="G316" t="str">
            <v>(L01)</v>
          </cell>
          <cell r="H316">
            <v>0.24988844265952695</v>
          </cell>
          <cell r="I316" t="str">
            <v>Jam</v>
          </cell>
        </row>
        <row r="317">
          <cell r="D317" t="str">
            <v>- Mandor</v>
          </cell>
          <cell r="E317" t="str">
            <v>= (Tk x M) : Qt</v>
          </cell>
          <cell r="G317" t="str">
            <v>(L03)</v>
          </cell>
          <cell r="H317">
            <v>3.5698348951360995E-2</v>
          </cell>
          <cell r="I317" t="str">
            <v>Jam</v>
          </cell>
        </row>
        <row r="319">
          <cell r="A319" t="str">
            <v>4.</v>
          </cell>
          <cell r="C319" t="str">
            <v>HARGA DASAR SATUAN UPAH, BAHAN DAN ALAT</v>
          </cell>
        </row>
        <row r="320">
          <cell r="C320" t="str">
            <v>Lihat lampiran.</v>
          </cell>
        </row>
        <row r="322">
          <cell r="A322" t="str">
            <v>5.</v>
          </cell>
          <cell r="C322" t="str">
            <v>ANALISA HARGA SATUAN PEKERJAAN</v>
          </cell>
        </row>
        <row r="323">
          <cell r="C323" t="str">
            <v>Lihat perhitungan dalam FORMULIR STANDAR UNTUK</v>
          </cell>
        </row>
        <row r="324">
          <cell r="C324" t="str">
            <v>PEREKEMAN ANALISA MASING-MASING HARGA</v>
          </cell>
        </row>
        <row r="325">
          <cell r="C325" t="str">
            <v>SATUAN.</v>
          </cell>
        </row>
        <row r="326">
          <cell r="C326" t="str">
            <v>Didapat Harga Satuan Pekerjaan :</v>
          </cell>
        </row>
        <row r="328">
          <cell r="C328" t="str">
            <v xml:space="preserve">Rp.  </v>
          </cell>
          <cell r="D328">
            <v>339689.1293655812</v>
          </cell>
          <cell r="E328" t="str">
            <v xml:space="preserve"> / M3.</v>
          </cell>
        </row>
        <row r="331">
          <cell r="A331" t="str">
            <v>6.</v>
          </cell>
          <cell r="C331" t="str">
            <v>WAKTU PELAKSANAAN YANG DIPERLUKAN</v>
          </cell>
        </row>
        <row r="332">
          <cell r="C332" t="str">
            <v>Waktu pelaksanaan</v>
          </cell>
          <cell r="D332" t="str">
            <v>:  . . . . . . .  bulan</v>
          </cell>
        </row>
        <row r="334">
          <cell r="A334" t="str">
            <v>7.</v>
          </cell>
          <cell r="C334" t="str">
            <v>VOLUME PEKERJAAN YANG DIPERLUKAN</v>
          </cell>
        </row>
        <row r="335">
          <cell r="C335" t="str">
            <v>Volume pekerjaan  :</v>
          </cell>
          <cell r="D335">
            <v>0</v>
          </cell>
          <cell r="E335" t="str">
            <v>M3</v>
          </cell>
        </row>
        <row r="359">
          <cell r="A359" t="str">
            <v>ITEM PEMBAYARAN NO.</v>
          </cell>
          <cell r="D359" t="str">
            <v>:  4.2 (4)</v>
          </cell>
          <cell r="J359" t="str">
            <v>Analisa EI-424</v>
          </cell>
          <cell r="T359" t="str">
            <v>Analisa EI-424</v>
          </cell>
        </row>
        <row r="360">
          <cell r="A360" t="str">
            <v>JENIS PEKERJAAN</v>
          </cell>
          <cell r="D360" t="str">
            <v>:  SEMEN Utk. Pond. Semen Tanah</v>
          </cell>
        </row>
        <row r="361">
          <cell r="A361" t="str">
            <v>SATUAN PEMBAYARAN</v>
          </cell>
          <cell r="D361" t="str">
            <v>:  TON</v>
          </cell>
          <cell r="J361" t="str">
            <v xml:space="preserve">         URAIAN ANALISA HARGA SATUAN</v>
          </cell>
          <cell r="L361" t="str">
            <v>FORMULIR STANDAR UNTUK</v>
          </cell>
        </row>
        <row r="362">
          <cell r="L362" t="str">
            <v>PEREKAMAN ANALISA MASING-MASING HARGA SATUAN</v>
          </cell>
        </row>
        <row r="363">
          <cell r="L363" t="str">
            <v/>
          </cell>
        </row>
        <row r="364">
          <cell r="A364" t="str">
            <v>No.</v>
          </cell>
          <cell r="C364" t="str">
            <v>U R A I A N</v>
          </cell>
          <cell r="G364" t="str">
            <v>KODE</v>
          </cell>
          <cell r="H364" t="str">
            <v>KOEF.</v>
          </cell>
          <cell r="I364" t="str">
            <v>SATUAN</v>
          </cell>
          <cell r="J364" t="str">
            <v>KETERANGAN</v>
          </cell>
        </row>
        <row r="366">
          <cell r="L366" t="str">
            <v>PROYEK</v>
          </cell>
          <cell r="O366" t="str">
            <v>:</v>
          </cell>
        </row>
        <row r="367">
          <cell r="A367" t="str">
            <v>I.</v>
          </cell>
          <cell r="C367" t="str">
            <v>ASUMSI</v>
          </cell>
          <cell r="L367" t="str">
            <v>No. PAKET KONTRAK</v>
          </cell>
          <cell r="O367" t="str">
            <v>:</v>
          </cell>
        </row>
        <row r="368">
          <cell r="A368">
            <v>1</v>
          </cell>
          <cell r="C368" t="str">
            <v>Pekerjaan dilakukan secara manual</v>
          </cell>
          <cell r="L368" t="str">
            <v>NAMA PAKET</v>
          </cell>
          <cell r="O368" t="str">
            <v>:</v>
          </cell>
        </row>
        <row r="369">
          <cell r="A369">
            <v>2</v>
          </cell>
          <cell r="C369" t="str">
            <v>Lokasi pekerjaan : sepanjang jalan</v>
          </cell>
          <cell r="L369" t="str">
            <v>PROP / KAB / KODYA</v>
          </cell>
          <cell r="O369" t="str">
            <v>:</v>
          </cell>
        </row>
        <row r="370">
          <cell r="A370">
            <v>3</v>
          </cell>
          <cell r="C370" t="str">
            <v>Kondisi Jalan   :  sedang / baik</v>
          </cell>
          <cell r="L370" t="str">
            <v>ITEM PEMBAYARAN NO.</v>
          </cell>
          <cell r="O370" t="str">
            <v>:  4.2 (4)</v>
          </cell>
          <cell r="R370" t="str">
            <v>PERKIRAAN VOL. PEK.</v>
          </cell>
          <cell r="T370" t="str">
            <v>:</v>
          </cell>
          <cell r="U370">
            <v>0</v>
          </cell>
        </row>
        <row r="371">
          <cell r="A371">
            <v>4</v>
          </cell>
          <cell r="C371" t="str">
            <v>Jarak rata-rata Base Camp ke lokasi pekerjaan</v>
          </cell>
          <cell r="G371" t="str">
            <v>L</v>
          </cell>
          <cell r="H371">
            <v>8.7249999999999996</v>
          </cell>
          <cell r="I371" t="str">
            <v>Km</v>
          </cell>
          <cell r="L371" t="str">
            <v>JENIS PEKERJAAN</v>
          </cell>
          <cell r="O371" t="str">
            <v>:  SEMEN Utk. Pond. Semen Tanah</v>
          </cell>
          <cell r="R371" t="str">
            <v>TOTAL HARGA (Rp.)</v>
          </cell>
          <cell r="T371" t="str">
            <v>:</v>
          </cell>
          <cell r="U371">
            <v>0</v>
          </cell>
        </row>
        <row r="372">
          <cell r="A372">
            <v>5</v>
          </cell>
          <cell r="C372" t="str">
            <v>Jam kerja efektif per-hari</v>
          </cell>
          <cell r="G372" t="str">
            <v>Tk</v>
          </cell>
          <cell r="H372">
            <v>7</v>
          </cell>
          <cell r="I372" t="str">
            <v>Jam</v>
          </cell>
          <cell r="L372" t="str">
            <v>SATUAN PEMBAYARAN</v>
          </cell>
          <cell r="O372" t="str">
            <v>:  TON</v>
          </cell>
          <cell r="R372" t="str">
            <v>% THD. BIAYA PROYEK</v>
          </cell>
          <cell r="T372" t="str">
            <v>:</v>
          </cell>
          <cell r="U372" t="e">
            <v>#DIV/0!</v>
          </cell>
        </row>
        <row r="373">
          <cell r="A373">
            <v>6</v>
          </cell>
          <cell r="C373" t="str">
            <v>Semen diangkut dari Base Camp ke lapangan</v>
          </cell>
        </row>
        <row r="374">
          <cell r="C374" t="str">
            <v>dengan menggunakan Dump Truck</v>
          </cell>
        </row>
        <row r="375">
          <cell r="A375">
            <v>7</v>
          </cell>
          <cell r="C375" t="str">
            <v>Satu hari dapat diselesaikan hamparan Soil Cement</v>
          </cell>
          <cell r="Q375" t="str">
            <v>PERKIRAAN</v>
          </cell>
          <cell r="R375" t="str">
            <v>HARGA</v>
          </cell>
          <cell r="S375" t="str">
            <v>JUMLAH</v>
          </cell>
        </row>
        <row r="376">
          <cell r="C376" t="str">
            <v>sepanjang</v>
          </cell>
          <cell r="G376" t="str">
            <v>Ls</v>
          </cell>
          <cell r="H376">
            <v>400</v>
          </cell>
          <cell r="I376" t="str">
            <v>M</v>
          </cell>
          <cell r="L376" t="str">
            <v>NO.</v>
          </cell>
          <cell r="N376" t="str">
            <v>KOMPONEN</v>
          </cell>
          <cell r="P376" t="str">
            <v>SATUAN</v>
          </cell>
          <cell r="Q376" t="str">
            <v>KUANTITAS</v>
          </cell>
          <cell r="R376" t="str">
            <v>SATUAN</v>
          </cell>
          <cell r="S376" t="str">
            <v>HARGA</v>
          </cell>
        </row>
        <row r="377">
          <cell r="A377">
            <v>8</v>
          </cell>
          <cell r="C377" t="str">
            <v>Faktor kehilangan bahan</v>
          </cell>
          <cell r="G377" t="str">
            <v>Fh</v>
          </cell>
          <cell r="H377">
            <v>1.05</v>
          </cell>
          <cell r="I377" t="str">
            <v>-</v>
          </cell>
          <cell r="R377" t="str">
            <v>(Rp.)</v>
          </cell>
          <cell r="S377" t="str">
            <v>(Rp.)</v>
          </cell>
        </row>
        <row r="378">
          <cell r="A378">
            <v>9</v>
          </cell>
          <cell r="C378" t="str">
            <v>Tebal hamparan</v>
          </cell>
          <cell r="G378" t="str">
            <v>t</v>
          </cell>
          <cell r="H378">
            <v>0.15</v>
          </cell>
          <cell r="I378" t="str">
            <v>M</v>
          </cell>
        </row>
        <row r="380">
          <cell r="A380" t="str">
            <v>II.</v>
          </cell>
          <cell r="C380" t="str">
            <v>URUTAN KERJA</v>
          </cell>
          <cell r="L380" t="str">
            <v>A.</v>
          </cell>
          <cell r="N380" t="str">
            <v>TENAGA</v>
          </cell>
        </row>
        <row r="381">
          <cell r="A381">
            <v>1</v>
          </cell>
          <cell r="C381" t="str">
            <v>Dump Truck mengangkut semen dari Base Camp</v>
          </cell>
        </row>
        <row r="382">
          <cell r="C382" t="str">
            <v>ke lokasi Pekerjaan</v>
          </cell>
          <cell r="L382" t="str">
            <v>1.</v>
          </cell>
          <cell r="N382" t="str">
            <v>Pekerja</v>
          </cell>
          <cell r="O382" t="str">
            <v>(L01)</v>
          </cell>
          <cell r="P382" t="str">
            <v>Jam</v>
          </cell>
          <cell r="Q382">
            <v>2.4305555555555554</v>
          </cell>
          <cell r="R382">
            <v>2857.14</v>
          </cell>
          <cell r="U382">
            <v>6944.4374999999991</v>
          </cell>
        </row>
        <row r="383">
          <cell r="A383">
            <v>2</v>
          </cell>
          <cell r="C383" t="str">
            <v>Semen diatur/disusun di tempat hamparan</v>
          </cell>
          <cell r="L383" t="str">
            <v>2.</v>
          </cell>
          <cell r="N383" t="str">
            <v>Mandor</v>
          </cell>
          <cell r="O383" t="str">
            <v>(L03)</v>
          </cell>
          <cell r="P383" t="str">
            <v>Jam</v>
          </cell>
          <cell r="Q383">
            <v>0.16203703703703703</v>
          </cell>
          <cell r="R383">
            <v>3214.29</v>
          </cell>
          <cell r="U383">
            <v>520.83402777777781</v>
          </cell>
        </row>
        <row r="384">
          <cell r="C384" t="str">
            <v>soil/tanah oleh tenaga manusia</v>
          </cell>
        </row>
        <row r="386">
          <cell r="A386" t="str">
            <v>III.</v>
          </cell>
          <cell r="C386" t="str">
            <v>PEMAKAIAN BAHAN, ALAT DAN TENAGA</v>
          </cell>
          <cell r="Q386" t="str">
            <v xml:space="preserve">JUMLAH HARGA TENAGA   </v>
          </cell>
          <cell r="U386">
            <v>7465.271527777777</v>
          </cell>
        </row>
        <row r="387">
          <cell r="A387" t="str">
            <v xml:space="preserve">   1.</v>
          </cell>
          <cell r="C387" t="str">
            <v>BAHAN</v>
          </cell>
        </row>
        <row r="388">
          <cell r="C388" t="str">
            <v>Semen yang diperlukan / ton   = (1 x Fh) x 1000</v>
          </cell>
          <cell r="G388" t="str">
            <v>(M12)</v>
          </cell>
          <cell r="H388">
            <v>1050</v>
          </cell>
          <cell r="I388" t="str">
            <v>Kg</v>
          </cell>
          <cell r="L388" t="str">
            <v>B.</v>
          </cell>
          <cell r="N388" t="str">
            <v>BAHAN</v>
          </cell>
        </row>
        <row r="389">
          <cell r="L389" t="str">
            <v>1.</v>
          </cell>
          <cell r="N389" t="str">
            <v>Semen</v>
          </cell>
          <cell r="O389" t="str">
            <v>(M12)</v>
          </cell>
          <cell r="P389" t="str">
            <v>Kg</v>
          </cell>
          <cell r="Q389">
            <v>1050</v>
          </cell>
          <cell r="R389">
            <v>550.92499999999995</v>
          </cell>
          <cell r="U389">
            <v>578471.25</v>
          </cell>
        </row>
        <row r="390">
          <cell r="A390" t="str">
            <v xml:space="preserve">   2.</v>
          </cell>
          <cell r="C390" t="str">
            <v>ALAT</v>
          </cell>
        </row>
        <row r="391">
          <cell r="A391" t="str">
            <v>2.a.</v>
          </cell>
          <cell r="C391" t="str">
            <v>DUMP TRUCK</v>
          </cell>
          <cell r="G391" t="str">
            <v>(E08)</v>
          </cell>
        </row>
        <row r="392">
          <cell r="C392" t="str">
            <v>Kapasitas bak</v>
          </cell>
          <cell r="G392" t="str">
            <v>V</v>
          </cell>
          <cell r="H392">
            <v>10</v>
          </cell>
          <cell r="I392" t="str">
            <v>Ton</v>
          </cell>
        </row>
        <row r="393">
          <cell r="C393" t="str">
            <v>Faktor efisiensi alat</v>
          </cell>
          <cell r="G393" t="str">
            <v>Fa</v>
          </cell>
          <cell r="H393">
            <v>0.83</v>
          </cell>
          <cell r="I393" t="str">
            <v>-</v>
          </cell>
        </row>
        <row r="394">
          <cell r="C394" t="str">
            <v>Kecepatan rata-rata bermuatan</v>
          </cell>
          <cell r="G394" t="str">
            <v>v1</v>
          </cell>
          <cell r="H394">
            <v>45</v>
          </cell>
          <cell r="I394" t="str">
            <v>Km / Jam</v>
          </cell>
        </row>
        <row r="395">
          <cell r="C395" t="str">
            <v>Kecepatan rata-rata kosong</v>
          </cell>
          <cell r="G395" t="str">
            <v>v2</v>
          </cell>
          <cell r="H395">
            <v>60</v>
          </cell>
          <cell r="I395" t="str">
            <v>Km / Jam</v>
          </cell>
        </row>
        <row r="396">
          <cell r="C396" t="str">
            <v>Waktu siklus</v>
          </cell>
          <cell r="G396" t="str">
            <v>Ts1</v>
          </cell>
          <cell r="Q396" t="str">
            <v xml:space="preserve">JUMLAH HARGA BAHAN   </v>
          </cell>
          <cell r="U396">
            <v>578471.25</v>
          </cell>
        </row>
        <row r="397">
          <cell r="C397" t="str">
            <v>- Waktu tempuh isi            = (L : v1) x 60</v>
          </cell>
          <cell r="G397" t="str">
            <v>T1</v>
          </cell>
          <cell r="H397">
            <v>11.633333333333333</v>
          </cell>
          <cell r="I397" t="str">
            <v>menit</v>
          </cell>
        </row>
        <row r="398">
          <cell r="C398" t="str">
            <v>- Waktu tempuh kosong   = (L : v2) x 60</v>
          </cell>
          <cell r="G398" t="str">
            <v>T2</v>
          </cell>
          <cell r="H398">
            <v>8.7249999999999996</v>
          </cell>
          <cell r="I398" t="str">
            <v>menit</v>
          </cell>
          <cell r="L398" t="str">
            <v>C.</v>
          </cell>
          <cell r="N398" t="str">
            <v>PERALATAN</v>
          </cell>
        </row>
        <row r="399">
          <cell r="C399" t="str">
            <v>- Waktu mengisi</v>
          </cell>
          <cell r="G399" t="str">
            <v>T3</v>
          </cell>
          <cell r="H399">
            <v>40</v>
          </cell>
          <cell r="I399" t="str">
            <v>menit</v>
          </cell>
          <cell r="L399" t="str">
            <v>1.</v>
          </cell>
          <cell r="N399" t="str">
            <v>Dump Truck</v>
          </cell>
          <cell r="O399" t="str">
            <v>(E08)</v>
          </cell>
          <cell r="P399" t="str">
            <v>Jam</v>
          </cell>
          <cell r="Q399">
            <v>0.21159889558232936</v>
          </cell>
          <cell r="R399">
            <v>153645.58193291764</v>
          </cell>
          <cell r="U399">
            <v>32511.23544810967</v>
          </cell>
        </row>
        <row r="400">
          <cell r="C400" t="str">
            <v>- Waktu bongkar</v>
          </cell>
          <cell r="G400" t="str">
            <v>T4</v>
          </cell>
          <cell r="H400">
            <v>30</v>
          </cell>
          <cell r="I400" t="str">
            <v>menit</v>
          </cell>
        </row>
        <row r="401">
          <cell r="C401" t="str">
            <v>- Lain-lain</v>
          </cell>
          <cell r="G401" t="str">
            <v>T5</v>
          </cell>
          <cell r="H401">
            <v>10</v>
          </cell>
          <cell r="I401" t="str">
            <v>menit</v>
          </cell>
        </row>
        <row r="402">
          <cell r="G402" t="str">
            <v>Ts1</v>
          </cell>
          <cell r="H402">
            <v>100.35833333333333</v>
          </cell>
          <cell r="I402" t="str">
            <v>menit</v>
          </cell>
        </row>
        <row r="404">
          <cell r="C404" t="str">
            <v>Kap. Prod. / jam =</v>
          </cell>
          <cell r="D404" t="str">
            <v>V x Fa x 60</v>
          </cell>
          <cell r="G404" t="str">
            <v>Q1</v>
          </cell>
          <cell r="H404">
            <v>4.7259225869206762</v>
          </cell>
          <cell r="I404" t="str">
            <v>Ton</v>
          </cell>
        </row>
        <row r="405">
          <cell r="D405" t="str">
            <v xml:space="preserve">   Fh x Ts1</v>
          </cell>
        </row>
        <row r="407">
          <cell r="C407" t="str">
            <v>Koefisien Alat/Ton</v>
          </cell>
          <cell r="D407" t="str">
            <v xml:space="preserve">  =    1 / Q1</v>
          </cell>
          <cell r="G407" t="str">
            <v>(E08)</v>
          </cell>
          <cell r="H407">
            <v>0.21159889558232936</v>
          </cell>
          <cell r="I407" t="str">
            <v>Jam</v>
          </cell>
        </row>
        <row r="408">
          <cell r="Q408" t="str">
            <v xml:space="preserve">JUMLAH HARGA PERALATAN   </v>
          </cell>
          <cell r="U408">
            <v>32511.23544810967</v>
          </cell>
        </row>
        <row r="409">
          <cell r="A409" t="str">
            <v xml:space="preserve">   3.</v>
          </cell>
          <cell r="C409" t="str">
            <v>TENAGA</v>
          </cell>
        </row>
        <row r="410">
          <cell r="C410" t="str">
            <v>Lebar Hamparan Soil Cement</v>
          </cell>
          <cell r="G410" t="str">
            <v>b</v>
          </cell>
          <cell r="H410">
            <v>6</v>
          </cell>
          <cell r="I410" t="str">
            <v>M</v>
          </cell>
          <cell r="L410" t="str">
            <v>D.</v>
          </cell>
          <cell r="N410" t="str">
            <v>JUMLAH HARGA TENAGA, BAHAN DAN PERALATAN  ( A + B + C )</v>
          </cell>
          <cell r="U410">
            <v>618447.75697588746</v>
          </cell>
        </row>
        <row r="411">
          <cell r="C411" t="str">
            <v>Kadar semen  (3 - 12) %</v>
          </cell>
          <cell r="G411" t="str">
            <v>s</v>
          </cell>
          <cell r="H411">
            <v>7.5</v>
          </cell>
          <cell r="I411" t="str">
            <v>%</v>
          </cell>
          <cell r="L411" t="str">
            <v>E.</v>
          </cell>
          <cell r="N411" t="str">
            <v>OVERHEAD &amp; PROFIT</v>
          </cell>
          <cell r="P411">
            <v>10</v>
          </cell>
          <cell r="Q411" t="str">
            <v>%  x  D</v>
          </cell>
          <cell r="U411">
            <v>61844.775697588746</v>
          </cell>
        </row>
        <row r="412">
          <cell r="C412" t="str">
            <v>Berat jenis tanah</v>
          </cell>
          <cell r="G412" t="str">
            <v>Bj</v>
          </cell>
          <cell r="H412">
            <v>1.6</v>
          </cell>
          <cell r="I412" t="str">
            <v>ton / M3</v>
          </cell>
          <cell r="L412" t="str">
            <v>F.</v>
          </cell>
          <cell r="N412" t="str">
            <v>HARGA SATUAN PEKERJAAN  ( D + E )</v>
          </cell>
          <cell r="U412">
            <v>680292.53267347626</v>
          </cell>
        </row>
        <row r="413">
          <cell r="C413" t="str">
            <v>Setiap hari dengan produksi = {(s : 100) x t x b x Ls} x Bj</v>
          </cell>
          <cell r="G413" t="str">
            <v>Qt</v>
          </cell>
          <cell r="H413">
            <v>43.2</v>
          </cell>
          <cell r="I413" t="str">
            <v>Ton</v>
          </cell>
          <cell r="L413" t="str">
            <v>Note: 1</v>
          </cell>
          <cell r="N413" t="str">
            <v>SATUAN dapat berdasarkan atas jam operasi untuk Tenaga Kerja dan Peralatan, volume dan/atau ukuran</v>
          </cell>
        </row>
        <row r="414">
          <cell r="N414" t="str">
            <v>berat untuk bahan-bahan.</v>
          </cell>
        </row>
        <row r="415">
          <cell r="C415" t="str">
            <v>Kebutuhan tenaga :</v>
          </cell>
          <cell r="L415">
            <v>2</v>
          </cell>
          <cell r="N415" t="str">
            <v>Kuantitas satuan adalah kuantitas setiap komponen untuk menyelesaikan satu satuan pekerjaan dari nomor</v>
          </cell>
        </row>
        <row r="416">
          <cell r="D416" t="str">
            <v>- Pekerja</v>
          </cell>
          <cell r="G416" t="str">
            <v>P</v>
          </cell>
          <cell r="H416">
            <v>15</v>
          </cell>
          <cell r="I416" t="str">
            <v>orang</v>
          </cell>
          <cell r="N416" t="str">
            <v>mata pembayaran.</v>
          </cell>
        </row>
        <row r="417">
          <cell r="D417" t="str">
            <v>- Mandor</v>
          </cell>
          <cell r="G417" t="str">
            <v>M</v>
          </cell>
          <cell r="H417">
            <v>1</v>
          </cell>
          <cell r="I417" t="str">
            <v>orang</v>
          </cell>
          <cell r="L417">
            <v>3</v>
          </cell>
          <cell r="N417" t="str">
            <v>Biaya satuan untuk peralatan sudah termasuk bahan bakar, bahan habis dipakai dan operator.</v>
          </cell>
        </row>
        <row r="418">
          <cell r="L418">
            <v>4</v>
          </cell>
          <cell r="N418" t="str">
            <v>Biaya satuan sudah termasuk pengeluaran untuk seluruh pajak yang berkaitan (tetapi tidak termasuk PPN</v>
          </cell>
        </row>
        <row r="419">
          <cell r="J419" t="str">
            <v>Berlanjut ke halaman berikut</v>
          </cell>
          <cell r="N419" t="str">
            <v>yang dibayar dari kontrak) dan biaya-biaya lainnya.</v>
          </cell>
        </row>
        <row r="420">
          <cell r="A420" t="str">
            <v>ITEM PEMBAYARAN NO.</v>
          </cell>
          <cell r="D420" t="str">
            <v>:  4.2 (4)</v>
          </cell>
          <cell r="J420" t="str">
            <v>Analisa EI-424</v>
          </cell>
        </row>
        <row r="421">
          <cell r="A421" t="str">
            <v>JENIS PEKERJAAN</v>
          </cell>
          <cell r="D421" t="str">
            <v>:  SEMEN Utk. Pond. Semen Tanah</v>
          </cell>
        </row>
        <row r="422">
          <cell r="A422" t="str">
            <v>SATUAN PEMBAYARAN</v>
          </cell>
          <cell r="D422" t="str">
            <v>:  TON</v>
          </cell>
          <cell r="J422" t="str">
            <v xml:space="preserve">         URAIAN ANALISA HARGA SATUAN</v>
          </cell>
        </row>
        <row r="423">
          <cell r="J423" t="str">
            <v>Lanjutan</v>
          </cell>
        </row>
        <row r="425">
          <cell r="A425" t="str">
            <v>No.</v>
          </cell>
          <cell r="C425" t="str">
            <v>U R A I A N</v>
          </cell>
          <cell r="G425" t="str">
            <v>KODE</v>
          </cell>
          <cell r="H425" t="str">
            <v>KOEF.</v>
          </cell>
          <cell r="I425" t="str">
            <v>SATUAN</v>
          </cell>
          <cell r="J425" t="str">
            <v>KETERANGAN</v>
          </cell>
        </row>
        <row r="428">
          <cell r="C428" t="str">
            <v>Koefisien tenaga / Ton  :</v>
          </cell>
        </row>
        <row r="429">
          <cell r="D429" t="str">
            <v>- Pekerja</v>
          </cell>
          <cell r="E429" t="str">
            <v>= (Tk x P) : Qt</v>
          </cell>
          <cell r="G429" t="str">
            <v>(L01)</v>
          </cell>
          <cell r="H429">
            <v>2.4305555555555554</v>
          </cell>
          <cell r="I429" t="str">
            <v>Jam</v>
          </cell>
        </row>
        <row r="430">
          <cell r="D430" t="str">
            <v>- Mandor</v>
          </cell>
          <cell r="E430" t="str">
            <v>= (Tk x M) : Qt</v>
          </cell>
          <cell r="G430" t="str">
            <v>(L03)</v>
          </cell>
          <cell r="H430">
            <v>0.16203703703703703</v>
          </cell>
          <cell r="I430" t="str">
            <v>Jam</v>
          </cell>
        </row>
        <row r="433">
          <cell r="A433" t="str">
            <v>4.</v>
          </cell>
          <cell r="C433" t="str">
            <v>HARGA DASAR SATUAN UPAH, BAHAN DAN ALAT</v>
          </cell>
        </row>
        <row r="434">
          <cell r="C434" t="str">
            <v>Lihat lampiran.</v>
          </cell>
        </row>
        <row r="437">
          <cell r="A437" t="str">
            <v>5.</v>
          </cell>
          <cell r="C437" t="str">
            <v>ANALISA HARGA SATUAN PEKERJAAN</v>
          </cell>
        </row>
        <row r="438">
          <cell r="C438" t="str">
            <v>Lihat perhitungan dalam FORMULIR STANDAR UNTUK</v>
          </cell>
        </row>
        <row r="439">
          <cell r="C439" t="str">
            <v>PEREKEMAN ANALISA MASING-MASING HARGA</v>
          </cell>
        </row>
        <row r="440">
          <cell r="C440" t="str">
            <v>SATUAN.</v>
          </cell>
        </row>
        <row r="441">
          <cell r="C441" t="str">
            <v>Didapat Harga Satuan Pekerjaan :</v>
          </cell>
        </row>
        <row r="443">
          <cell r="C443" t="str">
            <v xml:space="preserve">Rp.  </v>
          </cell>
          <cell r="D443">
            <v>680292.53267347626</v>
          </cell>
          <cell r="E443" t="str">
            <v xml:space="preserve"> / Ton</v>
          </cell>
        </row>
        <row r="446">
          <cell r="A446" t="str">
            <v>6.</v>
          </cell>
          <cell r="C446" t="str">
            <v>WAKTU PELAKSANAAN YANG DIPERLUKAN</v>
          </cell>
        </row>
        <row r="447">
          <cell r="C447" t="str">
            <v>Waktu pelaksanaan</v>
          </cell>
          <cell r="D447" t="str">
            <v>:  . . . . . . .  bulan</v>
          </cell>
        </row>
        <row r="449">
          <cell r="A449" t="str">
            <v>7.</v>
          </cell>
          <cell r="C449" t="str">
            <v>VOLUME PEKERJAAN YANG DIPERLUKAN</v>
          </cell>
        </row>
        <row r="450">
          <cell r="C450" t="str">
            <v>Volume pekerjaan  :</v>
          </cell>
          <cell r="D450">
            <v>0</v>
          </cell>
          <cell r="E450" t="str">
            <v>Ton</v>
          </cell>
        </row>
        <row r="479">
          <cell r="A479" t="str">
            <v>ITEM PEMBAYARAN NO.</v>
          </cell>
          <cell r="D479" t="str">
            <v>:  4.2 (3)</v>
          </cell>
          <cell r="J479" t="str">
            <v>Analisa EI-423</v>
          </cell>
          <cell r="T479" t="str">
            <v>Analisa EI-423</v>
          </cell>
        </row>
        <row r="480">
          <cell r="A480" t="str">
            <v>JENIS PEKERJAAN</v>
          </cell>
          <cell r="D480" t="str">
            <v>:  Lapis Pondasi Semen Tanah</v>
          </cell>
        </row>
        <row r="481">
          <cell r="A481" t="str">
            <v>SATUAN PEMBAYARAN</v>
          </cell>
          <cell r="D481" t="str">
            <v>:  M3</v>
          </cell>
          <cell r="J481" t="str">
            <v xml:space="preserve">         URAIAN ANALISA HARGA SATUAN</v>
          </cell>
          <cell r="L481" t="str">
            <v>FORMULIR STANDAR UNTUK</v>
          </cell>
        </row>
        <row r="482">
          <cell r="L482" t="str">
            <v>PEREKAMAN ANALISA MASING-MASING HARGA SATUAN</v>
          </cell>
        </row>
        <row r="483">
          <cell r="L483" t="str">
            <v/>
          </cell>
        </row>
        <row r="484">
          <cell r="A484" t="str">
            <v>No.</v>
          </cell>
          <cell r="C484" t="str">
            <v>U R A I A N</v>
          </cell>
          <cell r="G484" t="str">
            <v>KODE</v>
          </cell>
          <cell r="H484" t="str">
            <v>KOEF.</v>
          </cell>
          <cell r="I484" t="str">
            <v>SATUAN</v>
          </cell>
          <cell r="J484" t="str">
            <v>KETERANGAN</v>
          </cell>
        </row>
        <row r="486">
          <cell r="L486" t="str">
            <v>PROYEK</v>
          </cell>
          <cell r="O486" t="str">
            <v>:</v>
          </cell>
        </row>
        <row r="487">
          <cell r="A487" t="str">
            <v>I.</v>
          </cell>
          <cell r="C487" t="str">
            <v>ASUMSI</v>
          </cell>
          <cell r="L487" t="str">
            <v>No. PAKET KONTRAK</v>
          </cell>
          <cell r="O487" t="str">
            <v>:</v>
          </cell>
        </row>
        <row r="488">
          <cell r="A488">
            <v>1</v>
          </cell>
          <cell r="C488" t="str">
            <v>Pekerjaan dilakukan secara mekanik</v>
          </cell>
          <cell r="L488" t="str">
            <v>NAMA PAKET</v>
          </cell>
          <cell r="O488" t="str">
            <v>:</v>
          </cell>
        </row>
        <row r="489">
          <cell r="A489">
            <v>2</v>
          </cell>
          <cell r="C489" t="str">
            <v>Lokasi pekerjaan : sepanjang jalan</v>
          </cell>
          <cell r="L489" t="str">
            <v>PROP / KAB / KODYA</v>
          </cell>
          <cell r="O489" t="str">
            <v>:</v>
          </cell>
        </row>
        <row r="490">
          <cell r="A490">
            <v>3</v>
          </cell>
          <cell r="C490" t="str">
            <v>Kondisi Jalan   :  sedang / baik</v>
          </cell>
          <cell r="L490" t="str">
            <v>ITEM PEMBAYARAN NO.</v>
          </cell>
          <cell r="O490" t="str">
            <v>:  4.2 (3)</v>
          </cell>
          <cell r="R490" t="str">
            <v>PERKIRAAN VOL. PEK.</v>
          </cell>
          <cell r="T490" t="str">
            <v>:</v>
          </cell>
          <cell r="U490">
            <v>0</v>
          </cell>
        </row>
        <row r="491">
          <cell r="A491">
            <v>4</v>
          </cell>
          <cell r="C491" t="str">
            <v>Jarak rata-rata sumber material ke lokasi pekerjaan</v>
          </cell>
          <cell r="G491" t="str">
            <v>L</v>
          </cell>
          <cell r="H491">
            <v>8.7249999999999996</v>
          </cell>
          <cell r="I491" t="str">
            <v>Km</v>
          </cell>
          <cell r="L491" t="str">
            <v>JENIS PEKERJAAN</v>
          </cell>
          <cell r="O491" t="str">
            <v>:  Lapis Pondasi Semen Tanah</v>
          </cell>
          <cell r="R491" t="str">
            <v>TOTAL HARGA (Rp.)</v>
          </cell>
          <cell r="T491" t="str">
            <v>:</v>
          </cell>
          <cell r="U491">
            <v>0</v>
          </cell>
        </row>
        <row r="492">
          <cell r="A492">
            <v>5</v>
          </cell>
          <cell r="C492" t="str">
            <v>Jam kerja efektif per-hari</v>
          </cell>
          <cell r="G492" t="str">
            <v>Tk</v>
          </cell>
          <cell r="H492">
            <v>7</v>
          </cell>
          <cell r="I492" t="str">
            <v>Jam</v>
          </cell>
          <cell r="L492" t="str">
            <v>SATUAN PEMBAYARAN</v>
          </cell>
          <cell r="O492" t="str">
            <v>:  M3</v>
          </cell>
          <cell r="R492" t="str">
            <v>% THD. BIAYA PROYEK</v>
          </cell>
          <cell r="T492" t="str">
            <v>:</v>
          </cell>
          <cell r="U492" t="e">
            <v>#DIV/0!</v>
          </cell>
        </row>
        <row r="493">
          <cell r="A493">
            <v>6</v>
          </cell>
          <cell r="C493" t="str">
            <v>Harga pembayaran tidak termasuk semen ( semen</v>
          </cell>
        </row>
        <row r="494">
          <cell r="C494" t="str">
            <v>dibayar dalam item tersendiri)</v>
          </cell>
        </row>
        <row r="495">
          <cell r="A495">
            <v>7</v>
          </cell>
          <cell r="C495" t="str">
            <v>Satu hari dapat diselesaikan hamparan Soil Cement</v>
          </cell>
          <cell r="Q495" t="str">
            <v>PERKIRAAN</v>
          </cell>
          <cell r="R495" t="str">
            <v>HARGA</v>
          </cell>
          <cell r="S495" t="str">
            <v>JUMLAH</v>
          </cell>
        </row>
        <row r="496">
          <cell r="C496" t="str">
            <v>sepanjang</v>
          </cell>
          <cell r="G496" t="str">
            <v>Ls</v>
          </cell>
          <cell r="H496">
            <v>400</v>
          </cell>
          <cell r="I496" t="str">
            <v>M</v>
          </cell>
          <cell r="L496" t="str">
            <v>NO.</v>
          </cell>
          <cell r="N496" t="str">
            <v>KOMPONEN</v>
          </cell>
          <cell r="P496" t="str">
            <v>SATUAN</v>
          </cell>
          <cell r="Q496" t="str">
            <v>KUANTITAS</v>
          </cell>
          <cell r="R496" t="str">
            <v>SATUAN</v>
          </cell>
          <cell r="S496" t="str">
            <v>HARGA</v>
          </cell>
        </row>
        <row r="497">
          <cell r="A497">
            <v>8</v>
          </cell>
          <cell r="C497" t="str">
            <v>Faktor kembang material (padat - lepas)</v>
          </cell>
          <cell r="G497" t="str">
            <v>Fk</v>
          </cell>
          <cell r="H497">
            <v>1.2</v>
          </cell>
          <cell r="I497" t="str">
            <v>-</v>
          </cell>
          <cell r="R497" t="str">
            <v>(Rp.)</v>
          </cell>
          <cell r="S497" t="str">
            <v>(Rp.)</v>
          </cell>
        </row>
        <row r="498">
          <cell r="A498">
            <v>9</v>
          </cell>
          <cell r="C498" t="str">
            <v>Tebal hamparan padat</v>
          </cell>
          <cell r="G498" t="str">
            <v>t</v>
          </cell>
          <cell r="H498">
            <v>0.15</v>
          </cell>
          <cell r="I498" t="str">
            <v>M</v>
          </cell>
        </row>
        <row r="500">
          <cell r="A500" t="str">
            <v>II.</v>
          </cell>
          <cell r="C500" t="str">
            <v>URUTAN KERJA</v>
          </cell>
          <cell r="L500" t="str">
            <v>A.</v>
          </cell>
          <cell r="N500" t="str">
            <v>TENAGA</v>
          </cell>
        </row>
        <row r="501">
          <cell r="A501">
            <v>1</v>
          </cell>
          <cell r="C501" t="str">
            <v>Whell Loader memuat material ke dalam Dump Truck</v>
          </cell>
        </row>
        <row r="502">
          <cell r="C502" t="str">
            <v>di lokasi sumber bahan</v>
          </cell>
          <cell r="L502" t="str">
            <v>1.</v>
          </cell>
          <cell r="N502" t="str">
            <v>Pekerja</v>
          </cell>
          <cell r="O502" t="str">
            <v>(L01)</v>
          </cell>
          <cell r="P502" t="str">
            <v>Jam</v>
          </cell>
          <cell r="Q502">
            <v>0.12494422132976349</v>
          </cell>
          <cell r="R502">
            <v>2857.14</v>
          </cell>
          <cell r="U502">
            <v>356.98313253012043</v>
          </cell>
        </row>
        <row r="503">
          <cell r="A503">
            <v>2</v>
          </cell>
          <cell r="C503" t="str">
            <v>Dump Truck mengangkut material ke lokasi pekerjaan</v>
          </cell>
          <cell r="L503" t="str">
            <v>2.</v>
          </cell>
          <cell r="N503" t="str">
            <v>Mandor</v>
          </cell>
          <cell r="O503" t="str">
            <v>(L03)</v>
          </cell>
          <cell r="P503" t="str">
            <v>Jam</v>
          </cell>
          <cell r="Q503">
            <v>1.7849174475680501E-2</v>
          </cell>
          <cell r="R503">
            <v>3214.29</v>
          </cell>
          <cell r="U503">
            <v>57.372423025435076</v>
          </cell>
        </row>
        <row r="504">
          <cell r="A504">
            <v>3</v>
          </cell>
          <cell r="C504" t="str">
            <v>Motor Grader menghampar material di lokasi pekerjaan</v>
          </cell>
        </row>
        <row r="505">
          <cell r="A505">
            <v>4</v>
          </cell>
          <cell r="C505" t="str">
            <v>Semen dan material tanah diaduk ditempat dengan</v>
          </cell>
        </row>
        <row r="506">
          <cell r="C506" t="str">
            <v>menggunakan Vulvi Mixer</v>
          </cell>
          <cell r="Q506" t="str">
            <v xml:space="preserve">JUMLAH HARGA TENAGA   </v>
          </cell>
          <cell r="U506">
            <v>414.3555555555555</v>
          </cell>
        </row>
        <row r="507">
          <cell r="A507">
            <v>5</v>
          </cell>
          <cell r="C507" t="str">
            <v>Sebelum pemadatan material dibasahi dengan</v>
          </cell>
        </row>
        <row r="508">
          <cell r="C508" t="str">
            <v>menggunakan Water Tank Truck</v>
          </cell>
          <cell r="L508" t="str">
            <v>B.</v>
          </cell>
          <cell r="N508" t="str">
            <v>BAHAN</v>
          </cell>
        </row>
        <row r="509">
          <cell r="A509">
            <v>6</v>
          </cell>
          <cell r="C509" t="str">
            <v>Pemadatan dilakukan dengan menggunakan</v>
          </cell>
          <cell r="L509" t="str">
            <v>1.</v>
          </cell>
          <cell r="N509" t="str">
            <v>Tanah Timbunan  (M08)</v>
          </cell>
          <cell r="P509" t="str">
            <v>M3</v>
          </cell>
          <cell r="Q509">
            <v>1.2</v>
          </cell>
          <cell r="R509">
            <v>20000</v>
          </cell>
          <cell r="U509">
            <v>24000</v>
          </cell>
        </row>
        <row r="510">
          <cell r="C510" t="str">
            <v>Vibrator Roller dan Pneumatic Tire Roller</v>
          </cell>
        </row>
        <row r="511">
          <cell r="A511">
            <v>7</v>
          </cell>
          <cell r="C511" t="str">
            <v>Selama pelaksanaan pekerjaan sekelompok pekerja</v>
          </cell>
        </row>
        <row r="512">
          <cell r="C512" t="str">
            <v>akan merapikan tepi hamparan dan level permukaan</v>
          </cell>
        </row>
        <row r="513">
          <cell r="C513" t="str">
            <v>dengan menggunakan alat bantu</v>
          </cell>
        </row>
        <row r="515">
          <cell r="A515" t="str">
            <v>III.</v>
          </cell>
          <cell r="C515" t="str">
            <v>PEMAKAIAN BAHAN, ALAT DAN TENAGA</v>
          </cell>
        </row>
        <row r="516">
          <cell r="Q516" t="str">
            <v xml:space="preserve">JUMLAH HARGA BAHAN   </v>
          </cell>
          <cell r="U516">
            <v>24000</v>
          </cell>
        </row>
        <row r="517">
          <cell r="A517" t="str">
            <v>1.</v>
          </cell>
          <cell r="C517" t="str">
            <v>BAHAN</v>
          </cell>
        </row>
        <row r="518">
          <cell r="C518" t="str">
            <v>Setiap M3 Soil Cement padat diperlukan = 1 x Fk</v>
          </cell>
          <cell r="G518" t="str">
            <v>(M08)</v>
          </cell>
          <cell r="H518">
            <v>1.2</v>
          </cell>
          <cell r="I518" t="str">
            <v>M3</v>
          </cell>
          <cell r="L518" t="str">
            <v>C.</v>
          </cell>
          <cell r="N518" t="str">
            <v>PERALATAN</v>
          </cell>
        </row>
        <row r="519">
          <cell r="L519" t="str">
            <v>1.</v>
          </cell>
          <cell r="N519" t="str">
            <v>Wheel Loader</v>
          </cell>
          <cell r="O519" t="str">
            <v>(E15)</v>
          </cell>
          <cell r="P519" t="str">
            <v>Jam</v>
          </cell>
          <cell r="Q519">
            <v>1.7849174475680497E-2</v>
          </cell>
          <cell r="R519">
            <v>163808.13869490434</v>
          </cell>
          <cell r="U519">
            <v>2923.8400481018175</v>
          </cell>
        </row>
        <row r="520">
          <cell r="A520" t="str">
            <v>2.</v>
          </cell>
          <cell r="C520" t="str">
            <v>ALAT</v>
          </cell>
          <cell r="L520" t="str">
            <v>2.</v>
          </cell>
          <cell r="N520" t="str">
            <v>Dump Truck</v>
          </cell>
          <cell r="O520" t="str">
            <v>(E08)</v>
          </cell>
          <cell r="P520" t="str">
            <v>Jam</v>
          </cell>
          <cell r="Q520">
            <v>0.16651888679214849</v>
          </cell>
          <cell r="R520">
            <v>153645.58193291764</v>
          </cell>
          <cell r="U520">
            <v>25584.89126400129</v>
          </cell>
        </row>
        <row r="521">
          <cell r="A521" t="str">
            <v>2.a.</v>
          </cell>
          <cell r="C521" t="str">
            <v>WHEL LOADER</v>
          </cell>
          <cell r="G521" t="str">
            <v>(E15)</v>
          </cell>
          <cell r="L521" t="str">
            <v>3.</v>
          </cell>
          <cell r="N521" t="str">
            <v>Motor Grader</v>
          </cell>
          <cell r="O521" t="str">
            <v>(E13)</v>
          </cell>
          <cell r="P521" t="str">
            <v>Jam</v>
          </cell>
          <cell r="Q521">
            <v>8.3668005354752342E-3</v>
          </cell>
          <cell r="R521">
            <v>201666.62574070093</v>
          </cell>
          <cell r="U521">
            <v>1687.3044322347801</v>
          </cell>
        </row>
        <row r="522">
          <cell r="C522" t="str">
            <v>Kapasitas bucket</v>
          </cell>
          <cell r="G522" t="str">
            <v>V</v>
          </cell>
          <cell r="H522">
            <v>1.5</v>
          </cell>
          <cell r="I522" t="str">
            <v>M3</v>
          </cell>
          <cell r="L522" t="str">
            <v>4.</v>
          </cell>
          <cell r="N522" t="str">
            <v>Tandem Roller</v>
          </cell>
          <cell r="O522" t="str">
            <v>(E17)</v>
          </cell>
          <cell r="P522" t="str">
            <v>Jam</v>
          </cell>
          <cell r="Q522">
            <v>1.7849174475680501E-2</v>
          </cell>
          <cell r="R522">
            <v>293927.19306224468</v>
          </cell>
          <cell r="U522">
            <v>5246.3577521150328</v>
          </cell>
        </row>
        <row r="523">
          <cell r="C523" t="str">
            <v>Faktor bucket</v>
          </cell>
          <cell r="G523" t="str">
            <v>Fb</v>
          </cell>
          <cell r="H523">
            <v>0.9</v>
          </cell>
          <cell r="I523" t="str">
            <v>-</v>
          </cell>
          <cell r="J523" t="str">
            <v>Pemuatan ringan</v>
          </cell>
          <cell r="L523" t="str">
            <v>5.</v>
          </cell>
          <cell r="N523" t="str">
            <v>P. Tyre Roller</v>
          </cell>
          <cell r="O523" t="str">
            <v>(E18)</v>
          </cell>
          <cell r="P523" t="str">
            <v>Jam</v>
          </cell>
          <cell r="Q523">
            <v>8.5676037483266403E-3</v>
          </cell>
          <cell r="R523">
            <v>113384.24751021285</v>
          </cell>
          <cell r="U523">
            <v>971.43130396969514</v>
          </cell>
        </row>
        <row r="524">
          <cell r="C524" t="str">
            <v>Faktor efisiensi alat</v>
          </cell>
          <cell r="G524" t="str">
            <v>Fa</v>
          </cell>
          <cell r="H524">
            <v>0.83</v>
          </cell>
          <cell r="I524" t="str">
            <v>-</v>
          </cell>
          <cell r="L524" t="str">
            <v>6.</v>
          </cell>
          <cell r="N524" t="str">
            <v>Water Tanker</v>
          </cell>
          <cell r="O524" t="str">
            <v>(E23)</v>
          </cell>
          <cell r="P524" t="str">
            <v>Jam</v>
          </cell>
          <cell r="Q524">
            <v>7.0281124497991983E-3</v>
          </cell>
          <cell r="R524">
            <v>67020.510980434308</v>
          </cell>
          <cell r="U524">
            <v>471.02768761349421</v>
          </cell>
        </row>
        <row r="525">
          <cell r="C525" t="str">
            <v>Waktu siklus :</v>
          </cell>
          <cell r="G525" t="str">
            <v>Ts1</v>
          </cell>
          <cell r="L525" t="str">
            <v>7.</v>
          </cell>
          <cell r="N525" t="str">
            <v>Fulvi Mixer</v>
          </cell>
          <cell r="O525" t="str">
            <v>(E27)</v>
          </cell>
          <cell r="P525" t="str">
            <v>Jam</v>
          </cell>
          <cell r="Q525">
            <v>1.9277108433734941E-2</v>
          </cell>
          <cell r="R525">
            <v>559029.00777943374</v>
          </cell>
          <cell r="U525">
            <v>10776.462800567399</v>
          </cell>
        </row>
        <row r="526">
          <cell r="C526" t="str">
            <v>- Muat</v>
          </cell>
          <cell r="G526" t="str">
            <v>T1</v>
          </cell>
          <cell r="H526">
            <v>0.5</v>
          </cell>
          <cell r="I526" t="str">
            <v>menit</v>
          </cell>
          <cell r="L526" t="str">
            <v>8.</v>
          </cell>
          <cell r="N526" t="str">
            <v>Alat Bantu</v>
          </cell>
          <cell r="P526" t="str">
            <v>Ls</v>
          </cell>
          <cell r="Q526">
            <v>1</v>
          </cell>
          <cell r="R526">
            <v>90</v>
          </cell>
          <cell r="U526">
            <v>90</v>
          </cell>
        </row>
        <row r="527">
          <cell r="C527" t="str">
            <v>- Lain-lain</v>
          </cell>
          <cell r="G527" t="str">
            <v>T2</v>
          </cell>
          <cell r="H527">
            <v>0.5</v>
          </cell>
          <cell r="I527" t="str">
            <v>menit</v>
          </cell>
        </row>
        <row r="528">
          <cell r="G528" t="str">
            <v>Ts1</v>
          </cell>
          <cell r="H528">
            <v>1</v>
          </cell>
          <cell r="I528" t="str">
            <v>menit</v>
          </cell>
          <cell r="Q528" t="str">
            <v xml:space="preserve">JUMLAH HARGA PERALATAN   </v>
          </cell>
          <cell r="U528">
            <v>47751.31528860351</v>
          </cell>
        </row>
        <row r="530">
          <cell r="C530" t="str">
            <v>Kap. Prod. / Jam  =</v>
          </cell>
          <cell r="D530" t="str">
            <v>V x Fb x Fa x 60</v>
          </cell>
          <cell r="G530" t="str">
            <v>Q1</v>
          </cell>
          <cell r="H530">
            <v>56.025000000000006</v>
          </cell>
          <cell r="I530" t="str">
            <v>M3</v>
          </cell>
          <cell r="L530" t="str">
            <v>D.</v>
          </cell>
          <cell r="N530" t="str">
            <v>JUMLAH HARGA TENAGA, BAHAN DAN PERALATAN  ( A + B + C )</v>
          </cell>
          <cell r="U530">
            <v>72165.67084415906</v>
          </cell>
        </row>
        <row r="531">
          <cell r="D531" t="str">
            <v>Fk x Ts1</v>
          </cell>
          <cell r="L531" t="str">
            <v>E.</v>
          </cell>
          <cell r="N531" t="str">
            <v>OVERHEAD &amp; PROFIT</v>
          </cell>
          <cell r="P531">
            <v>10</v>
          </cell>
          <cell r="Q531" t="str">
            <v>%  x  D</v>
          </cell>
          <cell r="U531">
            <v>7216.5670844159067</v>
          </cell>
        </row>
        <row r="532">
          <cell r="L532" t="str">
            <v>F.</v>
          </cell>
          <cell r="N532" t="str">
            <v>HARGA SATUAN PEKERJAAN  ( D + E )</v>
          </cell>
          <cell r="U532">
            <v>79382.237928574963</v>
          </cell>
        </row>
        <row r="533">
          <cell r="C533" t="str">
            <v>Koefisien Alat / M3</v>
          </cell>
          <cell r="D533" t="str">
            <v xml:space="preserve"> = 1 / Q1</v>
          </cell>
          <cell r="G533" t="str">
            <v>(E15)</v>
          </cell>
          <cell r="H533">
            <v>1.7849174475680497E-2</v>
          </cell>
          <cell r="I533" t="str">
            <v>Jam</v>
          </cell>
          <cell r="L533" t="str">
            <v>Note: 1</v>
          </cell>
          <cell r="N533" t="str">
            <v>SATUAN dapat berdasarkan atas jam operasi untuk Tenaga Kerja dan Peralatan, volume dan/atau ukuran</v>
          </cell>
        </row>
        <row r="534">
          <cell r="N534" t="str">
            <v>berat untuk bahan-bahan.</v>
          </cell>
        </row>
        <row r="535">
          <cell r="L535">
            <v>2</v>
          </cell>
          <cell r="N535" t="str">
            <v>Kuantitas satuan adalah kuantitas setiap komponen untuk menyelesaikan satu satuan pekerjaan dari nomor</v>
          </cell>
        </row>
        <row r="536">
          <cell r="N536" t="str">
            <v>mata pembayaran.</v>
          </cell>
        </row>
        <row r="537">
          <cell r="L537">
            <v>3</v>
          </cell>
          <cell r="N537" t="str">
            <v>Biaya satuan untuk peralatan sudah termasuk bahan bakar, bahan habis dipakai dan operator.</v>
          </cell>
        </row>
        <row r="538">
          <cell r="L538">
            <v>4</v>
          </cell>
          <cell r="N538" t="str">
            <v>Biaya satuan sudah termasuk pengeluaran untuk seluruh pajak yang berkaitan (tetapi tidak termasuk PPN</v>
          </cell>
        </row>
        <row r="539">
          <cell r="J539" t="str">
            <v>Berlanjut ke halaman berikut</v>
          </cell>
          <cell r="N539" t="str">
            <v>yang dibayar dari kontrak) dan biaya-biaya lainnya.</v>
          </cell>
        </row>
        <row r="540">
          <cell r="A540" t="str">
            <v>ITEM PEMBAYARAN NO.</v>
          </cell>
          <cell r="D540" t="str">
            <v>:  4.2 (3)</v>
          </cell>
          <cell r="J540" t="str">
            <v>Analisa EI-423</v>
          </cell>
        </row>
        <row r="541">
          <cell r="A541" t="str">
            <v>JENIS PEKERJAAN</v>
          </cell>
          <cell r="D541" t="str">
            <v>:  Lapis Pondasi Semen Tanah</v>
          </cell>
        </row>
        <row r="542">
          <cell r="A542" t="str">
            <v>SATUAN PEMBAYARAN</v>
          </cell>
          <cell r="D542" t="str">
            <v>:  M3</v>
          </cell>
          <cell r="J542" t="str">
            <v xml:space="preserve">         URAIAN ANALISA HARGA SATUAN</v>
          </cell>
        </row>
        <row r="543">
          <cell r="J543" t="str">
            <v>Lanjutan</v>
          </cell>
        </row>
        <row r="545">
          <cell r="A545" t="str">
            <v>No.</v>
          </cell>
          <cell r="C545" t="str">
            <v>U R A I A N</v>
          </cell>
          <cell r="G545" t="str">
            <v>KODE</v>
          </cell>
          <cell r="H545" t="str">
            <v>KOEF.</v>
          </cell>
          <cell r="I545" t="str">
            <v>SATUAN</v>
          </cell>
          <cell r="J545" t="str">
            <v>KETERANGAN</v>
          </cell>
        </row>
        <row r="548">
          <cell r="A548" t="str">
            <v>2.b.</v>
          </cell>
          <cell r="C548" t="str">
            <v>DUMP TRUCK</v>
          </cell>
          <cell r="G548" t="str">
            <v>(E08)</v>
          </cell>
        </row>
        <row r="549">
          <cell r="C549" t="str">
            <v>Kapasitas bak</v>
          </cell>
          <cell r="G549" t="str">
            <v>V</v>
          </cell>
          <cell r="H549">
            <v>4</v>
          </cell>
          <cell r="I549" t="str">
            <v>M3</v>
          </cell>
        </row>
        <row r="550">
          <cell r="C550" t="str">
            <v>Faktor efisiensi alat</v>
          </cell>
          <cell r="G550" t="str">
            <v>Fa</v>
          </cell>
          <cell r="H550">
            <v>0.83</v>
          </cell>
          <cell r="I550" t="str">
            <v>-</v>
          </cell>
        </row>
        <row r="551">
          <cell r="C551" t="str">
            <v>Kecepatan rata-rata bermuatan</v>
          </cell>
          <cell r="G551" t="str">
            <v>v1</v>
          </cell>
          <cell r="H551">
            <v>45</v>
          </cell>
          <cell r="I551" t="str">
            <v>Km / Jam</v>
          </cell>
        </row>
        <row r="552">
          <cell r="C552" t="str">
            <v>Kecepatan rata-rata kosong</v>
          </cell>
          <cell r="G552" t="str">
            <v>v2</v>
          </cell>
          <cell r="H552">
            <v>60</v>
          </cell>
          <cell r="I552" t="str">
            <v>Km / Jam</v>
          </cell>
        </row>
        <row r="553">
          <cell r="C553" t="str">
            <v>Waktu Siklus  :  - Waktu memuat = V : Q1 x 60</v>
          </cell>
          <cell r="G553" t="str">
            <v>T1</v>
          </cell>
          <cell r="H553">
            <v>4.283801874163319</v>
          </cell>
          <cell r="I553" t="str">
            <v>menit</v>
          </cell>
        </row>
        <row r="554">
          <cell r="C554" t="str">
            <v>- Waktu tempuh isi          = (L : v1) x 60</v>
          </cell>
          <cell r="G554" t="str">
            <v>T2</v>
          </cell>
          <cell r="H554">
            <v>11.633333333333333</v>
          </cell>
          <cell r="I554" t="str">
            <v>menit</v>
          </cell>
        </row>
        <row r="555">
          <cell r="C555" t="str">
            <v>- Waktu tempuh kosong   = (L : v2) x 60</v>
          </cell>
          <cell r="G555" t="str">
            <v>T3</v>
          </cell>
          <cell r="H555">
            <v>8.7249999999999996</v>
          </cell>
          <cell r="I555" t="str">
            <v>menit</v>
          </cell>
        </row>
        <row r="556">
          <cell r="C556" t="str">
            <v>- Lain-lain</v>
          </cell>
          <cell r="G556" t="str">
            <v>T4</v>
          </cell>
          <cell r="H556">
            <v>3</v>
          </cell>
          <cell r="I556" t="str">
            <v>menit</v>
          </cell>
        </row>
        <row r="557">
          <cell r="G557" t="str">
            <v>Ts2</v>
          </cell>
          <cell r="H557">
            <v>27.642135207496651</v>
          </cell>
          <cell r="I557" t="str">
            <v>menit</v>
          </cell>
        </row>
        <row r="559">
          <cell r="C559" t="str">
            <v>Kapasitas Prod. / jam =</v>
          </cell>
          <cell r="E559" t="str">
            <v>V x Fa x 60</v>
          </cell>
          <cell r="G559" t="str">
            <v>Q2</v>
          </cell>
          <cell r="H559">
            <v>6.0053247968695338</v>
          </cell>
          <cell r="I559" t="str">
            <v>M3</v>
          </cell>
        </row>
        <row r="560">
          <cell r="E560" t="str">
            <v xml:space="preserve">   Fk x Ts2</v>
          </cell>
        </row>
        <row r="562">
          <cell r="C562" t="str">
            <v>Koefisien Alat / M3</v>
          </cell>
          <cell r="D562" t="str">
            <v xml:space="preserve"> =    1 / Q2</v>
          </cell>
          <cell r="G562" t="str">
            <v>(E08)</v>
          </cell>
          <cell r="H562">
            <v>0.16651888679214849</v>
          </cell>
          <cell r="I562" t="str">
            <v>Jam</v>
          </cell>
        </row>
        <row r="564">
          <cell r="A564" t="str">
            <v>2.c.</v>
          </cell>
          <cell r="C564" t="str">
            <v>MOTOR GRADER</v>
          </cell>
          <cell r="G564" t="str">
            <v>(E13)</v>
          </cell>
        </row>
        <row r="565">
          <cell r="C565" t="str">
            <v>Panjang hamparan</v>
          </cell>
          <cell r="G565" t="str">
            <v>Lh</v>
          </cell>
          <cell r="H565">
            <v>100</v>
          </cell>
          <cell r="I565" t="str">
            <v>M</v>
          </cell>
        </row>
        <row r="566">
          <cell r="C566" t="str">
            <v>Lebar efektif kerja blade</v>
          </cell>
          <cell r="G566" t="str">
            <v>b</v>
          </cell>
          <cell r="H566">
            <v>2.4</v>
          </cell>
          <cell r="I566" t="str">
            <v>M</v>
          </cell>
        </row>
        <row r="567">
          <cell r="C567" t="str">
            <v>Faktor efisiensi alat</v>
          </cell>
          <cell r="G567" t="str">
            <v>Fa</v>
          </cell>
          <cell r="H567">
            <v>0.83</v>
          </cell>
          <cell r="I567" t="str">
            <v>-</v>
          </cell>
        </row>
        <row r="568">
          <cell r="C568" t="str">
            <v>Kecepatan rata-rata alat</v>
          </cell>
          <cell r="G568" t="str">
            <v>v</v>
          </cell>
          <cell r="H568">
            <v>4</v>
          </cell>
          <cell r="I568" t="str">
            <v>Km / Jam</v>
          </cell>
        </row>
        <row r="569">
          <cell r="C569" t="str">
            <v>Jumlah lintasan</v>
          </cell>
          <cell r="G569" t="str">
            <v>n</v>
          </cell>
          <cell r="H569">
            <v>6</v>
          </cell>
          <cell r="I569" t="str">
            <v>lintasan</v>
          </cell>
          <cell r="J569" t="str">
            <v>3 x pp</v>
          </cell>
        </row>
        <row r="570">
          <cell r="C570" t="str">
            <v>Waktu siklus</v>
          </cell>
          <cell r="G570" t="str">
            <v>Ts3</v>
          </cell>
        </row>
        <row r="571">
          <cell r="C571" t="str">
            <v>- Perataan 1 lintasan  = Lh : (v x 1000) x 60</v>
          </cell>
          <cell r="G571" t="str">
            <v>T1</v>
          </cell>
          <cell r="H571">
            <v>1.5</v>
          </cell>
          <cell r="I571" t="str">
            <v>menit</v>
          </cell>
        </row>
        <row r="572">
          <cell r="C572" t="str">
            <v>- Lain-lain</v>
          </cell>
          <cell r="G572" t="str">
            <v>T2</v>
          </cell>
          <cell r="H572">
            <v>1</v>
          </cell>
          <cell r="I572" t="str">
            <v>menit</v>
          </cell>
        </row>
        <row r="573">
          <cell r="G573" t="str">
            <v>Ts3</v>
          </cell>
          <cell r="H573">
            <v>2.5</v>
          </cell>
          <cell r="I573" t="str">
            <v>menit</v>
          </cell>
        </row>
        <row r="575">
          <cell r="C575" t="str">
            <v>Kap. Prod. / Jam  =</v>
          </cell>
          <cell r="D575" t="str">
            <v>Lh x b x t x Fa x 60</v>
          </cell>
          <cell r="G575" t="str">
            <v>Q3</v>
          </cell>
          <cell r="H575">
            <v>119.52</v>
          </cell>
          <cell r="I575" t="str">
            <v>M3</v>
          </cell>
        </row>
        <row r="576">
          <cell r="D576" t="str">
            <v>n x Ts3</v>
          </cell>
        </row>
        <row r="578">
          <cell r="C578" t="str">
            <v>Koefisien Alat / M3</v>
          </cell>
          <cell r="D578" t="str">
            <v xml:space="preserve"> =  1 / Q3</v>
          </cell>
          <cell r="G578" t="str">
            <v>(E13)</v>
          </cell>
          <cell r="H578">
            <v>8.3668005354752342E-3</v>
          </cell>
          <cell r="I578" t="str">
            <v>jam</v>
          </cell>
        </row>
        <row r="580">
          <cell r="A580" t="str">
            <v>2.d.</v>
          </cell>
          <cell r="C580" t="str">
            <v>TANDEM ROLLER</v>
          </cell>
          <cell r="G580" t="str">
            <v>(E19)</v>
          </cell>
        </row>
        <row r="581">
          <cell r="C581" t="str">
            <v>Kecepatan rata-rata alat</v>
          </cell>
          <cell r="G581" t="str">
            <v>v</v>
          </cell>
          <cell r="H581">
            <v>3</v>
          </cell>
          <cell r="I581" t="str">
            <v>Km / Jam</v>
          </cell>
        </row>
        <row r="582">
          <cell r="C582" t="str">
            <v>Lebar efektif pemadatan</v>
          </cell>
          <cell r="G582" t="str">
            <v>b</v>
          </cell>
          <cell r="H582">
            <v>1.2</v>
          </cell>
          <cell r="I582" t="str">
            <v>M</v>
          </cell>
        </row>
        <row r="583">
          <cell r="C583" t="str">
            <v>Jumlah lintasan</v>
          </cell>
          <cell r="G583" t="str">
            <v>n</v>
          </cell>
          <cell r="H583">
            <v>8</v>
          </cell>
          <cell r="I583" t="str">
            <v>lintasan</v>
          </cell>
          <cell r="J583" t="str">
            <v>4 x pp</v>
          </cell>
        </row>
        <row r="584">
          <cell r="C584" t="str">
            <v>Faktor efisiensi alat</v>
          </cell>
          <cell r="G584" t="str">
            <v>Fa</v>
          </cell>
          <cell r="H584">
            <v>0.83</v>
          </cell>
          <cell r="I584" t="str">
            <v>-</v>
          </cell>
        </row>
        <row r="586">
          <cell r="C586" t="str">
            <v xml:space="preserve">Kap. Prod. / Jam = </v>
          </cell>
          <cell r="D586" t="str">
            <v>(v x 1000) x b x t x Fa</v>
          </cell>
          <cell r="G586" t="str">
            <v>Q4</v>
          </cell>
          <cell r="H586">
            <v>56.024999999999999</v>
          </cell>
          <cell r="I586" t="str">
            <v>M3</v>
          </cell>
        </row>
        <row r="587">
          <cell r="D587" t="str">
            <v>n</v>
          </cell>
        </row>
        <row r="589">
          <cell r="C589" t="str">
            <v>Koefisien Alat / M3</v>
          </cell>
          <cell r="D589" t="str">
            <v xml:space="preserve"> = 1/ Q4</v>
          </cell>
          <cell r="G589" t="str">
            <v>(E19)</v>
          </cell>
          <cell r="H589">
            <v>1.7849174475680501E-2</v>
          </cell>
          <cell r="I589" t="str">
            <v>Jam</v>
          </cell>
        </row>
        <row r="591">
          <cell r="A591" t="str">
            <v>2.e.</v>
          </cell>
          <cell r="C591" t="str">
            <v>PNEUMATIC TIRE ROLLER</v>
          </cell>
          <cell r="G591" t="str">
            <v>(E18)</v>
          </cell>
        </row>
        <row r="592">
          <cell r="C592" t="str">
            <v>Kecepatan rata-rata alat</v>
          </cell>
          <cell r="G592" t="str">
            <v>v</v>
          </cell>
          <cell r="H592">
            <v>5</v>
          </cell>
          <cell r="I592" t="str">
            <v>Km / Jam</v>
          </cell>
        </row>
        <row r="593">
          <cell r="C593" t="str">
            <v>Lebar efektif pemadatan</v>
          </cell>
          <cell r="G593" t="str">
            <v>b</v>
          </cell>
          <cell r="H593">
            <v>1.5</v>
          </cell>
          <cell r="I593" t="str">
            <v>M</v>
          </cell>
        </row>
        <row r="594">
          <cell r="C594" t="str">
            <v>Jumlah lintasan</v>
          </cell>
          <cell r="G594" t="str">
            <v>n</v>
          </cell>
          <cell r="H594">
            <v>8</v>
          </cell>
          <cell r="I594" t="str">
            <v>lintasan</v>
          </cell>
          <cell r="J594" t="str">
            <v>4 x pp</v>
          </cell>
        </row>
        <row r="595">
          <cell r="C595" t="str">
            <v>Faktor efisiensi alat</v>
          </cell>
          <cell r="G595" t="str">
            <v>Fa</v>
          </cell>
          <cell r="H595">
            <v>0.83</v>
          </cell>
          <cell r="I595" t="str">
            <v>-</v>
          </cell>
        </row>
        <row r="598">
          <cell r="J598" t="str">
            <v>Berlanjut ke halaman berikut</v>
          </cell>
        </row>
        <row r="599">
          <cell r="A599" t="str">
            <v>ITEM PEMBAYARAN NO.</v>
          </cell>
          <cell r="D599" t="str">
            <v>:  4.2 (3)</v>
          </cell>
          <cell r="J599" t="str">
            <v>Analisa EI-423</v>
          </cell>
        </row>
        <row r="600">
          <cell r="A600" t="str">
            <v>JENIS PEKERJAAN</v>
          </cell>
          <cell r="D600" t="str">
            <v>:  Lapis Pondasi Semen Tanah</v>
          </cell>
        </row>
        <row r="601">
          <cell r="A601" t="str">
            <v>SATUAN PEMBAYARAN</v>
          </cell>
          <cell r="D601" t="str">
            <v>:  M3</v>
          </cell>
          <cell r="J601" t="str">
            <v xml:space="preserve">         URAIAN ANALISA HARGA SATUAN</v>
          </cell>
        </row>
        <row r="602">
          <cell r="J602" t="str">
            <v>Lanjutan</v>
          </cell>
        </row>
        <row r="604">
          <cell r="A604" t="str">
            <v>No.</v>
          </cell>
          <cell r="C604" t="str">
            <v>U R A I A N</v>
          </cell>
          <cell r="G604" t="str">
            <v>KODE</v>
          </cell>
          <cell r="H604" t="str">
            <v>KOEF.</v>
          </cell>
          <cell r="I604" t="str">
            <v>SATUAN</v>
          </cell>
          <cell r="J604" t="str">
            <v>KETERANGAN</v>
          </cell>
        </row>
        <row r="607">
          <cell r="C607" t="str">
            <v xml:space="preserve">Kap. Prod. / Jam = </v>
          </cell>
          <cell r="D607" t="str">
            <v>(v x 1000) x b x t x Fa</v>
          </cell>
          <cell r="G607" t="str">
            <v>Q5</v>
          </cell>
          <cell r="H607">
            <v>116.71875</v>
          </cell>
          <cell r="I607" t="str">
            <v>M3</v>
          </cell>
        </row>
        <row r="608">
          <cell r="D608" t="str">
            <v>n</v>
          </cell>
        </row>
        <row r="610">
          <cell r="C610" t="str">
            <v>Koefisien Alat / M3</v>
          </cell>
          <cell r="D610" t="str">
            <v xml:space="preserve"> = 1 / Q5</v>
          </cell>
          <cell r="G610" t="str">
            <v>(E18)</v>
          </cell>
          <cell r="H610">
            <v>8.5676037483266403E-3</v>
          </cell>
          <cell r="I610" t="str">
            <v>Jam</v>
          </cell>
        </row>
        <row r="612">
          <cell r="A612" t="str">
            <v>2.e.</v>
          </cell>
          <cell r="C612" t="str">
            <v>WATER TANK TRUCK</v>
          </cell>
          <cell r="G612" t="str">
            <v>(E23)</v>
          </cell>
        </row>
        <row r="613">
          <cell r="C613" t="str">
            <v>Volume Tangki air</v>
          </cell>
          <cell r="G613" t="str">
            <v>V</v>
          </cell>
          <cell r="H613">
            <v>4</v>
          </cell>
          <cell r="I613" t="str">
            <v>M3</v>
          </cell>
        </row>
        <row r="614">
          <cell r="C614" t="str">
            <v>Kebutuhan air / M3 material padat</v>
          </cell>
          <cell r="G614" t="str">
            <v>Wc</v>
          </cell>
          <cell r="H614">
            <v>7.0000000000000007E-2</v>
          </cell>
          <cell r="I614" t="str">
            <v>M3</v>
          </cell>
        </row>
        <row r="615">
          <cell r="C615" t="str">
            <v>Pengisian tanhgki / jam</v>
          </cell>
          <cell r="G615" t="str">
            <v>n</v>
          </cell>
          <cell r="H615">
            <v>3</v>
          </cell>
          <cell r="I615" t="str">
            <v>kali</v>
          </cell>
        </row>
        <row r="616">
          <cell r="C616" t="str">
            <v>Faktor efisiensi alat</v>
          </cell>
          <cell r="G616" t="str">
            <v>Fa</v>
          </cell>
          <cell r="H616">
            <v>0.83</v>
          </cell>
          <cell r="I616" t="str">
            <v>-</v>
          </cell>
        </row>
        <row r="618">
          <cell r="C618" t="str">
            <v>Kap. Prod. / Jam  =</v>
          </cell>
          <cell r="D618" t="str">
            <v>V x n x Fa</v>
          </cell>
          <cell r="G618" t="str">
            <v>Q6</v>
          </cell>
          <cell r="H618">
            <v>142.28571428571425</v>
          </cell>
          <cell r="I618" t="str">
            <v>M3</v>
          </cell>
        </row>
        <row r="619">
          <cell r="D619" t="str">
            <v>Wc</v>
          </cell>
        </row>
        <row r="621">
          <cell r="C621" t="str">
            <v>Koefisien Alat / M3</v>
          </cell>
          <cell r="D621" t="str">
            <v xml:space="preserve">  = 1 / Q6</v>
          </cell>
          <cell r="G621" t="str">
            <v>(E23)</v>
          </cell>
          <cell r="H621">
            <v>7.0281124497991983E-3</v>
          </cell>
          <cell r="I621" t="str">
            <v>Jam</v>
          </cell>
        </row>
        <row r="623">
          <cell r="A623" t="str">
            <v>2.f.</v>
          </cell>
          <cell r="C623" t="str">
            <v>FULVI MIXER</v>
          </cell>
          <cell r="G623" t="str">
            <v>(E27)</v>
          </cell>
        </row>
        <row r="624">
          <cell r="C624" t="str">
            <v>Kecepatan rata-rata alat</v>
          </cell>
          <cell r="G624" t="str">
            <v>v</v>
          </cell>
          <cell r="H624">
            <v>2.5</v>
          </cell>
          <cell r="I624" t="str">
            <v>Km / Jam</v>
          </cell>
        </row>
        <row r="625">
          <cell r="C625" t="str">
            <v>Lebar efektif pemadatan</v>
          </cell>
          <cell r="G625" t="str">
            <v>b</v>
          </cell>
          <cell r="H625">
            <v>1</v>
          </cell>
          <cell r="I625" t="str">
            <v>M</v>
          </cell>
        </row>
        <row r="626">
          <cell r="C626" t="str">
            <v>Jumlah lintasan</v>
          </cell>
          <cell r="G626" t="str">
            <v>n</v>
          </cell>
          <cell r="H626">
            <v>6</v>
          </cell>
          <cell r="I626" t="str">
            <v>lintasan</v>
          </cell>
          <cell r="J626" t="str">
            <v>3 x pp</v>
          </cell>
        </row>
        <row r="627">
          <cell r="C627" t="str">
            <v>Faktor efisiensi alat</v>
          </cell>
          <cell r="G627" t="str">
            <v>Fa</v>
          </cell>
          <cell r="H627">
            <v>0.83</v>
          </cell>
          <cell r="I627" t="str">
            <v>-</v>
          </cell>
        </row>
        <row r="629">
          <cell r="C629" t="str">
            <v xml:space="preserve">Kap. Prod. / Jam = </v>
          </cell>
          <cell r="D629" t="str">
            <v>(v x 1000) x b x t x Fa</v>
          </cell>
          <cell r="G629" t="str">
            <v>Q7</v>
          </cell>
          <cell r="H629">
            <v>51.875</v>
          </cell>
          <cell r="I629" t="str">
            <v>M3</v>
          </cell>
        </row>
        <row r="630">
          <cell r="D630" t="str">
            <v>n</v>
          </cell>
        </row>
        <row r="632">
          <cell r="C632" t="str">
            <v>Koefisien Alat / M3</v>
          </cell>
          <cell r="D632" t="str">
            <v xml:space="preserve">  = 1 / Q7</v>
          </cell>
          <cell r="G632" t="str">
            <v>(E27)</v>
          </cell>
          <cell r="H632">
            <v>1.9277108433734941E-2</v>
          </cell>
          <cell r="I632" t="str">
            <v>Jam</v>
          </cell>
        </row>
        <row r="634">
          <cell r="A634" t="str">
            <v>2.g.</v>
          </cell>
          <cell r="C634" t="str">
            <v>ALAT BANTU</v>
          </cell>
        </row>
        <row r="635">
          <cell r="C635" t="str">
            <v>Diperlukan :</v>
          </cell>
          <cell r="J635" t="str">
            <v>Lump Sump</v>
          </cell>
        </row>
        <row r="636">
          <cell r="C636" t="str">
            <v>- Kereta dorong  = 2 buah</v>
          </cell>
        </row>
        <row r="637">
          <cell r="C637" t="str">
            <v>- Sekop             = 3 buah</v>
          </cell>
        </row>
        <row r="639">
          <cell r="A639" t="str">
            <v>3.</v>
          </cell>
          <cell r="C639" t="str">
            <v>TENAGA</v>
          </cell>
        </row>
        <row r="640">
          <cell r="C640" t="str">
            <v>Produksi menetukan : VIBRATOR ROLLER</v>
          </cell>
          <cell r="G640" t="str">
            <v>Q4</v>
          </cell>
          <cell r="H640">
            <v>56.024999999999999</v>
          </cell>
          <cell r="I640" t="str">
            <v>M3/Jam</v>
          </cell>
        </row>
        <row r="641">
          <cell r="C641" t="str">
            <v>Produksi Soil Cement / hari  = Tk x Q4</v>
          </cell>
          <cell r="G641" t="str">
            <v>Qt</v>
          </cell>
          <cell r="H641">
            <v>392.17500000000001</v>
          </cell>
          <cell r="I641" t="str">
            <v>M3</v>
          </cell>
        </row>
        <row r="642">
          <cell r="C642" t="str">
            <v>Kebutuhan tenaga  :</v>
          </cell>
        </row>
        <row r="643">
          <cell r="D643" t="str">
            <v>- Pekerja</v>
          </cell>
          <cell r="G643" t="str">
            <v>P</v>
          </cell>
          <cell r="H643">
            <v>7</v>
          </cell>
          <cell r="I643" t="str">
            <v>orang</v>
          </cell>
        </row>
        <row r="644">
          <cell r="D644" t="str">
            <v>- Mandor</v>
          </cell>
          <cell r="G644" t="str">
            <v>M</v>
          </cell>
          <cell r="H644">
            <v>1</v>
          </cell>
          <cell r="I644" t="str">
            <v>orang</v>
          </cell>
        </row>
        <row r="646">
          <cell r="C646" t="str">
            <v>Koefisien tenaga / M3  :</v>
          </cell>
        </row>
        <row r="647">
          <cell r="D647" t="str">
            <v>- Pekerja</v>
          </cell>
          <cell r="E647" t="str">
            <v xml:space="preserve">  = (Tk x P) : Qt</v>
          </cell>
          <cell r="G647" t="str">
            <v>(L01)</v>
          </cell>
          <cell r="H647">
            <v>0.12494422132976349</v>
          </cell>
          <cell r="I647" t="str">
            <v>Jam</v>
          </cell>
        </row>
        <row r="648">
          <cell r="D648" t="str">
            <v>- Mandor</v>
          </cell>
          <cell r="E648" t="str">
            <v xml:space="preserve">  = (Tk x M) : Qt</v>
          </cell>
          <cell r="G648" t="str">
            <v>(L03)</v>
          </cell>
          <cell r="H648">
            <v>1.7849174475680501E-2</v>
          </cell>
          <cell r="I648" t="str">
            <v>Jam</v>
          </cell>
        </row>
        <row r="657">
          <cell r="J657" t="str">
            <v>Berlanjut ke halaman berikut</v>
          </cell>
        </row>
        <row r="658">
          <cell r="A658" t="str">
            <v>ITEM PEMBAYARAN NO.</v>
          </cell>
          <cell r="D658" t="str">
            <v>:  4.2 (3)</v>
          </cell>
          <cell r="J658" t="str">
            <v>Analisa EI-423</v>
          </cell>
        </row>
        <row r="659">
          <cell r="A659" t="str">
            <v>JENIS PEKERJAAN</v>
          </cell>
          <cell r="D659" t="str">
            <v>:  Lapis Pondasi Semen Tanah</v>
          </cell>
        </row>
        <row r="660">
          <cell r="A660" t="str">
            <v>SATUAN PEMBAYARAN</v>
          </cell>
          <cell r="D660" t="str">
            <v>:  M3</v>
          </cell>
          <cell r="J660" t="str">
            <v xml:space="preserve">         URAIAN ANALISA HARGA SATUAN</v>
          </cell>
        </row>
        <row r="661">
          <cell r="J661" t="str">
            <v>Lanjutan</v>
          </cell>
        </row>
        <row r="663">
          <cell r="A663" t="str">
            <v>No.</v>
          </cell>
          <cell r="C663" t="str">
            <v>U R A I A N</v>
          </cell>
          <cell r="G663" t="str">
            <v>KODE</v>
          </cell>
          <cell r="H663" t="str">
            <v>KOEF.</v>
          </cell>
          <cell r="I663" t="str">
            <v>SATUAN</v>
          </cell>
          <cell r="J663" t="str">
            <v>KETERANGAN</v>
          </cell>
        </row>
        <row r="666">
          <cell r="A666" t="str">
            <v>4.</v>
          </cell>
          <cell r="C666" t="str">
            <v>HARGA DASAR SATUAN UPAH, BAHAN DAN ALAT</v>
          </cell>
        </row>
        <row r="667">
          <cell r="C667" t="str">
            <v>Lihat lampiran.</v>
          </cell>
        </row>
        <row r="670">
          <cell r="A670" t="str">
            <v>5.</v>
          </cell>
          <cell r="C670" t="str">
            <v>ANALISA HARGA SATUAN PEKERJAAN</v>
          </cell>
        </row>
        <row r="671">
          <cell r="C671" t="str">
            <v>Lihat perhitungan dalam FORMULIR STANDAR UNTUK</v>
          </cell>
        </row>
        <row r="672">
          <cell r="C672" t="str">
            <v>PEREKEMAN ANALISA MASING-MASING HARGA</v>
          </cell>
        </row>
        <row r="673">
          <cell r="C673" t="str">
            <v>SATUAN.</v>
          </cell>
        </row>
        <row r="674">
          <cell r="C674" t="str">
            <v>Didapat Harga Satuan Pekerjaan :</v>
          </cell>
        </row>
        <row r="676">
          <cell r="C676" t="str">
            <v xml:space="preserve">Rp.  </v>
          </cell>
          <cell r="D676">
            <v>79382.237928574963</v>
          </cell>
          <cell r="E676" t="str">
            <v xml:space="preserve"> / M3</v>
          </cell>
        </row>
        <row r="679">
          <cell r="A679" t="str">
            <v>6.</v>
          </cell>
          <cell r="C679" t="str">
            <v>WAKTU PELAKSANAAN YANG DIPERLUKAN</v>
          </cell>
        </row>
        <row r="680">
          <cell r="C680" t="str">
            <v>Waktu pelaksanaan</v>
          </cell>
          <cell r="D680" t="str">
            <v>:  . . . . . . .  bulan</v>
          </cell>
        </row>
        <row r="682">
          <cell r="A682" t="str">
            <v>7.</v>
          </cell>
          <cell r="C682" t="str">
            <v>VOLUME PEKERJAAN YANG DIPERLUKAN</v>
          </cell>
        </row>
        <row r="683">
          <cell r="C683" t="str">
            <v>Volume pekerjaan  :</v>
          </cell>
          <cell r="D683">
            <v>0</v>
          </cell>
          <cell r="E683" t="str">
            <v>M3</v>
          </cell>
        </row>
        <row r="897">
          <cell r="A897" t="str">
            <v>ITEM PEMBAYARAN NO.</v>
          </cell>
          <cell r="D897" t="str">
            <v>:  4.2 (6)</v>
          </cell>
          <cell r="J897" t="str">
            <v>Analisa EI-426</v>
          </cell>
          <cell r="T897" t="str">
            <v>Analisa EI-426</v>
          </cell>
        </row>
        <row r="898">
          <cell r="A898" t="str">
            <v>JENIS PEKERJAAN</v>
          </cell>
          <cell r="D898" t="str">
            <v>:  Aspal Utk. Pekerjaan Pelaburan</v>
          </cell>
        </row>
        <row r="899">
          <cell r="A899" t="str">
            <v>SATUAN PEMBAYARAN</v>
          </cell>
          <cell r="D899" t="str">
            <v>:  LITER</v>
          </cell>
          <cell r="J899" t="str">
            <v xml:space="preserve">         URAIAN ANALISA HARGA SATUAN</v>
          </cell>
          <cell r="L899" t="str">
            <v>FORMULIR STANDAR UNTUK</v>
          </cell>
        </row>
        <row r="900">
          <cell r="L900" t="str">
            <v>PEREKAMAN ANALISA MASING-MASING HARGA SATUAN</v>
          </cell>
        </row>
        <row r="901">
          <cell r="L901" t="str">
            <v/>
          </cell>
        </row>
        <row r="902">
          <cell r="A902" t="str">
            <v>No.</v>
          </cell>
          <cell r="C902" t="str">
            <v>U R A I A N</v>
          </cell>
          <cell r="G902" t="str">
            <v>KODE</v>
          </cell>
          <cell r="H902" t="str">
            <v>KOEF.</v>
          </cell>
          <cell r="I902" t="str">
            <v>SATUAN</v>
          </cell>
          <cell r="J902" t="str">
            <v>KETERANGAN</v>
          </cell>
        </row>
        <row r="904">
          <cell r="L904" t="str">
            <v>PROYEK</v>
          </cell>
          <cell r="O904" t="str">
            <v>:</v>
          </cell>
        </row>
        <row r="905">
          <cell r="A905" t="str">
            <v>I.</v>
          </cell>
          <cell r="C905" t="str">
            <v>ASUMSI</v>
          </cell>
          <cell r="L905" t="str">
            <v>No. PAKET KONTRAK</v>
          </cell>
          <cell r="O905" t="str">
            <v>:</v>
          </cell>
        </row>
        <row r="906">
          <cell r="A906">
            <v>1</v>
          </cell>
          <cell r="C906" t="str">
            <v>Menggunakan alat berat (cara mekanik)</v>
          </cell>
          <cell r="L906" t="str">
            <v>NAMA PAKET</v>
          </cell>
          <cell r="O906" t="str">
            <v>:</v>
          </cell>
        </row>
        <row r="907">
          <cell r="A907">
            <v>2</v>
          </cell>
          <cell r="C907" t="str">
            <v>Lokasi pekerjaan : sepanjang jalan</v>
          </cell>
          <cell r="L907" t="str">
            <v>PROP / KAB / KODYA</v>
          </cell>
          <cell r="O907" t="str">
            <v>:</v>
          </cell>
        </row>
        <row r="908">
          <cell r="A908">
            <v>3</v>
          </cell>
          <cell r="C908" t="str">
            <v>Jarak rata-rata Base Camp ke lokasi pekerjaan</v>
          </cell>
          <cell r="G908" t="str">
            <v>L</v>
          </cell>
          <cell r="H908">
            <v>8.7249999999999996</v>
          </cell>
          <cell r="I908" t="str">
            <v>KM</v>
          </cell>
          <cell r="L908" t="str">
            <v>ITEM PEMBAYARAN NO.</v>
          </cell>
          <cell r="O908" t="str">
            <v>:  4.2 (6)</v>
          </cell>
          <cell r="R908" t="str">
            <v>PERKIRAAN VOL. PEK.</v>
          </cell>
          <cell r="T908" t="str">
            <v>:</v>
          </cell>
          <cell r="U908">
            <v>0</v>
          </cell>
        </row>
        <row r="909">
          <cell r="A909">
            <v>4</v>
          </cell>
          <cell r="C909" t="str">
            <v>Jam kerja efektif per-hari</v>
          </cell>
          <cell r="G909" t="str">
            <v>Tk</v>
          </cell>
          <cell r="H909">
            <v>7</v>
          </cell>
          <cell r="I909" t="str">
            <v>Jam</v>
          </cell>
          <cell r="L909" t="str">
            <v>JENIS PEKERJAAN</v>
          </cell>
          <cell r="O909" t="str">
            <v>:  Aspal Utk. Pekerjaan Pelaburan</v>
          </cell>
          <cell r="R909" t="str">
            <v>TOTAL HARGA (Rp.)</v>
          </cell>
          <cell r="T909" t="str">
            <v>:</v>
          </cell>
          <cell r="U909">
            <v>0</v>
          </cell>
        </row>
        <row r="910">
          <cell r="A910">
            <v>5</v>
          </cell>
          <cell r="C910" t="str">
            <v>Faktor kehilangan bahan</v>
          </cell>
          <cell r="G910" t="str">
            <v>Fh</v>
          </cell>
          <cell r="H910">
            <v>1.1000000000000001</v>
          </cell>
          <cell r="I910" t="str">
            <v>-</v>
          </cell>
          <cell r="L910" t="str">
            <v>SATUAN PEMBAYARAN</v>
          </cell>
          <cell r="O910" t="str">
            <v>:  LITER</v>
          </cell>
          <cell r="R910" t="str">
            <v>% THD. BIAYA PROYEK</v>
          </cell>
          <cell r="T910" t="str">
            <v>:</v>
          </cell>
          <cell r="U910" t="e">
            <v>#DIV/0!</v>
          </cell>
        </row>
        <row r="911">
          <cell r="A911">
            <v>6</v>
          </cell>
          <cell r="C911" t="str">
            <v>Komposisi campuran  :</v>
          </cell>
        </row>
        <row r="912">
          <cell r="A912" t="str">
            <v/>
          </cell>
          <cell r="C912" t="str">
            <v>- Aspal AC - 10 atau AC - 20</v>
          </cell>
          <cell r="G912" t="str">
            <v>As</v>
          </cell>
          <cell r="H912">
            <v>95.238095238095227</v>
          </cell>
          <cell r="I912" t="str">
            <v>%</v>
          </cell>
          <cell r="J912" t="str">
            <v>100 bagian</v>
          </cell>
        </row>
        <row r="913">
          <cell r="A913" t="str">
            <v/>
          </cell>
          <cell r="C913" t="str">
            <v>- Minyak Tanah / Pencair</v>
          </cell>
          <cell r="G913" t="str">
            <v>K</v>
          </cell>
          <cell r="H913">
            <v>4.7619047619047734</v>
          </cell>
          <cell r="I913" t="str">
            <v>%</v>
          </cell>
          <cell r="J913" t="str">
            <v>5 bagian</v>
          </cell>
          <cell r="Q913" t="str">
            <v>PERKIRAAN</v>
          </cell>
          <cell r="R913" t="str">
            <v>HARGA</v>
          </cell>
          <cell r="S913" t="str">
            <v>JUMLAH</v>
          </cell>
        </row>
        <row r="914">
          <cell r="A914">
            <v>7</v>
          </cell>
          <cell r="C914" t="str">
            <v>Berat jenis bahan  :</v>
          </cell>
          <cell r="L914" t="str">
            <v>NO.</v>
          </cell>
          <cell r="N914" t="str">
            <v>KOMPONEN</v>
          </cell>
          <cell r="P914" t="str">
            <v>SATUAN</v>
          </cell>
          <cell r="Q914" t="str">
            <v>KUANTITAS</v>
          </cell>
          <cell r="R914" t="str">
            <v>SATUAN</v>
          </cell>
          <cell r="S914" t="str">
            <v>HARGA</v>
          </cell>
        </row>
        <row r="915">
          <cell r="C915" t="str">
            <v>- Aspal AC - 10 atau AC - 20</v>
          </cell>
          <cell r="G915" t="str">
            <v>D1</v>
          </cell>
          <cell r="H915">
            <v>1.05</v>
          </cell>
          <cell r="I915" t="str">
            <v>Kg / Ltr</v>
          </cell>
          <cell r="R915" t="str">
            <v>(Rp.)</v>
          </cell>
          <cell r="S915" t="str">
            <v>(Rp.)</v>
          </cell>
        </row>
        <row r="916">
          <cell r="C916" t="str">
            <v>- Minyak Tanah / Pencair</v>
          </cell>
          <cell r="G916" t="str">
            <v>D2</v>
          </cell>
          <cell r="H916">
            <v>0.8</v>
          </cell>
          <cell r="I916" t="str">
            <v>Kg / Ltr</v>
          </cell>
        </row>
        <row r="917">
          <cell r="A917">
            <v>8</v>
          </cell>
          <cell r="C917" t="str">
            <v>Bahan dasar (aspal &amp; minyak pencair) semuanya</v>
          </cell>
        </row>
        <row r="918">
          <cell r="C918" t="str">
            <v>diterima dilokasi pekerjaan</v>
          </cell>
          <cell r="L918" t="str">
            <v>A.</v>
          </cell>
          <cell r="N918" t="str">
            <v>TENAGA</v>
          </cell>
        </row>
        <row r="919">
          <cell r="A919" t="str">
            <v/>
          </cell>
          <cell r="C919" t="str">
            <v/>
          </cell>
        </row>
        <row r="920">
          <cell r="A920" t="str">
            <v>II.</v>
          </cell>
          <cell r="C920" t="str">
            <v>URUTAN KERJA</v>
          </cell>
          <cell r="L920" t="str">
            <v>1.</v>
          </cell>
          <cell r="N920" t="str">
            <v>Pekerja</v>
          </cell>
          <cell r="O920" t="str">
            <v>(L01)</v>
          </cell>
          <cell r="P920" t="str">
            <v>Jam</v>
          </cell>
          <cell r="Q920">
            <v>2.8348688873139617E-2</v>
          </cell>
          <cell r="R920">
            <v>2857.14</v>
          </cell>
          <cell r="U920">
            <v>80.996172927002121</v>
          </cell>
        </row>
        <row r="921">
          <cell r="A921">
            <v>1</v>
          </cell>
          <cell r="C921" t="str">
            <v>Aspal dan minyak tanah dicampur dan dipanaskan</v>
          </cell>
          <cell r="L921" t="str">
            <v>2.</v>
          </cell>
          <cell r="N921" t="str">
            <v>Mandor</v>
          </cell>
          <cell r="O921" t="str">
            <v>(L03)</v>
          </cell>
          <cell r="P921" t="str">
            <v>Jam</v>
          </cell>
          <cell r="Q921">
            <v>2.8348688873139618E-3</v>
          </cell>
          <cell r="R921">
            <v>3214.29</v>
          </cell>
          <cell r="U921">
            <v>9.1120907158043938</v>
          </cell>
        </row>
        <row r="922">
          <cell r="C922" t="str">
            <v>sehingga menjadi campuran aspal cair</v>
          </cell>
        </row>
        <row r="923">
          <cell r="A923">
            <v>2</v>
          </cell>
          <cell r="C923" t="str">
            <v>Permukaan yang akan dilapis dibersihkan dari debu</v>
          </cell>
        </row>
        <row r="924">
          <cell r="C924" t="str">
            <v>dan kotoran dengan Air Compresor</v>
          </cell>
          <cell r="Q924" t="str">
            <v xml:space="preserve">JUMLAH HARGA TENAGA   </v>
          </cell>
          <cell r="U924">
            <v>90.10826364280652</v>
          </cell>
        </row>
        <row r="925">
          <cell r="A925">
            <v>3</v>
          </cell>
          <cell r="C925" t="str">
            <v>Campuran aspal cair disemprotkan dengan Asphalt</v>
          </cell>
        </row>
        <row r="926">
          <cell r="C926" t="str">
            <v>Sprayer ke atas permukaan yang akan dilapis</v>
          </cell>
          <cell r="L926" t="str">
            <v>B.</v>
          </cell>
          <cell r="N926" t="str">
            <v>BAHAN</v>
          </cell>
        </row>
        <row r="927">
          <cell r="A927">
            <v>4</v>
          </cell>
          <cell r="C927" t="str">
            <v>Angkutan Aspal dan Minyak Tanah menggunakan</v>
          </cell>
          <cell r="Q927" t="str">
            <v/>
          </cell>
        </row>
        <row r="928">
          <cell r="C928" t="str">
            <v>Dump Truck</v>
          </cell>
          <cell r="L928" t="str">
            <v>1.</v>
          </cell>
          <cell r="N928" t="str">
            <v>Aspal</v>
          </cell>
          <cell r="O928" t="str">
            <v>(M10)</v>
          </cell>
          <cell r="P928" t="str">
            <v>Kg</v>
          </cell>
          <cell r="Q928">
            <v>1.1000000000000001</v>
          </cell>
          <cell r="R928">
            <v>2086.6280000000002</v>
          </cell>
          <cell r="U928">
            <v>2295.2908000000002</v>
          </cell>
        </row>
        <row r="929">
          <cell r="L929" t="str">
            <v>2.</v>
          </cell>
          <cell r="N929" t="str">
            <v>Minyak Tanah</v>
          </cell>
          <cell r="O929" t="str">
            <v>(M11)</v>
          </cell>
          <cell r="P929" t="str">
            <v>Liter</v>
          </cell>
          <cell r="Q929">
            <v>5.2380952380952514E-2</v>
          </cell>
          <cell r="R929">
            <v>1650</v>
          </cell>
          <cell r="U929">
            <v>86.428571428571644</v>
          </cell>
        </row>
        <row r="930">
          <cell r="A930" t="str">
            <v>III.</v>
          </cell>
          <cell r="C930" t="str">
            <v>PEMAKAIAN BAHAN, ALAT DAN TENAGA</v>
          </cell>
        </row>
        <row r="932">
          <cell r="A932" t="str">
            <v xml:space="preserve">   1.</v>
          </cell>
          <cell r="C932" t="str">
            <v>BAHAN</v>
          </cell>
        </row>
        <row r="933">
          <cell r="C933" t="str">
            <v>Untuk mendapatkan 1 liter Lapis resap Pengikat</v>
          </cell>
        </row>
        <row r="934">
          <cell r="C934" t="str">
            <v>diperlukan :</v>
          </cell>
          <cell r="D934" t="str">
            <v>(1 liter x Fh)</v>
          </cell>
          <cell r="G934" t="str">
            <v>Pc</v>
          </cell>
          <cell r="H934">
            <v>1.1000000000000001</v>
          </cell>
          <cell r="I934" t="str">
            <v>liter</v>
          </cell>
          <cell r="J934" t="str">
            <v>Campuran</v>
          </cell>
          <cell r="Q934" t="str">
            <v xml:space="preserve">JUMLAH HARGA BAHAN   </v>
          </cell>
          <cell r="U934">
            <v>2381.7193714285718</v>
          </cell>
        </row>
        <row r="936">
          <cell r="C936" t="str">
            <v>Aspal</v>
          </cell>
          <cell r="D936" t="str">
            <v>= As x Pc x D1 : 100</v>
          </cell>
          <cell r="G936" t="str">
            <v>(M10)</v>
          </cell>
          <cell r="H936">
            <v>1.1000000000000001</v>
          </cell>
          <cell r="I936" t="str">
            <v>Kg</v>
          </cell>
          <cell r="L936" t="str">
            <v>C.</v>
          </cell>
          <cell r="N936" t="str">
            <v>PERALATAN</v>
          </cell>
        </row>
        <row r="937">
          <cell r="C937" t="str">
            <v>Minyak Tanah</v>
          </cell>
          <cell r="D937" t="str">
            <v>= K x Pc : 100</v>
          </cell>
          <cell r="G937" t="str">
            <v>(M11)</v>
          </cell>
          <cell r="H937">
            <v>5.2380952380952514E-2</v>
          </cell>
          <cell r="I937" t="str">
            <v>liter</v>
          </cell>
        </row>
        <row r="938">
          <cell r="L938" t="str">
            <v>1.</v>
          </cell>
          <cell r="N938" t="str">
            <v>Asphalt Sprayer  (E03)</v>
          </cell>
          <cell r="P938" t="str">
            <v>Jam</v>
          </cell>
          <cell r="Q938">
            <v>2.8348688873139618E-3</v>
          </cell>
          <cell r="R938">
            <v>30575.535383788432</v>
          </cell>
          <cell r="U938">
            <v>86.677633972468982</v>
          </cell>
        </row>
        <row r="939">
          <cell r="A939" t="str">
            <v>2.</v>
          </cell>
          <cell r="C939" t="str">
            <v>ALAT</v>
          </cell>
          <cell r="L939" t="str">
            <v>2.</v>
          </cell>
          <cell r="N939" t="str">
            <v>Air Compresor    (E05)</v>
          </cell>
          <cell r="P939" t="str">
            <v>Jam</v>
          </cell>
          <cell r="Q939">
            <v>1.7857142857142857E-3</v>
          </cell>
          <cell r="R939">
            <v>53840.365312835944</v>
          </cell>
          <cell r="U939">
            <v>96.143509487207041</v>
          </cell>
        </row>
        <row r="940">
          <cell r="A940" t="str">
            <v>2.a.</v>
          </cell>
          <cell r="C940" t="str">
            <v>APHALT SPRAYER</v>
          </cell>
          <cell r="G940" t="str">
            <v>(E03)</v>
          </cell>
          <cell r="L940" t="str">
            <v>3.</v>
          </cell>
          <cell r="N940" t="str">
            <v>Dump Truck</v>
          </cell>
          <cell r="O940" t="str">
            <v>(E08)</v>
          </cell>
          <cell r="P940" t="str">
            <v>Jam</v>
          </cell>
          <cell r="Q940">
            <v>2.8348688873139618E-3</v>
          </cell>
          <cell r="R940">
            <v>153645.58193291764</v>
          </cell>
          <cell r="U940">
            <v>435.56507989487642</v>
          </cell>
        </row>
        <row r="941">
          <cell r="C941" t="str">
            <v>Kapasitas alat</v>
          </cell>
          <cell r="G941" t="str">
            <v>V</v>
          </cell>
          <cell r="H941">
            <v>850</v>
          </cell>
          <cell r="I941" t="str">
            <v>liter</v>
          </cell>
        </row>
        <row r="942">
          <cell r="C942" t="str">
            <v>Faktor Efisiensi Alat</v>
          </cell>
          <cell r="G942" t="str">
            <v>Fa</v>
          </cell>
          <cell r="H942">
            <v>0.83</v>
          </cell>
          <cell r="I942" t="str">
            <v>-</v>
          </cell>
        </row>
        <row r="943">
          <cell r="C943" t="str">
            <v>Waktu Siklus (termasuk proses pemanasan)</v>
          </cell>
          <cell r="G943" t="str">
            <v>Ts</v>
          </cell>
          <cell r="H943">
            <v>2</v>
          </cell>
          <cell r="I943" t="str">
            <v>Jam</v>
          </cell>
        </row>
        <row r="945">
          <cell r="C945" t="str">
            <v>Kap.Prod. / jam =</v>
          </cell>
          <cell r="D945" t="str">
            <v>V x Fa</v>
          </cell>
          <cell r="G945" t="str">
            <v>Q1</v>
          </cell>
          <cell r="H945">
            <v>352.75</v>
          </cell>
          <cell r="I945" t="str">
            <v>liter</v>
          </cell>
        </row>
        <row r="946">
          <cell r="D946" t="str">
            <v>Ts</v>
          </cell>
          <cell r="Q946" t="str">
            <v xml:space="preserve">JUMLAH HARGA PERALATAN   </v>
          </cell>
          <cell r="U946">
            <v>618.38622335455238</v>
          </cell>
        </row>
        <row r="947">
          <cell r="C947" t="str">
            <v>Koefisien Alat / Ltr</v>
          </cell>
          <cell r="D947" t="str">
            <v xml:space="preserve"> = 1 : Q1</v>
          </cell>
          <cell r="G947" t="str">
            <v>(E03)</v>
          </cell>
          <cell r="H947">
            <v>2.8348688873139618E-3</v>
          </cell>
          <cell r="I947" t="str">
            <v>Jam</v>
          </cell>
        </row>
        <row r="948">
          <cell r="L948" t="str">
            <v>D.</v>
          </cell>
          <cell r="N948" t="str">
            <v>JUMLAH HARGA TENAGA, BAHAN DAN PERALATAN  ( A + B + C )</v>
          </cell>
          <cell r="U948">
            <v>3090.2138584259305</v>
          </cell>
        </row>
        <row r="949">
          <cell r="A949" t="str">
            <v>2.b.</v>
          </cell>
          <cell r="C949" t="str">
            <v>AIR COMPRESOR</v>
          </cell>
          <cell r="G949" t="str">
            <v>(E05)</v>
          </cell>
          <cell r="L949" t="str">
            <v>E.</v>
          </cell>
          <cell r="N949" t="str">
            <v>OVERHEAD &amp; PROFIT</v>
          </cell>
          <cell r="P949">
            <v>10</v>
          </cell>
          <cell r="Q949" t="str">
            <v>%  x  D</v>
          </cell>
          <cell r="U949">
            <v>309.02138584259308</v>
          </cell>
        </row>
        <row r="950">
          <cell r="C950" t="str">
            <v>Kapasitas Alat ------&gt;&gt;  diambil</v>
          </cell>
          <cell r="G950" t="str">
            <v>V</v>
          </cell>
          <cell r="H950">
            <v>700</v>
          </cell>
          <cell r="I950" t="str">
            <v>M2 / Jam</v>
          </cell>
          <cell r="L950" t="str">
            <v>F.</v>
          </cell>
          <cell r="N950" t="str">
            <v>HARGA SATUAN PEKERJAAN  ( D + E )</v>
          </cell>
          <cell r="U950">
            <v>3399.2352442685237</v>
          </cell>
        </row>
        <row r="951">
          <cell r="C951" t="str">
            <v>Aplikasi rata-rata</v>
          </cell>
          <cell r="G951" t="str">
            <v>Ap</v>
          </cell>
          <cell r="H951">
            <v>0.8</v>
          </cell>
          <cell r="I951" t="str">
            <v>liter / M2</v>
          </cell>
          <cell r="L951" t="str">
            <v>Note: 1</v>
          </cell>
          <cell r="N951" t="str">
            <v>SATUAN dapat berdasarkan atas jam operasi untuk Tenaga Kerja dan Peralatan, volume dan/atau ukuran</v>
          </cell>
        </row>
        <row r="952">
          <cell r="N952" t="str">
            <v>berat untuk bahan-bahan.</v>
          </cell>
        </row>
        <row r="953">
          <cell r="C953" t="str">
            <v xml:space="preserve">Kap. Prod. / jam = </v>
          </cell>
          <cell r="D953" t="str">
            <v>(V x Ap)</v>
          </cell>
          <cell r="G953" t="str">
            <v>Q2</v>
          </cell>
          <cell r="H953">
            <v>560</v>
          </cell>
          <cell r="I953" t="str">
            <v>liter</v>
          </cell>
          <cell r="L953">
            <v>2</v>
          </cell>
          <cell r="N953" t="str">
            <v>Kuantitas satuan adalah kuantitas setiap komponen untuk menyelesaikan satu satuan pekerjaan dari nomor</v>
          </cell>
        </row>
        <row r="954">
          <cell r="N954" t="str">
            <v>mata pembayaran.</v>
          </cell>
        </row>
        <row r="955">
          <cell r="C955" t="str">
            <v>Koefisien Alat / Ltr</v>
          </cell>
          <cell r="D955" t="str">
            <v xml:space="preserve"> = 1 : Q2</v>
          </cell>
          <cell r="G955" t="str">
            <v>(E05)</v>
          </cell>
          <cell r="H955">
            <v>1.7857142857142857E-3</v>
          </cell>
          <cell r="I955" t="str">
            <v>Jam</v>
          </cell>
          <cell r="L955">
            <v>3</v>
          </cell>
          <cell r="N955" t="str">
            <v>Biaya satuan untuk peralatan sudah termasuk bahan bakar, bahan habis dipakai dan operator.</v>
          </cell>
        </row>
        <row r="956">
          <cell r="L956">
            <v>4</v>
          </cell>
          <cell r="N956" t="str">
            <v>Biaya satuan sudah termasuk pengeluaran untuk seluruh pajak yang berkaitan (tetapi tidak termasuk PPN</v>
          </cell>
        </row>
        <row r="957">
          <cell r="J957" t="str">
            <v>Berlanjut ke halaman berikut</v>
          </cell>
          <cell r="N957" t="str">
            <v>yang dibayar dari kontrak) dan biaya-biaya lainnya.</v>
          </cell>
        </row>
        <row r="958">
          <cell r="A958" t="str">
            <v>ITEM PEMBAYARAN NO.</v>
          </cell>
          <cell r="D958" t="str">
            <v>:  4.2 (6)</v>
          </cell>
          <cell r="J958" t="str">
            <v>Analisa EI-426</v>
          </cell>
        </row>
        <row r="959">
          <cell r="A959" t="str">
            <v xml:space="preserve">JENIS PEKERJAAN                                  </v>
          </cell>
          <cell r="D959" t="str">
            <v>:  Aspal Utk. Pekerjaan Pelaburan</v>
          </cell>
        </row>
        <row r="960">
          <cell r="A960" t="str">
            <v>SATUAN PEMBAYARAN</v>
          </cell>
          <cell r="D960" t="str">
            <v>:  LITER</v>
          </cell>
          <cell r="J960" t="str">
            <v xml:space="preserve">         URAIAN ANALISA HARGA SATUAN</v>
          </cell>
        </row>
        <row r="961">
          <cell r="J961" t="str">
            <v>Lanjutan</v>
          </cell>
        </row>
        <row r="963">
          <cell r="A963" t="str">
            <v>No.</v>
          </cell>
          <cell r="C963" t="str">
            <v>U R A I A N</v>
          </cell>
          <cell r="G963" t="str">
            <v>KODE</v>
          </cell>
          <cell r="H963" t="str">
            <v>KOEF.</v>
          </cell>
          <cell r="I963" t="str">
            <v>SATUAN</v>
          </cell>
          <cell r="J963" t="str">
            <v>KETERANGAN</v>
          </cell>
        </row>
        <row r="966">
          <cell r="A966" t="str">
            <v>2.c.</v>
          </cell>
          <cell r="C966" t="str">
            <v>DUMP TRUCK (DT)</v>
          </cell>
          <cell r="G966" t="str">
            <v>(E08)</v>
          </cell>
        </row>
        <row r="967">
          <cell r="C967" t="str">
            <v>Sebagai alat pengangkut bahan dilokasi pekerjaan</v>
          </cell>
        </row>
        <row r="968">
          <cell r="C968" t="str">
            <v>Dump Truck melayani alat Asphalt Sprayer.</v>
          </cell>
        </row>
        <row r="969">
          <cell r="C969" t="str">
            <v>Kap.Prod. / jam = sama dengan Asphalt Sprayer</v>
          </cell>
          <cell r="G969" t="str">
            <v>Q3</v>
          </cell>
          <cell r="H969">
            <v>352.75</v>
          </cell>
          <cell r="I969" t="str">
            <v>liter</v>
          </cell>
        </row>
        <row r="971">
          <cell r="C971" t="str">
            <v>Koefisien Alat / Ltr</v>
          </cell>
          <cell r="D971" t="str">
            <v xml:space="preserve"> = 1 : Q3</v>
          </cell>
          <cell r="G971" t="str">
            <v>(E08)</v>
          </cell>
          <cell r="H971">
            <v>2.8348688873139618E-3</v>
          </cell>
          <cell r="I971" t="str">
            <v>Jam</v>
          </cell>
        </row>
        <row r="973">
          <cell r="A973" t="str">
            <v>3.</v>
          </cell>
          <cell r="C973" t="str">
            <v>TENAGA</v>
          </cell>
        </row>
        <row r="974">
          <cell r="C974" t="str">
            <v>Produksi menentukan : ASPHALT SPRAYER</v>
          </cell>
          <cell r="G974" t="str">
            <v>Q1</v>
          </cell>
          <cell r="H974">
            <v>352.75</v>
          </cell>
          <cell r="I974" t="str">
            <v>Ltr/Jam</v>
          </cell>
        </row>
        <row r="975">
          <cell r="C975" t="str">
            <v>Produksi / hari  =  Tk x Q1</v>
          </cell>
          <cell r="G975" t="str">
            <v>Qt</v>
          </cell>
          <cell r="H975">
            <v>2469.25</v>
          </cell>
          <cell r="I975" t="str">
            <v>Liter</v>
          </cell>
        </row>
        <row r="976">
          <cell r="C976" t="str">
            <v>Kebutuhan tenaga :</v>
          </cell>
        </row>
        <row r="977">
          <cell r="D977" t="str">
            <v>- Pekerja</v>
          </cell>
          <cell r="G977" t="str">
            <v>P</v>
          </cell>
          <cell r="H977">
            <v>10</v>
          </cell>
          <cell r="I977" t="str">
            <v>orang</v>
          </cell>
        </row>
        <row r="978">
          <cell r="D978" t="str">
            <v>- Mandor</v>
          </cell>
          <cell r="G978" t="str">
            <v>M</v>
          </cell>
          <cell r="H978">
            <v>1</v>
          </cell>
          <cell r="I978" t="str">
            <v>orang</v>
          </cell>
        </row>
        <row r="980">
          <cell r="C980" t="str">
            <v>Koefisien Tenaga / Ltr     :</v>
          </cell>
        </row>
        <row r="981">
          <cell r="D981" t="str">
            <v>- Pekerja</v>
          </cell>
          <cell r="E981" t="str">
            <v>= (Tk x P) / Qt</v>
          </cell>
          <cell r="G981" t="str">
            <v>(L01)</v>
          </cell>
          <cell r="H981">
            <v>2.8348688873139617E-2</v>
          </cell>
          <cell r="I981" t="str">
            <v>Jam</v>
          </cell>
        </row>
        <row r="982">
          <cell r="D982" t="str">
            <v>- Mandor</v>
          </cell>
          <cell r="E982" t="str">
            <v>= (Tk x M) / Qt</v>
          </cell>
          <cell r="G982" t="str">
            <v>(L03)</v>
          </cell>
          <cell r="H982">
            <v>2.8348688873139618E-3</v>
          </cell>
          <cell r="I982" t="str">
            <v>Jam</v>
          </cell>
        </row>
        <row r="984">
          <cell r="A984" t="str">
            <v>4.</v>
          </cell>
          <cell r="C984" t="str">
            <v>HARGA DASAR SATUAN UPAH, BAHAN DAN ALAT</v>
          </cell>
        </row>
        <row r="985">
          <cell r="C985" t="str">
            <v>Lihat lampiran.</v>
          </cell>
        </row>
        <row r="987">
          <cell r="A987" t="str">
            <v>5.</v>
          </cell>
          <cell r="C987" t="str">
            <v>ANALISA HARGA SATUAN PEKERJAAN</v>
          </cell>
        </row>
        <row r="988">
          <cell r="C988" t="str">
            <v>Lihat perhitungan dalam FORMULIR STANDAR UNTUK</v>
          </cell>
        </row>
        <row r="989">
          <cell r="C989" t="str">
            <v>PEREKEMAN ANALISA MASING-MASING HARGA</v>
          </cell>
        </row>
        <row r="990">
          <cell r="C990" t="str">
            <v>SATUAN.</v>
          </cell>
        </row>
        <row r="991">
          <cell r="C991" t="str">
            <v>Didapat Harga Satuan Pekerjaan :</v>
          </cell>
        </row>
        <row r="993">
          <cell r="C993" t="str">
            <v xml:space="preserve">Rp.  </v>
          </cell>
          <cell r="D993">
            <v>3399.2352442685237</v>
          </cell>
          <cell r="E993" t="str">
            <v xml:space="preserve"> / Liter</v>
          </cell>
        </row>
        <row r="996">
          <cell r="A996" t="str">
            <v>6.</v>
          </cell>
          <cell r="C996" t="str">
            <v>WAKTU PELAKSANAAN YANG DIPERLUKAN</v>
          </cell>
        </row>
        <row r="997">
          <cell r="C997" t="str">
            <v>Waktu pelaksanaan</v>
          </cell>
          <cell r="D997" t="str">
            <v>:  . . . . . . .  bulan</v>
          </cell>
        </row>
        <row r="999">
          <cell r="A999" t="str">
            <v>7.</v>
          </cell>
          <cell r="C999" t="str">
            <v>VOLUME PEKERJAAN YANG DIPERLUKAN</v>
          </cell>
        </row>
        <row r="1000">
          <cell r="C1000" t="str">
            <v>Volume pekerjaan  :</v>
          </cell>
          <cell r="D1000">
            <v>0</v>
          </cell>
          <cell r="E1000" t="str">
            <v>Liter</v>
          </cell>
        </row>
        <row r="1015">
          <cell r="C1015" t="str">
            <v/>
          </cell>
        </row>
        <row r="1017">
          <cell r="A1017" t="str">
            <v>ITEM PEMBAYARAN NO.</v>
          </cell>
          <cell r="D1017" t="str">
            <v>:  4.2 (7)</v>
          </cell>
          <cell r="J1017" t="str">
            <v>Analisa EI-427</v>
          </cell>
          <cell r="T1017" t="str">
            <v>Analisa EI-427</v>
          </cell>
        </row>
        <row r="1018">
          <cell r="A1018" t="str">
            <v>JENIS PEKERJAAN</v>
          </cell>
          <cell r="D1018" t="str">
            <v>:  Lapis Resap Pengikat</v>
          </cell>
        </row>
        <row r="1019">
          <cell r="A1019" t="str">
            <v>SATUAN PEMBAYARAN</v>
          </cell>
          <cell r="D1019" t="str">
            <v>:  LITER</v>
          </cell>
          <cell r="J1019" t="str">
            <v xml:space="preserve">         URAIAN ANALISA HARGA SATUAN</v>
          </cell>
          <cell r="L1019" t="str">
            <v>FORMULIR STANDAR UNTUK</v>
          </cell>
        </row>
        <row r="1020">
          <cell r="L1020" t="str">
            <v>PEREKAMAN ANALISA MASING-MASING HARGA SATUAN</v>
          </cell>
        </row>
        <row r="1021">
          <cell r="L1021" t="str">
            <v/>
          </cell>
        </row>
        <row r="1022">
          <cell r="A1022" t="str">
            <v>No.</v>
          </cell>
          <cell r="C1022" t="str">
            <v>U R A I A N</v>
          </cell>
          <cell r="G1022" t="str">
            <v>KODE</v>
          </cell>
          <cell r="H1022" t="str">
            <v>KOEF.</v>
          </cell>
          <cell r="I1022" t="str">
            <v>SATUAN</v>
          </cell>
          <cell r="J1022" t="str">
            <v>KETERANGAN</v>
          </cell>
        </row>
        <row r="1024">
          <cell r="L1024" t="str">
            <v>PROYEK</v>
          </cell>
          <cell r="O1024" t="str">
            <v>:</v>
          </cell>
        </row>
        <row r="1025">
          <cell r="A1025" t="str">
            <v>I.</v>
          </cell>
          <cell r="C1025" t="str">
            <v>ASUMSI</v>
          </cell>
          <cell r="L1025" t="str">
            <v>No. PAKET KONTRAK</v>
          </cell>
          <cell r="O1025" t="str">
            <v>:</v>
          </cell>
        </row>
        <row r="1026">
          <cell r="A1026">
            <v>1</v>
          </cell>
          <cell r="C1026" t="str">
            <v>Menggunakan alat berat (cara mekanik)</v>
          </cell>
          <cell r="L1026" t="str">
            <v>NAMA PAKET</v>
          </cell>
          <cell r="O1026" t="str">
            <v>:</v>
          </cell>
        </row>
        <row r="1027">
          <cell r="A1027">
            <v>2</v>
          </cell>
          <cell r="C1027" t="str">
            <v>Lokasi pekerjaan : sepanjang jalan</v>
          </cell>
          <cell r="L1027" t="str">
            <v>PROP / KAB / KODYA</v>
          </cell>
          <cell r="O1027" t="str">
            <v>:</v>
          </cell>
        </row>
        <row r="1028">
          <cell r="A1028">
            <v>3</v>
          </cell>
          <cell r="C1028" t="str">
            <v>Jarak rata-rata Base Camp ke lokasi pekerjaan</v>
          </cell>
          <cell r="G1028" t="str">
            <v>L</v>
          </cell>
          <cell r="H1028">
            <v>8.7249999999999996</v>
          </cell>
          <cell r="I1028" t="str">
            <v>KM</v>
          </cell>
          <cell r="L1028" t="str">
            <v>ITEM PEMBAYARAN NO.</v>
          </cell>
          <cell r="O1028" t="str">
            <v>:  4.2 (7)</v>
          </cell>
          <cell r="R1028" t="str">
            <v>PERKIRAAN VOL. PEK.</v>
          </cell>
          <cell r="T1028" t="str">
            <v>:</v>
          </cell>
          <cell r="U1028">
            <v>1</v>
          </cell>
        </row>
        <row r="1029">
          <cell r="A1029">
            <v>4</v>
          </cell>
          <cell r="C1029" t="str">
            <v>Jam kerja efektif per-hari</v>
          </cell>
          <cell r="G1029" t="str">
            <v>Tk</v>
          </cell>
          <cell r="H1029">
            <v>7</v>
          </cell>
          <cell r="I1029" t="str">
            <v>Jam</v>
          </cell>
          <cell r="L1029" t="str">
            <v>JENIS PEKERJAAN</v>
          </cell>
          <cell r="O1029" t="str">
            <v>:  Lapis Resap Pengikat</v>
          </cell>
          <cell r="R1029" t="str">
            <v>TOTAL HARGA (Rp.)</v>
          </cell>
          <cell r="T1029" t="str">
            <v>:</v>
          </cell>
          <cell r="U1029">
            <v>305360.27</v>
          </cell>
        </row>
        <row r="1030">
          <cell r="A1030">
            <v>5</v>
          </cell>
          <cell r="C1030" t="str">
            <v>Faktor kehilangan bahan</v>
          </cell>
          <cell r="G1030" t="str">
            <v>Fh</v>
          </cell>
          <cell r="H1030">
            <v>1.1000000000000001</v>
          </cell>
          <cell r="I1030" t="str">
            <v>-</v>
          </cell>
          <cell r="L1030" t="str">
            <v>SATUAN PEMBAYARAN</v>
          </cell>
          <cell r="O1030" t="str">
            <v>:  LITER</v>
          </cell>
          <cell r="R1030" t="str">
            <v>% THD. BIAYA PROYEK</v>
          </cell>
          <cell r="T1030" t="str">
            <v>:</v>
          </cell>
          <cell r="U1030" t="e">
            <v>#DIV/0!</v>
          </cell>
        </row>
        <row r="1031">
          <cell r="A1031">
            <v>6</v>
          </cell>
          <cell r="C1031" t="str">
            <v>Komposisi campuran :</v>
          </cell>
        </row>
        <row r="1032">
          <cell r="C1032" t="str">
            <v>- Aspal AC-10 atau AC-20</v>
          </cell>
          <cell r="G1032" t="str">
            <v>As</v>
          </cell>
          <cell r="H1032">
            <v>56</v>
          </cell>
          <cell r="I1032" t="str">
            <v>%</v>
          </cell>
          <cell r="J1032" t="str">
            <v xml:space="preserve"> 100 bagian</v>
          </cell>
        </row>
        <row r="1033">
          <cell r="C1033" t="str">
            <v>- Minyak Flux / Pencair</v>
          </cell>
          <cell r="G1033" t="str">
            <v>K</v>
          </cell>
          <cell r="H1033">
            <v>44</v>
          </cell>
          <cell r="I1033" t="str">
            <v>%</v>
          </cell>
          <cell r="J1033" t="str">
            <v xml:space="preserve"> 80   bagian</v>
          </cell>
          <cell r="Q1033" t="str">
            <v>PERKIRAAN</v>
          </cell>
          <cell r="R1033" t="str">
            <v>HARGA</v>
          </cell>
          <cell r="S1033" t="str">
            <v>JUMLAH</v>
          </cell>
        </row>
        <row r="1034">
          <cell r="A1034">
            <v>7</v>
          </cell>
          <cell r="C1034" t="str">
            <v>Berat jenis bahan :</v>
          </cell>
          <cell r="L1034" t="str">
            <v>NO.</v>
          </cell>
          <cell r="N1034" t="str">
            <v>KOMPONEN</v>
          </cell>
          <cell r="P1034" t="str">
            <v>SATUAN</v>
          </cell>
          <cell r="Q1034" t="str">
            <v>KUANTITAS</v>
          </cell>
          <cell r="R1034" t="str">
            <v>SATUAN</v>
          </cell>
          <cell r="S1034" t="str">
            <v>HARGA</v>
          </cell>
        </row>
        <row r="1035">
          <cell r="C1035" t="str">
            <v>- Aspal AC-10 atau AC-20</v>
          </cell>
          <cell r="G1035" t="str">
            <v>D1</v>
          </cell>
          <cell r="H1035">
            <v>1.03</v>
          </cell>
          <cell r="I1035" t="str">
            <v>Kg / liter</v>
          </cell>
          <cell r="R1035" t="str">
            <v>(Rp.)</v>
          </cell>
          <cell r="S1035" t="str">
            <v>(Rp.)</v>
          </cell>
        </row>
        <row r="1036">
          <cell r="C1036" t="str">
            <v>- Minyak Flux / Pencair</v>
          </cell>
          <cell r="G1036" t="str">
            <v>D2</v>
          </cell>
          <cell r="H1036">
            <v>0.8</v>
          </cell>
          <cell r="I1036" t="str">
            <v>Kg / liter</v>
          </cell>
        </row>
        <row r="1037">
          <cell r="A1037">
            <v>8</v>
          </cell>
          <cell r="C1037" t="str">
            <v>Bahan dasar (aspal &amp; minyak pencair) semuanya</v>
          </cell>
        </row>
        <row r="1038">
          <cell r="C1038" t="str">
            <v>diterima di lokasi pekerjaan</v>
          </cell>
          <cell r="L1038" t="str">
            <v>A.</v>
          </cell>
          <cell r="N1038" t="str">
            <v>TENAGA</v>
          </cell>
        </row>
        <row r="1040">
          <cell r="A1040" t="str">
            <v>II.</v>
          </cell>
          <cell r="C1040" t="str">
            <v>URUTAN KERJA</v>
          </cell>
          <cell r="L1040" t="str">
            <v>1.</v>
          </cell>
          <cell r="N1040" t="str">
            <v>Pekerja</v>
          </cell>
          <cell r="O1040" t="str">
            <v>(L01)</v>
          </cell>
          <cell r="P1040" t="str">
            <v>Jam</v>
          </cell>
          <cell r="Q1040">
            <v>2.8348688873139617E-2</v>
          </cell>
          <cell r="R1040">
            <v>2857.14</v>
          </cell>
          <cell r="U1040">
            <v>80.996172927002121</v>
          </cell>
        </row>
        <row r="1041">
          <cell r="A1041">
            <v>1</v>
          </cell>
          <cell r="C1041" t="str">
            <v>Aspal dan Minyak Flux dicampur dan dipanaskan</v>
          </cell>
          <cell r="L1041" t="str">
            <v>2.</v>
          </cell>
          <cell r="N1041" t="str">
            <v>Mandor</v>
          </cell>
          <cell r="O1041" t="str">
            <v>(L03)</v>
          </cell>
          <cell r="P1041" t="str">
            <v>Jam</v>
          </cell>
          <cell r="Q1041">
            <v>5.6697377746279237E-3</v>
          </cell>
          <cell r="R1041">
            <v>3214.29</v>
          </cell>
          <cell r="U1041">
            <v>18.224181431608788</v>
          </cell>
        </row>
        <row r="1042">
          <cell r="C1042" t="str">
            <v>sehingga menjadi campuran aspal cair</v>
          </cell>
        </row>
        <row r="1043">
          <cell r="A1043">
            <v>2</v>
          </cell>
          <cell r="C1043" t="str">
            <v>Permukaan yang akan dilapis dibersihkan dari debu</v>
          </cell>
        </row>
        <row r="1044">
          <cell r="C1044" t="str">
            <v>dan kotoran dengan Air Compressor</v>
          </cell>
          <cell r="Q1044" t="str">
            <v xml:space="preserve">JUMLAH HARGA TENAGA   </v>
          </cell>
          <cell r="U1044">
            <v>99.220354358610905</v>
          </cell>
        </row>
        <row r="1045">
          <cell r="A1045">
            <v>3</v>
          </cell>
          <cell r="C1045" t="str">
            <v>Campuran aspal cair disemprotkan dengan Asphalt</v>
          </cell>
        </row>
        <row r="1046">
          <cell r="C1046" t="str">
            <v>Sprayer ke atas permukaan yang akan dilapis.</v>
          </cell>
          <cell r="L1046" t="str">
            <v>B.</v>
          </cell>
          <cell r="N1046" t="str">
            <v>BAHAN</v>
          </cell>
        </row>
        <row r="1047">
          <cell r="A1047">
            <v>4</v>
          </cell>
          <cell r="C1047" t="str">
            <v>Angkutan Aspal &amp; Minyak Flux menggunakan Dump</v>
          </cell>
        </row>
        <row r="1048">
          <cell r="C1048" t="str">
            <v>Truck</v>
          </cell>
          <cell r="L1048" t="str">
            <v>1.</v>
          </cell>
          <cell r="N1048" t="str">
            <v>Aspal</v>
          </cell>
          <cell r="O1048" t="str">
            <v>(M10)</v>
          </cell>
          <cell r="P1048" t="str">
            <v>Kg</v>
          </cell>
          <cell r="Q1048">
            <v>0.63448000000000015</v>
          </cell>
          <cell r="R1048">
            <v>2086.6280000000002</v>
          </cell>
          <cell r="U1048">
            <v>1323.9237334400004</v>
          </cell>
        </row>
        <row r="1049">
          <cell r="L1049" t="str">
            <v>2.</v>
          </cell>
          <cell r="N1049" t="str">
            <v>Kerosene</v>
          </cell>
          <cell r="O1049" t="str">
            <v>(M11)</v>
          </cell>
          <cell r="P1049" t="str">
            <v>liter</v>
          </cell>
          <cell r="Q1049">
            <v>0.48400000000000004</v>
          </cell>
          <cell r="R1049">
            <v>1650</v>
          </cell>
          <cell r="U1049">
            <v>798.6</v>
          </cell>
        </row>
        <row r="1050">
          <cell r="A1050" t="str">
            <v>III.</v>
          </cell>
          <cell r="C1050" t="str">
            <v>PEMAKAIAN BAHAN, ALAT DAN TENAGA</v>
          </cell>
        </row>
        <row r="1052">
          <cell r="A1052" t="str">
            <v xml:space="preserve">   1.</v>
          </cell>
          <cell r="C1052" t="str">
            <v>BAHAN</v>
          </cell>
        </row>
        <row r="1053">
          <cell r="C1053" t="str">
            <v>Untuk mendapatkan 1 liter Lapis Resap Pengikat</v>
          </cell>
        </row>
        <row r="1054">
          <cell r="C1054" t="str">
            <v>diperlukan :</v>
          </cell>
          <cell r="D1054" t="str">
            <v>( 1 liter x Fh )</v>
          </cell>
          <cell r="G1054" t="str">
            <v>PC</v>
          </cell>
          <cell r="H1054">
            <v>1.1000000000000001</v>
          </cell>
          <cell r="I1054" t="str">
            <v>liter</v>
          </cell>
          <cell r="J1054" t="str">
            <v xml:space="preserve"> Campuran</v>
          </cell>
          <cell r="Q1054" t="str">
            <v xml:space="preserve">JUMLAH HARGA BAHAN   </v>
          </cell>
          <cell r="U1054">
            <v>2122.5237334400003</v>
          </cell>
        </row>
        <row r="1056">
          <cell r="A1056" t="str">
            <v xml:space="preserve">   1.a.</v>
          </cell>
          <cell r="C1056" t="str">
            <v>Aspal</v>
          </cell>
          <cell r="D1056" t="str">
            <v>=   As x PC x D1</v>
          </cell>
          <cell r="G1056" t="str">
            <v>(M10)</v>
          </cell>
          <cell r="H1056">
            <v>0.63448000000000015</v>
          </cell>
          <cell r="I1056" t="str">
            <v>Kg.</v>
          </cell>
          <cell r="L1056" t="str">
            <v>C.</v>
          </cell>
          <cell r="N1056" t="str">
            <v>PERALATAN</v>
          </cell>
        </row>
        <row r="1057">
          <cell r="A1057" t="str">
            <v xml:space="preserve">   1.b.</v>
          </cell>
          <cell r="C1057" t="str">
            <v>Minyak Flux</v>
          </cell>
          <cell r="D1057" t="str">
            <v>=   K x PC</v>
          </cell>
          <cell r="G1057" t="str">
            <v>(M11)</v>
          </cell>
          <cell r="H1057">
            <v>0.48400000000000004</v>
          </cell>
          <cell r="I1057" t="str">
            <v>liter</v>
          </cell>
        </row>
        <row r="1058">
          <cell r="L1058" t="str">
            <v>1.</v>
          </cell>
          <cell r="N1058" t="str">
            <v>Asphalt Sprayer  (E03)</v>
          </cell>
          <cell r="P1058" t="str">
            <v>Jam</v>
          </cell>
          <cell r="Q1058">
            <v>2.8348688873139618E-3</v>
          </cell>
          <cell r="R1058">
            <v>30575.535383788432</v>
          </cell>
          <cell r="U1058">
            <v>86.677633972468982</v>
          </cell>
        </row>
        <row r="1059">
          <cell r="A1059" t="str">
            <v xml:space="preserve">   2.</v>
          </cell>
          <cell r="C1059" t="str">
            <v>ALAT</v>
          </cell>
          <cell r="L1059" t="str">
            <v>2.</v>
          </cell>
          <cell r="N1059" t="str">
            <v>Air Compresor    (E05)</v>
          </cell>
          <cell r="P1059" t="str">
            <v>Jam</v>
          </cell>
          <cell r="Q1059">
            <v>2.0833333333333333E-3</v>
          </cell>
          <cell r="R1059">
            <v>53840.365312835944</v>
          </cell>
          <cell r="U1059">
            <v>112.16742773507488</v>
          </cell>
        </row>
        <row r="1060">
          <cell r="A1060" t="str">
            <v xml:space="preserve">   2.a.</v>
          </cell>
          <cell r="C1060" t="str">
            <v>ASPHALT SPRAYER</v>
          </cell>
          <cell r="G1060" t="str">
            <v>(E03)</v>
          </cell>
          <cell r="L1060" t="str">
            <v>3.</v>
          </cell>
          <cell r="N1060" t="str">
            <v>Dump Truck</v>
          </cell>
          <cell r="O1060" t="str">
            <v>(E08)</v>
          </cell>
          <cell r="P1060" t="str">
            <v>Jam</v>
          </cell>
          <cell r="Q1060">
            <v>2.8348688873139618E-3</v>
          </cell>
          <cell r="R1060">
            <v>153645.58193291764</v>
          </cell>
          <cell r="U1060">
            <v>435.56507989487642</v>
          </cell>
        </row>
        <row r="1061">
          <cell r="C1061" t="str">
            <v>Kapasitas alat</v>
          </cell>
          <cell r="G1061" t="str">
            <v>V</v>
          </cell>
          <cell r="H1061">
            <v>850</v>
          </cell>
          <cell r="I1061" t="str">
            <v>liter</v>
          </cell>
        </row>
        <row r="1062">
          <cell r="C1062" t="str">
            <v>Faktor efisiensi alat</v>
          </cell>
          <cell r="G1062" t="str">
            <v>Fa</v>
          </cell>
          <cell r="H1062">
            <v>0.83</v>
          </cell>
          <cell r="I1062" t="str">
            <v>-</v>
          </cell>
        </row>
        <row r="1063">
          <cell r="C1063" t="str">
            <v>Waktu Siklus (termasuk proses pemanasan)</v>
          </cell>
          <cell r="G1063" t="str">
            <v>Ts</v>
          </cell>
          <cell r="H1063">
            <v>2</v>
          </cell>
          <cell r="I1063" t="str">
            <v>Jam</v>
          </cell>
        </row>
        <row r="1065">
          <cell r="C1065" t="str">
            <v>Kap. Prod. / jam =</v>
          </cell>
          <cell r="D1065" t="str">
            <v>V x Fa</v>
          </cell>
          <cell r="G1065" t="str">
            <v>Q1</v>
          </cell>
          <cell r="H1065">
            <v>352.75</v>
          </cell>
          <cell r="I1065" t="str">
            <v>liter</v>
          </cell>
        </row>
        <row r="1066">
          <cell r="D1066" t="str">
            <v>Ts</v>
          </cell>
          <cell r="Q1066" t="str">
            <v xml:space="preserve">JUMLAH HARGA PERALATAN   </v>
          </cell>
          <cell r="U1066">
            <v>634.41014160242025</v>
          </cell>
        </row>
        <row r="1067">
          <cell r="C1067" t="str">
            <v>Koefisien Alat / Ltr</v>
          </cell>
          <cell r="D1067" t="str">
            <v xml:space="preserve"> =  1  :  Q1</v>
          </cell>
          <cell r="G1067" t="str">
            <v>(E03)</v>
          </cell>
          <cell r="H1067">
            <v>2.8348688873139618E-3</v>
          </cell>
          <cell r="I1067" t="str">
            <v>Jam</v>
          </cell>
        </row>
        <row r="1068">
          <cell r="L1068" t="str">
            <v>D.</v>
          </cell>
          <cell r="N1068" t="str">
            <v>JUMLAH HARGA TENAGA, BAHAN DAN PERALATAN  ( A + B + C )</v>
          </cell>
          <cell r="U1068">
            <v>2856.1542294010314</v>
          </cell>
        </row>
        <row r="1069">
          <cell r="A1069" t="str">
            <v xml:space="preserve">   2.b.</v>
          </cell>
          <cell r="C1069" t="str">
            <v>AIR COMPRESSOR</v>
          </cell>
          <cell r="G1069" t="str">
            <v>(E05)</v>
          </cell>
          <cell r="L1069" t="str">
            <v>E.</v>
          </cell>
          <cell r="N1069" t="str">
            <v>OVERHEAD &amp; PROFIT</v>
          </cell>
          <cell r="P1069">
            <v>10</v>
          </cell>
          <cell r="Q1069" t="str">
            <v>%  x  D</v>
          </cell>
          <cell r="U1069">
            <v>285.61542294010314</v>
          </cell>
        </row>
        <row r="1070">
          <cell r="C1070" t="str">
            <v xml:space="preserve">Kapasitas alat   -----&gt;&gt;   diambil </v>
          </cell>
          <cell r="G1070" t="str">
            <v>V</v>
          </cell>
          <cell r="H1070">
            <v>600</v>
          </cell>
          <cell r="I1070" t="str">
            <v>M2 / Jam</v>
          </cell>
          <cell r="L1070" t="str">
            <v>F.</v>
          </cell>
          <cell r="N1070" t="str">
            <v>HARGA SATUAN PEKERJAAN  ( D + E )</v>
          </cell>
          <cell r="U1070">
            <v>3141.7696523411346</v>
          </cell>
        </row>
        <row r="1071">
          <cell r="C1071" t="str">
            <v>Aplikasi Lapis Resap Pengikat rata-rata (Spesifikasi)</v>
          </cell>
          <cell r="G1071" t="str">
            <v>Ap</v>
          </cell>
          <cell r="H1071">
            <v>0.8</v>
          </cell>
          <cell r="I1071" t="str">
            <v>liter / M2</v>
          </cell>
          <cell r="L1071" t="str">
            <v>Note: 1</v>
          </cell>
          <cell r="N1071" t="str">
            <v>SATUAN dapat berdasarkan atas jam operasi untuk Tenaga Kerja dan Peralatan, volume dan/atau ukuran</v>
          </cell>
        </row>
        <row r="1072">
          <cell r="N1072" t="str">
            <v>berat untuk bahan-bahan.</v>
          </cell>
        </row>
        <row r="1073">
          <cell r="C1073" t="str">
            <v>Kap. Prod. / jam =</v>
          </cell>
          <cell r="D1073" t="str">
            <v>( V x Ap )</v>
          </cell>
          <cell r="G1073" t="str">
            <v>Q2</v>
          </cell>
          <cell r="H1073">
            <v>480</v>
          </cell>
          <cell r="I1073" t="str">
            <v>liter</v>
          </cell>
          <cell r="L1073">
            <v>2</v>
          </cell>
          <cell r="N1073" t="str">
            <v>Kuantitas satuan adalah kuantitas setiap komponen untuk menyelesaikan satu satuan pekerjaan dari nomor</v>
          </cell>
        </row>
        <row r="1074">
          <cell r="N1074" t="str">
            <v>mata pembayaran.</v>
          </cell>
        </row>
        <row r="1075">
          <cell r="C1075" t="str">
            <v>Koefisien Alat / Ltr</v>
          </cell>
          <cell r="D1075" t="str">
            <v xml:space="preserve"> =  1  :  Q2</v>
          </cell>
          <cell r="G1075" t="str">
            <v>(E05)</v>
          </cell>
          <cell r="H1075">
            <v>2.0833333333333333E-3</v>
          </cell>
          <cell r="I1075" t="str">
            <v>Jam</v>
          </cell>
          <cell r="L1075">
            <v>3</v>
          </cell>
          <cell r="N1075" t="str">
            <v>Biaya satuan untuk peralatan sudah termasuk bahan bakar, bahan habis dipakai dan operator.</v>
          </cell>
        </row>
        <row r="1076">
          <cell r="L1076">
            <v>4</v>
          </cell>
          <cell r="N1076" t="str">
            <v>Biaya satuan sudah termasuk pengeluaran untuk seluruh pajak yang berkaitan (tetapi tidak termasuk PPN</v>
          </cell>
        </row>
        <row r="1077">
          <cell r="J1077" t="str">
            <v>Berlanjut ke halaman berikut</v>
          </cell>
          <cell r="N1077" t="str">
            <v>yang dibayar dari kontrak) dan biaya-biaya lainnya.</v>
          </cell>
        </row>
        <row r="1078">
          <cell r="A1078" t="str">
            <v>ITEM PEMBAYARAN NO.</v>
          </cell>
          <cell r="D1078" t="str">
            <v>:  4.2 (7)</v>
          </cell>
          <cell r="J1078" t="str">
            <v>Analisa EI-427</v>
          </cell>
        </row>
        <row r="1079">
          <cell r="A1079" t="str">
            <v>JENIS PEKERJAAN</v>
          </cell>
          <cell r="D1079" t="str">
            <v>:  Lapis Resap Pengikat</v>
          </cell>
        </row>
        <row r="1080">
          <cell r="A1080" t="str">
            <v>SATUAN PEMBAYARAN</v>
          </cell>
          <cell r="D1080" t="str">
            <v>:  LITER</v>
          </cell>
          <cell r="J1080" t="str">
            <v xml:space="preserve">         URAIAN ANALISA HARGA SATUAN</v>
          </cell>
        </row>
        <row r="1081">
          <cell r="J1081" t="str">
            <v>Lanjutan</v>
          </cell>
        </row>
        <row r="1083">
          <cell r="A1083" t="str">
            <v>No.</v>
          </cell>
          <cell r="C1083" t="str">
            <v>U R A I A N</v>
          </cell>
          <cell r="G1083" t="str">
            <v>KODE</v>
          </cell>
          <cell r="H1083" t="str">
            <v>KOEF.</v>
          </cell>
          <cell r="I1083" t="str">
            <v>SATUAN</v>
          </cell>
          <cell r="J1083" t="str">
            <v>KETERANGAN</v>
          </cell>
        </row>
        <row r="1086">
          <cell r="A1086" t="str">
            <v xml:space="preserve">   2.c.</v>
          </cell>
          <cell r="C1086" t="str">
            <v>DUMP TRUCK</v>
          </cell>
          <cell r="G1086" t="str">
            <v>(E08)</v>
          </cell>
        </row>
        <row r="1087">
          <cell r="C1087" t="str">
            <v>Sebagai alat pengangkut bahan di lokasi pekerjaan,</v>
          </cell>
        </row>
        <row r="1088">
          <cell r="C1088" t="str">
            <v>Dump Truck melayani alat Asphalt Sprayer.</v>
          </cell>
        </row>
        <row r="1089">
          <cell r="C1089" t="str">
            <v>Kap. Prod. / jam =</v>
          </cell>
          <cell r="D1089" t="str">
            <v>sama dengan Asphalt Sprayer</v>
          </cell>
          <cell r="G1089" t="str">
            <v>Q3</v>
          </cell>
          <cell r="H1089">
            <v>352.75</v>
          </cell>
          <cell r="I1089" t="str">
            <v>liter</v>
          </cell>
        </row>
        <row r="1091">
          <cell r="C1091" t="str">
            <v>Koefisien Alat / Ltr</v>
          </cell>
          <cell r="D1091" t="str">
            <v xml:space="preserve"> =  1  :  Q3</v>
          </cell>
          <cell r="G1091" t="str">
            <v>(E08)</v>
          </cell>
          <cell r="H1091">
            <v>2.8348688873139618E-3</v>
          </cell>
          <cell r="I1091" t="str">
            <v>Jam</v>
          </cell>
        </row>
        <row r="1093">
          <cell r="A1093" t="str">
            <v xml:space="preserve">   3.</v>
          </cell>
          <cell r="C1093" t="str">
            <v>TENAGA</v>
          </cell>
        </row>
        <row r="1094">
          <cell r="C1094" t="str">
            <v>Produksi menentukan : ASPHALT SPRAYER</v>
          </cell>
          <cell r="G1094" t="str">
            <v>Q4</v>
          </cell>
          <cell r="H1094">
            <v>352.75</v>
          </cell>
          <cell r="I1094" t="str">
            <v>liter</v>
          </cell>
        </row>
        <row r="1095">
          <cell r="C1095" t="str">
            <v>Produksi Lapis Resap Pengikat / hari  =  Tk x Q4</v>
          </cell>
          <cell r="G1095" t="str">
            <v>Qt</v>
          </cell>
          <cell r="H1095">
            <v>2469.25</v>
          </cell>
          <cell r="I1095" t="str">
            <v>liter</v>
          </cell>
        </row>
        <row r="1096">
          <cell r="C1096" t="str">
            <v>Kebutuhan tenaga :</v>
          </cell>
        </row>
        <row r="1097">
          <cell r="D1097" t="str">
            <v>- Pekerja</v>
          </cell>
          <cell r="G1097" t="str">
            <v>P</v>
          </cell>
          <cell r="H1097">
            <v>10</v>
          </cell>
          <cell r="I1097" t="str">
            <v>orang</v>
          </cell>
        </row>
        <row r="1098">
          <cell r="D1098" t="str">
            <v>- Mandor</v>
          </cell>
          <cell r="G1098" t="str">
            <v>M</v>
          </cell>
          <cell r="H1098">
            <v>2</v>
          </cell>
          <cell r="I1098" t="str">
            <v>orang</v>
          </cell>
        </row>
        <row r="1100">
          <cell r="C1100" t="str">
            <v>Koefisien tenaga / liter   :</v>
          </cell>
        </row>
        <row r="1101">
          <cell r="D1101" t="str">
            <v>- Pekerja</v>
          </cell>
          <cell r="E1101" t="str">
            <v>= (Tk x P) : Qt</v>
          </cell>
          <cell r="G1101" t="str">
            <v>(L01)</v>
          </cell>
          <cell r="H1101">
            <v>2.8348688873139617E-2</v>
          </cell>
          <cell r="I1101" t="str">
            <v>Jam</v>
          </cell>
        </row>
        <row r="1102">
          <cell r="D1102" t="str">
            <v>- Mandor</v>
          </cell>
          <cell r="E1102" t="str">
            <v>= (Tk x M) : Qt</v>
          </cell>
          <cell r="G1102" t="str">
            <v>(L03)</v>
          </cell>
          <cell r="H1102">
            <v>5.6697377746279237E-3</v>
          </cell>
          <cell r="I1102" t="str">
            <v>Jam</v>
          </cell>
        </row>
        <row r="1104">
          <cell r="A1104" t="str">
            <v>4.</v>
          </cell>
          <cell r="C1104" t="str">
            <v>HARGA DASAR SATUAN UPAH, BAHAN DAN ALAT</v>
          </cell>
        </row>
        <row r="1105">
          <cell r="C1105" t="str">
            <v>Lihat lampiran.</v>
          </cell>
        </row>
        <row r="1107">
          <cell r="A1107" t="str">
            <v>5.</v>
          </cell>
          <cell r="C1107" t="str">
            <v>ANALISA HARGA SATUAN PEKERJAAN</v>
          </cell>
        </row>
        <row r="1108">
          <cell r="C1108" t="str">
            <v>Lihat perhitungan dalam FORMULIR STANDAR UNTUK</v>
          </cell>
        </row>
        <row r="1109">
          <cell r="C1109" t="str">
            <v>PEREKEMAN ANALISA MASING-MASING HARGA</v>
          </cell>
        </row>
        <row r="1110">
          <cell r="C1110" t="str">
            <v>SATUAN.</v>
          </cell>
        </row>
        <row r="1111">
          <cell r="C1111" t="str">
            <v>Didapat Harga Satuan Pekerjaan :</v>
          </cell>
        </row>
        <row r="1113">
          <cell r="C1113" t="str">
            <v xml:space="preserve">Rp.  </v>
          </cell>
          <cell r="D1113">
            <v>3141.7696523411346</v>
          </cell>
          <cell r="E1113" t="str">
            <v xml:space="preserve"> / liter.</v>
          </cell>
        </row>
        <row r="1116">
          <cell r="A1116" t="str">
            <v>6.</v>
          </cell>
          <cell r="C1116" t="str">
            <v>WAKTU PELAKSANAAN YANG DIPERLUKAN</v>
          </cell>
        </row>
        <row r="1117">
          <cell r="C1117" t="str">
            <v>Waktu pelaksanaan</v>
          </cell>
          <cell r="D1117" t="str">
            <v>:  . . . . . . .  bulan</v>
          </cell>
        </row>
        <row r="1119">
          <cell r="A1119" t="str">
            <v>7.</v>
          </cell>
          <cell r="C1119" t="str">
            <v>VOLUME PEKERJAAN YANG DIPERLUKAN</v>
          </cell>
        </row>
        <row r="1120">
          <cell r="C1120" t="str">
            <v>Volume pekerjaan  :</v>
          </cell>
          <cell r="D1120">
            <v>1</v>
          </cell>
          <cell r="E1120" t="str">
            <v>Liter</v>
          </cell>
        </row>
      </sheetData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-DIV5"/>
    </sheetNames>
    <sheetDataSet>
      <sheetData sheetId="0" refreshError="1">
        <row r="1">
          <cell r="A1" t="str">
            <v>ITEM PEMBAYARAN NO.</v>
          </cell>
          <cell r="D1" t="str">
            <v>:  5.1 (1)</v>
          </cell>
          <cell r="J1" t="str">
            <v>Analisa EI-511</v>
          </cell>
          <cell r="T1" t="str">
            <v>Analisa EI-511</v>
          </cell>
        </row>
        <row r="2">
          <cell r="A2" t="str">
            <v>JENIS PEKERJAAN</v>
          </cell>
          <cell r="D2" t="str">
            <v>:  Lps. Pond. Ag. Kls. A, CBR Min 80%</v>
          </cell>
        </row>
        <row r="3">
          <cell r="A3" t="str">
            <v>SATUAN PEMBAYARAN</v>
          </cell>
          <cell r="D3" t="str">
            <v>:  M3</v>
          </cell>
          <cell r="H3" t="str">
            <v xml:space="preserve">         URAIAN ANALISA HARGA SATUAN</v>
          </cell>
          <cell r="L3" t="str">
            <v>FORMULIR STANDAR UNTUK</v>
          </cell>
        </row>
        <row r="4">
          <cell r="L4" t="str">
            <v>PEREKAMAN ANALISA MASING-MASING HARGA SATUAN</v>
          </cell>
        </row>
        <row r="5">
          <cell r="L5" t="str">
            <v/>
          </cell>
        </row>
        <row r="6">
          <cell r="A6" t="str">
            <v>No.</v>
          </cell>
          <cell r="C6" t="str">
            <v>U R A I A N</v>
          </cell>
          <cell r="G6" t="str">
            <v>KODE</v>
          </cell>
          <cell r="H6" t="str">
            <v>KOEF.</v>
          </cell>
          <cell r="I6" t="str">
            <v>SATUAN</v>
          </cell>
          <cell r="J6" t="str">
            <v>KETERANGAN</v>
          </cell>
        </row>
        <row r="8">
          <cell r="L8" t="str">
            <v>PROYEK</v>
          </cell>
          <cell r="O8" t="str">
            <v xml:space="preserve">:  </v>
          </cell>
        </row>
        <row r="9">
          <cell r="A9" t="str">
            <v>I.</v>
          </cell>
          <cell r="C9" t="str">
            <v>ASUMSI</v>
          </cell>
          <cell r="L9" t="str">
            <v>No. PAKET KONTRAK</v>
          </cell>
          <cell r="O9" t="str">
            <v xml:space="preserve">:  </v>
          </cell>
        </row>
        <row r="10">
          <cell r="A10">
            <v>1</v>
          </cell>
          <cell r="C10" t="str">
            <v>Menggunakan alat berat (cara mekanik)</v>
          </cell>
          <cell r="L10" t="str">
            <v>NAMA PAKET</v>
          </cell>
          <cell r="O10" t="str">
            <v xml:space="preserve">:  </v>
          </cell>
        </row>
        <row r="11">
          <cell r="A11">
            <v>2</v>
          </cell>
          <cell r="C11" t="str">
            <v>Lokasi pekerjaan : sepanjang jalan</v>
          </cell>
          <cell r="L11" t="str">
            <v>PROP / KAB / KODYA</v>
          </cell>
          <cell r="O11" t="str">
            <v xml:space="preserve">:  </v>
          </cell>
        </row>
        <row r="12">
          <cell r="A12">
            <v>3</v>
          </cell>
          <cell r="C12" t="str">
            <v>Kondisi existing jalan : sedang</v>
          </cell>
          <cell r="L12" t="str">
            <v>ITEM PEMBAYARAN NO.</v>
          </cell>
          <cell r="O12" t="str">
            <v>:  5.1 (1)</v>
          </cell>
          <cell r="R12" t="str">
            <v>PERKIRAAN VOL. PEK.</v>
          </cell>
          <cell r="T12" t="str">
            <v>:</v>
          </cell>
          <cell r="U12">
            <v>1</v>
          </cell>
        </row>
        <row r="13">
          <cell r="A13">
            <v>4</v>
          </cell>
          <cell r="C13" t="str">
            <v>Jarak rata-rata Base Camp ke lokasi pekerjaan</v>
          </cell>
          <cell r="G13" t="str">
            <v>L</v>
          </cell>
          <cell r="H13">
            <v>8.7249999999999996</v>
          </cell>
          <cell r="I13" t="str">
            <v>KM</v>
          </cell>
          <cell r="L13" t="str">
            <v>JENIS PEKERJAAN</v>
          </cell>
          <cell r="O13" t="str">
            <v>:  Lps. Pond. Ag. Kls. A, CBR Min 80%</v>
          </cell>
          <cell r="R13" t="str">
            <v>TOTAL HARGA</v>
          </cell>
          <cell r="T13" t="str">
            <v>:</v>
          </cell>
          <cell r="U13">
            <v>304732.36582799954</v>
          </cell>
        </row>
        <row r="14">
          <cell r="A14">
            <v>5</v>
          </cell>
          <cell r="C14" t="str">
            <v>Tebal lapis agregat padat</v>
          </cell>
          <cell r="G14" t="str">
            <v>t</v>
          </cell>
          <cell r="H14">
            <v>0.15</v>
          </cell>
          <cell r="I14" t="str">
            <v>M</v>
          </cell>
          <cell r="L14" t="str">
            <v>SATUAN PEMBAYARAN</v>
          </cell>
          <cell r="O14" t="str">
            <v>:  M3</v>
          </cell>
          <cell r="R14" t="str">
            <v>% THD. BIAYA PROYEK</v>
          </cell>
          <cell r="T14" t="str">
            <v>:</v>
          </cell>
          <cell r="U14">
            <v>7.251312267724303E-3</v>
          </cell>
        </row>
        <row r="15">
          <cell r="A15">
            <v>6</v>
          </cell>
          <cell r="C15" t="str">
            <v>Faktor kembang material (Padat-Lepas)</v>
          </cell>
          <cell r="G15" t="str">
            <v>Fk</v>
          </cell>
          <cell r="H15">
            <v>1.2</v>
          </cell>
          <cell r="I15" t="str">
            <v>-</v>
          </cell>
        </row>
        <row r="16">
          <cell r="A16">
            <v>7</v>
          </cell>
          <cell r="C16" t="str">
            <v>Jam kerja efektif per-hari</v>
          </cell>
          <cell r="G16" t="str">
            <v>Tk</v>
          </cell>
          <cell r="H16">
            <v>7</v>
          </cell>
          <cell r="I16" t="str">
            <v>jam</v>
          </cell>
        </row>
        <row r="17">
          <cell r="A17">
            <v>8</v>
          </cell>
          <cell r="C17" t="str">
            <v>Proporsi Campuran :</v>
          </cell>
          <cell r="D17" t="str">
            <v>- Agregat Kasar</v>
          </cell>
          <cell r="G17" t="str">
            <v>Ak</v>
          </cell>
          <cell r="H17">
            <v>55</v>
          </cell>
          <cell r="I17" t="str">
            <v>%</v>
          </cell>
          <cell r="J17" t="str">
            <v xml:space="preserve"> Gradasi harus</v>
          </cell>
          <cell r="Q17" t="str">
            <v>PERKIRAAN</v>
          </cell>
          <cell r="R17" t="str">
            <v>HARGA</v>
          </cell>
          <cell r="S17" t="str">
            <v>JUMLAH</v>
          </cell>
        </row>
        <row r="18">
          <cell r="D18" t="str">
            <v>- Agregat Halus</v>
          </cell>
          <cell r="G18" t="str">
            <v>Ah</v>
          </cell>
          <cell r="H18">
            <v>45</v>
          </cell>
          <cell r="I18" t="str">
            <v>%</v>
          </cell>
          <cell r="J18" t="str">
            <v xml:space="preserve"> memenuhi Spec.</v>
          </cell>
          <cell r="L18" t="str">
            <v>NO.</v>
          </cell>
          <cell r="N18" t="str">
            <v>KOMPONEN</v>
          </cell>
          <cell r="P18" t="str">
            <v>SATUAN</v>
          </cell>
          <cell r="Q18" t="str">
            <v>KUANTITAS</v>
          </cell>
          <cell r="R18" t="str">
            <v>SATUAN</v>
          </cell>
          <cell r="S18" t="str">
            <v>HARGA</v>
          </cell>
        </row>
        <row r="19">
          <cell r="A19" t="str">
            <v>II.</v>
          </cell>
          <cell r="C19" t="str">
            <v>URUTAN KERJA</v>
          </cell>
          <cell r="R19" t="str">
            <v>(Rp.)</v>
          </cell>
          <cell r="S19" t="str">
            <v>(Rp.)</v>
          </cell>
        </row>
        <row r="20">
          <cell r="A20">
            <v>1</v>
          </cell>
          <cell r="C20" t="str">
            <v>Wheel Loader mencampur dan memuat Agregat ke</v>
          </cell>
        </row>
        <row r="21">
          <cell r="C21" t="str">
            <v>dalam Dump Truck di Base Camp</v>
          </cell>
        </row>
        <row r="22">
          <cell r="A22">
            <v>2</v>
          </cell>
          <cell r="C22" t="str">
            <v>Dump Truck mengangkut Agregat ke lokasi</v>
          </cell>
          <cell r="L22" t="str">
            <v>A.</v>
          </cell>
          <cell r="N22" t="str">
            <v>TENAGA</v>
          </cell>
        </row>
        <row r="23">
          <cell r="C23" t="str">
            <v>pekerjaan dan dihampar dengan Motor Grader</v>
          </cell>
        </row>
        <row r="24">
          <cell r="A24">
            <v>3</v>
          </cell>
          <cell r="C24" t="str">
            <v>Hamparan Agregat dibasahi dengan Water Tank</v>
          </cell>
          <cell r="L24" t="str">
            <v>1.</v>
          </cell>
          <cell r="N24" t="str">
            <v>Pekerja</v>
          </cell>
          <cell r="O24" t="str">
            <v>(L01)</v>
          </cell>
          <cell r="P24" t="str">
            <v>jam</v>
          </cell>
          <cell r="Q24">
            <v>0.24988844265952695</v>
          </cell>
          <cell r="R24">
            <v>2857.14</v>
          </cell>
          <cell r="U24">
            <v>713.96626506024074</v>
          </cell>
        </row>
        <row r="25">
          <cell r="C25" t="str">
            <v>Truck sebelum dipadatkan dengan Tandem</v>
          </cell>
          <cell r="L25" t="str">
            <v>2.</v>
          </cell>
          <cell r="N25" t="str">
            <v>Mandor</v>
          </cell>
          <cell r="O25" t="str">
            <v>(L03)</v>
          </cell>
          <cell r="P25" t="str">
            <v>jam</v>
          </cell>
          <cell r="Q25">
            <v>3.5698348951360995E-2</v>
          </cell>
          <cell r="R25">
            <v>3214.29</v>
          </cell>
          <cell r="U25">
            <v>114.74484605087014</v>
          </cell>
        </row>
        <row r="26">
          <cell r="C26" t="str">
            <v>Roller dan Pneumatic Tire Roller</v>
          </cell>
        </row>
        <row r="27">
          <cell r="A27">
            <v>4</v>
          </cell>
          <cell r="C27" t="str">
            <v>Selama pemadatan, sekelompok pekerja akan</v>
          </cell>
        </row>
        <row r="28">
          <cell r="C28" t="str">
            <v>merapikan tepi hamparan dan level permukaan</v>
          </cell>
          <cell r="Q28" t="str">
            <v xml:space="preserve">JUMLAH HARGA TENAGA   </v>
          </cell>
          <cell r="U28">
            <v>828.71111111111088</v>
          </cell>
        </row>
        <row r="29">
          <cell r="C29" t="str">
            <v>dengan menggunakan Alat Bantu</v>
          </cell>
        </row>
        <row r="30">
          <cell r="A30" t="str">
            <v>III.</v>
          </cell>
          <cell r="C30" t="str">
            <v>PEMAKAIAN BAHAN, ALAT DAN TENAGA</v>
          </cell>
          <cell r="L30" t="str">
            <v>B.</v>
          </cell>
          <cell r="N30" t="str">
            <v>BAHAN</v>
          </cell>
        </row>
        <row r="32">
          <cell r="A32" t="str">
            <v xml:space="preserve">   1.</v>
          </cell>
          <cell r="C32" t="str">
            <v>BAHAN</v>
          </cell>
          <cell r="L32" t="str">
            <v>1.</v>
          </cell>
          <cell r="N32" t="str">
            <v>Agregat Kasar   (M03)</v>
          </cell>
          <cell r="P32" t="str">
            <v>M3</v>
          </cell>
          <cell r="Q32">
            <v>0.66</v>
          </cell>
          <cell r="R32">
            <v>222345.54558042376</v>
          </cell>
          <cell r="U32">
            <v>146748.06008307968</v>
          </cell>
        </row>
        <row r="33">
          <cell r="C33" t="str">
            <v>- Agregat Kasar</v>
          </cell>
          <cell r="D33" t="str">
            <v>=  Ak x 1 M3 x Fk</v>
          </cell>
          <cell r="G33" t="str">
            <v>M03</v>
          </cell>
          <cell r="H33">
            <v>0.66</v>
          </cell>
          <cell r="I33" t="str">
            <v>M3</v>
          </cell>
          <cell r="L33" t="str">
            <v>2.</v>
          </cell>
          <cell r="N33" t="str">
            <v>Agregat Halus    (M04)</v>
          </cell>
          <cell r="P33" t="str">
            <v>M3</v>
          </cell>
          <cell r="Q33">
            <v>0.54</v>
          </cell>
          <cell r="R33">
            <v>194196.70775416915</v>
          </cell>
          <cell r="U33">
            <v>104866.22218725135</v>
          </cell>
        </row>
        <row r="34">
          <cell r="C34" t="str">
            <v>- Agregat Halus</v>
          </cell>
          <cell r="D34" t="str">
            <v>=  Ah x 1 M3 x Fk</v>
          </cell>
          <cell r="G34" t="str">
            <v>M04</v>
          </cell>
          <cell r="H34">
            <v>0.54</v>
          </cell>
          <cell r="I34" t="str">
            <v>M3</v>
          </cell>
        </row>
        <row r="36">
          <cell r="A36" t="str">
            <v xml:space="preserve">   2.</v>
          </cell>
          <cell r="C36" t="str">
            <v>ALAT</v>
          </cell>
        </row>
        <row r="37">
          <cell r="A37" t="str">
            <v xml:space="preserve">   2.a.</v>
          </cell>
          <cell r="C37" t="str">
            <v>WHEEL LOADER</v>
          </cell>
          <cell r="G37" t="str">
            <v>(E15)</v>
          </cell>
        </row>
        <row r="38">
          <cell r="C38" t="str">
            <v>Kapasitas bucket</v>
          </cell>
          <cell r="G38" t="str">
            <v>V</v>
          </cell>
          <cell r="H38">
            <v>1.5</v>
          </cell>
          <cell r="I38" t="str">
            <v>M3</v>
          </cell>
          <cell r="Q38" t="str">
            <v xml:space="preserve">JUMLAH HARGA BAHAN   </v>
          </cell>
          <cell r="U38">
            <v>251614.28227033102</v>
          </cell>
        </row>
        <row r="39">
          <cell r="C39" t="str">
            <v>Faktor bucket</v>
          </cell>
          <cell r="G39" t="str">
            <v>Fb</v>
          </cell>
          <cell r="H39">
            <v>0.9</v>
          </cell>
          <cell r="I39" t="str">
            <v>-</v>
          </cell>
        </row>
        <row r="40">
          <cell r="C40" t="str">
            <v>Faktor Efisiensi alat</v>
          </cell>
          <cell r="G40" t="str">
            <v>Fa</v>
          </cell>
          <cell r="H40">
            <v>0.83</v>
          </cell>
          <cell r="I40" t="str">
            <v>-</v>
          </cell>
          <cell r="L40" t="str">
            <v>C.</v>
          </cell>
          <cell r="N40" t="str">
            <v>PERALATAN</v>
          </cell>
        </row>
        <row r="41">
          <cell r="C41" t="str">
            <v>Waktu Siklus :</v>
          </cell>
          <cell r="G41" t="str">
            <v>Ts1</v>
          </cell>
          <cell r="L41" t="str">
            <v>1.</v>
          </cell>
          <cell r="N41" t="str">
            <v>Wheel Loader</v>
          </cell>
          <cell r="O41" t="str">
            <v>(E15)</v>
          </cell>
          <cell r="P41" t="str">
            <v>jam</v>
          </cell>
          <cell r="Q41">
            <v>3.5698348951360995E-2</v>
          </cell>
          <cell r="R41">
            <v>163808.13869490434</v>
          </cell>
          <cell r="U41">
            <v>5847.680096203635</v>
          </cell>
        </row>
        <row r="42">
          <cell r="C42" t="str">
            <v>- Mencampur</v>
          </cell>
          <cell r="G42" t="str">
            <v>T1</v>
          </cell>
          <cell r="H42">
            <v>1.5</v>
          </cell>
          <cell r="I42" t="str">
            <v>menit</v>
          </cell>
          <cell r="L42" t="str">
            <v>2.</v>
          </cell>
          <cell r="N42" t="str">
            <v>Dump Truck</v>
          </cell>
          <cell r="O42" t="str">
            <v>(E09)</v>
          </cell>
          <cell r="P42" t="str">
            <v>jam</v>
          </cell>
          <cell r="Q42">
            <v>0.14542063837680036</v>
          </cell>
          <cell r="R42">
            <v>70230.073977639215</v>
          </cell>
          <cell r="U42">
            <v>10212.90219107821</v>
          </cell>
        </row>
        <row r="43">
          <cell r="C43" t="str">
            <v>- Memuat dan lain-lain</v>
          </cell>
          <cell r="G43" t="str">
            <v>T2</v>
          </cell>
          <cell r="H43">
            <v>0.5</v>
          </cell>
          <cell r="I43" t="str">
            <v>menit</v>
          </cell>
          <cell r="L43" t="str">
            <v>3.</v>
          </cell>
          <cell r="N43" t="str">
            <v>Motor Grader</v>
          </cell>
          <cell r="O43" t="str">
            <v>(E13)</v>
          </cell>
          <cell r="P43" t="str">
            <v>jam</v>
          </cell>
          <cell r="Q43">
            <v>1.1713520749665328E-2</v>
          </cell>
          <cell r="R43">
            <v>201666.62574070093</v>
          </cell>
          <cell r="U43">
            <v>2362.2262051286921</v>
          </cell>
        </row>
        <row r="44">
          <cell r="G44" t="str">
            <v>Ts1</v>
          </cell>
          <cell r="H44">
            <v>2</v>
          </cell>
          <cell r="I44" t="str">
            <v>menit</v>
          </cell>
          <cell r="L44" t="str">
            <v>4.</v>
          </cell>
          <cell r="N44" t="str">
            <v>Vibratory Roller</v>
          </cell>
          <cell r="O44" t="str">
            <v>(E19)</v>
          </cell>
          <cell r="P44" t="str">
            <v>jam</v>
          </cell>
          <cell r="Q44">
            <v>1.7849174475680501E-2</v>
          </cell>
          <cell r="R44">
            <v>234734.82748629327</v>
          </cell>
          <cell r="U44">
            <v>4189.8228913216117</v>
          </cell>
        </row>
        <row r="45">
          <cell r="L45" t="str">
            <v>5.</v>
          </cell>
          <cell r="N45" t="str">
            <v>P. Tyre Roller</v>
          </cell>
          <cell r="O45" t="str">
            <v>(E18)</v>
          </cell>
          <cell r="P45" t="str">
            <v>jam</v>
          </cell>
          <cell r="Q45">
            <v>4.2838018741633201E-3</v>
          </cell>
          <cell r="R45">
            <v>113384.24751021285</v>
          </cell>
          <cell r="U45">
            <v>485.71565198484757</v>
          </cell>
        </row>
        <row r="46">
          <cell r="C46" t="str">
            <v>Kap. Prod. / jam =</v>
          </cell>
          <cell r="D46" t="str">
            <v>V x Fb x Fa x 60</v>
          </cell>
          <cell r="G46" t="str">
            <v>Q1</v>
          </cell>
          <cell r="H46">
            <v>28.012500000000003</v>
          </cell>
          <cell r="I46" t="str">
            <v>M3</v>
          </cell>
          <cell r="L46" t="str">
            <v>6.</v>
          </cell>
          <cell r="N46" t="str">
            <v>Water Tanker</v>
          </cell>
          <cell r="O46" t="str">
            <v>(E23)</v>
          </cell>
          <cell r="P46" t="str">
            <v>jam</v>
          </cell>
          <cell r="Q46">
            <v>2.1084337349397592E-2</v>
          </cell>
          <cell r="R46">
            <v>67020.510980434308</v>
          </cell>
          <cell r="U46">
            <v>1413.0830628404826</v>
          </cell>
        </row>
        <row r="47">
          <cell r="D47" t="str">
            <v>Fk x Ts1</v>
          </cell>
          <cell r="L47" t="str">
            <v>7.</v>
          </cell>
          <cell r="N47" t="str">
            <v>Alat Bantu</v>
          </cell>
          <cell r="P47" t="str">
            <v>Ls</v>
          </cell>
          <cell r="Q47">
            <v>1</v>
          </cell>
          <cell r="R47">
            <v>75</v>
          </cell>
          <cell r="U47">
            <v>75</v>
          </cell>
        </row>
        <row r="48">
          <cell r="C48" t="str">
            <v>Koefisien Alat / M3</v>
          </cell>
          <cell r="D48" t="str">
            <v xml:space="preserve"> =  1  :  Q1</v>
          </cell>
          <cell r="G48" t="str">
            <v>(E15)</v>
          </cell>
          <cell r="H48">
            <v>3.5698348951360995E-2</v>
          </cell>
          <cell r="I48" t="str">
            <v>jam</v>
          </cell>
        </row>
        <row r="49">
          <cell r="Q49" t="str">
            <v xml:space="preserve">JUMLAH HARGA PERALATAN   </v>
          </cell>
          <cell r="U49">
            <v>24586.430098557481</v>
          </cell>
        </row>
        <row r="50">
          <cell r="A50" t="str">
            <v xml:space="preserve">   2.b.</v>
          </cell>
          <cell r="C50" t="str">
            <v>DUMP TRUCK</v>
          </cell>
          <cell r="G50" t="str">
            <v>(E09)</v>
          </cell>
        </row>
        <row r="51">
          <cell r="C51" t="str">
            <v>Kapasitas bak</v>
          </cell>
          <cell r="G51" t="str">
            <v>V</v>
          </cell>
          <cell r="H51">
            <v>6</v>
          </cell>
          <cell r="I51" t="str">
            <v>M3</v>
          </cell>
          <cell r="L51" t="str">
            <v>D.</v>
          </cell>
          <cell r="N51" t="str">
            <v>JUMLAH HARGA TENAGA, BAHAN DAN PERALATAN  ( A + B + C )</v>
          </cell>
          <cell r="U51">
            <v>277029.42347999959</v>
          </cell>
        </row>
        <row r="52">
          <cell r="C52" t="str">
            <v>Faktor Efisiensi alat</v>
          </cell>
          <cell r="G52" t="str">
            <v>Fa</v>
          </cell>
          <cell r="H52">
            <v>0.83</v>
          </cell>
          <cell r="I52" t="str">
            <v>-</v>
          </cell>
          <cell r="L52" t="str">
            <v>E.</v>
          </cell>
          <cell r="N52" t="str">
            <v>OVERHEAD &amp; PROFIT</v>
          </cell>
          <cell r="P52">
            <v>10</v>
          </cell>
          <cell r="Q52" t="str">
            <v>%  x  D</v>
          </cell>
          <cell r="U52">
            <v>27702.94234799996</v>
          </cell>
        </row>
        <row r="53">
          <cell r="C53" t="str">
            <v>Kecepatan rata-rata bermuatan</v>
          </cell>
          <cell r="G53" t="str">
            <v>v1</v>
          </cell>
          <cell r="H53">
            <v>45</v>
          </cell>
          <cell r="I53" t="str">
            <v>KM/jam</v>
          </cell>
          <cell r="L53" t="str">
            <v>F.</v>
          </cell>
          <cell r="N53" t="str">
            <v>HARGA SATUAN PEKERJAAN  ( D + E )</v>
          </cell>
          <cell r="U53">
            <v>304732.36582799954</v>
          </cell>
        </row>
        <row r="54">
          <cell r="C54" t="str">
            <v>Kecepatan rata-rata kosong</v>
          </cell>
          <cell r="G54" t="str">
            <v>v2</v>
          </cell>
          <cell r="H54">
            <v>60</v>
          </cell>
          <cell r="I54" t="str">
            <v>KM/jam</v>
          </cell>
          <cell r="L54" t="str">
            <v>Note: 1</v>
          </cell>
          <cell r="N54" t="str">
            <v>SATUAN dapat berdasarkan atas jam operasi untuk Tenaga Kerja dan Peralatan, volume dan/atau ukuran</v>
          </cell>
        </row>
        <row r="55">
          <cell r="C55" t="str">
            <v>Waktu Siklus  :  - Waktu memuat = V : Q1 x 60</v>
          </cell>
          <cell r="G55" t="str">
            <v>T1</v>
          </cell>
          <cell r="H55">
            <v>12.851405622489958</v>
          </cell>
          <cell r="I55" t="str">
            <v>menit</v>
          </cell>
          <cell r="N55" t="str">
            <v>berat untuk bahan-bahan.</v>
          </cell>
        </row>
        <row r="56">
          <cell r="C56" t="str">
            <v>- Waktu tempuh isi  =  (L : v1) x 60 menit</v>
          </cell>
          <cell r="G56" t="str">
            <v>T2</v>
          </cell>
          <cell r="H56">
            <v>11.633333333333333</v>
          </cell>
          <cell r="I56" t="str">
            <v>menit</v>
          </cell>
          <cell r="L56">
            <v>2</v>
          </cell>
          <cell r="N56" t="str">
            <v>Kuantitas satuan adalah kuantitas setiap komponen untuk menyelesaikan satu satuan pekerjaan dari nomor</v>
          </cell>
        </row>
        <row r="57">
          <cell r="C57" t="str">
            <v>- Waktu tempuh kosong  =  (L : v2) x 60 menit</v>
          </cell>
          <cell r="G57" t="str">
            <v>T3</v>
          </cell>
          <cell r="H57">
            <v>8.7249999999999996</v>
          </cell>
          <cell r="I57" t="str">
            <v>menit</v>
          </cell>
          <cell r="N57" t="str">
            <v>mata pembayaran.</v>
          </cell>
        </row>
        <row r="58">
          <cell r="C58" t="str">
            <v>- Dump dan lain-lain</v>
          </cell>
          <cell r="G58" t="str">
            <v>T4</v>
          </cell>
          <cell r="H58">
            <v>3</v>
          </cell>
          <cell r="I58" t="str">
            <v>menit</v>
          </cell>
          <cell r="L58">
            <v>3</v>
          </cell>
          <cell r="N58" t="str">
            <v>Biaya satuan untuk peralatan sudah termasuk bahan bakar, bahan habis dipakai dan operator.</v>
          </cell>
        </row>
        <row r="59">
          <cell r="G59" t="str">
            <v>Ts2</v>
          </cell>
          <cell r="H59">
            <v>36.20973895582329</v>
          </cell>
          <cell r="I59" t="str">
            <v>menit</v>
          </cell>
          <cell r="L59">
            <v>4</v>
          </cell>
          <cell r="N59" t="str">
            <v>Biaya satuan sudah termasuk pengeluaran untuk seluruh pajak yang berkaitan (tetapi tidak termasuk PPN</v>
          </cell>
        </row>
        <row r="60">
          <cell r="N60" t="str">
            <v>yang dibayar dari kontrak) dan biaya-biaya lainnya.</v>
          </cell>
        </row>
        <row r="61">
          <cell r="J61" t="str">
            <v>Berlanjut ke hal. berikut</v>
          </cell>
        </row>
        <row r="62">
          <cell r="A62" t="str">
            <v>ITEM PEMBAYARAN NO.</v>
          </cell>
          <cell r="D62" t="str">
            <v>:  5.1 (1)</v>
          </cell>
          <cell r="J62" t="str">
            <v>Analisa EI-511</v>
          </cell>
        </row>
        <row r="63">
          <cell r="A63" t="str">
            <v>JENIS PEKERJAAN</v>
          </cell>
          <cell r="D63" t="str">
            <v>:  Lps. Pond. Ag. Kls. A, CBR Min 80%</v>
          </cell>
        </row>
        <row r="64">
          <cell r="A64" t="str">
            <v>SATUAN PEMBAYARAN</v>
          </cell>
          <cell r="D64" t="str">
            <v>:  M3</v>
          </cell>
          <cell r="H64" t="str">
            <v xml:space="preserve">         URAIAN ANALISA HARGA SATUAN</v>
          </cell>
        </row>
        <row r="65">
          <cell r="J65" t="str">
            <v>Lanjutan</v>
          </cell>
        </row>
        <row r="67">
          <cell r="A67" t="str">
            <v>No.</v>
          </cell>
          <cell r="C67" t="str">
            <v>U R A I A N</v>
          </cell>
          <cell r="G67" t="str">
            <v>KODE</v>
          </cell>
          <cell r="H67" t="str">
            <v>KOEF.</v>
          </cell>
          <cell r="I67" t="str">
            <v>SATUAN</v>
          </cell>
          <cell r="J67" t="str">
            <v>KETERANGAN</v>
          </cell>
        </row>
        <row r="70">
          <cell r="C70" t="str">
            <v>Kap. Prod. / jam =</v>
          </cell>
          <cell r="D70" t="str">
            <v>V x Fa x 60</v>
          </cell>
          <cell r="G70" t="str">
            <v>Q2</v>
          </cell>
          <cell r="H70">
            <v>6.8766030129017413</v>
          </cell>
          <cell r="I70" t="str">
            <v>M3</v>
          </cell>
        </row>
        <row r="71">
          <cell r="D71" t="str">
            <v>Fk x Ts2</v>
          </cell>
        </row>
        <row r="72">
          <cell r="C72" t="str">
            <v>Koefisien Alat / M3</v>
          </cell>
          <cell r="D72" t="str">
            <v xml:space="preserve"> =  1  :  Q2</v>
          </cell>
          <cell r="G72" t="str">
            <v>(E09)</v>
          </cell>
          <cell r="H72">
            <v>0.14542063837680036</v>
          </cell>
          <cell r="I72" t="str">
            <v>jam</v>
          </cell>
        </row>
        <row r="74">
          <cell r="A74" t="str">
            <v xml:space="preserve">   2.c.</v>
          </cell>
          <cell r="C74" t="str">
            <v>MOTOR GRADER</v>
          </cell>
          <cell r="G74" t="str">
            <v>(E13)</v>
          </cell>
        </row>
        <row r="75">
          <cell r="C75" t="str">
            <v>Panjang hamparan</v>
          </cell>
          <cell r="G75" t="str">
            <v>Lh</v>
          </cell>
          <cell r="H75">
            <v>50</v>
          </cell>
          <cell r="I75" t="str">
            <v>M</v>
          </cell>
        </row>
        <row r="76">
          <cell r="C76" t="str">
            <v>Lebar efektif kerja blade</v>
          </cell>
          <cell r="G76" t="str">
            <v>b</v>
          </cell>
          <cell r="H76">
            <v>2.4</v>
          </cell>
          <cell r="I76" t="str">
            <v>M</v>
          </cell>
        </row>
        <row r="77">
          <cell r="C77" t="str">
            <v>Faktor Efisiensi alat</v>
          </cell>
          <cell r="G77" t="str">
            <v>Fa</v>
          </cell>
          <cell r="H77">
            <v>0.83</v>
          </cell>
          <cell r="I77" t="str">
            <v>-</v>
          </cell>
        </row>
        <row r="78">
          <cell r="C78" t="str">
            <v>Kecepatan rata-rata alat</v>
          </cell>
          <cell r="G78" t="str">
            <v>v</v>
          </cell>
          <cell r="H78">
            <v>4</v>
          </cell>
          <cell r="I78" t="str">
            <v>KM/jam</v>
          </cell>
        </row>
        <row r="79">
          <cell r="C79" t="str">
            <v>Jumlah lintasan</v>
          </cell>
          <cell r="G79" t="str">
            <v>n</v>
          </cell>
          <cell r="H79">
            <v>6</v>
          </cell>
          <cell r="I79" t="str">
            <v>lintasan</v>
          </cell>
          <cell r="J79" t="str">
            <v xml:space="preserve"> 3 x pp</v>
          </cell>
        </row>
        <row r="80">
          <cell r="C80" t="str">
            <v>Waktu Siklus :</v>
          </cell>
          <cell r="G80" t="str">
            <v>Ts3</v>
          </cell>
        </row>
        <row r="81">
          <cell r="C81" t="str">
            <v>- Perataan 1 lintasan  =  Lh : (v x 1000) x 60</v>
          </cell>
          <cell r="G81" t="str">
            <v>T1</v>
          </cell>
          <cell r="H81">
            <v>0.75</v>
          </cell>
          <cell r="I81" t="str">
            <v>menit</v>
          </cell>
        </row>
        <row r="82">
          <cell r="C82" t="str">
            <v>- Lain-lain</v>
          </cell>
          <cell r="G82" t="str">
            <v>T2</v>
          </cell>
          <cell r="H82">
            <v>1</v>
          </cell>
          <cell r="I82" t="str">
            <v>menit</v>
          </cell>
        </row>
        <row r="83">
          <cell r="G83" t="str">
            <v>Ts3</v>
          </cell>
          <cell r="H83">
            <v>1.75</v>
          </cell>
          <cell r="I83" t="str">
            <v>menit</v>
          </cell>
        </row>
        <row r="85">
          <cell r="C85" t="str">
            <v>Kap. Prod. / jam =</v>
          </cell>
          <cell r="D85" t="str">
            <v>Lh x b x t x Fa x 60</v>
          </cell>
          <cell r="G85" t="str">
            <v>Q3</v>
          </cell>
          <cell r="H85">
            <v>85.371428571428567</v>
          </cell>
          <cell r="I85" t="str">
            <v>M3</v>
          </cell>
        </row>
        <row r="86">
          <cell r="D86" t="str">
            <v>n x Ts3</v>
          </cell>
        </row>
        <row r="87">
          <cell r="C87" t="str">
            <v>Koefisien Alat / M3</v>
          </cell>
          <cell r="D87" t="str">
            <v xml:space="preserve"> =  1  :  Q3</v>
          </cell>
          <cell r="G87" t="str">
            <v>(E13)</v>
          </cell>
          <cell r="H87">
            <v>1.1713520749665328E-2</v>
          </cell>
          <cell r="I87" t="str">
            <v>jam</v>
          </cell>
        </row>
        <row r="89">
          <cell r="A89" t="str">
            <v xml:space="preserve">   2.d.</v>
          </cell>
          <cell r="C89" t="str">
            <v>VIBRATORY ROLLER</v>
          </cell>
          <cell r="G89" t="str">
            <v>(E19)</v>
          </cell>
        </row>
        <row r="90">
          <cell r="C90" t="str">
            <v>Kecepatan rata-rata alat</v>
          </cell>
          <cell r="G90" t="str">
            <v>v</v>
          </cell>
          <cell r="H90">
            <v>3</v>
          </cell>
          <cell r="I90" t="str">
            <v>KM/jam</v>
          </cell>
        </row>
        <row r="91">
          <cell r="C91" t="str">
            <v>Lebar efektif pemadatan</v>
          </cell>
          <cell r="G91" t="str">
            <v>b</v>
          </cell>
          <cell r="H91">
            <v>1.2</v>
          </cell>
          <cell r="I91" t="str">
            <v>M</v>
          </cell>
        </row>
        <row r="92">
          <cell r="C92" t="str">
            <v>Jumlah lintasan</v>
          </cell>
          <cell r="G92" t="str">
            <v>n</v>
          </cell>
          <cell r="H92">
            <v>8</v>
          </cell>
          <cell r="I92" t="str">
            <v>lintasan</v>
          </cell>
        </row>
        <row r="93">
          <cell r="C93" t="str">
            <v>Faktor Efisiensi alat</v>
          </cell>
          <cell r="G93" t="str">
            <v>Fa</v>
          </cell>
          <cell r="H93">
            <v>0.83</v>
          </cell>
          <cell r="I93" t="str">
            <v>-</v>
          </cell>
        </row>
        <row r="95">
          <cell r="C95" t="str">
            <v>Kap. Prod. / jam =</v>
          </cell>
          <cell r="D95" t="str">
            <v>(v x 1000) x b x t x Fa</v>
          </cell>
          <cell r="G95" t="str">
            <v>Q4</v>
          </cell>
          <cell r="H95">
            <v>56.024999999999999</v>
          </cell>
          <cell r="I95" t="str">
            <v>M3</v>
          </cell>
        </row>
        <row r="96">
          <cell r="D96" t="str">
            <v>n</v>
          </cell>
        </row>
        <row r="97">
          <cell r="C97" t="str">
            <v>Koefisien Alat / M3</v>
          </cell>
          <cell r="D97" t="str">
            <v xml:space="preserve"> =  1  :  Q4</v>
          </cell>
          <cell r="G97" t="str">
            <v>(E19)</v>
          </cell>
          <cell r="H97">
            <v>1.7849174475680501E-2</v>
          </cell>
          <cell r="I97" t="str">
            <v>jam</v>
          </cell>
        </row>
        <row r="99">
          <cell r="A99" t="str">
            <v xml:space="preserve">   2.e.</v>
          </cell>
          <cell r="C99" t="str">
            <v>PNEUMATIC TIRE ROLLER</v>
          </cell>
          <cell r="G99" t="str">
            <v>(E18)</v>
          </cell>
        </row>
        <row r="100">
          <cell r="C100" t="str">
            <v>Kecepatan rata-rata alat</v>
          </cell>
          <cell r="G100" t="str">
            <v>v</v>
          </cell>
          <cell r="H100">
            <v>5</v>
          </cell>
          <cell r="I100" t="str">
            <v>KM/jam</v>
          </cell>
        </row>
        <row r="101">
          <cell r="C101" t="str">
            <v>Lebar efektif pemadatan</v>
          </cell>
          <cell r="G101" t="str">
            <v>b</v>
          </cell>
          <cell r="H101">
            <v>1.5</v>
          </cell>
          <cell r="I101" t="str">
            <v>M</v>
          </cell>
        </row>
        <row r="102">
          <cell r="C102" t="str">
            <v>Jumlah lintasan</v>
          </cell>
          <cell r="G102" t="str">
            <v>n</v>
          </cell>
          <cell r="H102">
            <v>4</v>
          </cell>
          <cell r="I102" t="str">
            <v>lintasan</v>
          </cell>
        </row>
        <row r="103">
          <cell r="C103" t="str">
            <v>Faktor Efisiensi alat</v>
          </cell>
          <cell r="G103" t="str">
            <v>Fa</v>
          </cell>
          <cell r="H103">
            <v>0.83</v>
          </cell>
          <cell r="I103" t="str">
            <v>-</v>
          </cell>
        </row>
        <row r="105">
          <cell r="C105" t="str">
            <v>Kap. Prod. / jam =</v>
          </cell>
          <cell r="D105" t="str">
            <v>(v x 1000) x b x t x Fa</v>
          </cell>
          <cell r="G105" t="str">
            <v>Q5</v>
          </cell>
          <cell r="H105">
            <v>233.4375</v>
          </cell>
          <cell r="I105" t="str">
            <v>M3</v>
          </cell>
        </row>
        <row r="106">
          <cell r="D106" t="str">
            <v>n</v>
          </cell>
        </row>
        <row r="107">
          <cell r="C107" t="str">
            <v>Koefisien Alat / M3</v>
          </cell>
          <cell r="D107" t="str">
            <v xml:space="preserve"> =  1  :  Q5</v>
          </cell>
          <cell r="G107" t="str">
            <v>(E18)</v>
          </cell>
          <cell r="H107">
            <v>4.2838018741633201E-3</v>
          </cell>
          <cell r="I107" t="str">
            <v>jam</v>
          </cell>
        </row>
        <row r="109">
          <cell r="A109" t="str">
            <v xml:space="preserve">   2.f.</v>
          </cell>
          <cell r="C109" t="str">
            <v>WATER TANK TRUCK</v>
          </cell>
          <cell r="G109" t="str">
            <v>(E23)</v>
          </cell>
        </row>
        <row r="110">
          <cell r="C110" t="str">
            <v>Volume tanki air</v>
          </cell>
          <cell r="G110" t="str">
            <v>V</v>
          </cell>
          <cell r="H110">
            <v>4</v>
          </cell>
          <cell r="I110" t="str">
            <v>M3</v>
          </cell>
        </row>
        <row r="111">
          <cell r="C111" t="str">
            <v>Kebutuhan air / M3 agregat padat</v>
          </cell>
          <cell r="G111" t="str">
            <v>Wc</v>
          </cell>
          <cell r="H111">
            <v>7.0000000000000007E-2</v>
          </cell>
          <cell r="I111" t="str">
            <v>M3</v>
          </cell>
        </row>
        <row r="112">
          <cell r="C112" t="str">
            <v>Pengisian tanki / jam</v>
          </cell>
          <cell r="G112" t="str">
            <v>n</v>
          </cell>
          <cell r="H112">
            <v>1</v>
          </cell>
          <cell r="I112" t="str">
            <v>kali</v>
          </cell>
        </row>
        <row r="113">
          <cell r="C113" t="str">
            <v>Faktor Efisiensi alat</v>
          </cell>
          <cell r="G113" t="str">
            <v>Fa</v>
          </cell>
          <cell r="H113">
            <v>0.83</v>
          </cell>
          <cell r="I113" t="str">
            <v>-</v>
          </cell>
        </row>
        <row r="115">
          <cell r="C115" t="str">
            <v>Kap. Prod. / jam =</v>
          </cell>
          <cell r="D115" t="str">
            <v>V x n x Fa</v>
          </cell>
          <cell r="G115" t="str">
            <v>Q6</v>
          </cell>
          <cell r="H115">
            <v>47.428571428571423</v>
          </cell>
          <cell r="I115" t="str">
            <v>M3</v>
          </cell>
        </row>
        <row r="116">
          <cell r="D116" t="str">
            <v>Wc</v>
          </cell>
        </row>
        <row r="117">
          <cell r="C117" t="str">
            <v>Koefisien Alat / M3</v>
          </cell>
          <cell r="D117" t="str">
            <v xml:space="preserve"> =  1  :  Q6</v>
          </cell>
          <cell r="G117" t="str">
            <v>(E23)</v>
          </cell>
          <cell r="H117">
            <v>2.1084337349397592E-2</v>
          </cell>
          <cell r="I117" t="str">
            <v>jam</v>
          </cell>
        </row>
        <row r="120">
          <cell r="J120" t="str">
            <v>Berlanjut ke hal. berikut</v>
          </cell>
        </row>
        <row r="121">
          <cell r="A121" t="str">
            <v>ITEM PEMBAYARAN NO.</v>
          </cell>
          <cell r="D121" t="str">
            <v>:  5.1 (1)</v>
          </cell>
          <cell r="J121" t="str">
            <v>Analisa EI-511</v>
          </cell>
        </row>
        <row r="122">
          <cell r="A122" t="str">
            <v>JENIS PEKERJAAN</v>
          </cell>
          <cell r="D122" t="str">
            <v>:  Lps. Pond. Ag. Kls. A, CBR Min 80%</v>
          </cell>
        </row>
        <row r="123">
          <cell r="A123" t="str">
            <v>SATUAN PEMBAYARAN</v>
          </cell>
          <cell r="D123" t="str">
            <v>:  M3</v>
          </cell>
          <cell r="H123" t="str">
            <v xml:space="preserve">         URAIAN ANALISA HARGA SATUAN</v>
          </cell>
        </row>
        <row r="124">
          <cell r="J124" t="str">
            <v>Lanjutan</v>
          </cell>
        </row>
        <row r="126">
          <cell r="A126" t="str">
            <v>No.</v>
          </cell>
          <cell r="C126" t="str">
            <v>U R A I A N</v>
          </cell>
          <cell r="G126" t="str">
            <v>KODE</v>
          </cell>
          <cell r="H126" t="str">
            <v>KOEF.</v>
          </cell>
          <cell r="I126" t="str">
            <v>SATUAN</v>
          </cell>
          <cell r="J126" t="str">
            <v>KETERANGAN</v>
          </cell>
        </row>
        <row r="129">
          <cell r="A129" t="str">
            <v xml:space="preserve">   2.g.</v>
          </cell>
          <cell r="C129" t="str">
            <v>ALAT BANTU</v>
          </cell>
          <cell r="J129" t="str">
            <v xml:space="preserve"> Lump Sum</v>
          </cell>
        </row>
        <row r="130">
          <cell r="C130" t="str">
            <v>Diperlukan   :</v>
          </cell>
        </row>
        <row r="131">
          <cell r="C131" t="str">
            <v>- Kereta dorong</v>
          </cell>
          <cell r="D131" t="str">
            <v>=  2  buah.</v>
          </cell>
        </row>
        <row r="132">
          <cell r="C132" t="str">
            <v>- Sekop</v>
          </cell>
          <cell r="D132" t="str">
            <v>=  3  buah.</v>
          </cell>
        </row>
        <row r="133">
          <cell r="C133" t="str">
            <v>- Garpu</v>
          </cell>
          <cell r="D133" t="str">
            <v>=  2  buah.</v>
          </cell>
        </row>
        <row r="135">
          <cell r="A135" t="str">
            <v xml:space="preserve">   3.</v>
          </cell>
          <cell r="C135" t="str">
            <v>TENAGA</v>
          </cell>
        </row>
        <row r="136">
          <cell r="C136" t="str">
            <v>Produksi menentukan : WHEEL LOADER</v>
          </cell>
          <cell r="G136" t="str">
            <v>Q1</v>
          </cell>
          <cell r="H136">
            <v>28.012500000000003</v>
          </cell>
          <cell r="I136" t="str">
            <v>M3/jam</v>
          </cell>
        </row>
        <row r="137">
          <cell r="C137" t="str">
            <v>Produksi agregat / hari  =  Tk x Q1</v>
          </cell>
          <cell r="G137" t="str">
            <v>Qt</v>
          </cell>
          <cell r="H137">
            <v>196.08750000000003</v>
          </cell>
          <cell r="I137" t="str">
            <v>M3</v>
          </cell>
        </row>
        <row r="138">
          <cell r="C138" t="str">
            <v>Kebutuhan tenaga :</v>
          </cell>
        </row>
        <row r="139">
          <cell r="D139" t="str">
            <v>- Pekerja</v>
          </cell>
          <cell r="G139" t="str">
            <v>P</v>
          </cell>
          <cell r="H139">
            <v>7</v>
          </cell>
          <cell r="I139" t="str">
            <v>orang</v>
          </cell>
        </row>
        <row r="140">
          <cell r="D140" t="str">
            <v>- Mandor</v>
          </cell>
          <cell r="G140" t="str">
            <v>M</v>
          </cell>
          <cell r="H140">
            <v>1</v>
          </cell>
          <cell r="I140" t="str">
            <v>orang</v>
          </cell>
        </row>
        <row r="142">
          <cell r="C142" t="str">
            <v>Koefisien tenaga / M3   :</v>
          </cell>
        </row>
        <row r="143">
          <cell r="D143" t="str">
            <v>- Pekerja</v>
          </cell>
          <cell r="E143" t="str">
            <v>= (Tk x P) : Qt</v>
          </cell>
          <cell r="G143" t="str">
            <v>(L01)</v>
          </cell>
          <cell r="H143">
            <v>0.24988844265952695</v>
          </cell>
          <cell r="I143" t="str">
            <v>jam</v>
          </cell>
        </row>
        <row r="144">
          <cell r="D144" t="str">
            <v>- Mandor</v>
          </cell>
          <cell r="E144" t="str">
            <v>= (Tk x M) : Qt</v>
          </cell>
          <cell r="G144" t="str">
            <v>(L03)</v>
          </cell>
          <cell r="H144">
            <v>3.5698348951360995E-2</v>
          </cell>
          <cell r="I144" t="str">
            <v>jam</v>
          </cell>
        </row>
        <row r="146">
          <cell r="A146" t="str">
            <v>4.</v>
          </cell>
          <cell r="C146" t="str">
            <v>HARGA DASAR SATUAN UPAH, BAHAN DAN ALAT</v>
          </cell>
        </row>
        <row r="147">
          <cell r="C147" t="str">
            <v>Lihat lampiran.</v>
          </cell>
        </row>
        <row r="149">
          <cell r="A149" t="str">
            <v>5.</v>
          </cell>
          <cell r="C149" t="str">
            <v>ANALISA HARGA SATUAN PEKERJAAN</v>
          </cell>
        </row>
        <row r="150">
          <cell r="C150" t="str">
            <v>Lihat perhitungan dalam FORMULIR STANDAR UNTUK</v>
          </cell>
        </row>
        <row r="151">
          <cell r="C151" t="str">
            <v>PEREKAMAN ANALISA MASING-MASING HARGA</v>
          </cell>
        </row>
        <row r="152">
          <cell r="C152" t="str">
            <v>SATUAN.</v>
          </cell>
        </row>
        <row r="153">
          <cell r="C153" t="str">
            <v>Didapat Harga Satuan Pekerjaan :</v>
          </cell>
        </row>
        <row r="155">
          <cell r="C155" t="str">
            <v xml:space="preserve">Rp.  </v>
          </cell>
          <cell r="D155">
            <v>304732.36582799954</v>
          </cell>
          <cell r="E155" t="str">
            <v xml:space="preserve"> / M3.</v>
          </cell>
        </row>
        <row r="158">
          <cell r="A158" t="str">
            <v>6.</v>
          </cell>
          <cell r="C158" t="str">
            <v>WAKTU PELAKSANAAN YANG DIPERLUKAN</v>
          </cell>
        </row>
        <row r="159">
          <cell r="C159" t="str">
            <v>Masa Pelaksanaan :</v>
          </cell>
          <cell r="D159" t="str">
            <v>. . . . . . . . . . . .</v>
          </cell>
          <cell r="E159" t="str">
            <v>bulan</v>
          </cell>
        </row>
        <row r="161">
          <cell r="A161" t="str">
            <v>7.</v>
          </cell>
          <cell r="C161" t="str">
            <v>VOLUME PEKERJAAN YANG DIPERLUKAN</v>
          </cell>
        </row>
        <row r="162">
          <cell r="C162" t="str">
            <v>Volume pekerjaan  :</v>
          </cell>
          <cell r="D162">
            <v>1</v>
          </cell>
          <cell r="E162" t="str">
            <v>M3</v>
          </cell>
        </row>
        <row r="180">
          <cell r="A180" t="str">
            <v>ITEM PEMBAYARAN NO.</v>
          </cell>
          <cell r="D180" t="str">
            <v>:  5.1 (2)</v>
          </cell>
          <cell r="J180" t="str">
            <v>Analisa EI-512</v>
          </cell>
          <cell r="T180" t="str">
            <v>Analisa EI-512</v>
          </cell>
        </row>
        <row r="181">
          <cell r="A181" t="str">
            <v>JENIS PEKERJAAN</v>
          </cell>
          <cell r="D181" t="str">
            <v>:  Lps. Pond. Ag. Kls. B, CBR Min 35%</v>
          </cell>
        </row>
        <row r="182">
          <cell r="A182" t="str">
            <v>SATUAN PEMBAYARAN</v>
          </cell>
          <cell r="D182" t="str">
            <v>:  M3</v>
          </cell>
          <cell r="H182" t="str">
            <v xml:space="preserve">         URAIAN ANALISA HARGA SATUAN</v>
          </cell>
          <cell r="L182" t="str">
            <v>FORMULIR STANDAR UNTUK</v>
          </cell>
        </row>
        <row r="183">
          <cell r="L183" t="str">
            <v>PEREKAMAN ANALISA MASING-MASING HARGA SATUAN</v>
          </cell>
        </row>
        <row r="184">
          <cell r="L184" t="str">
            <v/>
          </cell>
        </row>
        <row r="185">
          <cell r="A185" t="str">
            <v>No.</v>
          </cell>
          <cell r="C185" t="str">
            <v>U R A I A N</v>
          </cell>
          <cell r="G185" t="str">
            <v>KODE</v>
          </cell>
          <cell r="H185" t="str">
            <v>KOEF.</v>
          </cell>
          <cell r="I185" t="str">
            <v>SATUAN</v>
          </cell>
          <cell r="J185" t="str">
            <v>KETERANGAN</v>
          </cell>
        </row>
        <row r="187">
          <cell r="L187" t="str">
            <v>PROYEK</v>
          </cell>
          <cell r="O187" t="str">
            <v xml:space="preserve">:  </v>
          </cell>
        </row>
        <row r="188">
          <cell r="A188" t="str">
            <v>I.</v>
          </cell>
          <cell r="C188" t="str">
            <v>ASUMSI</v>
          </cell>
          <cell r="L188" t="str">
            <v>No. PAKET KONTRAK</v>
          </cell>
          <cell r="O188" t="str">
            <v xml:space="preserve">:  </v>
          </cell>
        </row>
        <row r="189">
          <cell r="A189">
            <v>1</v>
          </cell>
          <cell r="C189" t="str">
            <v>Menggunakan alat berat (cara mekanik)</v>
          </cell>
          <cell r="L189" t="str">
            <v>NAMA PAKET</v>
          </cell>
          <cell r="O189" t="str">
            <v xml:space="preserve">:  </v>
          </cell>
        </row>
        <row r="190">
          <cell r="A190">
            <v>2</v>
          </cell>
          <cell r="C190" t="str">
            <v>Lokasi pekerjaan : sepanjang jalan</v>
          </cell>
          <cell r="L190" t="str">
            <v>PROP / KAB / KODYA</v>
          </cell>
          <cell r="O190" t="str">
            <v xml:space="preserve">:  </v>
          </cell>
        </row>
        <row r="191">
          <cell r="A191">
            <v>3</v>
          </cell>
          <cell r="C191" t="str">
            <v>Kondisi existing jalan : sedang</v>
          </cell>
          <cell r="L191" t="str">
            <v>ITEM PEMBAYARAN NO.</v>
          </cell>
          <cell r="O191" t="str">
            <v>:  5.1 (2)</v>
          </cell>
          <cell r="R191" t="str">
            <v>PERKIRAAN VOL. PEK.</v>
          </cell>
          <cell r="T191" t="str">
            <v>:</v>
          </cell>
          <cell r="U191">
            <v>1</v>
          </cell>
        </row>
        <row r="192">
          <cell r="A192">
            <v>4</v>
          </cell>
          <cell r="C192" t="str">
            <v>Jarak rata-rata Base Camp ke lokasi pekerjaan</v>
          </cell>
          <cell r="G192" t="str">
            <v>L</v>
          </cell>
          <cell r="H192">
            <v>8.7249999999999996</v>
          </cell>
          <cell r="I192" t="str">
            <v>KM</v>
          </cell>
          <cell r="L192" t="str">
            <v>JENIS PEKERJAAN</v>
          </cell>
          <cell r="O192" t="str">
            <v>:  Lps. Pond. Ag. Kls. B, CBR Min 35%</v>
          </cell>
          <cell r="R192" t="str">
            <v>TOTAL HARGA</v>
          </cell>
          <cell r="T192" t="str">
            <v>:</v>
          </cell>
          <cell r="U192">
            <v>339061.22823589185</v>
          </cell>
        </row>
        <row r="193">
          <cell r="A193">
            <v>5</v>
          </cell>
          <cell r="C193" t="str">
            <v>Tebal lapis agregat padat</v>
          </cell>
          <cell r="G193" t="str">
            <v>t</v>
          </cell>
          <cell r="H193">
            <v>0.15</v>
          </cell>
          <cell r="I193" t="str">
            <v>M</v>
          </cell>
          <cell r="L193" t="str">
            <v>SATUAN PEMBAYARAN</v>
          </cell>
          <cell r="O193" t="str">
            <v>:  M3</v>
          </cell>
          <cell r="R193" t="str">
            <v>% THD. BIAYA PROYEK</v>
          </cell>
          <cell r="T193" t="str">
            <v>:</v>
          </cell>
          <cell r="U193">
            <v>8.0681907126475844E-3</v>
          </cell>
        </row>
        <row r="194">
          <cell r="A194">
            <v>6</v>
          </cell>
          <cell r="C194" t="str">
            <v>Faktor kembang material (Padat-Lepas)</v>
          </cell>
          <cell r="G194" t="str">
            <v>Fk</v>
          </cell>
          <cell r="H194">
            <v>1.2</v>
          </cell>
          <cell r="I194" t="str">
            <v>-</v>
          </cell>
        </row>
        <row r="195">
          <cell r="A195">
            <v>7</v>
          </cell>
          <cell r="C195" t="str">
            <v>Jam kerja efektif per-hari</v>
          </cell>
          <cell r="G195" t="str">
            <v>Tk</v>
          </cell>
          <cell r="H195">
            <v>7</v>
          </cell>
          <cell r="I195" t="str">
            <v>jam</v>
          </cell>
        </row>
        <row r="196">
          <cell r="A196">
            <v>8</v>
          </cell>
          <cell r="C196" t="str">
            <v>Proporsi Campuran :</v>
          </cell>
          <cell r="D196" t="str">
            <v>- Agregat Kasar</v>
          </cell>
          <cell r="G196" t="str">
            <v>Ak</v>
          </cell>
          <cell r="H196">
            <v>35</v>
          </cell>
          <cell r="I196" t="str">
            <v>%</v>
          </cell>
          <cell r="J196" t="str">
            <v xml:space="preserve"> Gradasi harus</v>
          </cell>
          <cell r="Q196" t="str">
            <v>PERKIRAAN</v>
          </cell>
          <cell r="R196" t="str">
            <v>HARGA</v>
          </cell>
          <cell r="S196" t="str">
            <v>JUMLAH</v>
          </cell>
        </row>
        <row r="197">
          <cell r="D197" t="str">
            <v>- Agregat Halus</v>
          </cell>
          <cell r="G197" t="str">
            <v>Ah</v>
          </cell>
          <cell r="H197">
            <v>20</v>
          </cell>
          <cell r="I197" t="str">
            <v>%</v>
          </cell>
          <cell r="J197" t="str">
            <v xml:space="preserve"> memenuhi</v>
          </cell>
          <cell r="L197" t="str">
            <v>NO.</v>
          </cell>
          <cell r="N197" t="str">
            <v>KOMPONEN</v>
          </cell>
          <cell r="P197" t="str">
            <v>SATUAN</v>
          </cell>
          <cell r="Q197" t="str">
            <v>KUANTITAS</v>
          </cell>
          <cell r="R197" t="str">
            <v>SATUAN</v>
          </cell>
          <cell r="S197" t="str">
            <v>HARGA</v>
          </cell>
        </row>
        <row r="198">
          <cell r="D198" t="str">
            <v>- Sirtu</v>
          </cell>
          <cell r="G198" t="str">
            <v>St</v>
          </cell>
          <cell r="H198">
            <v>45</v>
          </cell>
          <cell r="I198" t="str">
            <v>%</v>
          </cell>
          <cell r="J198" t="str">
            <v xml:space="preserve"> Spesifikasi</v>
          </cell>
          <cell r="R198" t="str">
            <v>(Rp.)</v>
          </cell>
          <cell r="S198" t="str">
            <v>(Rp.)</v>
          </cell>
        </row>
        <row r="199">
          <cell r="A199" t="str">
            <v>II.</v>
          </cell>
          <cell r="C199" t="str">
            <v>URUTAN KERJA</v>
          </cell>
        </row>
        <row r="200">
          <cell r="A200">
            <v>1</v>
          </cell>
          <cell r="C200" t="str">
            <v>Wheel Loader mencampur dan memuat Agregat ke</v>
          </cell>
        </row>
        <row r="201">
          <cell r="C201" t="str">
            <v>dalam Dump Truck di Base Camp</v>
          </cell>
          <cell r="L201" t="str">
            <v>A.</v>
          </cell>
          <cell r="N201" t="str">
            <v>TENAGA</v>
          </cell>
        </row>
        <row r="202">
          <cell r="A202">
            <v>2</v>
          </cell>
          <cell r="C202" t="str">
            <v>Dump Truck mengangkut Agregat ke lokasi</v>
          </cell>
        </row>
        <row r="203">
          <cell r="C203" t="str">
            <v>pekerjaan dan dihampar dengan Motor Grader</v>
          </cell>
          <cell r="L203" t="str">
            <v>1.</v>
          </cell>
          <cell r="N203" t="str">
            <v>Pekerja</v>
          </cell>
          <cell r="O203" t="str">
            <v>(L01)</v>
          </cell>
          <cell r="P203" t="str">
            <v>jam</v>
          </cell>
          <cell r="Q203">
            <v>0.24988844265952695</v>
          </cell>
          <cell r="R203">
            <v>2857.14</v>
          </cell>
          <cell r="U203">
            <v>713.96626506024074</v>
          </cell>
        </row>
        <row r="204">
          <cell r="A204">
            <v>3</v>
          </cell>
          <cell r="C204" t="str">
            <v>Hamparan Agregat dibasahi dengan Water Tank</v>
          </cell>
          <cell r="L204" t="str">
            <v>2.</v>
          </cell>
          <cell r="N204" t="str">
            <v>Mandor</v>
          </cell>
          <cell r="O204" t="str">
            <v>(L03)</v>
          </cell>
          <cell r="P204" t="str">
            <v>jam</v>
          </cell>
          <cell r="Q204">
            <v>3.5698348951360995E-2</v>
          </cell>
          <cell r="R204">
            <v>3214.29</v>
          </cell>
          <cell r="U204">
            <v>114.74484605087014</v>
          </cell>
        </row>
        <row r="205">
          <cell r="C205" t="str">
            <v>Truck sebelum dipadatkan dengan Tandem</v>
          </cell>
        </row>
        <row r="206">
          <cell r="C206" t="str">
            <v>Roller dan Pneumatic Tire Roller</v>
          </cell>
        </row>
        <row r="207">
          <cell r="A207">
            <v>4</v>
          </cell>
          <cell r="C207" t="str">
            <v>Selama pemadatan, sekelompok pekerja akan</v>
          </cell>
          <cell r="Q207" t="str">
            <v xml:space="preserve">JUMLAH HARGA TENAGA   </v>
          </cell>
          <cell r="U207">
            <v>828.71111111111088</v>
          </cell>
        </row>
        <row r="208">
          <cell r="C208" t="str">
            <v>merapikan tepi hamparan dan level permukaan</v>
          </cell>
        </row>
        <row r="209">
          <cell r="C209" t="str">
            <v>dengan menggunakan Alat Bantu</v>
          </cell>
          <cell r="L209" t="str">
            <v>B.</v>
          </cell>
          <cell r="N209" t="str">
            <v>BAHAN</v>
          </cell>
        </row>
        <row r="210">
          <cell r="A210" t="str">
            <v>III.</v>
          </cell>
          <cell r="C210" t="str">
            <v>PEMAKAIAN BAHAN, ALAT DAN TENAGA</v>
          </cell>
        </row>
        <row r="211">
          <cell r="A211" t="str">
            <v xml:space="preserve">   1.</v>
          </cell>
          <cell r="C211" t="str">
            <v>BAHAN</v>
          </cell>
          <cell r="L211" t="str">
            <v>1.</v>
          </cell>
          <cell r="N211" t="str">
            <v>Agregat Kasar   (M03)</v>
          </cell>
          <cell r="P211" t="str">
            <v>M3</v>
          </cell>
          <cell r="Q211">
            <v>0.42</v>
          </cell>
          <cell r="R211">
            <v>222345.54558042376</v>
          </cell>
          <cell r="U211">
            <v>93385.129143777973</v>
          </cell>
        </row>
        <row r="212">
          <cell r="C212" t="str">
            <v>- Agregat Kasar</v>
          </cell>
          <cell r="D212" t="str">
            <v>=  Ak x 1 M3 x Fk</v>
          </cell>
          <cell r="G212" t="str">
            <v>M03</v>
          </cell>
          <cell r="H212">
            <v>0.42</v>
          </cell>
          <cell r="I212" t="str">
            <v>M3</v>
          </cell>
          <cell r="L212" t="str">
            <v>2.</v>
          </cell>
          <cell r="N212" t="str">
            <v>Agregat Halus    (M04)</v>
          </cell>
          <cell r="P212" t="str">
            <v>M3</v>
          </cell>
          <cell r="Q212">
            <v>0.24</v>
          </cell>
          <cell r="R212">
            <v>194196.70775416915</v>
          </cell>
          <cell r="U212">
            <v>46607.209861000592</v>
          </cell>
        </row>
        <row r="213">
          <cell r="C213" t="str">
            <v>- Agregat Halus</v>
          </cell>
          <cell r="D213" t="str">
            <v>=  Ah x 1 M3 x Fk</v>
          </cell>
          <cell r="G213" t="str">
            <v>M04</v>
          </cell>
          <cell r="H213">
            <v>0.24</v>
          </cell>
          <cell r="I213" t="str">
            <v>M3</v>
          </cell>
          <cell r="L213" t="str">
            <v>3.</v>
          </cell>
          <cell r="N213" t="str">
            <v>Sirtu</v>
          </cell>
          <cell r="O213" t="str">
            <v>(M16)</v>
          </cell>
          <cell r="P213" t="str">
            <v>M3</v>
          </cell>
          <cell r="Q213">
            <v>0.54</v>
          </cell>
          <cell r="R213">
            <v>264500</v>
          </cell>
          <cell r="U213">
            <v>142830</v>
          </cell>
        </row>
        <row r="214">
          <cell r="C214" t="str">
            <v>- Sirtu</v>
          </cell>
          <cell r="D214" t="str">
            <v>=  St x 1 M3 x Fk</v>
          </cell>
          <cell r="G214" t="str">
            <v>M16</v>
          </cell>
          <cell r="H214">
            <v>0.54</v>
          </cell>
          <cell r="I214" t="str">
            <v>M3</v>
          </cell>
        </row>
        <row r="215">
          <cell r="A215" t="str">
            <v xml:space="preserve">   2.</v>
          </cell>
          <cell r="C215" t="str">
            <v>ALAT</v>
          </cell>
        </row>
        <row r="216">
          <cell r="A216" t="str">
            <v xml:space="preserve">   2.a.</v>
          </cell>
          <cell r="C216" t="str">
            <v>WHEEL LOADER</v>
          </cell>
          <cell r="G216" t="str">
            <v>(E15)</v>
          </cell>
        </row>
        <row r="217">
          <cell r="C217" t="str">
            <v>Kapasitas bucket</v>
          </cell>
          <cell r="G217" t="str">
            <v>V</v>
          </cell>
          <cell r="H217">
            <v>1.5</v>
          </cell>
          <cell r="I217" t="str">
            <v>M3</v>
          </cell>
          <cell r="Q217" t="str">
            <v xml:space="preserve">JUMLAH HARGA BAHAN   </v>
          </cell>
          <cell r="U217">
            <v>282822.33900477854</v>
          </cell>
        </row>
        <row r="218">
          <cell r="C218" t="str">
            <v>Faktor bucket</v>
          </cell>
          <cell r="G218" t="str">
            <v>Fb</v>
          </cell>
          <cell r="H218">
            <v>0.9</v>
          </cell>
          <cell r="I218" t="str">
            <v>-</v>
          </cell>
        </row>
        <row r="219">
          <cell r="C219" t="str">
            <v>Faktor Efisiensi alat</v>
          </cell>
          <cell r="G219" t="str">
            <v>Fa</v>
          </cell>
          <cell r="H219">
            <v>0.83</v>
          </cell>
          <cell r="I219" t="str">
            <v>-</v>
          </cell>
          <cell r="L219" t="str">
            <v>C.</v>
          </cell>
          <cell r="N219" t="str">
            <v>PERALATAN</v>
          </cell>
        </row>
        <row r="220">
          <cell r="C220" t="str">
            <v>Waktu Siklus :</v>
          </cell>
          <cell r="G220" t="str">
            <v>Ts1</v>
          </cell>
          <cell r="L220" t="str">
            <v>1.</v>
          </cell>
          <cell r="N220" t="str">
            <v>Wheel Loader</v>
          </cell>
          <cell r="O220" t="str">
            <v>(E15)</v>
          </cell>
          <cell r="P220" t="str">
            <v>jam</v>
          </cell>
          <cell r="Q220">
            <v>3.5698348951360995E-2</v>
          </cell>
          <cell r="R220">
            <v>163808.13869490434</v>
          </cell>
          <cell r="U220">
            <v>5847.680096203635</v>
          </cell>
        </row>
        <row r="221">
          <cell r="C221" t="str">
            <v>- Mencampur</v>
          </cell>
          <cell r="G221" t="str">
            <v>T1</v>
          </cell>
          <cell r="H221">
            <v>1.5</v>
          </cell>
          <cell r="I221" t="str">
            <v>menit</v>
          </cell>
          <cell r="L221" t="str">
            <v>2.</v>
          </cell>
          <cell r="N221" t="str">
            <v>Dump Truck</v>
          </cell>
          <cell r="O221" t="str">
            <v>(E09)</v>
          </cell>
          <cell r="P221" t="str">
            <v>jam</v>
          </cell>
          <cell r="Q221">
            <v>0.14542063837680036</v>
          </cell>
          <cell r="R221">
            <v>70230.073977639215</v>
          </cell>
          <cell r="U221">
            <v>10212.90219107821</v>
          </cell>
        </row>
        <row r="222">
          <cell r="C222" t="str">
            <v>- Memuat dan lain-lain</v>
          </cell>
          <cell r="G222" t="str">
            <v>T2</v>
          </cell>
          <cell r="H222">
            <v>0.5</v>
          </cell>
          <cell r="I222" t="str">
            <v>menit</v>
          </cell>
          <cell r="L222" t="str">
            <v>3.</v>
          </cell>
          <cell r="N222" t="str">
            <v>Motor Grader</v>
          </cell>
          <cell r="O222" t="str">
            <v>(E13)</v>
          </cell>
          <cell r="P222" t="str">
            <v>jam</v>
          </cell>
          <cell r="Q222">
            <v>1.1713520749665328E-2</v>
          </cell>
          <cell r="R222">
            <v>201666.62574070093</v>
          </cell>
          <cell r="U222">
            <v>2362.2262051286921</v>
          </cell>
        </row>
        <row r="223">
          <cell r="G223" t="str">
            <v>Ts1</v>
          </cell>
          <cell r="H223">
            <v>2</v>
          </cell>
          <cell r="I223" t="str">
            <v>menit</v>
          </cell>
          <cell r="L223" t="str">
            <v>4.</v>
          </cell>
          <cell r="N223" t="str">
            <v>Vibratory Roller</v>
          </cell>
          <cell r="O223" t="str">
            <v>(E19)</v>
          </cell>
          <cell r="P223" t="str">
            <v>jam</v>
          </cell>
          <cell r="Q223">
            <v>1.7849174475680501E-2</v>
          </cell>
          <cell r="R223">
            <v>234734.82748629327</v>
          </cell>
          <cell r="U223">
            <v>4189.8228913216117</v>
          </cell>
        </row>
        <row r="224">
          <cell r="L224" t="str">
            <v>5.</v>
          </cell>
          <cell r="N224" t="str">
            <v>P. Tyre Roller</v>
          </cell>
          <cell r="O224" t="str">
            <v>(E18)</v>
          </cell>
          <cell r="P224" t="str">
            <v>jam</v>
          </cell>
          <cell r="Q224">
            <v>4.2838018741633201E-3</v>
          </cell>
          <cell r="R224">
            <v>113384.24751021285</v>
          </cell>
          <cell r="U224">
            <v>485.71565198484757</v>
          </cell>
        </row>
        <row r="225">
          <cell r="C225" t="str">
            <v>Kap. Prod. / jam =</v>
          </cell>
          <cell r="D225" t="str">
            <v>V x Fb x Fa x 60</v>
          </cell>
          <cell r="G225" t="str">
            <v>Q1</v>
          </cell>
          <cell r="H225">
            <v>28.012500000000003</v>
          </cell>
          <cell r="I225" t="str">
            <v>M3</v>
          </cell>
          <cell r="L225" t="str">
            <v>6.</v>
          </cell>
          <cell r="N225" t="str">
            <v>Water Tanker</v>
          </cell>
          <cell r="O225" t="str">
            <v>(E23)</v>
          </cell>
          <cell r="P225" t="str">
            <v>jam</v>
          </cell>
          <cell r="Q225">
            <v>2.1084337349397592E-2</v>
          </cell>
          <cell r="R225">
            <v>67020.510980434308</v>
          </cell>
          <cell r="U225">
            <v>1413.0830628404826</v>
          </cell>
        </row>
        <row r="226">
          <cell r="D226" t="str">
            <v>Fk x Ts1</v>
          </cell>
          <cell r="L226" t="str">
            <v>7.</v>
          </cell>
          <cell r="N226" t="str">
            <v>Alat Bantu</v>
          </cell>
          <cell r="P226" t="str">
            <v>Ls</v>
          </cell>
          <cell r="Q226">
            <v>1</v>
          </cell>
          <cell r="R226">
            <v>75</v>
          </cell>
          <cell r="U226">
            <v>75</v>
          </cell>
        </row>
        <row r="227">
          <cell r="C227" t="str">
            <v>Koefisien Alat / M3</v>
          </cell>
          <cell r="D227" t="str">
            <v xml:space="preserve"> =  1  :  Q1</v>
          </cell>
          <cell r="G227" t="str">
            <v>(E15)</v>
          </cell>
          <cell r="H227">
            <v>3.5698348951360995E-2</v>
          </cell>
          <cell r="I227" t="str">
            <v>jam</v>
          </cell>
        </row>
        <row r="228">
          <cell r="Q228" t="str">
            <v xml:space="preserve">JUMLAH HARGA PERALATAN   </v>
          </cell>
          <cell r="U228">
            <v>24586.430098557481</v>
          </cell>
        </row>
        <row r="229">
          <cell r="A229" t="str">
            <v xml:space="preserve">   2.b.</v>
          </cell>
          <cell r="C229" t="str">
            <v>DUMP TRUCK</v>
          </cell>
          <cell r="G229" t="str">
            <v>(E09)</v>
          </cell>
        </row>
        <row r="230">
          <cell r="C230" t="str">
            <v>Kapasitas bak</v>
          </cell>
          <cell r="G230" t="str">
            <v>V</v>
          </cell>
          <cell r="H230">
            <v>6</v>
          </cell>
          <cell r="I230" t="str">
            <v>M3</v>
          </cell>
          <cell r="L230" t="str">
            <v>D.</v>
          </cell>
          <cell r="N230" t="str">
            <v>JUMLAH HARGA TENAGA, BAHAN DAN PERALATAN  ( A + B + C )</v>
          </cell>
          <cell r="U230">
            <v>308237.48021444713</v>
          </cell>
        </row>
        <row r="231">
          <cell r="C231" t="str">
            <v>Faktor Efisiensi alat</v>
          </cell>
          <cell r="G231" t="str">
            <v>Fa</v>
          </cell>
          <cell r="H231">
            <v>0.83</v>
          </cell>
          <cell r="I231" t="str">
            <v>-</v>
          </cell>
          <cell r="L231" t="str">
            <v>E.</v>
          </cell>
          <cell r="N231" t="str">
            <v>OVERHEAD &amp; PROFIT</v>
          </cell>
          <cell r="P231">
            <v>10</v>
          </cell>
          <cell r="Q231" t="str">
            <v>%  x  D</v>
          </cell>
          <cell r="U231">
            <v>30823.748021444713</v>
          </cell>
        </row>
        <row r="232">
          <cell r="C232" t="str">
            <v>Kecepatan rata-rata bermuatan</v>
          </cell>
          <cell r="G232" t="str">
            <v>v1</v>
          </cell>
          <cell r="H232">
            <v>45</v>
          </cell>
          <cell r="I232" t="str">
            <v>KM/jam</v>
          </cell>
          <cell r="L232" t="str">
            <v>F.</v>
          </cell>
          <cell r="N232" t="str">
            <v>HARGA SATUAN PEKERJAAN  ( D + E )</v>
          </cell>
          <cell r="U232">
            <v>339061.22823589185</v>
          </cell>
        </row>
        <row r="233">
          <cell r="C233" t="str">
            <v>Kecepatan rata-rata kosong</v>
          </cell>
          <cell r="G233" t="str">
            <v>v2</v>
          </cell>
          <cell r="H233">
            <v>60</v>
          </cell>
          <cell r="I233" t="str">
            <v>KM/jam</v>
          </cell>
          <cell r="L233" t="str">
            <v>Note: 1</v>
          </cell>
          <cell r="N233" t="str">
            <v>SATUAN dapat berdasarkan atas jam operasi untuk Tenaga Kerja dan Peralatan, volume dan/atau ukuran</v>
          </cell>
        </row>
        <row r="234">
          <cell r="C234" t="str">
            <v>Waktu Siklus  :  - Waktu memuat = V : Q1 x 60</v>
          </cell>
          <cell r="G234" t="str">
            <v>T1</v>
          </cell>
          <cell r="H234">
            <v>12.851405622489958</v>
          </cell>
          <cell r="I234" t="str">
            <v>menit</v>
          </cell>
          <cell r="N234" t="str">
            <v>berat untuk bahan-bahan.</v>
          </cell>
        </row>
        <row r="235">
          <cell r="C235" t="str">
            <v>- Waktu tempuh isi  =  (L : v1) x 60 menit</v>
          </cell>
          <cell r="G235" t="str">
            <v>T2</v>
          </cell>
          <cell r="H235">
            <v>11.633333333333333</v>
          </cell>
          <cell r="I235" t="str">
            <v>menit</v>
          </cell>
          <cell r="L235">
            <v>2</v>
          </cell>
          <cell r="N235" t="str">
            <v>Kuantitas satuan adalah kuantitas setiap komponen untuk menyelesaikan satu satuan pekerjaan dari nomor</v>
          </cell>
        </row>
        <row r="236">
          <cell r="C236" t="str">
            <v>- Waktu tempuh kosong  =  (L : v2) x 60 menit</v>
          </cell>
          <cell r="G236" t="str">
            <v>T3</v>
          </cell>
          <cell r="H236">
            <v>8.7249999999999996</v>
          </cell>
          <cell r="I236" t="str">
            <v>menit</v>
          </cell>
          <cell r="N236" t="str">
            <v>mata pembayaran.</v>
          </cell>
        </row>
        <row r="237">
          <cell r="C237" t="str">
            <v>- Dump dan lain-lain</v>
          </cell>
          <cell r="G237" t="str">
            <v>T4</v>
          </cell>
          <cell r="H237">
            <v>3</v>
          </cell>
          <cell r="I237" t="str">
            <v>menit</v>
          </cell>
          <cell r="L237">
            <v>3</v>
          </cell>
          <cell r="N237" t="str">
            <v>Biaya satuan untuk peralatan sudah termasuk bahan bakar, bahan habis dipakai dan operator.</v>
          </cell>
        </row>
        <row r="238">
          <cell r="G238" t="str">
            <v>Ts2</v>
          </cell>
          <cell r="H238">
            <v>36.20973895582329</v>
          </cell>
          <cell r="I238" t="str">
            <v>menit</v>
          </cell>
          <cell r="L238">
            <v>4</v>
          </cell>
          <cell r="N238" t="str">
            <v>Biaya satuan sudah termasuk pengeluaran untuk seluruh pajak yang berkaitan (tetapi tidak termasuk PPN</v>
          </cell>
        </row>
        <row r="239">
          <cell r="N239" t="str">
            <v>yang dibayar dari kontrak) dan biaya-biaya lainnya.</v>
          </cell>
        </row>
        <row r="240">
          <cell r="J240" t="str">
            <v>Berlanjut ke hal. berikut</v>
          </cell>
        </row>
        <row r="241">
          <cell r="A241" t="str">
            <v>ITEM PEMBAYARAN NO.</v>
          </cell>
          <cell r="D241" t="str">
            <v>:  5.1 (2)</v>
          </cell>
          <cell r="J241" t="str">
            <v>Analisa EI-512</v>
          </cell>
        </row>
        <row r="242">
          <cell r="A242" t="str">
            <v>JENIS PEKERJAAN</v>
          </cell>
          <cell r="D242" t="str">
            <v>:  Lps. Pond. Ag. Kls. B, CBR Min 35%</v>
          </cell>
        </row>
        <row r="243">
          <cell r="A243" t="str">
            <v>SATUAN PEMBAYARAN</v>
          </cell>
          <cell r="D243" t="str">
            <v>:  M3</v>
          </cell>
          <cell r="H243" t="str">
            <v xml:space="preserve">         URAIAN ANALISA HARGA SATUAN</v>
          </cell>
        </row>
        <row r="244">
          <cell r="J244" t="str">
            <v>Lanjutan</v>
          </cell>
        </row>
        <row r="246">
          <cell r="A246" t="str">
            <v>No.</v>
          </cell>
          <cell r="C246" t="str">
            <v>U R A I A N</v>
          </cell>
          <cell r="G246" t="str">
            <v>KODE</v>
          </cell>
          <cell r="H246" t="str">
            <v>KOEF.</v>
          </cell>
          <cell r="I246" t="str">
            <v>SATUAN</v>
          </cell>
          <cell r="J246" t="str">
            <v>KETERANGAN</v>
          </cell>
        </row>
        <row r="249">
          <cell r="C249" t="str">
            <v>Kap. Prod. / jam =</v>
          </cell>
          <cell r="D249" t="str">
            <v>V x Fa x 60</v>
          </cell>
          <cell r="G249" t="str">
            <v>Q2</v>
          </cell>
          <cell r="H249">
            <v>6.8766030129017413</v>
          </cell>
          <cell r="I249" t="str">
            <v>M3</v>
          </cell>
        </row>
        <row r="250">
          <cell r="D250" t="str">
            <v>Fk x Ts2</v>
          </cell>
        </row>
        <row r="251">
          <cell r="C251" t="str">
            <v>Koefisien Alat / M3</v>
          </cell>
          <cell r="D251" t="str">
            <v xml:space="preserve"> =  1  :  Q2</v>
          </cell>
          <cell r="G251" t="str">
            <v>-</v>
          </cell>
          <cell r="H251">
            <v>0.14542063837680036</v>
          </cell>
          <cell r="I251" t="str">
            <v>jam</v>
          </cell>
        </row>
        <row r="253">
          <cell r="A253" t="str">
            <v xml:space="preserve">   2.c.</v>
          </cell>
          <cell r="C253" t="str">
            <v>MOTOR GRADER</v>
          </cell>
          <cell r="G253" t="str">
            <v>(E13)</v>
          </cell>
        </row>
        <row r="254">
          <cell r="C254" t="str">
            <v>Panjang hamparan</v>
          </cell>
          <cell r="G254" t="str">
            <v>Lh</v>
          </cell>
          <cell r="H254">
            <v>50</v>
          </cell>
          <cell r="I254" t="str">
            <v>M</v>
          </cell>
        </row>
        <row r="255">
          <cell r="C255" t="str">
            <v>Lebar efektif kerja blade</v>
          </cell>
          <cell r="G255" t="str">
            <v>b</v>
          </cell>
          <cell r="H255">
            <v>2.4</v>
          </cell>
          <cell r="I255" t="str">
            <v>M</v>
          </cell>
        </row>
        <row r="256">
          <cell r="C256" t="str">
            <v>Faktor Efisiensi alat</v>
          </cell>
          <cell r="G256" t="str">
            <v>Fa</v>
          </cell>
          <cell r="H256">
            <v>0.83</v>
          </cell>
          <cell r="I256" t="str">
            <v>-</v>
          </cell>
        </row>
        <row r="257">
          <cell r="C257" t="str">
            <v>Kecepatan rata-rata alat</v>
          </cell>
          <cell r="G257" t="str">
            <v>v</v>
          </cell>
          <cell r="H257">
            <v>4</v>
          </cell>
          <cell r="I257" t="str">
            <v>KM/jam</v>
          </cell>
        </row>
        <row r="258">
          <cell r="C258" t="str">
            <v>Jumlah lintasan</v>
          </cell>
          <cell r="G258" t="str">
            <v>n</v>
          </cell>
          <cell r="H258">
            <v>6</v>
          </cell>
          <cell r="I258" t="str">
            <v>lintasan</v>
          </cell>
          <cell r="J258" t="str">
            <v xml:space="preserve"> 3 x pp</v>
          </cell>
        </row>
        <row r="259">
          <cell r="C259" t="str">
            <v>Waktu Siklus :</v>
          </cell>
          <cell r="G259" t="str">
            <v>Ts3</v>
          </cell>
        </row>
        <row r="260">
          <cell r="C260" t="str">
            <v>- Perataan 1 lintasan  =  Lh : (v x 1000) x 60</v>
          </cell>
          <cell r="G260" t="str">
            <v>T1</v>
          </cell>
          <cell r="H260">
            <v>0.75</v>
          </cell>
          <cell r="I260" t="str">
            <v>menit</v>
          </cell>
        </row>
        <row r="261">
          <cell r="C261" t="str">
            <v>- Lain-lain</v>
          </cell>
          <cell r="G261" t="str">
            <v>T2</v>
          </cell>
          <cell r="H261">
            <v>1</v>
          </cell>
          <cell r="I261" t="str">
            <v>menit</v>
          </cell>
        </row>
        <row r="262">
          <cell r="G262" t="str">
            <v>Ts3</v>
          </cell>
          <cell r="H262">
            <v>1.75</v>
          </cell>
          <cell r="I262" t="str">
            <v>menit</v>
          </cell>
        </row>
        <row r="264">
          <cell r="C264" t="str">
            <v>Kap. Prod. / jam =</v>
          </cell>
          <cell r="D264" t="str">
            <v>Lh x b x t x Fa x 60</v>
          </cell>
          <cell r="G264" t="str">
            <v>Q3</v>
          </cell>
          <cell r="H264">
            <v>85.371428571428567</v>
          </cell>
          <cell r="I264" t="str">
            <v>M3</v>
          </cell>
        </row>
        <row r="265">
          <cell r="D265" t="str">
            <v>n x Ts3</v>
          </cell>
        </row>
        <row r="266">
          <cell r="C266" t="str">
            <v>Koefisien Alat / M3</v>
          </cell>
          <cell r="D266" t="str">
            <v xml:space="preserve"> =  1  :  Q3</v>
          </cell>
          <cell r="G266" t="str">
            <v>(E13)</v>
          </cell>
          <cell r="H266">
            <v>1.1713520749665328E-2</v>
          </cell>
          <cell r="I266" t="str">
            <v>jam</v>
          </cell>
        </row>
        <row r="268">
          <cell r="A268" t="str">
            <v xml:space="preserve">   2.d.</v>
          </cell>
          <cell r="C268" t="str">
            <v>VIBRATORY ROLLER</v>
          </cell>
          <cell r="G268" t="str">
            <v>(E19)</v>
          </cell>
        </row>
        <row r="269">
          <cell r="C269" t="str">
            <v>Kecepatan rata-rata alat</v>
          </cell>
          <cell r="G269" t="str">
            <v>v</v>
          </cell>
          <cell r="H269">
            <v>3</v>
          </cell>
          <cell r="I269" t="str">
            <v>KM/jam</v>
          </cell>
        </row>
        <row r="270">
          <cell r="C270" t="str">
            <v>Lebar efektif pemadatan</v>
          </cell>
          <cell r="G270" t="str">
            <v>b</v>
          </cell>
          <cell r="H270">
            <v>1.2</v>
          </cell>
          <cell r="I270" t="str">
            <v>M</v>
          </cell>
        </row>
        <row r="271">
          <cell r="C271" t="str">
            <v>Jumlah lintasan</v>
          </cell>
          <cell r="G271" t="str">
            <v>n</v>
          </cell>
          <cell r="H271">
            <v>8</v>
          </cell>
          <cell r="I271" t="str">
            <v>lintasan</v>
          </cell>
        </row>
        <row r="272">
          <cell r="C272" t="str">
            <v>Faktor Efisiensi alat</v>
          </cell>
          <cell r="G272" t="str">
            <v>Fa</v>
          </cell>
          <cell r="H272">
            <v>0.83</v>
          </cell>
          <cell r="I272" t="str">
            <v>-</v>
          </cell>
        </row>
        <row r="274">
          <cell r="C274" t="str">
            <v>Kap. Prod. / jam =</v>
          </cell>
          <cell r="D274" t="str">
            <v>(v x 1000) x b x t x Fa</v>
          </cell>
          <cell r="G274" t="str">
            <v>Q4</v>
          </cell>
          <cell r="H274">
            <v>56.024999999999999</v>
          </cell>
          <cell r="I274" t="str">
            <v>M3</v>
          </cell>
        </row>
        <row r="275">
          <cell r="D275" t="str">
            <v>n</v>
          </cell>
        </row>
        <row r="276">
          <cell r="C276" t="str">
            <v>Koefisien Alat / M3</v>
          </cell>
          <cell r="D276" t="str">
            <v xml:space="preserve"> =  1  :  Q4</v>
          </cell>
          <cell r="G276" t="str">
            <v>(E19)</v>
          </cell>
          <cell r="H276">
            <v>1.7849174475680501E-2</v>
          </cell>
          <cell r="I276" t="str">
            <v>jam</v>
          </cell>
        </row>
        <row r="278">
          <cell r="A278" t="str">
            <v xml:space="preserve">   2.e.</v>
          </cell>
          <cell r="C278" t="str">
            <v>PNEUMATIC TIRE ROLLER</v>
          </cell>
          <cell r="G278" t="str">
            <v>(E18)</v>
          </cell>
        </row>
        <row r="279">
          <cell r="C279" t="str">
            <v>Kecepatan rata-rata alat</v>
          </cell>
          <cell r="G279" t="str">
            <v>v</v>
          </cell>
          <cell r="H279">
            <v>5</v>
          </cell>
          <cell r="I279" t="str">
            <v>KM/jam</v>
          </cell>
        </row>
        <row r="280">
          <cell r="C280" t="str">
            <v>Lebar efektif pemadatan</v>
          </cell>
          <cell r="G280" t="str">
            <v>b</v>
          </cell>
          <cell r="H280">
            <v>1.5</v>
          </cell>
          <cell r="I280" t="str">
            <v>M</v>
          </cell>
        </row>
        <row r="281">
          <cell r="C281" t="str">
            <v>Jumlah lintasan</v>
          </cell>
          <cell r="G281" t="str">
            <v>n</v>
          </cell>
          <cell r="H281">
            <v>4</v>
          </cell>
          <cell r="I281" t="str">
            <v>lintasan</v>
          </cell>
        </row>
        <row r="282">
          <cell r="C282" t="str">
            <v>Faktor Efisiensi alat</v>
          </cell>
          <cell r="G282" t="str">
            <v>Fa</v>
          </cell>
          <cell r="H282">
            <v>0.83</v>
          </cell>
          <cell r="I282" t="str">
            <v>-</v>
          </cell>
        </row>
        <row r="284">
          <cell r="C284" t="str">
            <v>Kap. Prod. / jam =</v>
          </cell>
          <cell r="D284" t="str">
            <v>(v x 1000) x b x t x Fa</v>
          </cell>
          <cell r="G284" t="str">
            <v>Q5</v>
          </cell>
          <cell r="H284">
            <v>233.4375</v>
          </cell>
          <cell r="I284" t="str">
            <v>M3</v>
          </cell>
        </row>
        <row r="285">
          <cell r="D285" t="str">
            <v>n</v>
          </cell>
        </row>
        <row r="286">
          <cell r="C286" t="str">
            <v>Koefisien Alat / M3</v>
          </cell>
          <cell r="D286" t="str">
            <v xml:space="preserve"> =  1  :  Q5</v>
          </cell>
          <cell r="G286" t="str">
            <v>(E18)</v>
          </cell>
          <cell r="H286">
            <v>4.2838018741633201E-3</v>
          </cell>
          <cell r="I286" t="str">
            <v>jam</v>
          </cell>
        </row>
        <row r="288">
          <cell r="A288" t="str">
            <v xml:space="preserve">   2.f.</v>
          </cell>
          <cell r="C288" t="str">
            <v>WATER TANK TRUCK</v>
          </cell>
          <cell r="G288" t="str">
            <v>(E23)</v>
          </cell>
        </row>
        <row r="289">
          <cell r="C289" t="str">
            <v>Volume tanki air</v>
          </cell>
          <cell r="G289" t="str">
            <v>V</v>
          </cell>
          <cell r="H289">
            <v>4</v>
          </cell>
          <cell r="I289" t="str">
            <v>M3</v>
          </cell>
        </row>
        <row r="290">
          <cell r="C290" t="str">
            <v>Kebutuhan air / M3 agregat padat</v>
          </cell>
          <cell r="G290" t="str">
            <v>Wc</v>
          </cell>
          <cell r="H290">
            <v>7.0000000000000007E-2</v>
          </cell>
          <cell r="I290" t="str">
            <v>M3</v>
          </cell>
        </row>
        <row r="291">
          <cell r="C291" t="str">
            <v>Pengisian tanki / jam</v>
          </cell>
          <cell r="G291" t="str">
            <v>n</v>
          </cell>
          <cell r="H291">
            <v>1</v>
          </cell>
          <cell r="I291" t="str">
            <v>kali</v>
          </cell>
        </row>
        <row r="292">
          <cell r="C292" t="str">
            <v>Faktor Efisiensi alat</v>
          </cell>
          <cell r="G292" t="str">
            <v>Fa</v>
          </cell>
          <cell r="H292">
            <v>0.83</v>
          </cell>
          <cell r="I292" t="str">
            <v>-</v>
          </cell>
        </row>
        <row r="294">
          <cell r="C294" t="str">
            <v>Kap. Prod. / jam =</v>
          </cell>
          <cell r="D294" t="str">
            <v>V x n x Fa</v>
          </cell>
          <cell r="G294" t="str">
            <v>Q6</v>
          </cell>
          <cell r="H294">
            <v>47.428571428571423</v>
          </cell>
          <cell r="I294" t="str">
            <v>M3</v>
          </cell>
        </row>
        <row r="295">
          <cell r="D295" t="str">
            <v>Wc</v>
          </cell>
        </row>
        <row r="296">
          <cell r="C296" t="str">
            <v>Koefisien Alat / M3</v>
          </cell>
          <cell r="D296" t="str">
            <v xml:space="preserve"> =  1  :  Q6</v>
          </cell>
          <cell r="G296" t="str">
            <v>(E23)</v>
          </cell>
          <cell r="H296">
            <v>2.1084337349397592E-2</v>
          </cell>
          <cell r="I296" t="str">
            <v>jam</v>
          </cell>
        </row>
        <row r="299">
          <cell r="J299" t="str">
            <v>Berlanjut ke hal. berikut</v>
          </cell>
        </row>
        <row r="300">
          <cell r="A300" t="str">
            <v>ITEM PEMBAYARAN NO.</v>
          </cell>
          <cell r="D300" t="str">
            <v>:  5.1 (2)</v>
          </cell>
          <cell r="J300" t="str">
            <v>Analisa EI-512</v>
          </cell>
        </row>
        <row r="301">
          <cell r="A301" t="str">
            <v>JENIS PEKERJAAN</v>
          </cell>
          <cell r="D301" t="str">
            <v>:  Lps. Pond. Ag. Kls. B, CBR Min 35%</v>
          </cell>
        </row>
        <row r="302">
          <cell r="A302" t="str">
            <v>SATUAN PEMBAYARAN</v>
          </cell>
          <cell r="D302" t="str">
            <v>:  M3</v>
          </cell>
          <cell r="H302" t="str">
            <v xml:space="preserve">         URAIAN ANALISA HARGA SATUAN</v>
          </cell>
        </row>
        <row r="303">
          <cell r="J303" t="str">
            <v>Lanjutan</v>
          </cell>
        </row>
        <row r="305">
          <cell r="A305" t="str">
            <v>No.</v>
          </cell>
          <cell r="C305" t="str">
            <v>U R A I A N</v>
          </cell>
          <cell r="G305" t="str">
            <v>KODE</v>
          </cell>
          <cell r="H305" t="str">
            <v>KOEF.</v>
          </cell>
          <cell r="I305" t="str">
            <v>SATUAN</v>
          </cell>
          <cell r="J305" t="str">
            <v>KETERANGAN</v>
          </cell>
        </row>
        <row r="308">
          <cell r="A308" t="str">
            <v xml:space="preserve">   2.g.</v>
          </cell>
          <cell r="C308" t="str">
            <v>ALAT BANTU</v>
          </cell>
          <cell r="J308" t="str">
            <v xml:space="preserve"> Lump Sum</v>
          </cell>
        </row>
        <row r="309">
          <cell r="C309" t="str">
            <v>Diperlukan   :</v>
          </cell>
        </row>
        <row r="310">
          <cell r="C310" t="str">
            <v>- Kereta dorong</v>
          </cell>
          <cell r="D310" t="str">
            <v>=  2  buah.</v>
          </cell>
        </row>
        <row r="311">
          <cell r="C311" t="str">
            <v>- Sekop</v>
          </cell>
          <cell r="D311" t="str">
            <v>=  3  buah.</v>
          </cell>
        </row>
        <row r="312">
          <cell r="C312" t="str">
            <v>- Garpu</v>
          </cell>
          <cell r="D312" t="str">
            <v>=  2  buah.</v>
          </cell>
        </row>
        <row r="314">
          <cell r="A314" t="str">
            <v xml:space="preserve">   3.</v>
          </cell>
          <cell r="C314" t="str">
            <v>TENAGA</v>
          </cell>
        </row>
        <row r="315">
          <cell r="C315" t="str">
            <v>Produksi menentukan : WHEEL LOADER</v>
          </cell>
          <cell r="G315" t="str">
            <v>Q1</v>
          </cell>
          <cell r="H315">
            <v>28.012500000000003</v>
          </cell>
          <cell r="I315" t="str">
            <v>M3/jam</v>
          </cell>
        </row>
        <row r="316">
          <cell r="C316" t="str">
            <v>Produksi agregat / hari  =  Tk x Q1</v>
          </cell>
          <cell r="G316" t="str">
            <v>Qt</v>
          </cell>
          <cell r="H316">
            <v>196.08750000000003</v>
          </cell>
          <cell r="I316" t="str">
            <v>M3</v>
          </cell>
        </row>
        <row r="317">
          <cell r="C317" t="str">
            <v>Kebutuhan tenaga :</v>
          </cell>
        </row>
        <row r="318">
          <cell r="D318" t="str">
            <v>- Pekerja</v>
          </cell>
          <cell r="G318" t="str">
            <v>P</v>
          </cell>
          <cell r="H318">
            <v>7</v>
          </cell>
          <cell r="I318" t="str">
            <v>orang</v>
          </cell>
        </row>
        <row r="319">
          <cell r="D319" t="str">
            <v>- Mandor</v>
          </cell>
          <cell r="G319" t="str">
            <v>M</v>
          </cell>
          <cell r="H319">
            <v>1</v>
          </cell>
          <cell r="I319" t="str">
            <v>orang</v>
          </cell>
        </row>
        <row r="321">
          <cell r="C321" t="str">
            <v>Koefisien tenaga / M3   :</v>
          </cell>
        </row>
        <row r="322">
          <cell r="D322" t="str">
            <v>- Pekerja</v>
          </cell>
          <cell r="E322" t="str">
            <v>= (Tk x P) : Qt</v>
          </cell>
          <cell r="G322" t="str">
            <v>-</v>
          </cell>
          <cell r="H322">
            <v>0.24988844265952695</v>
          </cell>
          <cell r="I322" t="str">
            <v>jam</v>
          </cell>
        </row>
        <row r="323">
          <cell r="D323" t="str">
            <v>- Mandor</v>
          </cell>
          <cell r="E323" t="str">
            <v>= (Tk x M) : Qt</v>
          </cell>
          <cell r="G323" t="str">
            <v>-</v>
          </cell>
          <cell r="H323">
            <v>3.5698348951360995E-2</v>
          </cell>
          <cell r="I323" t="str">
            <v>jam</v>
          </cell>
        </row>
        <row r="325">
          <cell r="A325" t="str">
            <v>4.</v>
          </cell>
          <cell r="C325" t="str">
            <v>HARGA DASAR SATUAN UPAH, BAHAN DAN ALAT</v>
          </cell>
        </row>
        <row r="326">
          <cell r="C326" t="str">
            <v>Lihat lampiran.</v>
          </cell>
        </row>
        <row r="328">
          <cell r="A328" t="str">
            <v>5.</v>
          </cell>
          <cell r="C328" t="str">
            <v>ANALISA HARGA SATUAN PEKERJAAN</v>
          </cell>
        </row>
        <row r="329">
          <cell r="C329" t="str">
            <v>Lihat perhitungan dalam FORMULIR STANDAR UNTUK</v>
          </cell>
        </row>
        <row r="330">
          <cell r="C330" t="str">
            <v>PEREKAMAN ANALISA MASING-MASING HARGA</v>
          </cell>
        </row>
        <row r="331">
          <cell r="C331" t="str">
            <v>SATUAN.</v>
          </cell>
        </row>
        <row r="332">
          <cell r="C332" t="str">
            <v>Didapat Harga Satuan Pekerjaan :</v>
          </cell>
        </row>
        <row r="334">
          <cell r="C334" t="str">
            <v xml:space="preserve">Rp.  </v>
          </cell>
          <cell r="D334">
            <v>339061.22823589185</v>
          </cell>
          <cell r="E334" t="str">
            <v xml:space="preserve"> / M3.</v>
          </cell>
        </row>
        <row r="337">
          <cell r="A337" t="str">
            <v>6.</v>
          </cell>
          <cell r="C337" t="str">
            <v>WAKTU PELAKSANAAN YANG DIPERLUKAN</v>
          </cell>
        </row>
        <row r="338">
          <cell r="C338" t="str">
            <v>Masa Pelaksanaan :</v>
          </cell>
          <cell r="D338" t="str">
            <v>. . . . . . . . . . . .</v>
          </cell>
          <cell r="E338" t="str">
            <v>bulan</v>
          </cell>
        </row>
        <row r="340">
          <cell r="A340" t="str">
            <v>7.</v>
          </cell>
          <cell r="C340" t="str">
            <v>VOLUME PEKERJAAN YANG DIPERLUKAN</v>
          </cell>
        </row>
        <row r="341">
          <cell r="C341" t="str">
            <v>Volume pekerjaan  :</v>
          </cell>
          <cell r="D341">
            <v>1</v>
          </cell>
          <cell r="E341" t="str">
            <v>M3</v>
          </cell>
        </row>
        <row r="359">
          <cell r="A359" t="str">
            <v>ITEM PEMBAYARAN NO.</v>
          </cell>
          <cell r="D359" t="str">
            <v>:  5.1 (3)</v>
          </cell>
          <cell r="J359" t="str">
            <v>Analisa EI-521</v>
          </cell>
          <cell r="T359" t="str">
            <v>Analisa EI-521</v>
          </cell>
        </row>
        <row r="360">
          <cell r="A360" t="str">
            <v>JENIS PEKERJAAN</v>
          </cell>
          <cell r="D360" t="str">
            <v>:  Lapis Pondasi Agregat Kelas C</v>
          </cell>
        </row>
        <row r="361">
          <cell r="A361" t="str">
            <v>SATUAN PEMBAYARAN</v>
          </cell>
          <cell r="D361" t="str">
            <v>:  M3</v>
          </cell>
          <cell r="H361" t="str">
            <v xml:space="preserve">         URAIAN ANALISA HARGA SATUAN</v>
          </cell>
          <cell r="L361" t="str">
            <v>FORMULIR STANDAR UNTUK</v>
          </cell>
        </row>
        <row r="362">
          <cell r="L362" t="str">
            <v>PEREKAMAN ANALISA MASING-MASING HARGA SATUAN</v>
          </cell>
        </row>
        <row r="363">
          <cell r="L363" t="str">
            <v/>
          </cell>
        </row>
        <row r="364">
          <cell r="A364" t="str">
            <v>No.</v>
          </cell>
          <cell r="C364" t="str">
            <v>U R A I A N</v>
          </cell>
          <cell r="G364" t="str">
            <v>KODE</v>
          </cell>
          <cell r="H364" t="str">
            <v>KOEF.</v>
          </cell>
          <cell r="I364" t="str">
            <v>SATUAN</v>
          </cell>
          <cell r="J364" t="str">
            <v>KETERANGAN</v>
          </cell>
        </row>
        <row r="366">
          <cell r="L366" t="str">
            <v>PROYEK</v>
          </cell>
          <cell r="O366" t="str">
            <v xml:space="preserve">:  </v>
          </cell>
        </row>
        <row r="367">
          <cell r="A367" t="str">
            <v>I.</v>
          </cell>
          <cell r="C367" t="str">
            <v>ASUMSI</v>
          </cell>
          <cell r="L367" t="str">
            <v>No. PAKET KONTRAK</v>
          </cell>
          <cell r="O367" t="str">
            <v xml:space="preserve">:  </v>
          </cell>
        </row>
        <row r="368">
          <cell r="A368">
            <v>1</v>
          </cell>
          <cell r="C368" t="str">
            <v>Menggunakan alat berat (cara mekanik)</v>
          </cell>
          <cell r="L368" t="str">
            <v>NAMA PAKET</v>
          </cell>
          <cell r="O368" t="str">
            <v xml:space="preserve">:  </v>
          </cell>
        </row>
        <row r="369">
          <cell r="A369">
            <v>2</v>
          </cell>
          <cell r="C369" t="str">
            <v>Lokasi pekerjaan : sepanjang jalan</v>
          </cell>
          <cell r="L369" t="str">
            <v>PROP / KAB / KODYA</v>
          </cell>
          <cell r="O369" t="str">
            <v xml:space="preserve">:  </v>
          </cell>
        </row>
        <row r="370">
          <cell r="A370">
            <v>3</v>
          </cell>
          <cell r="C370" t="str">
            <v>Kondisi existing jalan : sedang</v>
          </cell>
          <cell r="L370" t="str">
            <v>ITEM PEMBAYARAN NO.</v>
          </cell>
          <cell r="O370" t="str">
            <v>:  5.1 (3)</v>
          </cell>
          <cell r="R370" t="str">
            <v>PERKIRAAN VOL. PEK.</v>
          </cell>
          <cell r="T370" t="str">
            <v>:</v>
          </cell>
          <cell r="U370">
            <v>1</v>
          </cell>
        </row>
        <row r="371">
          <cell r="A371">
            <v>4</v>
          </cell>
          <cell r="C371" t="str">
            <v>Jarak rata-rata Base Camp ke lokasi pekerjaan</v>
          </cell>
          <cell r="G371" t="str">
            <v>L</v>
          </cell>
          <cell r="H371">
            <v>8.7249999999999996</v>
          </cell>
          <cell r="I371" t="str">
            <v>KM</v>
          </cell>
          <cell r="L371" t="str">
            <v>JENIS PEKERJAAN</v>
          </cell>
          <cell r="O371" t="str">
            <v>:  Lapis Pondasi Agregat Kelas C</v>
          </cell>
          <cell r="R371" t="str">
            <v>TOTAL HARGA</v>
          </cell>
          <cell r="T371" t="str">
            <v>:</v>
          </cell>
          <cell r="U371">
            <v>252395.66</v>
          </cell>
        </row>
        <row r="372">
          <cell r="A372">
            <v>5</v>
          </cell>
          <cell r="C372" t="str">
            <v>Tebal lapis Agregat padat</v>
          </cell>
          <cell r="G372" t="str">
            <v>t</v>
          </cell>
          <cell r="H372">
            <v>0.15</v>
          </cell>
          <cell r="I372" t="str">
            <v>M</v>
          </cell>
          <cell r="L372" t="str">
            <v>SATUAN PEMBAYARAN</v>
          </cell>
          <cell r="O372" t="str">
            <v>:  M3</v>
          </cell>
          <cell r="R372" t="str">
            <v>% THD. BIAYA PROYEK</v>
          </cell>
          <cell r="T372" t="str">
            <v>:</v>
          </cell>
          <cell r="U372">
            <v>6.005925037550471E-3</v>
          </cell>
        </row>
        <row r="373">
          <cell r="A373">
            <v>6</v>
          </cell>
          <cell r="C373" t="str">
            <v>Faktor kembang material (Padat-Lepas)</v>
          </cell>
          <cell r="G373" t="str">
            <v>Fk</v>
          </cell>
          <cell r="H373">
            <v>1.35</v>
          </cell>
          <cell r="I373" t="str">
            <v>-</v>
          </cell>
        </row>
        <row r="374">
          <cell r="A374">
            <v>7</v>
          </cell>
          <cell r="C374" t="str">
            <v>Jam kerja efektif per-hari</v>
          </cell>
          <cell r="G374" t="str">
            <v>Tk</v>
          </cell>
          <cell r="H374">
            <v>7</v>
          </cell>
          <cell r="I374" t="str">
            <v>Jam</v>
          </cell>
        </row>
        <row r="375">
          <cell r="Q375" t="str">
            <v>PERKIRAAN</v>
          </cell>
          <cell r="R375" t="str">
            <v>HARGA</v>
          </cell>
          <cell r="S375" t="str">
            <v>JUMLAH</v>
          </cell>
        </row>
        <row r="376">
          <cell r="A376" t="str">
            <v>II.</v>
          </cell>
          <cell r="C376" t="str">
            <v>URUTAN KERJA</v>
          </cell>
          <cell r="L376" t="str">
            <v>NO.</v>
          </cell>
          <cell r="N376" t="str">
            <v>KOMPONEN</v>
          </cell>
          <cell r="P376" t="str">
            <v>SATUAN</v>
          </cell>
          <cell r="Q376" t="str">
            <v>KUANTITAS</v>
          </cell>
          <cell r="R376" t="str">
            <v>SATUAN</v>
          </cell>
          <cell r="S376" t="str">
            <v>HARGA</v>
          </cell>
        </row>
        <row r="377">
          <cell r="A377">
            <v>1</v>
          </cell>
          <cell r="C377" t="str">
            <v>Wheel Loader memuat Agregat ke dalam Dump</v>
          </cell>
          <cell r="R377" t="str">
            <v>(Rp.)</v>
          </cell>
          <cell r="S377" t="str">
            <v>(Rp.)</v>
          </cell>
        </row>
        <row r="378">
          <cell r="C378" t="str">
            <v>Tuck di Base Camp</v>
          </cell>
        </row>
        <row r="379">
          <cell r="A379">
            <v>2</v>
          </cell>
          <cell r="C379" t="str">
            <v>Dump Truck mengangkut Agregat ke lokasi</v>
          </cell>
        </row>
        <row r="380">
          <cell r="C380" t="str">
            <v>pekerjaandan dihampar dengan Motor Grader</v>
          </cell>
          <cell r="L380" t="str">
            <v>A.</v>
          </cell>
          <cell r="N380" t="str">
            <v>TENAGA</v>
          </cell>
        </row>
        <row r="381">
          <cell r="A381">
            <v>3</v>
          </cell>
          <cell r="C381" t="str">
            <v>Hamparan Agregat dibasahi dengan Water Tank</v>
          </cell>
        </row>
        <row r="382">
          <cell r="C382" t="str">
            <v>Truck sebelum dipadatkan dengan Tandem</v>
          </cell>
          <cell r="L382" t="str">
            <v>1.</v>
          </cell>
          <cell r="N382" t="str">
            <v>Pekerja</v>
          </cell>
          <cell r="O382" t="str">
            <v>(L01)</v>
          </cell>
          <cell r="P382" t="str">
            <v>Jam</v>
          </cell>
          <cell r="Q382">
            <v>7.0281124497991981E-2</v>
          </cell>
          <cell r="R382">
            <v>2857.14</v>
          </cell>
          <cell r="U382">
            <v>200.80301204819281</v>
          </cell>
        </row>
        <row r="383">
          <cell r="C383" t="str">
            <v>Roller dan Pneumatic  Tire Roller</v>
          </cell>
          <cell r="L383" t="str">
            <v>2.</v>
          </cell>
          <cell r="N383" t="str">
            <v>Mandor</v>
          </cell>
          <cell r="O383" t="str">
            <v>(L03)</v>
          </cell>
          <cell r="P383" t="str">
            <v>Jam</v>
          </cell>
          <cell r="Q383">
            <v>1.0040160642570283E-2</v>
          </cell>
          <cell r="R383">
            <v>3214.29</v>
          </cell>
          <cell r="U383">
            <v>32.271987951807233</v>
          </cell>
        </row>
        <row r="384">
          <cell r="A384">
            <v>4</v>
          </cell>
          <cell r="C384" t="str">
            <v>Selama pemadatan sekelompok pekerja akan</v>
          </cell>
        </row>
        <row r="385">
          <cell r="C385" t="str">
            <v>merapikan tepi hamparan dan level permukaan</v>
          </cell>
        </row>
        <row r="386">
          <cell r="C386" t="str">
            <v>dengan menggunakan alat bantu</v>
          </cell>
          <cell r="Q386" t="str">
            <v xml:space="preserve">JUMLAH HARGA TENAGA   </v>
          </cell>
          <cell r="U386">
            <v>233.07500000000005</v>
          </cell>
        </row>
        <row r="388">
          <cell r="A388" t="str">
            <v>III.</v>
          </cell>
          <cell r="C388" t="str">
            <v>PEMAKAIAN BAHAN, ALAT DAN TENAGA</v>
          </cell>
          <cell r="L388" t="str">
            <v>B.</v>
          </cell>
          <cell r="N388" t="str">
            <v>BAHAN</v>
          </cell>
        </row>
        <row r="390">
          <cell r="A390" t="str">
            <v xml:space="preserve">   1.</v>
          </cell>
          <cell r="C390" t="str">
            <v>BAHAN</v>
          </cell>
          <cell r="L390" t="str">
            <v>1.</v>
          </cell>
          <cell r="N390" t="str">
            <v>Agregat Kelas C1 (M28)</v>
          </cell>
          <cell r="P390" t="str">
            <v>M3</v>
          </cell>
          <cell r="Q390">
            <v>1.35</v>
          </cell>
          <cell r="R390">
            <v>141787.08464737452</v>
          </cell>
          <cell r="U390">
            <v>191412.56427395562</v>
          </cell>
        </row>
        <row r="391">
          <cell r="C391" t="str">
            <v>Material Agregat Kelas C hasil produksi di Base Camp</v>
          </cell>
        </row>
        <row r="392">
          <cell r="C392" t="str">
            <v>Setiap 1 M3 Agregat padat diperlukan : 1 x Fk</v>
          </cell>
          <cell r="G392" t="str">
            <v>(M28)</v>
          </cell>
          <cell r="H392">
            <v>1.35</v>
          </cell>
          <cell r="I392" t="str">
            <v>M3</v>
          </cell>
          <cell r="J392" t="str">
            <v xml:space="preserve"> Agregat lepas</v>
          </cell>
        </row>
        <row r="394">
          <cell r="A394" t="str">
            <v xml:space="preserve">   2.</v>
          </cell>
          <cell r="C394" t="str">
            <v>ALAT</v>
          </cell>
        </row>
        <row r="395">
          <cell r="A395" t="str">
            <v>2.a.</v>
          </cell>
          <cell r="C395" t="str">
            <v>WHEEL LOADER</v>
          </cell>
          <cell r="G395" t="str">
            <v>(E15)</v>
          </cell>
        </row>
        <row r="396">
          <cell r="C396" t="str">
            <v>Kapasitas bucket</v>
          </cell>
          <cell r="G396" t="str">
            <v>V</v>
          </cell>
          <cell r="H396">
            <v>1.5</v>
          </cell>
          <cell r="I396" t="str">
            <v>M3</v>
          </cell>
          <cell r="Q396" t="str">
            <v xml:space="preserve">JUMLAH HARGA BAHAN   </v>
          </cell>
          <cell r="U396">
            <v>191412.56427395562</v>
          </cell>
        </row>
        <row r="397">
          <cell r="C397" t="str">
            <v>Faktor bucket</v>
          </cell>
          <cell r="G397" t="str">
            <v>Fb</v>
          </cell>
          <cell r="H397">
            <v>0.9</v>
          </cell>
          <cell r="I397" t="str">
            <v>-</v>
          </cell>
          <cell r="J397" t="str">
            <v>Pemuatan ringan</v>
          </cell>
        </row>
        <row r="398">
          <cell r="C398" t="str">
            <v>Faktor Efisiensi alat</v>
          </cell>
          <cell r="G398" t="str">
            <v>Fa</v>
          </cell>
          <cell r="H398">
            <v>0.83</v>
          </cell>
          <cell r="I398" t="str">
            <v>-</v>
          </cell>
          <cell r="L398" t="str">
            <v>C.</v>
          </cell>
          <cell r="N398" t="str">
            <v>PERALATAN</v>
          </cell>
        </row>
        <row r="399">
          <cell r="C399" t="str">
            <v>Waktu siklus</v>
          </cell>
          <cell r="G399" t="str">
            <v>Ts1</v>
          </cell>
        </row>
        <row r="400">
          <cell r="C400" t="str">
            <v>- Muat</v>
          </cell>
          <cell r="G400" t="str">
            <v>T1</v>
          </cell>
          <cell r="H400">
            <v>0.25</v>
          </cell>
          <cell r="I400" t="str">
            <v>menit</v>
          </cell>
          <cell r="L400" t="str">
            <v>1.</v>
          </cell>
          <cell r="N400" t="str">
            <v>Wheel Loader</v>
          </cell>
          <cell r="O400" t="str">
            <v>(E15)</v>
          </cell>
          <cell r="P400" t="str">
            <v>Jam</v>
          </cell>
          <cell r="Q400">
            <v>1.0040160642570281E-2</v>
          </cell>
          <cell r="R400">
            <v>163808.13869490434</v>
          </cell>
          <cell r="U400">
            <v>1644.6600270572724</v>
          </cell>
        </row>
        <row r="401">
          <cell r="C401" t="str">
            <v>- Lain-lain</v>
          </cell>
          <cell r="G401" t="str">
            <v>T2</v>
          </cell>
          <cell r="H401">
            <v>0.25</v>
          </cell>
          <cell r="I401" t="str">
            <v>menit</v>
          </cell>
          <cell r="L401" t="str">
            <v>2.</v>
          </cell>
          <cell r="N401" t="str">
            <v>Dump Truck</v>
          </cell>
          <cell r="O401" t="str">
            <v>(E08)</v>
          </cell>
          <cell r="P401" t="str">
            <v>Jam</v>
          </cell>
          <cell r="Q401">
            <v>0.17463233959936131</v>
          </cell>
          <cell r="R401">
            <v>153645.58193291764</v>
          </cell>
          <cell r="U401">
            <v>26831.487442050766</v>
          </cell>
        </row>
        <row r="402">
          <cell r="G402" t="str">
            <v>Ts1</v>
          </cell>
          <cell r="H402">
            <v>0.5</v>
          </cell>
          <cell r="I402" t="str">
            <v>menit</v>
          </cell>
          <cell r="L402" t="str">
            <v>3.</v>
          </cell>
          <cell r="N402" t="str">
            <v>Motor Grader</v>
          </cell>
          <cell r="O402" t="str">
            <v>(E13)</v>
          </cell>
          <cell r="P402" t="str">
            <v>Jam</v>
          </cell>
          <cell r="Q402">
            <v>1.1713520749665328E-2</v>
          </cell>
          <cell r="R402">
            <v>201666.62574070093</v>
          </cell>
          <cell r="U402">
            <v>2362.2262051286921</v>
          </cell>
        </row>
        <row r="403">
          <cell r="L403" t="str">
            <v>4.</v>
          </cell>
          <cell r="N403" t="str">
            <v>Vibratory Roller</v>
          </cell>
          <cell r="O403" t="str">
            <v>(E19)</v>
          </cell>
          <cell r="P403" t="str">
            <v>Jam</v>
          </cell>
          <cell r="Q403">
            <v>2.1419009370816599E-2</v>
          </cell>
          <cell r="R403">
            <v>234734.82748629327</v>
          </cell>
          <cell r="U403">
            <v>5027.7874695859336</v>
          </cell>
        </row>
        <row r="404">
          <cell r="C404" t="str">
            <v>Kap. Prod. / jam =</v>
          </cell>
          <cell r="D404" t="str">
            <v>V x Fb x Fa x 60</v>
          </cell>
          <cell r="G404" t="str">
            <v>Q1</v>
          </cell>
          <cell r="H404">
            <v>99.6</v>
          </cell>
          <cell r="I404" t="str">
            <v>M3</v>
          </cell>
          <cell r="L404" t="str">
            <v>5.</v>
          </cell>
          <cell r="N404" t="str">
            <v>P. Tyre Roller</v>
          </cell>
          <cell r="O404" t="str">
            <v>(E18)</v>
          </cell>
          <cell r="P404" t="str">
            <v>Jam</v>
          </cell>
          <cell r="Q404">
            <v>4.2838018741633201E-3</v>
          </cell>
          <cell r="R404">
            <v>113384.24751021285</v>
          </cell>
          <cell r="U404">
            <v>485.71565198484757</v>
          </cell>
        </row>
        <row r="405">
          <cell r="D405" t="str">
            <v>Fk x Ts1</v>
          </cell>
          <cell r="L405" t="str">
            <v>6.</v>
          </cell>
          <cell r="N405" t="str">
            <v>Water Tanker</v>
          </cell>
          <cell r="O405" t="str">
            <v>(E23)</v>
          </cell>
          <cell r="P405" t="str">
            <v>Jam</v>
          </cell>
          <cell r="Q405">
            <v>2.1084337349397592E-2</v>
          </cell>
          <cell r="R405">
            <v>67020.510980434308</v>
          </cell>
          <cell r="U405">
            <v>1413.0830628404826</v>
          </cell>
        </row>
        <row r="406">
          <cell r="C406" t="str">
            <v>Koefisien Alat / M3</v>
          </cell>
          <cell r="D406" t="str">
            <v xml:space="preserve"> =  1  :  Q1</v>
          </cell>
          <cell r="G406" t="str">
            <v>(E15)</v>
          </cell>
          <cell r="H406">
            <v>1.0040160642570281E-2</v>
          </cell>
          <cell r="I406" t="str">
            <v>Jam</v>
          </cell>
          <cell r="L406" t="str">
            <v>7.</v>
          </cell>
          <cell r="N406" t="str">
            <v>Alat Bantu</v>
          </cell>
          <cell r="P406" t="str">
            <v>Ls</v>
          </cell>
          <cell r="Q406">
            <v>1</v>
          </cell>
          <cell r="R406">
            <v>40</v>
          </cell>
          <cell r="U406">
            <v>40</v>
          </cell>
        </row>
        <row r="408">
          <cell r="A408" t="str">
            <v>2.b.</v>
          </cell>
          <cell r="C408" t="str">
            <v>DUMP TRUCK</v>
          </cell>
          <cell r="G408" t="str">
            <v>(E08)</v>
          </cell>
          <cell r="Q408" t="str">
            <v xml:space="preserve">JUMLAH HARGA PERALATAN   </v>
          </cell>
          <cell r="U408">
            <v>37804.959858647991</v>
          </cell>
        </row>
        <row r="409">
          <cell r="C409" t="str">
            <v>Kapasitas bak</v>
          </cell>
          <cell r="G409" t="str">
            <v>V</v>
          </cell>
          <cell r="H409">
            <v>4</v>
          </cell>
          <cell r="I409" t="str">
            <v>M3</v>
          </cell>
        </row>
        <row r="410">
          <cell r="C410" t="str">
            <v>Faktor Efisiensi alat</v>
          </cell>
          <cell r="G410" t="str">
            <v>Fa</v>
          </cell>
          <cell r="H410">
            <v>0.83</v>
          </cell>
          <cell r="I410" t="str">
            <v>-</v>
          </cell>
          <cell r="L410" t="str">
            <v>D.</v>
          </cell>
          <cell r="N410" t="str">
            <v>JUMLAH HARGA TENAGA, BAHAN DAN PERALATAN  ( A + B + C )</v>
          </cell>
          <cell r="U410">
            <v>229450.59913260362</v>
          </cell>
        </row>
        <row r="411">
          <cell r="C411" t="str">
            <v>Kecepatan rata-rata bermuatan</v>
          </cell>
          <cell r="G411" t="str">
            <v>v1</v>
          </cell>
          <cell r="H411">
            <v>45</v>
          </cell>
          <cell r="I411" t="str">
            <v>KM / Jam</v>
          </cell>
          <cell r="L411" t="str">
            <v>E.</v>
          </cell>
          <cell r="N411" t="str">
            <v>OVERHEAD &amp; PROFIT</v>
          </cell>
          <cell r="P411">
            <v>10</v>
          </cell>
          <cell r="Q411" t="str">
            <v>%  x  D</v>
          </cell>
          <cell r="U411">
            <v>22945.059913260364</v>
          </cell>
        </row>
        <row r="412">
          <cell r="C412" t="str">
            <v>Kecepatan rata-rata kosong</v>
          </cell>
          <cell r="G412" t="str">
            <v>v2</v>
          </cell>
          <cell r="H412">
            <v>60</v>
          </cell>
          <cell r="I412" t="str">
            <v>KM / Jam</v>
          </cell>
          <cell r="L412" t="str">
            <v>F.</v>
          </cell>
          <cell r="N412" t="str">
            <v>HARGA SATUAN PEKERJAAN  ( D + E )</v>
          </cell>
          <cell r="U412">
            <v>252395.65904586398</v>
          </cell>
        </row>
        <row r="413">
          <cell r="C413" t="str">
            <v>Waktu Siklus  :  - Waktu memuat = V : Q1 x 60</v>
          </cell>
          <cell r="G413" t="str">
            <v>T1</v>
          </cell>
          <cell r="H413">
            <v>2.4096385542168672</v>
          </cell>
          <cell r="I413" t="str">
            <v>menit</v>
          </cell>
          <cell r="L413" t="str">
            <v>Note: 1</v>
          </cell>
          <cell r="N413" t="str">
            <v>SATUAN dapat berdasarkan atas jam operasi untuk Tenaga Kerja dan Peralatan, volume dan/atau ukuran</v>
          </cell>
        </row>
        <row r="414">
          <cell r="C414" t="str">
            <v>- Waktu tempuh isi  =  (L : v1) x 60 menit</v>
          </cell>
          <cell r="G414" t="str">
            <v>T2</v>
          </cell>
          <cell r="H414">
            <v>11.633333333333333</v>
          </cell>
          <cell r="I414" t="str">
            <v>menit</v>
          </cell>
          <cell r="N414" t="str">
            <v>berat untuk bahan-bahan.</v>
          </cell>
        </row>
        <row r="415">
          <cell r="C415" t="str">
            <v>- Waktu tempuh kosong  =  (L : v2) x 60 menit</v>
          </cell>
          <cell r="G415" t="str">
            <v>T3</v>
          </cell>
          <cell r="H415">
            <v>8.7249999999999996</v>
          </cell>
          <cell r="I415" t="str">
            <v>menit</v>
          </cell>
          <cell r="L415">
            <v>2</v>
          </cell>
          <cell r="N415" t="str">
            <v>Kuantitas satuan adalah kuantitas setiap komponen untuk menyelesaikan satu satuan pekerjaan dari nomor</v>
          </cell>
        </row>
        <row r="416">
          <cell r="C416" t="str">
            <v>- Dump dan lain-lain</v>
          </cell>
          <cell r="G416" t="str">
            <v>T4</v>
          </cell>
          <cell r="H416">
            <v>3</v>
          </cell>
          <cell r="I416" t="str">
            <v>menit</v>
          </cell>
          <cell r="N416" t="str">
            <v>mata pembayaran.</v>
          </cell>
        </row>
        <row r="417">
          <cell r="G417" t="str">
            <v>Ts2</v>
          </cell>
          <cell r="H417">
            <v>25.7679718875502</v>
          </cell>
          <cell r="I417" t="str">
            <v>menit</v>
          </cell>
          <cell r="L417">
            <v>3</v>
          </cell>
          <cell r="N417" t="str">
            <v>Biaya satuan untuk peralatan sudah termasuk bahan bakar, bahan habis dipakai dan operator.</v>
          </cell>
        </row>
        <row r="418">
          <cell r="L418">
            <v>4</v>
          </cell>
          <cell r="N418" t="str">
            <v>Biaya satuan sudah termasuk pengeluaran untuk seluruh pajak yang berkaitan (tetapi tidak termasuk PPN</v>
          </cell>
        </row>
        <row r="419">
          <cell r="J419" t="str">
            <v>Berlanjut ke hal. berikut</v>
          </cell>
          <cell r="N419" t="str">
            <v>yang dibayar dari kontrak) dan biaya-biaya lainnya.</v>
          </cell>
        </row>
        <row r="420">
          <cell r="A420" t="str">
            <v>ITEM PEMBAYARAN NO.</v>
          </cell>
          <cell r="D420" t="str">
            <v>:  5.1 (3)</v>
          </cell>
          <cell r="J420" t="str">
            <v>Analisa EI-521</v>
          </cell>
        </row>
        <row r="421">
          <cell r="A421" t="str">
            <v>JENIS PEKERJAAN</v>
          </cell>
          <cell r="D421" t="str">
            <v>:  Lapis Pondasi Agregat Kelas C</v>
          </cell>
        </row>
        <row r="422">
          <cell r="A422" t="str">
            <v>SATUAN PEMBAYARAN</v>
          </cell>
          <cell r="D422" t="str">
            <v>:  M3</v>
          </cell>
          <cell r="H422" t="str">
            <v xml:space="preserve">         URAIAN ANALISA HARGA SATUAN</v>
          </cell>
        </row>
        <row r="423">
          <cell r="J423" t="str">
            <v>Lanjutan</v>
          </cell>
        </row>
        <row r="425">
          <cell r="A425" t="str">
            <v>No.</v>
          </cell>
          <cell r="C425" t="str">
            <v>U R A I A N</v>
          </cell>
          <cell r="G425" t="str">
            <v>KODE</v>
          </cell>
          <cell r="H425" t="str">
            <v>KOEF.</v>
          </cell>
          <cell r="I425" t="str">
            <v>SATUAN</v>
          </cell>
          <cell r="J425" t="str">
            <v>KETERANGAN</v>
          </cell>
        </row>
        <row r="428">
          <cell r="C428" t="str">
            <v xml:space="preserve">Kap. Prod./jam = </v>
          </cell>
          <cell r="D428" t="str">
            <v>V x Fa x 60</v>
          </cell>
          <cell r="G428" t="str">
            <v>Q2</v>
          </cell>
          <cell r="H428">
            <v>5.7263162269610763</v>
          </cell>
          <cell r="I428" t="str">
            <v>M3</v>
          </cell>
        </row>
        <row r="429">
          <cell r="D429" t="str">
            <v>Fk x Ts2</v>
          </cell>
        </row>
        <row r="430">
          <cell r="C430" t="str">
            <v>Koefisien Alat / M3</v>
          </cell>
          <cell r="D430" t="str">
            <v xml:space="preserve"> = 1 : Q2</v>
          </cell>
          <cell r="G430" t="str">
            <v>(E08)</v>
          </cell>
          <cell r="H430">
            <v>0.17463233959936131</v>
          </cell>
          <cell r="I430" t="str">
            <v>Jam</v>
          </cell>
        </row>
        <row r="432">
          <cell r="A432" t="str">
            <v>2.c.</v>
          </cell>
          <cell r="C432" t="str">
            <v>MOTOR GRADER</v>
          </cell>
          <cell r="G432" t="str">
            <v>(E13)</v>
          </cell>
        </row>
        <row r="433">
          <cell r="C433" t="str">
            <v>Panjang hamparan</v>
          </cell>
          <cell r="G433" t="str">
            <v>Lh</v>
          </cell>
          <cell r="H433">
            <v>50</v>
          </cell>
          <cell r="I433" t="str">
            <v>M</v>
          </cell>
        </row>
        <row r="434">
          <cell r="C434" t="str">
            <v>Lebar efektif kerja blade</v>
          </cell>
          <cell r="G434" t="str">
            <v>b</v>
          </cell>
          <cell r="H434">
            <v>2.4</v>
          </cell>
          <cell r="I434" t="str">
            <v>M</v>
          </cell>
        </row>
        <row r="435">
          <cell r="C435" t="str">
            <v>Faktor Efisiensi alat</v>
          </cell>
          <cell r="G435" t="str">
            <v>Fa</v>
          </cell>
          <cell r="H435">
            <v>0.83</v>
          </cell>
          <cell r="I435" t="str">
            <v>-</v>
          </cell>
        </row>
        <row r="436">
          <cell r="C436" t="str">
            <v>Kecepatan rata-rata alat</v>
          </cell>
          <cell r="G436" t="str">
            <v>v</v>
          </cell>
          <cell r="H436">
            <v>4</v>
          </cell>
          <cell r="I436" t="str">
            <v>KM / Jam</v>
          </cell>
        </row>
        <row r="437">
          <cell r="C437" t="str">
            <v>Jumlah lintasan</v>
          </cell>
          <cell r="G437" t="str">
            <v>n</v>
          </cell>
          <cell r="H437">
            <v>6</v>
          </cell>
          <cell r="I437" t="str">
            <v>lintasan</v>
          </cell>
          <cell r="J437" t="str">
            <v>3 x pp</v>
          </cell>
        </row>
        <row r="438">
          <cell r="C438" t="str">
            <v>Waktu Siklus</v>
          </cell>
          <cell r="G438" t="str">
            <v>Ts3</v>
          </cell>
        </row>
        <row r="439">
          <cell r="C439" t="str">
            <v>- Perataan 1 lintasan  = (Lh x 60) : (v x 1000)</v>
          </cell>
          <cell r="G439" t="str">
            <v>T1</v>
          </cell>
          <cell r="H439">
            <v>0.75</v>
          </cell>
          <cell r="I439" t="str">
            <v>menit</v>
          </cell>
        </row>
        <row r="440">
          <cell r="C440" t="str">
            <v>- Lain-lain</v>
          </cell>
          <cell r="G440" t="str">
            <v>T2</v>
          </cell>
          <cell r="H440">
            <v>1</v>
          </cell>
          <cell r="I440" t="str">
            <v>menit</v>
          </cell>
        </row>
        <row r="441">
          <cell r="G441" t="str">
            <v>Ts3</v>
          </cell>
          <cell r="H441">
            <v>1.75</v>
          </cell>
          <cell r="I441" t="str">
            <v>menit</v>
          </cell>
        </row>
        <row r="443">
          <cell r="C443" t="str">
            <v>Kap.Prod. / jam =</v>
          </cell>
          <cell r="D443" t="str">
            <v>Lh x b x t x Fa x 60</v>
          </cell>
          <cell r="G443" t="str">
            <v>Q3</v>
          </cell>
          <cell r="H443">
            <v>85.371428571428567</v>
          </cell>
          <cell r="I443" t="str">
            <v>M3</v>
          </cell>
        </row>
        <row r="444">
          <cell r="D444" t="str">
            <v>n x Ts3</v>
          </cell>
        </row>
        <row r="445">
          <cell r="C445" t="str">
            <v>Koefisien Alat / M3</v>
          </cell>
          <cell r="D445" t="str">
            <v xml:space="preserve"> = 1 : Q3</v>
          </cell>
          <cell r="G445" t="str">
            <v>(E13)</v>
          </cell>
          <cell r="H445">
            <v>1.1713520749665328E-2</v>
          </cell>
          <cell r="I445" t="str">
            <v>Jam</v>
          </cell>
        </row>
        <row r="447">
          <cell r="A447" t="str">
            <v>2.d.</v>
          </cell>
          <cell r="C447" t="str">
            <v>VIBRATORY ROLLER</v>
          </cell>
          <cell r="G447" t="str">
            <v>(E19)</v>
          </cell>
        </row>
        <row r="448">
          <cell r="C448" t="str">
            <v>Kecepatan rata-rata</v>
          </cell>
          <cell r="G448" t="str">
            <v>v</v>
          </cell>
          <cell r="H448">
            <v>2.5</v>
          </cell>
          <cell r="I448" t="str">
            <v>KM / Jam</v>
          </cell>
        </row>
        <row r="449">
          <cell r="C449" t="str">
            <v>Lebar efektif pemadatan</v>
          </cell>
          <cell r="G449" t="str">
            <v>b</v>
          </cell>
          <cell r="H449">
            <v>1.2</v>
          </cell>
          <cell r="I449" t="str">
            <v>M</v>
          </cell>
        </row>
        <row r="450">
          <cell r="C450" t="str">
            <v>Jumlah lintasan</v>
          </cell>
          <cell r="G450" t="str">
            <v>n</v>
          </cell>
          <cell r="H450">
            <v>8</v>
          </cell>
          <cell r="I450" t="str">
            <v>lintasan</v>
          </cell>
        </row>
        <row r="451">
          <cell r="C451" t="str">
            <v>Faktor Efisiensi alat</v>
          </cell>
          <cell r="G451" t="str">
            <v>Fa</v>
          </cell>
          <cell r="H451">
            <v>0.83</v>
          </cell>
          <cell r="I451" t="str">
            <v>-</v>
          </cell>
        </row>
        <row r="453">
          <cell r="C453" t="str">
            <v>Kap.Prod. / jam =</v>
          </cell>
          <cell r="D453" t="str">
            <v>(v x 1000) x b x t x Fa</v>
          </cell>
          <cell r="G453" t="str">
            <v>Q4</v>
          </cell>
          <cell r="H453">
            <v>46.6875</v>
          </cell>
          <cell r="I453" t="str">
            <v>M3</v>
          </cell>
        </row>
        <row r="454">
          <cell r="D454" t="str">
            <v>n</v>
          </cell>
        </row>
        <row r="455">
          <cell r="C455" t="str">
            <v>Koefisien Alat / M3</v>
          </cell>
          <cell r="D455" t="str">
            <v xml:space="preserve"> = 1 : Q4</v>
          </cell>
          <cell r="G455" t="str">
            <v>(E19)</v>
          </cell>
          <cell r="H455">
            <v>2.1419009370816599E-2</v>
          </cell>
          <cell r="I455" t="str">
            <v>Jam</v>
          </cell>
        </row>
        <row r="457">
          <cell r="A457" t="str">
            <v>2.e.</v>
          </cell>
          <cell r="C457" t="str">
            <v>PNEUMATIC TIRE ROLLER</v>
          </cell>
          <cell r="G457" t="str">
            <v>(E18)</v>
          </cell>
        </row>
        <row r="458">
          <cell r="C458" t="str">
            <v>Kecepatan rata-rata alat</v>
          </cell>
          <cell r="G458" t="str">
            <v>v</v>
          </cell>
          <cell r="H458">
            <v>5</v>
          </cell>
          <cell r="I458" t="str">
            <v>KM / Jam</v>
          </cell>
        </row>
        <row r="459">
          <cell r="C459" t="str">
            <v>Lebar efektif pemadatan</v>
          </cell>
          <cell r="G459" t="str">
            <v>b</v>
          </cell>
          <cell r="H459">
            <v>1.5</v>
          </cell>
          <cell r="I459" t="str">
            <v>M</v>
          </cell>
        </row>
        <row r="460">
          <cell r="C460" t="str">
            <v>Jumlah lintasan</v>
          </cell>
          <cell r="G460" t="str">
            <v>n</v>
          </cell>
          <cell r="H460">
            <v>4</v>
          </cell>
          <cell r="I460" t="str">
            <v>lintasan</v>
          </cell>
        </row>
        <row r="461">
          <cell r="C461" t="str">
            <v>Faktor Efisiensi alat</v>
          </cell>
          <cell r="G461" t="str">
            <v>Fa</v>
          </cell>
          <cell r="H461">
            <v>0.83</v>
          </cell>
          <cell r="I461" t="str">
            <v>-</v>
          </cell>
        </row>
        <row r="463">
          <cell r="C463" t="str">
            <v>Kap.Prod. / jam =</v>
          </cell>
          <cell r="D463" t="str">
            <v>(v x 1000) x b x t x Fa</v>
          </cell>
          <cell r="G463" t="str">
            <v>Q5</v>
          </cell>
          <cell r="H463">
            <v>233.4375</v>
          </cell>
          <cell r="I463" t="str">
            <v>M3</v>
          </cell>
        </row>
        <row r="464">
          <cell r="D464" t="str">
            <v>n</v>
          </cell>
        </row>
        <row r="465">
          <cell r="C465" t="str">
            <v>Koefisien Alat / M3</v>
          </cell>
          <cell r="D465" t="str">
            <v xml:space="preserve"> = 1 : Q5</v>
          </cell>
          <cell r="G465" t="str">
            <v>(E18)</v>
          </cell>
          <cell r="H465">
            <v>4.2838018741633201E-3</v>
          </cell>
          <cell r="I465" t="str">
            <v>Jam</v>
          </cell>
        </row>
        <row r="467">
          <cell r="A467" t="str">
            <v>2.f.</v>
          </cell>
          <cell r="C467" t="str">
            <v>WATERTANK TRUCK</v>
          </cell>
          <cell r="G467" t="str">
            <v>(E23)</v>
          </cell>
        </row>
        <row r="468">
          <cell r="C468" t="str">
            <v>Volume tangki air</v>
          </cell>
          <cell r="G468" t="str">
            <v>V</v>
          </cell>
          <cell r="H468">
            <v>4</v>
          </cell>
          <cell r="I468" t="str">
            <v>M3</v>
          </cell>
        </row>
        <row r="469">
          <cell r="C469" t="str">
            <v>Kebutuhan air / M3 agregat padat</v>
          </cell>
          <cell r="G469" t="str">
            <v>Wc</v>
          </cell>
          <cell r="H469">
            <v>7.0000000000000007E-2</v>
          </cell>
          <cell r="I469" t="str">
            <v>M3</v>
          </cell>
        </row>
        <row r="470">
          <cell r="C470" t="str">
            <v>Pengisian tangki / jam</v>
          </cell>
          <cell r="G470" t="str">
            <v>n</v>
          </cell>
          <cell r="H470">
            <v>1</v>
          </cell>
          <cell r="I470" t="str">
            <v>kali</v>
          </cell>
        </row>
        <row r="471">
          <cell r="C471" t="str">
            <v>Faktor Efisiensi alat</v>
          </cell>
          <cell r="G471" t="str">
            <v>Fa</v>
          </cell>
          <cell r="H471">
            <v>0.83</v>
          </cell>
          <cell r="I471" t="str">
            <v>-</v>
          </cell>
        </row>
        <row r="473">
          <cell r="C473" t="str">
            <v>Kap.Prod. / jam =</v>
          </cell>
          <cell r="D473" t="str">
            <v>V x n x Fa</v>
          </cell>
          <cell r="G473" t="str">
            <v>Q6</v>
          </cell>
          <cell r="H473">
            <v>47.428571428571423</v>
          </cell>
          <cell r="I473" t="str">
            <v>M3</v>
          </cell>
        </row>
        <row r="474">
          <cell r="D474" t="str">
            <v>Wc</v>
          </cell>
        </row>
        <row r="475">
          <cell r="C475" t="str">
            <v>Koefisien Alat / M3</v>
          </cell>
          <cell r="D475" t="str">
            <v xml:space="preserve"> = 1 : Q6</v>
          </cell>
          <cell r="G475" t="str">
            <v>(E23)</v>
          </cell>
          <cell r="H475">
            <v>2.1084337349397592E-2</v>
          </cell>
          <cell r="I475" t="str">
            <v>Jam</v>
          </cell>
        </row>
        <row r="478">
          <cell r="J478" t="str">
            <v>Berlanjut ke hal. berikut</v>
          </cell>
        </row>
        <row r="479">
          <cell r="A479" t="str">
            <v>ITEM PEMBAYARAN NO.</v>
          </cell>
          <cell r="D479" t="str">
            <v>:  5.1 (3)</v>
          </cell>
          <cell r="J479" t="str">
            <v>Analisa EI-521</v>
          </cell>
        </row>
        <row r="480">
          <cell r="A480" t="str">
            <v>JENIS PEKERJAAN</v>
          </cell>
          <cell r="D480" t="str">
            <v>:  Lapis Pondasi Agregat Kelas C</v>
          </cell>
        </row>
        <row r="481">
          <cell r="A481" t="str">
            <v>SATUAN PEMBAYARAN</v>
          </cell>
          <cell r="D481" t="str">
            <v>:  M3</v>
          </cell>
          <cell r="H481" t="str">
            <v xml:space="preserve">         URAIAN ANALISA HARGA SATUAN</v>
          </cell>
        </row>
        <row r="482">
          <cell r="J482" t="str">
            <v>Lanjutan</v>
          </cell>
        </row>
        <row r="484">
          <cell r="A484" t="str">
            <v>No.</v>
          </cell>
          <cell r="C484" t="str">
            <v>U R A I A N</v>
          </cell>
          <cell r="G484" t="str">
            <v>KODE</v>
          </cell>
          <cell r="H484" t="str">
            <v>KOEF.</v>
          </cell>
          <cell r="I484" t="str">
            <v>SATUAN</v>
          </cell>
          <cell r="J484" t="str">
            <v>KETERANGAN</v>
          </cell>
        </row>
        <row r="487">
          <cell r="A487" t="str">
            <v>2.g.</v>
          </cell>
          <cell r="C487" t="str">
            <v>ALAT BANTU</v>
          </cell>
        </row>
        <row r="488">
          <cell r="C488" t="str">
            <v>diperlukan :</v>
          </cell>
          <cell r="J488" t="str">
            <v>Lump Sum</v>
          </cell>
        </row>
        <row r="489">
          <cell r="C489" t="str">
            <v>- Kereta dorong     = 2 buah</v>
          </cell>
        </row>
        <row r="490">
          <cell r="C490" t="str">
            <v>- Sekop                = 3 buah</v>
          </cell>
        </row>
        <row r="491">
          <cell r="C491" t="str">
            <v>- Garpu                 = 2 buah</v>
          </cell>
        </row>
        <row r="493">
          <cell r="A493" t="str">
            <v xml:space="preserve">   3.</v>
          </cell>
          <cell r="C493" t="str">
            <v>TENAGA</v>
          </cell>
        </row>
        <row r="494">
          <cell r="C494" t="str">
            <v>Produksi menentukan : WHEEL LOADER</v>
          </cell>
          <cell r="G494" t="str">
            <v>Q1</v>
          </cell>
          <cell r="H494">
            <v>99.6</v>
          </cell>
          <cell r="I494" t="str">
            <v>M3 / Jam</v>
          </cell>
        </row>
        <row r="495">
          <cell r="C495" t="str">
            <v>Produksi Agregat / hari  =  Tk x Q1</v>
          </cell>
          <cell r="G495" t="str">
            <v>Qt</v>
          </cell>
          <cell r="H495">
            <v>697.19999999999993</v>
          </cell>
          <cell r="I495" t="str">
            <v>M3</v>
          </cell>
        </row>
        <row r="496">
          <cell r="C496" t="str">
            <v>Kebutuhan tenaga :</v>
          </cell>
        </row>
        <row r="497">
          <cell r="D497" t="str">
            <v>- Pekerja</v>
          </cell>
          <cell r="G497" t="str">
            <v>P</v>
          </cell>
          <cell r="H497">
            <v>7</v>
          </cell>
          <cell r="I497" t="str">
            <v>orang</v>
          </cell>
        </row>
        <row r="498">
          <cell r="D498" t="str">
            <v>- Mandor</v>
          </cell>
          <cell r="G498" t="str">
            <v>M</v>
          </cell>
          <cell r="H498">
            <v>1</v>
          </cell>
          <cell r="I498" t="str">
            <v>orang</v>
          </cell>
        </row>
        <row r="500">
          <cell r="C500" t="str">
            <v>Koefisien tenaga / M3     :</v>
          </cell>
        </row>
        <row r="501">
          <cell r="D501" t="str">
            <v>- Pekerja</v>
          </cell>
          <cell r="E501" t="str">
            <v>= (Tk x P) : Qt</v>
          </cell>
          <cell r="G501" t="str">
            <v>(L01)</v>
          </cell>
          <cell r="H501">
            <v>7.0281124497991981E-2</v>
          </cell>
          <cell r="I501" t="str">
            <v>Jam</v>
          </cell>
        </row>
        <row r="502">
          <cell r="D502" t="str">
            <v>- Mandor</v>
          </cell>
          <cell r="E502" t="str">
            <v>= (Tk x M) : Qt</v>
          </cell>
          <cell r="G502" t="str">
            <v>(L03)</v>
          </cell>
          <cell r="H502">
            <v>1.0040160642570283E-2</v>
          </cell>
          <cell r="I502" t="str">
            <v>Jam</v>
          </cell>
        </row>
        <row r="504">
          <cell r="A504" t="str">
            <v>4.</v>
          </cell>
          <cell r="C504" t="str">
            <v>HARGA DASAR SATUAN UPAH, BAHAN DAN ALAT</v>
          </cell>
        </row>
        <row r="505">
          <cell r="C505" t="str">
            <v>Lihat lampiran.</v>
          </cell>
        </row>
        <row r="507">
          <cell r="A507" t="str">
            <v>5.</v>
          </cell>
          <cell r="C507" t="str">
            <v>ANALISA HARGA SATUAN PEKERJAAN</v>
          </cell>
        </row>
        <row r="508">
          <cell r="C508" t="str">
            <v>Lihat perhitungan dalam FORMULIR STANDAR UNTUK</v>
          </cell>
        </row>
        <row r="509">
          <cell r="C509" t="str">
            <v>PEREKEMAN ANALISA MASING-MASING HARGA</v>
          </cell>
        </row>
        <row r="510">
          <cell r="C510" t="str">
            <v>SATUAN.</v>
          </cell>
        </row>
        <row r="511">
          <cell r="C511" t="str">
            <v>Didapat Harga Satuan Pekerjaan :</v>
          </cell>
        </row>
        <row r="513">
          <cell r="C513" t="str">
            <v xml:space="preserve">Rp.  </v>
          </cell>
          <cell r="D513">
            <v>252395.65904586398</v>
          </cell>
          <cell r="E513" t="str">
            <v xml:space="preserve"> / M3.</v>
          </cell>
        </row>
        <row r="516">
          <cell r="A516" t="str">
            <v>6.</v>
          </cell>
          <cell r="C516" t="str">
            <v>WAKTU PELAKSANAAN YANG DIPERLUKAN</v>
          </cell>
        </row>
        <row r="517">
          <cell r="C517" t="str">
            <v>Masa Pelaksanaan :</v>
          </cell>
          <cell r="D517" t="str">
            <v>. . . . . . . . . . . .</v>
          </cell>
          <cell r="E517" t="str">
            <v>bulan</v>
          </cell>
        </row>
        <row r="519">
          <cell r="A519" t="str">
            <v>7.</v>
          </cell>
          <cell r="C519" t="str">
            <v>VOLUME PEKERJAAN YANG DIPERLUKAN</v>
          </cell>
        </row>
        <row r="520">
          <cell r="C520" t="str">
            <v>Volume pekerjaan  :</v>
          </cell>
          <cell r="D520">
            <v>1</v>
          </cell>
          <cell r="E520" t="str">
            <v>M3</v>
          </cell>
        </row>
        <row r="3096">
          <cell r="A3096" t="str">
            <v>ITEM PEMBAYARAN NO.</v>
          </cell>
          <cell r="D3096" t="str">
            <v>: 5.5.(2)</v>
          </cell>
          <cell r="J3096" t="str">
            <v>Analisa EI-718</v>
          </cell>
          <cell r="T3096" t="str">
            <v>Analisa EI-718</v>
          </cell>
        </row>
        <row r="3097">
          <cell r="A3097" t="str">
            <v>JENIS PEKERJAAN</v>
          </cell>
          <cell r="D3097" t="str">
            <v>: Pekerjaan LFAS Kelas B</v>
          </cell>
        </row>
        <row r="3098">
          <cell r="A3098" t="str">
            <v>SATUAN PEMBAYARAN</v>
          </cell>
          <cell r="D3098" t="str">
            <v>:  M3</v>
          </cell>
          <cell r="H3098" t="str">
            <v xml:space="preserve">        URAIAN ANALISA HARGA SATUAN</v>
          </cell>
          <cell r="L3098" t="str">
            <v>FORMULIR STANDAR UNTUK</v>
          </cell>
        </row>
        <row r="3099">
          <cell r="L3099" t="str">
            <v>PEREKAMAN ANALISA MASING-MASING HARGA SATUAN</v>
          </cell>
        </row>
        <row r="3100">
          <cell r="L3100" t="str">
            <v/>
          </cell>
        </row>
        <row r="3101">
          <cell r="A3101" t="str">
            <v>No.</v>
          </cell>
          <cell r="C3101" t="str">
            <v>U R A I A N</v>
          </cell>
          <cell r="G3101" t="str">
            <v>KODE</v>
          </cell>
          <cell r="H3101" t="str">
            <v>KOEF.</v>
          </cell>
          <cell r="I3101" t="str">
            <v>SATUAN</v>
          </cell>
          <cell r="J3101" t="str">
            <v>KETERANGAN</v>
          </cell>
        </row>
        <row r="3103">
          <cell r="L3103" t="str">
            <v>PROYEK</v>
          </cell>
          <cell r="O3103" t="str">
            <v>:</v>
          </cell>
        </row>
        <row r="3104">
          <cell r="A3104" t="str">
            <v>I.</v>
          </cell>
          <cell r="C3104" t="str">
            <v>ASUMSI</v>
          </cell>
          <cell r="L3104" t="str">
            <v>No. PAKET KONTRAK</v>
          </cell>
          <cell r="O3104" t="str">
            <v>:</v>
          </cell>
        </row>
        <row r="3105">
          <cell r="A3105">
            <v>1</v>
          </cell>
          <cell r="C3105" t="str">
            <v>Menggunakan alat (cara mekanik)</v>
          </cell>
          <cell r="L3105" t="str">
            <v>NAMA PAKET</v>
          </cell>
          <cell r="O3105" t="str">
            <v>:</v>
          </cell>
        </row>
        <row r="3106">
          <cell r="A3106">
            <v>2</v>
          </cell>
          <cell r="C3106" t="str">
            <v>Lokasi pekerjaan : sepanjang jalan</v>
          </cell>
          <cell r="L3106" t="str">
            <v>PROP / KAB / KODYA</v>
          </cell>
          <cell r="O3106" t="str">
            <v>:</v>
          </cell>
        </row>
        <row r="3107">
          <cell r="A3107">
            <v>3</v>
          </cell>
          <cell r="C3107" t="str">
            <v>Agregat merupakan bahan Lapis Pondasi Agregat</v>
          </cell>
          <cell r="L3107" t="str">
            <v>ITEM PEMBAYARAN NO.</v>
          </cell>
          <cell r="O3107" t="str">
            <v>: 5.5.(2)</v>
          </cell>
          <cell r="R3107" t="str">
            <v>PERKIRAAN VOL. PEK.</v>
          </cell>
          <cell r="T3107" t="str">
            <v>:</v>
          </cell>
          <cell r="U3107">
            <v>1</v>
          </cell>
        </row>
        <row r="3108">
          <cell r="C3108" t="str">
            <v>Kelas B yang telah dicampur di base camp dan</v>
          </cell>
          <cell r="L3108" t="str">
            <v>JENIS PEKERJAAN</v>
          </cell>
          <cell r="O3108" t="str">
            <v>: Pekerjaan LFAS Kelas B</v>
          </cell>
          <cell r="R3108" t="str">
            <v>TOTAL HARGA (Rp.)</v>
          </cell>
          <cell r="T3108" t="str">
            <v>:</v>
          </cell>
          <cell r="U3108">
            <v>31522.779454667012</v>
          </cell>
        </row>
        <row r="3109">
          <cell r="C3109" t="str">
            <v>selanjutnya dimuat ke truck dengan wheel loader</v>
          </cell>
        </row>
        <row r="3110">
          <cell r="A3110">
            <v>4</v>
          </cell>
          <cell r="C3110" t="str">
            <v>Jarak rata-rata Base camp ke lokasi pekerjaan</v>
          </cell>
          <cell r="G3110" t="str">
            <v>L</v>
          </cell>
          <cell r="H3110">
            <v>8.7249999999999996</v>
          </cell>
          <cell r="I3110" t="str">
            <v>KM</v>
          </cell>
          <cell r="L3110" t="str">
            <v>SATUAN PEMBAYARAN</v>
          </cell>
          <cell r="O3110" t="str">
            <v>:  M3</v>
          </cell>
          <cell r="R3110" t="str">
            <v>% THD. BIAYA PROYEK</v>
          </cell>
          <cell r="T3110" t="str">
            <v>:</v>
          </cell>
          <cell r="U3110" t="e">
            <v>#DIV/0!</v>
          </cell>
        </row>
        <row r="3111">
          <cell r="A3111">
            <v>5</v>
          </cell>
          <cell r="C3111" t="str">
            <v>Jam kerja efektif per-hari</v>
          </cell>
          <cell r="G3111" t="str">
            <v>Tk</v>
          </cell>
          <cell r="H3111">
            <v>7</v>
          </cell>
          <cell r="I3111" t="str">
            <v>jam</v>
          </cell>
        </row>
        <row r="3112">
          <cell r="A3112">
            <v>6</v>
          </cell>
          <cell r="C3112" t="str">
            <v>Kadar Semen Minimum (Spesifikasi)</v>
          </cell>
          <cell r="G3112" t="str">
            <v>Ks</v>
          </cell>
          <cell r="H3112">
            <v>250</v>
          </cell>
          <cell r="I3112" t="str">
            <v>Kg/M3</v>
          </cell>
        </row>
        <row r="3113">
          <cell r="A3113">
            <v>7</v>
          </cell>
          <cell r="C3113" t="str">
            <v>Perbandingan Air/Semen Maksimum (Spesifikasi)</v>
          </cell>
          <cell r="G3113" t="str">
            <v>Wcr</v>
          </cell>
          <cell r="H3113">
            <v>0.6</v>
          </cell>
          <cell r="I3113" t="str">
            <v>-</v>
          </cell>
          <cell r="L3113" t="str">
            <v>NO.</v>
          </cell>
          <cell r="N3113" t="str">
            <v>KOMPONEN</v>
          </cell>
          <cell r="P3113" t="str">
            <v>SATUAN</v>
          </cell>
          <cell r="Q3113" t="str">
            <v>KUANTITAS</v>
          </cell>
          <cell r="R3113" t="str">
            <v>SATUAN</v>
          </cell>
          <cell r="S3113" t="str">
            <v>HARGA</v>
          </cell>
        </row>
        <row r="3114">
          <cell r="A3114">
            <v>8</v>
          </cell>
          <cell r="C3114" t="str">
            <v>Perbandingan Camp.</v>
          </cell>
          <cell r="D3114">
            <v>4</v>
          </cell>
          <cell r="E3114" t="str">
            <v>:  Semen</v>
          </cell>
          <cell r="G3114" t="str">
            <v>Sm</v>
          </cell>
          <cell r="H3114">
            <v>4</v>
          </cell>
          <cell r="I3114" t="str">
            <v>%</v>
          </cell>
          <cell r="J3114" t="str">
            <v xml:space="preserve"> Berdasarkan</v>
          </cell>
          <cell r="R3114" t="str">
            <v>(Rp.)</v>
          </cell>
          <cell r="S3114" t="str">
            <v>(Rp.)</v>
          </cell>
        </row>
        <row r="3115">
          <cell r="D3115">
            <v>20</v>
          </cell>
          <cell r="E3115" t="str">
            <v>:  Agregat Halus</v>
          </cell>
          <cell r="G3115" t="str">
            <v>Fa</v>
          </cell>
          <cell r="H3115">
            <v>19.2</v>
          </cell>
          <cell r="I3115" t="str">
            <v>%</v>
          </cell>
          <cell r="J3115" t="str">
            <v xml:space="preserve"> JMF &amp; sesuai</v>
          </cell>
        </row>
        <row r="3116">
          <cell r="D3116">
            <v>35</v>
          </cell>
          <cell r="E3116" t="str">
            <v>:  Agregat Kasar</v>
          </cell>
          <cell r="G3116" t="str">
            <v>Ca</v>
          </cell>
          <cell r="H3116">
            <v>33.6</v>
          </cell>
          <cell r="I3116" t="str">
            <v>%</v>
          </cell>
          <cell r="J3116" t="str">
            <v xml:space="preserve"> dgn Spesifikasi</v>
          </cell>
        </row>
        <row r="3117">
          <cell r="D3117">
            <v>45</v>
          </cell>
          <cell r="E3117" t="str">
            <v>: Sirtu</v>
          </cell>
          <cell r="G3117" t="str">
            <v>Sr</v>
          </cell>
          <cell r="H3117">
            <v>43.2</v>
          </cell>
          <cell r="I3117" t="str">
            <v>%</v>
          </cell>
        </row>
        <row r="3118">
          <cell r="A3118">
            <v>9</v>
          </cell>
          <cell r="C3118" t="str">
            <v>Berat Jenis Material :</v>
          </cell>
          <cell r="L3118" t="str">
            <v>A.</v>
          </cell>
          <cell r="N3118" t="str">
            <v>TENAGA</v>
          </cell>
        </row>
        <row r="3119">
          <cell r="C3119" t="str">
            <v>-  Beton</v>
          </cell>
          <cell r="G3119" t="str">
            <v>D1</v>
          </cell>
          <cell r="H3119">
            <v>2.25</v>
          </cell>
          <cell r="I3119" t="str">
            <v>T/M3</v>
          </cell>
        </row>
        <row r="3120">
          <cell r="C3120" t="str">
            <v>-  Semen</v>
          </cell>
          <cell r="G3120" t="str">
            <v>D2</v>
          </cell>
          <cell r="H3120">
            <v>3</v>
          </cell>
          <cell r="I3120" t="str">
            <v>T/M3</v>
          </cell>
          <cell r="L3120" t="str">
            <v>1.</v>
          </cell>
          <cell r="N3120" t="str">
            <v>Pekerja</v>
          </cell>
          <cell r="O3120" t="str">
            <v>(L01)</v>
          </cell>
          <cell r="P3120" t="str">
            <v>jam</v>
          </cell>
          <cell r="Q3120">
            <v>5.3012048192771086</v>
          </cell>
          <cell r="R3120">
            <v>2857.14</v>
          </cell>
          <cell r="U3120">
            <v>15146.284337349398</v>
          </cell>
        </row>
        <row r="3121">
          <cell r="C3121" t="str">
            <v>-  Agregat Halus</v>
          </cell>
          <cell r="G3121" t="str">
            <v>D3</v>
          </cell>
          <cell r="H3121">
            <v>2.1</v>
          </cell>
          <cell r="I3121" t="str">
            <v>T/M3</v>
          </cell>
          <cell r="L3121" t="str">
            <v>2.</v>
          </cell>
          <cell r="N3121" t="str">
            <v>Tukang</v>
          </cell>
          <cell r="O3121" t="str">
            <v>(L02)</v>
          </cell>
          <cell r="P3121" t="str">
            <v>jam</v>
          </cell>
          <cell r="Q3121">
            <v>1.7670682730923695</v>
          </cell>
          <cell r="R3121">
            <v>4285.71</v>
          </cell>
          <cell r="U3121">
            <v>7573.142168674699</v>
          </cell>
        </row>
        <row r="3122">
          <cell r="C3122" t="str">
            <v>-  Agregat Kasar</v>
          </cell>
          <cell r="G3122" t="str">
            <v>D4</v>
          </cell>
          <cell r="H3122">
            <v>2.1</v>
          </cell>
          <cell r="I3122" t="str">
            <v>T/M3</v>
          </cell>
          <cell r="L3122" t="str">
            <v>3.</v>
          </cell>
          <cell r="N3122" t="str">
            <v>Mandor</v>
          </cell>
          <cell r="O3122" t="str">
            <v>(L03)</v>
          </cell>
          <cell r="P3122" t="str">
            <v>jam</v>
          </cell>
          <cell r="Q3122">
            <v>0.44176706827309237</v>
          </cell>
          <cell r="R3122">
            <v>3214.29</v>
          </cell>
          <cell r="U3122">
            <v>1419.9674698795181</v>
          </cell>
        </row>
        <row r="3123">
          <cell r="C3123" t="str">
            <v>-  Sirtu</v>
          </cell>
          <cell r="G3123" t="str">
            <v>D5</v>
          </cell>
          <cell r="H3123">
            <v>1.8</v>
          </cell>
          <cell r="I3123" t="str">
            <v>T/M3</v>
          </cell>
        </row>
        <row r="3125">
          <cell r="A3125" t="str">
            <v>II.</v>
          </cell>
          <cell r="C3125" t="str">
            <v>URUTAN KERJA</v>
          </cell>
          <cell r="Q3125" t="str">
            <v xml:space="preserve">JUMLAH HARGA TENAGA   </v>
          </cell>
          <cell r="U3125">
            <v>24139.393975903615</v>
          </cell>
        </row>
        <row r="3126">
          <cell r="A3126">
            <v>1</v>
          </cell>
          <cell r="C3126" t="str">
            <v>Semen, pasir, batu kerikil dan air dicampur dan diaduk</v>
          </cell>
        </row>
        <row r="3127">
          <cell r="C3127" t="str">
            <v>menjadi beton dengan menggunakan Concrete Mixer</v>
          </cell>
          <cell r="L3127" t="str">
            <v>B.</v>
          </cell>
          <cell r="N3127" t="str">
            <v>BAHAN</v>
          </cell>
        </row>
        <row r="3128">
          <cell r="A3128">
            <v>2</v>
          </cell>
          <cell r="C3128" t="str">
            <v>Beton di-cor ke dalam bekisting yang telah disiapkan</v>
          </cell>
        </row>
        <row r="3129">
          <cell r="A3129">
            <v>3</v>
          </cell>
          <cell r="C3129" t="str">
            <v>Penyelesaian dan perapihan setelah pemasangan</v>
          </cell>
          <cell r="L3129" t="str">
            <v>1.</v>
          </cell>
          <cell r="N3129" t="str">
            <v>Semen</v>
          </cell>
          <cell r="O3129" t="str">
            <v>(M12)</v>
          </cell>
          <cell r="P3129" t="str">
            <v>Kg</v>
          </cell>
          <cell r="Q3129">
            <v>92.249999999999986</v>
          </cell>
          <cell r="R3129">
            <v>688.65625</v>
          </cell>
          <cell r="U3129">
            <v>63528.539062499993</v>
          </cell>
        </row>
        <row r="3130">
          <cell r="L3130" t="str">
            <v>2.</v>
          </cell>
          <cell r="N3130" t="str">
            <v>Pasir</v>
          </cell>
          <cell r="O3130" t="str">
            <v>(M01)</v>
          </cell>
          <cell r="P3130" t="str">
            <v>M3</v>
          </cell>
          <cell r="Q3130">
            <v>0.21085714285714283</v>
          </cell>
          <cell r="R3130">
            <v>54300</v>
          </cell>
          <cell r="U3130">
            <v>11449.542857142855</v>
          </cell>
        </row>
        <row r="3131">
          <cell r="A3131" t="str">
            <v>III.</v>
          </cell>
          <cell r="C3131" t="str">
            <v>PEMAKAIAN BAHAN, ALAT DAN TENAGA</v>
          </cell>
          <cell r="L3131" t="str">
            <v>3.</v>
          </cell>
          <cell r="N3131" t="str">
            <v>Agregat Kasar</v>
          </cell>
          <cell r="O3131" t="str">
            <v>(M03)</v>
          </cell>
          <cell r="P3131" t="str">
            <v>M3</v>
          </cell>
          <cell r="Q3131">
            <v>0.36899999999999994</v>
          </cell>
          <cell r="R3131">
            <v>222345.54558042376</v>
          </cell>
          <cell r="U3131">
            <v>82045.506319176347</v>
          </cell>
        </row>
        <row r="3132">
          <cell r="L3132" t="str">
            <v>5.</v>
          </cell>
          <cell r="N3132" t="str">
            <v>Kayu Perancah</v>
          </cell>
          <cell r="O3132" t="str">
            <v>(M19)</v>
          </cell>
          <cell r="P3132" t="str">
            <v>M3</v>
          </cell>
          <cell r="Q3132">
            <v>0.05</v>
          </cell>
          <cell r="R3132">
            <v>1466250</v>
          </cell>
          <cell r="U3132">
            <v>73312.5</v>
          </cell>
        </row>
        <row r="3133">
          <cell r="A3133" t="str">
            <v xml:space="preserve">   1.</v>
          </cell>
          <cell r="C3133" t="str">
            <v>BAHAN</v>
          </cell>
          <cell r="L3133" t="str">
            <v>6.</v>
          </cell>
          <cell r="N3133" t="str">
            <v>Paku</v>
          </cell>
          <cell r="O3133" t="str">
            <v>(M18)</v>
          </cell>
          <cell r="P3133" t="str">
            <v>Kg</v>
          </cell>
          <cell r="Q3133">
            <v>0.4</v>
          </cell>
          <cell r="R3133">
            <v>5500</v>
          </cell>
          <cell r="U3133">
            <v>2200</v>
          </cell>
        </row>
        <row r="3134">
          <cell r="A3134" t="str">
            <v>1.a.</v>
          </cell>
          <cell r="C3134" t="str">
            <v>Semen (PC)          =</v>
          </cell>
          <cell r="D3134" t="str">
            <v xml:space="preserve">   {Sm x D1 x 1000} x 1.025</v>
          </cell>
          <cell r="G3134" t="str">
            <v>(M12)</v>
          </cell>
          <cell r="H3134">
            <v>92.249999999999986</v>
          </cell>
          <cell r="I3134" t="str">
            <v>Kg</v>
          </cell>
        </row>
        <row r="3135">
          <cell r="A3135" t="str">
            <v>1.b.</v>
          </cell>
          <cell r="C3135" t="str">
            <v>Agregat Halus</v>
          </cell>
          <cell r="D3135" t="str">
            <v xml:space="preserve">   {(Ps x D1) : D3} x 1.025</v>
          </cell>
          <cell r="G3135" t="str">
            <v>(M01)</v>
          </cell>
          <cell r="H3135">
            <v>0.21085714285714283</v>
          </cell>
          <cell r="I3135" t="str">
            <v>M3</v>
          </cell>
          <cell r="Q3135" t="str">
            <v xml:space="preserve">JUMLAH HARGA BAHAN   </v>
          </cell>
          <cell r="U3135">
            <v>232536.08823881921</v>
          </cell>
        </row>
        <row r="3136">
          <cell r="A3136" t="str">
            <v>1.c.</v>
          </cell>
          <cell r="C3136" t="str">
            <v>Agregat Kasar</v>
          </cell>
          <cell r="D3136" t="str">
            <v xml:space="preserve">   {(Kr x D1) : D4} x 1.025</v>
          </cell>
          <cell r="G3136" t="str">
            <v>(M03)</v>
          </cell>
          <cell r="H3136">
            <v>0.36899999999999994</v>
          </cell>
          <cell r="I3136" t="str">
            <v>M3</v>
          </cell>
          <cell r="J3136" t="str">
            <v xml:space="preserve"> Agregat Kasar</v>
          </cell>
        </row>
        <row r="3137">
          <cell r="C3137" t="str">
            <v>Sirtu</v>
          </cell>
          <cell r="H3137">
            <v>0.55349999999999999</v>
          </cell>
          <cell r="I3137" t="str">
            <v>M3</v>
          </cell>
        </row>
        <row r="3138">
          <cell r="A3138" t="str">
            <v>1.e.</v>
          </cell>
          <cell r="C3138" t="str">
            <v>Bekisting</v>
          </cell>
          <cell r="G3138" t="str">
            <v>(M19)</v>
          </cell>
          <cell r="H3138">
            <v>0.05</v>
          </cell>
          <cell r="I3138" t="str">
            <v>M3</v>
          </cell>
        </row>
        <row r="3139">
          <cell r="A3139" t="str">
            <v>1.f</v>
          </cell>
          <cell r="C3139" t="str">
            <v>Paku</v>
          </cell>
          <cell r="G3139" t="str">
            <v>(M18)</v>
          </cell>
          <cell r="H3139">
            <v>0.4</v>
          </cell>
          <cell r="I3139" t="str">
            <v>Kg</v>
          </cell>
        </row>
        <row r="3141">
          <cell r="A3141" t="str">
            <v>2.</v>
          </cell>
          <cell r="C3141" t="str">
            <v>ALAT</v>
          </cell>
        </row>
        <row r="3142">
          <cell r="A3142" t="str">
            <v>2.a.</v>
          </cell>
          <cell r="C3142" t="str">
            <v>CONCRETE MIXER</v>
          </cell>
          <cell r="G3142" t="str">
            <v>(E06)</v>
          </cell>
        </row>
        <row r="3143">
          <cell r="C3143" t="str">
            <v>Kapasitas Alat</v>
          </cell>
          <cell r="G3143" t="str">
            <v>V</v>
          </cell>
          <cell r="H3143">
            <v>500</v>
          </cell>
          <cell r="I3143" t="str">
            <v>liter</v>
          </cell>
        </row>
        <row r="3144">
          <cell r="C3144" t="str">
            <v>Faktor Efisiensi Alat</v>
          </cell>
          <cell r="G3144" t="str">
            <v>Fa</v>
          </cell>
          <cell r="H3144">
            <v>0.83</v>
          </cell>
          <cell r="I3144" t="str">
            <v>-</v>
          </cell>
        </row>
        <row r="3145">
          <cell r="C3145" t="str">
            <v>Waktu siklus   :</v>
          </cell>
          <cell r="D3145" t="str">
            <v>(T1 + T2 + T3 + T4)</v>
          </cell>
          <cell r="G3145" t="str">
            <v>Ts</v>
          </cell>
        </row>
        <row r="3146">
          <cell r="C3146" t="str">
            <v>-  Memuat</v>
          </cell>
          <cell r="G3146" t="str">
            <v>T1</v>
          </cell>
          <cell r="H3146">
            <v>3</v>
          </cell>
          <cell r="I3146" t="str">
            <v>menit</v>
          </cell>
        </row>
        <row r="3147">
          <cell r="C3147" t="str">
            <v>-  Mengaduk</v>
          </cell>
          <cell r="G3147" t="str">
            <v>T2</v>
          </cell>
          <cell r="H3147">
            <v>2</v>
          </cell>
          <cell r="I3147" t="str">
            <v>menit</v>
          </cell>
        </row>
        <row r="3148">
          <cell r="C3148" t="str">
            <v>-  Menuang</v>
          </cell>
          <cell r="G3148" t="str">
            <v>T3</v>
          </cell>
          <cell r="H3148">
            <v>3</v>
          </cell>
          <cell r="I3148" t="str">
            <v>menit</v>
          </cell>
        </row>
        <row r="3149">
          <cell r="C3149" t="str">
            <v>-  Tunggu, dll.</v>
          </cell>
          <cell r="G3149" t="str">
            <v>T4</v>
          </cell>
          <cell r="H3149">
            <v>3</v>
          </cell>
          <cell r="I3149" t="str">
            <v>menit</v>
          </cell>
        </row>
        <row r="3150">
          <cell r="G3150" t="str">
            <v>Ts</v>
          </cell>
          <cell r="H3150">
            <v>11</v>
          </cell>
          <cell r="I3150" t="str">
            <v>menit</v>
          </cell>
        </row>
        <row r="3152">
          <cell r="C3152" t="str">
            <v>Kap. Prod. / jam  =</v>
          </cell>
          <cell r="D3152" t="str">
            <v>V x Fa x 60</v>
          </cell>
          <cell r="G3152" t="str">
            <v>Q1</v>
          </cell>
          <cell r="H3152">
            <v>2.2636363636363637</v>
          </cell>
          <cell r="I3152" t="str">
            <v>M3</v>
          </cell>
        </row>
        <row r="3153">
          <cell r="D3153" t="str">
            <v>1000 x Ts</v>
          </cell>
        </row>
        <row r="3155">
          <cell r="C3155" t="str">
            <v>Koefisien Alat / M3</v>
          </cell>
          <cell r="D3155" t="str">
            <v xml:space="preserve">  =   1  :  Q1</v>
          </cell>
          <cell r="G3155" t="str">
            <v>(E06)</v>
          </cell>
          <cell r="H3155">
            <v>0.44176706827309237</v>
          </cell>
          <cell r="I3155" t="str">
            <v>jam</v>
          </cell>
        </row>
        <row r="3159">
          <cell r="J3159" t="str">
            <v>Berlanjut ke hal. berikut.</v>
          </cell>
        </row>
        <row r="3160">
          <cell r="A3160" t="str">
            <v>ITEM PEMBAYARAN NO.</v>
          </cell>
          <cell r="D3160" t="str">
            <v>: 5.5.(2)</v>
          </cell>
          <cell r="J3160" t="str">
            <v>Analisa EI-718</v>
          </cell>
        </row>
        <row r="3161">
          <cell r="A3161" t="str">
            <v>JENIS PEKERJAAN</v>
          </cell>
          <cell r="D3161" t="str">
            <v>: Pekerjaan LFAS Kelas B</v>
          </cell>
        </row>
        <row r="3162">
          <cell r="A3162" t="str">
            <v>SATUAN PEMBAYARAN</v>
          </cell>
          <cell r="D3162" t="str">
            <v>:  M3</v>
          </cell>
          <cell r="H3162" t="str">
            <v xml:space="preserve">        URAIAN ANALISA HARGA SATUAN</v>
          </cell>
        </row>
        <row r="3163">
          <cell r="J3163" t="str">
            <v>Lanjutan</v>
          </cell>
        </row>
        <row r="3165">
          <cell r="A3165" t="str">
            <v>No.</v>
          </cell>
          <cell r="C3165" t="str">
            <v>U R A I A N</v>
          </cell>
          <cell r="G3165" t="str">
            <v>KODE</v>
          </cell>
          <cell r="H3165" t="str">
            <v>KOEF.</v>
          </cell>
          <cell r="I3165" t="str">
            <v>SATUAN</v>
          </cell>
          <cell r="J3165" t="str">
            <v>KETERANGAN</v>
          </cell>
        </row>
        <row r="3168">
          <cell r="A3168" t="str">
            <v>2.b.</v>
          </cell>
          <cell r="C3168" t="str">
            <v>WATER TANK TRUCK</v>
          </cell>
          <cell r="G3168" t="str">
            <v>(E23)</v>
          </cell>
        </row>
        <row r="3169">
          <cell r="C3169" t="str">
            <v>Volume Tanki Air</v>
          </cell>
          <cell r="G3169" t="str">
            <v>V</v>
          </cell>
          <cell r="H3169">
            <v>4</v>
          </cell>
          <cell r="I3169" t="str">
            <v>M3</v>
          </cell>
        </row>
        <row r="3170">
          <cell r="C3170" t="str">
            <v>Kebutuhan air / M3 beton</v>
          </cell>
          <cell r="G3170" t="str">
            <v>Wc</v>
          </cell>
          <cell r="H3170">
            <v>5.5349999999999989E-2</v>
          </cell>
          <cell r="I3170" t="str">
            <v>M3</v>
          </cell>
        </row>
        <row r="3171">
          <cell r="C3171" t="str">
            <v>Faktor Efiesiensi Alat</v>
          </cell>
          <cell r="G3171" t="str">
            <v>Fa</v>
          </cell>
          <cell r="H3171">
            <v>0.83</v>
          </cell>
          <cell r="I3171" t="str">
            <v>-</v>
          </cell>
        </row>
        <row r="3172">
          <cell r="C3172" t="str">
            <v>Pengisian Tanki / jam</v>
          </cell>
          <cell r="G3172" t="str">
            <v>n</v>
          </cell>
          <cell r="H3172">
            <v>1</v>
          </cell>
          <cell r="I3172" t="str">
            <v>kali</v>
          </cell>
        </row>
        <row r="3174">
          <cell r="C3174" t="str">
            <v>Kap. Prod. / jam  =</v>
          </cell>
          <cell r="D3174" t="str">
            <v>V x Fa x n</v>
          </cell>
          <cell r="G3174" t="str">
            <v>Q2</v>
          </cell>
          <cell r="H3174">
            <v>59.981933152664865</v>
          </cell>
          <cell r="I3174" t="str">
            <v>M3</v>
          </cell>
        </row>
        <row r="3175">
          <cell r="D3175" t="str">
            <v>Wc</v>
          </cell>
        </row>
        <row r="3177">
          <cell r="C3177" t="str">
            <v>Koefisien Alat / M3</v>
          </cell>
          <cell r="D3177" t="str">
            <v xml:space="preserve">  =   1  :  Q2</v>
          </cell>
          <cell r="G3177" t="str">
            <v>(E23)</v>
          </cell>
          <cell r="H3177">
            <v>1.6671686746987949E-2</v>
          </cell>
          <cell r="I3177" t="str">
            <v>jam</v>
          </cell>
        </row>
        <row r="3179">
          <cell r="A3179" t="str">
            <v>2.c.</v>
          </cell>
          <cell r="C3179" t="str">
            <v>CONCRETE VIBRATOR</v>
          </cell>
          <cell r="G3179" t="str">
            <v>(E20)</v>
          </cell>
        </row>
        <row r="3180">
          <cell r="C3180" t="str">
            <v>Kebutuhan Alat Penggetar Beton ini disesuaikan dengan</v>
          </cell>
        </row>
        <row r="3181">
          <cell r="C3181" t="str">
            <v>kapasitas produksi Alat Pencampur (Concrete Mixer)</v>
          </cell>
        </row>
        <row r="3183">
          <cell r="C3183" t="str">
            <v>Kap. Prod. / jam  =</v>
          </cell>
          <cell r="D3183" t="str">
            <v>Kap.Prod./Jam Alat Concrete Mixer</v>
          </cell>
          <cell r="G3183" t="str">
            <v>Q3</v>
          </cell>
          <cell r="H3183">
            <v>2.2636363636363637</v>
          </cell>
          <cell r="I3183" t="str">
            <v>M3</v>
          </cell>
        </row>
        <row r="3185">
          <cell r="C3185" t="str">
            <v>Koefisien Alat / M3</v>
          </cell>
          <cell r="D3185" t="str">
            <v xml:space="preserve">  =   1  :  Q3</v>
          </cell>
          <cell r="G3185" t="str">
            <v>(E20)</v>
          </cell>
          <cell r="H3185">
            <v>0.44176706827309237</v>
          </cell>
          <cell r="I3185" t="str">
            <v>jam</v>
          </cell>
        </row>
        <row r="3187">
          <cell r="A3187" t="str">
            <v>2.c.</v>
          </cell>
          <cell r="C3187" t="str">
            <v>ALAT BANTU</v>
          </cell>
        </row>
        <row r="3188">
          <cell r="C3188" t="str">
            <v>Diperlukan  :</v>
          </cell>
        </row>
        <row r="3189">
          <cell r="C3189" t="str">
            <v>- Sekop</v>
          </cell>
          <cell r="D3189" t="str">
            <v>=  2  buah</v>
          </cell>
        </row>
        <row r="3190">
          <cell r="C3190" t="str">
            <v>- Pacul</v>
          </cell>
          <cell r="D3190" t="str">
            <v>=  2  buah</v>
          </cell>
        </row>
        <row r="3191">
          <cell r="C3191" t="str">
            <v>- Sendok Semen</v>
          </cell>
          <cell r="D3191" t="str">
            <v>=  2  buah</v>
          </cell>
        </row>
        <row r="3192">
          <cell r="C3192" t="str">
            <v>- Ember Cor</v>
          </cell>
          <cell r="D3192" t="str">
            <v>=  4  buah</v>
          </cell>
        </row>
        <row r="3193">
          <cell r="C3193" t="str">
            <v>- Gerobak Dorong</v>
          </cell>
          <cell r="D3193" t="str">
            <v>=  1  buah</v>
          </cell>
        </row>
        <row r="3195">
          <cell r="A3195" t="str">
            <v>3.</v>
          </cell>
          <cell r="C3195" t="str">
            <v>TENAGA</v>
          </cell>
        </row>
        <row r="3196">
          <cell r="C3196" t="str">
            <v>Produksi Beton dalam 1 hari</v>
          </cell>
          <cell r="E3196" t="str">
            <v>=  Tk x Q1</v>
          </cell>
          <cell r="G3196" t="str">
            <v>Qt</v>
          </cell>
          <cell r="H3196">
            <v>15.845454545454546</v>
          </cell>
          <cell r="I3196" t="str">
            <v>M3</v>
          </cell>
        </row>
        <row r="3198">
          <cell r="C3198" t="str">
            <v>Kebutuhan tenaga :</v>
          </cell>
          <cell r="D3198" t="str">
            <v>- Mandor</v>
          </cell>
          <cell r="G3198" t="str">
            <v>M</v>
          </cell>
          <cell r="H3198">
            <v>1</v>
          </cell>
          <cell r="I3198" t="str">
            <v>orang</v>
          </cell>
        </row>
        <row r="3199">
          <cell r="D3199" t="str">
            <v>- Tukang</v>
          </cell>
          <cell r="G3199" t="str">
            <v>Tb</v>
          </cell>
          <cell r="H3199">
            <v>4</v>
          </cell>
          <cell r="I3199" t="str">
            <v>orang</v>
          </cell>
        </row>
        <row r="3200">
          <cell r="D3200" t="str">
            <v>- Pekerja</v>
          </cell>
          <cell r="G3200" t="str">
            <v>P</v>
          </cell>
          <cell r="H3200">
            <v>12</v>
          </cell>
          <cell r="I3200" t="str">
            <v>orang</v>
          </cell>
        </row>
        <row r="3202">
          <cell r="C3202" t="str">
            <v>Koefisien Tenaga / M3   :</v>
          </cell>
        </row>
        <row r="3203">
          <cell r="D3203" t="str">
            <v>-  Mandor</v>
          </cell>
          <cell r="E3203" t="str">
            <v>= (Tk x M) : Qt</v>
          </cell>
          <cell r="G3203" t="str">
            <v>(L03)</v>
          </cell>
          <cell r="H3203">
            <v>0.44176706827309237</v>
          </cell>
          <cell r="I3203" t="str">
            <v>jam</v>
          </cell>
        </row>
        <row r="3204">
          <cell r="D3204" t="str">
            <v>-  Tukang</v>
          </cell>
          <cell r="E3204" t="str">
            <v>= (Tk x Tb) : Qt</v>
          </cell>
          <cell r="G3204" t="str">
            <v>(L02)</v>
          </cell>
          <cell r="H3204">
            <v>1.7670682730923695</v>
          </cell>
          <cell r="I3204" t="str">
            <v>jam</v>
          </cell>
        </row>
        <row r="3205">
          <cell r="D3205" t="str">
            <v>-  Pekerja</v>
          </cell>
          <cell r="E3205" t="str">
            <v>= (Tk x P) : Qt</v>
          </cell>
          <cell r="G3205" t="str">
            <v>(L01)</v>
          </cell>
          <cell r="H3205">
            <v>5.3012048192771086</v>
          </cell>
          <cell r="I3205" t="str">
            <v>jam</v>
          </cell>
        </row>
        <row r="3208">
          <cell r="A3208" t="str">
            <v>4.</v>
          </cell>
          <cell r="C3208" t="str">
            <v>HARGA DASAR SATUAN UPAH, BAHAN DAN ALAT</v>
          </cell>
        </row>
        <row r="3209">
          <cell r="C3209" t="str">
            <v>Lihat lampiran.</v>
          </cell>
        </row>
        <row r="3218">
          <cell r="J3218" t="str">
            <v>Berlanjut ke hal. berikut.</v>
          </cell>
        </row>
        <row r="3219">
          <cell r="A3219" t="str">
            <v>ITEM PEMBAYARAN NO.</v>
          </cell>
          <cell r="D3219" t="str">
            <v>: 5.5.(2)</v>
          </cell>
          <cell r="J3219" t="str">
            <v>Analisa EI-718</v>
          </cell>
        </row>
        <row r="3220">
          <cell r="A3220" t="str">
            <v>JENIS PEKERJAAN</v>
          </cell>
          <cell r="D3220" t="str">
            <v>: Pekerjaan LFAS Kelas B</v>
          </cell>
        </row>
        <row r="3221">
          <cell r="A3221" t="str">
            <v>SATUAN PEMBAYARAN</v>
          </cell>
          <cell r="D3221" t="str">
            <v>:  M3</v>
          </cell>
          <cell r="H3221" t="str">
            <v xml:space="preserve">        URAIAN ANALISA HARGA SATUAN</v>
          </cell>
        </row>
        <row r="3222">
          <cell r="J3222" t="str">
            <v>Lanjutan</v>
          </cell>
        </row>
        <row r="3224">
          <cell r="A3224" t="str">
            <v>No.</v>
          </cell>
          <cell r="C3224" t="str">
            <v>U R A I A N</v>
          </cell>
          <cell r="G3224" t="str">
            <v>KODE</v>
          </cell>
          <cell r="H3224" t="str">
            <v>KOEF.</v>
          </cell>
          <cell r="I3224" t="str">
            <v>SATUAN</v>
          </cell>
          <cell r="J3224" t="str">
            <v>KETERANGAN</v>
          </cell>
        </row>
        <row r="3227">
          <cell r="A3227" t="str">
            <v>5.</v>
          </cell>
          <cell r="C3227" t="str">
            <v>ANALISA HARGA SATUAN PEKERJAAN</v>
          </cell>
        </row>
        <row r="3228">
          <cell r="C3228" t="str">
            <v>Lihat perhitungan dalam FORMULIR STANDAR UNTUK</v>
          </cell>
        </row>
        <row r="3229">
          <cell r="C3229" t="str">
            <v>PEREKEMAN ANALISA MASING-MASING HARGA</v>
          </cell>
        </row>
        <row r="3230">
          <cell r="C3230" t="str">
            <v>SATUAN.</v>
          </cell>
        </row>
        <row r="3231">
          <cell r="C3231" t="str">
            <v>Didapat Harga Satuan Pekerjaan :</v>
          </cell>
        </row>
        <row r="3233">
          <cell r="C3233" t="str">
            <v xml:space="preserve">Rp.  </v>
          </cell>
          <cell r="D3233">
            <v>313349.42307399388</v>
          </cell>
          <cell r="E3233" t="str">
            <v xml:space="preserve"> / M3</v>
          </cell>
        </row>
        <row r="3236">
          <cell r="A3236" t="str">
            <v>6.</v>
          </cell>
          <cell r="C3236" t="str">
            <v>MASA PELAKSANAAN YANG DIPERLUKAN</v>
          </cell>
        </row>
        <row r="3237">
          <cell r="C3237" t="str">
            <v>Masa Pelaksanaan :</v>
          </cell>
          <cell r="D3237" t="str">
            <v>. . . . . . . . . . . .</v>
          </cell>
        </row>
        <row r="3239">
          <cell r="A3239" t="str">
            <v>7.</v>
          </cell>
          <cell r="C3239" t="str">
            <v>VOLUME PEKERJAAN YANG DIPERLUKAN</v>
          </cell>
        </row>
        <row r="3240">
          <cell r="C3240" t="str">
            <v>Volume pekerjaan  :</v>
          </cell>
          <cell r="D3240">
            <v>1</v>
          </cell>
          <cell r="E3240" t="str">
            <v>M3</v>
          </cell>
        </row>
        <row r="3281">
          <cell r="A3281" t="str">
            <v>ITEM PEMBAYARAN NO.</v>
          </cell>
          <cell r="D3281" t="str">
            <v>: 5.5.(3)</v>
          </cell>
          <cell r="J3281" t="str">
            <v>Analisa EI-718</v>
          </cell>
          <cell r="T3281" t="str">
            <v>Analisa EI-718</v>
          </cell>
        </row>
        <row r="3282">
          <cell r="A3282" t="str">
            <v>JENIS PEKERJAAN</v>
          </cell>
          <cell r="D3282" t="str">
            <v>: Pekerjaan LPAS Kelas C</v>
          </cell>
        </row>
        <row r="3283">
          <cell r="A3283" t="str">
            <v>SATUAN PEMBAYARAN</v>
          </cell>
          <cell r="D3283" t="str">
            <v>:  M3</v>
          </cell>
          <cell r="H3283" t="str">
            <v xml:space="preserve">        URAIAN ANALISA HARGA SATUAN</v>
          </cell>
          <cell r="L3283" t="str">
            <v>FORMULIR STANDAR UNTUK</v>
          </cell>
        </row>
        <row r="3284">
          <cell r="L3284" t="str">
            <v>PEREKAMAN ANALISA MASING-MASING HARGA SATUAN</v>
          </cell>
        </row>
        <row r="3285">
          <cell r="L3285" t="str">
            <v/>
          </cell>
        </row>
        <row r="3286">
          <cell r="A3286" t="str">
            <v>No.</v>
          </cell>
          <cell r="C3286" t="str">
            <v>U R A I A N</v>
          </cell>
          <cell r="G3286" t="str">
            <v>KODE</v>
          </cell>
          <cell r="H3286" t="str">
            <v>KOEF.</v>
          </cell>
          <cell r="I3286" t="str">
            <v>SATUAN</v>
          </cell>
          <cell r="J3286" t="str">
            <v>KETERANGAN</v>
          </cell>
        </row>
        <row r="3288">
          <cell r="L3288" t="str">
            <v>PROYEK</v>
          </cell>
          <cell r="O3288" t="str">
            <v>:</v>
          </cell>
        </row>
        <row r="3289">
          <cell r="A3289" t="str">
            <v>I.</v>
          </cell>
          <cell r="C3289" t="str">
            <v>ASUMSI</v>
          </cell>
          <cell r="L3289" t="str">
            <v>No. PAKET KONTRAK</v>
          </cell>
          <cell r="O3289" t="str">
            <v>:</v>
          </cell>
        </row>
        <row r="3290">
          <cell r="A3290">
            <v>1</v>
          </cell>
          <cell r="C3290" t="str">
            <v>Menggunakan alat (cara mekanik)</v>
          </cell>
          <cell r="L3290" t="str">
            <v>NAMA PAKET</v>
          </cell>
          <cell r="O3290" t="str">
            <v>:</v>
          </cell>
        </row>
        <row r="3291">
          <cell r="A3291">
            <v>2</v>
          </cell>
          <cell r="C3291" t="str">
            <v>Lokasi pekerjaan : sepanjang jalan</v>
          </cell>
          <cell r="L3291" t="str">
            <v>PROP / KAB / KODYA</v>
          </cell>
          <cell r="O3291" t="str">
            <v>:</v>
          </cell>
        </row>
        <row r="3292">
          <cell r="A3292">
            <v>3</v>
          </cell>
          <cell r="C3292" t="str">
            <v>Agregat merupakan bahan Lapis Pondasi Agregat</v>
          </cell>
          <cell r="L3292" t="str">
            <v>ITEM PEMBAYARAN NO.</v>
          </cell>
          <cell r="O3292" t="str">
            <v>: 5.5.(3)</v>
          </cell>
          <cell r="R3292" t="str">
            <v>PERKIRAAN VOL. PEK.</v>
          </cell>
          <cell r="T3292" t="str">
            <v>:</v>
          </cell>
          <cell r="U3292">
            <v>1</v>
          </cell>
        </row>
        <row r="3293">
          <cell r="C3293" t="str">
            <v>Kelas C yang telah dicampur di base camp dan</v>
          </cell>
          <cell r="L3293" t="str">
            <v>JENIS PEKERJAAN</v>
          </cell>
          <cell r="O3293" t="str">
            <v>: Pekerjaan LPAS Kelas C</v>
          </cell>
          <cell r="R3293" t="str">
            <v>TOTAL HARGA (Rp.)</v>
          </cell>
          <cell r="T3293" t="str">
            <v>:</v>
          </cell>
          <cell r="U3293">
            <v>31522.779454667012</v>
          </cell>
        </row>
        <row r="3294">
          <cell r="C3294" t="str">
            <v>selanjutnya dimuat ke truck dengan wheel loader</v>
          </cell>
        </row>
        <row r="3295">
          <cell r="A3295">
            <v>4</v>
          </cell>
          <cell r="C3295" t="str">
            <v>Jarak rata-rata Base camp ke lokasi pekerjaan</v>
          </cell>
          <cell r="G3295" t="str">
            <v>L</v>
          </cell>
          <cell r="H3295">
            <v>0</v>
          </cell>
          <cell r="I3295" t="str">
            <v>KM</v>
          </cell>
          <cell r="L3295" t="str">
            <v>SATUAN PEMBAYARAN</v>
          </cell>
          <cell r="O3295" t="str">
            <v>:  M3</v>
          </cell>
          <cell r="R3295" t="str">
            <v>% THD. BIAYA PROYEK</v>
          </cell>
          <cell r="T3295" t="str">
            <v>:</v>
          </cell>
          <cell r="U3295" t="e">
            <v>#DIV/0!</v>
          </cell>
        </row>
        <row r="3296">
          <cell r="A3296">
            <v>5</v>
          </cell>
          <cell r="C3296" t="str">
            <v>Jam kerja efektif per-hari</v>
          </cell>
          <cell r="G3296" t="str">
            <v>Tk</v>
          </cell>
          <cell r="H3296">
            <v>7</v>
          </cell>
          <cell r="I3296" t="str">
            <v>jam</v>
          </cell>
        </row>
        <row r="3297">
          <cell r="A3297">
            <v>6</v>
          </cell>
          <cell r="C3297" t="str">
            <v>Kadar Semen Minimum (Spesifikasi)</v>
          </cell>
          <cell r="G3297" t="str">
            <v>Ks</v>
          </cell>
          <cell r="H3297">
            <v>250</v>
          </cell>
          <cell r="I3297" t="str">
            <v>Kg/M3</v>
          </cell>
        </row>
        <row r="3298">
          <cell r="A3298">
            <v>7</v>
          </cell>
          <cell r="C3298" t="str">
            <v>Perbandingan Air/Semen Maksimum (Spesifikasi)</v>
          </cell>
          <cell r="G3298" t="str">
            <v>Wcr</v>
          </cell>
          <cell r="H3298">
            <v>0.6</v>
          </cell>
          <cell r="I3298" t="str">
            <v>-</v>
          </cell>
          <cell r="L3298" t="str">
            <v>NO.</v>
          </cell>
          <cell r="N3298" t="str">
            <v>KOMPONEN</v>
          </cell>
          <cell r="P3298" t="str">
            <v>SATUAN</v>
          </cell>
          <cell r="Q3298" t="str">
            <v>KUANTITAS</v>
          </cell>
          <cell r="R3298" t="str">
            <v>SATUAN</v>
          </cell>
          <cell r="S3298" t="str">
            <v>HARGA</v>
          </cell>
        </row>
        <row r="3299">
          <cell r="A3299">
            <v>8</v>
          </cell>
          <cell r="C3299" t="str">
            <v>Perbandingan Camp.</v>
          </cell>
          <cell r="D3299">
            <v>12</v>
          </cell>
          <cell r="E3299" t="str">
            <v>:  Semen</v>
          </cell>
          <cell r="G3299" t="str">
            <v>Sm</v>
          </cell>
          <cell r="H3299">
            <v>12</v>
          </cell>
          <cell r="I3299" t="str">
            <v>%</v>
          </cell>
          <cell r="J3299" t="str">
            <v xml:space="preserve"> Berdasarkan</v>
          </cell>
          <cell r="R3299" t="str">
            <v>(Rp.)</v>
          </cell>
          <cell r="S3299" t="str">
            <v>(Rp.)</v>
          </cell>
        </row>
        <row r="3300">
          <cell r="D3300">
            <v>47</v>
          </cell>
          <cell r="E3300" t="str">
            <v>:  Agregat Halus</v>
          </cell>
          <cell r="G3300" t="str">
            <v>Fa</v>
          </cell>
          <cell r="H3300">
            <v>41.4</v>
          </cell>
          <cell r="I3300" t="str">
            <v>%</v>
          </cell>
          <cell r="J3300" t="str">
            <v xml:space="preserve"> JMF &amp; sesuai</v>
          </cell>
        </row>
        <row r="3301">
          <cell r="D3301">
            <v>38</v>
          </cell>
          <cell r="E3301" t="str">
            <v>:  Agregat Kasar</v>
          </cell>
          <cell r="G3301" t="str">
            <v>Ca</v>
          </cell>
          <cell r="H3301">
            <v>33.4</v>
          </cell>
          <cell r="I3301" t="str">
            <v>%</v>
          </cell>
          <cell r="J3301" t="str">
            <v/>
          </cell>
        </row>
        <row r="3302">
          <cell r="D3302">
            <v>15</v>
          </cell>
          <cell r="E3302" t="str">
            <v>: Tanah</v>
          </cell>
          <cell r="G3302" t="str">
            <v>Tnh</v>
          </cell>
          <cell r="H3302">
            <v>13.2</v>
          </cell>
          <cell r="I3302" t="str">
            <v>%</v>
          </cell>
        </row>
        <row r="3303">
          <cell r="A3303">
            <v>9</v>
          </cell>
          <cell r="C3303" t="str">
            <v>Berat Jenis Material :</v>
          </cell>
          <cell r="L3303" t="str">
            <v>A.</v>
          </cell>
          <cell r="N3303" t="str">
            <v>TENAGA</v>
          </cell>
        </row>
        <row r="3304">
          <cell r="C3304" t="str">
            <v>-  Beton</v>
          </cell>
          <cell r="G3304" t="str">
            <v>D1</v>
          </cell>
          <cell r="H3304">
            <v>2.25</v>
          </cell>
          <cell r="I3304" t="str">
            <v>T/M3</v>
          </cell>
        </row>
        <row r="3305">
          <cell r="C3305" t="str">
            <v>-  Semen</v>
          </cell>
          <cell r="G3305" t="str">
            <v>D2</v>
          </cell>
          <cell r="H3305">
            <v>3</v>
          </cell>
          <cell r="I3305" t="str">
            <v>T/M3</v>
          </cell>
          <cell r="L3305" t="str">
            <v>1.</v>
          </cell>
          <cell r="N3305" t="str">
            <v>Pekerja</v>
          </cell>
          <cell r="O3305" t="str">
            <v>(L01)</v>
          </cell>
          <cell r="P3305" t="str">
            <v>jam</v>
          </cell>
          <cell r="Q3305">
            <v>5.3012048192771086</v>
          </cell>
          <cell r="R3305">
            <v>2857.14</v>
          </cell>
          <cell r="U3305">
            <v>15146.284337349398</v>
          </cell>
        </row>
        <row r="3306">
          <cell r="C3306" t="str">
            <v>-  Agregat Kelas C</v>
          </cell>
          <cell r="G3306" t="str">
            <v>D3</v>
          </cell>
          <cell r="H3306">
            <v>1.9</v>
          </cell>
          <cell r="I3306" t="str">
            <v>T/M3</v>
          </cell>
          <cell r="L3306" t="str">
            <v>2.</v>
          </cell>
          <cell r="N3306" t="str">
            <v>Tukang</v>
          </cell>
          <cell r="O3306" t="str">
            <v>(L02)</v>
          </cell>
          <cell r="P3306" t="str">
            <v>jam</v>
          </cell>
          <cell r="Q3306">
            <v>1.7670682730923695</v>
          </cell>
          <cell r="R3306">
            <v>4285.71</v>
          </cell>
          <cell r="U3306">
            <v>7573.142168674699</v>
          </cell>
        </row>
        <row r="3307">
          <cell r="C3307" t="str">
            <v/>
          </cell>
          <cell r="G3307" t="str">
            <v/>
          </cell>
          <cell r="H3307" t="str">
            <v/>
          </cell>
          <cell r="I3307" t="str">
            <v/>
          </cell>
          <cell r="L3307" t="str">
            <v>3.</v>
          </cell>
          <cell r="N3307" t="str">
            <v>Mandor</v>
          </cell>
          <cell r="O3307" t="str">
            <v>(L03)</v>
          </cell>
          <cell r="P3307" t="str">
            <v>jam</v>
          </cell>
          <cell r="Q3307">
            <v>0.44176706827309237</v>
          </cell>
          <cell r="R3307">
            <v>3214.29</v>
          </cell>
          <cell r="U3307">
            <v>1419.9674698795181</v>
          </cell>
        </row>
        <row r="3308">
          <cell r="C3308" t="str">
            <v/>
          </cell>
        </row>
        <row r="3309">
          <cell r="A3309" t="str">
            <v>II.</v>
          </cell>
          <cell r="C3309" t="str">
            <v>URUTAN KERJA</v>
          </cell>
          <cell r="Q3309" t="str">
            <v xml:space="preserve">JUMLAH HARGA TENAGA   </v>
          </cell>
          <cell r="U3309">
            <v>24139.393975903615</v>
          </cell>
        </row>
        <row r="3310">
          <cell r="A3310">
            <v>1</v>
          </cell>
          <cell r="C3310" t="str">
            <v>Semen, pasir, batu kerikil dan air dicampur dan diaduk</v>
          </cell>
        </row>
        <row r="3311">
          <cell r="C3311" t="str">
            <v>menjadi beton dengan menggunakan Concrete Mixer</v>
          </cell>
          <cell r="L3311" t="str">
            <v>B.</v>
          </cell>
          <cell r="N3311" t="str">
            <v>BAHAN</v>
          </cell>
        </row>
        <row r="3312">
          <cell r="A3312">
            <v>2</v>
          </cell>
          <cell r="C3312" t="str">
            <v>Beton di-cor ke dalam bekisting yang telah disiapkan</v>
          </cell>
        </row>
        <row r="3313">
          <cell r="A3313">
            <v>3</v>
          </cell>
          <cell r="C3313" t="str">
            <v>Penyelesaian dan perapihan setelah pemasangan</v>
          </cell>
          <cell r="L3313" t="str">
            <v>1.</v>
          </cell>
          <cell r="N3313" t="str">
            <v>Semen</v>
          </cell>
          <cell r="O3313" t="str">
            <v>(M12)</v>
          </cell>
          <cell r="P3313" t="str">
            <v>Kg</v>
          </cell>
          <cell r="Q3313">
            <v>276.75</v>
          </cell>
          <cell r="R3313">
            <v>1357.5</v>
          </cell>
          <cell r="U3313">
            <v>375688.125</v>
          </cell>
        </row>
        <row r="3314">
          <cell r="L3314" t="str">
            <v>2.</v>
          </cell>
          <cell r="N3314" t="str">
            <v>Aggregat Klas C</v>
          </cell>
          <cell r="O3314" t="str">
            <v>(M01)</v>
          </cell>
          <cell r="P3314" t="str">
            <v>M3</v>
          </cell>
          <cell r="Q3314">
            <v>0.50251973684210527</v>
          </cell>
          <cell r="R3314">
            <v>141787.08464737452</v>
          </cell>
          <cell r="U3314">
            <v>71250.808464607951</v>
          </cell>
        </row>
        <row r="3315">
          <cell r="A3315" t="str">
            <v>III.</v>
          </cell>
          <cell r="C3315" t="str">
            <v>PEMAKAIAN BAHAN, ALAT DAN TENAGA</v>
          </cell>
        </row>
        <row r="3317">
          <cell r="A3317" t="str">
            <v xml:space="preserve">   1.</v>
          </cell>
          <cell r="C3317" t="str">
            <v>BAHAN</v>
          </cell>
        </row>
        <row r="3318">
          <cell r="A3318" t="str">
            <v>1.a.</v>
          </cell>
          <cell r="C3318" t="str">
            <v>Semen (PC)          =</v>
          </cell>
          <cell r="D3318" t="str">
            <v xml:space="preserve">   {Sm x D1 x 1000} x 1.025</v>
          </cell>
          <cell r="G3318" t="str">
            <v>(M12)</v>
          </cell>
          <cell r="H3318">
            <v>276.75</v>
          </cell>
          <cell r="I3318" t="str">
            <v>Kg</v>
          </cell>
        </row>
        <row r="3319">
          <cell r="A3319" t="str">
            <v>1.b.</v>
          </cell>
          <cell r="C3319" t="str">
            <v>Agregat Kelas C</v>
          </cell>
          <cell r="D3319" t="str">
            <v xml:space="preserve">   {(Ps x D1) : D3} x 1.025</v>
          </cell>
          <cell r="G3319" t="str">
            <v>(M01)</v>
          </cell>
          <cell r="H3319">
            <v>0.50251973684210527</v>
          </cell>
          <cell r="I3319" t="str">
            <v>M3</v>
          </cell>
        </row>
        <row r="3320">
          <cell r="A3320" t="str">
            <v>1.c.</v>
          </cell>
          <cell r="C3320" t="str">
            <v/>
          </cell>
          <cell r="D3320" t="str">
            <v/>
          </cell>
          <cell r="G3320" t="str">
            <v/>
          </cell>
          <cell r="H3320" t="str">
            <v/>
          </cell>
          <cell r="I3320" t="str">
            <v/>
          </cell>
          <cell r="J3320" t="str">
            <v/>
          </cell>
        </row>
        <row r="3321">
          <cell r="A3321" t="str">
            <v>1.e.</v>
          </cell>
          <cell r="C3321" t="str">
            <v>Bekisting</v>
          </cell>
          <cell r="G3321" t="str">
            <v>(M19)</v>
          </cell>
          <cell r="H3321">
            <v>0.05</v>
          </cell>
          <cell r="I3321" t="str">
            <v>M3</v>
          </cell>
        </row>
        <row r="3322">
          <cell r="A3322" t="str">
            <v>1.f</v>
          </cell>
          <cell r="C3322" t="str">
            <v>Paku</v>
          </cell>
          <cell r="G3322" t="str">
            <v>(M18)</v>
          </cell>
          <cell r="H3322">
            <v>0.4</v>
          </cell>
          <cell r="I3322" t="str">
            <v>Kg</v>
          </cell>
        </row>
        <row r="3324">
          <cell r="A3324" t="str">
            <v>2.</v>
          </cell>
          <cell r="C3324" t="str">
            <v>ALAT</v>
          </cell>
        </row>
        <row r="3325">
          <cell r="A3325" t="str">
            <v>2.a.</v>
          </cell>
          <cell r="C3325" t="str">
            <v>CONCRETE MIXER</v>
          </cell>
          <cell r="G3325" t="str">
            <v>(E06)</v>
          </cell>
        </row>
        <row r="3326">
          <cell r="C3326" t="str">
            <v>Kapasitas Alat</v>
          </cell>
          <cell r="G3326" t="str">
            <v>V</v>
          </cell>
          <cell r="H3326">
            <v>500</v>
          </cell>
          <cell r="I3326" t="str">
            <v>liter</v>
          </cell>
        </row>
        <row r="3327">
          <cell r="C3327" t="str">
            <v>Faktor Efisiensi Alat</v>
          </cell>
          <cell r="G3327" t="str">
            <v>Fa</v>
          </cell>
          <cell r="H3327">
            <v>0.83</v>
          </cell>
          <cell r="I3327" t="str">
            <v>-</v>
          </cell>
        </row>
        <row r="3328">
          <cell r="C3328" t="str">
            <v>Waktu siklus   :</v>
          </cell>
          <cell r="D3328" t="str">
            <v>(T1 + T2 + T3 + T4)</v>
          </cell>
          <cell r="G3328" t="str">
            <v>Ts</v>
          </cell>
        </row>
        <row r="3329">
          <cell r="C3329" t="str">
            <v>-  Memuat</v>
          </cell>
          <cell r="G3329" t="str">
            <v>T1</v>
          </cell>
          <cell r="H3329">
            <v>3</v>
          </cell>
          <cell r="I3329" t="str">
            <v>menit</v>
          </cell>
        </row>
        <row r="3330">
          <cell r="C3330" t="str">
            <v>-  Mengaduk</v>
          </cell>
          <cell r="G3330" t="str">
            <v>T2</v>
          </cell>
          <cell r="H3330">
            <v>2</v>
          </cell>
          <cell r="I3330" t="str">
            <v>menit</v>
          </cell>
        </row>
        <row r="3331">
          <cell r="C3331" t="str">
            <v>-  Menuang</v>
          </cell>
          <cell r="G3331" t="str">
            <v>T3</v>
          </cell>
          <cell r="H3331">
            <v>3</v>
          </cell>
          <cell r="I3331" t="str">
            <v>menit</v>
          </cell>
        </row>
        <row r="3332">
          <cell r="C3332" t="str">
            <v>-  Tunggu, dll.</v>
          </cell>
          <cell r="G3332" t="str">
            <v>T4</v>
          </cell>
          <cell r="H3332">
            <v>3</v>
          </cell>
          <cell r="I3332" t="str">
            <v>menit</v>
          </cell>
        </row>
        <row r="3333">
          <cell r="G3333" t="str">
            <v>Ts</v>
          </cell>
          <cell r="H3333">
            <v>11</v>
          </cell>
          <cell r="I3333" t="str">
            <v>menit</v>
          </cell>
        </row>
        <row r="3335">
          <cell r="C3335" t="str">
            <v>Kap. Prod. / jam  =</v>
          </cell>
          <cell r="D3335" t="str">
            <v>V x Fa x 60</v>
          </cell>
          <cell r="G3335" t="str">
            <v>Q1</v>
          </cell>
          <cell r="H3335">
            <v>2.2636363636363637</v>
          </cell>
          <cell r="I3335" t="str">
            <v>M3</v>
          </cell>
        </row>
        <row r="3336">
          <cell r="D3336" t="str">
            <v>1000 x Ts</v>
          </cell>
        </row>
        <row r="3338">
          <cell r="C3338" t="str">
            <v>Koefisien Alat / M3</v>
          </cell>
          <cell r="D3338" t="str">
            <v xml:space="preserve">  =   1  :  Q1</v>
          </cell>
          <cell r="G3338" t="str">
            <v>(E06)</v>
          </cell>
          <cell r="H3338">
            <v>0.44176706827309237</v>
          </cell>
          <cell r="I3338" t="str">
            <v>jam</v>
          </cell>
        </row>
        <row r="3342">
          <cell r="J3342" t="str">
            <v>Berlanjut ke hal. berikut.</v>
          </cell>
        </row>
        <row r="3343">
          <cell r="A3343" t="str">
            <v>ITEM PEMBAYARAN NO.</v>
          </cell>
          <cell r="D3343" t="str">
            <v>: 5.5.(3)</v>
          </cell>
          <cell r="J3343" t="str">
            <v>Analisa EI-718</v>
          </cell>
        </row>
        <row r="3344">
          <cell r="A3344" t="str">
            <v>JENIS PEKERJAAN</v>
          </cell>
          <cell r="D3344" t="str">
            <v>: Pekerjaan LPAS Kelas C</v>
          </cell>
        </row>
        <row r="3345">
          <cell r="A3345" t="str">
            <v>SATUAN PEMBAYARAN</v>
          </cell>
          <cell r="D3345" t="str">
            <v>:  M3</v>
          </cell>
          <cell r="H3345" t="str">
            <v xml:space="preserve">        URAIAN ANALISA HARGA SATUAN</v>
          </cell>
        </row>
        <row r="3346">
          <cell r="J3346" t="str">
            <v>Lanjutan</v>
          </cell>
        </row>
        <row r="3348">
          <cell r="A3348" t="str">
            <v>No.</v>
          </cell>
          <cell r="C3348" t="str">
            <v>U R A I A N</v>
          </cell>
          <cell r="G3348" t="str">
            <v>KODE</v>
          </cell>
          <cell r="H3348" t="str">
            <v>KOEF.</v>
          </cell>
          <cell r="I3348" t="str">
            <v>SATUAN</v>
          </cell>
          <cell r="J3348" t="str">
            <v>KETERANGAN</v>
          </cell>
        </row>
        <row r="3351">
          <cell r="A3351" t="str">
            <v>2.b.</v>
          </cell>
          <cell r="C3351" t="str">
            <v>WATER TANK TRUCK</v>
          </cell>
          <cell r="G3351" t="str">
            <v>(E23)</v>
          </cell>
        </row>
        <row r="3352">
          <cell r="C3352" t="str">
            <v>Volume Tanki Air</v>
          </cell>
          <cell r="G3352" t="str">
            <v>V</v>
          </cell>
          <cell r="H3352">
            <v>4</v>
          </cell>
          <cell r="I3352" t="str">
            <v>M3</v>
          </cell>
        </row>
        <row r="3353">
          <cell r="C3353" t="str">
            <v>Kebutuhan air / M3 beton</v>
          </cell>
          <cell r="G3353" t="str">
            <v>Wc</v>
          </cell>
          <cell r="H3353">
            <v>0.16604999999999998</v>
          </cell>
          <cell r="I3353" t="str">
            <v>M3</v>
          </cell>
        </row>
        <row r="3354">
          <cell r="C3354" t="str">
            <v>Faktor Efiesiensi Alat</v>
          </cell>
          <cell r="G3354" t="str">
            <v>Fa</v>
          </cell>
          <cell r="H3354">
            <v>0.83</v>
          </cell>
          <cell r="I3354" t="str">
            <v>-</v>
          </cell>
        </row>
        <row r="3355">
          <cell r="C3355" t="str">
            <v>Pengisian Tanki / jam</v>
          </cell>
          <cell r="G3355" t="str">
            <v>n</v>
          </cell>
          <cell r="H3355">
            <v>1</v>
          </cell>
          <cell r="I3355" t="str">
            <v>kali</v>
          </cell>
        </row>
        <row r="3357">
          <cell r="C3357" t="str">
            <v>Kap. Prod. / jam  =</v>
          </cell>
          <cell r="D3357" t="str">
            <v>V x Fa x n</v>
          </cell>
          <cell r="G3357" t="str">
            <v>Q2</v>
          </cell>
          <cell r="H3357">
            <v>19.993977717554955</v>
          </cell>
          <cell r="I3357" t="str">
            <v>M3</v>
          </cell>
        </row>
        <row r="3358">
          <cell r="D3358" t="str">
            <v>Wc</v>
          </cell>
        </row>
        <row r="3360">
          <cell r="C3360" t="str">
            <v>Koefisien Alat / M3</v>
          </cell>
          <cell r="D3360" t="str">
            <v xml:space="preserve">  =   1  :  Q2</v>
          </cell>
          <cell r="G3360" t="str">
            <v>(E23)</v>
          </cell>
          <cell r="H3360">
            <v>5.0015060240963853E-2</v>
          </cell>
          <cell r="I3360" t="str">
            <v>jam</v>
          </cell>
        </row>
        <row r="3362">
          <cell r="A3362" t="str">
            <v>2.c.</v>
          </cell>
          <cell r="C3362" t="str">
            <v>CONCRETE VIBRATOR</v>
          </cell>
          <cell r="G3362" t="str">
            <v>(E20)</v>
          </cell>
        </row>
        <row r="3363">
          <cell r="C3363" t="str">
            <v>Kebutuhan Alat Penggetar Beton ini disesuaikan dengan</v>
          </cell>
        </row>
        <row r="3364">
          <cell r="C3364" t="str">
            <v>kapasitas produksi Alat Pencampur (Concrete Mixer)</v>
          </cell>
        </row>
        <row r="3366">
          <cell r="C3366" t="str">
            <v>Kap. Prod. / jam  =</v>
          </cell>
          <cell r="D3366" t="str">
            <v>Kap.Prod./Jam Alat Concrete Mixer</v>
          </cell>
          <cell r="G3366" t="str">
            <v>Q3</v>
          </cell>
          <cell r="H3366">
            <v>2.2636363636363637</v>
          </cell>
          <cell r="I3366" t="str">
            <v>M3</v>
          </cell>
        </row>
        <row r="3368">
          <cell r="C3368" t="str">
            <v>Koefisien Alat / M3</v>
          </cell>
          <cell r="D3368" t="str">
            <v xml:space="preserve">  =   1  :  Q3</v>
          </cell>
          <cell r="G3368" t="str">
            <v>(E20)</v>
          </cell>
          <cell r="H3368">
            <v>0.44176706827309237</v>
          </cell>
          <cell r="I3368" t="str">
            <v>jam</v>
          </cell>
        </row>
        <row r="3370">
          <cell r="A3370" t="str">
            <v>2.c.</v>
          </cell>
          <cell r="C3370" t="str">
            <v>ALAT BANTU</v>
          </cell>
        </row>
        <row r="3371">
          <cell r="C3371" t="str">
            <v>Diperlukan  :</v>
          </cell>
        </row>
        <row r="3372">
          <cell r="C3372" t="str">
            <v>- Sekop</v>
          </cell>
          <cell r="D3372" t="str">
            <v>=  2  buah</v>
          </cell>
        </row>
        <row r="3373">
          <cell r="C3373" t="str">
            <v>- Pacul</v>
          </cell>
          <cell r="D3373" t="str">
            <v>=  2  buah</v>
          </cell>
        </row>
        <row r="3374">
          <cell r="C3374" t="str">
            <v>- Sendok Semen</v>
          </cell>
          <cell r="D3374" t="str">
            <v>=  2  buah</v>
          </cell>
        </row>
        <row r="3375">
          <cell r="C3375" t="str">
            <v>- Ember Cor</v>
          </cell>
          <cell r="D3375" t="str">
            <v>=  4  buah</v>
          </cell>
        </row>
        <row r="3376">
          <cell r="C3376" t="str">
            <v>- Gerobak Dorong</v>
          </cell>
          <cell r="D3376" t="str">
            <v>=  1  buah</v>
          </cell>
        </row>
        <row r="3378">
          <cell r="A3378" t="str">
            <v>3.</v>
          </cell>
          <cell r="C3378" t="str">
            <v>TENAGA</v>
          </cell>
        </row>
        <row r="3379">
          <cell r="C3379" t="str">
            <v>Produksi Beton dalam 1 hari</v>
          </cell>
          <cell r="E3379" t="str">
            <v>=  Tk x Q1</v>
          </cell>
          <cell r="G3379" t="str">
            <v>Qt</v>
          </cell>
          <cell r="H3379">
            <v>15.845454545454546</v>
          </cell>
          <cell r="I3379" t="str">
            <v>M3</v>
          </cell>
        </row>
        <row r="3381">
          <cell r="C3381" t="str">
            <v>Kebutuhan tenaga :</v>
          </cell>
          <cell r="D3381" t="str">
            <v>- Mandor</v>
          </cell>
          <cell r="G3381" t="str">
            <v>M</v>
          </cell>
          <cell r="H3381">
            <v>1</v>
          </cell>
          <cell r="I3381" t="str">
            <v>orang</v>
          </cell>
        </row>
        <row r="3382">
          <cell r="D3382" t="str">
            <v>- Tukang</v>
          </cell>
          <cell r="G3382" t="str">
            <v>Tb</v>
          </cell>
          <cell r="H3382">
            <v>4</v>
          </cell>
          <cell r="I3382" t="str">
            <v>orang</v>
          </cell>
        </row>
        <row r="3383">
          <cell r="D3383" t="str">
            <v>- Pekerja</v>
          </cell>
          <cell r="G3383" t="str">
            <v>P</v>
          </cell>
          <cell r="H3383">
            <v>12</v>
          </cell>
          <cell r="I3383" t="str">
            <v>orang</v>
          </cell>
        </row>
        <row r="3385">
          <cell r="C3385" t="str">
            <v>Koefisien Tenaga / M3   :</v>
          </cell>
        </row>
        <row r="3386">
          <cell r="D3386" t="str">
            <v>-  Mandor</v>
          </cell>
          <cell r="E3386" t="str">
            <v>= (Tk x M) : Qt</v>
          </cell>
          <cell r="G3386" t="str">
            <v>(L03)</v>
          </cell>
          <cell r="H3386">
            <v>0.44176706827309237</v>
          </cell>
          <cell r="I3386" t="str">
            <v>jam</v>
          </cell>
        </row>
        <row r="3387">
          <cell r="D3387" t="str">
            <v>-  Tukang</v>
          </cell>
          <cell r="E3387" t="str">
            <v>= (Tk x Tb) : Qt</v>
          </cell>
          <cell r="G3387" t="str">
            <v>(L02)</v>
          </cell>
          <cell r="H3387">
            <v>1.7670682730923695</v>
          </cell>
          <cell r="I3387" t="str">
            <v>jam</v>
          </cell>
        </row>
        <row r="3388">
          <cell r="D3388" t="str">
            <v>-  Pekerja</v>
          </cell>
          <cell r="E3388" t="str">
            <v>= (Tk x P) : Qt</v>
          </cell>
          <cell r="G3388" t="str">
            <v>(L01)</v>
          </cell>
          <cell r="H3388">
            <v>5.3012048192771086</v>
          </cell>
          <cell r="I3388" t="str">
            <v>jam</v>
          </cell>
        </row>
        <row r="3391">
          <cell r="A3391" t="str">
            <v>4.</v>
          </cell>
          <cell r="C3391" t="str">
            <v>HARGA DASAR SATUAN UPAH, BAHAN DAN ALAT</v>
          </cell>
        </row>
        <row r="3392">
          <cell r="C3392" t="str">
            <v>Lihat lampiran.</v>
          </cell>
        </row>
        <row r="3401">
          <cell r="J3401" t="str">
            <v>Berlanjut ke hal. berikut.</v>
          </cell>
        </row>
        <row r="3402">
          <cell r="A3402" t="str">
            <v>ITEM PEMBAYARAN NO.</v>
          </cell>
          <cell r="D3402" t="str">
            <v>: 5.5.(3)</v>
          </cell>
          <cell r="J3402" t="str">
            <v>Analisa EI-718</v>
          </cell>
        </row>
        <row r="3403">
          <cell r="A3403" t="str">
            <v>JENIS PEKERJAAN</v>
          </cell>
          <cell r="D3403" t="str">
            <v>: Pekerjaan LPAS Kelas C</v>
          </cell>
        </row>
        <row r="3404">
          <cell r="A3404" t="str">
            <v>SATUAN PEMBAYARAN</v>
          </cell>
          <cell r="D3404" t="str">
            <v>:  M3</v>
          </cell>
          <cell r="H3404" t="str">
            <v xml:space="preserve">        URAIAN ANALISA HARGA SATUAN</v>
          </cell>
        </row>
        <row r="3405">
          <cell r="J3405" t="str">
            <v>Lanjutan</v>
          </cell>
        </row>
        <row r="3407">
          <cell r="A3407" t="str">
            <v>No.</v>
          </cell>
          <cell r="C3407" t="str">
            <v>U R A I A N</v>
          </cell>
          <cell r="G3407" t="str">
            <v>KODE</v>
          </cell>
          <cell r="H3407" t="str">
            <v>KOEF.</v>
          </cell>
          <cell r="I3407" t="str">
            <v>SATUAN</v>
          </cell>
          <cell r="J3407" t="str">
            <v>KETERANGAN</v>
          </cell>
        </row>
        <row r="3410">
          <cell r="A3410" t="str">
            <v>5.</v>
          </cell>
          <cell r="C3410" t="str">
            <v>ANALISA HARGA SATUAN PEKERJAAN</v>
          </cell>
        </row>
        <row r="3411">
          <cell r="C3411" t="str">
            <v>Lihat perhitungan dalam FORMULIR STANDAR UNTUK</v>
          </cell>
        </row>
        <row r="3412">
          <cell r="C3412" t="str">
            <v>PEREKEMAN ANALISA MASING-MASING HARGA</v>
          </cell>
        </row>
        <row r="3413">
          <cell r="C3413" t="str">
            <v>SATUAN.</v>
          </cell>
        </row>
        <row r="3414">
          <cell r="C3414" t="str">
            <v>Didapat Harga Satuan Pekerjaan :</v>
          </cell>
        </row>
        <row r="3416">
          <cell r="C3416" t="str">
            <v xml:space="preserve">Rp.  </v>
          </cell>
          <cell r="D3416">
            <v>634714.46174467704</v>
          </cell>
          <cell r="E3416" t="str">
            <v xml:space="preserve"> / M3</v>
          </cell>
        </row>
        <row r="3419">
          <cell r="A3419" t="str">
            <v>6.</v>
          </cell>
          <cell r="C3419" t="str">
            <v>MASA PELAKSANAAN YANG DIPERLUKAN</v>
          </cell>
        </row>
        <row r="3420">
          <cell r="C3420" t="str">
            <v>Masa Pelaksanaan :</v>
          </cell>
          <cell r="D3420" t="str">
            <v>. . . . . . . . . . . .</v>
          </cell>
        </row>
        <row r="3422">
          <cell r="A3422" t="str">
            <v>7.</v>
          </cell>
          <cell r="C3422" t="str">
            <v>VOLUME PEKERJAAN YANG DIPERLUKAN</v>
          </cell>
        </row>
        <row r="3423">
          <cell r="C3423" t="str">
            <v>Volume pekerjaan  :</v>
          </cell>
          <cell r="D3423">
            <v>1</v>
          </cell>
          <cell r="E3423" t="str">
            <v>M3</v>
          </cell>
        </row>
        <row r="3463">
          <cell r="A3463" t="str">
            <v>ITEM  PEMBAYARAN</v>
          </cell>
          <cell r="D3463" t="str">
            <v xml:space="preserve">:  5.7 (1) </v>
          </cell>
          <cell r="J3463" t="str">
            <v>Analisa EI-7171</v>
          </cell>
        </row>
        <row r="3464">
          <cell r="A3464" t="str">
            <v>JENIS PEKERJAAN</v>
          </cell>
          <cell r="D3464" t="str">
            <v>: Wet  Lean Concrete (Tebal 10 cm)</v>
          </cell>
        </row>
        <row r="3465">
          <cell r="A3465" t="str">
            <v xml:space="preserve">SATUAN                                          </v>
          </cell>
          <cell r="E3465" t="str">
            <v>: M2</v>
          </cell>
        </row>
        <row r="3469">
          <cell r="A3469" t="str">
            <v>UNIT PERHITUNGAN :</v>
          </cell>
          <cell r="D3469">
            <v>100</v>
          </cell>
          <cell r="E3469" t="str">
            <v>M3</v>
          </cell>
          <cell r="G3469" t="str">
            <v xml:space="preserve">        URAIAN ANALISA HARGA SATUAN</v>
          </cell>
        </row>
        <row r="3471">
          <cell r="A3471" t="str">
            <v>No.</v>
          </cell>
          <cell r="C3471" t="str">
            <v>U R A I A N</v>
          </cell>
          <cell r="G3471" t="str">
            <v>KODE</v>
          </cell>
          <cell r="H3471" t="str">
            <v>KOEF.</v>
          </cell>
          <cell r="I3471" t="str">
            <v>SATUAN</v>
          </cell>
          <cell r="J3471" t="str">
            <v>KETERANGAN</v>
          </cell>
        </row>
        <row r="3474">
          <cell r="A3474" t="str">
            <v>I.</v>
          </cell>
          <cell r="C3474" t="str">
            <v>ASUMSI</v>
          </cell>
        </row>
        <row r="3475">
          <cell r="A3475">
            <v>1</v>
          </cell>
          <cell r="C3475" t="str">
            <v xml:space="preserve">Menggunakan cara mekanik  </v>
          </cell>
        </row>
        <row r="3476">
          <cell r="A3476">
            <v>2</v>
          </cell>
          <cell r="C3476" t="str">
            <v>Tebal   Lean Concrete  =</v>
          </cell>
          <cell r="H3476">
            <v>10</v>
          </cell>
          <cell r="I3476" t="str">
            <v>CM</v>
          </cell>
        </row>
        <row r="3477">
          <cell r="A3477">
            <v>3</v>
          </cell>
          <cell r="C3477" t="str">
            <v>Beton  ready mix  diterima  di lokasi  pekerjaan</v>
          </cell>
        </row>
        <row r="3478">
          <cell r="A3478">
            <v>4</v>
          </cell>
          <cell r="C3478" t="str">
            <v>Jam kerja efektif per-hari</v>
          </cell>
          <cell r="G3478" t="str">
            <v>Tk</v>
          </cell>
          <cell r="H3478">
            <v>7</v>
          </cell>
          <cell r="I3478" t="str">
            <v>jam</v>
          </cell>
        </row>
        <row r="3479">
          <cell r="A3479">
            <v>5</v>
          </cell>
          <cell r="C3479" t="str">
            <v>Harga ready mix franco lokasi/ proyek</v>
          </cell>
          <cell r="G3479" t="str">
            <v/>
          </cell>
          <cell r="H3479" t="str">
            <v/>
          </cell>
          <cell r="I3479" t="str">
            <v/>
          </cell>
        </row>
        <row r="3480">
          <cell r="C3480" t="str">
            <v/>
          </cell>
        </row>
        <row r="3481">
          <cell r="C3481" t="str">
            <v/>
          </cell>
        </row>
        <row r="3482">
          <cell r="A3482" t="str">
            <v/>
          </cell>
        </row>
        <row r="3484">
          <cell r="A3484" t="str">
            <v>II.</v>
          </cell>
          <cell r="C3484" t="str">
            <v>URUTAN KERJA</v>
          </cell>
        </row>
        <row r="3485">
          <cell r="A3485">
            <v>1</v>
          </cell>
          <cell r="C3485" t="str">
            <v>Mal /bekisting/form work  dipersiapkan sesuai dengan</v>
          </cell>
        </row>
        <row r="3486">
          <cell r="C3486" t="str">
            <v>gambar dan persyaratan</v>
          </cell>
        </row>
        <row r="3487">
          <cell r="A3487">
            <v>2</v>
          </cell>
          <cell r="C3487" t="str">
            <v>Beton di-cor ke dalam mal yang telah disiapkan</v>
          </cell>
        </row>
        <row r="3488">
          <cell r="A3488">
            <v>3</v>
          </cell>
          <cell r="C3488" t="str">
            <v xml:space="preserve">Penghamparan dan perataan dilakukan dengan </v>
          </cell>
        </row>
        <row r="3489">
          <cell r="C3489" t="str">
            <v>dengan memakai alat Slip Form Paver</v>
          </cell>
        </row>
        <row r="3490">
          <cell r="A3490" t="str">
            <v/>
          </cell>
        </row>
        <row r="3491">
          <cell r="A3491" t="str">
            <v>III.</v>
          </cell>
          <cell r="C3491" t="str">
            <v>PEMAKAIAN BAHAN, ALAT DAN TENAGA</v>
          </cell>
        </row>
        <row r="3493">
          <cell r="A3493">
            <v>1</v>
          </cell>
          <cell r="C3493" t="str">
            <v>BAHAN</v>
          </cell>
        </row>
        <row r="3494">
          <cell r="A3494" t="str">
            <v>1.a.</v>
          </cell>
          <cell r="C3494" t="str">
            <v>Beton  K-125 Ready mix =  100  * 1.05</v>
          </cell>
          <cell r="H3494">
            <v>105</v>
          </cell>
          <cell r="I3494" t="str">
            <v>M3</v>
          </cell>
        </row>
        <row r="3495">
          <cell r="C3495" t="str">
            <v>Volume  Beton  per M2 = 0,1*1 =</v>
          </cell>
          <cell r="E3495" t="str">
            <v>0,1  M3</v>
          </cell>
        </row>
        <row r="3496">
          <cell r="A3496" t="str">
            <v>b</v>
          </cell>
          <cell r="C3496" t="str">
            <v>Form Work</v>
          </cell>
          <cell r="D3496" t="str">
            <v>= 0.1*100</v>
          </cell>
          <cell r="H3496">
            <v>20</v>
          </cell>
          <cell r="I3496" t="str">
            <v>M2</v>
          </cell>
        </row>
        <row r="3498">
          <cell r="A3498" t="str">
            <v>2.</v>
          </cell>
          <cell r="C3498" t="str">
            <v>ALAT</v>
          </cell>
        </row>
        <row r="3499">
          <cell r="A3499" t="str">
            <v>2.a.</v>
          </cell>
          <cell r="C3499" t="str">
            <v>EXCAVATOR</v>
          </cell>
          <cell r="G3499" t="str">
            <v>(E10)</v>
          </cell>
        </row>
        <row r="3500">
          <cell r="C3500" t="str">
            <v>Kapasitas Bucket</v>
          </cell>
          <cell r="G3500" t="str">
            <v>V</v>
          </cell>
          <cell r="H3500">
            <v>0.93</v>
          </cell>
          <cell r="I3500" t="str">
            <v>M3</v>
          </cell>
        </row>
        <row r="3501">
          <cell r="C3501" t="str">
            <v>Faktor Bucket</v>
          </cell>
          <cell r="G3501" t="str">
            <v>Fb</v>
          </cell>
          <cell r="H3501">
            <v>1</v>
          </cell>
          <cell r="I3501" t="str">
            <v>-</v>
          </cell>
        </row>
        <row r="3502">
          <cell r="C3502" t="str">
            <v>Faktor  Efisiensi alat</v>
          </cell>
          <cell r="G3502" t="str">
            <v>Fa</v>
          </cell>
          <cell r="H3502">
            <v>0.83</v>
          </cell>
          <cell r="I3502" t="str">
            <v>-</v>
          </cell>
        </row>
        <row r="3503">
          <cell r="C3503" t="str">
            <v>Faktor Konversi</v>
          </cell>
          <cell r="G3503" t="str">
            <v>Fv</v>
          </cell>
          <cell r="H3503">
            <v>0.9</v>
          </cell>
        </row>
        <row r="3505">
          <cell r="C3505" t="str">
            <v>Waktu siklus</v>
          </cell>
          <cell r="G3505" t="str">
            <v>Ts1</v>
          </cell>
        </row>
        <row r="3506">
          <cell r="C3506" t="str">
            <v>- Menggali,  memuat dan berputar</v>
          </cell>
          <cell r="G3506" t="str">
            <v>T1</v>
          </cell>
          <cell r="H3506">
            <v>0.317</v>
          </cell>
          <cell r="I3506" t="str">
            <v>menit</v>
          </cell>
        </row>
        <row r="3507">
          <cell r="C3507" t="str">
            <v>- Lain-lain</v>
          </cell>
          <cell r="G3507" t="str">
            <v>T2</v>
          </cell>
          <cell r="H3507">
            <v>0.5</v>
          </cell>
          <cell r="I3507" t="str">
            <v>menit</v>
          </cell>
        </row>
        <row r="3508">
          <cell r="G3508" t="str">
            <v>Ts1</v>
          </cell>
          <cell r="H3508">
            <v>0.81699999999999995</v>
          </cell>
          <cell r="I3508" t="str">
            <v>menit</v>
          </cell>
        </row>
        <row r="3510">
          <cell r="C3510" t="str">
            <v>Kap. Prod. / jam =</v>
          </cell>
          <cell r="D3510" t="str">
            <v>V  x Fb x Fa x Fv x  60</v>
          </cell>
          <cell r="G3510" t="str">
            <v>Q1</v>
          </cell>
          <cell r="H3510">
            <v>5.1019094247246022</v>
          </cell>
          <cell r="I3510" t="str">
            <v xml:space="preserve">M3  </v>
          </cell>
        </row>
        <row r="3511">
          <cell r="D3511" t="str">
            <v>Ts1 x Fk</v>
          </cell>
        </row>
        <row r="3513">
          <cell r="C3513" t="str">
            <v>Koefisien Alat / M3</v>
          </cell>
          <cell r="D3513" t="str">
            <v xml:space="preserve"> =  1  :  Q1</v>
          </cell>
          <cell r="G3513" t="str">
            <v>-</v>
          </cell>
          <cell r="H3513">
            <v>0.19600504766977109</v>
          </cell>
          <cell r="I3513" t="str">
            <v>Jam</v>
          </cell>
        </row>
        <row r="3517">
          <cell r="A3517" t="str">
            <v>2.b.</v>
          </cell>
          <cell r="C3517" t="str">
            <v>SLIP FORM PAVER</v>
          </cell>
        </row>
        <row r="3522">
          <cell r="A3522" t="str">
            <v>2.c.</v>
          </cell>
          <cell r="C3522" t="str">
            <v>CONCRETE VIBRATOR</v>
          </cell>
          <cell r="G3522" t="str">
            <v>(E20)</v>
          </cell>
        </row>
        <row r="3523">
          <cell r="C3523" t="str">
            <v>Kebutuhan Alat Penggetar Beton ini disesuaikan dengan</v>
          </cell>
        </row>
        <row r="3524">
          <cell r="C3524" t="str">
            <v>kapasitas produksi Concrete  Pump</v>
          </cell>
        </row>
        <row r="3525">
          <cell r="C3525" t="str">
            <v>Kap. Prod. / jam  =</v>
          </cell>
          <cell r="G3525" t="str">
            <v>Q3</v>
          </cell>
          <cell r="H3525">
            <v>10</v>
          </cell>
          <cell r="I3525" t="str">
            <v>M3</v>
          </cell>
          <cell r="J3525" t="str">
            <v>Cek Kap prod</v>
          </cell>
        </row>
        <row r="3526">
          <cell r="C3526" t="str">
            <v xml:space="preserve">Kebutuhan utk </v>
          </cell>
          <cell r="D3526">
            <v>100</v>
          </cell>
          <cell r="E3526" t="str">
            <v>M3</v>
          </cell>
          <cell r="G3526" t="str">
            <v>(E20)</v>
          </cell>
          <cell r="H3526">
            <v>10.5</v>
          </cell>
          <cell r="I3526" t="str">
            <v>jam</v>
          </cell>
        </row>
        <row r="3528">
          <cell r="A3528" t="str">
            <v>2.c.</v>
          </cell>
          <cell r="C3528" t="str">
            <v>ALAT BANTU</v>
          </cell>
        </row>
        <row r="3529">
          <cell r="C3529" t="str">
            <v>Diperlukan  :</v>
          </cell>
        </row>
        <row r="3530">
          <cell r="C3530" t="str">
            <v>- Sekop</v>
          </cell>
          <cell r="D3530" t="str">
            <v>=  2  buah</v>
          </cell>
        </row>
        <row r="3531">
          <cell r="C3531" t="str">
            <v>- Pacul</v>
          </cell>
          <cell r="D3531" t="str">
            <v>=  2  buah</v>
          </cell>
        </row>
        <row r="3532">
          <cell r="C3532" t="str">
            <v>Dan lain-lain</v>
          </cell>
        </row>
        <row r="3534">
          <cell r="A3534" t="str">
            <v>3.</v>
          </cell>
          <cell r="C3534" t="str">
            <v>TENAGA</v>
          </cell>
        </row>
        <row r="3535">
          <cell r="C3535" t="str">
            <v xml:space="preserve">Kebutuhan utk </v>
          </cell>
          <cell r="D3535">
            <v>100</v>
          </cell>
          <cell r="E3535" t="str">
            <v>M3</v>
          </cell>
        </row>
        <row r="3536">
          <cell r="C3536" t="str">
            <v>- Pengawas</v>
          </cell>
          <cell r="E3536" t="str">
            <v/>
          </cell>
          <cell r="G3536" t="str">
            <v>Pg</v>
          </cell>
          <cell r="H3536">
            <v>7</v>
          </cell>
          <cell r="I3536" t="str">
            <v>hour</v>
          </cell>
        </row>
        <row r="3537">
          <cell r="C3537" t="str">
            <v>- Mandor</v>
          </cell>
          <cell r="E3537" t="str">
            <v>= 1 orang hari</v>
          </cell>
          <cell r="G3537" t="str">
            <v>M</v>
          </cell>
          <cell r="H3537">
            <v>21</v>
          </cell>
          <cell r="I3537" t="str">
            <v>hour</v>
          </cell>
        </row>
        <row r="3538">
          <cell r="C3538" t="str">
            <v>- Tukang/ Tenaga  trampil</v>
          </cell>
          <cell r="E3538" t="str">
            <v/>
          </cell>
          <cell r="G3538" t="str">
            <v>Tb</v>
          </cell>
          <cell r="H3538">
            <v>35</v>
          </cell>
          <cell r="I3538" t="str">
            <v>hour</v>
          </cell>
        </row>
        <row r="3539">
          <cell r="C3539" t="str">
            <v>- Pekerja</v>
          </cell>
          <cell r="E3539" t="str">
            <v>= 2 orang hari</v>
          </cell>
          <cell r="G3539" t="str">
            <v>P</v>
          </cell>
          <cell r="H3539">
            <v>49</v>
          </cell>
          <cell r="I3539" t="str">
            <v>hour</v>
          </cell>
        </row>
        <row r="3542">
          <cell r="C3542" t="str">
            <v>DOMINAN: Slip Form Paver</v>
          </cell>
        </row>
        <row r="3553">
          <cell r="A3553" t="str">
            <v>ITEM  PEMBAYARAN</v>
          </cell>
          <cell r="E3553" t="str">
            <v xml:space="preserve">:  5.7 (1) </v>
          </cell>
          <cell r="J3553" t="str">
            <v>Analisa EI-7171</v>
          </cell>
        </row>
        <row r="3554">
          <cell r="A3554" t="str">
            <v>JENIS PEKERJAAN</v>
          </cell>
          <cell r="E3554" t="str">
            <v>: Wet  Lean Concrete (Tebal 10 cm)</v>
          </cell>
        </row>
        <row r="3555">
          <cell r="A3555" t="str">
            <v xml:space="preserve">SATUAN                                          </v>
          </cell>
          <cell r="E3555" t="str">
            <v>: M3</v>
          </cell>
        </row>
        <row r="3558">
          <cell r="A3558" t="str">
            <v>UNIT PERHITUNGAN :</v>
          </cell>
          <cell r="D3558">
            <v>100</v>
          </cell>
          <cell r="E3558" t="str">
            <v>M3</v>
          </cell>
          <cell r="G3558" t="str">
            <v xml:space="preserve">        URAIAN ANALISA HARGA SATUAN</v>
          </cell>
        </row>
        <row r="3560">
          <cell r="A3560" t="str">
            <v>4.</v>
          </cell>
          <cell r="C3560" t="str">
            <v>HARGA DASAR SATUAN UPAH, BAHAN DAN ALAT</v>
          </cell>
        </row>
        <row r="3561">
          <cell r="C3561" t="str">
            <v>Lihat lampiran.</v>
          </cell>
        </row>
        <row r="3563">
          <cell r="A3563" t="str">
            <v>5.</v>
          </cell>
          <cell r="C3563" t="str">
            <v>ANALISA HARGA SATUAN PEKERJAAN</v>
          </cell>
        </row>
        <row r="3564">
          <cell r="C3564" t="str">
            <v>Lihat perhitungan dalam FORMULIR STANDAR UNTUK</v>
          </cell>
        </row>
        <row r="3565">
          <cell r="C3565" t="str">
            <v>PEREKEMAN ANALISA MASING-MASING HARGA</v>
          </cell>
        </row>
        <row r="3566">
          <cell r="C3566" t="str">
            <v>SATUAN.</v>
          </cell>
        </row>
        <row r="3567">
          <cell r="C3567" t="str">
            <v>Didapat Harga Satuan Pekerjaan :</v>
          </cell>
        </row>
        <row r="3569">
          <cell r="C3569" t="str">
            <v xml:space="preserve">Rp.  </v>
          </cell>
          <cell r="D3569">
            <v>56726.178538879387</v>
          </cell>
          <cell r="E3569" t="str">
            <v xml:space="preserve"> / M2</v>
          </cell>
        </row>
        <row r="3572">
          <cell r="A3572" t="str">
            <v>6.</v>
          </cell>
          <cell r="C3572" t="str">
            <v>WAKTU PELAKSANAAN YANG DIPERLUKAN</v>
          </cell>
        </row>
        <row r="3573">
          <cell r="C3573" t="str">
            <v>Masa Pelaksanaan :</v>
          </cell>
          <cell r="D3573" t="str">
            <v>. . . . . . . . . . . .</v>
          </cell>
          <cell r="E3573" t="str">
            <v>bulan</v>
          </cell>
        </row>
        <row r="3575">
          <cell r="A3575" t="str">
            <v>7.</v>
          </cell>
          <cell r="C3575" t="str">
            <v>VOLUME PEKERJAAN YANG DIPERLUKAN</v>
          </cell>
        </row>
        <row r="3576">
          <cell r="C3576" t="str">
            <v>Volume pekerjaan  :</v>
          </cell>
          <cell r="D3576">
            <v>1</v>
          </cell>
          <cell r="E3576" t="str">
            <v>M2</v>
          </cell>
        </row>
        <row r="3582">
          <cell r="A3582" t="str">
            <v>ITEM PEMBAYARAN NO.</v>
          </cell>
          <cell r="D3582" t="str">
            <v>:  5.7 (2)</v>
          </cell>
          <cell r="J3582" t="str">
            <v>Analisa EI-511</v>
          </cell>
        </row>
        <row r="3583">
          <cell r="A3583" t="str">
            <v>JENIS PEKERJAAN</v>
          </cell>
          <cell r="D3583" t="str">
            <v>: Sand Bedding (t=5 cm)</v>
          </cell>
        </row>
        <row r="3584">
          <cell r="A3584" t="str">
            <v>SATUAN PEMBAYARAN</v>
          </cell>
          <cell r="D3584" t="str">
            <v>:  M2</v>
          </cell>
          <cell r="H3584" t="str">
            <v xml:space="preserve">         URAIAN ANALISA HARGA SATUAN</v>
          </cell>
        </row>
        <row r="3587">
          <cell r="A3587" t="str">
            <v>No.</v>
          </cell>
          <cell r="C3587" t="str">
            <v>U R A I A N</v>
          </cell>
          <cell r="G3587" t="str">
            <v>KODE</v>
          </cell>
          <cell r="H3587" t="str">
            <v>KOEF.</v>
          </cell>
          <cell r="I3587" t="str">
            <v>SATUAN</v>
          </cell>
          <cell r="J3587" t="str">
            <v>KETERANGAN</v>
          </cell>
        </row>
        <row r="3590">
          <cell r="A3590" t="str">
            <v>I.</v>
          </cell>
          <cell r="C3590" t="str">
            <v>ASUMSI</v>
          </cell>
        </row>
        <row r="3591">
          <cell r="A3591">
            <v>1</v>
          </cell>
          <cell r="C3591" t="str">
            <v>Pekerjaan dilakukan secara mekanis</v>
          </cell>
        </row>
        <row r="3592">
          <cell r="A3592">
            <v>2</v>
          </cell>
          <cell r="C3592" t="str">
            <v>Lokasi pekerjaan : sepanjang jalan</v>
          </cell>
        </row>
        <row r="3593">
          <cell r="A3593">
            <v>3</v>
          </cell>
          <cell r="C3593" t="str">
            <v>Kondisi Jalan   :  sedang / baik</v>
          </cell>
        </row>
        <row r="3594">
          <cell r="A3594">
            <v>4</v>
          </cell>
          <cell r="C3594" t="str">
            <v>Jam kerja efektif per-hari</v>
          </cell>
          <cell r="G3594" t="str">
            <v>Tk</v>
          </cell>
          <cell r="H3594">
            <v>7</v>
          </cell>
          <cell r="I3594" t="str">
            <v>Jam</v>
          </cell>
        </row>
        <row r="3595">
          <cell r="A3595">
            <v>5</v>
          </cell>
          <cell r="C3595" t="str">
            <v>Faktor pengembangan bahan</v>
          </cell>
          <cell r="G3595" t="str">
            <v>Fk</v>
          </cell>
          <cell r="H3595">
            <v>1.17</v>
          </cell>
          <cell r="I3595" t="str">
            <v>-</v>
          </cell>
        </row>
        <row r="3596">
          <cell r="A3596">
            <v>6</v>
          </cell>
          <cell r="C3596" t="str">
            <v>Tebal hamparan padat</v>
          </cell>
          <cell r="G3596" t="str">
            <v>t</v>
          </cell>
          <cell r="H3596">
            <v>0.05</v>
          </cell>
          <cell r="I3596" t="str">
            <v>M</v>
          </cell>
        </row>
        <row r="3598">
          <cell r="A3598" t="str">
            <v>II.</v>
          </cell>
          <cell r="C3598" t="str">
            <v>URUTAN KERJA</v>
          </cell>
        </row>
        <row r="3599">
          <cell r="A3599">
            <v>1</v>
          </cell>
          <cell r="C3599" t="str">
            <v>Wheel Loader memuat ke dalam Dump Truck</v>
          </cell>
        </row>
        <row r="3600">
          <cell r="A3600">
            <v>2</v>
          </cell>
          <cell r="C3600" t="str">
            <v>Dump Truck mengangkut ke lapangan dengan jarak</v>
          </cell>
        </row>
        <row r="3601">
          <cell r="C3601" t="str">
            <v>quari ke lapangan</v>
          </cell>
          <cell r="G3601" t="str">
            <v>L</v>
          </cell>
          <cell r="H3601">
            <v>80.61</v>
          </cell>
          <cell r="I3601" t="str">
            <v>Km</v>
          </cell>
        </row>
        <row r="3602">
          <cell r="A3602">
            <v>3</v>
          </cell>
          <cell r="C3602" t="str">
            <v>Material dihampar dengan menggunakan Motor Grader</v>
          </cell>
        </row>
        <row r="3603">
          <cell r="A3603">
            <v>4</v>
          </cell>
          <cell r="C3603" t="str">
            <v>Hamparan material disiram air dengan Watertank Truck</v>
          </cell>
        </row>
        <row r="3604">
          <cell r="C3604" t="str">
            <v>(sebelum pelaksanaan pemadatan) dan dipadatkan</v>
          </cell>
        </row>
        <row r="3605">
          <cell r="C3605" t="str">
            <v>dengan menggunakan Tandem Roller</v>
          </cell>
        </row>
        <row r="3606">
          <cell r="A3606">
            <v>5</v>
          </cell>
          <cell r="C3606" t="str">
            <v>Selama pemadatan sekelompok pekerja  akan</v>
          </cell>
        </row>
        <row r="3607">
          <cell r="C3607" t="str">
            <v>merapikan tepi hamparan dan level permukaan</v>
          </cell>
        </row>
        <row r="3608">
          <cell r="C3608" t="str">
            <v>dengan menggunakan alat bantu</v>
          </cell>
        </row>
        <row r="3610">
          <cell r="A3610" t="str">
            <v>III.</v>
          </cell>
          <cell r="C3610" t="str">
            <v>PEMAKAIAN BAHAN, ALAT DAN TENAGA</v>
          </cell>
        </row>
        <row r="3611">
          <cell r="A3611" t="str">
            <v xml:space="preserve">   1.</v>
          </cell>
          <cell r="C3611" t="str">
            <v>BAHAN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J1Q47"/>
      <sheetName val="TJ1Q43"/>
      <sheetName val="RYQ52"/>
      <sheetName val="RYQ46"/>
      <sheetName val="Sch"/>
      <sheetName val="NP"/>
      <sheetName val="Additional"/>
    </sheetNames>
    <sheetDataSet>
      <sheetData sheetId="0" refreshError="1">
        <row r="7">
          <cell r="B7">
            <v>0</v>
          </cell>
          <cell r="E7">
            <v>1</v>
          </cell>
          <cell r="F7">
            <v>47</v>
          </cell>
          <cell r="G7">
            <v>0.60589999999999999</v>
          </cell>
          <cell r="H7">
            <v>28.4773</v>
          </cell>
          <cell r="J7">
            <v>0</v>
          </cell>
          <cell r="L7">
            <v>0</v>
          </cell>
          <cell r="N7">
            <v>0</v>
          </cell>
        </row>
        <row r="8">
          <cell r="B8">
            <v>1</v>
          </cell>
          <cell r="E8">
            <v>1</v>
          </cell>
          <cell r="F8">
            <v>47</v>
          </cell>
          <cell r="G8">
            <v>0.60589999999999999</v>
          </cell>
          <cell r="H8">
            <v>28.4773</v>
          </cell>
          <cell r="J8">
            <v>66.681720000000013</v>
          </cell>
          <cell r="L8">
            <v>169.20000000000002</v>
          </cell>
          <cell r="N8">
            <v>102.51828</v>
          </cell>
        </row>
        <row r="9">
          <cell r="B9">
            <v>2</v>
          </cell>
          <cell r="E9">
            <v>1</v>
          </cell>
          <cell r="F9">
            <v>47</v>
          </cell>
          <cell r="G9">
            <v>0.60589999999999999</v>
          </cell>
          <cell r="H9">
            <v>28.4773</v>
          </cell>
          <cell r="J9">
            <v>133.36344000000003</v>
          </cell>
          <cell r="L9">
            <v>338.40000000000003</v>
          </cell>
          <cell r="N9">
            <v>205.03656000000001</v>
          </cell>
        </row>
        <row r="10">
          <cell r="B10">
            <v>3</v>
          </cell>
          <cell r="E10">
            <v>1</v>
          </cell>
          <cell r="F10">
            <v>47</v>
          </cell>
          <cell r="G10">
            <v>0.60589999999999999</v>
          </cell>
          <cell r="H10">
            <v>28.4773</v>
          </cell>
          <cell r="J10">
            <v>200.04516000000001</v>
          </cell>
          <cell r="L10">
            <v>507.6</v>
          </cell>
          <cell r="N10">
            <v>307.55484000000001</v>
          </cell>
        </row>
        <row r="11">
          <cell r="B11">
            <v>4</v>
          </cell>
          <cell r="E11">
            <v>1</v>
          </cell>
          <cell r="F11">
            <v>47</v>
          </cell>
          <cell r="G11">
            <v>0.66459999999999997</v>
          </cell>
          <cell r="H11">
            <v>31.2362</v>
          </cell>
          <cell r="J11">
            <v>266.72688000000005</v>
          </cell>
          <cell r="L11">
            <v>676.80000000000007</v>
          </cell>
          <cell r="N11">
            <v>410.07312000000002</v>
          </cell>
        </row>
        <row r="12">
          <cell r="B12">
            <v>5</v>
          </cell>
          <cell r="E12">
            <v>1</v>
          </cell>
          <cell r="F12">
            <v>47</v>
          </cell>
          <cell r="G12">
            <v>0.78369999999999995</v>
          </cell>
          <cell r="H12">
            <v>36.833900000000007</v>
          </cell>
          <cell r="J12">
            <v>323.47656000000006</v>
          </cell>
          <cell r="L12">
            <v>846.00000000000011</v>
          </cell>
          <cell r="N12">
            <v>522.52344000000005</v>
          </cell>
        </row>
        <row r="13">
          <cell r="B13">
            <v>6</v>
          </cell>
          <cell r="E13">
            <v>1</v>
          </cell>
          <cell r="F13">
            <v>47</v>
          </cell>
          <cell r="G13">
            <v>1.5189999999999999</v>
          </cell>
          <cell r="H13">
            <v>71.393000000000015</v>
          </cell>
          <cell r="J13">
            <v>360.07452000000012</v>
          </cell>
          <cell r="L13">
            <v>1015.2000000000002</v>
          </cell>
          <cell r="N13">
            <v>655.12548000000004</v>
          </cell>
        </row>
        <row r="14">
          <cell r="B14">
            <v>7</v>
          </cell>
          <cell r="E14">
            <v>1</v>
          </cell>
          <cell r="F14">
            <v>47</v>
          </cell>
          <cell r="G14">
            <v>1.6028</v>
          </cell>
          <cell r="H14">
            <v>75.331599999999995</v>
          </cell>
          <cell r="J14">
            <v>272.25972000000002</v>
          </cell>
          <cell r="L14">
            <v>1184.4000000000001</v>
          </cell>
          <cell r="N14">
            <v>912.14028000000008</v>
          </cell>
        </row>
        <row r="15">
          <cell r="B15">
            <v>8</v>
          </cell>
          <cell r="E15">
            <v>1</v>
          </cell>
          <cell r="F15">
            <v>47</v>
          </cell>
          <cell r="G15">
            <v>1.5246</v>
          </cell>
          <cell r="H15">
            <v>71.656199999999998</v>
          </cell>
          <cell r="J15">
            <v>170.26595999999995</v>
          </cell>
          <cell r="L15">
            <v>1353.6000000000001</v>
          </cell>
          <cell r="N15">
            <v>1183.3340400000002</v>
          </cell>
        </row>
        <row r="16">
          <cell r="B16">
            <v>9</v>
          </cell>
          <cell r="E16">
            <v>1</v>
          </cell>
          <cell r="F16">
            <v>47</v>
          </cell>
          <cell r="G16">
            <v>1.3683000000000001</v>
          </cell>
          <cell r="H16">
            <v>64.310100000000006</v>
          </cell>
          <cell r="J16">
            <v>81.503639999999905</v>
          </cell>
          <cell r="L16">
            <v>1522.8000000000002</v>
          </cell>
          <cell r="N16">
            <v>1441.2963600000003</v>
          </cell>
        </row>
        <row r="17">
          <cell r="B17">
            <v>10</v>
          </cell>
          <cell r="E17">
            <v>1</v>
          </cell>
          <cell r="F17">
            <v>47</v>
          </cell>
          <cell r="G17">
            <v>1.2119</v>
          </cell>
          <cell r="H17">
            <v>56.959299999999999</v>
          </cell>
          <cell r="J17">
            <v>19.187279999999873</v>
          </cell>
          <cell r="L17">
            <v>1692.0000000000002</v>
          </cell>
          <cell r="N17">
            <v>1672.8127200000004</v>
          </cell>
        </row>
        <row r="18">
          <cell r="B18">
            <v>11</v>
          </cell>
          <cell r="E18">
            <v>1</v>
          </cell>
          <cell r="F18">
            <v>47</v>
          </cell>
          <cell r="G18">
            <v>1.0946</v>
          </cell>
          <cell r="H18">
            <v>51.446199999999997</v>
          </cell>
          <cell r="J18">
            <v>-16.666200000000117</v>
          </cell>
          <cell r="L18">
            <v>1861.2000000000003</v>
          </cell>
          <cell r="N18">
            <v>1877.8662000000004</v>
          </cell>
        </row>
        <row r="19">
          <cell r="B19">
            <v>12</v>
          </cell>
          <cell r="E19">
            <v>1</v>
          </cell>
          <cell r="F19">
            <v>47</v>
          </cell>
          <cell r="G19">
            <v>1.0946</v>
          </cell>
          <cell r="H19">
            <v>51.446199999999997</v>
          </cell>
          <cell r="J19">
            <v>-32.672520000000304</v>
          </cell>
          <cell r="L19">
            <v>2030.4000000000003</v>
          </cell>
          <cell r="N19">
            <v>2063.0725200000006</v>
          </cell>
        </row>
        <row r="20">
          <cell r="B20">
            <v>13</v>
          </cell>
          <cell r="E20">
            <v>1</v>
          </cell>
          <cell r="F20">
            <v>47</v>
          </cell>
          <cell r="G20">
            <v>1.0555000000000001</v>
          </cell>
          <cell r="H20">
            <v>49.608500000000006</v>
          </cell>
          <cell r="J20">
            <v>-48.678840000000491</v>
          </cell>
          <cell r="L20">
            <v>2199.6000000000004</v>
          </cell>
          <cell r="N20">
            <v>2248.2788400000009</v>
          </cell>
        </row>
        <row r="21">
          <cell r="B21">
            <v>14</v>
          </cell>
          <cell r="E21">
            <v>1</v>
          </cell>
          <cell r="F21">
            <v>47</v>
          </cell>
          <cell r="G21">
            <v>1.036</v>
          </cell>
          <cell r="H21">
            <v>48.692</v>
          </cell>
          <cell r="J21">
            <v>-58.069440000000668</v>
          </cell>
          <cell r="L21">
            <v>2368.8000000000002</v>
          </cell>
          <cell r="N21">
            <v>2426.8694400000008</v>
          </cell>
        </row>
        <row r="22">
          <cell r="B22">
            <v>15</v>
          </cell>
          <cell r="E22">
            <v>1</v>
          </cell>
          <cell r="F22">
            <v>47</v>
          </cell>
          <cell r="G22">
            <v>1.1728000000000001</v>
          </cell>
          <cell r="H22">
            <v>55.121600000000001</v>
          </cell>
          <cell r="J22">
            <v>-64.160640000000967</v>
          </cell>
          <cell r="L22">
            <v>2538</v>
          </cell>
          <cell r="N22">
            <v>2602.160640000001</v>
          </cell>
        </row>
        <row r="23">
          <cell r="B23">
            <v>16</v>
          </cell>
          <cell r="E23">
            <v>1</v>
          </cell>
          <cell r="F23">
            <v>47</v>
          </cell>
          <cell r="G23">
            <v>1.2901</v>
          </cell>
          <cell r="H23">
            <v>60.634699999999995</v>
          </cell>
          <cell r="J23">
            <v>-93.398400000000947</v>
          </cell>
          <cell r="L23">
            <v>2707.2</v>
          </cell>
          <cell r="N23">
            <v>2800.5984000000008</v>
          </cell>
        </row>
        <row r="24">
          <cell r="B24">
            <v>17</v>
          </cell>
          <cell r="E24">
            <v>1</v>
          </cell>
          <cell r="F24">
            <v>47</v>
          </cell>
          <cell r="G24">
            <v>1.2901</v>
          </cell>
          <cell r="H24">
            <v>60.634699999999995</v>
          </cell>
          <cell r="J24">
            <v>-142.48332000000119</v>
          </cell>
          <cell r="L24">
            <v>2876.3999999999996</v>
          </cell>
          <cell r="N24">
            <v>3018.8833200000008</v>
          </cell>
        </row>
        <row r="25">
          <cell r="B25">
            <v>18</v>
          </cell>
          <cell r="E25">
            <v>1</v>
          </cell>
          <cell r="F25">
            <v>47</v>
          </cell>
          <cell r="G25">
            <v>1.0946</v>
          </cell>
          <cell r="H25">
            <v>51.446199999999997</v>
          </cell>
          <cell r="J25">
            <v>-191.56824000000142</v>
          </cell>
          <cell r="L25">
            <v>3045.5999999999995</v>
          </cell>
          <cell r="N25">
            <v>3237.1682400000009</v>
          </cell>
        </row>
        <row r="26">
          <cell r="B26">
            <v>19</v>
          </cell>
          <cell r="E26">
            <v>1</v>
          </cell>
          <cell r="F26">
            <v>47</v>
          </cell>
          <cell r="G26">
            <v>0.93820000000000003</v>
          </cell>
          <cell r="H26">
            <v>44.095400000000005</v>
          </cell>
          <cell r="J26">
            <v>-207.57456000000184</v>
          </cell>
          <cell r="L26">
            <v>3214.7999999999993</v>
          </cell>
          <cell r="N26">
            <v>3422.3745600000011</v>
          </cell>
        </row>
        <row r="27">
          <cell r="B27">
            <v>20</v>
          </cell>
          <cell r="E27">
            <v>1</v>
          </cell>
          <cell r="F27">
            <v>47</v>
          </cell>
          <cell r="G27">
            <v>0.78190000000000004</v>
          </cell>
          <cell r="H27">
            <v>36.749300000000012</v>
          </cell>
          <cell r="J27">
            <v>-197.11800000000221</v>
          </cell>
          <cell r="L27">
            <v>3383.9999999999991</v>
          </cell>
          <cell r="N27">
            <v>3581.1180000000013</v>
          </cell>
        </row>
        <row r="28">
          <cell r="B28">
            <v>21</v>
          </cell>
          <cell r="E28">
            <v>1</v>
          </cell>
          <cell r="F28">
            <v>47</v>
          </cell>
          <cell r="G28">
            <v>0.74280000000000002</v>
          </cell>
          <cell r="H28">
            <v>34.9116</v>
          </cell>
          <cell r="J28">
            <v>-160.21548000000257</v>
          </cell>
          <cell r="L28">
            <v>3553.1999999999989</v>
          </cell>
          <cell r="N28">
            <v>3713.4154800000015</v>
          </cell>
        </row>
        <row r="29">
          <cell r="B29">
            <v>22</v>
          </cell>
          <cell r="E29">
            <v>1</v>
          </cell>
          <cell r="F29">
            <v>47</v>
          </cell>
          <cell r="G29">
            <v>0.66459999999999997</v>
          </cell>
          <cell r="H29">
            <v>31.2362</v>
          </cell>
          <cell r="J29">
            <v>-116.69724000000269</v>
          </cell>
          <cell r="L29">
            <v>3722.3999999999987</v>
          </cell>
          <cell r="N29">
            <v>3839.0972400000014</v>
          </cell>
        </row>
        <row r="30">
          <cell r="B30">
            <v>23</v>
          </cell>
          <cell r="E30">
            <v>1</v>
          </cell>
          <cell r="F30">
            <v>47</v>
          </cell>
          <cell r="G30">
            <v>0.64500000000000002</v>
          </cell>
          <cell r="H30">
            <v>30.314999999999998</v>
          </cell>
          <cell r="J30">
            <v>-59.947560000002795</v>
          </cell>
          <cell r="L30">
            <v>3891.5999999999985</v>
          </cell>
          <cell r="N30">
            <v>3951.5475600000013</v>
          </cell>
        </row>
        <row r="31">
          <cell r="B31">
            <v>24</v>
          </cell>
          <cell r="E31">
            <v>1</v>
          </cell>
          <cell r="F31">
            <v>47</v>
          </cell>
          <cell r="G31">
            <v>0.60589999999999999</v>
          </cell>
          <cell r="H31">
            <v>28.4773</v>
          </cell>
          <cell r="J31">
            <v>0</v>
          </cell>
          <cell r="L31">
            <v>4060.7999999999984</v>
          </cell>
          <cell r="N31">
            <v>4060.6815600000014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-DIV5"/>
    </sheetNames>
    <sheetDataSet>
      <sheetData sheetId="0" refreshError="1">
        <row r="1">
          <cell r="A1" t="str">
            <v>ITEM PEMBAYARAN NO.</v>
          </cell>
          <cell r="D1" t="str">
            <v>:  5.1 (1)</v>
          </cell>
          <cell r="J1" t="str">
            <v>Analisa EI-511</v>
          </cell>
          <cell r="T1" t="str">
            <v>Analisa EI-511</v>
          </cell>
        </row>
        <row r="2">
          <cell r="A2" t="str">
            <v>JENIS PEKERJAAN</v>
          </cell>
          <cell r="D2" t="str">
            <v>:  Lps. Pond. Ag. Kls. A, CBR Min 80%</v>
          </cell>
        </row>
        <row r="3">
          <cell r="A3" t="str">
            <v>SATUAN PEMBAYARAN</v>
          </cell>
          <cell r="D3" t="str">
            <v>:  M3</v>
          </cell>
          <cell r="H3" t="str">
            <v xml:space="preserve">         URAIAN ANALISA HARGA SATUAN</v>
          </cell>
          <cell r="L3" t="str">
            <v>FORMULIR STANDAR UNTUK</v>
          </cell>
        </row>
        <row r="4">
          <cell r="L4" t="str">
            <v>PEREKAMAN ANALISA MASING-MASING HARGA SATUAN</v>
          </cell>
        </row>
        <row r="5">
          <cell r="L5" t="str">
            <v/>
          </cell>
        </row>
        <row r="6">
          <cell r="A6" t="str">
            <v>No.</v>
          </cell>
          <cell r="C6" t="str">
            <v>U R A I A N</v>
          </cell>
          <cell r="G6" t="str">
            <v>KODE</v>
          </cell>
          <cell r="H6" t="str">
            <v>KOEF.</v>
          </cell>
          <cell r="I6" t="str">
            <v>SATUAN</v>
          </cell>
          <cell r="J6" t="str">
            <v>KETERANGAN</v>
          </cell>
        </row>
        <row r="8">
          <cell r="L8" t="str">
            <v>PROYEK</v>
          </cell>
          <cell r="O8" t="str">
            <v xml:space="preserve">:  </v>
          </cell>
        </row>
        <row r="9">
          <cell r="A9" t="str">
            <v>I.</v>
          </cell>
          <cell r="C9" t="str">
            <v>ASUMSI</v>
          </cell>
          <cell r="L9" t="str">
            <v>No. PAKET KONTRAK</v>
          </cell>
          <cell r="O9" t="str">
            <v xml:space="preserve">:  </v>
          </cell>
        </row>
        <row r="10">
          <cell r="A10">
            <v>1</v>
          </cell>
          <cell r="C10" t="str">
            <v>Menggunakan alat berat (cara mekanik)</v>
          </cell>
          <cell r="L10" t="str">
            <v>NAMA PAKET</v>
          </cell>
          <cell r="O10" t="str">
            <v xml:space="preserve">:  </v>
          </cell>
        </row>
        <row r="11">
          <cell r="A11">
            <v>2</v>
          </cell>
          <cell r="C11" t="str">
            <v>Lokasi pekerjaan : sepanjang jalan</v>
          </cell>
          <cell r="L11" t="str">
            <v>PROP / KAB / KODYA</v>
          </cell>
          <cell r="O11" t="str">
            <v xml:space="preserve">:  </v>
          </cell>
        </row>
        <row r="12">
          <cell r="A12">
            <v>3</v>
          </cell>
          <cell r="C12" t="str">
            <v>Kondisi existing jalan : sedang</v>
          </cell>
          <cell r="L12" t="str">
            <v>ITEM PEMBAYARAN NO.</v>
          </cell>
          <cell r="O12" t="str">
            <v>:  5.1 (1)</v>
          </cell>
          <cell r="R12" t="str">
            <v>PERKIRAAN VOL. PEK.</v>
          </cell>
          <cell r="T12" t="str">
            <v>:</v>
          </cell>
          <cell r="U12">
            <v>1</v>
          </cell>
        </row>
        <row r="13">
          <cell r="A13">
            <v>4</v>
          </cell>
          <cell r="C13" t="str">
            <v>Jarak rata-rata Base Camp ke lokasi pekerjaan</v>
          </cell>
          <cell r="G13" t="str">
            <v>L</v>
          </cell>
          <cell r="H13">
            <v>8.7249999999999996</v>
          </cell>
          <cell r="I13" t="str">
            <v>KM</v>
          </cell>
          <cell r="L13" t="str">
            <v>JENIS PEKERJAAN</v>
          </cell>
          <cell r="O13" t="str">
            <v>:  Lps. Pond. Ag. Kls. A, CBR Min 80%</v>
          </cell>
          <cell r="R13" t="str">
            <v>TOTAL HARGA</v>
          </cell>
          <cell r="T13" t="str">
            <v>:</v>
          </cell>
          <cell r="U13">
            <v>304732.36582799954</v>
          </cell>
        </row>
        <row r="14">
          <cell r="A14">
            <v>5</v>
          </cell>
          <cell r="C14" t="str">
            <v>Tebal lapis agregat padat</v>
          </cell>
          <cell r="G14" t="str">
            <v>t</v>
          </cell>
          <cell r="H14">
            <v>0.15</v>
          </cell>
          <cell r="I14" t="str">
            <v>M</v>
          </cell>
          <cell r="L14" t="str">
            <v>SATUAN PEMBAYARAN</v>
          </cell>
          <cell r="O14" t="str">
            <v>:  M3</v>
          </cell>
          <cell r="R14" t="str">
            <v>% THD. BIAYA PROYEK</v>
          </cell>
          <cell r="T14" t="str">
            <v>:</v>
          </cell>
          <cell r="U14">
            <v>7.251312267724303E-3</v>
          </cell>
        </row>
        <row r="15">
          <cell r="A15">
            <v>6</v>
          </cell>
          <cell r="C15" t="str">
            <v>Faktor kembang material (Padat-Lepas)</v>
          </cell>
          <cell r="G15" t="str">
            <v>Fk</v>
          </cell>
          <cell r="H15">
            <v>1.2</v>
          </cell>
          <cell r="I15" t="str">
            <v>-</v>
          </cell>
        </row>
        <row r="16">
          <cell r="A16">
            <v>7</v>
          </cell>
          <cell r="C16" t="str">
            <v>Jam kerja efektif per-hari</v>
          </cell>
          <cell r="G16" t="str">
            <v>Tk</v>
          </cell>
          <cell r="H16">
            <v>7</v>
          </cell>
          <cell r="I16" t="str">
            <v>jam</v>
          </cell>
        </row>
        <row r="17">
          <cell r="A17">
            <v>8</v>
          </cell>
          <cell r="C17" t="str">
            <v>Proporsi Campuran :</v>
          </cell>
          <cell r="D17" t="str">
            <v>- Agregat Kasar</v>
          </cell>
          <cell r="G17" t="str">
            <v>Ak</v>
          </cell>
          <cell r="H17">
            <v>55</v>
          </cell>
          <cell r="I17" t="str">
            <v>%</v>
          </cell>
          <cell r="J17" t="str">
            <v xml:space="preserve"> Gradasi harus</v>
          </cell>
          <cell r="Q17" t="str">
            <v>PERKIRAAN</v>
          </cell>
          <cell r="R17" t="str">
            <v>HARGA</v>
          </cell>
          <cell r="S17" t="str">
            <v>JUMLAH</v>
          </cell>
        </row>
        <row r="18">
          <cell r="D18" t="str">
            <v>- Agregat Halus</v>
          </cell>
          <cell r="G18" t="str">
            <v>Ah</v>
          </cell>
          <cell r="H18">
            <v>45</v>
          </cell>
          <cell r="I18" t="str">
            <v>%</v>
          </cell>
          <cell r="J18" t="str">
            <v xml:space="preserve"> memenuhi Spec.</v>
          </cell>
          <cell r="L18" t="str">
            <v>NO.</v>
          </cell>
          <cell r="N18" t="str">
            <v>KOMPONEN</v>
          </cell>
          <cell r="P18" t="str">
            <v>SATUAN</v>
          </cell>
          <cell r="Q18" t="str">
            <v>KUANTITAS</v>
          </cell>
          <cell r="R18" t="str">
            <v>SATUAN</v>
          </cell>
          <cell r="S18" t="str">
            <v>HARGA</v>
          </cell>
        </row>
        <row r="19">
          <cell r="A19" t="str">
            <v>II.</v>
          </cell>
          <cell r="C19" t="str">
            <v>URUTAN KERJA</v>
          </cell>
          <cell r="R19" t="str">
            <v>(Rp.)</v>
          </cell>
          <cell r="S19" t="str">
            <v>(Rp.)</v>
          </cell>
        </row>
        <row r="20">
          <cell r="A20">
            <v>1</v>
          </cell>
          <cell r="C20" t="str">
            <v>Wheel Loader mencampur dan memuat Agregat ke</v>
          </cell>
        </row>
        <row r="21">
          <cell r="C21" t="str">
            <v>dalam Dump Truck di Base Camp</v>
          </cell>
        </row>
        <row r="22">
          <cell r="A22">
            <v>2</v>
          </cell>
          <cell r="C22" t="str">
            <v>Dump Truck mengangkut Agregat ke lokasi</v>
          </cell>
          <cell r="L22" t="str">
            <v>A.</v>
          </cell>
          <cell r="N22" t="str">
            <v>TENAGA</v>
          </cell>
        </row>
        <row r="23">
          <cell r="C23" t="str">
            <v>pekerjaan dan dihampar dengan Motor Grader</v>
          </cell>
        </row>
        <row r="24">
          <cell r="A24">
            <v>3</v>
          </cell>
          <cell r="C24" t="str">
            <v>Hamparan Agregat dibasahi dengan Water Tank</v>
          </cell>
          <cell r="L24" t="str">
            <v>1.</v>
          </cell>
          <cell r="N24" t="str">
            <v>Pekerja</v>
          </cell>
          <cell r="O24" t="str">
            <v>(L01)</v>
          </cell>
          <cell r="P24" t="str">
            <v>jam</v>
          </cell>
          <cell r="Q24">
            <v>0.24988844265952695</v>
          </cell>
          <cell r="R24">
            <v>2857.14</v>
          </cell>
          <cell r="U24">
            <v>713.96626506024074</v>
          </cell>
        </row>
        <row r="25">
          <cell r="C25" t="str">
            <v>Truck sebelum dipadatkan dengan Tandem</v>
          </cell>
          <cell r="L25" t="str">
            <v>2.</v>
          </cell>
          <cell r="N25" t="str">
            <v>Mandor</v>
          </cell>
          <cell r="O25" t="str">
            <v>(L03)</v>
          </cell>
          <cell r="P25" t="str">
            <v>jam</v>
          </cell>
          <cell r="Q25">
            <v>3.5698348951360995E-2</v>
          </cell>
          <cell r="R25">
            <v>3214.29</v>
          </cell>
          <cell r="U25">
            <v>114.74484605087014</v>
          </cell>
        </row>
        <row r="26">
          <cell r="C26" t="str">
            <v>Roller dan Pneumatic Tire Roller</v>
          </cell>
        </row>
        <row r="27">
          <cell r="A27">
            <v>4</v>
          </cell>
          <cell r="C27" t="str">
            <v>Selama pemadatan, sekelompok pekerja akan</v>
          </cell>
        </row>
        <row r="28">
          <cell r="C28" t="str">
            <v>merapikan tepi hamparan dan level permukaan</v>
          </cell>
          <cell r="Q28" t="str">
            <v xml:space="preserve">JUMLAH HARGA TENAGA   </v>
          </cell>
          <cell r="U28">
            <v>828.71111111111088</v>
          </cell>
        </row>
        <row r="29">
          <cell r="C29" t="str">
            <v>dengan menggunakan Alat Bantu</v>
          </cell>
        </row>
        <row r="30">
          <cell r="A30" t="str">
            <v>III.</v>
          </cell>
          <cell r="C30" t="str">
            <v>PEMAKAIAN BAHAN, ALAT DAN TENAGA</v>
          </cell>
          <cell r="L30" t="str">
            <v>B.</v>
          </cell>
          <cell r="N30" t="str">
            <v>BAHAN</v>
          </cell>
        </row>
        <row r="32">
          <cell r="A32" t="str">
            <v xml:space="preserve">   1.</v>
          </cell>
          <cell r="C32" t="str">
            <v>BAHAN</v>
          </cell>
          <cell r="L32" t="str">
            <v>1.</v>
          </cell>
          <cell r="N32" t="str">
            <v>Agregat Kasar   (M03)</v>
          </cell>
          <cell r="P32" t="str">
            <v>M3</v>
          </cell>
          <cell r="Q32">
            <v>0.66</v>
          </cell>
          <cell r="R32">
            <v>222345.54558042376</v>
          </cell>
          <cell r="U32">
            <v>146748.06008307968</v>
          </cell>
        </row>
        <row r="33">
          <cell r="C33" t="str">
            <v>- Agregat Kasar</v>
          </cell>
          <cell r="D33" t="str">
            <v>=  Ak x 1 M3 x Fk</v>
          </cell>
          <cell r="G33" t="str">
            <v>M03</v>
          </cell>
          <cell r="H33">
            <v>0.66</v>
          </cell>
          <cell r="I33" t="str">
            <v>M3</v>
          </cell>
          <cell r="L33" t="str">
            <v>2.</v>
          </cell>
          <cell r="N33" t="str">
            <v>Agregat Halus    (M04)</v>
          </cell>
          <cell r="P33" t="str">
            <v>M3</v>
          </cell>
          <cell r="Q33">
            <v>0.54</v>
          </cell>
          <cell r="R33">
            <v>194196.70775416915</v>
          </cell>
          <cell r="U33">
            <v>104866.22218725135</v>
          </cell>
        </row>
        <row r="34">
          <cell r="C34" t="str">
            <v>- Agregat Halus</v>
          </cell>
          <cell r="D34" t="str">
            <v>=  Ah x 1 M3 x Fk</v>
          </cell>
          <cell r="G34" t="str">
            <v>M04</v>
          </cell>
          <cell r="H34">
            <v>0.54</v>
          </cell>
          <cell r="I34" t="str">
            <v>M3</v>
          </cell>
        </row>
        <row r="36">
          <cell r="A36" t="str">
            <v xml:space="preserve">   2.</v>
          </cell>
          <cell r="C36" t="str">
            <v>ALAT</v>
          </cell>
        </row>
        <row r="37">
          <cell r="A37" t="str">
            <v xml:space="preserve">   2.a.</v>
          </cell>
          <cell r="C37" t="str">
            <v>WHEEL LOADER</v>
          </cell>
          <cell r="G37" t="str">
            <v>(E15)</v>
          </cell>
        </row>
        <row r="38">
          <cell r="C38" t="str">
            <v>Kapasitas bucket</v>
          </cell>
          <cell r="G38" t="str">
            <v>V</v>
          </cell>
          <cell r="H38">
            <v>1.5</v>
          </cell>
          <cell r="I38" t="str">
            <v>M3</v>
          </cell>
          <cell r="Q38" t="str">
            <v xml:space="preserve">JUMLAH HARGA BAHAN   </v>
          </cell>
          <cell r="U38">
            <v>251614.28227033102</v>
          </cell>
        </row>
        <row r="39">
          <cell r="C39" t="str">
            <v>Faktor bucket</v>
          </cell>
          <cell r="G39" t="str">
            <v>Fb</v>
          </cell>
          <cell r="H39">
            <v>0.9</v>
          </cell>
          <cell r="I39" t="str">
            <v>-</v>
          </cell>
        </row>
        <row r="40">
          <cell r="C40" t="str">
            <v>Faktor Efisiensi alat</v>
          </cell>
          <cell r="G40" t="str">
            <v>Fa</v>
          </cell>
          <cell r="H40">
            <v>0.83</v>
          </cell>
          <cell r="I40" t="str">
            <v>-</v>
          </cell>
          <cell r="L40" t="str">
            <v>C.</v>
          </cell>
          <cell r="N40" t="str">
            <v>PERALATAN</v>
          </cell>
        </row>
        <row r="41">
          <cell r="C41" t="str">
            <v>Waktu Siklus :</v>
          </cell>
          <cell r="G41" t="str">
            <v>Ts1</v>
          </cell>
          <cell r="L41" t="str">
            <v>1.</v>
          </cell>
          <cell r="N41" t="str">
            <v>Wheel Loader</v>
          </cell>
          <cell r="O41" t="str">
            <v>(E15)</v>
          </cell>
          <cell r="P41" t="str">
            <v>jam</v>
          </cell>
          <cell r="Q41">
            <v>3.5698348951360995E-2</v>
          </cell>
          <cell r="R41">
            <v>163808.13869490434</v>
          </cell>
          <cell r="U41">
            <v>5847.680096203635</v>
          </cell>
        </row>
        <row r="42">
          <cell r="C42" t="str">
            <v>- Mencampur</v>
          </cell>
          <cell r="G42" t="str">
            <v>T1</v>
          </cell>
          <cell r="H42">
            <v>1.5</v>
          </cell>
          <cell r="I42" t="str">
            <v>menit</v>
          </cell>
          <cell r="L42" t="str">
            <v>2.</v>
          </cell>
          <cell r="N42" t="str">
            <v>Dump Truck</v>
          </cell>
          <cell r="O42" t="str">
            <v>(E09)</v>
          </cell>
          <cell r="P42" t="str">
            <v>jam</v>
          </cell>
          <cell r="Q42">
            <v>0.14542063837680036</v>
          </cell>
          <cell r="R42">
            <v>70230.073977639215</v>
          </cell>
          <cell r="U42">
            <v>10212.90219107821</v>
          </cell>
        </row>
        <row r="43">
          <cell r="C43" t="str">
            <v>- Memuat dan lain-lain</v>
          </cell>
          <cell r="G43" t="str">
            <v>T2</v>
          </cell>
          <cell r="H43">
            <v>0.5</v>
          </cell>
          <cell r="I43" t="str">
            <v>menit</v>
          </cell>
          <cell r="L43" t="str">
            <v>3.</v>
          </cell>
          <cell r="N43" t="str">
            <v>Motor Grader</v>
          </cell>
          <cell r="O43" t="str">
            <v>(E13)</v>
          </cell>
          <cell r="P43" t="str">
            <v>jam</v>
          </cell>
          <cell r="Q43">
            <v>1.1713520749665328E-2</v>
          </cell>
          <cell r="R43">
            <v>201666.62574070093</v>
          </cell>
          <cell r="U43">
            <v>2362.2262051286921</v>
          </cell>
        </row>
        <row r="44">
          <cell r="G44" t="str">
            <v>Ts1</v>
          </cell>
          <cell r="H44">
            <v>2</v>
          </cell>
          <cell r="I44" t="str">
            <v>menit</v>
          </cell>
          <cell r="L44" t="str">
            <v>4.</v>
          </cell>
          <cell r="N44" t="str">
            <v>Vibratory Roller</v>
          </cell>
          <cell r="O44" t="str">
            <v>(E19)</v>
          </cell>
          <cell r="P44" t="str">
            <v>jam</v>
          </cell>
          <cell r="Q44">
            <v>1.7849174475680501E-2</v>
          </cell>
          <cell r="R44">
            <v>234734.82748629327</v>
          </cell>
          <cell r="U44">
            <v>4189.8228913216117</v>
          </cell>
        </row>
        <row r="45">
          <cell r="L45" t="str">
            <v>5.</v>
          </cell>
          <cell r="N45" t="str">
            <v>P. Tyre Roller</v>
          </cell>
          <cell r="O45" t="str">
            <v>(E18)</v>
          </cell>
          <cell r="P45" t="str">
            <v>jam</v>
          </cell>
          <cell r="Q45">
            <v>4.2838018741633201E-3</v>
          </cell>
          <cell r="R45">
            <v>113384.24751021285</v>
          </cell>
          <cell r="U45">
            <v>485.71565198484757</v>
          </cell>
        </row>
        <row r="46">
          <cell r="C46" t="str">
            <v>Kap. Prod. / jam =</v>
          </cell>
          <cell r="D46" t="str">
            <v>V x Fb x Fa x 60</v>
          </cell>
          <cell r="G46" t="str">
            <v>Q1</v>
          </cell>
          <cell r="H46">
            <v>28.012500000000003</v>
          </cell>
          <cell r="I46" t="str">
            <v>M3</v>
          </cell>
          <cell r="L46" t="str">
            <v>6.</v>
          </cell>
          <cell r="N46" t="str">
            <v>Water Tanker</v>
          </cell>
          <cell r="O46" t="str">
            <v>(E23)</v>
          </cell>
          <cell r="P46" t="str">
            <v>jam</v>
          </cell>
          <cell r="Q46">
            <v>2.1084337349397592E-2</v>
          </cell>
          <cell r="R46">
            <v>67020.510980434308</v>
          </cell>
          <cell r="U46">
            <v>1413.0830628404826</v>
          </cell>
        </row>
        <row r="47">
          <cell r="D47" t="str">
            <v>Fk x Ts1</v>
          </cell>
          <cell r="L47" t="str">
            <v>7.</v>
          </cell>
          <cell r="N47" t="str">
            <v>Alat Bantu</v>
          </cell>
          <cell r="P47" t="str">
            <v>Ls</v>
          </cell>
          <cell r="Q47">
            <v>1</v>
          </cell>
          <cell r="R47">
            <v>75</v>
          </cell>
          <cell r="U47">
            <v>75</v>
          </cell>
        </row>
        <row r="48">
          <cell r="C48" t="str">
            <v>Koefisien Alat / M3</v>
          </cell>
          <cell r="D48" t="str">
            <v xml:space="preserve"> =  1  :  Q1</v>
          </cell>
          <cell r="G48" t="str">
            <v>(E15)</v>
          </cell>
          <cell r="H48">
            <v>3.5698348951360995E-2</v>
          </cell>
          <cell r="I48" t="str">
            <v>jam</v>
          </cell>
        </row>
        <row r="49">
          <cell r="Q49" t="str">
            <v xml:space="preserve">JUMLAH HARGA PERALATAN   </v>
          </cell>
          <cell r="U49">
            <v>24586.430098557481</v>
          </cell>
        </row>
        <row r="50">
          <cell r="A50" t="str">
            <v xml:space="preserve">   2.b.</v>
          </cell>
          <cell r="C50" t="str">
            <v>DUMP TRUCK</v>
          </cell>
          <cell r="G50" t="str">
            <v>(E09)</v>
          </cell>
        </row>
        <row r="51">
          <cell r="C51" t="str">
            <v>Kapasitas bak</v>
          </cell>
          <cell r="G51" t="str">
            <v>V</v>
          </cell>
          <cell r="H51">
            <v>6</v>
          </cell>
          <cell r="I51" t="str">
            <v>M3</v>
          </cell>
          <cell r="L51" t="str">
            <v>D.</v>
          </cell>
          <cell r="N51" t="str">
            <v>JUMLAH HARGA TENAGA, BAHAN DAN PERALATAN  ( A + B + C )</v>
          </cell>
          <cell r="U51">
            <v>277029.42347999959</v>
          </cell>
        </row>
        <row r="52">
          <cell r="C52" t="str">
            <v>Faktor Efisiensi alat</v>
          </cell>
          <cell r="G52" t="str">
            <v>Fa</v>
          </cell>
          <cell r="H52">
            <v>0.83</v>
          </cell>
          <cell r="I52" t="str">
            <v>-</v>
          </cell>
          <cell r="L52" t="str">
            <v>E.</v>
          </cell>
          <cell r="N52" t="str">
            <v>OVERHEAD &amp; PROFIT</v>
          </cell>
          <cell r="P52">
            <v>10</v>
          </cell>
          <cell r="Q52" t="str">
            <v>%  x  D</v>
          </cell>
          <cell r="U52">
            <v>27702.94234799996</v>
          </cell>
        </row>
        <row r="53">
          <cell r="C53" t="str">
            <v>Kecepatan rata-rata bermuatan</v>
          </cell>
          <cell r="G53" t="str">
            <v>v1</v>
          </cell>
          <cell r="H53">
            <v>45</v>
          </cell>
          <cell r="I53" t="str">
            <v>KM/jam</v>
          </cell>
          <cell r="L53" t="str">
            <v>F.</v>
          </cell>
          <cell r="N53" t="str">
            <v>HARGA SATUAN PEKERJAAN  ( D + E )</v>
          </cell>
          <cell r="U53">
            <v>304732.36582799954</v>
          </cell>
        </row>
        <row r="54">
          <cell r="C54" t="str">
            <v>Kecepatan rata-rata kosong</v>
          </cell>
          <cell r="G54" t="str">
            <v>v2</v>
          </cell>
          <cell r="H54">
            <v>60</v>
          </cell>
          <cell r="I54" t="str">
            <v>KM/jam</v>
          </cell>
          <cell r="L54" t="str">
            <v>Note: 1</v>
          </cell>
          <cell r="N54" t="str">
            <v>SATUAN dapat berdasarkan atas jam operasi untuk Tenaga Kerja dan Peralatan, volume dan/atau ukuran</v>
          </cell>
        </row>
        <row r="55">
          <cell r="C55" t="str">
            <v>Waktu Siklus  :  - Waktu memuat = V : Q1 x 60</v>
          </cell>
          <cell r="G55" t="str">
            <v>T1</v>
          </cell>
          <cell r="H55">
            <v>12.851405622489958</v>
          </cell>
          <cell r="I55" t="str">
            <v>menit</v>
          </cell>
          <cell r="N55" t="str">
            <v>berat untuk bahan-bahan.</v>
          </cell>
        </row>
        <row r="56">
          <cell r="C56" t="str">
            <v>- Waktu tempuh isi  =  (L : v1) x 60 menit</v>
          </cell>
          <cell r="G56" t="str">
            <v>T2</v>
          </cell>
          <cell r="H56">
            <v>11.633333333333333</v>
          </cell>
          <cell r="I56" t="str">
            <v>menit</v>
          </cell>
          <cell r="L56">
            <v>2</v>
          </cell>
          <cell r="N56" t="str">
            <v>Kuantitas satuan adalah kuantitas setiap komponen untuk menyelesaikan satu satuan pekerjaan dari nomor</v>
          </cell>
        </row>
        <row r="57">
          <cell r="C57" t="str">
            <v>- Waktu tempuh kosong  =  (L : v2) x 60 menit</v>
          </cell>
          <cell r="G57" t="str">
            <v>T3</v>
          </cell>
          <cell r="H57">
            <v>8.7249999999999996</v>
          </cell>
          <cell r="I57" t="str">
            <v>menit</v>
          </cell>
          <cell r="N57" t="str">
            <v>mata pembayaran.</v>
          </cell>
        </row>
        <row r="58">
          <cell r="C58" t="str">
            <v>- Dump dan lain-lain</v>
          </cell>
          <cell r="G58" t="str">
            <v>T4</v>
          </cell>
          <cell r="H58">
            <v>3</v>
          </cell>
          <cell r="I58" t="str">
            <v>menit</v>
          </cell>
          <cell r="L58">
            <v>3</v>
          </cell>
          <cell r="N58" t="str">
            <v>Biaya satuan untuk peralatan sudah termasuk bahan bakar, bahan habis dipakai dan operator.</v>
          </cell>
        </row>
        <row r="59">
          <cell r="G59" t="str">
            <v>Ts2</v>
          </cell>
          <cell r="H59">
            <v>36.20973895582329</v>
          </cell>
          <cell r="I59" t="str">
            <v>menit</v>
          </cell>
          <cell r="L59">
            <v>4</v>
          </cell>
          <cell r="N59" t="str">
            <v>Biaya satuan sudah termasuk pengeluaran untuk seluruh pajak yang berkaitan (tetapi tidak termasuk PPN</v>
          </cell>
        </row>
        <row r="60">
          <cell r="N60" t="str">
            <v>yang dibayar dari kontrak) dan biaya-biaya lainnya.</v>
          </cell>
        </row>
        <row r="61">
          <cell r="J61" t="str">
            <v>Berlanjut ke hal. berikut</v>
          </cell>
        </row>
        <row r="62">
          <cell r="A62" t="str">
            <v>ITEM PEMBAYARAN NO.</v>
          </cell>
          <cell r="D62" t="str">
            <v>:  5.1 (1)</v>
          </cell>
          <cell r="J62" t="str">
            <v>Analisa EI-511</v>
          </cell>
        </row>
        <row r="63">
          <cell r="A63" t="str">
            <v>JENIS PEKERJAAN</v>
          </cell>
          <cell r="D63" t="str">
            <v>:  Lps. Pond. Ag. Kls. A, CBR Min 80%</v>
          </cell>
        </row>
        <row r="64">
          <cell r="A64" t="str">
            <v>SATUAN PEMBAYARAN</v>
          </cell>
          <cell r="D64" t="str">
            <v>:  M3</v>
          </cell>
          <cell r="H64" t="str">
            <v xml:space="preserve">         URAIAN ANALISA HARGA SATUAN</v>
          </cell>
        </row>
        <row r="65">
          <cell r="J65" t="str">
            <v>Lanjutan</v>
          </cell>
        </row>
        <row r="67">
          <cell r="A67" t="str">
            <v>No.</v>
          </cell>
          <cell r="C67" t="str">
            <v>U R A I A N</v>
          </cell>
          <cell r="G67" t="str">
            <v>KODE</v>
          </cell>
          <cell r="H67" t="str">
            <v>KOEF.</v>
          </cell>
          <cell r="I67" t="str">
            <v>SATUAN</v>
          </cell>
          <cell r="J67" t="str">
            <v>KETERANGAN</v>
          </cell>
        </row>
        <row r="70">
          <cell r="C70" t="str">
            <v>Kap. Prod. / jam =</v>
          </cell>
          <cell r="D70" t="str">
            <v>V x Fa x 60</v>
          </cell>
          <cell r="G70" t="str">
            <v>Q2</v>
          </cell>
          <cell r="H70">
            <v>6.8766030129017413</v>
          </cell>
          <cell r="I70" t="str">
            <v>M3</v>
          </cell>
        </row>
        <row r="71">
          <cell r="D71" t="str">
            <v>Fk x Ts2</v>
          </cell>
        </row>
        <row r="72">
          <cell r="C72" t="str">
            <v>Koefisien Alat / M3</v>
          </cell>
          <cell r="D72" t="str">
            <v xml:space="preserve"> =  1  :  Q2</v>
          </cell>
          <cell r="G72" t="str">
            <v>(E09)</v>
          </cell>
          <cell r="H72">
            <v>0.14542063837680036</v>
          </cell>
          <cell r="I72" t="str">
            <v>jam</v>
          </cell>
        </row>
        <row r="74">
          <cell r="A74" t="str">
            <v xml:space="preserve">   2.c.</v>
          </cell>
          <cell r="C74" t="str">
            <v>MOTOR GRADER</v>
          </cell>
          <cell r="G74" t="str">
            <v>(E13)</v>
          </cell>
        </row>
        <row r="75">
          <cell r="C75" t="str">
            <v>Panjang hamparan</v>
          </cell>
          <cell r="G75" t="str">
            <v>Lh</v>
          </cell>
          <cell r="H75">
            <v>50</v>
          </cell>
          <cell r="I75" t="str">
            <v>M</v>
          </cell>
        </row>
        <row r="76">
          <cell r="C76" t="str">
            <v>Lebar efektif kerja blade</v>
          </cell>
          <cell r="G76" t="str">
            <v>b</v>
          </cell>
          <cell r="H76">
            <v>2.4</v>
          </cell>
          <cell r="I76" t="str">
            <v>M</v>
          </cell>
        </row>
        <row r="77">
          <cell r="C77" t="str">
            <v>Faktor Efisiensi alat</v>
          </cell>
          <cell r="G77" t="str">
            <v>Fa</v>
          </cell>
          <cell r="H77">
            <v>0.83</v>
          </cell>
          <cell r="I77" t="str">
            <v>-</v>
          </cell>
        </row>
        <row r="78">
          <cell r="C78" t="str">
            <v>Kecepatan rata-rata alat</v>
          </cell>
          <cell r="G78" t="str">
            <v>v</v>
          </cell>
          <cell r="H78">
            <v>4</v>
          </cell>
          <cell r="I78" t="str">
            <v>KM/jam</v>
          </cell>
        </row>
        <row r="79">
          <cell r="C79" t="str">
            <v>Jumlah lintasan</v>
          </cell>
          <cell r="G79" t="str">
            <v>n</v>
          </cell>
          <cell r="H79">
            <v>6</v>
          </cell>
          <cell r="I79" t="str">
            <v>lintasan</v>
          </cell>
          <cell r="J79" t="str">
            <v xml:space="preserve"> 3 x pp</v>
          </cell>
        </row>
        <row r="80">
          <cell r="C80" t="str">
            <v>Waktu Siklus :</v>
          </cell>
          <cell r="G80" t="str">
            <v>Ts3</v>
          </cell>
        </row>
        <row r="81">
          <cell r="C81" t="str">
            <v>- Perataan 1 lintasan  =  Lh : (v x 1000) x 60</v>
          </cell>
          <cell r="G81" t="str">
            <v>T1</v>
          </cell>
          <cell r="H81">
            <v>0.75</v>
          </cell>
          <cell r="I81" t="str">
            <v>menit</v>
          </cell>
        </row>
        <row r="82">
          <cell r="C82" t="str">
            <v>- Lain-lain</v>
          </cell>
          <cell r="G82" t="str">
            <v>T2</v>
          </cell>
          <cell r="H82">
            <v>1</v>
          </cell>
          <cell r="I82" t="str">
            <v>menit</v>
          </cell>
        </row>
        <row r="83">
          <cell r="G83" t="str">
            <v>Ts3</v>
          </cell>
          <cell r="H83">
            <v>1.75</v>
          </cell>
          <cell r="I83" t="str">
            <v>menit</v>
          </cell>
        </row>
        <row r="85">
          <cell r="C85" t="str">
            <v>Kap. Prod. / jam =</v>
          </cell>
          <cell r="D85" t="str">
            <v>Lh x b x t x Fa x 60</v>
          </cell>
          <cell r="G85" t="str">
            <v>Q3</v>
          </cell>
          <cell r="H85">
            <v>85.371428571428567</v>
          </cell>
          <cell r="I85" t="str">
            <v>M3</v>
          </cell>
        </row>
        <row r="86">
          <cell r="D86" t="str">
            <v>n x Ts3</v>
          </cell>
        </row>
        <row r="87">
          <cell r="C87" t="str">
            <v>Koefisien Alat / M3</v>
          </cell>
          <cell r="D87" t="str">
            <v xml:space="preserve"> =  1  :  Q3</v>
          </cell>
          <cell r="G87" t="str">
            <v>(E13)</v>
          </cell>
          <cell r="H87">
            <v>1.1713520749665328E-2</v>
          </cell>
          <cell r="I87" t="str">
            <v>jam</v>
          </cell>
        </row>
        <row r="89">
          <cell r="A89" t="str">
            <v xml:space="preserve">   2.d.</v>
          </cell>
          <cell r="C89" t="str">
            <v>VIBRATORY ROLLER</v>
          </cell>
          <cell r="G89" t="str">
            <v>(E19)</v>
          </cell>
        </row>
        <row r="90">
          <cell r="C90" t="str">
            <v>Kecepatan rata-rata alat</v>
          </cell>
          <cell r="G90" t="str">
            <v>v</v>
          </cell>
          <cell r="H90">
            <v>3</v>
          </cell>
          <cell r="I90" t="str">
            <v>KM/jam</v>
          </cell>
        </row>
        <row r="91">
          <cell r="C91" t="str">
            <v>Lebar efektif pemadatan</v>
          </cell>
          <cell r="G91" t="str">
            <v>b</v>
          </cell>
          <cell r="H91">
            <v>1.2</v>
          </cell>
          <cell r="I91" t="str">
            <v>M</v>
          </cell>
        </row>
        <row r="92">
          <cell r="C92" t="str">
            <v>Jumlah lintasan</v>
          </cell>
          <cell r="G92" t="str">
            <v>n</v>
          </cell>
          <cell r="H92">
            <v>8</v>
          </cell>
          <cell r="I92" t="str">
            <v>lintasan</v>
          </cell>
        </row>
        <row r="93">
          <cell r="C93" t="str">
            <v>Faktor Efisiensi alat</v>
          </cell>
          <cell r="G93" t="str">
            <v>Fa</v>
          </cell>
          <cell r="H93">
            <v>0.83</v>
          </cell>
          <cell r="I93" t="str">
            <v>-</v>
          </cell>
        </row>
        <row r="95">
          <cell r="C95" t="str">
            <v>Kap. Prod. / jam =</v>
          </cell>
          <cell r="D95" t="str">
            <v>(v x 1000) x b x t x Fa</v>
          </cell>
          <cell r="G95" t="str">
            <v>Q4</v>
          </cell>
          <cell r="H95">
            <v>56.024999999999999</v>
          </cell>
          <cell r="I95" t="str">
            <v>M3</v>
          </cell>
        </row>
        <row r="96">
          <cell r="D96" t="str">
            <v>n</v>
          </cell>
        </row>
        <row r="97">
          <cell r="C97" t="str">
            <v>Koefisien Alat / M3</v>
          </cell>
          <cell r="D97" t="str">
            <v xml:space="preserve"> =  1  :  Q4</v>
          </cell>
          <cell r="G97" t="str">
            <v>(E19)</v>
          </cell>
          <cell r="H97">
            <v>1.7849174475680501E-2</v>
          </cell>
          <cell r="I97" t="str">
            <v>jam</v>
          </cell>
        </row>
        <row r="99">
          <cell r="A99" t="str">
            <v xml:space="preserve">   2.e.</v>
          </cell>
          <cell r="C99" t="str">
            <v>PNEUMATIC TIRE ROLLER</v>
          </cell>
          <cell r="G99" t="str">
            <v>(E18)</v>
          </cell>
        </row>
        <row r="100">
          <cell r="C100" t="str">
            <v>Kecepatan rata-rata alat</v>
          </cell>
          <cell r="G100" t="str">
            <v>v</v>
          </cell>
          <cell r="H100">
            <v>5</v>
          </cell>
          <cell r="I100" t="str">
            <v>KM/jam</v>
          </cell>
        </row>
        <row r="101">
          <cell r="C101" t="str">
            <v>Lebar efektif pemadatan</v>
          </cell>
          <cell r="G101" t="str">
            <v>b</v>
          </cell>
          <cell r="H101">
            <v>1.5</v>
          </cell>
          <cell r="I101" t="str">
            <v>M</v>
          </cell>
        </row>
        <row r="102">
          <cell r="C102" t="str">
            <v>Jumlah lintasan</v>
          </cell>
          <cell r="G102" t="str">
            <v>n</v>
          </cell>
          <cell r="H102">
            <v>4</v>
          </cell>
          <cell r="I102" t="str">
            <v>lintasan</v>
          </cell>
        </row>
        <row r="103">
          <cell r="C103" t="str">
            <v>Faktor Efisiensi alat</v>
          </cell>
          <cell r="G103" t="str">
            <v>Fa</v>
          </cell>
          <cell r="H103">
            <v>0.83</v>
          </cell>
          <cell r="I103" t="str">
            <v>-</v>
          </cell>
        </row>
        <row r="105">
          <cell r="C105" t="str">
            <v>Kap. Prod. / jam =</v>
          </cell>
          <cell r="D105" t="str">
            <v>(v x 1000) x b x t x Fa</v>
          </cell>
          <cell r="G105" t="str">
            <v>Q5</v>
          </cell>
          <cell r="H105">
            <v>233.4375</v>
          </cell>
          <cell r="I105" t="str">
            <v>M3</v>
          </cell>
        </row>
        <row r="106">
          <cell r="D106" t="str">
            <v>n</v>
          </cell>
        </row>
        <row r="107">
          <cell r="C107" t="str">
            <v>Koefisien Alat / M3</v>
          </cell>
          <cell r="D107" t="str">
            <v xml:space="preserve"> =  1  :  Q5</v>
          </cell>
          <cell r="G107" t="str">
            <v>(E18)</v>
          </cell>
          <cell r="H107">
            <v>4.2838018741633201E-3</v>
          </cell>
          <cell r="I107" t="str">
            <v>jam</v>
          </cell>
        </row>
        <row r="109">
          <cell r="A109" t="str">
            <v xml:space="preserve">   2.f.</v>
          </cell>
          <cell r="C109" t="str">
            <v>WATER TANK TRUCK</v>
          </cell>
          <cell r="G109" t="str">
            <v>(E23)</v>
          </cell>
        </row>
        <row r="110">
          <cell r="C110" t="str">
            <v>Volume tanki air</v>
          </cell>
          <cell r="G110" t="str">
            <v>V</v>
          </cell>
          <cell r="H110">
            <v>4</v>
          </cell>
          <cell r="I110" t="str">
            <v>M3</v>
          </cell>
        </row>
        <row r="111">
          <cell r="C111" t="str">
            <v>Kebutuhan air / M3 agregat padat</v>
          </cell>
          <cell r="G111" t="str">
            <v>Wc</v>
          </cell>
          <cell r="H111">
            <v>7.0000000000000007E-2</v>
          </cell>
          <cell r="I111" t="str">
            <v>M3</v>
          </cell>
        </row>
        <row r="112">
          <cell r="C112" t="str">
            <v>Pengisian tanki / jam</v>
          </cell>
          <cell r="G112" t="str">
            <v>n</v>
          </cell>
          <cell r="H112">
            <v>1</v>
          </cell>
          <cell r="I112" t="str">
            <v>kali</v>
          </cell>
        </row>
        <row r="113">
          <cell r="C113" t="str">
            <v>Faktor Efisiensi alat</v>
          </cell>
          <cell r="G113" t="str">
            <v>Fa</v>
          </cell>
          <cell r="H113">
            <v>0.83</v>
          </cell>
          <cell r="I113" t="str">
            <v>-</v>
          </cell>
        </row>
        <row r="115">
          <cell r="C115" t="str">
            <v>Kap. Prod. / jam =</v>
          </cell>
          <cell r="D115" t="str">
            <v>V x n x Fa</v>
          </cell>
          <cell r="G115" t="str">
            <v>Q6</v>
          </cell>
          <cell r="H115">
            <v>47.428571428571423</v>
          </cell>
          <cell r="I115" t="str">
            <v>M3</v>
          </cell>
        </row>
        <row r="116">
          <cell r="D116" t="str">
            <v>Wc</v>
          </cell>
        </row>
        <row r="117">
          <cell r="C117" t="str">
            <v>Koefisien Alat / M3</v>
          </cell>
          <cell r="D117" t="str">
            <v xml:space="preserve"> =  1  :  Q6</v>
          </cell>
          <cell r="G117" t="str">
            <v>(E23)</v>
          </cell>
          <cell r="H117">
            <v>2.1084337349397592E-2</v>
          </cell>
          <cell r="I117" t="str">
            <v>jam</v>
          </cell>
        </row>
        <row r="120">
          <cell r="J120" t="str">
            <v>Berlanjut ke hal. berikut</v>
          </cell>
        </row>
        <row r="121">
          <cell r="A121" t="str">
            <v>ITEM PEMBAYARAN NO.</v>
          </cell>
          <cell r="D121" t="str">
            <v>:  5.1 (1)</v>
          </cell>
          <cell r="J121" t="str">
            <v>Analisa EI-511</v>
          </cell>
        </row>
        <row r="122">
          <cell r="A122" t="str">
            <v>JENIS PEKERJAAN</v>
          </cell>
          <cell r="D122" t="str">
            <v>:  Lps. Pond. Ag. Kls. A, CBR Min 80%</v>
          </cell>
        </row>
        <row r="123">
          <cell r="A123" t="str">
            <v>SATUAN PEMBAYARAN</v>
          </cell>
          <cell r="D123" t="str">
            <v>:  M3</v>
          </cell>
          <cell r="H123" t="str">
            <v xml:space="preserve">         URAIAN ANALISA HARGA SATUAN</v>
          </cell>
        </row>
        <row r="124">
          <cell r="J124" t="str">
            <v>Lanjutan</v>
          </cell>
        </row>
        <row r="126">
          <cell r="A126" t="str">
            <v>No.</v>
          </cell>
          <cell r="C126" t="str">
            <v>U R A I A N</v>
          </cell>
          <cell r="G126" t="str">
            <v>KODE</v>
          </cell>
          <cell r="H126" t="str">
            <v>KOEF.</v>
          </cell>
          <cell r="I126" t="str">
            <v>SATUAN</v>
          </cell>
          <cell r="J126" t="str">
            <v>KETERANGAN</v>
          </cell>
        </row>
        <row r="129">
          <cell r="A129" t="str">
            <v xml:space="preserve">   2.g.</v>
          </cell>
          <cell r="C129" t="str">
            <v>ALAT BANTU</v>
          </cell>
          <cell r="J129" t="str">
            <v xml:space="preserve"> Lump Sum</v>
          </cell>
        </row>
        <row r="130">
          <cell r="C130" t="str">
            <v>Diperlukan   :</v>
          </cell>
        </row>
        <row r="131">
          <cell r="C131" t="str">
            <v>- Kereta dorong</v>
          </cell>
          <cell r="D131" t="str">
            <v>=  2  buah.</v>
          </cell>
        </row>
        <row r="132">
          <cell r="C132" t="str">
            <v>- Sekop</v>
          </cell>
          <cell r="D132" t="str">
            <v>=  3  buah.</v>
          </cell>
        </row>
        <row r="133">
          <cell r="C133" t="str">
            <v>- Garpu</v>
          </cell>
          <cell r="D133" t="str">
            <v>=  2  buah.</v>
          </cell>
        </row>
        <row r="135">
          <cell r="A135" t="str">
            <v xml:space="preserve">   3.</v>
          </cell>
          <cell r="C135" t="str">
            <v>TENAGA</v>
          </cell>
        </row>
        <row r="136">
          <cell r="C136" t="str">
            <v>Produksi menentukan : WHEEL LOADER</v>
          </cell>
          <cell r="G136" t="str">
            <v>Q1</v>
          </cell>
          <cell r="H136">
            <v>28.012500000000003</v>
          </cell>
          <cell r="I136" t="str">
            <v>M3/jam</v>
          </cell>
        </row>
        <row r="137">
          <cell r="C137" t="str">
            <v>Produksi agregat / hari  =  Tk x Q1</v>
          </cell>
          <cell r="G137" t="str">
            <v>Qt</v>
          </cell>
          <cell r="H137">
            <v>196.08750000000003</v>
          </cell>
          <cell r="I137" t="str">
            <v>M3</v>
          </cell>
        </row>
        <row r="138">
          <cell r="C138" t="str">
            <v>Kebutuhan tenaga :</v>
          </cell>
        </row>
        <row r="139">
          <cell r="D139" t="str">
            <v>- Pekerja</v>
          </cell>
          <cell r="G139" t="str">
            <v>P</v>
          </cell>
          <cell r="H139">
            <v>7</v>
          </cell>
          <cell r="I139" t="str">
            <v>orang</v>
          </cell>
        </row>
        <row r="140">
          <cell r="D140" t="str">
            <v>- Mandor</v>
          </cell>
          <cell r="G140" t="str">
            <v>M</v>
          </cell>
          <cell r="H140">
            <v>1</v>
          </cell>
          <cell r="I140" t="str">
            <v>orang</v>
          </cell>
        </row>
        <row r="142">
          <cell r="C142" t="str">
            <v>Koefisien tenaga / M3   :</v>
          </cell>
        </row>
        <row r="143">
          <cell r="D143" t="str">
            <v>- Pekerja</v>
          </cell>
          <cell r="E143" t="str">
            <v>= (Tk x P) : Qt</v>
          </cell>
          <cell r="G143" t="str">
            <v>(L01)</v>
          </cell>
          <cell r="H143">
            <v>0.24988844265952695</v>
          </cell>
          <cell r="I143" t="str">
            <v>jam</v>
          </cell>
        </row>
        <row r="144">
          <cell r="D144" t="str">
            <v>- Mandor</v>
          </cell>
          <cell r="E144" t="str">
            <v>= (Tk x M) : Qt</v>
          </cell>
          <cell r="G144" t="str">
            <v>(L03)</v>
          </cell>
          <cell r="H144">
            <v>3.5698348951360995E-2</v>
          </cell>
          <cell r="I144" t="str">
            <v>jam</v>
          </cell>
        </row>
        <row r="146">
          <cell r="A146" t="str">
            <v>4.</v>
          </cell>
          <cell r="C146" t="str">
            <v>HARGA DASAR SATUAN UPAH, BAHAN DAN ALAT</v>
          </cell>
        </row>
        <row r="147">
          <cell r="C147" t="str">
            <v>Lihat lampiran.</v>
          </cell>
        </row>
        <row r="149">
          <cell r="A149" t="str">
            <v>5.</v>
          </cell>
          <cell r="C149" t="str">
            <v>ANALISA HARGA SATUAN PEKERJAAN</v>
          </cell>
        </row>
        <row r="150">
          <cell r="C150" t="str">
            <v>Lihat perhitungan dalam FORMULIR STANDAR UNTUK</v>
          </cell>
        </row>
        <row r="151">
          <cell r="C151" t="str">
            <v>PEREKAMAN ANALISA MASING-MASING HARGA</v>
          </cell>
        </row>
        <row r="152">
          <cell r="C152" t="str">
            <v>SATUAN.</v>
          </cell>
        </row>
        <row r="153">
          <cell r="C153" t="str">
            <v>Didapat Harga Satuan Pekerjaan :</v>
          </cell>
        </row>
        <row r="155">
          <cell r="C155" t="str">
            <v xml:space="preserve">Rp.  </v>
          </cell>
          <cell r="D155">
            <v>304732.36582799954</v>
          </cell>
          <cell r="E155" t="str">
            <v xml:space="preserve"> / M3.</v>
          </cell>
        </row>
        <row r="158">
          <cell r="A158" t="str">
            <v>6.</v>
          </cell>
          <cell r="C158" t="str">
            <v>WAKTU PELAKSANAAN YANG DIPERLUKAN</v>
          </cell>
        </row>
        <row r="159">
          <cell r="C159" t="str">
            <v>Masa Pelaksanaan :</v>
          </cell>
          <cell r="D159" t="str">
            <v>. . . . . . . . . . . .</v>
          </cell>
          <cell r="E159" t="str">
            <v>bulan</v>
          </cell>
        </row>
        <row r="161">
          <cell r="A161" t="str">
            <v>7.</v>
          </cell>
          <cell r="C161" t="str">
            <v>VOLUME PEKERJAAN YANG DIPERLUKAN</v>
          </cell>
        </row>
        <row r="162">
          <cell r="C162" t="str">
            <v>Volume pekerjaan  :</v>
          </cell>
          <cell r="D162">
            <v>1</v>
          </cell>
          <cell r="E162" t="str">
            <v>M3</v>
          </cell>
        </row>
        <row r="180">
          <cell r="A180" t="str">
            <v>ITEM PEMBAYARAN NO.</v>
          </cell>
          <cell r="D180" t="str">
            <v>:  5.1 (2)</v>
          </cell>
          <cell r="J180" t="str">
            <v>Analisa EI-512</v>
          </cell>
          <cell r="T180" t="str">
            <v>Analisa EI-512</v>
          </cell>
        </row>
        <row r="181">
          <cell r="A181" t="str">
            <v>JENIS PEKERJAAN</v>
          </cell>
          <cell r="D181" t="str">
            <v>:  Lps. Pond. Ag. Kls. B, CBR Min 35%</v>
          </cell>
        </row>
        <row r="182">
          <cell r="A182" t="str">
            <v>SATUAN PEMBAYARAN</v>
          </cell>
          <cell r="D182" t="str">
            <v>:  M3</v>
          </cell>
          <cell r="H182" t="str">
            <v xml:space="preserve">         URAIAN ANALISA HARGA SATUAN</v>
          </cell>
          <cell r="L182" t="str">
            <v>FORMULIR STANDAR UNTUK</v>
          </cell>
        </row>
        <row r="183">
          <cell r="L183" t="str">
            <v>PEREKAMAN ANALISA MASING-MASING HARGA SATUAN</v>
          </cell>
        </row>
        <row r="184">
          <cell r="L184" t="str">
            <v/>
          </cell>
        </row>
        <row r="185">
          <cell r="A185" t="str">
            <v>No.</v>
          </cell>
          <cell r="C185" t="str">
            <v>U R A I A N</v>
          </cell>
          <cell r="G185" t="str">
            <v>KODE</v>
          </cell>
          <cell r="H185" t="str">
            <v>KOEF.</v>
          </cell>
          <cell r="I185" t="str">
            <v>SATUAN</v>
          </cell>
          <cell r="J185" t="str">
            <v>KETERANGAN</v>
          </cell>
        </row>
        <row r="187">
          <cell r="L187" t="str">
            <v>PROYEK</v>
          </cell>
          <cell r="O187" t="str">
            <v xml:space="preserve">:  </v>
          </cell>
        </row>
        <row r="188">
          <cell r="A188" t="str">
            <v>I.</v>
          </cell>
          <cell r="C188" t="str">
            <v>ASUMSI</v>
          </cell>
          <cell r="L188" t="str">
            <v>No. PAKET KONTRAK</v>
          </cell>
          <cell r="O188" t="str">
            <v xml:space="preserve">:  </v>
          </cell>
        </row>
        <row r="189">
          <cell r="A189">
            <v>1</v>
          </cell>
          <cell r="C189" t="str">
            <v>Menggunakan alat berat (cara mekanik)</v>
          </cell>
          <cell r="L189" t="str">
            <v>NAMA PAKET</v>
          </cell>
          <cell r="O189" t="str">
            <v xml:space="preserve">:  </v>
          </cell>
        </row>
        <row r="190">
          <cell r="A190">
            <v>2</v>
          </cell>
          <cell r="C190" t="str">
            <v>Lokasi pekerjaan : sepanjang jalan</v>
          </cell>
          <cell r="L190" t="str">
            <v>PROP / KAB / KODYA</v>
          </cell>
          <cell r="O190" t="str">
            <v xml:space="preserve">:  </v>
          </cell>
        </row>
        <row r="191">
          <cell r="A191">
            <v>3</v>
          </cell>
          <cell r="C191" t="str">
            <v>Kondisi existing jalan : sedang</v>
          </cell>
          <cell r="L191" t="str">
            <v>ITEM PEMBAYARAN NO.</v>
          </cell>
          <cell r="O191" t="str">
            <v>:  5.1 (2)</v>
          </cell>
          <cell r="R191" t="str">
            <v>PERKIRAAN VOL. PEK.</v>
          </cell>
          <cell r="T191" t="str">
            <v>:</v>
          </cell>
          <cell r="U191">
            <v>1</v>
          </cell>
        </row>
        <row r="192">
          <cell r="A192">
            <v>4</v>
          </cell>
          <cell r="C192" t="str">
            <v>Jarak rata-rata Base Camp ke lokasi pekerjaan</v>
          </cell>
          <cell r="G192" t="str">
            <v>L</v>
          </cell>
          <cell r="H192">
            <v>8.7249999999999996</v>
          </cell>
          <cell r="I192" t="str">
            <v>KM</v>
          </cell>
          <cell r="L192" t="str">
            <v>JENIS PEKERJAAN</v>
          </cell>
          <cell r="O192" t="str">
            <v>:  Lps. Pond. Ag. Kls. B, CBR Min 35%</v>
          </cell>
          <cell r="R192" t="str">
            <v>TOTAL HARGA</v>
          </cell>
          <cell r="T192" t="str">
            <v>:</v>
          </cell>
          <cell r="U192">
            <v>339061.22823589185</v>
          </cell>
        </row>
        <row r="193">
          <cell r="A193">
            <v>5</v>
          </cell>
          <cell r="C193" t="str">
            <v>Tebal lapis agregat padat</v>
          </cell>
          <cell r="G193" t="str">
            <v>t</v>
          </cell>
          <cell r="H193">
            <v>0.15</v>
          </cell>
          <cell r="I193" t="str">
            <v>M</v>
          </cell>
          <cell r="L193" t="str">
            <v>SATUAN PEMBAYARAN</v>
          </cell>
          <cell r="O193" t="str">
            <v>:  M3</v>
          </cell>
          <cell r="R193" t="str">
            <v>% THD. BIAYA PROYEK</v>
          </cell>
          <cell r="T193" t="str">
            <v>:</v>
          </cell>
          <cell r="U193">
            <v>8.0681907126475844E-3</v>
          </cell>
        </row>
        <row r="194">
          <cell r="A194">
            <v>6</v>
          </cell>
          <cell r="C194" t="str">
            <v>Faktor kembang material (Padat-Lepas)</v>
          </cell>
          <cell r="G194" t="str">
            <v>Fk</v>
          </cell>
          <cell r="H194">
            <v>1.2</v>
          </cell>
          <cell r="I194" t="str">
            <v>-</v>
          </cell>
        </row>
        <row r="195">
          <cell r="A195">
            <v>7</v>
          </cell>
          <cell r="C195" t="str">
            <v>Jam kerja efektif per-hari</v>
          </cell>
          <cell r="G195" t="str">
            <v>Tk</v>
          </cell>
          <cell r="H195">
            <v>7</v>
          </cell>
          <cell r="I195" t="str">
            <v>jam</v>
          </cell>
        </row>
        <row r="196">
          <cell r="A196">
            <v>8</v>
          </cell>
          <cell r="C196" t="str">
            <v>Proporsi Campuran :</v>
          </cell>
          <cell r="D196" t="str">
            <v>- Agregat Kasar</v>
          </cell>
          <cell r="G196" t="str">
            <v>Ak</v>
          </cell>
          <cell r="H196">
            <v>35</v>
          </cell>
          <cell r="I196" t="str">
            <v>%</v>
          </cell>
          <cell r="J196" t="str">
            <v xml:space="preserve"> Gradasi harus</v>
          </cell>
          <cell r="Q196" t="str">
            <v>PERKIRAAN</v>
          </cell>
          <cell r="R196" t="str">
            <v>HARGA</v>
          </cell>
          <cell r="S196" t="str">
            <v>JUMLAH</v>
          </cell>
        </row>
        <row r="197">
          <cell r="D197" t="str">
            <v>- Agregat Halus</v>
          </cell>
          <cell r="G197" t="str">
            <v>Ah</v>
          </cell>
          <cell r="H197">
            <v>20</v>
          </cell>
          <cell r="I197" t="str">
            <v>%</v>
          </cell>
          <cell r="J197" t="str">
            <v xml:space="preserve"> memenuhi</v>
          </cell>
          <cell r="L197" t="str">
            <v>NO.</v>
          </cell>
          <cell r="N197" t="str">
            <v>KOMPONEN</v>
          </cell>
          <cell r="P197" t="str">
            <v>SATUAN</v>
          </cell>
          <cell r="Q197" t="str">
            <v>KUANTITAS</v>
          </cell>
          <cell r="R197" t="str">
            <v>SATUAN</v>
          </cell>
          <cell r="S197" t="str">
            <v>HARGA</v>
          </cell>
        </row>
        <row r="198">
          <cell r="D198" t="str">
            <v>- Sirtu</v>
          </cell>
          <cell r="G198" t="str">
            <v>St</v>
          </cell>
          <cell r="H198">
            <v>45</v>
          </cell>
          <cell r="I198" t="str">
            <v>%</v>
          </cell>
          <cell r="J198" t="str">
            <v xml:space="preserve"> Spesifikasi</v>
          </cell>
          <cell r="R198" t="str">
            <v>(Rp.)</v>
          </cell>
          <cell r="S198" t="str">
            <v>(Rp.)</v>
          </cell>
        </row>
        <row r="199">
          <cell r="A199" t="str">
            <v>II.</v>
          </cell>
          <cell r="C199" t="str">
            <v>URUTAN KERJA</v>
          </cell>
        </row>
        <row r="200">
          <cell r="A200">
            <v>1</v>
          </cell>
          <cell r="C200" t="str">
            <v>Wheel Loader mencampur dan memuat Agregat ke</v>
          </cell>
        </row>
        <row r="201">
          <cell r="C201" t="str">
            <v>dalam Dump Truck di Base Camp</v>
          </cell>
          <cell r="L201" t="str">
            <v>A.</v>
          </cell>
          <cell r="N201" t="str">
            <v>TENAGA</v>
          </cell>
        </row>
        <row r="202">
          <cell r="A202">
            <v>2</v>
          </cell>
          <cell r="C202" t="str">
            <v>Dump Truck mengangkut Agregat ke lokasi</v>
          </cell>
        </row>
        <row r="203">
          <cell r="C203" t="str">
            <v>pekerjaan dan dihampar dengan Motor Grader</v>
          </cell>
          <cell r="L203" t="str">
            <v>1.</v>
          </cell>
          <cell r="N203" t="str">
            <v>Pekerja</v>
          </cell>
          <cell r="O203" t="str">
            <v>(L01)</v>
          </cell>
          <cell r="P203" t="str">
            <v>jam</v>
          </cell>
          <cell r="Q203">
            <v>0.24988844265952695</v>
          </cell>
          <cell r="R203">
            <v>2857.14</v>
          </cell>
          <cell r="U203">
            <v>713.96626506024074</v>
          </cell>
        </row>
        <row r="204">
          <cell r="A204">
            <v>3</v>
          </cell>
          <cell r="C204" t="str">
            <v>Hamparan Agregat dibasahi dengan Water Tank</v>
          </cell>
          <cell r="L204" t="str">
            <v>2.</v>
          </cell>
          <cell r="N204" t="str">
            <v>Mandor</v>
          </cell>
          <cell r="O204" t="str">
            <v>(L03)</v>
          </cell>
          <cell r="P204" t="str">
            <v>jam</v>
          </cell>
          <cell r="Q204">
            <v>3.5698348951360995E-2</v>
          </cell>
          <cell r="R204">
            <v>3214.29</v>
          </cell>
          <cell r="U204">
            <v>114.74484605087014</v>
          </cell>
        </row>
        <row r="205">
          <cell r="C205" t="str">
            <v>Truck sebelum dipadatkan dengan Tandem</v>
          </cell>
        </row>
        <row r="206">
          <cell r="C206" t="str">
            <v>Roller dan Pneumatic Tire Roller</v>
          </cell>
        </row>
        <row r="207">
          <cell r="A207">
            <v>4</v>
          </cell>
          <cell r="C207" t="str">
            <v>Selama pemadatan, sekelompok pekerja akan</v>
          </cell>
          <cell r="Q207" t="str">
            <v xml:space="preserve">JUMLAH HARGA TENAGA   </v>
          </cell>
          <cell r="U207">
            <v>828.71111111111088</v>
          </cell>
        </row>
        <row r="208">
          <cell r="C208" t="str">
            <v>merapikan tepi hamparan dan level permukaan</v>
          </cell>
        </row>
        <row r="209">
          <cell r="C209" t="str">
            <v>dengan menggunakan Alat Bantu</v>
          </cell>
          <cell r="L209" t="str">
            <v>B.</v>
          </cell>
          <cell r="N209" t="str">
            <v>BAHAN</v>
          </cell>
        </row>
        <row r="210">
          <cell r="A210" t="str">
            <v>III.</v>
          </cell>
          <cell r="C210" t="str">
            <v>PEMAKAIAN BAHAN, ALAT DAN TENAGA</v>
          </cell>
        </row>
        <row r="211">
          <cell r="A211" t="str">
            <v xml:space="preserve">   1.</v>
          </cell>
          <cell r="C211" t="str">
            <v>BAHAN</v>
          </cell>
          <cell r="L211" t="str">
            <v>1.</v>
          </cell>
          <cell r="N211" t="str">
            <v>Agregat Kasar   (M03)</v>
          </cell>
          <cell r="P211" t="str">
            <v>M3</v>
          </cell>
          <cell r="Q211">
            <v>0.42</v>
          </cell>
          <cell r="R211">
            <v>222345.54558042376</v>
          </cell>
          <cell r="U211">
            <v>93385.129143777973</v>
          </cell>
        </row>
        <row r="212">
          <cell r="C212" t="str">
            <v>- Agregat Kasar</v>
          </cell>
          <cell r="D212" t="str">
            <v>=  Ak x 1 M3 x Fk</v>
          </cell>
          <cell r="G212" t="str">
            <v>M03</v>
          </cell>
          <cell r="H212">
            <v>0.42</v>
          </cell>
          <cell r="I212" t="str">
            <v>M3</v>
          </cell>
          <cell r="L212" t="str">
            <v>2.</v>
          </cell>
          <cell r="N212" t="str">
            <v>Agregat Halus    (M04)</v>
          </cell>
          <cell r="P212" t="str">
            <v>M3</v>
          </cell>
          <cell r="Q212">
            <v>0.24</v>
          </cell>
          <cell r="R212">
            <v>194196.70775416915</v>
          </cell>
          <cell r="U212">
            <v>46607.209861000592</v>
          </cell>
        </row>
        <row r="213">
          <cell r="C213" t="str">
            <v>- Agregat Halus</v>
          </cell>
          <cell r="D213" t="str">
            <v>=  Ah x 1 M3 x Fk</v>
          </cell>
          <cell r="G213" t="str">
            <v>M04</v>
          </cell>
          <cell r="H213">
            <v>0.24</v>
          </cell>
          <cell r="I213" t="str">
            <v>M3</v>
          </cell>
          <cell r="L213" t="str">
            <v>3.</v>
          </cell>
          <cell r="N213" t="str">
            <v>Sirtu</v>
          </cell>
          <cell r="O213" t="str">
            <v>(M16)</v>
          </cell>
          <cell r="P213" t="str">
            <v>M3</v>
          </cell>
          <cell r="Q213">
            <v>0.54</v>
          </cell>
          <cell r="R213">
            <v>264500</v>
          </cell>
          <cell r="U213">
            <v>142830</v>
          </cell>
        </row>
        <row r="214">
          <cell r="C214" t="str">
            <v>- Sirtu</v>
          </cell>
          <cell r="D214" t="str">
            <v>=  St x 1 M3 x Fk</v>
          </cell>
          <cell r="G214" t="str">
            <v>M16</v>
          </cell>
          <cell r="H214">
            <v>0.54</v>
          </cell>
          <cell r="I214" t="str">
            <v>M3</v>
          </cell>
        </row>
        <row r="215">
          <cell r="A215" t="str">
            <v xml:space="preserve">   2.</v>
          </cell>
          <cell r="C215" t="str">
            <v>ALAT</v>
          </cell>
        </row>
        <row r="216">
          <cell r="A216" t="str">
            <v xml:space="preserve">   2.a.</v>
          </cell>
          <cell r="C216" t="str">
            <v>WHEEL LOADER</v>
          </cell>
          <cell r="G216" t="str">
            <v>(E15)</v>
          </cell>
        </row>
        <row r="217">
          <cell r="C217" t="str">
            <v>Kapasitas bucket</v>
          </cell>
          <cell r="G217" t="str">
            <v>V</v>
          </cell>
          <cell r="H217">
            <v>1.5</v>
          </cell>
          <cell r="I217" t="str">
            <v>M3</v>
          </cell>
          <cell r="Q217" t="str">
            <v xml:space="preserve">JUMLAH HARGA BAHAN   </v>
          </cell>
          <cell r="U217">
            <v>282822.33900477854</v>
          </cell>
        </row>
        <row r="218">
          <cell r="C218" t="str">
            <v>Faktor bucket</v>
          </cell>
          <cell r="G218" t="str">
            <v>Fb</v>
          </cell>
          <cell r="H218">
            <v>0.9</v>
          </cell>
          <cell r="I218" t="str">
            <v>-</v>
          </cell>
        </row>
        <row r="219">
          <cell r="C219" t="str">
            <v>Faktor Efisiensi alat</v>
          </cell>
          <cell r="G219" t="str">
            <v>Fa</v>
          </cell>
          <cell r="H219">
            <v>0.83</v>
          </cell>
          <cell r="I219" t="str">
            <v>-</v>
          </cell>
          <cell r="L219" t="str">
            <v>C.</v>
          </cell>
          <cell r="N219" t="str">
            <v>PERALATAN</v>
          </cell>
        </row>
        <row r="220">
          <cell r="C220" t="str">
            <v>Waktu Siklus :</v>
          </cell>
          <cell r="G220" t="str">
            <v>Ts1</v>
          </cell>
          <cell r="L220" t="str">
            <v>1.</v>
          </cell>
          <cell r="N220" t="str">
            <v>Wheel Loader</v>
          </cell>
          <cell r="O220" t="str">
            <v>(E15)</v>
          </cell>
          <cell r="P220" t="str">
            <v>jam</v>
          </cell>
          <cell r="Q220">
            <v>3.5698348951360995E-2</v>
          </cell>
          <cell r="R220">
            <v>163808.13869490434</v>
          </cell>
          <cell r="U220">
            <v>5847.680096203635</v>
          </cell>
        </row>
        <row r="221">
          <cell r="C221" t="str">
            <v>- Mencampur</v>
          </cell>
          <cell r="G221" t="str">
            <v>T1</v>
          </cell>
          <cell r="H221">
            <v>1.5</v>
          </cell>
          <cell r="I221" t="str">
            <v>menit</v>
          </cell>
          <cell r="L221" t="str">
            <v>2.</v>
          </cell>
          <cell r="N221" t="str">
            <v>Dump Truck</v>
          </cell>
          <cell r="O221" t="str">
            <v>(E09)</v>
          </cell>
          <cell r="P221" t="str">
            <v>jam</v>
          </cell>
          <cell r="Q221">
            <v>0.14542063837680036</v>
          </cell>
          <cell r="R221">
            <v>70230.073977639215</v>
          </cell>
          <cell r="U221">
            <v>10212.90219107821</v>
          </cell>
        </row>
        <row r="222">
          <cell r="C222" t="str">
            <v>- Memuat dan lain-lain</v>
          </cell>
          <cell r="G222" t="str">
            <v>T2</v>
          </cell>
          <cell r="H222">
            <v>0.5</v>
          </cell>
          <cell r="I222" t="str">
            <v>menit</v>
          </cell>
          <cell r="L222" t="str">
            <v>3.</v>
          </cell>
          <cell r="N222" t="str">
            <v>Motor Grader</v>
          </cell>
          <cell r="O222" t="str">
            <v>(E13)</v>
          </cell>
          <cell r="P222" t="str">
            <v>jam</v>
          </cell>
          <cell r="Q222">
            <v>1.1713520749665328E-2</v>
          </cell>
          <cell r="R222">
            <v>201666.62574070093</v>
          </cell>
          <cell r="U222">
            <v>2362.2262051286921</v>
          </cell>
        </row>
        <row r="223">
          <cell r="G223" t="str">
            <v>Ts1</v>
          </cell>
          <cell r="H223">
            <v>2</v>
          </cell>
          <cell r="I223" t="str">
            <v>menit</v>
          </cell>
          <cell r="L223" t="str">
            <v>4.</v>
          </cell>
          <cell r="N223" t="str">
            <v>Vibratory Roller</v>
          </cell>
          <cell r="O223" t="str">
            <v>(E19)</v>
          </cell>
          <cell r="P223" t="str">
            <v>jam</v>
          </cell>
          <cell r="Q223">
            <v>1.7849174475680501E-2</v>
          </cell>
          <cell r="R223">
            <v>234734.82748629327</v>
          </cell>
          <cell r="U223">
            <v>4189.8228913216117</v>
          </cell>
        </row>
        <row r="224">
          <cell r="L224" t="str">
            <v>5.</v>
          </cell>
          <cell r="N224" t="str">
            <v>P. Tyre Roller</v>
          </cell>
          <cell r="O224" t="str">
            <v>(E18)</v>
          </cell>
          <cell r="P224" t="str">
            <v>jam</v>
          </cell>
          <cell r="Q224">
            <v>4.2838018741633201E-3</v>
          </cell>
          <cell r="R224">
            <v>113384.24751021285</v>
          </cell>
          <cell r="U224">
            <v>485.71565198484757</v>
          </cell>
        </row>
        <row r="225">
          <cell r="C225" t="str">
            <v>Kap. Prod. / jam =</v>
          </cell>
          <cell r="D225" t="str">
            <v>V x Fb x Fa x 60</v>
          </cell>
          <cell r="G225" t="str">
            <v>Q1</v>
          </cell>
          <cell r="H225">
            <v>28.012500000000003</v>
          </cell>
          <cell r="I225" t="str">
            <v>M3</v>
          </cell>
          <cell r="L225" t="str">
            <v>6.</v>
          </cell>
          <cell r="N225" t="str">
            <v>Water Tanker</v>
          </cell>
          <cell r="O225" t="str">
            <v>(E23)</v>
          </cell>
          <cell r="P225" t="str">
            <v>jam</v>
          </cell>
          <cell r="Q225">
            <v>2.1084337349397592E-2</v>
          </cell>
          <cell r="R225">
            <v>67020.510980434308</v>
          </cell>
          <cell r="U225">
            <v>1413.0830628404826</v>
          </cell>
        </row>
        <row r="226">
          <cell r="D226" t="str">
            <v>Fk x Ts1</v>
          </cell>
          <cell r="L226" t="str">
            <v>7.</v>
          </cell>
          <cell r="N226" t="str">
            <v>Alat Bantu</v>
          </cell>
          <cell r="P226" t="str">
            <v>Ls</v>
          </cell>
          <cell r="Q226">
            <v>1</v>
          </cell>
          <cell r="R226">
            <v>75</v>
          </cell>
          <cell r="U226">
            <v>75</v>
          </cell>
        </row>
        <row r="227">
          <cell r="C227" t="str">
            <v>Koefisien Alat / M3</v>
          </cell>
          <cell r="D227" t="str">
            <v xml:space="preserve"> =  1  :  Q1</v>
          </cell>
          <cell r="G227" t="str">
            <v>(E15)</v>
          </cell>
          <cell r="H227">
            <v>3.5698348951360995E-2</v>
          </cell>
          <cell r="I227" t="str">
            <v>jam</v>
          </cell>
        </row>
        <row r="228">
          <cell r="Q228" t="str">
            <v xml:space="preserve">JUMLAH HARGA PERALATAN   </v>
          </cell>
          <cell r="U228">
            <v>24586.430098557481</v>
          </cell>
        </row>
        <row r="229">
          <cell r="A229" t="str">
            <v xml:space="preserve">   2.b.</v>
          </cell>
          <cell r="C229" t="str">
            <v>DUMP TRUCK</v>
          </cell>
          <cell r="G229" t="str">
            <v>(E09)</v>
          </cell>
        </row>
        <row r="230">
          <cell r="C230" t="str">
            <v>Kapasitas bak</v>
          </cell>
          <cell r="G230" t="str">
            <v>V</v>
          </cell>
          <cell r="H230">
            <v>6</v>
          </cell>
          <cell r="I230" t="str">
            <v>M3</v>
          </cell>
          <cell r="L230" t="str">
            <v>D.</v>
          </cell>
          <cell r="N230" t="str">
            <v>JUMLAH HARGA TENAGA, BAHAN DAN PERALATAN  ( A + B + C )</v>
          </cell>
          <cell r="U230">
            <v>308237.48021444713</v>
          </cell>
        </row>
        <row r="231">
          <cell r="C231" t="str">
            <v>Faktor Efisiensi alat</v>
          </cell>
          <cell r="G231" t="str">
            <v>Fa</v>
          </cell>
          <cell r="H231">
            <v>0.83</v>
          </cell>
          <cell r="I231" t="str">
            <v>-</v>
          </cell>
          <cell r="L231" t="str">
            <v>E.</v>
          </cell>
          <cell r="N231" t="str">
            <v>OVERHEAD &amp; PROFIT</v>
          </cell>
          <cell r="P231">
            <v>10</v>
          </cell>
          <cell r="Q231" t="str">
            <v>%  x  D</v>
          </cell>
          <cell r="U231">
            <v>30823.748021444713</v>
          </cell>
        </row>
        <row r="232">
          <cell r="C232" t="str">
            <v>Kecepatan rata-rata bermuatan</v>
          </cell>
          <cell r="G232" t="str">
            <v>v1</v>
          </cell>
          <cell r="H232">
            <v>45</v>
          </cell>
          <cell r="I232" t="str">
            <v>KM/jam</v>
          </cell>
          <cell r="L232" t="str">
            <v>F.</v>
          </cell>
          <cell r="N232" t="str">
            <v>HARGA SATUAN PEKERJAAN  ( D + E )</v>
          </cell>
          <cell r="U232">
            <v>339061.22823589185</v>
          </cell>
        </row>
        <row r="233">
          <cell r="C233" t="str">
            <v>Kecepatan rata-rata kosong</v>
          </cell>
          <cell r="G233" t="str">
            <v>v2</v>
          </cell>
          <cell r="H233">
            <v>60</v>
          </cell>
          <cell r="I233" t="str">
            <v>KM/jam</v>
          </cell>
          <cell r="L233" t="str">
            <v>Note: 1</v>
          </cell>
          <cell r="N233" t="str">
            <v>SATUAN dapat berdasarkan atas jam operasi untuk Tenaga Kerja dan Peralatan, volume dan/atau ukuran</v>
          </cell>
        </row>
        <row r="234">
          <cell r="C234" t="str">
            <v>Waktu Siklus  :  - Waktu memuat = V : Q1 x 60</v>
          </cell>
          <cell r="G234" t="str">
            <v>T1</v>
          </cell>
          <cell r="H234">
            <v>12.851405622489958</v>
          </cell>
          <cell r="I234" t="str">
            <v>menit</v>
          </cell>
          <cell r="N234" t="str">
            <v>berat untuk bahan-bahan.</v>
          </cell>
        </row>
        <row r="235">
          <cell r="C235" t="str">
            <v>- Waktu tempuh isi  =  (L : v1) x 60 menit</v>
          </cell>
          <cell r="G235" t="str">
            <v>T2</v>
          </cell>
          <cell r="H235">
            <v>11.633333333333333</v>
          </cell>
          <cell r="I235" t="str">
            <v>menit</v>
          </cell>
          <cell r="L235">
            <v>2</v>
          </cell>
          <cell r="N235" t="str">
            <v>Kuantitas satuan adalah kuantitas setiap komponen untuk menyelesaikan satu satuan pekerjaan dari nomor</v>
          </cell>
        </row>
        <row r="236">
          <cell r="C236" t="str">
            <v>- Waktu tempuh kosong  =  (L : v2) x 60 menit</v>
          </cell>
          <cell r="G236" t="str">
            <v>T3</v>
          </cell>
          <cell r="H236">
            <v>8.7249999999999996</v>
          </cell>
          <cell r="I236" t="str">
            <v>menit</v>
          </cell>
          <cell r="N236" t="str">
            <v>mata pembayaran.</v>
          </cell>
        </row>
        <row r="237">
          <cell r="C237" t="str">
            <v>- Dump dan lain-lain</v>
          </cell>
          <cell r="G237" t="str">
            <v>T4</v>
          </cell>
          <cell r="H237">
            <v>3</v>
          </cell>
          <cell r="I237" t="str">
            <v>menit</v>
          </cell>
          <cell r="L237">
            <v>3</v>
          </cell>
          <cell r="N237" t="str">
            <v>Biaya satuan untuk peralatan sudah termasuk bahan bakar, bahan habis dipakai dan operator.</v>
          </cell>
        </row>
        <row r="238">
          <cell r="G238" t="str">
            <v>Ts2</v>
          </cell>
          <cell r="H238">
            <v>36.20973895582329</v>
          </cell>
          <cell r="I238" t="str">
            <v>menit</v>
          </cell>
          <cell r="L238">
            <v>4</v>
          </cell>
          <cell r="N238" t="str">
            <v>Biaya satuan sudah termasuk pengeluaran untuk seluruh pajak yang berkaitan (tetapi tidak termasuk PPN</v>
          </cell>
        </row>
        <row r="239">
          <cell r="N239" t="str">
            <v>yang dibayar dari kontrak) dan biaya-biaya lainnya.</v>
          </cell>
        </row>
        <row r="240">
          <cell r="J240" t="str">
            <v>Berlanjut ke hal. berikut</v>
          </cell>
        </row>
        <row r="241">
          <cell r="A241" t="str">
            <v>ITEM PEMBAYARAN NO.</v>
          </cell>
          <cell r="D241" t="str">
            <v>:  5.1 (2)</v>
          </cell>
          <cell r="J241" t="str">
            <v>Analisa EI-512</v>
          </cell>
        </row>
        <row r="242">
          <cell r="A242" t="str">
            <v>JENIS PEKERJAAN</v>
          </cell>
          <cell r="D242" t="str">
            <v>:  Lps. Pond. Ag. Kls. B, CBR Min 35%</v>
          </cell>
        </row>
        <row r="243">
          <cell r="A243" t="str">
            <v>SATUAN PEMBAYARAN</v>
          </cell>
          <cell r="D243" t="str">
            <v>:  M3</v>
          </cell>
          <cell r="H243" t="str">
            <v xml:space="preserve">         URAIAN ANALISA HARGA SATUAN</v>
          </cell>
        </row>
        <row r="244">
          <cell r="J244" t="str">
            <v>Lanjutan</v>
          </cell>
        </row>
        <row r="246">
          <cell r="A246" t="str">
            <v>No.</v>
          </cell>
          <cell r="C246" t="str">
            <v>U R A I A N</v>
          </cell>
          <cell r="G246" t="str">
            <v>KODE</v>
          </cell>
          <cell r="H246" t="str">
            <v>KOEF.</v>
          </cell>
          <cell r="I246" t="str">
            <v>SATUAN</v>
          </cell>
          <cell r="J246" t="str">
            <v>KETERANGAN</v>
          </cell>
        </row>
        <row r="249">
          <cell r="C249" t="str">
            <v>Kap. Prod. / jam =</v>
          </cell>
          <cell r="D249" t="str">
            <v>V x Fa x 60</v>
          </cell>
          <cell r="G249" t="str">
            <v>Q2</v>
          </cell>
          <cell r="H249">
            <v>6.8766030129017413</v>
          </cell>
          <cell r="I249" t="str">
            <v>M3</v>
          </cell>
        </row>
        <row r="250">
          <cell r="D250" t="str">
            <v>Fk x Ts2</v>
          </cell>
        </row>
        <row r="251">
          <cell r="C251" t="str">
            <v>Koefisien Alat / M3</v>
          </cell>
          <cell r="D251" t="str">
            <v xml:space="preserve"> =  1  :  Q2</v>
          </cell>
          <cell r="G251" t="str">
            <v>-</v>
          </cell>
          <cell r="H251">
            <v>0.14542063837680036</v>
          </cell>
          <cell r="I251" t="str">
            <v>jam</v>
          </cell>
        </row>
        <row r="253">
          <cell r="A253" t="str">
            <v xml:space="preserve">   2.c.</v>
          </cell>
          <cell r="C253" t="str">
            <v>MOTOR GRADER</v>
          </cell>
          <cell r="G253" t="str">
            <v>(E13)</v>
          </cell>
        </row>
        <row r="254">
          <cell r="C254" t="str">
            <v>Panjang hamparan</v>
          </cell>
          <cell r="G254" t="str">
            <v>Lh</v>
          </cell>
          <cell r="H254">
            <v>50</v>
          </cell>
          <cell r="I254" t="str">
            <v>M</v>
          </cell>
        </row>
        <row r="255">
          <cell r="C255" t="str">
            <v>Lebar efektif kerja blade</v>
          </cell>
          <cell r="G255" t="str">
            <v>b</v>
          </cell>
          <cell r="H255">
            <v>2.4</v>
          </cell>
          <cell r="I255" t="str">
            <v>M</v>
          </cell>
        </row>
        <row r="256">
          <cell r="C256" t="str">
            <v>Faktor Efisiensi alat</v>
          </cell>
          <cell r="G256" t="str">
            <v>Fa</v>
          </cell>
          <cell r="H256">
            <v>0.83</v>
          </cell>
          <cell r="I256" t="str">
            <v>-</v>
          </cell>
        </row>
        <row r="257">
          <cell r="C257" t="str">
            <v>Kecepatan rata-rata alat</v>
          </cell>
          <cell r="G257" t="str">
            <v>v</v>
          </cell>
          <cell r="H257">
            <v>4</v>
          </cell>
          <cell r="I257" t="str">
            <v>KM/jam</v>
          </cell>
        </row>
        <row r="258">
          <cell r="C258" t="str">
            <v>Jumlah lintasan</v>
          </cell>
          <cell r="G258" t="str">
            <v>n</v>
          </cell>
          <cell r="H258">
            <v>6</v>
          </cell>
          <cell r="I258" t="str">
            <v>lintasan</v>
          </cell>
          <cell r="J258" t="str">
            <v xml:space="preserve"> 3 x pp</v>
          </cell>
        </row>
        <row r="259">
          <cell r="C259" t="str">
            <v>Waktu Siklus :</v>
          </cell>
          <cell r="G259" t="str">
            <v>Ts3</v>
          </cell>
        </row>
        <row r="260">
          <cell r="C260" t="str">
            <v>- Perataan 1 lintasan  =  Lh : (v x 1000) x 60</v>
          </cell>
          <cell r="G260" t="str">
            <v>T1</v>
          </cell>
          <cell r="H260">
            <v>0.75</v>
          </cell>
          <cell r="I260" t="str">
            <v>menit</v>
          </cell>
        </row>
        <row r="261">
          <cell r="C261" t="str">
            <v>- Lain-lain</v>
          </cell>
          <cell r="G261" t="str">
            <v>T2</v>
          </cell>
          <cell r="H261">
            <v>1</v>
          </cell>
          <cell r="I261" t="str">
            <v>menit</v>
          </cell>
        </row>
        <row r="262">
          <cell r="G262" t="str">
            <v>Ts3</v>
          </cell>
          <cell r="H262">
            <v>1.75</v>
          </cell>
          <cell r="I262" t="str">
            <v>menit</v>
          </cell>
        </row>
        <row r="264">
          <cell r="C264" t="str">
            <v>Kap. Prod. / jam =</v>
          </cell>
          <cell r="D264" t="str">
            <v>Lh x b x t x Fa x 60</v>
          </cell>
          <cell r="G264" t="str">
            <v>Q3</v>
          </cell>
          <cell r="H264">
            <v>85.371428571428567</v>
          </cell>
          <cell r="I264" t="str">
            <v>M3</v>
          </cell>
        </row>
        <row r="265">
          <cell r="D265" t="str">
            <v>n x Ts3</v>
          </cell>
        </row>
        <row r="266">
          <cell r="C266" t="str">
            <v>Koefisien Alat / M3</v>
          </cell>
          <cell r="D266" t="str">
            <v xml:space="preserve"> =  1  :  Q3</v>
          </cell>
          <cell r="G266" t="str">
            <v>(E13)</v>
          </cell>
          <cell r="H266">
            <v>1.1713520749665328E-2</v>
          </cell>
          <cell r="I266" t="str">
            <v>jam</v>
          </cell>
        </row>
        <row r="268">
          <cell r="A268" t="str">
            <v xml:space="preserve">   2.d.</v>
          </cell>
          <cell r="C268" t="str">
            <v>VIBRATORY ROLLER</v>
          </cell>
          <cell r="G268" t="str">
            <v>(E19)</v>
          </cell>
        </row>
        <row r="269">
          <cell r="C269" t="str">
            <v>Kecepatan rata-rata alat</v>
          </cell>
          <cell r="G269" t="str">
            <v>v</v>
          </cell>
          <cell r="H269">
            <v>3</v>
          </cell>
          <cell r="I269" t="str">
            <v>KM/jam</v>
          </cell>
        </row>
        <row r="270">
          <cell r="C270" t="str">
            <v>Lebar efektif pemadatan</v>
          </cell>
          <cell r="G270" t="str">
            <v>b</v>
          </cell>
          <cell r="H270">
            <v>1.2</v>
          </cell>
          <cell r="I270" t="str">
            <v>M</v>
          </cell>
        </row>
        <row r="271">
          <cell r="C271" t="str">
            <v>Jumlah lintasan</v>
          </cell>
          <cell r="G271" t="str">
            <v>n</v>
          </cell>
          <cell r="H271">
            <v>8</v>
          </cell>
          <cell r="I271" t="str">
            <v>lintasan</v>
          </cell>
        </row>
        <row r="272">
          <cell r="C272" t="str">
            <v>Faktor Efisiensi alat</v>
          </cell>
          <cell r="G272" t="str">
            <v>Fa</v>
          </cell>
          <cell r="H272">
            <v>0.83</v>
          </cell>
          <cell r="I272" t="str">
            <v>-</v>
          </cell>
        </row>
        <row r="274">
          <cell r="C274" t="str">
            <v>Kap. Prod. / jam =</v>
          </cell>
          <cell r="D274" t="str">
            <v>(v x 1000) x b x t x Fa</v>
          </cell>
          <cell r="G274" t="str">
            <v>Q4</v>
          </cell>
          <cell r="H274">
            <v>56.024999999999999</v>
          </cell>
          <cell r="I274" t="str">
            <v>M3</v>
          </cell>
        </row>
        <row r="275">
          <cell r="D275" t="str">
            <v>n</v>
          </cell>
        </row>
        <row r="276">
          <cell r="C276" t="str">
            <v>Koefisien Alat / M3</v>
          </cell>
          <cell r="D276" t="str">
            <v xml:space="preserve"> =  1  :  Q4</v>
          </cell>
          <cell r="G276" t="str">
            <v>(E19)</v>
          </cell>
          <cell r="H276">
            <v>1.7849174475680501E-2</v>
          </cell>
          <cell r="I276" t="str">
            <v>jam</v>
          </cell>
        </row>
        <row r="278">
          <cell r="A278" t="str">
            <v xml:space="preserve">   2.e.</v>
          </cell>
          <cell r="C278" t="str">
            <v>PNEUMATIC TIRE ROLLER</v>
          </cell>
          <cell r="G278" t="str">
            <v>(E18)</v>
          </cell>
        </row>
        <row r="279">
          <cell r="C279" t="str">
            <v>Kecepatan rata-rata alat</v>
          </cell>
          <cell r="G279" t="str">
            <v>v</v>
          </cell>
          <cell r="H279">
            <v>5</v>
          </cell>
          <cell r="I279" t="str">
            <v>KM/jam</v>
          </cell>
        </row>
        <row r="280">
          <cell r="C280" t="str">
            <v>Lebar efektif pemadatan</v>
          </cell>
          <cell r="G280" t="str">
            <v>b</v>
          </cell>
          <cell r="H280">
            <v>1.5</v>
          </cell>
          <cell r="I280" t="str">
            <v>M</v>
          </cell>
        </row>
        <row r="281">
          <cell r="C281" t="str">
            <v>Jumlah lintasan</v>
          </cell>
          <cell r="G281" t="str">
            <v>n</v>
          </cell>
          <cell r="H281">
            <v>4</v>
          </cell>
          <cell r="I281" t="str">
            <v>lintasan</v>
          </cell>
        </row>
        <row r="282">
          <cell r="C282" t="str">
            <v>Faktor Efisiensi alat</v>
          </cell>
          <cell r="G282" t="str">
            <v>Fa</v>
          </cell>
          <cell r="H282">
            <v>0.83</v>
          </cell>
          <cell r="I282" t="str">
            <v>-</v>
          </cell>
        </row>
        <row r="284">
          <cell r="C284" t="str">
            <v>Kap. Prod. / jam =</v>
          </cell>
          <cell r="D284" t="str">
            <v>(v x 1000) x b x t x Fa</v>
          </cell>
          <cell r="G284" t="str">
            <v>Q5</v>
          </cell>
          <cell r="H284">
            <v>233.4375</v>
          </cell>
          <cell r="I284" t="str">
            <v>M3</v>
          </cell>
        </row>
        <row r="285">
          <cell r="D285" t="str">
            <v>n</v>
          </cell>
        </row>
        <row r="286">
          <cell r="C286" t="str">
            <v>Koefisien Alat / M3</v>
          </cell>
          <cell r="D286" t="str">
            <v xml:space="preserve"> =  1  :  Q5</v>
          </cell>
          <cell r="G286" t="str">
            <v>(E18)</v>
          </cell>
          <cell r="H286">
            <v>4.2838018741633201E-3</v>
          </cell>
          <cell r="I286" t="str">
            <v>jam</v>
          </cell>
        </row>
        <row r="288">
          <cell r="A288" t="str">
            <v xml:space="preserve">   2.f.</v>
          </cell>
          <cell r="C288" t="str">
            <v>WATER TANK TRUCK</v>
          </cell>
          <cell r="G288" t="str">
            <v>(E23)</v>
          </cell>
        </row>
        <row r="289">
          <cell r="C289" t="str">
            <v>Volume tanki air</v>
          </cell>
          <cell r="G289" t="str">
            <v>V</v>
          </cell>
          <cell r="H289">
            <v>4</v>
          </cell>
          <cell r="I289" t="str">
            <v>M3</v>
          </cell>
        </row>
        <row r="290">
          <cell r="C290" t="str">
            <v>Kebutuhan air / M3 agregat padat</v>
          </cell>
          <cell r="G290" t="str">
            <v>Wc</v>
          </cell>
          <cell r="H290">
            <v>7.0000000000000007E-2</v>
          </cell>
          <cell r="I290" t="str">
            <v>M3</v>
          </cell>
        </row>
        <row r="291">
          <cell r="C291" t="str">
            <v>Pengisian tanki / jam</v>
          </cell>
          <cell r="G291" t="str">
            <v>n</v>
          </cell>
          <cell r="H291">
            <v>1</v>
          </cell>
          <cell r="I291" t="str">
            <v>kali</v>
          </cell>
        </row>
        <row r="292">
          <cell r="C292" t="str">
            <v>Faktor Efisiensi alat</v>
          </cell>
          <cell r="G292" t="str">
            <v>Fa</v>
          </cell>
          <cell r="H292">
            <v>0.83</v>
          </cell>
          <cell r="I292" t="str">
            <v>-</v>
          </cell>
        </row>
        <row r="294">
          <cell r="C294" t="str">
            <v>Kap. Prod. / jam =</v>
          </cell>
          <cell r="D294" t="str">
            <v>V x n x Fa</v>
          </cell>
          <cell r="G294" t="str">
            <v>Q6</v>
          </cell>
          <cell r="H294">
            <v>47.428571428571423</v>
          </cell>
          <cell r="I294" t="str">
            <v>M3</v>
          </cell>
        </row>
        <row r="295">
          <cell r="D295" t="str">
            <v>Wc</v>
          </cell>
        </row>
        <row r="296">
          <cell r="C296" t="str">
            <v>Koefisien Alat / M3</v>
          </cell>
          <cell r="D296" t="str">
            <v xml:space="preserve"> =  1  :  Q6</v>
          </cell>
          <cell r="G296" t="str">
            <v>(E23)</v>
          </cell>
          <cell r="H296">
            <v>2.1084337349397592E-2</v>
          </cell>
          <cell r="I296" t="str">
            <v>jam</v>
          </cell>
        </row>
        <row r="299">
          <cell r="J299" t="str">
            <v>Berlanjut ke hal. berikut</v>
          </cell>
        </row>
        <row r="300">
          <cell r="A300" t="str">
            <v>ITEM PEMBAYARAN NO.</v>
          </cell>
          <cell r="D300" t="str">
            <v>:  5.1 (2)</v>
          </cell>
          <cell r="J300" t="str">
            <v>Analisa EI-512</v>
          </cell>
        </row>
        <row r="301">
          <cell r="A301" t="str">
            <v>JENIS PEKERJAAN</v>
          </cell>
          <cell r="D301" t="str">
            <v>:  Lps. Pond. Ag. Kls. B, CBR Min 35%</v>
          </cell>
        </row>
        <row r="302">
          <cell r="A302" t="str">
            <v>SATUAN PEMBAYARAN</v>
          </cell>
          <cell r="D302" t="str">
            <v>:  M3</v>
          </cell>
          <cell r="H302" t="str">
            <v xml:space="preserve">         URAIAN ANALISA HARGA SATUAN</v>
          </cell>
        </row>
        <row r="303">
          <cell r="J303" t="str">
            <v>Lanjutan</v>
          </cell>
        </row>
        <row r="305">
          <cell r="A305" t="str">
            <v>No.</v>
          </cell>
          <cell r="C305" t="str">
            <v>U R A I A N</v>
          </cell>
          <cell r="G305" t="str">
            <v>KODE</v>
          </cell>
          <cell r="H305" t="str">
            <v>KOEF.</v>
          </cell>
          <cell r="I305" t="str">
            <v>SATUAN</v>
          </cell>
          <cell r="J305" t="str">
            <v>KETERANGAN</v>
          </cell>
        </row>
        <row r="308">
          <cell r="A308" t="str">
            <v xml:space="preserve">   2.g.</v>
          </cell>
          <cell r="C308" t="str">
            <v>ALAT BANTU</v>
          </cell>
          <cell r="J308" t="str">
            <v xml:space="preserve"> Lump Sum</v>
          </cell>
        </row>
        <row r="309">
          <cell r="C309" t="str">
            <v>Diperlukan   :</v>
          </cell>
        </row>
        <row r="310">
          <cell r="C310" t="str">
            <v>- Kereta dorong</v>
          </cell>
          <cell r="D310" t="str">
            <v>=  2  buah.</v>
          </cell>
        </row>
        <row r="311">
          <cell r="C311" t="str">
            <v>- Sekop</v>
          </cell>
          <cell r="D311" t="str">
            <v>=  3  buah.</v>
          </cell>
        </row>
        <row r="312">
          <cell r="C312" t="str">
            <v>- Garpu</v>
          </cell>
          <cell r="D312" t="str">
            <v>=  2  buah.</v>
          </cell>
        </row>
        <row r="314">
          <cell r="A314" t="str">
            <v xml:space="preserve">   3.</v>
          </cell>
          <cell r="C314" t="str">
            <v>TENAGA</v>
          </cell>
        </row>
        <row r="315">
          <cell r="C315" t="str">
            <v>Produksi menentukan : WHEEL LOADER</v>
          </cell>
          <cell r="G315" t="str">
            <v>Q1</v>
          </cell>
          <cell r="H315">
            <v>28.012500000000003</v>
          </cell>
          <cell r="I315" t="str">
            <v>M3/jam</v>
          </cell>
        </row>
        <row r="316">
          <cell r="C316" t="str">
            <v>Produksi agregat / hari  =  Tk x Q1</v>
          </cell>
          <cell r="G316" t="str">
            <v>Qt</v>
          </cell>
          <cell r="H316">
            <v>196.08750000000003</v>
          </cell>
          <cell r="I316" t="str">
            <v>M3</v>
          </cell>
        </row>
        <row r="317">
          <cell r="C317" t="str">
            <v>Kebutuhan tenaga :</v>
          </cell>
        </row>
        <row r="318">
          <cell r="D318" t="str">
            <v>- Pekerja</v>
          </cell>
          <cell r="G318" t="str">
            <v>P</v>
          </cell>
          <cell r="H318">
            <v>7</v>
          </cell>
          <cell r="I318" t="str">
            <v>orang</v>
          </cell>
        </row>
        <row r="319">
          <cell r="D319" t="str">
            <v>- Mandor</v>
          </cell>
          <cell r="G319" t="str">
            <v>M</v>
          </cell>
          <cell r="H319">
            <v>1</v>
          </cell>
          <cell r="I319" t="str">
            <v>orang</v>
          </cell>
        </row>
        <row r="321">
          <cell r="C321" t="str">
            <v>Koefisien tenaga / M3   :</v>
          </cell>
        </row>
        <row r="322">
          <cell r="D322" t="str">
            <v>- Pekerja</v>
          </cell>
          <cell r="E322" t="str">
            <v>= (Tk x P) : Qt</v>
          </cell>
          <cell r="G322" t="str">
            <v>-</v>
          </cell>
          <cell r="H322">
            <v>0.24988844265952695</v>
          </cell>
          <cell r="I322" t="str">
            <v>jam</v>
          </cell>
        </row>
        <row r="323">
          <cell r="D323" t="str">
            <v>- Mandor</v>
          </cell>
          <cell r="E323" t="str">
            <v>= (Tk x M) : Qt</v>
          </cell>
          <cell r="G323" t="str">
            <v>-</v>
          </cell>
          <cell r="H323">
            <v>3.5698348951360995E-2</v>
          </cell>
          <cell r="I323" t="str">
            <v>jam</v>
          </cell>
        </row>
        <row r="325">
          <cell r="A325" t="str">
            <v>4.</v>
          </cell>
          <cell r="C325" t="str">
            <v>HARGA DASAR SATUAN UPAH, BAHAN DAN ALAT</v>
          </cell>
        </row>
        <row r="326">
          <cell r="C326" t="str">
            <v>Lihat lampiran.</v>
          </cell>
        </row>
        <row r="328">
          <cell r="A328" t="str">
            <v>5.</v>
          </cell>
          <cell r="C328" t="str">
            <v>ANALISA HARGA SATUAN PEKERJAAN</v>
          </cell>
        </row>
        <row r="329">
          <cell r="C329" t="str">
            <v>Lihat perhitungan dalam FORMULIR STANDAR UNTUK</v>
          </cell>
        </row>
        <row r="330">
          <cell r="C330" t="str">
            <v>PEREKAMAN ANALISA MASING-MASING HARGA</v>
          </cell>
        </row>
        <row r="331">
          <cell r="C331" t="str">
            <v>SATUAN.</v>
          </cell>
        </row>
        <row r="332">
          <cell r="C332" t="str">
            <v>Didapat Harga Satuan Pekerjaan :</v>
          </cell>
        </row>
        <row r="334">
          <cell r="C334" t="str">
            <v xml:space="preserve">Rp.  </v>
          </cell>
          <cell r="D334">
            <v>339061.22823589185</v>
          </cell>
          <cell r="E334" t="str">
            <v xml:space="preserve"> / M3.</v>
          </cell>
        </row>
        <row r="337">
          <cell r="A337" t="str">
            <v>6.</v>
          </cell>
          <cell r="C337" t="str">
            <v>WAKTU PELAKSANAAN YANG DIPERLUKAN</v>
          </cell>
        </row>
        <row r="338">
          <cell r="C338" t="str">
            <v>Masa Pelaksanaan :</v>
          </cell>
          <cell r="D338" t="str">
            <v>. . . . . . . . . . . .</v>
          </cell>
          <cell r="E338" t="str">
            <v>bulan</v>
          </cell>
        </row>
        <row r="340">
          <cell r="A340" t="str">
            <v>7.</v>
          </cell>
          <cell r="C340" t="str">
            <v>VOLUME PEKERJAAN YANG DIPERLUKAN</v>
          </cell>
        </row>
        <row r="341">
          <cell r="C341" t="str">
            <v>Volume pekerjaan  :</v>
          </cell>
          <cell r="D341">
            <v>1</v>
          </cell>
          <cell r="E341" t="str">
            <v>M3</v>
          </cell>
        </row>
        <row r="359">
          <cell r="A359" t="str">
            <v>ITEM PEMBAYARAN NO.</v>
          </cell>
          <cell r="D359" t="str">
            <v>:  5.1 (3)</v>
          </cell>
          <cell r="J359" t="str">
            <v>Analisa EI-521</v>
          </cell>
          <cell r="T359" t="str">
            <v>Analisa EI-521</v>
          </cell>
        </row>
        <row r="360">
          <cell r="A360" t="str">
            <v>JENIS PEKERJAAN</v>
          </cell>
          <cell r="D360" t="str">
            <v>:  Lapis Pondasi Agregat Kelas C</v>
          </cell>
        </row>
        <row r="361">
          <cell r="A361" t="str">
            <v>SATUAN PEMBAYARAN</v>
          </cell>
          <cell r="D361" t="str">
            <v>:  M3</v>
          </cell>
          <cell r="H361" t="str">
            <v xml:space="preserve">         URAIAN ANALISA HARGA SATUAN</v>
          </cell>
          <cell r="L361" t="str">
            <v>FORMULIR STANDAR UNTUK</v>
          </cell>
        </row>
        <row r="362">
          <cell r="L362" t="str">
            <v>PEREKAMAN ANALISA MASING-MASING HARGA SATUAN</v>
          </cell>
        </row>
        <row r="363">
          <cell r="L363" t="str">
            <v/>
          </cell>
        </row>
        <row r="364">
          <cell r="A364" t="str">
            <v>No.</v>
          </cell>
          <cell r="C364" t="str">
            <v>U R A I A N</v>
          </cell>
          <cell r="G364" t="str">
            <v>KODE</v>
          </cell>
          <cell r="H364" t="str">
            <v>KOEF.</v>
          </cell>
          <cell r="I364" t="str">
            <v>SATUAN</v>
          </cell>
          <cell r="J364" t="str">
            <v>KETERANGAN</v>
          </cell>
        </row>
        <row r="366">
          <cell r="L366" t="str">
            <v>PROYEK</v>
          </cell>
          <cell r="O366" t="str">
            <v xml:space="preserve">:  </v>
          </cell>
        </row>
        <row r="367">
          <cell r="A367" t="str">
            <v>I.</v>
          </cell>
          <cell r="C367" t="str">
            <v>ASUMSI</v>
          </cell>
          <cell r="L367" t="str">
            <v>No. PAKET KONTRAK</v>
          </cell>
          <cell r="O367" t="str">
            <v xml:space="preserve">:  </v>
          </cell>
        </row>
        <row r="368">
          <cell r="A368">
            <v>1</v>
          </cell>
          <cell r="C368" t="str">
            <v>Menggunakan alat berat (cara mekanik)</v>
          </cell>
          <cell r="L368" t="str">
            <v>NAMA PAKET</v>
          </cell>
          <cell r="O368" t="str">
            <v xml:space="preserve">:  </v>
          </cell>
        </row>
        <row r="369">
          <cell r="A369">
            <v>2</v>
          </cell>
          <cell r="C369" t="str">
            <v>Lokasi pekerjaan : sepanjang jalan</v>
          </cell>
          <cell r="L369" t="str">
            <v>PROP / KAB / KODYA</v>
          </cell>
          <cell r="O369" t="str">
            <v xml:space="preserve">:  </v>
          </cell>
        </row>
        <row r="370">
          <cell r="A370">
            <v>3</v>
          </cell>
          <cell r="C370" t="str">
            <v>Kondisi existing jalan : sedang</v>
          </cell>
          <cell r="L370" t="str">
            <v>ITEM PEMBAYARAN NO.</v>
          </cell>
          <cell r="O370" t="str">
            <v>:  5.1 (3)</v>
          </cell>
          <cell r="R370" t="str">
            <v>PERKIRAAN VOL. PEK.</v>
          </cell>
          <cell r="T370" t="str">
            <v>:</v>
          </cell>
          <cell r="U370">
            <v>1</v>
          </cell>
        </row>
        <row r="371">
          <cell r="A371">
            <v>4</v>
          </cell>
          <cell r="C371" t="str">
            <v>Jarak rata-rata Base Camp ke lokasi pekerjaan</v>
          </cell>
          <cell r="G371" t="str">
            <v>L</v>
          </cell>
          <cell r="H371">
            <v>8.7249999999999996</v>
          </cell>
          <cell r="I371" t="str">
            <v>KM</v>
          </cell>
          <cell r="L371" t="str">
            <v>JENIS PEKERJAAN</v>
          </cell>
          <cell r="O371" t="str">
            <v>:  Lapis Pondasi Agregat Kelas C</v>
          </cell>
          <cell r="R371" t="str">
            <v>TOTAL HARGA</v>
          </cell>
          <cell r="T371" t="str">
            <v>:</v>
          </cell>
          <cell r="U371">
            <v>252395.66</v>
          </cell>
        </row>
        <row r="372">
          <cell r="A372">
            <v>5</v>
          </cell>
          <cell r="C372" t="str">
            <v>Tebal lapis Agregat padat</v>
          </cell>
          <cell r="G372" t="str">
            <v>t</v>
          </cell>
          <cell r="H372">
            <v>0.15</v>
          </cell>
          <cell r="I372" t="str">
            <v>M</v>
          </cell>
          <cell r="L372" t="str">
            <v>SATUAN PEMBAYARAN</v>
          </cell>
          <cell r="O372" t="str">
            <v>:  M3</v>
          </cell>
          <cell r="R372" t="str">
            <v>% THD. BIAYA PROYEK</v>
          </cell>
          <cell r="T372" t="str">
            <v>:</v>
          </cell>
          <cell r="U372">
            <v>6.005925037550471E-3</v>
          </cell>
        </row>
        <row r="373">
          <cell r="A373">
            <v>6</v>
          </cell>
          <cell r="C373" t="str">
            <v>Faktor kembang material (Padat-Lepas)</v>
          </cell>
          <cell r="G373" t="str">
            <v>Fk</v>
          </cell>
          <cell r="H373">
            <v>1.35</v>
          </cell>
          <cell r="I373" t="str">
            <v>-</v>
          </cell>
        </row>
        <row r="374">
          <cell r="A374">
            <v>7</v>
          </cell>
          <cell r="C374" t="str">
            <v>Jam kerja efektif per-hari</v>
          </cell>
          <cell r="G374" t="str">
            <v>Tk</v>
          </cell>
          <cell r="H374">
            <v>7</v>
          </cell>
          <cell r="I374" t="str">
            <v>Jam</v>
          </cell>
        </row>
        <row r="375">
          <cell r="Q375" t="str">
            <v>PERKIRAAN</v>
          </cell>
          <cell r="R375" t="str">
            <v>HARGA</v>
          </cell>
          <cell r="S375" t="str">
            <v>JUMLAH</v>
          </cell>
        </row>
        <row r="376">
          <cell r="A376" t="str">
            <v>II.</v>
          </cell>
          <cell r="C376" t="str">
            <v>URUTAN KERJA</v>
          </cell>
          <cell r="L376" t="str">
            <v>NO.</v>
          </cell>
          <cell r="N376" t="str">
            <v>KOMPONEN</v>
          </cell>
          <cell r="P376" t="str">
            <v>SATUAN</v>
          </cell>
          <cell r="Q376" t="str">
            <v>KUANTITAS</v>
          </cell>
          <cell r="R376" t="str">
            <v>SATUAN</v>
          </cell>
          <cell r="S376" t="str">
            <v>HARGA</v>
          </cell>
        </row>
        <row r="377">
          <cell r="A377">
            <v>1</v>
          </cell>
          <cell r="C377" t="str">
            <v>Wheel Loader memuat Agregat ke dalam Dump</v>
          </cell>
          <cell r="R377" t="str">
            <v>(Rp.)</v>
          </cell>
          <cell r="S377" t="str">
            <v>(Rp.)</v>
          </cell>
        </row>
        <row r="378">
          <cell r="C378" t="str">
            <v>Tuck di Base Camp</v>
          </cell>
        </row>
        <row r="379">
          <cell r="A379">
            <v>2</v>
          </cell>
          <cell r="C379" t="str">
            <v>Dump Truck mengangkut Agregat ke lokasi</v>
          </cell>
        </row>
        <row r="380">
          <cell r="C380" t="str">
            <v>pekerjaandan dihampar dengan Motor Grader</v>
          </cell>
          <cell r="L380" t="str">
            <v>A.</v>
          </cell>
          <cell r="N380" t="str">
            <v>TENAGA</v>
          </cell>
        </row>
        <row r="381">
          <cell r="A381">
            <v>3</v>
          </cell>
          <cell r="C381" t="str">
            <v>Hamparan Agregat dibasahi dengan Water Tank</v>
          </cell>
        </row>
        <row r="382">
          <cell r="C382" t="str">
            <v>Truck sebelum dipadatkan dengan Tandem</v>
          </cell>
          <cell r="L382" t="str">
            <v>1.</v>
          </cell>
          <cell r="N382" t="str">
            <v>Pekerja</v>
          </cell>
          <cell r="O382" t="str">
            <v>(L01)</v>
          </cell>
          <cell r="P382" t="str">
            <v>Jam</v>
          </cell>
          <cell r="Q382">
            <v>7.0281124497991981E-2</v>
          </cell>
          <cell r="R382">
            <v>2857.14</v>
          </cell>
          <cell r="U382">
            <v>200.80301204819281</v>
          </cell>
        </row>
        <row r="383">
          <cell r="C383" t="str">
            <v>Roller dan Pneumatic  Tire Roller</v>
          </cell>
          <cell r="L383" t="str">
            <v>2.</v>
          </cell>
          <cell r="N383" t="str">
            <v>Mandor</v>
          </cell>
          <cell r="O383" t="str">
            <v>(L03)</v>
          </cell>
          <cell r="P383" t="str">
            <v>Jam</v>
          </cell>
          <cell r="Q383">
            <v>1.0040160642570283E-2</v>
          </cell>
          <cell r="R383">
            <v>3214.29</v>
          </cell>
          <cell r="U383">
            <v>32.271987951807233</v>
          </cell>
        </row>
        <row r="384">
          <cell r="A384">
            <v>4</v>
          </cell>
          <cell r="C384" t="str">
            <v>Selama pemadatan sekelompok pekerja akan</v>
          </cell>
        </row>
        <row r="385">
          <cell r="C385" t="str">
            <v>merapikan tepi hamparan dan level permukaan</v>
          </cell>
        </row>
        <row r="386">
          <cell r="C386" t="str">
            <v>dengan menggunakan alat bantu</v>
          </cell>
          <cell r="Q386" t="str">
            <v xml:space="preserve">JUMLAH HARGA TENAGA   </v>
          </cell>
          <cell r="U386">
            <v>233.07500000000005</v>
          </cell>
        </row>
        <row r="388">
          <cell r="A388" t="str">
            <v>III.</v>
          </cell>
          <cell r="C388" t="str">
            <v>PEMAKAIAN BAHAN, ALAT DAN TENAGA</v>
          </cell>
          <cell r="L388" t="str">
            <v>B.</v>
          </cell>
          <cell r="N388" t="str">
            <v>BAHAN</v>
          </cell>
        </row>
        <row r="390">
          <cell r="A390" t="str">
            <v xml:space="preserve">   1.</v>
          </cell>
          <cell r="C390" t="str">
            <v>BAHAN</v>
          </cell>
          <cell r="L390" t="str">
            <v>1.</v>
          </cell>
          <cell r="N390" t="str">
            <v>Agregat Kelas C1 (M28)</v>
          </cell>
          <cell r="P390" t="str">
            <v>M3</v>
          </cell>
          <cell r="Q390">
            <v>1.35</v>
          </cell>
          <cell r="R390">
            <v>141787.08464737452</v>
          </cell>
          <cell r="U390">
            <v>191412.56427395562</v>
          </cell>
        </row>
        <row r="391">
          <cell r="C391" t="str">
            <v>Material Agregat Kelas C hasil produksi di Base Camp</v>
          </cell>
        </row>
        <row r="392">
          <cell r="C392" t="str">
            <v>Setiap 1 M3 Agregat padat diperlukan : 1 x Fk</v>
          </cell>
          <cell r="G392" t="str">
            <v>(M28)</v>
          </cell>
          <cell r="H392">
            <v>1.35</v>
          </cell>
          <cell r="I392" t="str">
            <v>M3</v>
          </cell>
          <cell r="J392" t="str">
            <v xml:space="preserve"> Agregat lepas</v>
          </cell>
        </row>
        <row r="394">
          <cell r="A394" t="str">
            <v xml:space="preserve">   2.</v>
          </cell>
          <cell r="C394" t="str">
            <v>ALAT</v>
          </cell>
        </row>
        <row r="395">
          <cell r="A395" t="str">
            <v>2.a.</v>
          </cell>
          <cell r="C395" t="str">
            <v>WHEEL LOADER</v>
          </cell>
          <cell r="G395" t="str">
            <v>(E15)</v>
          </cell>
        </row>
        <row r="396">
          <cell r="C396" t="str">
            <v>Kapasitas bucket</v>
          </cell>
          <cell r="G396" t="str">
            <v>V</v>
          </cell>
          <cell r="H396">
            <v>1.5</v>
          </cell>
          <cell r="I396" t="str">
            <v>M3</v>
          </cell>
          <cell r="Q396" t="str">
            <v xml:space="preserve">JUMLAH HARGA BAHAN   </v>
          </cell>
          <cell r="U396">
            <v>191412.56427395562</v>
          </cell>
        </row>
        <row r="397">
          <cell r="C397" t="str">
            <v>Faktor bucket</v>
          </cell>
          <cell r="G397" t="str">
            <v>Fb</v>
          </cell>
          <cell r="H397">
            <v>0.9</v>
          </cell>
          <cell r="I397" t="str">
            <v>-</v>
          </cell>
          <cell r="J397" t="str">
            <v>Pemuatan ringan</v>
          </cell>
        </row>
        <row r="398">
          <cell r="C398" t="str">
            <v>Faktor Efisiensi alat</v>
          </cell>
          <cell r="G398" t="str">
            <v>Fa</v>
          </cell>
          <cell r="H398">
            <v>0.83</v>
          </cell>
          <cell r="I398" t="str">
            <v>-</v>
          </cell>
          <cell r="L398" t="str">
            <v>C.</v>
          </cell>
          <cell r="N398" t="str">
            <v>PERALATAN</v>
          </cell>
        </row>
        <row r="399">
          <cell r="C399" t="str">
            <v>Waktu siklus</v>
          </cell>
          <cell r="G399" t="str">
            <v>Ts1</v>
          </cell>
        </row>
        <row r="400">
          <cell r="C400" t="str">
            <v>- Muat</v>
          </cell>
          <cell r="G400" t="str">
            <v>T1</v>
          </cell>
          <cell r="H400">
            <v>0.25</v>
          </cell>
          <cell r="I400" t="str">
            <v>menit</v>
          </cell>
          <cell r="L400" t="str">
            <v>1.</v>
          </cell>
          <cell r="N400" t="str">
            <v>Wheel Loader</v>
          </cell>
          <cell r="O400" t="str">
            <v>(E15)</v>
          </cell>
          <cell r="P400" t="str">
            <v>Jam</v>
          </cell>
          <cell r="Q400">
            <v>1.0040160642570281E-2</v>
          </cell>
          <cell r="R400">
            <v>163808.13869490434</v>
          </cell>
          <cell r="U400">
            <v>1644.6600270572724</v>
          </cell>
        </row>
        <row r="401">
          <cell r="C401" t="str">
            <v>- Lain-lain</v>
          </cell>
          <cell r="G401" t="str">
            <v>T2</v>
          </cell>
          <cell r="H401">
            <v>0.25</v>
          </cell>
          <cell r="I401" t="str">
            <v>menit</v>
          </cell>
          <cell r="L401" t="str">
            <v>2.</v>
          </cell>
          <cell r="N401" t="str">
            <v>Dump Truck</v>
          </cell>
          <cell r="O401" t="str">
            <v>(E08)</v>
          </cell>
          <cell r="P401" t="str">
            <v>Jam</v>
          </cell>
          <cell r="Q401">
            <v>0.17463233959936131</v>
          </cell>
          <cell r="R401">
            <v>153645.58193291764</v>
          </cell>
          <cell r="U401">
            <v>26831.487442050766</v>
          </cell>
        </row>
        <row r="402">
          <cell r="G402" t="str">
            <v>Ts1</v>
          </cell>
          <cell r="H402">
            <v>0.5</v>
          </cell>
          <cell r="I402" t="str">
            <v>menit</v>
          </cell>
          <cell r="L402" t="str">
            <v>3.</v>
          </cell>
          <cell r="N402" t="str">
            <v>Motor Grader</v>
          </cell>
          <cell r="O402" t="str">
            <v>(E13)</v>
          </cell>
          <cell r="P402" t="str">
            <v>Jam</v>
          </cell>
          <cell r="Q402">
            <v>1.1713520749665328E-2</v>
          </cell>
          <cell r="R402">
            <v>201666.62574070093</v>
          </cell>
          <cell r="U402">
            <v>2362.2262051286921</v>
          </cell>
        </row>
        <row r="403">
          <cell r="L403" t="str">
            <v>4.</v>
          </cell>
          <cell r="N403" t="str">
            <v>Vibratory Roller</v>
          </cell>
          <cell r="O403" t="str">
            <v>(E19)</v>
          </cell>
          <cell r="P403" t="str">
            <v>Jam</v>
          </cell>
          <cell r="Q403">
            <v>2.1419009370816599E-2</v>
          </cell>
          <cell r="R403">
            <v>234734.82748629327</v>
          </cell>
          <cell r="U403">
            <v>5027.7874695859336</v>
          </cell>
        </row>
        <row r="404">
          <cell r="C404" t="str">
            <v>Kap. Prod. / jam =</v>
          </cell>
          <cell r="D404" t="str">
            <v>V x Fb x Fa x 60</v>
          </cell>
          <cell r="G404" t="str">
            <v>Q1</v>
          </cell>
          <cell r="H404">
            <v>99.6</v>
          </cell>
          <cell r="I404" t="str">
            <v>M3</v>
          </cell>
          <cell r="L404" t="str">
            <v>5.</v>
          </cell>
          <cell r="N404" t="str">
            <v>P. Tyre Roller</v>
          </cell>
          <cell r="O404" t="str">
            <v>(E18)</v>
          </cell>
          <cell r="P404" t="str">
            <v>Jam</v>
          </cell>
          <cell r="Q404">
            <v>4.2838018741633201E-3</v>
          </cell>
          <cell r="R404">
            <v>113384.24751021285</v>
          </cell>
          <cell r="U404">
            <v>485.71565198484757</v>
          </cell>
        </row>
        <row r="405">
          <cell r="D405" t="str">
            <v>Fk x Ts1</v>
          </cell>
          <cell r="L405" t="str">
            <v>6.</v>
          </cell>
          <cell r="N405" t="str">
            <v>Water Tanker</v>
          </cell>
          <cell r="O405" t="str">
            <v>(E23)</v>
          </cell>
          <cell r="P405" t="str">
            <v>Jam</v>
          </cell>
          <cell r="Q405">
            <v>2.1084337349397592E-2</v>
          </cell>
          <cell r="R405">
            <v>67020.510980434308</v>
          </cell>
          <cell r="U405">
            <v>1413.0830628404826</v>
          </cell>
        </row>
        <row r="406">
          <cell r="C406" t="str">
            <v>Koefisien Alat / M3</v>
          </cell>
          <cell r="D406" t="str">
            <v xml:space="preserve"> =  1  :  Q1</v>
          </cell>
          <cell r="G406" t="str">
            <v>(E15)</v>
          </cell>
          <cell r="H406">
            <v>1.0040160642570281E-2</v>
          </cell>
          <cell r="I406" t="str">
            <v>Jam</v>
          </cell>
          <cell r="L406" t="str">
            <v>7.</v>
          </cell>
          <cell r="N406" t="str">
            <v>Alat Bantu</v>
          </cell>
          <cell r="P406" t="str">
            <v>Ls</v>
          </cell>
          <cell r="Q406">
            <v>1</v>
          </cell>
          <cell r="R406">
            <v>40</v>
          </cell>
          <cell r="U406">
            <v>40</v>
          </cell>
        </row>
        <row r="408">
          <cell r="A408" t="str">
            <v>2.b.</v>
          </cell>
          <cell r="C408" t="str">
            <v>DUMP TRUCK</v>
          </cell>
          <cell r="G408" t="str">
            <v>(E08)</v>
          </cell>
          <cell r="Q408" t="str">
            <v xml:space="preserve">JUMLAH HARGA PERALATAN   </v>
          </cell>
          <cell r="U408">
            <v>37804.959858647991</v>
          </cell>
        </row>
        <row r="409">
          <cell r="C409" t="str">
            <v>Kapasitas bak</v>
          </cell>
          <cell r="G409" t="str">
            <v>V</v>
          </cell>
          <cell r="H409">
            <v>4</v>
          </cell>
          <cell r="I409" t="str">
            <v>M3</v>
          </cell>
        </row>
        <row r="410">
          <cell r="C410" t="str">
            <v>Faktor Efisiensi alat</v>
          </cell>
          <cell r="G410" t="str">
            <v>Fa</v>
          </cell>
          <cell r="H410">
            <v>0.83</v>
          </cell>
          <cell r="I410" t="str">
            <v>-</v>
          </cell>
          <cell r="L410" t="str">
            <v>D.</v>
          </cell>
          <cell r="N410" t="str">
            <v>JUMLAH HARGA TENAGA, BAHAN DAN PERALATAN  ( A + B + C )</v>
          </cell>
          <cell r="U410">
            <v>229450.59913260362</v>
          </cell>
        </row>
        <row r="411">
          <cell r="C411" t="str">
            <v>Kecepatan rata-rata bermuatan</v>
          </cell>
          <cell r="G411" t="str">
            <v>v1</v>
          </cell>
          <cell r="H411">
            <v>45</v>
          </cell>
          <cell r="I411" t="str">
            <v>KM / Jam</v>
          </cell>
          <cell r="L411" t="str">
            <v>E.</v>
          </cell>
          <cell r="N411" t="str">
            <v>OVERHEAD &amp; PROFIT</v>
          </cell>
          <cell r="P411">
            <v>10</v>
          </cell>
          <cell r="Q411" t="str">
            <v>%  x  D</v>
          </cell>
          <cell r="U411">
            <v>22945.059913260364</v>
          </cell>
        </row>
        <row r="412">
          <cell r="C412" t="str">
            <v>Kecepatan rata-rata kosong</v>
          </cell>
          <cell r="G412" t="str">
            <v>v2</v>
          </cell>
          <cell r="H412">
            <v>60</v>
          </cell>
          <cell r="I412" t="str">
            <v>KM / Jam</v>
          </cell>
          <cell r="L412" t="str">
            <v>F.</v>
          </cell>
          <cell r="N412" t="str">
            <v>HARGA SATUAN PEKERJAAN  ( D + E )</v>
          </cell>
          <cell r="U412">
            <v>252395.65904586398</v>
          </cell>
        </row>
        <row r="413">
          <cell r="C413" t="str">
            <v>Waktu Siklus  :  - Waktu memuat = V : Q1 x 60</v>
          </cell>
          <cell r="G413" t="str">
            <v>T1</v>
          </cell>
          <cell r="H413">
            <v>2.4096385542168672</v>
          </cell>
          <cell r="I413" t="str">
            <v>menit</v>
          </cell>
          <cell r="L413" t="str">
            <v>Note: 1</v>
          </cell>
          <cell r="N413" t="str">
            <v>SATUAN dapat berdasarkan atas jam operasi untuk Tenaga Kerja dan Peralatan, volume dan/atau ukuran</v>
          </cell>
        </row>
        <row r="414">
          <cell r="C414" t="str">
            <v>- Waktu tempuh isi  =  (L : v1) x 60 menit</v>
          </cell>
          <cell r="G414" t="str">
            <v>T2</v>
          </cell>
          <cell r="H414">
            <v>11.633333333333333</v>
          </cell>
          <cell r="I414" t="str">
            <v>menit</v>
          </cell>
          <cell r="N414" t="str">
            <v>berat untuk bahan-bahan.</v>
          </cell>
        </row>
        <row r="415">
          <cell r="C415" t="str">
            <v>- Waktu tempuh kosong  =  (L : v2) x 60 menit</v>
          </cell>
          <cell r="G415" t="str">
            <v>T3</v>
          </cell>
          <cell r="H415">
            <v>8.7249999999999996</v>
          </cell>
          <cell r="I415" t="str">
            <v>menit</v>
          </cell>
          <cell r="L415">
            <v>2</v>
          </cell>
          <cell r="N415" t="str">
            <v>Kuantitas satuan adalah kuantitas setiap komponen untuk menyelesaikan satu satuan pekerjaan dari nomor</v>
          </cell>
        </row>
        <row r="416">
          <cell r="C416" t="str">
            <v>- Dump dan lain-lain</v>
          </cell>
          <cell r="G416" t="str">
            <v>T4</v>
          </cell>
          <cell r="H416">
            <v>3</v>
          </cell>
          <cell r="I416" t="str">
            <v>menit</v>
          </cell>
          <cell r="N416" t="str">
            <v>mata pembayaran.</v>
          </cell>
        </row>
        <row r="417">
          <cell r="G417" t="str">
            <v>Ts2</v>
          </cell>
          <cell r="H417">
            <v>25.7679718875502</v>
          </cell>
          <cell r="I417" t="str">
            <v>menit</v>
          </cell>
          <cell r="L417">
            <v>3</v>
          </cell>
          <cell r="N417" t="str">
            <v>Biaya satuan untuk peralatan sudah termasuk bahan bakar, bahan habis dipakai dan operator.</v>
          </cell>
        </row>
        <row r="418">
          <cell r="L418">
            <v>4</v>
          </cell>
          <cell r="N418" t="str">
            <v>Biaya satuan sudah termasuk pengeluaran untuk seluruh pajak yang berkaitan (tetapi tidak termasuk PPN</v>
          </cell>
        </row>
        <row r="419">
          <cell r="J419" t="str">
            <v>Berlanjut ke hal. berikut</v>
          </cell>
          <cell r="N419" t="str">
            <v>yang dibayar dari kontrak) dan biaya-biaya lainnya.</v>
          </cell>
        </row>
        <row r="420">
          <cell r="A420" t="str">
            <v>ITEM PEMBAYARAN NO.</v>
          </cell>
          <cell r="D420" t="str">
            <v>:  5.1 (3)</v>
          </cell>
          <cell r="J420" t="str">
            <v>Analisa EI-521</v>
          </cell>
        </row>
        <row r="421">
          <cell r="A421" t="str">
            <v>JENIS PEKERJAAN</v>
          </cell>
          <cell r="D421" t="str">
            <v>:  Lapis Pondasi Agregat Kelas C</v>
          </cell>
        </row>
        <row r="422">
          <cell r="A422" t="str">
            <v>SATUAN PEMBAYARAN</v>
          </cell>
          <cell r="D422" t="str">
            <v>:  M3</v>
          </cell>
          <cell r="H422" t="str">
            <v xml:space="preserve">         URAIAN ANALISA HARGA SATUAN</v>
          </cell>
        </row>
        <row r="423">
          <cell r="J423" t="str">
            <v>Lanjutan</v>
          </cell>
        </row>
        <row r="425">
          <cell r="A425" t="str">
            <v>No.</v>
          </cell>
          <cell r="C425" t="str">
            <v>U R A I A N</v>
          </cell>
          <cell r="G425" t="str">
            <v>KODE</v>
          </cell>
          <cell r="H425" t="str">
            <v>KOEF.</v>
          </cell>
          <cell r="I425" t="str">
            <v>SATUAN</v>
          </cell>
          <cell r="J425" t="str">
            <v>KETERANGAN</v>
          </cell>
        </row>
        <row r="428">
          <cell r="C428" t="str">
            <v xml:space="preserve">Kap. Prod./jam = </v>
          </cell>
          <cell r="D428" t="str">
            <v>V x Fa x 60</v>
          </cell>
          <cell r="G428" t="str">
            <v>Q2</v>
          </cell>
          <cell r="H428">
            <v>5.7263162269610763</v>
          </cell>
          <cell r="I428" t="str">
            <v>M3</v>
          </cell>
        </row>
        <row r="429">
          <cell r="D429" t="str">
            <v>Fk x Ts2</v>
          </cell>
        </row>
        <row r="430">
          <cell r="C430" t="str">
            <v>Koefisien Alat / M3</v>
          </cell>
          <cell r="D430" t="str">
            <v xml:space="preserve"> = 1 : Q2</v>
          </cell>
          <cell r="G430" t="str">
            <v>(E08)</v>
          </cell>
          <cell r="H430">
            <v>0.17463233959936131</v>
          </cell>
          <cell r="I430" t="str">
            <v>Jam</v>
          </cell>
        </row>
        <row r="432">
          <cell r="A432" t="str">
            <v>2.c.</v>
          </cell>
          <cell r="C432" t="str">
            <v>MOTOR GRADER</v>
          </cell>
          <cell r="G432" t="str">
            <v>(E13)</v>
          </cell>
        </row>
        <row r="433">
          <cell r="C433" t="str">
            <v>Panjang hamparan</v>
          </cell>
          <cell r="G433" t="str">
            <v>Lh</v>
          </cell>
          <cell r="H433">
            <v>50</v>
          </cell>
          <cell r="I433" t="str">
            <v>M</v>
          </cell>
        </row>
        <row r="434">
          <cell r="C434" t="str">
            <v>Lebar efektif kerja blade</v>
          </cell>
          <cell r="G434" t="str">
            <v>b</v>
          </cell>
          <cell r="H434">
            <v>2.4</v>
          </cell>
          <cell r="I434" t="str">
            <v>M</v>
          </cell>
        </row>
        <row r="435">
          <cell r="C435" t="str">
            <v>Faktor Efisiensi alat</v>
          </cell>
          <cell r="G435" t="str">
            <v>Fa</v>
          </cell>
          <cell r="H435">
            <v>0.83</v>
          </cell>
          <cell r="I435" t="str">
            <v>-</v>
          </cell>
        </row>
        <row r="436">
          <cell r="C436" t="str">
            <v>Kecepatan rata-rata alat</v>
          </cell>
          <cell r="G436" t="str">
            <v>v</v>
          </cell>
          <cell r="H436">
            <v>4</v>
          </cell>
          <cell r="I436" t="str">
            <v>KM / Jam</v>
          </cell>
        </row>
        <row r="437">
          <cell r="C437" t="str">
            <v>Jumlah lintasan</v>
          </cell>
          <cell r="G437" t="str">
            <v>n</v>
          </cell>
          <cell r="H437">
            <v>6</v>
          </cell>
          <cell r="I437" t="str">
            <v>lintasan</v>
          </cell>
          <cell r="J437" t="str">
            <v>3 x pp</v>
          </cell>
        </row>
        <row r="438">
          <cell r="C438" t="str">
            <v>Waktu Siklus</v>
          </cell>
          <cell r="G438" t="str">
            <v>Ts3</v>
          </cell>
        </row>
        <row r="439">
          <cell r="C439" t="str">
            <v>- Perataan 1 lintasan  = (Lh x 60) : (v x 1000)</v>
          </cell>
          <cell r="G439" t="str">
            <v>T1</v>
          </cell>
          <cell r="H439">
            <v>0.75</v>
          </cell>
          <cell r="I439" t="str">
            <v>menit</v>
          </cell>
        </row>
        <row r="440">
          <cell r="C440" t="str">
            <v>- Lain-lain</v>
          </cell>
          <cell r="G440" t="str">
            <v>T2</v>
          </cell>
          <cell r="H440">
            <v>1</v>
          </cell>
          <cell r="I440" t="str">
            <v>menit</v>
          </cell>
        </row>
        <row r="441">
          <cell r="G441" t="str">
            <v>Ts3</v>
          </cell>
          <cell r="H441">
            <v>1.75</v>
          </cell>
          <cell r="I441" t="str">
            <v>menit</v>
          </cell>
        </row>
        <row r="443">
          <cell r="C443" t="str">
            <v>Kap.Prod. / jam =</v>
          </cell>
          <cell r="D443" t="str">
            <v>Lh x b x t x Fa x 60</v>
          </cell>
          <cell r="G443" t="str">
            <v>Q3</v>
          </cell>
          <cell r="H443">
            <v>85.371428571428567</v>
          </cell>
          <cell r="I443" t="str">
            <v>M3</v>
          </cell>
        </row>
        <row r="444">
          <cell r="D444" t="str">
            <v>n x Ts3</v>
          </cell>
        </row>
        <row r="445">
          <cell r="C445" t="str">
            <v>Koefisien Alat / M3</v>
          </cell>
          <cell r="D445" t="str">
            <v xml:space="preserve"> = 1 : Q3</v>
          </cell>
          <cell r="G445" t="str">
            <v>(E13)</v>
          </cell>
          <cell r="H445">
            <v>1.1713520749665328E-2</v>
          </cell>
          <cell r="I445" t="str">
            <v>Jam</v>
          </cell>
        </row>
        <row r="447">
          <cell r="A447" t="str">
            <v>2.d.</v>
          </cell>
          <cell r="C447" t="str">
            <v>VIBRATORY ROLLER</v>
          </cell>
          <cell r="G447" t="str">
            <v>(E19)</v>
          </cell>
        </row>
        <row r="448">
          <cell r="C448" t="str">
            <v>Kecepatan rata-rata</v>
          </cell>
          <cell r="G448" t="str">
            <v>v</v>
          </cell>
          <cell r="H448">
            <v>2.5</v>
          </cell>
          <cell r="I448" t="str">
            <v>KM / Jam</v>
          </cell>
        </row>
        <row r="449">
          <cell r="C449" t="str">
            <v>Lebar efektif pemadatan</v>
          </cell>
          <cell r="G449" t="str">
            <v>b</v>
          </cell>
          <cell r="H449">
            <v>1.2</v>
          </cell>
          <cell r="I449" t="str">
            <v>M</v>
          </cell>
        </row>
        <row r="450">
          <cell r="C450" t="str">
            <v>Jumlah lintasan</v>
          </cell>
          <cell r="G450" t="str">
            <v>n</v>
          </cell>
          <cell r="H450">
            <v>8</v>
          </cell>
          <cell r="I450" t="str">
            <v>lintasan</v>
          </cell>
        </row>
        <row r="451">
          <cell r="C451" t="str">
            <v>Faktor Efisiensi alat</v>
          </cell>
          <cell r="G451" t="str">
            <v>Fa</v>
          </cell>
          <cell r="H451">
            <v>0.83</v>
          </cell>
          <cell r="I451" t="str">
            <v>-</v>
          </cell>
        </row>
        <row r="453">
          <cell r="C453" t="str">
            <v>Kap.Prod. / jam =</v>
          </cell>
          <cell r="D453" t="str">
            <v>(v x 1000) x b x t x Fa</v>
          </cell>
          <cell r="G453" t="str">
            <v>Q4</v>
          </cell>
          <cell r="H453">
            <v>46.6875</v>
          </cell>
          <cell r="I453" t="str">
            <v>M3</v>
          </cell>
        </row>
        <row r="454">
          <cell r="D454" t="str">
            <v>n</v>
          </cell>
        </row>
        <row r="455">
          <cell r="C455" t="str">
            <v>Koefisien Alat / M3</v>
          </cell>
          <cell r="D455" t="str">
            <v xml:space="preserve"> = 1 : Q4</v>
          </cell>
          <cell r="G455" t="str">
            <v>(E19)</v>
          </cell>
          <cell r="H455">
            <v>2.1419009370816599E-2</v>
          </cell>
          <cell r="I455" t="str">
            <v>Jam</v>
          </cell>
        </row>
        <row r="457">
          <cell r="A457" t="str">
            <v>2.e.</v>
          </cell>
          <cell r="C457" t="str">
            <v>PNEUMATIC TIRE ROLLER</v>
          </cell>
          <cell r="G457" t="str">
            <v>(E18)</v>
          </cell>
        </row>
        <row r="458">
          <cell r="C458" t="str">
            <v>Kecepatan rata-rata alat</v>
          </cell>
          <cell r="G458" t="str">
            <v>v</v>
          </cell>
          <cell r="H458">
            <v>5</v>
          </cell>
          <cell r="I458" t="str">
            <v>KM / Jam</v>
          </cell>
        </row>
        <row r="459">
          <cell r="C459" t="str">
            <v>Lebar efektif pemadatan</v>
          </cell>
          <cell r="G459" t="str">
            <v>b</v>
          </cell>
          <cell r="H459">
            <v>1.5</v>
          </cell>
          <cell r="I459" t="str">
            <v>M</v>
          </cell>
        </row>
        <row r="460">
          <cell r="C460" t="str">
            <v>Jumlah lintasan</v>
          </cell>
          <cell r="G460" t="str">
            <v>n</v>
          </cell>
          <cell r="H460">
            <v>4</v>
          </cell>
          <cell r="I460" t="str">
            <v>lintasan</v>
          </cell>
        </row>
        <row r="461">
          <cell r="C461" t="str">
            <v>Faktor Efisiensi alat</v>
          </cell>
          <cell r="G461" t="str">
            <v>Fa</v>
          </cell>
          <cell r="H461">
            <v>0.83</v>
          </cell>
          <cell r="I461" t="str">
            <v>-</v>
          </cell>
        </row>
        <row r="463">
          <cell r="C463" t="str">
            <v>Kap.Prod. / jam =</v>
          </cell>
          <cell r="D463" t="str">
            <v>(v x 1000) x b x t x Fa</v>
          </cell>
          <cell r="G463" t="str">
            <v>Q5</v>
          </cell>
          <cell r="H463">
            <v>233.4375</v>
          </cell>
          <cell r="I463" t="str">
            <v>M3</v>
          </cell>
        </row>
        <row r="464">
          <cell r="D464" t="str">
            <v>n</v>
          </cell>
        </row>
        <row r="465">
          <cell r="C465" t="str">
            <v>Koefisien Alat / M3</v>
          </cell>
          <cell r="D465" t="str">
            <v xml:space="preserve"> = 1 : Q5</v>
          </cell>
          <cell r="G465" t="str">
            <v>(E18)</v>
          </cell>
          <cell r="H465">
            <v>4.2838018741633201E-3</v>
          </cell>
          <cell r="I465" t="str">
            <v>Jam</v>
          </cell>
        </row>
        <row r="467">
          <cell r="A467" t="str">
            <v>2.f.</v>
          </cell>
          <cell r="C467" t="str">
            <v>WATERTANK TRUCK</v>
          </cell>
          <cell r="G467" t="str">
            <v>(E23)</v>
          </cell>
        </row>
        <row r="468">
          <cell r="C468" t="str">
            <v>Volume tangki air</v>
          </cell>
          <cell r="G468" t="str">
            <v>V</v>
          </cell>
          <cell r="H468">
            <v>4</v>
          </cell>
          <cell r="I468" t="str">
            <v>M3</v>
          </cell>
        </row>
        <row r="469">
          <cell r="C469" t="str">
            <v>Kebutuhan air / M3 agregat padat</v>
          </cell>
          <cell r="G469" t="str">
            <v>Wc</v>
          </cell>
          <cell r="H469">
            <v>7.0000000000000007E-2</v>
          </cell>
          <cell r="I469" t="str">
            <v>M3</v>
          </cell>
        </row>
        <row r="470">
          <cell r="C470" t="str">
            <v>Pengisian tangki / jam</v>
          </cell>
          <cell r="G470" t="str">
            <v>n</v>
          </cell>
          <cell r="H470">
            <v>1</v>
          </cell>
          <cell r="I470" t="str">
            <v>kali</v>
          </cell>
        </row>
        <row r="471">
          <cell r="C471" t="str">
            <v>Faktor Efisiensi alat</v>
          </cell>
          <cell r="G471" t="str">
            <v>Fa</v>
          </cell>
          <cell r="H471">
            <v>0.83</v>
          </cell>
          <cell r="I471" t="str">
            <v>-</v>
          </cell>
        </row>
        <row r="473">
          <cell r="C473" t="str">
            <v>Kap.Prod. / jam =</v>
          </cell>
          <cell r="D473" t="str">
            <v>V x n x Fa</v>
          </cell>
          <cell r="G473" t="str">
            <v>Q6</v>
          </cell>
          <cell r="H473">
            <v>47.428571428571423</v>
          </cell>
          <cell r="I473" t="str">
            <v>M3</v>
          </cell>
        </row>
        <row r="474">
          <cell r="D474" t="str">
            <v>Wc</v>
          </cell>
        </row>
        <row r="475">
          <cell r="C475" t="str">
            <v>Koefisien Alat / M3</v>
          </cell>
          <cell r="D475" t="str">
            <v xml:space="preserve"> = 1 : Q6</v>
          </cell>
          <cell r="G475" t="str">
            <v>(E23)</v>
          </cell>
          <cell r="H475">
            <v>2.1084337349397592E-2</v>
          </cell>
          <cell r="I475" t="str">
            <v>Jam</v>
          </cell>
        </row>
        <row r="478">
          <cell r="J478" t="str">
            <v>Berlanjut ke hal. berikut</v>
          </cell>
        </row>
        <row r="479">
          <cell r="A479" t="str">
            <v>ITEM PEMBAYARAN NO.</v>
          </cell>
          <cell r="D479" t="str">
            <v>:  5.1 (3)</v>
          </cell>
          <cell r="J479" t="str">
            <v>Analisa EI-521</v>
          </cell>
        </row>
        <row r="480">
          <cell r="A480" t="str">
            <v>JENIS PEKERJAAN</v>
          </cell>
          <cell r="D480" t="str">
            <v>:  Lapis Pondasi Agregat Kelas C</v>
          </cell>
        </row>
        <row r="481">
          <cell r="A481" t="str">
            <v>SATUAN PEMBAYARAN</v>
          </cell>
          <cell r="D481" t="str">
            <v>:  M3</v>
          </cell>
          <cell r="H481" t="str">
            <v xml:space="preserve">         URAIAN ANALISA HARGA SATUAN</v>
          </cell>
        </row>
        <row r="482">
          <cell r="J482" t="str">
            <v>Lanjutan</v>
          </cell>
        </row>
        <row r="484">
          <cell r="A484" t="str">
            <v>No.</v>
          </cell>
          <cell r="C484" t="str">
            <v>U R A I A N</v>
          </cell>
          <cell r="G484" t="str">
            <v>KODE</v>
          </cell>
          <cell r="H484" t="str">
            <v>KOEF.</v>
          </cell>
          <cell r="I484" t="str">
            <v>SATUAN</v>
          </cell>
          <cell r="J484" t="str">
            <v>KETERANGAN</v>
          </cell>
        </row>
        <row r="487">
          <cell r="A487" t="str">
            <v>2.g.</v>
          </cell>
          <cell r="C487" t="str">
            <v>ALAT BANTU</v>
          </cell>
        </row>
        <row r="488">
          <cell r="C488" t="str">
            <v>diperlukan :</v>
          </cell>
          <cell r="J488" t="str">
            <v>Lump Sum</v>
          </cell>
        </row>
        <row r="489">
          <cell r="C489" t="str">
            <v>- Kereta dorong     = 2 buah</v>
          </cell>
        </row>
        <row r="490">
          <cell r="C490" t="str">
            <v>- Sekop                = 3 buah</v>
          </cell>
        </row>
        <row r="491">
          <cell r="C491" t="str">
            <v>- Garpu                 = 2 buah</v>
          </cell>
        </row>
        <row r="493">
          <cell r="A493" t="str">
            <v xml:space="preserve">   3.</v>
          </cell>
          <cell r="C493" t="str">
            <v>TENAGA</v>
          </cell>
        </row>
        <row r="494">
          <cell r="C494" t="str">
            <v>Produksi menentukan : WHEEL LOADER</v>
          </cell>
          <cell r="G494" t="str">
            <v>Q1</v>
          </cell>
          <cell r="H494">
            <v>99.6</v>
          </cell>
          <cell r="I494" t="str">
            <v>M3 / Jam</v>
          </cell>
        </row>
        <row r="495">
          <cell r="C495" t="str">
            <v>Produksi Agregat / hari  =  Tk x Q1</v>
          </cell>
          <cell r="G495" t="str">
            <v>Qt</v>
          </cell>
          <cell r="H495">
            <v>697.19999999999993</v>
          </cell>
          <cell r="I495" t="str">
            <v>M3</v>
          </cell>
        </row>
        <row r="496">
          <cell r="C496" t="str">
            <v>Kebutuhan tenaga :</v>
          </cell>
        </row>
        <row r="497">
          <cell r="D497" t="str">
            <v>- Pekerja</v>
          </cell>
          <cell r="G497" t="str">
            <v>P</v>
          </cell>
          <cell r="H497">
            <v>7</v>
          </cell>
          <cell r="I497" t="str">
            <v>orang</v>
          </cell>
        </row>
        <row r="498">
          <cell r="D498" t="str">
            <v>- Mandor</v>
          </cell>
          <cell r="G498" t="str">
            <v>M</v>
          </cell>
          <cell r="H498">
            <v>1</v>
          </cell>
          <cell r="I498" t="str">
            <v>orang</v>
          </cell>
        </row>
        <row r="500">
          <cell r="C500" t="str">
            <v>Koefisien tenaga / M3     :</v>
          </cell>
        </row>
        <row r="501">
          <cell r="D501" t="str">
            <v>- Pekerja</v>
          </cell>
          <cell r="E501" t="str">
            <v>= (Tk x P) : Qt</v>
          </cell>
          <cell r="G501" t="str">
            <v>(L01)</v>
          </cell>
          <cell r="H501">
            <v>7.0281124497991981E-2</v>
          </cell>
          <cell r="I501" t="str">
            <v>Jam</v>
          </cell>
        </row>
        <row r="502">
          <cell r="D502" t="str">
            <v>- Mandor</v>
          </cell>
          <cell r="E502" t="str">
            <v>= (Tk x M) : Qt</v>
          </cell>
          <cell r="G502" t="str">
            <v>(L03)</v>
          </cell>
          <cell r="H502">
            <v>1.0040160642570283E-2</v>
          </cell>
          <cell r="I502" t="str">
            <v>Jam</v>
          </cell>
        </row>
        <row r="504">
          <cell r="A504" t="str">
            <v>4.</v>
          </cell>
          <cell r="C504" t="str">
            <v>HARGA DASAR SATUAN UPAH, BAHAN DAN ALAT</v>
          </cell>
        </row>
        <row r="505">
          <cell r="C505" t="str">
            <v>Lihat lampiran.</v>
          </cell>
        </row>
        <row r="507">
          <cell r="A507" t="str">
            <v>5.</v>
          </cell>
          <cell r="C507" t="str">
            <v>ANALISA HARGA SATUAN PEKERJAAN</v>
          </cell>
        </row>
        <row r="508">
          <cell r="C508" t="str">
            <v>Lihat perhitungan dalam FORMULIR STANDAR UNTUK</v>
          </cell>
        </row>
        <row r="509">
          <cell r="C509" t="str">
            <v>PEREKEMAN ANALISA MASING-MASING HARGA</v>
          </cell>
        </row>
        <row r="510">
          <cell r="C510" t="str">
            <v>SATUAN.</v>
          </cell>
        </row>
        <row r="511">
          <cell r="C511" t="str">
            <v>Didapat Harga Satuan Pekerjaan :</v>
          </cell>
        </row>
        <row r="513">
          <cell r="C513" t="str">
            <v xml:space="preserve">Rp.  </v>
          </cell>
          <cell r="D513">
            <v>252395.65904586398</v>
          </cell>
          <cell r="E513" t="str">
            <v xml:space="preserve"> / M3.</v>
          </cell>
        </row>
        <row r="516">
          <cell r="A516" t="str">
            <v>6.</v>
          </cell>
          <cell r="C516" t="str">
            <v>WAKTU PELAKSANAAN YANG DIPERLUKAN</v>
          </cell>
        </row>
        <row r="517">
          <cell r="C517" t="str">
            <v>Masa Pelaksanaan :</v>
          </cell>
          <cell r="D517" t="str">
            <v>. . . . . . . . . . . .</v>
          </cell>
          <cell r="E517" t="str">
            <v>bulan</v>
          </cell>
        </row>
        <row r="519">
          <cell r="A519" t="str">
            <v>7.</v>
          </cell>
          <cell r="C519" t="str">
            <v>VOLUME PEKERJAAN YANG DIPERLUKAN</v>
          </cell>
        </row>
        <row r="520">
          <cell r="C520" t="str">
            <v>Volume pekerjaan  :</v>
          </cell>
          <cell r="D520">
            <v>1</v>
          </cell>
          <cell r="E520" t="str">
            <v>M3</v>
          </cell>
        </row>
        <row r="3096">
          <cell r="A3096" t="str">
            <v>ITEM PEMBAYARAN NO.</v>
          </cell>
          <cell r="D3096" t="str">
            <v>: 5.5.(2)</v>
          </cell>
          <cell r="J3096" t="str">
            <v>Analisa EI-718</v>
          </cell>
          <cell r="T3096" t="str">
            <v>Analisa EI-718</v>
          </cell>
        </row>
        <row r="3097">
          <cell r="A3097" t="str">
            <v>JENIS PEKERJAAN</v>
          </cell>
          <cell r="D3097" t="str">
            <v>: Pekerjaan LFAS Kelas B</v>
          </cell>
        </row>
        <row r="3098">
          <cell r="A3098" t="str">
            <v>SATUAN PEMBAYARAN</v>
          </cell>
          <cell r="D3098" t="str">
            <v>:  M3</v>
          </cell>
          <cell r="H3098" t="str">
            <v xml:space="preserve">        URAIAN ANALISA HARGA SATUAN</v>
          </cell>
          <cell r="L3098" t="str">
            <v>FORMULIR STANDAR UNTUK</v>
          </cell>
        </row>
        <row r="3099">
          <cell r="L3099" t="str">
            <v>PEREKAMAN ANALISA MASING-MASING HARGA SATUAN</v>
          </cell>
        </row>
        <row r="3100">
          <cell r="L3100" t="str">
            <v/>
          </cell>
        </row>
        <row r="3101">
          <cell r="A3101" t="str">
            <v>No.</v>
          </cell>
          <cell r="C3101" t="str">
            <v>U R A I A N</v>
          </cell>
          <cell r="G3101" t="str">
            <v>KODE</v>
          </cell>
          <cell r="H3101" t="str">
            <v>KOEF.</v>
          </cell>
          <cell r="I3101" t="str">
            <v>SATUAN</v>
          </cell>
          <cell r="J3101" t="str">
            <v>KETERANGAN</v>
          </cell>
        </row>
        <row r="3103">
          <cell r="L3103" t="str">
            <v>PROYEK</v>
          </cell>
          <cell r="O3103" t="str">
            <v>:</v>
          </cell>
        </row>
        <row r="3104">
          <cell r="A3104" t="str">
            <v>I.</v>
          </cell>
          <cell r="C3104" t="str">
            <v>ASUMSI</v>
          </cell>
          <cell r="L3104" t="str">
            <v>No. PAKET KONTRAK</v>
          </cell>
          <cell r="O3104" t="str">
            <v>:</v>
          </cell>
        </row>
        <row r="3105">
          <cell r="A3105">
            <v>1</v>
          </cell>
          <cell r="C3105" t="str">
            <v>Menggunakan alat (cara mekanik)</v>
          </cell>
          <cell r="L3105" t="str">
            <v>NAMA PAKET</v>
          </cell>
          <cell r="O3105" t="str">
            <v>:</v>
          </cell>
        </row>
        <row r="3106">
          <cell r="A3106">
            <v>2</v>
          </cell>
          <cell r="C3106" t="str">
            <v>Lokasi pekerjaan : sepanjang jalan</v>
          </cell>
          <cell r="L3106" t="str">
            <v>PROP / KAB / KODYA</v>
          </cell>
          <cell r="O3106" t="str">
            <v>:</v>
          </cell>
        </row>
        <row r="3107">
          <cell r="A3107">
            <v>3</v>
          </cell>
          <cell r="C3107" t="str">
            <v>Agregat merupakan bahan Lapis Pondasi Agregat</v>
          </cell>
          <cell r="L3107" t="str">
            <v>ITEM PEMBAYARAN NO.</v>
          </cell>
          <cell r="O3107" t="str">
            <v>: 5.5.(2)</v>
          </cell>
          <cell r="R3107" t="str">
            <v>PERKIRAAN VOL. PEK.</v>
          </cell>
          <cell r="T3107" t="str">
            <v>:</v>
          </cell>
          <cell r="U3107">
            <v>1</v>
          </cell>
        </row>
        <row r="3108">
          <cell r="C3108" t="str">
            <v>Kelas B yang telah dicampur di base camp dan</v>
          </cell>
          <cell r="L3108" t="str">
            <v>JENIS PEKERJAAN</v>
          </cell>
          <cell r="O3108" t="str">
            <v>: Pekerjaan LFAS Kelas B</v>
          </cell>
          <cell r="R3108" t="str">
            <v>TOTAL HARGA (Rp.)</v>
          </cell>
          <cell r="T3108" t="str">
            <v>:</v>
          </cell>
          <cell r="U3108">
            <v>31522.779454667012</v>
          </cell>
        </row>
        <row r="3109">
          <cell r="C3109" t="str">
            <v>selanjutnya dimuat ke truck dengan wheel loader</v>
          </cell>
        </row>
        <row r="3110">
          <cell r="A3110">
            <v>4</v>
          </cell>
          <cell r="C3110" t="str">
            <v>Jarak rata-rata Base camp ke lokasi pekerjaan</v>
          </cell>
          <cell r="G3110" t="str">
            <v>L</v>
          </cell>
          <cell r="H3110">
            <v>8.7249999999999996</v>
          </cell>
          <cell r="I3110" t="str">
            <v>KM</v>
          </cell>
          <cell r="L3110" t="str">
            <v>SATUAN PEMBAYARAN</v>
          </cell>
          <cell r="O3110" t="str">
            <v>:  M3</v>
          </cell>
          <cell r="R3110" t="str">
            <v>% THD. BIAYA PROYEK</v>
          </cell>
          <cell r="T3110" t="str">
            <v>:</v>
          </cell>
          <cell r="U3110" t="e">
            <v>#DIV/0!</v>
          </cell>
        </row>
        <row r="3111">
          <cell r="A3111">
            <v>5</v>
          </cell>
          <cell r="C3111" t="str">
            <v>Jam kerja efektif per-hari</v>
          </cell>
          <cell r="G3111" t="str">
            <v>Tk</v>
          </cell>
          <cell r="H3111">
            <v>7</v>
          </cell>
          <cell r="I3111" t="str">
            <v>jam</v>
          </cell>
        </row>
        <row r="3112">
          <cell r="A3112">
            <v>6</v>
          </cell>
          <cell r="C3112" t="str">
            <v>Kadar Semen Minimum (Spesifikasi)</v>
          </cell>
          <cell r="G3112" t="str">
            <v>Ks</v>
          </cell>
          <cell r="H3112">
            <v>250</v>
          </cell>
          <cell r="I3112" t="str">
            <v>Kg/M3</v>
          </cell>
        </row>
        <row r="3113">
          <cell r="A3113">
            <v>7</v>
          </cell>
          <cell r="C3113" t="str">
            <v>Perbandingan Air/Semen Maksimum (Spesifikasi)</v>
          </cell>
          <cell r="G3113" t="str">
            <v>Wcr</v>
          </cell>
          <cell r="H3113">
            <v>0.6</v>
          </cell>
          <cell r="I3113" t="str">
            <v>-</v>
          </cell>
          <cell r="L3113" t="str">
            <v>NO.</v>
          </cell>
          <cell r="N3113" t="str">
            <v>KOMPONEN</v>
          </cell>
          <cell r="P3113" t="str">
            <v>SATUAN</v>
          </cell>
          <cell r="Q3113" t="str">
            <v>KUANTITAS</v>
          </cell>
          <cell r="R3113" t="str">
            <v>SATUAN</v>
          </cell>
          <cell r="S3113" t="str">
            <v>HARGA</v>
          </cell>
        </row>
        <row r="3114">
          <cell r="A3114">
            <v>8</v>
          </cell>
          <cell r="C3114" t="str">
            <v>Perbandingan Camp.</v>
          </cell>
          <cell r="D3114">
            <v>4</v>
          </cell>
          <cell r="E3114" t="str">
            <v>:  Semen</v>
          </cell>
          <cell r="G3114" t="str">
            <v>Sm</v>
          </cell>
          <cell r="H3114">
            <v>4</v>
          </cell>
          <cell r="I3114" t="str">
            <v>%</v>
          </cell>
          <cell r="J3114" t="str">
            <v xml:space="preserve"> Berdasarkan</v>
          </cell>
          <cell r="R3114" t="str">
            <v>(Rp.)</v>
          </cell>
          <cell r="S3114" t="str">
            <v>(Rp.)</v>
          </cell>
        </row>
        <row r="3115">
          <cell r="D3115">
            <v>20</v>
          </cell>
          <cell r="E3115" t="str">
            <v>:  Agregat Halus</v>
          </cell>
          <cell r="G3115" t="str">
            <v>Fa</v>
          </cell>
          <cell r="H3115">
            <v>19.2</v>
          </cell>
          <cell r="I3115" t="str">
            <v>%</v>
          </cell>
          <cell r="J3115" t="str">
            <v xml:space="preserve"> JMF &amp; sesuai</v>
          </cell>
        </row>
        <row r="3116">
          <cell r="D3116">
            <v>35</v>
          </cell>
          <cell r="E3116" t="str">
            <v>:  Agregat Kasar</v>
          </cell>
          <cell r="G3116" t="str">
            <v>Ca</v>
          </cell>
          <cell r="H3116">
            <v>33.6</v>
          </cell>
          <cell r="I3116" t="str">
            <v>%</v>
          </cell>
          <cell r="J3116" t="str">
            <v xml:space="preserve"> dgn Spesifikasi</v>
          </cell>
        </row>
        <row r="3117">
          <cell r="D3117">
            <v>45</v>
          </cell>
          <cell r="E3117" t="str">
            <v>: Sirtu</v>
          </cell>
          <cell r="G3117" t="str">
            <v>Sr</v>
          </cell>
          <cell r="H3117">
            <v>43.2</v>
          </cell>
          <cell r="I3117" t="str">
            <v>%</v>
          </cell>
        </row>
        <row r="3118">
          <cell r="A3118">
            <v>9</v>
          </cell>
          <cell r="C3118" t="str">
            <v>Berat Jenis Material :</v>
          </cell>
          <cell r="L3118" t="str">
            <v>A.</v>
          </cell>
          <cell r="N3118" t="str">
            <v>TENAGA</v>
          </cell>
        </row>
        <row r="3119">
          <cell r="C3119" t="str">
            <v>-  Beton</v>
          </cell>
          <cell r="G3119" t="str">
            <v>D1</v>
          </cell>
          <cell r="H3119">
            <v>2.25</v>
          </cell>
          <cell r="I3119" t="str">
            <v>T/M3</v>
          </cell>
        </row>
        <row r="3120">
          <cell r="C3120" t="str">
            <v>-  Semen</v>
          </cell>
          <cell r="G3120" t="str">
            <v>D2</v>
          </cell>
          <cell r="H3120">
            <v>3</v>
          </cell>
          <cell r="I3120" t="str">
            <v>T/M3</v>
          </cell>
          <cell r="L3120" t="str">
            <v>1.</v>
          </cell>
          <cell r="N3120" t="str">
            <v>Pekerja</v>
          </cell>
          <cell r="O3120" t="str">
            <v>(L01)</v>
          </cell>
          <cell r="P3120" t="str">
            <v>jam</v>
          </cell>
          <cell r="Q3120">
            <v>5.3012048192771086</v>
          </cell>
          <cell r="R3120">
            <v>2857.14</v>
          </cell>
          <cell r="U3120">
            <v>15146.284337349398</v>
          </cell>
        </row>
        <row r="3121">
          <cell r="C3121" t="str">
            <v>-  Agregat Halus</v>
          </cell>
          <cell r="G3121" t="str">
            <v>D3</v>
          </cell>
          <cell r="H3121">
            <v>2.1</v>
          </cell>
          <cell r="I3121" t="str">
            <v>T/M3</v>
          </cell>
          <cell r="L3121" t="str">
            <v>2.</v>
          </cell>
          <cell r="N3121" t="str">
            <v>Tukang</v>
          </cell>
          <cell r="O3121" t="str">
            <v>(L02)</v>
          </cell>
          <cell r="P3121" t="str">
            <v>jam</v>
          </cell>
          <cell r="Q3121">
            <v>1.7670682730923695</v>
          </cell>
          <cell r="R3121">
            <v>4285.71</v>
          </cell>
          <cell r="U3121">
            <v>7573.142168674699</v>
          </cell>
        </row>
        <row r="3122">
          <cell r="C3122" t="str">
            <v>-  Agregat Kasar</v>
          </cell>
          <cell r="G3122" t="str">
            <v>D4</v>
          </cell>
          <cell r="H3122">
            <v>2.1</v>
          </cell>
          <cell r="I3122" t="str">
            <v>T/M3</v>
          </cell>
          <cell r="L3122" t="str">
            <v>3.</v>
          </cell>
          <cell r="N3122" t="str">
            <v>Mandor</v>
          </cell>
          <cell r="O3122" t="str">
            <v>(L03)</v>
          </cell>
          <cell r="P3122" t="str">
            <v>jam</v>
          </cell>
          <cell r="Q3122">
            <v>0.44176706827309237</v>
          </cell>
          <cell r="R3122">
            <v>3214.29</v>
          </cell>
          <cell r="U3122">
            <v>1419.9674698795181</v>
          </cell>
        </row>
        <row r="3123">
          <cell r="C3123" t="str">
            <v>-  Sirtu</v>
          </cell>
          <cell r="G3123" t="str">
            <v>D5</v>
          </cell>
          <cell r="H3123">
            <v>1.8</v>
          </cell>
          <cell r="I3123" t="str">
            <v>T/M3</v>
          </cell>
        </row>
        <row r="3125">
          <cell r="A3125" t="str">
            <v>II.</v>
          </cell>
          <cell r="C3125" t="str">
            <v>URUTAN KERJA</v>
          </cell>
          <cell r="Q3125" t="str">
            <v xml:space="preserve">JUMLAH HARGA TENAGA   </v>
          </cell>
          <cell r="U3125">
            <v>24139.393975903615</v>
          </cell>
        </row>
        <row r="3126">
          <cell r="A3126">
            <v>1</v>
          </cell>
          <cell r="C3126" t="str">
            <v>Semen, pasir, batu kerikil dan air dicampur dan diaduk</v>
          </cell>
        </row>
        <row r="3127">
          <cell r="C3127" t="str">
            <v>menjadi beton dengan menggunakan Concrete Mixer</v>
          </cell>
          <cell r="L3127" t="str">
            <v>B.</v>
          </cell>
          <cell r="N3127" t="str">
            <v>BAHAN</v>
          </cell>
        </row>
        <row r="3128">
          <cell r="A3128">
            <v>2</v>
          </cell>
          <cell r="C3128" t="str">
            <v>Beton di-cor ke dalam bekisting yang telah disiapkan</v>
          </cell>
        </row>
        <row r="3129">
          <cell r="A3129">
            <v>3</v>
          </cell>
          <cell r="C3129" t="str">
            <v>Penyelesaian dan perapihan setelah pemasangan</v>
          </cell>
          <cell r="L3129" t="str">
            <v>1.</v>
          </cell>
          <cell r="N3129" t="str">
            <v>Semen</v>
          </cell>
          <cell r="O3129" t="str">
            <v>(M12)</v>
          </cell>
          <cell r="P3129" t="str">
            <v>Kg</v>
          </cell>
          <cell r="Q3129">
            <v>92.249999999999986</v>
          </cell>
          <cell r="R3129">
            <v>688.65625</v>
          </cell>
          <cell r="U3129">
            <v>63528.539062499993</v>
          </cell>
        </row>
        <row r="3130">
          <cell r="L3130" t="str">
            <v>2.</v>
          </cell>
          <cell r="N3130" t="str">
            <v>Pasir</v>
          </cell>
          <cell r="O3130" t="str">
            <v>(M01)</v>
          </cell>
          <cell r="P3130" t="str">
            <v>M3</v>
          </cell>
          <cell r="Q3130">
            <v>0.21085714285714283</v>
          </cell>
          <cell r="R3130">
            <v>54300</v>
          </cell>
          <cell r="U3130">
            <v>11449.542857142855</v>
          </cell>
        </row>
        <row r="3131">
          <cell r="A3131" t="str">
            <v>III.</v>
          </cell>
          <cell r="C3131" t="str">
            <v>PEMAKAIAN BAHAN, ALAT DAN TENAGA</v>
          </cell>
          <cell r="L3131" t="str">
            <v>3.</v>
          </cell>
          <cell r="N3131" t="str">
            <v>Agregat Kasar</v>
          </cell>
          <cell r="O3131" t="str">
            <v>(M03)</v>
          </cell>
          <cell r="P3131" t="str">
            <v>M3</v>
          </cell>
          <cell r="Q3131">
            <v>0.36899999999999994</v>
          </cell>
          <cell r="R3131">
            <v>222345.54558042376</v>
          </cell>
          <cell r="U3131">
            <v>82045.506319176347</v>
          </cell>
        </row>
        <row r="3132">
          <cell r="L3132" t="str">
            <v>5.</v>
          </cell>
          <cell r="N3132" t="str">
            <v>Kayu Perancah</v>
          </cell>
          <cell r="O3132" t="str">
            <v>(M19)</v>
          </cell>
          <cell r="P3132" t="str">
            <v>M3</v>
          </cell>
          <cell r="Q3132">
            <v>0.05</v>
          </cell>
          <cell r="R3132">
            <v>1466250</v>
          </cell>
          <cell r="U3132">
            <v>73312.5</v>
          </cell>
        </row>
        <row r="3133">
          <cell r="A3133" t="str">
            <v xml:space="preserve">   1.</v>
          </cell>
          <cell r="C3133" t="str">
            <v>BAHAN</v>
          </cell>
          <cell r="L3133" t="str">
            <v>6.</v>
          </cell>
          <cell r="N3133" t="str">
            <v>Paku</v>
          </cell>
          <cell r="O3133" t="str">
            <v>(M18)</v>
          </cell>
          <cell r="P3133" t="str">
            <v>Kg</v>
          </cell>
          <cell r="Q3133">
            <v>0.4</v>
          </cell>
          <cell r="R3133">
            <v>5500</v>
          </cell>
          <cell r="U3133">
            <v>2200</v>
          </cell>
        </row>
        <row r="3134">
          <cell r="A3134" t="str">
            <v>1.a.</v>
          </cell>
          <cell r="C3134" t="str">
            <v>Semen (PC)          =</v>
          </cell>
          <cell r="D3134" t="str">
            <v xml:space="preserve">   {Sm x D1 x 1000} x 1.025</v>
          </cell>
          <cell r="G3134" t="str">
            <v>(M12)</v>
          </cell>
          <cell r="H3134">
            <v>92.249999999999986</v>
          </cell>
          <cell r="I3134" t="str">
            <v>Kg</v>
          </cell>
        </row>
        <row r="3135">
          <cell r="A3135" t="str">
            <v>1.b.</v>
          </cell>
          <cell r="C3135" t="str">
            <v>Agregat Halus</v>
          </cell>
          <cell r="D3135" t="str">
            <v xml:space="preserve">   {(Ps x D1) : D3} x 1.025</v>
          </cell>
          <cell r="G3135" t="str">
            <v>(M01)</v>
          </cell>
          <cell r="H3135">
            <v>0.21085714285714283</v>
          </cell>
          <cell r="I3135" t="str">
            <v>M3</v>
          </cell>
          <cell r="Q3135" t="str">
            <v xml:space="preserve">JUMLAH HARGA BAHAN   </v>
          </cell>
          <cell r="U3135">
            <v>232536.08823881921</v>
          </cell>
        </row>
        <row r="3136">
          <cell r="A3136" t="str">
            <v>1.c.</v>
          </cell>
          <cell r="C3136" t="str">
            <v>Agregat Kasar</v>
          </cell>
          <cell r="D3136" t="str">
            <v xml:space="preserve">   {(Kr x D1) : D4} x 1.025</v>
          </cell>
          <cell r="G3136" t="str">
            <v>(M03)</v>
          </cell>
          <cell r="H3136">
            <v>0.36899999999999994</v>
          </cell>
          <cell r="I3136" t="str">
            <v>M3</v>
          </cell>
          <cell r="J3136" t="str">
            <v xml:space="preserve"> Agregat Kasar</v>
          </cell>
        </row>
        <row r="3137">
          <cell r="C3137" t="str">
            <v>Sirtu</v>
          </cell>
          <cell r="H3137">
            <v>0.55349999999999999</v>
          </cell>
          <cell r="I3137" t="str">
            <v>M3</v>
          </cell>
        </row>
        <row r="3138">
          <cell r="A3138" t="str">
            <v>1.e.</v>
          </cell>
          <cell r="C3138" t="str">
            <v>Bekisting</v>
          </cell>
          <cell r="G3138" t="str">
            <v>(M19)</v>
          </cell>
          <cell r="H3138">
            <v>0.05</v>
          </cell>
          <cell r="I3138" t="str">
            <v>M3</v>
          </cell>
        </row>
        <row r="3139">
          <cell r="A3139" t="str">
            <v>1.f</v>
          </cell>
          <cell r="C3139" t="str">
            <v>Paku</v>
          </cell>
          <cell r="G3139" t="str">
            <v>(M18)</v>
          </cell>
          <cell r="H3139">
            <v>0.4</v>
          </cell>
          <cell r="I3139" t="str">
            <v>Kg</v>
          </cell>
        </row>
        <row r="3141">
          <cell r="A3141" t="str">
            <v>2.</v>
          </cell>
          <cell r="C3141" t="str">
            <v>ALAT</v>
          </cell>
        </row>
        <row r="3142">
          <cell r="A3142" t="str">
            <v>2.a.</v>
          </cell>
          <cell r="C3142" t="str">
            <v>CONCRETE MIXER</v>
          </cell>
          <cell r="G3142" t="str">
            <v>(E06)</v>
          </cell>
        </row>
        <row r="3143">
          <cell r="C3143" t="str">
            <v>Kapasitas Alat</v>
          </cell>
          <cell r="G3143" t="str">
            <v>V</v>
          </cell>
          <cell r="H3143">
            <v>500</v>
          </cell>
          <cell r="I3143" t="str">
            <v>liter</v>
          </cell>
        </row>
        <row r="3144">
          <cell r="C3144" t="str">
            <v>Faktor Efisiensi Alat</v>
          </cell>
          <cell r="G3144" t="str">
            <v>Fa</v>
          </cell>
          <cell r="H3144">
            <v>0.83</v>
          </cell>
          <cell r="I3144" t="str">
            <v>-</v>
          </cell>
        </row>
        <row r="3145">
          <cell r="C3145" t="str">
            <v>Waktu siklus   :</v>
          </cell>
          <cell r="D3145" t="str">
            <v>(T1 + T2 + T3 + T4)</v>
          </cell>
          <cell r="G3145" t="str">
            <v>Ts</v>
          </cell>
        </row>
        <row r="3146">
          <cell r="C3146" t="str">
            <v>-  Memuat</v>
          </cell>
          <cell r="G3146" t="str">
            <v>T1</v>
          </cell>
          <cell r="H3146">
            <v>3</v>
          </cell>
          <cell r="I3146" t="str">
            <v>menit</v>
          </cell>
        </row>
        <row r="3147">
          <cell r="C3147" t="str">
            <v>-  Mengaduk</v>
          </cell>
          <cell r="G3147" t="str">
            <v>T2</v>
          </cell>
          <cell r="H3147">
            <v>2</v>
          </cell>
          <cell r="I3147" t="str">
            <v>menit</v>
          </cell>
        </row>
        <row r="3148">
          <cell r="C3148" t="str">
            <v>-  Menuang</v>
          </cell>
          <cell r="G3148" t="str">
            <v>T3</v>
          </cell>
          <cell r="H3148">
            <v>3</v>
          </cell>
          <cell r="I3148" t="str">
            <v>menit</v>
          </cell>
        </row>
        <row r="3149">
          <cell r="C3149" t="str">
            <v>-  Tunggu, dll.</v>
          </cell>
          <cell r="G3149" t="str">
            <v>T4</v>
          </cell>
          <cell r="H3149">
            <v>3</v>
          </cell>
          <cell r="I3149" t="str">
            <v>menit</v>
          </cell>
        </row>
        <row r="3150">
          <cell r="G3150" t="str">
            <v>Ts</v>
          </cell>
          <cell r="H3150">
            <v>11</v>
          </cell>
          <cell r="I3150" t="str">
            <v>menit</v>
          </cell>
        </row>
        <row r="3152">
          <cell r="C3152" t="str">
            <v>Kap. Prod. / jam  =</v>
          </cell>
          <cell r="D3152" t="str">
            <v>V x Fa x 60</v>
          </cell>
          <cell r="G3152" t="str">
            <v>Q1</v>
          </cell>
          <cell r="H3152">
            <v>2.2636363636363637</v>
          </cell>
          <cell r="I3152" t="str">
            <v>M3</v>
          </cell>
        </row>
        <row r="3153">
          <cell r="D3153" t="str">
            <v>1000 x Ts</v>
          </cell>
        </row>
        <row r="3155">
          <cell r="C3155" t="str">
            <v>Koefisien Alat / M3</v>
          </cell>
          <cell r="D3155" t="str">
            <v xml:space="preserve">  =   1  :  Q1</v>
          </cell>
          <cell r="G3155" t="str">
            <v>(E06)</v>
          </cell>
          <cell r="H3155">
            <v>0.44176706827309237</v>
          </cell>
          <cell r="I3155" t="str">
            <v>jam</v>
          </cell>
        </row>
        <row r="3159">
          <cell r="J3159" t="str">
            <v>Berlanjut ke hal. berikut.</v>
          </cell>
        </row>
        <row r="3160">
          <cell r="A3160" t="str">
            <v>ITEM PEMBAYARAN NO.</v>
          </cell>
          <cell r="D3160" t="str">
            <v>: 5.5.(2)</v>
          </cell>
          <cell r="J3160" t="str">
            <v>Analisa EI-718</v>
          </cell>
        </row>
        <row r="3161">
          <cell r="A3161" t="str">
            <v>JENIS PEKERJAAN</v>
          </cell>
          <cell r="D3161" t="str">
            <v>: Pekerjaan LFAS Kelas B</v>
          </cell>
        </row>
        <row r="3162">
          <cell r="A3162" t="str">
            <v>SATUAN PEMBAYARAN</v>
          </cell>
          <cell r="D3162" t="str">
            <v>:  M3</v>
          </cell>
          <cell r="H3162" t="str">
            <v xml:space="preserve">        URAIAN ANALISA HARGA SATUAN</v>
          </cell>
        </row>
        <row r="3163">
          <cell r="J3163" t="str">
            <v>Lanjutan</v>
          </cell>
        </row>
        <row r="3165">
          <cell r="A3165" t="str">
            <v>No.</v>
          </cell>
          <cell r="C3165" t="str">
            <v>U R A I A N</v>
          </cell>
          <cell r="G3165" t="str">
            <v>KODE</v>
          </cell>
          <cell r="H3165" t="str">
            <v>KOEF.</v>
          </cell>
          <cell r="I3165" t="str">
            <v>SATUAN</v>
          </cell>
          <cell r="J3165" t="str">
            <v>KETERANGAN</v>
          </cell>
        </row>
        <row r="3168">
          <cell r="A3168" t="str">
            <v>2.b.</v>
          </cell>
          <cell r="C3168" t="str">
            <v>WATER TANK TRUCK</v>
          </cell>
          <cell r="G3168" t="str">
            <v>(E23)</v>
          </cell>
        </row>
        <row r="3169">
          <cell r="C3169" t="str">
            <v>Volume Tanki Air</v>
          </cell>
          <cell r="G3169" t="str">
            <v>V</v>
          </cell>
          <cell r="H3169">
            <v>4</v>
          </cell>
          <cell r="I3169" t="str">
            <v>M3</v>
          </cell>
        </row>
        <row r="3170">
          <cell r="C3170" t="str">
            <v>Kebutuhan air / M3 beton</v>
          </cell>
          <cell r="G3170" t="str">
            <v>Wc</v>
          </cell>
          <cell r="H3170">
            <v>5.5349999999999989E-2</v>
          </cell>
          <cell r="I3170" t="str">
            <v>M3</v>
          </cell>
        </row>
        <row r="3171">
          <cell r="C3171" t="str">
            <v>Faktor Efiesiensi Alat</v>
          </cell>
          <cell r="G3171" t="str">
            <v>Fa</v>
          </cell>
          <cell r="H3171">
            <v>0.83</v>
          </cell>
          <cell r="I3171" t="str">
            <v>-</v>
          </cell>
        </row>
        <row r="3172">
          <cell r="C3172" t="str">
            <v>Pengisian Tanki / jam</v>
          </cell>
          <cell r="G3172" t="str">
            <v>n</v>
          </cell>
          <cell r="H3172">
            <v>1</v>
          </cell>
          <cell r="I3172" t="str">
            <v>kali</v>
          </cell>
        </row>
        <row r="3174">
          <cell r="C3174" t="str">
            <v>Kap. Prod. / jam  =</v>
          </cell>
          <cell r="D3174" t="str">
            <v>V x Fa x n</v>
          </cell>
          <cell r="G3174" t="str">
            <v>Q2</v>
          </cell>
          <cell r="H3174">
            <v>59.981933152664865</v>
          </cell>
          <cell r="I3174" t="str">
            <v>M3</v>
          </cell>
        </row>
        <row r="3175">
          <cell r="D3175" t="str">
            <v>Wc</v>
          </cell>
        </row>
        <row r="3177">
          <cell r="C3177" t="str">
            <v>Koefisien Alat / M3</v>
          </cell>
          <cell r="D3177" t="str">
            <v xml:space="preserve">  =   1  :  Q2</v>
          </cell>
          <cell r="G3177" t="str">
            <v>(E23)</v>
          </cell>
          <cell r="H3177">
            <v>1.6671686746987949E-2</v>
          </cell>
          <cell r="I3177" t="str">
            <v>jam</v>
          </cell>
        </row>
        <row r="3179">
          <cell r="A3179" t="str">
            <v>2.c.</v>
          </cell>
          <cell r="C3179" t="str">
            <v>CONCRETE VIBRATOR</v>
          </cell>
          <cell r="G3179" t="str">
            <v>(E20)</v>
          </cell>
        </row>
        <row r="3180">
          <cell r="C3180" t="str">
            <v>Kebutuhan Alat Penggetar Beton ini disesuaikan dengan</v>
          </cell>
        </row>
        <row r="3181">
          <cell r="C3181" t="str">
            <v>kapasitas produksi Alat Pencampur (Concrete Mixer)</v>
          </cell>
        </row>
        <row r="3183">
          <cell r="C3183" t="str">
            <v>Kap. Prod. / jam  =</v>
          </cell>
          <cell r="D3183" t="str">
            <v>Kap.Prod./Jam Alat Concrete Mixer</v>
          </cell>
          <cell r="G3183" t="str">
            <v>Q3</v>
          </cell>
          <cell r="H3183">
            <v>2.2636363636363637</v>
          </cell>
          <cell r="I3183" t="str">
            <v>M3</v>
          </cell>
        </row>
        <row r="3185">
          <cell r="C3185" t="str">
            <v>Koefisien Alat / M3</v>
          </cell>
          <cell r="D3185" t="str">
            <v xml:space="preserve">  =   1  :  Q3</v>
          </cell>
          <cell r="G3185" t="str">
            <v>(E20)</v>
          </cell>
          <cell r="H3185">
            <v>0.44176706827309237</v>
          </cell>
          <cell r="I3185" t="str">
            <v>jam</v>
          </cell>
        </row>
        <row r="3187">
          <cell r="A3187" t="str">
            <v>2.c.</v>
          </cell>
          <cell r="C3187" t="str">
            <v>ALAT BANTU</v>
          </cell>
        </row>
        <row r="3188">
          <cell r="C3188" t="str">
            <v>Diperlukan  :</v>
          </cell>
        </row>
        <row r="3189">
          <cell r="C3189" t="str">
            <v>- Sekop</v>
          </cell>
          <cell r="D3189" t="str">
            <v>=  2  buah</v>
          </cell>
        </row>
        <row r="3190">
          <cell r="C3190" t="str">
            <v>- Pacul</v>
          </cell>
          <cell r="D3190" t="str">
            <v>=  2  buah</v>
          </cell>
        </row>
        <row r="3191">
          <cell r="C3191" t="str">
            <v>- Sendok Semen</v>
          </cell>
          <cell r="D3191" t="str">
            <v>=  2  buah</v>
          </cell>
        </row>
        <row r="3192">
          <cell r="C3192" t="str">
            <v>- Ember Cor</v>
          </cell>
          <cell r="D3192" t="str">
            <v>=  4  buah</v>
          </cell>
        </row>
        <row r="3193">
          <cell r="C3193" t="str">
            <v>- Gerobak Dorong</v>
          </cell>
          <cell r="D3193" t="str">
            <v>=  1  buah</v>
          </cell>
        </row>
        <row r="3195">
          <cell r="A3195" t="str">
            <v>3.</v>
          </cell>
          <cell r="C3195" t="str">
            <v>TENAGA</v>
          </cell>
        </row>
        <row r="3196">
          <cell r="C3196" t="str">
            <v>Produksi Beton dalam 1 hari</v>
          </cell>
          <cell r="E3196" t="str">
            <v>=  Tk x Q1</v>
          </cell>
          <cell r="G3196" t="str">
            <v>Qt</v>
          </cell>
          <cell r="H3196">
            <v>15.845454545454546</v>
          </cell>
          <cell r="I3196" t="str">
            <v>M3</v>
          </cell>
        </row>
        <row r="3198">
          <cell r="C3198" t="str">
            <v>Kebutuhan tenaga :</v>
          </cell>
          <cell r="D3198" t="str">
            <v>- Mandor</v>
          </cell>
          <cell r="G3198" t="str">
            <v>M</v>
          </cell>
          <cell r="H3198">
            <v>1</v>
          </cell>
          <cell r="I3198" t="str">
            <v>orang</v>
          </cell>
        </row>
        <row r="3199">
          <cell r="D3199" t="str">
            <v>- Tukang</v>
          </cell>
          <cell r="G3199" t="str">
            <v>Tb</v>
          </cell>
          <cell r="H3199">
            <v>4</v>
          </cell>
          <cell r="I3199" t="str">
            <v>orang</v>
          </cell>
        </row>
        <row r="3200">
          <cell r="D3200" t="str">
            <v>- Pekerja</v>
          </cell>
          <cell r="G3200" t="str">
            <v>P</v>
          </cell>
          <cell r="H3200">
            <v>12</v>
          </cell>
          <cell r="I3200" t="str">
            <v>orang</v>
          </cell>
        </row>
        <row r="3202">
          <cell r="C3202" t="str">
            <v>Koefisien Tenaga / M3   :</v>
          </cell>
        </row>
        <row r="3203">
          <cell r="D3203" t="str">
            <v>-  Mandor</v>
          </cell>
          <cell r="E3203" t="str">
            <v>= (Tk x M) : Qt</v>
          </cell>
          <cell r="G3203" t="str">
            <v>(L03)</v>
          </cell>
          <cell r="H3203">
            <v>0.44176706827309237</v>
          </cell>
          <cell r="I3203" t="str">
            <v>jam</v>
          </cell>
        </row>
        <row r="3204">
          <cell r="D3204" t="str">
            <v>-  Tukang</v>
          </cell>
          <cell r="E3204" t="str">
            <v>= (Tk x Tb) : Qt</v>
          </cell>
          <cell r="G3204" t="str">
            <v>(L02)</v>
          </cell>
          <cell r="H3204">
            <v>1.7670682730923695</v>
          </cell>
          <cell r="I3204" t="str">
            <v>jam</v>
          </cell>
        </row>
        <row r="3205">
          <cell r="D3205" t="str">
            <v>-  Pekerja</v>
          </cell>
          <cell r="E3205" t="str">
            <v>= (Tk x P) : Qt</v>
          </cell>
          <cell r="G3205" t="str">
            <v>(L01)</v>
          </cell>
          <cell r="H3205">
            <v>5.3012048192771086</v>
          </cell>
          <cell r="I3205" t="str">
            <v>jam</v>
          </cell>
        </row>
        <row r="3208">
          <cell r="A3208" t="str">
            <v>4.</v>
          </cell>
          <cell r="C3208" t="str">
            <v>HARGA DASAR SATUAN UPAH, BAHAN DAN ALAT</v>
          </cell>
        </row>
        <row r="3209">
          <cell r="C3209" t="str">
            <v>Lihat lampiran.</v>
          </cell>
        </row>
        <row r="3218">
          <cell r="J3218" t="str">
            <v>Berlanjut ke hal. berikut.</v>
          </cell>
        </row>
        <row r="3219">
          <cell r="A3219" t="str">
            <v>ITEM PEMBAYARAN NO.</v>
          </cell>
          <cell r="D3219" t="str">
            <v>: 5.5.(2)</v>
          </cell>
          <cell r="J3219" t="str">
            <v>Analisa EI-718</v>
          </cell>
        </row>
        <row r="3220">
          <cell r="A3220" t="str">
            <v>JENIS PEKERJAAN</v>
          </cell>
          <cell r="D3220" t="str">
            <v>: Pekerjaan LFAS Kelas B</v>
          </cell>
        </row>
        <row r="3221">
          <cell r="A3221" t="str">
            <v>SATUAN PEMBAYARAN</v>
          </cell>
          <cell r="D3221" t="str">
            <v>:  M3</v>
          </cell>
          <cell r="H3221" t="str">
            <v xml:space="preserve">        URAIAN ANALISA HARGA SATUAN</v>
          </cell>
        </row>
        <row r="3222">
          <cell r="J3222" t="str">
            <v>Lanjutan</v>
          </cell>
        </row>
        <row r="3224">
          <cell r="A3224" t="str">
            <v>No.</v>
          </cell>
          <cell r="C3224" t="str">
            <v>U R A I A N</v>
          </cell>
          <cell r="G3224" t="str">
            <v>KODE</v>
          </cell>
          <cell r="H3224" t="str">
            <v>KOEF.</v>
          </cell>
          <cell r="I3224" t="str">
            <v>SATUAN</v>
          </cell>
          <cell r="J3224" t="str">
            <v>KETERANGAN</v>
          </cell>
        </row>
        <row r="3227">
          <cell r="A3227" t="str">
            <v>5.</v>
          </cell>
          <cell r="C3227" t="str">
            <v>ANALISA HARGA SATUAN PEKERJAAN</v>
          </cell>
        </row>
        <row r="3228">
          <cell r="C3228" t="str">
            <v>Lihat perhitungan dalam FORMULIR STANDAR UNTUK</v>
          </cell>
        </row>
        <row r="3229">
          <cell r="C3229" t="str">
            <v>PEREKEMAN ANALISA MASING-MASING HARGA</v>
          </cell>
        </row>
        <row r="3230">
          <cell r="C3230" t="str">
            <v>SATUAN.</v>
          </cell>
        </row>
        <row r="3231">
          <cell r="C3231" t="str">
            <v>Didapat Harga Satuan Pekerjaan :</v>
          </cell>
        </row>
        <row r="3233">
          <cell r="C3233" t="str">
            <v xml:space="preserve">Rp.  </v>
          </cell>
          <cell r="D3233">
            <v>313349.42307399388</v>
          </cell>
          <cell r="E3233" t="str">
            <v xml:space="preserve"> / M3</v>
          </cell>
        </row>
        <row r="3236">
          <cell r="A3236" t="str">
            <v>6.</v>
          </cell>
          <cell r="C3236" t="str">
            <v>MASA PELAKSANAAN YANG DIPERLUKAN</v>
          </cell>
        </row>
        <row r="3237">
          <cell r="C3237" t="str">
            <v>Masa Pelaksanaan :</v>
          </cell>
          <cell r="D3237" t="str">
            <v>. . . . . . . . . . . .</v>
          </cell>
        </row>
        <row r="3239">
          <cell r="A3239" t="str">
            <v>7.</v>
          </cell>
          <cell r="C3239" t="str">
            <v>VOLUME PEKERJAAN YANG DIPERLUKAN</v>
          </cell>
        </row>
        <row r="3240">
          <cell r="C3240" t="str">
            <v>Volume pekerjaan  :</v>
          </cell>
          <cell r="D3240">
            <v>1</v>
          </cell>
          <cell r="E3240" t="str">
            <v>M3</v>
          </cell>
        </row>
        <row r="3281">
          <cell r="A3281" t="str">
            <v>ITEM PEMBAYARAN NO.</v>
          </cell>
          <cell r="D3281" t="str">
            <v>: 5.5.(3)</v>
          </cell>
          <cell r="J3281" t="str">
            <v>Analisa EI-718</v>
          </cell>
          <cell r="T3281" t="str">
            <v>Analisa EI-718</v>
          </cell>
        </row>
        <row r="3282">
          <cell r="A3282" t="str">
            <v>JENIS PEKERJAAN</v>
          </cell>
          <cell r="D3282" t="str">
            <v>: Pekerjaan LPAS Kelas C</v>
          </cell>
        </row>
        <row r="3283">
          <cell r="A3283" t="str">
            <v>SATUAN PEMBAYARAN</v>
          </cell>
          <cell r="D3283" t="str">
            <v>:  M3</v>
          </cell>
          <cell r="H3283" t="str">
            <v xml:space="preserve">        URAIAN ANALISA HARGA SATUAN</v>
          </cell>
          <cell r="L3283" t="str">
            <v>FORMULIR STANDAR UNTUK</v>
          </cell>
        </row>
        <row r="3284">
          <cell r="L3284" t="str">
            <v>PEREKAMAN ANALISA MASING-MASING HARGA SATUAN</v>
          </cell>
        </row>
        <row r="3285">
          <cell r="L3285" t="str">
            <v/>
          </cell>
        </row>
        <row r="3286">
          <cell r="A3286" t="str">
            <v>No.</v>
          </cell>
          <cell r="C3286" t="str">
            <v>U R A I A N</v>
          </cell>
          <cell r="G3286" t="str">
            <v>KODE</v>
          </cell>
          <cell r="H3286" t="str">
            <v>KOEF.</v>
          </cell>
          <cell r="I3286" t="str">
            <v>SATUAN</v>
          </cell>
          <cell r="J3286" t="str">
            <v>KETERANGAN</v>
          </cell>
        </row>
        <row r="3288">
          <cell r="L3288" t="str">
            <v>PROYEK</v>
          </cell>
          <cell r="O3288" t="str">
            <v>:</v>
          </cell>
        </row>
        <row r="3289">
          <cell r="A3289" t="str">
            <v>I.</v>
          </cell>
          <cell r="C3289" t="str">
            <v>ASUMSI</v>
          </cell>
          <cell r="L3289" t="str">
            <v>No. PAKET KONTRAK</v>
          </cell>
          <cell r="O3289" t="str">
            <v>:</v>
          </cell>
        </row>
        <row r="3290">
          <cell r="A3290">
            <v>1</v>
          </cell>
          <cell r="C3290" t="str">
            <v>Menggunakan alat (cara mekanik)</v>
          </cell>
          <cell r="L3290" t="str">
            <v>NAMA PAKET</v>
          </cell>
          <cell r="O3290" t="str">
            <v>:</v>
          </cell>
        </row>
        <row r="3291">
          <cell r="A3291">
            <v>2</v>
          </cell>
          <cell r="C3291" t="str">
            <v>Lokasi pekerjaan : sepanjang jalan</v>
          </cell>
          <cell r="L3291" t="str">
            <v>PROP / KAB / KODYA</v>
          </cell>
          <cell r="O3291" t="str">
            <v>:</v>
          </cell>
        </row>
        <row r="3292">
          <cell r="A3292">
            <v>3</v>
          </cell>
          <cell r="C3292" t="str">
            <v>Agregat merupakan bahan Lapis Pondasi Agregat</v>
          </cell>
          <cell r="L3292" t="str">
            <v>ITEM PEMBAYARAN NO.</v>
          </cell>
          <cell r="O3292" t="str">
            <v>: 5.5.(3)</v>
          </cell>
          <cell r="R3292" t="str">
            <v>PERKIRAAN VOL. PEK.</v>
          </cell>
          <cell r="T3292" t="str">
            <v>:</v>
          </cell>
          <cell r="U3292">
            <v>1</v>
          </cell>
        </row>
        <row r="3293">
          <cell r="C3293" t="str">
            <v>Kelas C yang telah dicampur di base camp dan</v>
          </cell>
          <cell r="L3293" t="str">
            <v>JENIS PEKERJAAN</v>
          </cell>
          <cell r="O3293" t="str">
            <v>: Pekerjaan LPAS Kelas C</v>
          </cell>
          <cell r="R3293" t="str">
            <v>TOTAL HARGA (Rp.)</v>
          </cell>
          <cell r="T3293" t="str">
            <v>:</v>
          </cell>
          <cell r="U3293">
            <v>31522.779454667012</v>
          </cell>
        </row>
        <row r="3294">
          <cell r="C3294" t="str">
            <v>selanjutnya dimuat ke truck dengan wheel loader</v>
          </cell>
        </row>
        <row r="3295">
          <cell r="A3295">
            <v>4</v>
          </cell>
          <cell r="C3295" t="str">
            <v>Jarak rata-rata Base camp ke lokasi pekerjaan</v>
          </cell>
          <cell r="G3295" t="str">
            <v>L</v>
          </cell>
          <cell r="H3295">
            <v>0</v>
          </cell>
          <cell r="I3295" t="str">
            <v>KM</v>
          </cell>
          <cell r="L3295" t="str">
            <v>SATUAN PEMBAYARAN</v>
          </cell>
          <cell r="O3295" t="str">
            <v>:  M3</v>
          </cell>
          <cell r="R3295" t="str">
            <v>% THD. BIAYA PROYEK</v>
          </cell>
          <cell r="T3295" t="str">
            <v>:</v>
          </cell>
          <cell r="U3295" t="e">
            <v>#DIV/0!</v>
          </cell>
        </row>
        <row r="3296">
          <cell r="A3296">
            <v>5</v>
          </cell>
          <cell r="C3296" t="str">
            <v>Jam kerja efektif per-hari</v>
          </cell>
          <cell r="G3296" t="str">
            <v>Tk</v>
          </cell>
          <cell r="H3296">
            <v>7</v>
          </cell>
          <cell r="I3296" t="str">
            <v>jam</v>
          </cell>
        </row>
        <row r="3297">
          <cell r="A3297">
            <v>6</v>
          </cell>
          <cell r="C3297" t="str">
            <v>Kadar Semen Minimum (Spesifikasi)</v>
          </cell>
          <cell r="G3297" t="str">
            <v>Ks</v>
          </cell>
          <cell r="H3297">
            <v>250</v>
          </cell>
          <cell r="I3297" t="str">
            <v>Kg/M3</v>
          </cell>
        </row>
        <row r="3298">
          <cell r="A3298">
            <v>7</v>
          </cell>
          <cell r="C3298" t="str">
            <v>Perbandingan Air/Semen Maksimum (Spesifikasi)</v>
          </cell>
          <cell r="G3298" t="str">
            <v>Wcr</v>
          </cell>
          <cell r="H3298">
            <v>0.6</v>
          </cell>
          <cell r="I3298" t="str">
            <v>-</v>
          </cell>
          <cell r="L3298" t="str">
            <v>NO.</v>
          </cell>
          <cell r="N3298" t="str">
            <v>KOMPONEN</v>
          </cell>
          <cell r="P3298" t="str">
            <v>SATUAN</v>
          </cell>
          <cell r="Q3298" t="str">
            <v>KUANTITAS</v>
          </cell>
          <cell r="R3298" t="str">
            <v>SATUAN</v>
          </cell>
          <cell r="S3298" t="str">
            <v>HARGA</v>
          </cell>
        </row>
        <row r="3299">
          <cell r="A3299">
            <v>8</v>
          </cell>
          <cell r="C3299" t="str">
            <v>Perbandingan Camp.</v>
          </cell>
          <cell r="D3299">
            <v>12</v>
          </cell>
          <cell r="E3299" t="str">
            <v>:  Semen</v>
          </cell>
          <cell r="G3299" t="str">
            <v>Sm</v>
          </cell>
          <cell r="H3299">
            <v>12</v>
          </cell>
          <cell r="I3299" t="str">
            <v>%</v>
          </cell>
          <cell r="J3299" t="str">
            <v xml:space="preserve"> Berdasarkan</v>
          </cell>
          <cell r="R3299" t="str">
            <v>(Rp.)</v>
          </cell>
          <cell r="S3299" t="str">
            <v>(Rp.)</v>
          </cell>
        </row>
        <row r="3300">
          <cell r="D3300">
            <v>47</v>
          </cell>
          <cell r="E3300" t="str">
            <v>:  Agregat Halus</v>
          </cell>
          <cell r="G3300" t="str">
            <v>Fa</v>
          </cell>
          <cell r="H3300">
            <v>41.4</v>
          </cell>
          <cell r="I3300" t="str">
            <v>%</v>
          </cell>
          <cell r="J3300" t="str">
            <v xml:space="preserve"> JMF &amp; sesuai</v>
          </cell>
        </row>
        <row r="3301">
          <cell r="D3301">
            <v>38</v>
          </cell>
          <cell r="E3301" t="str">
            <v>:  Agregat Kasar</v>
          </cell>
          <cell r="G3301" t="str">
            <v>Ca</v>
          </cell>
          <cell r="H3301">
            <v>33.4</v>
          </cell>
          <cell r="I3301" t="str">
            <v>%</v>
          </cell>
          <cell r="J3301" t="str">
            <v/>
          </cell>
        </row>
        <row r="3302">
          <cell r="D3302">
            <v>15</v>
          </cell>
          <cell r="E3302" t="str">
            <v>: Tanah</v>
          </cell>
          <cell r="G3302" t="str">
            <v>Tnh</v>
          </cell>
          <cell r="H3302">
            <v>13.2</v>
          </cell>
          <cell r="I3302" t="str">
            <v>%</v>
          </cell>
        </row>
        <row r="3303">
          <cell r="A3303">
            <v>9</v>
          </cell>
          <cell r="C3303" t="str">
            <v>Berat Jenis Material :</v>
          </cell>
          <cell r="L3303" t="str">
            <v>A.</v>
          </cell>
          <cell r="N3303" t="str">
            <v>TENAGA</v>
          </cell>
        </row>
        <row r="3304">
          <cell r="C3304" t="str">
            <v>-  Beton</v>
          </cell>
          <cell r="G3304" t="str">
            <v>D1</v>
          </cell>
          <cell r="H3304">
            <v>2.25</v>
          </cell>
          <cell r="I3304" t="str">
            <v>T/M3</v>
          </cell>
        </row>
        <row r="3305">
          <cell r="C3305" t="str">
            <v>-  Semen</v>
          </cell>
          <cell r="G3305" t="str">
            <v>D2</v>
          </cell>
          <cell r="H3305">
            <v>3</v>
          </cell>
          <cell r="I3305" t="str">
            <v>T/M3</v>
          </cell>
          <cell r="L3305" t="str">
            <v>1.</v>
          </cell>
          <cell r="N3305" t="str">
            <v>Pekerja</v>
          </cell>
          <cell r="O3305" t="str">
            <v>(L01)</v>
          </cell>
          <cell r="P3305" t="str">
            <v>jam</v>
          </cell>
          <cell r="Q3305">
            <v>5.3012048192771086</v>
          </cell>
          <cell r="R3305">
            <v>2857.14</v>
          </cell>
          <cell r="U3305">
            <v>15146.284337349398</v>
          </cell>
        </row>
        <row r="3306">
          <cell r="C3306" t="str">
            <v>-  Agregat Kelas C</v>
          </cell>
          <cell r="G3306" t="str">
            <v>D3</v>
          </cell>
          <cell r="H3306">
            <v>1.9</v>
          </cell>
          <cell r="I3306" t="str">
            <v>T/M3</v>
          </cell>
          <cell r="L3306" t="str">
            <v>2.</v>
          </cell>
          <cell r="N3306" t="str">
            <v>Tukang</v>
          </cell>
          <cell r="O3306" t="str">
            <v>(L02)</v>
          </cell>
          <cell r="P3306" t="str">
            <v>jam</v>
          </cell>
          <cell r="Q3306">
            <v>1.7670682730923695</v>
          </cell>
          <cell r="R3306">
            <v>4285.71</v>
          </cell>
          <cell r="U3306">
            <v>7573.142168674699</v>
          </cell>
        </row>
        <row r="3307">
          <cell r="C3307" t="str">
            <v/>
          </cell>
          <cell r="G3307" t="str">
            <v/>
          </cell>
          <cell r="H3307" t="str">
            <v/>
          </cell>
          <cell r="I3307" t="str">
            <v/>
          </cell>
          <cell r="L3307" t="str">
            <v>3.</v>
          </cell>
          <cell r="N3307" t="str">
            <v>Mandor</v>
          </cell>
          <cell r="O3307" t="str">
            <v>(L03)</v>
          </cell>
          <cell r="P3307" t="str">
            <v>jam</v>
          </cell>
          <cell r="Q3307">
            <v>0.44176706827309237</v>
          </cell>
          <cell r="R3307">
            <v>3214.29</v>
          </cell>
          <cell r="U3307">
            <v>1419.9674698795181</v>
          </cell>
        </row>
        <row r="3308">
          <cell r="C3308" t="str">
            <v/>
          </cell>
        </row>
        <row r="3309">
          <cell r="A3309" t="str">
            <v>II.</v>
          </cell>
          <cell r="C3309" t="str">
            <v>URUTAN KERJA</v>
          </cell>
          <cell r="Q3309" t="str">
            <v xml:space="preserve">JUMLAH HARGA TENAGA   </v>
          </cell>
          <cell r="U3309">
            <v>24139.393975903615</v>
          </cell>
        </row>
        <row r="3310">
          <cell r="A3310">
            <v>1</v>
          </cell>
          <cell r="C3310" t="str">
            <v>Semen, pasir, batu kerikil dan air dicampur dan diaduk</v>
          </cell>
        </row>
        <row r="3311">
          <cell r="C3311" t="str">
            <v>menjadi beton dengan menggunakan Concrete Mixer</v>
          </cell>
          <cell r="L3311" t="str">
            <v>B.</v>
          </cell>
          <cell r="N3311" t="str">
            <v>BAHAN</v>
          </cell>
        </row>
        <row r="3312">
          <cell r="A3312">
            <v>2</v>
          </cell>
          <cell r="C3312" t="str">
            <v>Beton di-cor ke dalam bekisting yang telah disiapkan</v>
          </cell>
        </row>
        <row r="3313">
          <cell r="A3313">
            <v>3</v>
          </cell>
          <cell r="C3313" t="str">
            <v>Penyelesaian dan perapihan setelah pemasangan</v>
          </cell>
          <cell r="L3313" t="str">
            <v>1.</v>
          </cell>
          <cell r="N3313" t="str">
            <v>Semen</v>
          </cell>
          <cell r="O3313" t="str">
            <v>(M12)</v>
          </cell>
          <cell r="P3313" t="str">
            <v>Kg</v>
          </cell>
          <cell r="Q3313">
            <v>276.75</v>
          </cell>
          <cell r="R3313">
            <v>1357.5</v>
          </cell>
          <cell r="U3313">
            <v>375688.125</v>
          </cell>
        </row>
        <row r="3314">
          <cell r="L3314" t="str">
            <v>2.</v>
          </cell>
          <cell r="N3314" t="str">
            <v>Aggregat Klas C</v>
          </cell>
          <cell r="O3314" t="str">
            <v>(M01)</v>
          </cell>
          <cell r="P3314" t="str">
            <v>M3</v>
          </cell>
          <cell r="Q3314">
            <v>0.50251973684210527</v>
          </cell>
          <cell r="R3314">
            <v>141787.08464737452</v>
          </cell>
          <cell r="U3314">
            <v>71250.808464607951</v>
          </cell>
        </row>
        <row r="3315">
          <cell r="A3315" t="str">
            <v>III.</v>
          </cell>
          <cell r="C3315" t="str">
            <v>PEMAKAIAN BAHAN, ALAT DAN TENAGA</v>
          </cell>
        </row>
        <row r="3317">
          <cell r="A3317" t="str">
            <v xml:space="preserve">   1.</v>
          </cell>
          <cell r="C3317" t="str">
            <v>BAHAN</v>
          </cell>
        </row>
        <row r="3318">
          <cell r="A3318" t="str">
            <v>1.a.</v>
          </cell>
          <cell r="C3318" t="str">
            <v>Semen (PC)          =</v>
          </cell>
          <cell r="D3318" t="str">
            <v xml:space="preserve">   {Sm x D1 x 1000} x 1.025</v>
          </cell>
          <cell r="G3318" t="str">
            <v>(M12)</v>
          </cell>
          <cell r="H3318">
            <v>276.75</v>
          </cell>
          <cell r="I3318" t="str">
            <v>Kg</v>
          </cell>
        </row>
        <row r="3319">
          <cell r="A3319" t="str">
            <v>1.b.</v>
          </cell>
          <cell r="C3319" t="str">
            <v>Agregat Kelas C</v>
          </cell>
          <cell r="D3319" t="str">
            <v xml:space="preserve">   {(Ps x D1) : D3} x 1.025</v>
          </cell>
          <cell r="G3319" t="str">
            <v>(M01)</v>
          </cell>
          <cell r="H3319">
            <v>0.50251973684210527</v>
          </cell>
          <cell r="I3319" t="str">
            <v>M3</v>
          </cell>
        </row>
        <row r="3320">
          <cell r="A3320" t="str">
            <v>1.c.</v>
          </cell>
          <cell r="C3320" t="str">
            <v/>
          </cell>
          <cell r="D3320" t="str">
            <v/>
          </cell>
          <cell r="G3320" t="str">
            <v/>
          </cell>
          <cell r="H3320" t="str">
            <v/>
          </cell>
          <cell r="I3320" t="str">
            <v/>
          </cell>
          <cell r="J3320" t="str">
            <v/>
          </cell>
        </row>
        <row r="3321">
          <cell r="A3321" t="str">
            <v>1.e.</v>
          </cell>
          <cell r="C3321" t="str">
            <v>Bekisting</v>
          </cell>
          <cell r="G3321" t="str">
            <v>(M19)</v>
          </cell>
          <cell r="H3321">
            <v>0.05</v>
          </cell>
          <cell r="I3321" t="str">
            <v>M3</v>
          </cell>
        </row>
        <row r="3322">
          <cell r="A3322" t="str">
            <v>1.f</v>
          </cell>
          <cell r="C3322" t="str">
            <v>Paku</v>
          </cell>
          <cell r="G3322" t="str">
            <v>(M18)</v>
          </cell>
          <cell r="H3322">
            <v>0.4</v>
          </cell>
          <cell r="I3322" t="str">
            <v>Kg</v>
          </cell>
        </row>
        <row r="3324">
          <cell r="A3324" t="str">
            <v>2.</v>
          </cell>
          <cell r="C3324" t="str">
            <v>ALAT</v>
          </cell>
        </row>
        <row r="3325">
          <cell r="A3325" t="str">
            <v>2.a.</v>
          </cell>
          <cell r="C3325" t="str">
            <v>CONCRETE MIXER</v>
          </cell>
          <cell r="G3325" t="str">
            <v>(E06)</v>
          </cell>
        </row>
        <row r="3326">
          <cell r="C3326" t="str">
            <v>Kapasitas Alat</v>
          </cell>
          <cell r="G3326" t="str">
            <v>V</v>
          </cell>
          <cell r="H3326">
            <v>500</v>
          </cell>
          <cell r="I3326" t="str">
            <v>liter</v>
          </cell>
        </row>
        <row r="3327">
          <cell r="C3327" t="str">
            <v>Faktor Efisiensi Alat</v>
          </cell>
          <cell r="G3327" t="str">
            <v>Fa</v>
          </cell>
          <cell r="H3327">
            <v>0.83</v>
          </cell>
          <cell r="I3327" t="str">
            <v>-</v>
          </cell>
        </row>
        <row r="3328">
          <cell r="C3328" t="str">
            <v>Waktu siklus   :</v>
          </cell>
          <cell r="D3328" t="str">
            <v>(T1 + T2 + T3 + T4)</v>
          </cell>
          <cell r="G3328" t="str">
            <v>Ts</v>
          </cell>
        </row>
        <row r="3329">
          <cell r="C3329" t="str">
            <v>-  Memuat</v>
          </cell>
          <cell r="G3329" t="str">
            <v>T1</v>
          </cell>
          <cell r="H3329">
            <v>3</v>
          </cell>
          <cell r="I3329" t="str">
            <v>menit</v>
          </cell>
        </row>
        <row r="3330">
          <cell r="C3330" t="str">
            <v>-  Mengaduk</v>
          </cell>
          <cell r="G3330" t="str">
            <v>T2</v>
          </cell>
          <cell r="H3330">
            <v>2</v>
          </cell>
          <cell r="I3330" t="str">
            <v>menit</v>
          </cell>
        </row>
        <row r="3331">
          <cell r="C3331" t="str">
            <v>-  Menuang</v>
          </cell>
          <cell r="G3331" t="str">
            <v>T3</v>
          </cell>
          <cell r="H3331">
            <v>3</v>
          </cell>
          <cell r="I3331" t="str">
            <v>menit</v>
          </cell>
        </row>
        <row r="3332">
          <cell r="C3332" t="str">
            <v>-  Tunggu, dll.</v>
          </cell>
          <cell r="G3332" t="str">
            <v>T4</v>
          </cell>
          <cell r="H3332">
            <v>3</v>
          </cell>
          <cell r="I3332" t="str">
            <v>menit</v>
          </cell>
        </row>
        <row r="3333">
          <cell r="G3333" t="str">
            <v>Ts</v>
          </cell>
          <cell r="H3333">
            <v>11</v>
          </cell>
          <cell r="I3333" t="str">
            <v>menit</v>
          </cell>
        </row>
        <row r="3335">
          <cell r="C3335" t="str">
            <v>Kap. Prod. / jam  =</v>
          </cell>
          <cell r="D3335" t="str">
            <v>V x Fa x 60</v>
          </cell>
          <cell r="G3335" t="str">
            <v>Q1</v>
          </cell>
          <cell r="H3335">
            <v>2.2636363636363637</v>
          </cell>
          <cell r="I3335" t="str">
            <v>M3</v>
          </cell>
        </row>
        <row r="3336">
          <cell r="D3336" t="str">
            <v>1000 x Ts</v>
          </cell>
        </row>
        <row r="3338">
          <cell r="C3338" t="str">
            <v>Koefisien Alat / M3</v>
          </cell>
          <cell r="D3338" t="str">
            <v xml:space="preserve">  =   1  :  Q1</v>
          </cell>
          <cell r="G3338" t="str">
            <v>(E06)</v>
          </cell>
          <cell r="H3338">
            <v>0.44176706827309237</v>
          </cell>
          <cell r="I3338" t="str">
            <v>jam</v>
          </cell>
        </row>
        <row r="3342">
          <cell r="J3342" t="str">
            <v>Berlanjut ke hal. berikut.</v>
          </cell>
        </row>
        <row r="3343">
          <cell r="A3343" t="str">
            <v>ITEM PEMBAYARAN NO.</v>
          </cell>
          <cell r="D3343" t="str">
            <v>: 5.5.(3)</v>
          </cell>
          <cell r="J3343" t="str">
            <v>Analisa EI-718</v>
          </cell>
        </row>
        <row r="3344">
          <cell r="A3344" t="str">
            <v>JENIS PEKERJAAN</v>
          </cell>
          <cell r="D3344" t="str">
            <v>: Pekerjaan LPAS Kelas C</v>
          </cell>
        </row>
        <row r="3345">
          <cell r="A3345" t="str">
            <v>SATUAN PEMBAYARAN</v>
          </cell>
          <cell r="D3345" t="str">
            <v>:  M3</v>
          </cell>
          <cell r="H3345" t="str">
            <v xml:space="preserve">        URAIAN ANALISA HARGA SATUAN</v>
          </cell>
        </row>
        <row r="3346">
          <cell r="J3346" t="str">
            <v>Lanjutan</v>
          </cell>
        </row>
        <row r="3348">
          <cell r="A3348" t="str">
            <v>No.</v>
          </cell>
          <cell r="C3348" t="str">
            <v>U R A I A N</v>
          </cell>
          <cell r="G3348" t="str">
            <v>KODE</v>
          </cell>
          <cell r="H3348" t="str">
            <v>KOEF.</v>
          </cell>
          <cell r="I3348" t="str">
            <v>SATUAN</v>
          </cell>
          <cell r="J3348" t="str">
            <v>KETERANGAN</v>
          </cell>
        </row>
        <row r="3351">
          <cell r="A3351" t="str">
            <v>2.b.</v>
          </cell>
          <cell r="C3351" t="str">
            <v>WATER TANK TRUCK</v>
          </cell>
          <cell r="G3351" t="str">
            <v>(E23)</v>
          </cell>
        </row>
        <row r="3352">
          <cell r="C3352" t="str">
            <v>Volume Tanki Air</v>
          </cell>
          <cell r="G3352" t="str">
            <v>V</v>
          </cell>
          <cell r="H3352">
            <v>4</v>
          </cell>
          <cell r="I3352" t="str">
            <v>M3</v>
          </cell>
        </row>
        <row r="3353">
          <cell r="C3353" t="str">
            <v>Kebutuhan air / M3 beton</v>
          </cell>
          <cell r="G3353" t="str">
            <v>Wc</v>
          </cell>
          <cell r="H3353">
            <v>0.16604999999999998</v>
          </cell>
          <cell r="I3353" t="str">
            <v>M3</v>
          </cell>
        </row>
        <row r="3354">
          <cell r="C3354" t="str">
            <v>Faktor Efiesiensi Alat</v>
          </cell>
          <cell r="G3354" t="str">
            <v>Fa</v>
          </cell>
          <cell r="H3354">
            <v>0.83</v>
          </cell>
          <cell r="I3354" t="str">
            <v>-</v>
          </cell>
        </row>
        <row r="3355">
          <cell r="C3355" t="str">
            <v>Pengisian Tanki / jam</v>
          </cell>
          <cell r="G3355" t="str">
            <v>n</v>
          </cell>
          <cell r="H3355">
            <v>1</v>
          </cell>
          <cell r="I3355" t="str">
            <v>kali</v>
          </cell>
        </row>
        <row r="3357">
          <cell r="C3357" t="str">
            <v>Kap. Prod. / jam  =</v>
          </cell>
          <cell r="D3357" t="str">
            <v>V x Fa x n</v>
          </cell>
          <cell r="G3357" t="str">
            <v>Q2</v>
          </cell>
          <cell r="H3357">
            <v>19.993977717554955</v>
          </cell>
          <cell r="I3357" t="str">
            <v>M3</v>
          </cell>
        </row>
        <row r="3358">
          <cell r="D3358" t="str">
            <v>Wc</v>
          </cell>
        </row>
        <row r="3360">
          <cell r="C3360" t="str">
            <v>Koefisien Alat / M3</v>
          </cell>
          <cell r="D3360" t="str">
            <v xml:space="preserve">  =   1  :  Q2</v>
          </cell>
          <cell r="G3360" t="str">
            <v>(E23)</v>
          </cell>
          <cell r="H3360">
            <v>5.0015060240963853E-2</v>
          </cell>
          <cell r="I3360" t="str">
            <v>jam</v>
          </cell>
        </row>
        <row r="3362">
          <cell r="A3362" t="str">
            <v>2.c.</v>
          </cell>
          <cell r="C3362" t="str">
            <v>CONCRETE VIBRATOR</v>
          </cell>
          <cell r="G3362" t="str">
            <v>(E20)</v>
          </cell>
        </row>
        <row r="3363">
          <cell r="C3363" t="str">
            <v>Kebutuhan Alat Penggetar Beton ini disesuaikan dengan</v>
          </cell>
        </row>
        <row r="3364">
          <cell r="C3364" t="str">
            <v>kapasitas produksi Alat Pencampur (Concrete Mixer)</v>
          </cell>
        </row>
        <row r="3366">
          <cell r="C3366" t="str">
            <v>Kap. Prod. / jam  =</v>
          </cell>
          <cell r="D3366" t="str">
            <v>Kap.Prod./Jam Alat Concrete Mixer</v>
          </cell>
          <cell r="G3366" t="str">
            <v>Q3</v>
          </cell>
          <cell r="H3366">
            <v>2.2636363636363637</v>
          </cell>
          <cell r="I3366" t="str">
            <v>M3</v>
          </cell>
        </row>
        <row r="3368">
          <cell r="C3368" t="str">
            <v>Koefisien Alat / M3</v>
          </cell>
          <cell r="D3368" t="str">
            <v xml:space="preserve">  =   1  :  Q3</v>
          </cell>
          <cell r="G3368" t="str">
            <v>(E20)</v>
          </cell>
          <cell r="H3368">
            <v>0.44176706827309237</v>
          </cell>
          <cell r="I3368" t="str">
            <v>jam</v>
          </cell>
        </row>
        <row r="3370">
          <cell r="A3370" t="str">
            <v>2.c.</v>
          </cell>
          <cell r="C3370" t="str">
            <v>ALAT BANTU</v>
          </cell>
        </row>
        <row r="3371">
          <cell r="C3371" t="str">
            <v>Diperlukan  :</v>
          </cell>
        </row>
        <row r="3372">
          <cell r="C3372" t="str">
            <v>- Sekop</v>
          </cell>
          <cell r="D3372" t="str">
            <v>=  2  buah</v>
          </cell>
        </row>
        <row r="3373">
          <cell r="C3373" t="str">
            <v>- Pacul</v>
          </cell>
          <cell r="D3373" t="str">
            <v>=  2  buah</v>
          </cell>
        </row>
        <row r="3374">
          <cell r="C3374" t="str">
            <v>- Sendok Semen</v>
          </cell>
          <cell r="D3374" t="str">
            <v>=  2  buah</v>
          </cell>
        </row>
        <row r="3375">
          <cell r="C3375" t="str">
            <v>- Ember Cor</v>
          </cell>
          <cell r="D3375" t="str">
            <v>=  4  buah</v>
          </cell>
        </row>
        <row r="3376">
          <cell r="C3376" t="str">
            <v>- Gerobak Dorong</v>
          </cell>
          <cell r="D3376" t="str">
            <v>=  1  buah</v>
          </cell>
        </row>
        <row r="3378">
          <cell r="A3378" t="str">
            <v>3.</v>
          </cell>
          <cell r="C3378" t="str">
            <v>TENAGA</v>
          </cell>
        </row>
        <row r="3379">
          <cell r="C3379" t="str">
            <v>Produksi Beton dalam 1 hari</v>
          </cell>
          <cell r="E3379" t="str">
            <v>=  Tk x Q1</v>
          </cell>
          <cell r="G3379" t="str">
            <v>Qt</v>
          </cell>
          <cell r="H3379">
            <v>15.845454545454546</v>
          </cell>
          <cell r="I3379" t="str">
            <v>M3</v>
          </cell>
        </row>
        <row r="3381">
          <cell r="C3381" t="str">
            <v>Kebutuhan tenaga :</v>
          </cell>
          <cell r="D3381" t="str">
            <v>- Mandor</v>
          </cell>
          <cell r="G3381" t="str">
            <v>M</v>
          </cell>
          <cell r="H3381">
            <v>1</v>
          </cell>
          <cell r="I3381" t="str">
            <v>orang</v>
          </cell>
        </row>
        <row r="3382">
          <cell r="D3382" t="str">
            <v>- Tukang</v>
          </cell>
          <cell r="G3382" t="str">
            <v>Tb</v>
          </cell>
          <cell r="H3382">
            <v>4</v>
          </cell>
          <cell r="I3382" t="str">
            <v>orang</v>
          </cell>
        </row>
        <row r="3383">
          <cell r="D3383" t="str">
            <v>- Pekerja</v>
          </cell>
          <cell r="G3383" t="str">
            <v>P</v>
          </cell>
          <cell r="H3383">
            <v>12</v>
          </cell>
          <cell r="I3383" t="str">
            <v>orang</v>
          </cell>
        </row>
        <row r="3385">
          <cell r="C3385" t="str">
            <v>Koefisien Tenaga / M3   :</v>
          </cell>
        </row>
        <row r="3386">
          <cell r="D3386" t="str">
            <v>-  Mandor</v>
          </cell>
          <cell r="E3386" t="str">
            <v>= (Tk x M) : Qt</v>
          </cell>
          <cell r="G3386" t="str">
            <v>(L03)</v>
          </cell>
          <cell r="H3386">
            <v>0.44176706827309237</v>
          </cell>
          <cell r="I3386" t="str">
            <v>jam</v>
          </cell>
        </row>
        <row r="3387">
          <cell r="D3387" t="str">
            <v>-  Tukang</v>
          </cell>
          <cell r="E3387" t="str">
            <v>= (Tk x Tb) : Qt</v>
          </cell>
          <cell r="G3387" t="str">
            <v>(L02)</v>
          </cell>
          <cell r="H3387">
            <v>1.7670682730923695</v>
          </cell>
          <cell r="I3387" t="str">
            <v>jam</v>
          </cell>
        </row>
        <row r="3388">
          <cell r="D3388" t="str">
            <v>-  Pekerja</v>
          </cell>
          <cell r="E3388" t="str">
            <v>= (Tk x P) : Qt</v>
          </cell>
          <cell r="G3388" t="str">
            <v>(L01)</v>
          </cell>
          <cell r="H3388">
            <v>5.3012048192771086</v>
          </cell>
          <cell r="I3388" t="str">
            <v>jam</v>
          </cell>
        </row>
        <row r="3391">
          <cell r="A3391" t="str">
            <v>4.</v>
          </cell>
          <cell r="C3391" t="str">
            <v>HARGA DASAR SATUAN UPAH, BAHAN DAN ALAT</v>
          </cell>
        </row>
        <row r="3392">
          <cell r="C3392" t="str">
            <v>Lihat lampiran.</v>
          </cell>
        </row>
        <row r="3401">
          <cell r="J3401" t="str">
            <v>Berlanjut ke hal. berikut.</v>
          </cell>
        </row>
        <row r="3402">
          <cell r="A3402" t="str">
            <v>ITEM PEMBAYARAN NO.</v>
          </cell>
          <cell r="D3402" t="str">
            <v>: 5.5.(3)</v>
          </cell>
          <cell r="J3402" t="str">
            <v>Analisa EI-718</v>
          </cell>
        </row>
        <row r="3403">
          <cell r="A3403" t="str">
            <v>JENIS PEKERJAAN</v>
          </cell>
          <cell r="D3403" t="str">
            <v>: Pekerjaan LPAS Kelas C</v>
          </cell>
        </row>
        <row r="3404">
          <cell r="A3404" t="str">
            <v>SATUAN PEMBAYARAN</v>
          </cell>
          <cell r="D3404" t="str">
            <v>:  M3</v>
          </cell>
          <cell r="H3404" t="str">
            <v xml:space="preserve">        URAIAN ANALISA HARGA SATUAN</v>
          </cell>
        </row>
        <row r="3405">
          <cell r="J3405" t="str">
            <v>Lanjutan</v>
          </cell>
        </row>
        <row r="3407">
          <cell r="A3407" t="str">
            <v>No.</v>
          </cell>
          <cell r="C3407" t="str">
            <v>U R A I A N</v>
          </cell>
          <cell r="G3407" t="str">
            <v>KODE</v>
          </cell>
          <cell r="H3407" t="str">
            <v>KOEF.</v>
          </cell>
          <cell r="I3407" t="str">
            <v>SATUAN</v>
          </cell>
          <cell r="J3407" t="str">
            <v>KETERANGAN</v>
          </cell>
        </row>
        <row r="3410">
          <cell r="A3410" t="str">
            <v>5.</v>
          </cell>
          <cell r="C3410" t="str">
            <v>ANALISA HARGA SATUAN PEKERJAAN</v>
          </cell>
        </row>
        <row r="3411">
          <cell r="C3411" t="str">
            <v>Lihat perhitungan dalam FORMULIR STANDAR UNTUK</v>
          </cell>
        </row>
        <row r="3412">
          <cell r="C3412" t="str">
            <v>PEREKEMAN ANALISA MASING-MASING HARGA</v>
          </cell>
        </row>
        <row r="3413">
          <cell r="C3413" t="str">
            <v>SATUAN.</v>
          </cell>
        </row>
        <row r="3414">
          <cell r="C3414" t="str">
            <v>Didapat Harga Satuan Pekerjaan :</v>
          </cell>
        </row>
        <row r="3416">
          <cell r="C3416" t="str">
            <v xml:space="preserve">Rp.  </v>
          </cell>
          <cell r="D3416">
            <v>634714.46174467704</v>
          </cell>
          <cell r="E3416" t="str">
            <v xml:space="preserve"> / M3</v>
          </cell>
        </row>
        <row r="3419">
          <cell r="A3419" t="str">
            <v>6.</v>
          </cell>
          <cell r="C3419" t="str">
            <v>MASA PELAKSANAAN YANG DIPERLUKAN</v>
          </cell>
        </row>
        <row r="3420">
          <cell r="C3420" t="str">
            <v>Masa Pelaksanaan :</v>
          </cell>
          <cell r="D3420" t="str">
            <v>. . . . . . . . . . . .</v>
          </cell>
        </row>
        <row r="3422">
          <cell r="A3422" t="str">
            <v>7.</v>
          </cell>
          <cell r="C3422" t="str">
            <v>VOLUME PEKERJAAN YANG DIPERLUKAN</v>
          </cell>
        </row>
        <row r="3423">
          <cell r="C3423" t="str">
            <v>Volume pekerjaan  :</v>
          </cell>
          <cell r="D3423">
            <v>1</v>
          </cell>
          <cell r="E3423" t="str">
            <v>M3</v>
          </cell>
        </row>
        <row r="3463">
          <cell r="A3463" t="str">
            <v>ITEM  PEMBAYARAN</v>
          </cell>
          <cell r="D3463" t="str">
            <v xml:space="preserve">:  5.7 (1) </v>
          </cell>
          <cell r="J3463" t="str">
            <v>Analisa EI-7171</v>
          </cell>
        </row>
        <row r="3464">
          <cell r="A3464" t="str">
            <v>JENIS PEKERJAAN</v>
          </cell>
          <cell r="D3464" t="str">
            <v>: Wet  Lean Concrete (Tebal 10 cm)</v>
          </cell>
        </row>
        <row r="3465">
          <cell r="A3465" t="str">
            <v xml:space="preserve">SATUAN                                          </v>
          </cell>
          <cell r="E3465" t="str">
            <v>: M2</v>
          </cell>
        </row>
        <row r="3469">
          <cell r="A3469" t="str">
            <v>UNIT PERHITUNGAN :</v>
          </cell>
          <cell r="D3469">
            <v>100</v>
          </cell>
          <cell r="E3469" t="str">
            <v>M3</v>
          </cell>
          <cell r="G3469" t="str">
            <v xml:space="preserve">        URAIAN ANALISA HARGA SATUAN</v>
          </cell>
        </row>
        <row r="3471">
          <cell r="A3471" t="str">
            <v>No.</v>
          </cell>
          <cell r="C3471" t="str">
            <v>U R A I A N</v>
          </cell>
          <cell r="G3471" t="str">
            <v>KODE</v>
          </cell>
          <cell r="H3471" t="str">
            <v>KOEF.</v>
          </cell>
          <cell r="I3471" t="str">
            <v>SATUAN</v>
          </cell>
          <cell r="J3471" t="str">
            <v>KETERANGAN</v>
          </cell>
        </row>
        <row r="3474">
          <cell r="A3474" t="str">
            <v>I.</v>
          </cell>
          <cell r="C3474" t="str">
            <v>ASUMSI</v>
          </cell>
        </row>
        <row r="3475">
          <cell r="A3475">
            <v>1</v>
          </cell>
          <cell r="C3475" t="str">
            <v xml:space="preserve">Menggunakan cara mekanik  </v>
          </cell>
        </row>
        <row r="3476">
          <cell r="A3476">
            <v>2</v>
          </cell>
          <cell r="C3476" t="str">
            <v>Tebal   Lean Concrete  =</v>
          </cell>
          <cell r="H3476">
            <v>10</v>
          </cell>
          <cell r="I3476" t="str">
            <v>CM</v>
          </cell>
        </row>
        <row r="3477">
          <cell r="A3477">
            <v>3</v>
          </cell>
          <cell r="C3477" t="str">
            <v>Beton  ready mix  diterima  di lokasi  pekerjaan</v>
          </cell>
        </row>
        <row r="3478">
          <cell r="A3478">
            <v>4</v>
          </cell>
          <cell r="C3478" t="str">
            <v>Jam kerja efektif per-hari</v>
          </cell>
          <cell r="G3478" t="str">
            <v>Tk</v>
          </cell>
          <cell r="H3478">
            <v>7</v>
          </cell>
          <cell r="I3478" t="str">
            <v>jam</v>
          </cell>
        </row>
        <row r="3479">
          <cell r="A3479">
            <v>5</v>
          </cell>
          <cell r="C3479" t="str">
            <v>Harga ready mix franco lokasi/ proyek</v>
          </cell>
          <cell r="G3479" t="str">
            <v/>
          </cell>
          <cell r="H3479" t="str">
            <v/>
          </cell>
          <cell r="I3479" t="str">
            <v/>
          </cell>
        </row>
        <row r="3480">
          <cell r="C3480" t="str">
            <v/>
          </cell>
        </row>
        <row r="3481">
          <cell r="C3481" t="str">
            <v/>
          </cell>
        </row>
        <row r="3482">
          <cell r="A3482" t="str">
            <v/>
          </cell>
        </row>
        <row r="3484">
          <cell r="A3484" t="str">
            <v>II.</v>
          </cell>
          <cell r="C3484" t="str">
            <v>URUTAN KERJA</v>
          </cell>
        </row>
        <row r="3485">
          <cell r="A3485">
            <v>1</v>
          </cell>
          <cell r="C3485" t="str">
            <v>Mal /bekisting/form work  dipersiapkan sesuai dengan</v>
          </cell>
        </row>
        <row r="3486">
          <cell r="C3486" t="str">
            <v>gambar dan persyaratan</v>
          </cell>
        </row>
        <row r="3487">
          <cell r="A3487">
            <v>2</v>
          </cell>
          <cell r="C3487" t="str">
            <v>Beton di-cor ke dalam mal yang telah disiapkan</v>
          </cell>
        </row>
        <row r="3488">
          <cell r="A3488">
            <v>3</v>
          </cell>
          <cell r="C3488" t="str">
            <v xml:space="preserve">Penghamparan dan perataan dilakukan dengan </v>
          </cell>
        </row>
        <row r="3489">
          <cell r="C3489" t="str">
            <v>dengan memakai alat Slip Form Paver</v>
          </cell>
        </row>
        <row r="3490">
          <cell r="A3490" t="str">
            <v/>
          </cell>
        </row>
        <row r="3491">
          <cell r="A3491" t="str">
            <v>III.</v>
          </cell>
          <cell r="C3491" t="str">
            <v>PEMAKAIAN BAHAN, ALAT DAN TENAGA</v>
          </cell>
        </row>
        <row r="3493">
          <cell r="A3493">
            <v>1</v>
          </cell>
          <cell r="C3493" t="str">
            <v>BAHAN</v>
          </cell>
        </row>
        <row r="3494">
          <cell r="A3494" t="str">
            <v>1.a.</v>
          </cell>
          <cell r="C3494" t="str">
            <v>Beton  K-125 Ready mix =  100  * 1.05</v>
          </cell>
          <cell r="H3494">
            <v>105</v>
          </cell>
          <cell r="I3494" t="str">
            <v>M3</v>
          </cell>
        </row>
        <row r="3495">
          <cell r="C3495" t="str">
            <v>Volume  Beton  per M2 = 0,1*1 =</v>
          </cell>
          <cell r="E3495" t="str">
            <v>0,1  M3</v>
          </cell>
        </row>
        <row r="3496">
          <cell r="A3496" t="str">
            <v>b</v>
          </cell>
          <cell r="C3496" t="str">
            <v>Form Work</v>
          </cell>
          <cell r="D3496" t="str">
            <v>= 0.1*100</v>
          </cell>
          <cell r="H3496">
            <v>20</v>
          </cell>
          <cell r="I3496" t="str">
            <v>M2</v>
          </cell>
        </row>
        <row r="3498">
          <cell r="A3498" t="str">
            <v>2.</v>
          </cell>
          <cell r="C3498" t="str">
            <v>ALAT</v>
          </cell>
        </row>
        <row r="3499">
          <cell r="A3499" t="str">
            <v>2.a.</v>
          </cell>
          <cell r="C3499" t="str">
            <v>EXCAVATOR</v>
          </cell>
          <cell r="G3499" t="str">
            <v>(E10)</v>
          </cell>
        </row>
        <row r="3500">
          <cell r="C3500" t="str">
            <v>Kapasitas Bucket</v>
          </cell>
          <cell r="G3500" t="str">
            <v>V</v>
          </cell>
          <cell r="H3500">
            <v>0.93</v>
          </cell>
          <cell r="I3500" t="str">
            <v>M3</v>
          </cell>
        </row>
        <row r="3501">
          <cell r="C3501" t="str">
            <v>Faktor Bucket</v>
          </cell>
          <cell r="G3501" t="str">
            <v>Fb</v>
          </cell>
          <cell r="H3501">
            <v>1</v>
          </cell>
          <cell r="I3501" t="str">
            <v>-</v>
          </cell>
        </row>
        <row r="3502">
          <cell r="C3502" t="str">
            <v>Faktor  Efisiensi alat</v>
          </cell>
          <cell r="G3502" t="str">
            <v>Fa</v>
          </cell>
          <cell r="H3502">
            <v>0.83</v>
          </cell>
          <cell r="I3502" t="str">
            <v>-</v>
          </cell>
        </row>
        <row r="3503">
          <cell r="C3503" t="str">
            <v>Faktor Konversi</v>
          </cell>
          <cell r="G3503" t="str">
            <v>Fv</v>
          </cell>
          <cell r="H3503">
            <v>0.9</v>
          </cell>
        </row>
        <row r="3505">
          <cell r="C3505" t="str">
            <v>Waktu siklus</v>
          </cell>
          <cell r="G3505" t="str">
            <v>Ts1</v>
          </cell>
        </row>
        <row r="3506">
          <cell r="C3506" t="str">
            <v>- Menggali,  memuat dan berputar</v>
          </cell>
          <cell r="G3506" t="str">
            <v>T1</v>
          </cell>
          <cell r="H3506">
            <v>0.317</v>
          </cell>
          <cell r="I3506" t="str">
            <v>menit</v>
          </cell>
        </row>
        <row r="3507">
          <cell r="C3507" t="str">
            <v>- Lain-lain</v>
          </cell>
          <cell r="G3507" t="str">
            <v>T2</v>
          </cell>
          <cell r="H3507">
            <v>0.5</v>
          </cell>
          <cell r="I3507" t="str">
            <v>menit</v>
          </cell>
        </row>
        <row r="3508">
          <cell r="G3508" t="str">
            <v>Ts1</v>
          </cell>
          <cell r="H3508">
            <v>0.81699999999999995</v>
          </cell>
          <cell r="I3508" t="str">
            <v>menit</v>
          </cell>
        </row>
        <row r="3510">
          <cell r="C3510" t="str">
            <v>Kap. Prod. / jam =</v>
          </cell>
          <cell r="D3510" t="str">
            <v>V  x Fb x Fa x Fv x  60</v>
          </cell>
          <cell r="G3510" t="str">
            <v>Q1</v>
          </cell>
          <cell r="H3510">
            <v>5.1019094247246022</v>
          </cell>
          <cell r="I3510" t="str">
            <v xml:space="preserve">M3  </v>
          </cell>
        </row>
        <row r="3511">
          <cell r="D3511" t="str">
            <v>Ts1 x Fk</v>
          </cell>
        </row>
        <row r="3513">
          <cell r="C3513" t="str">
            <v>Koefisien Alat / M3</v>
          </cell>
          <cell r="D3513" t="str">
            <v xml:space="preserve"> =  1  :  Q1</v>
          </cell>
          <cell r="G3513" t="str">
            <v>-</v>
          </cell>
          <cell r="H3513">
            <v>0.19600504766977109</v>
          </cell>
          <cell r="I3513" t="str">
            <v>Jam</v>
          </cell>
        </row>
        <row r="3517">
          <cell r="A3517" t="str">
            <v>2.b.</v>
          </cell>
          <cell r="C3517" t="str">
            <v>SLIP FORM PAVER</v>
          </cell>
        </row>
        <row r="3522">
          <cell r="A3522" t="str">
            <v>2.c.</v>
          </cell>
          <cell r="C3522" t="str">
            <v>CONCRETE VIBRATOR</v>
          </cell>
          <cell r="G3522" t="str">
            <v>(E20)</v>
          </cell>
        </row>
        <row r="3523">
          <cell r="C3523" t="str">
            <v>Kebutuhan Alat Penggetar Beton ini disesuaikan dengan</v>
          </cell>
        </row>
        <row r="3524">
          <cell r="C3524" t="str">
            <v>kapasitas produksi Concrete  Pump</v>
          </cell>
        </row>
        <row r="3525">
          <cell r="C3525" t="str">
            <v>Kap. Prod. / jam  =</v>
          </cell>
          <cell r="G3525" t="str">
            <v>Q3</v>
          </cell>
          <cell r="H3525">
            <v>10</v>
          </cell>
          <cell r="I3525" t="str">
            <v>M3</v>
          </cell>
          <cell r="J3525" t="str">
            <v>Cek Kap prod</v>
          </cell>
        </row>
        <row r="3526">
          <cell r="C3526" t="str">
            <v xml:space="preserve">Kebutuhan utk </v>
          </cell>
          <cell r="D3526">
            <v>100</v>
          </cell>
          <cell r="E3526" t="str">
            <v>M3</v>
          </cell>
          <cell r="G3526" t="str">
            <v>(E20)</v>
          </cell>
          <cell r="H3526">
            <v>10.5</v>
          </cell>
          <cell r="I3526" t="str">
            <v>jam</v>
          </cell>
        </row>
        <row r="3528">
          <cell r="A3528" t="str">
            <v>2.c.</v>
          </cell>
          <cell r="C3528" t="str">
            <v>ALAT BANTU</v>
          </cell>
        </row>
        <row r="3529">
          <cell r="C3529" t="str">
            <v>Diperlukan  :</v>
          </cell>
        </row>
        <row r="3530">
          <cell r="C3530" t="str">
            <v>- Sekop</v>
          </cell>
          <cell r="D3530" t="str">
            <v>=  2  buah</v>
          </cell>
        </row>
        <row r="3531">
          <cell r="C3531" t="str">
            <v>- Pacul</v>
          </cell>
          <cell r="D3531" t="str">
            <v>=  2  buah</v>
          </cell>
        </row>
        <row r="3532">
          <cell r="C3532" t="str">
            <v>Dan lain-lain</v>
          </cell>
        </row>
        <row r="3534">
          <cell r="A3534" t="str">
            <v>3.</v>
          </cell>
          <cell r="C3534" t="str">
            <v>TENAGA</v>
          </cell>
        </row>
        <row r="3535">
          <cell r="C3535" t="str">
            <v xml:space="preserve">Kebutuhan utk </v>
          </cell>
          <cell r="D3535">
            <v>100</v>
          </cell>
          <cell r="E3535" t="str">
            <v>M3</v>
          </cell>
        </row>
        <row r="3536">
          <cell r="C3536" t="str">
            <v>- Pengawas</v>
          </cell>
          <cell r="E3536" t="str">
            <v/>
          </cell>
          <cell r="G3536" t="str">
            <v>Pg</v>
          </cell>
          <cell r="H3536">
            <v>7</v>
          </cell>
          <cell r="I3536" t="str">
            <v>hour</v>
          </cell>
        </row>
        <row r="3537">
          <cell r="C3537" t="str">
            <v>- Mandor</v>
          </cell>
          <cell r="E3537" t="str">
            <v>= 1 orang hari</v>
          </cell>
          <cell r="G3537" t="str">
            <v>M</v>
          </cell>
          <cell r="H3537">
            <v>21</v>
          </cell>
          <cell r="I3537" t="str">
            <v>hour</v>
          </cell>
        </row>
        <row r="3538">
          <cell r="C3538" t="str">
            <v>- Tukang/ Tenaga  trampil</v>
          </cell>
          <cell r="E3538" t="str">
            <v/>
          </cell>
          <cell r="G3538" t="str">
            <v>Tb</v>
          </cell>
          <cell r="H3538">
            <v>35</v>
          </cell>
          <cell r="I3538" t="str">
            <v>hour</v>
          </cell>
        </row>
        <row r="3539">
          <cell r="C3539" t="str">
            <v>- Pekerja</v>
          </cell>
          <cell r="E3539" t="str">
            <v>= 2 orang hari</v>
          </cell>
          <cell r="G3539" t="str">
            <v>P</v>
          </cell>
          <cell r="H3539">
            <v>49</v>
          </cell>
          <cell r="I3539" t="str">
            <v>hour</v>
          </cell>
        </row>
        <row r="3542">
          <cell r="C3542" t="str">
            <v>DOMINAN: Slip Form Paver</v>
          </cell>
        </row>
        <row r="3553">
          <cell r="A3553" t="str">
            <v>ITEM  PEMBAYARAN</v>
          </cell>
          <cell r="E3553" t="str">
            <v xml:space="preserve">:  5.7 (1) </v>
          </cell>
          <cell r="J3553" t="str">
            <v>Analisa EI-7171</v>
          </cell>
        </row>
        <row r="3554">
          <cell r="A3554" t="str">
            <v>JENIS PEKERJAAN</v>
          </cell>
          <cell r="E3554" t="str">
            <v>: Wet  Lean Concrete (Tebal 10 cm)</v>
          </cell>
        </row>
        <row r="3555">
          <cell r="A3555" t="str">
            <v xml:space="preserve">SATUAN                                          </v>
          </cell>
          <cell r="E3555" t="str">
            <v>: M3</v>
          </cell>
        </row>
        <row r="3558">
          <cell r="A3558" t="str">
            <v>UNIT PERHITUNGAN :</v>
          </cell>
          <cell r="D3558">
            <v>100</v>
          </cell>
          <cell r="E3558" t="str">
            <v>M3</v>
          </cell>
          <cell r="G3558" t="str">
            <v xml:space="preserve">        URAIAN ANALISA HARGA SATUAN</v>
          </cell>
        </row>
        <row r="3560">
          <cell r="A3560" t="str">
            <v>4.</v>
          </cell>
          <cell r="C3560" t="str">
            <v>HARGA DASAR SATUAN UPAH, BAHAN DAN ALAT</v>
          </cell>
        </row>
        <row r="3561">
          <cell r="C3561" t="str">
            <v>Lihat lampiran.</v>
          </cell>
        </row>
        <row r="3563">
          <cell r="A3563" t="str">
            <v>5.</v>
          </cell>
          <cell r="C3563" t="str">
            <v>ANALISA HARGA SATUAN PEKERJAAN</v>
          </cell>
        </row>
        <row r="3564">
          <cell r="C3564" t="str">
            <v>Lihat perhitungan dalam FORMULIR STANDAR UNTUK</v>
          </cell>
        </row>
        <row r="3565">
          <cell r="C3565" t="str">
            <v>PEREKEMAN ANALISA MASING-MASING HARGA</v>
          </cell>
        </row>
        <row r="3566">
          <cell r="C3566" t="str">
            <v>SATUAN.</v>
          </cell>
        </row>
        <row r="3567">
          <cell r="C3567" t="str">
            <v>Didapat Harga Satuan Pekerjaan :</v>
          </cell>
        </row>
        <row r="3569">
          <cell r="C3569" t="str">
            <v xml:space="preserve">Rp.  </v>
          </cell>
          <cell r="D3569">
            <v>56726.178538879387</v>
          </cell>
          <cell r="E3569" t="str">
            <v xml:space="preserve"> / M2</v>
          </cell>
        </row>
        <row r="3572">
          <cell r="A3572" t="str">
            <v>6.</v>
          </cell>
          <cell r="C3572" t="str">
            <v>WAKTU PELAKSANAAN YANG DIPERLUKAN</v>
          </cell>
        </row>
        <row r="3573">
          <cell r="C3573" t="str">
            <v>Masa Pelaksanaan :</v>
          </cell>
          <cell r="D3573" t="str">
            <v>. . . . . . . . . . . .</v>
          </cell>
          <cell r="E3573" t="str">
            <v>bulan</v>
          </cell>
        </row>
        <row r="3575">
          <cell r="A3575" t="str">
            <v>7.</v>
          </cell>
          <cell r="C3575" t="str">
            <v>VOLUME PEKERJAAN YANG DIPERLUKAN</v>
          </cell>
        </row>
        <row r="3576">
          <cell r="C3576" t="str">
            <v>Volume pekerjaan  :</v>
          </cell>
          <cell r="D3576">
            <v>1</v>
          </cell>
          <cell r="E3576" t="str">
            <v>M2</v>
          </cell>
        </row>
        <row r="3582">
          <cell r="A3582" t="str">
            <v>ITEM PEMBAYARAN NO.</v>
          </cell>
          <cell r="D3582" t="str">
            <v>:  5.7 (2)</v>
          </cell>
          <cell r="J3582" t="str">
            <v>Analisa EI-511</v>
          </cell>
        </row>
        <row r="3583">
          <cell r="A3583" t="str">
            <v>JENIS PEKERJAAN</v>
          </cell>
          <cell r="D3583" t="str">
            <v>: Sand Bedding (t=5 cm)</v>
          </cell>
        </row>
        <row r="3584">
          <cell r="A3584" t="str">
            <v>SATUAN PEMBAYARAN</v>
          </cell>
          <cell r="D3584" t="str">
            <v>:  M2</v>
          </cell>
          <cell r="H3584" t="str">
            <v xml:space="preserve">         URAIAN ANALISA HARGA SATUAN</v>
          </cell>
        </row>
        <row r="3587">
          <cell r="A3587" t="str">
            <v>No.</v>
          </cell>
          <cell r="C3587" t="str">
            <v>U R A I A N</v>
          </cell>
          <cell r="G3587" t="str">
            <v>KODE</v>
          </cell>
          <cell r="H3587" t="str">
            <v>KOEF.</v>
          </cell>
          <cell r="I3587" t="str">
            <v>SATUAN</v>
          </cell>
          <cell r="J3587" t="str">
            <v>KETERANGAN</v>
          </cell>
        </row>
        <row r="3590">
          <cell r="A3590" t="str">
            <v>I.</v>
          </cell>
          <cell r="C3590" t="str">
            <v>ASUMSI</v>
          </cell>
        </row>
        <row r="3591">
          <cell r="A3591">
            <v>1</v>
          </cell>
          <cell r="C3591" t="str">
            <v>Pekerjaan dilakukan secara mekanis</v>
          </cell>
        </row>
        <row r="3592">
          <cell r="A3592">
            <v>2</v>
          </cell>
          <cell r="C3592" t="str">
            <v>Lokasi pekerjaan : sepanjang jalan</v>
          </cell>
        </row>
        <row r="3593">
          <cell r="A3593">
            <v>3</v>
          </cell>
          <cell r="C3593" t="str">
            <v>Kondisi Jalan   :  sedang / baik</v>
          </cell>
        </row>
        <row r="3594">
          <cell r="A3594">
            <v>4</v>
          </cell>
          <cell r="C3594" t="str">
            <v>Jam kerja efektif per-hari</v>
          </cell>
          <cell r="G3594" t="str">
            <v>Tk</v>
          </cell>
          <cell r="H3594">
            <v>7</v>
          </cell>
          <cell r="I3594" t="str">
            <v>Jam</v>
          </cell>
        </row>
        <row r="3595">
          <cell r="A3595">
            <v>5</v>
          </cell>
          <cell r="C3595" t="str">
            <v>Faktor pengembangan bahan</v>
          </cell>
          <cell r="G3595" t="str">
            <v>Fk</v>
          </cell>
          <cell r="H3595">
            <v>1.17</v>
          </cell>
          <cell r="I3595" t="str">
            <v>-</v>
          </cell>
        </row>
        <row r="3596">
          <cell r="A3596">
            <v>6</v>
          </cell>
          <cell r="C3596" t="str">
            <v>Tebal hamparan padat</v>
          </cell>
          <cell r="G3596" t="str">
            <v>t</v>
          </cell>
          <cell r="H3596">
            <v>0.05</v>
          </cell>
          <cell r="I3596" t="str">
            <v>M</v>
          </cell>
        </row>
        <row r="3598">
          <cell r="A3598" t="str">
            <v>II.</v>
          </cell>
          <cell r="C3598" t="str">
            <v>URUTAN KERJA</v>
          </cell>
        </row>
        <row r="3599">
          <cell r="A3599">
            <v>1</v>
          </cell>
          <cell r="C3599" t="str">
            <v>Wheel Loader memuat ke dalam Dump Truck</v>
          </cell>
        </row>
        <row r="3600">
          <cell r="A3600">
            <v>2</v>
          </cell>
          <cell r="C3600" t="str">
            <v>Dump Truck mengangkut ke lapangan dengan jarak</v>
          </cell>
        </row>
        <row r="3601">
          <cell r="C3601" t="str">
            <v>quari ke lapangan</v>
          </cell>
          <cell r="G3601" t="str">
            <v>L</v>
          </cell>
          <cell r="H3601">
            <v>80.61</v>
          </cell>
          <cell r="I3601" t="str">
            <v>Km</v>
          </cell>
        </row>
        <row r="3602">
          <cell r="A3602">
            <v>3</v>
          </cell>
          <cell r="C3602" t="str">
            <v>Material dihampar dengan menggunakan Motor Grader</v>
          </cell>
        </row>
        <row r="3603">
          <cell r="A3603">
            <v>4</v>
          </cell>
          <cell r="C3603" t="str">
            <v>Hamparan material disiram air dengan Watertank Truck</v>
          </cell>
        </row>
        <row r="3604">
          <cell r="C3604" t="str">
            <v>(sebelum pelaksanaan pemadatan) dan dipadatkan</v>
          </cell>
        </row>
        <row r="3605">
          <cell r="C3605" t="str">
            <v>dengan menggunakan Tandem Roller</v>
          </cell>
        </row>
        <row r="3606">
          <cell r="A3606">
            <v>5</v>
          </cell>
          <cell r="C3606" t="str">
            <v>Selama pemadatan sekelompok pekerja  akan</v>
          </cell>
        </row>
        <row r="3607">
          <cell r="C3607" t="str">
            <v>merapikan tepi hamparan dan level permukaan</v>
          </cell>
        </row>
        <row r="3608">
          <cell r="C3608" t="str">
            <v>dengan menggunakan alat bantu</v>
          </cell>
        </row>
        <row r="3610">
          <cell r="A3610" t="str">
            <v>III.</v>
          </cell>
          <cell r="C3610" t="str">
            <v>PEMAKAIAN BAHAN, ALAT DAN TENAGA</v>
          </cell>
        </row>
        <row r="3611">
          <cell r="A3611" t="str">
            <v xml:space="preserve">   1.</v>
          </cell>
          <cell r="C3611" t="str">
            <v>BAHAN</v>
          </cell>
        </row>
      </sheetData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pis"/>
      <sheetName val="ATB"/>
      <sheetName val="ATBC "/>
      <sheetName val="NP"/>
      <sheetName val="NP (2)"/>
      <sheetName val="K"/>
      <sheetName val="Uraian K"/>
      <sheetName val="Met_Pas Batu"/>
      <sheetName val="Met_ Minor"/>
      <sheetName val="aSPAL AC"/>
      <sheetName val="LAPIS "/>
      <sheetName val="Asbuton"/>
      <sheetName val="anl"/>
      <sheetName val="Additional"/>
      <sheetName val="El.611 LPS RESAP"/>
      <sheetName val="a-hrg"/>
      <sheetName val="a-bat"/>
      <sheetName val="Harga Satuan (2)"/>
      <sheetName val="Hotmix-Bahan di Analisa"/>
      <sheetName val="Div-6"/>
      <sheetName val="DIVISI 6. A"/>
      <sheetName val="ANTEK  DIVISI 6"/>
    </sheetNames>
    <sheetDataSet>
      <sheetData sheetId="0">
        <row r="1473">
          <cell r="A1473" t="str">
            <v>ITEM PEMBAYARAN NO.</v>
          </cell>
        </row>
      </sheetData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w"/>
      <sheetName val="K.175 - K.225"/>
      <sheetName val="K.125"/>
    </sheetNames>
    <sheetDataSet>
      <sheetData sheetId="0"/>
      <sheetData sheetId="1"/>
      <sheetData sheetId="2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UPAH"/>
      <sheetName val="BAHAN"/>
      <sheetName val="ANALISA"/>
      <sheetName val="RAB"/>
      <sheetName val="QUARY"/>
    </sheetNames>
    <sheetDataSet>
      <sheetData sheetId="0"/>
      <sheetData sheetId="1"/>
      <sheetData sheetId="2">
        <row r="35">
          <cell r="L35">
            <v>23900</v>
          </cell>
        </row>
      </sheetData>
      <sheetData sheetId="3"/>
      <sheetData sheetId="4"/>
      <sheetData sheetId="5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rga"/>
      <sheetName val="rab"/>
      <sheetName val="analisa"/>
      <sheetName val="rekap"/>
      <sheetName val="DRUP (ASLI)"/>
      <sheetName val="cover"/>
      <sheetName val="Pengesahan"/>
      <sheetName val="Analis"/>
      <sheetName val="H.b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A QUARRY"/>
      <sheetName val="ALAT"/>
      <sheetName val="UPAH &amp; BAHAN"/>
      <sheetName val="rab"/>
      <sheetName val="TM"/>
      <sheetName val="BOW "/>
      <sheetName val="K016"/>
      <sheetName val="k017"/>
      <sheetName val="k110"/>
      <sheetName val="K210"/>
      <sheetName val="k224"/>
      <sheetName val="K.225"/>
      <sheetName val="k310"/>
      <sheetName val="K321"/>
      <sheetName val="K424"/>
      <sheetName val="K516"/>
      <sheetName val="K522"/>
      <sheetName val="K618"/>
      <sheetName val="K.620"/>
      <sheetName val="K636"/>
      <sheetName val="k710"/>
      <sheetName val="k715"/>
      <sheetName val="K.720"/>
      <sheetName val="k722"/>
      <sheetName val="K725"/>
      <sheetName val="K.815"/>
      <sheetName val="K880"/>
    </sheetNames>
    <sheetDataSet>
      <sheetData sheetId="0">
        <row r="2">
          <cell r="B2" t="str">
            <v>DARI SUMBER BAHAN ( QUARRY )</v>
          </cell>
        </row>
        <row r="4">
          <cell r="G4" t="str">
            <v>HARGA</v>
          </cell>
          <cell r="H4" t="str">
            <v>JARAK</v>
          </cell>
        </row>
        <row r="5">
          <cell r="B5" t="str">
            <v>No.</v>
          </cell>
          <cell r="C5" t="str">
            <v>U R A I A N</v>
          </cell>
          <cell r="F5" t="str">
            <v>SATUAN</v>
          </cell>
          <cell r="G5" t="str">
            <v>ROYALTY</v>
          </cell>
          <cell r="H5" t="str">
            <v>QUARRY</v>
          </cell>
          <cell r="I5" t="str">
            <v>KET.</v>
          </cell>
        </row>
        <row r="6">
          <cell r="G6" t="str">
            <v>(Rp)</v>
          </cell>
          <cell r="H6" t="str">
            <v>( Km )</v>
          </cell>
        </row>
        <row r="8">
          <cell r="B8" t="str">
            <v>1.</v>
          </cell>
          <cell r="D8" t="str">
            <v>M01  -  P a s i r</v>
          </cell>
          <cell r="F8" t="str">
            <v>M3</v>
          </cell>
          <cell r="G8">
            <v>50000</v>
          </cell>
          <cell r="H8">
            <v>15</v>
          </cell>
          <cell r="I8" t="str">
            <v xml:space="preserve"> Ke Lokasi Pek.</v>
          </cell>
        </row>
        <row r="10">
          <cell r="B10" t="str">
            <v>2.</v>
          </cell>
          <cell r="D10" t="str">
            <v>M02  -  Batu Kali</v>
          </cell>
          <cell r="F10" t="str">
            <v>M3</v>
          </cell>
          <cell r="G10">
            <v>90000</v>
          </cell>
          <cell r="H10">
            <v>15</v>
          </cell>
          <cell r="I10" t="str">
            <v xml:space="preserve"> Ke Lokasi Pek.</v>
          </cell>
        </row>
        <row r="12">
          <cell r="B12" t="str">
            <v>3.</v>
          </cell>
          <cell r="D12" t="str">
            <v>M06  -  Batu Belah</v>
          </cell>
          <cell r="F12" t="str">
            <v>M3</v>
          </cell>
          <cell r="G12">
            <v>90000</v>
          </cell>
          <cell r="H12">
            <v>15</v>
          </cell>
          <cell r="I12" t="str">
            <v xml:space="preserve"> Ke Lokasi Pek.</v>
          </cell>
        </row>
        <row r="14">
          <cell r="B14" t="str">
            <v>4.</v>
          </cell>
          <cell r="D14" t="str">
            <v>M00  -  G r a v e l</v>
          </cell>
          <cell r="F14" t="str">
            <v>M3</v>
          </cell>
          <cell r="H14">
            <v>15</v>
          </cell>
          <cell r="I14" t="str">
            <v xml:space="preserve"> Ke Lokasi Pek.</v>
          </cell>
        </row>
        <row r="16">
          <cell r="B16" t="str">
            <v>5.</v>
          </cell>
          <cell r="D16" t="str">
            <v>M10  -  Aspal Cement</v>
          </cell>
          <cell r="F16" t="str">
            <v>KG</v>
          </cell>
          <cell r="G16">
            <v>6500</v>
          </cell>
          <cell r="H16">
            <v>15</v>
          </cell>
          <cell r="I16" t="str">
            <v xml:space="preserve"> Ke Lokasi Pek.</v>
          </cell>
        </row>
        <row r="18">
          <cell r="B18" t="str">
            <v>6.</v>
          </cell>
          <cell r="D18" t="str">
            <v>M15  -  S i r t u</v>
          </cell>
          <cell r="F18" t="str">
            <v>M3</v>
          </cell>
          <cell r="G18">
            <v>35000</v>
          </cell>
          <cell r="H18">
            <v>15</v>
          </cell>
          <cell r="I18" t="str">
            <v xml:space="preserve"> Ke Lokasi Pek.</v>
          </cell>
        </row>
        <row r="20">
          <cell r="B20" t="str">
            <v>7.</v>
          </cell>
          <cell r="D20" t="str">
            <v>M26  -  Pasir Urug</v>
          </cell>
          <cell r="F20" t="str">
            <v>M3</v>
          </cell>
          <cell r="G20">
            <v>35000</v>
          </cell>
          <cell r="H20">
            <v>15</v>
          </cell>
          <cell r="I20" t="str">
            <v xml:space="preserve"> Ke Lokasi Pek.</v>
          </cell>
        </row>
        <row r="22">
          <cell r="B22" t="str">
            <v>8.</v>
          </cell>
          <cell r="D22" t="str">
            <v>M07  -  Batu Pecah 5 - 7  CM</v>
          </cell>
          <cell r="F22" t="str">
            <v>M3</v>
          </cell>
          <cell r="G22">
            <v>100000</v>
          </cell>
          <cell r="H22">
            <v>15</v>
          </cell>
          <cell r="I22" t="str">
            <v xml:space="preserve"> Ke Lokasi Pek.</v>
          </cell>
        </row>
        <row r="24">
          <cell r="B24">
            <v>9</v>
          </cell>
          <cell r="D24" t="str">
            <v>M03 - Batu Pecah 3 - 5 cm</v>
          </cell>
          <cell r="F24" t="str">
            <v>M3</v>
          </cell>
          <cell r="G24">
            <v>120000</v>
          </cell>
          <cell r="H24">
            <v>15</v>
          </cell>
          <cell r="I24" t="str">
            <v xml:space="preserve"> Ke Lokasi Pek.</v>
          </cell>
        </row>
        <row r="26">
          <cell r="B26">
            <v>10</v>
          </cell>
          <cell r="D26" t="str">
            <v>M04 - Batu Pecah 2 - 3 cm</v>
          </cell>
          <cell r="F26" t="str">
            <v>M3</v>
          </cell>
          <cell r="G26">
            <v>130000</v>
          </cell>
          <cell r="H26">
            <v>15</v>
          </cell>
          <cell r="I26" t="str">
            <v xml:space="preserve"> Ke Lokasi Pek.</v>
          </cell>
        </row>
        <row r="28">
          <cell r="B28">
            <v>11</v>
          </cell>
          <cell r="D28" t="str">
            <v>M05 - Batu Pecah 1 -2 cm</v>
          </cell>
          <cell r="F28" t="str">
            <v>M3</v>
          </cell>
          <cell r="G28">
            <v>160000</v>
          </cell>
          <cell r="H28">
            <v>15</v>
          </cell>
          <cell r="I28" t="str">
            <v xml:space="preserve"> Ke Lokasi Pek.</v>
          </cell>
        </row>
        <row r="30">
          <cell r="B30">
            <v>12</v>
          </cell>
          <cell r="D30" t="str">
            <v>HRS</v>
          </cell>
          <cell r="F30" t="str">
            <v>Ton</v>
          </cell>
          <cell r="G30">
            <v>1000000</v>
          </cell>
          <cell r="H30">
            <v>60</v>
          </cell>
          <cell r="I30" t="str">
            <v>Ke Lokasi Pek.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NI"/>
      <sheetName val="BAHAN-2"/>
      <sheetName val="REKAP"/>
      <sheetName val="PENDAHULUAN"/>
      <sheetName val="STRUKTUR"/>
      <sheetName val="anl-struktur"/>
      <sheetName val="ARSITEKTUR"/>
      <sheetName val="Anl-Kusen"/>
      <sheetName val="Vol-ARS"/>
      <sheetName val="REKAP-ELEK"/>
      <sheetName val="ELEKTRIKAL"/>
      <sheetName val="REKAP-MEK"/>
      <sheetName val="MEKANIKAL"/>
      <sheetName val="GARDU-PLN"/>
      <sheetName val="KG-BESI"/>
      <sheetName val="BALOK"/>
      <sheetName val="Bahan"/>
      <sheetName val="besi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75">
          <cell r="J75">
            <v>535000</v>
          </cell>
        </row>
      </sheetData>
      <sheetData sheetId="18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NI"/>
      <sheetName val="BAHAN-2"/>
      <sheetName val="REKAP"/>
      <sheetName val="PENDAHULUAN"/>
      <sheetName val="STRUKTUR"/>
      <sheetName val="anl-struktur"/>
      <sheetName val="ARSITEKTUR"/>
      <sheetName val="Anl-Kusen"/>
      <sheetName val="Vol-ARS"/>
      <sheetName val="REKAP-ELEK"/>
      <sheetName val="ELEKTRIKAL"/>
      <sheetName val="REKAP-MEK"/>
      <sheetName val="MEKANIKAL"/>
      <sheetName val="GARDU-PLN"/>
      <sheetName val="KG-BESI"/>
      <sheetName val="BALOK"/>
      <sheetName val="Bahan"/>
      <sheetName val="besi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75">
          <cell r="J75">
            <v>535000</v>
          </cell>
        </row>
      </sheetData>
      <sheetData sheetId="18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ST"/>
      <sheetName val="SUM1"/>
      <sheetName val="2RD"/>
      <sheetName val="SUM2"/>
      <sheetName val="3TH"/>
      <sheetName val="SUM3"/>
      <sheetName val="4TH"/>
      <sheetName val="SUM4"/>
      <sheetName val="5TH"/>
      <sheetName val="Sheet1"/>
      <sheetName val="Sheet2"/>
      <sheetName val="Sheet3"/>
    </sheetNames>
    <sheetDataSet>
      <sheetData sheetId="0"/>
      <sheetData sheetId="1"/>
      <sheetData sheetId="2"/>
      <sheetData sheetId="3"/>
      <sheetData sheetId="4">
        <row r="15">
          <cell r="DR15">
            <v>7073837.4864515197</v>
          </cell>
        </row>
        <row r="16">
          <cell r="DR16">
            <v>392944588.67104131</v>
          </cell>
        </row>
        <row r="17">
          <cell r="DR17">
            <v>0</v>
          </cell>
        </row>
        <row r="18">
          <cell r="DR18">
            <v>0</v>
          </cell>
        </row>
        <row r="19">
          <cell r="DR19" t="str">
            <v/>
          </cell>
        </row>
        <row r="20">
          <cell r="DR20">
            <v>7147124.9434511662</v>
          </cell>
        </row>
        <row r="21">
          <cell r="DR21">
            <v>33566416.158041984</v>
          </cell>
        </row>
        <row r="22">
          <cell r="DR22">
            <v>1611895.8273461936</v>
          </cell>
        </row>
        <row r="23">
          <cell r="DR23" t="str">
            <v/>
          </cell>
        </row>
        <row r="24">
          <cell r="DR24" t="str">
            <v/>
          </cell>
        </row>
        <row r="25">
          <cell r="DR25" t="str">
            <v/>
          </cell>
        </row>
        <row r="26">
          <cell r="DR26">
            <v>171145658.89584208</v>
          </cell>
        </row>
        <row r="27">
          <cell r="DR27" t="str">
            <v/>
          </cell>
        </row>
        <row r="28">
          <cell r="DR28">
            <v>0</v>
          </cell>
        </row>
        <row r="29">
          <cell r="DR29">
            <v>49096094.823816702</v>
          </cell>
        </row>
        <row r="30">
          <cell r="DR30">
            <v>0</v>
          </cell>
        </row>
        <row r="31">
          <cell r="DR31">
            <v>83444182.243504569</v>
          </cell>
        </row>
        <row r="32">
          <cell r="DR32">
            <v>0</v>
          </cell>
        </row>
        <row r="33">
          <cell r="DR33">
            <v>44797209.684213921</v>
          </cell>
        </row>
        <row r="34">
          <cell r="DR34">
            <v>230080647.76457581</v>
          </cell>
        </row>
        <row r="35">
          <cell r="DR35">
            <v>0</v>
          </cell>
        </row>
        <row r="36">
          <cell r="DR36">
            <v>0</v>
          </cell>
        </row>
        <row r="37">
          <cell r="DR37">
            <v>16656867.850673551</v>
          </cell>
        </row>
        <row r="38">
          <cell r="DR38">
            <v>0</v>
          </cell>
        </row>
        <row r="39">
          <cell r="DR39">
            <v>0</v>
          </cell>
        </row>
        <row r="40">
          <cell r="DR40">
            <v>0</v>
          </cell>
        </row>
        <row r="41">
          <cell r="DR41">
            <v>0</v>
          </cell>
        </row>
        <row r="42">
          <cell r="DR42" t="str">
            <v/>
          </cell>
        </row>
        <row r="43">
          <cell r="DR43">
            <v>58082970.644215256</v>
          </cell>
        </row>
        <row r="44">
          <cell r="DR44">
            <v>0</v>
          </cell>
        </row>
        <row r="45">
          <cell r="DR45">
            <v>31322277.738503456</v>
          </cell>
        </row>
        <row r="46">
          <cell r="DR46" t="str">
            <v/>
          </cell>
        </row>
        <row r="47">
          <cell r="DR47">
            <v>0</v>
          </cell>
        </row>
        <row r="48">
          <cell r="DR48">
            <v>0</v>
          </cell>
        </row>
        <row r="49">
          <cell r="DR49">
            <v>0</v>
          </cell>
        </row>
        <row r="50">
          <cell r="DR50" t="str">
            <v/>
          </cell>
        </row>
        <row r="51">
          <cell r="DR51" t="str">
            <v/>
          </cell>
        </row>
        <row r="52">
          <cell r="DR52" t="str">
            <v/>
          </cell>
        </row>
        <row r="53">
          <cell r="DR53">
            <v>4319655.5944314068</v>
          </cell>
        </row>
        <row r="54">
          <cell r="DR54" t="str">
            <v/>
          </cell>
        </row>
        <row r="55">
          <cell r="DR55" t="str">
            <v/>
          </cell>
        </row>
        <row r="56">
          <cell r="DR56" t="str">
            <v/>
          </cell>
        </row>
        <row r="57">
          <cell r="DR57">
            <v>0</v>
          </cell>
        </row>
        <row r="58">
          <cell r="DR58" t="str">
            <v/>
          </cell>
        </row>
        <row r="59">
          <cell r="DR59">
            <v>0</v>
          </cell>
        </row>
        <row r="60">
          <cell r="DR60" t="str">
            <v/>
          </cell>
        </row>
        <row r="61">
          <cell r="DR61">
            <v>0</v>
          </cell>
        </row>
        <row r="62">
          <cell r="DR62">
            <v>0</v>
          </cell>
        </row>
        <row r="63">
          <cell r="DR63">
            <v>0</v>
          </cell>
        </row>
        <row r="64">
          <cell r="DR64">
            <v>0</v>
          </cell>
        </row>
        <row r="65">
          <cell r="DR65">
            <v>0</v>
          </cell>
        </row>
        <row r="66">
          <cell r="DR66">
            <v>0</v>
          </cell>
        </row>
        <row r="67">
          <cell r="DR67">
            <v>0</v>
          </cell>
        </row>
        <row r="68">
          <cell r="DR68">
            <v>0</v>
          </cell>
        </row>
        <row r="69">
          <cell r="DR69">
            <v>0</v>
          </cell>
        </row>
        <row r="70">
          <cell r="DR70">
            <v>0</v>
          </cell>
        </row>
        <row r="71">
          <cell r="DR71">
            <v>0</v>
          </cell>
        </row>
        <row r="72">
          <cell r="DR72">
            <v>0</v>
          </cell>
        </row>
        <row r="73">
          <cell r="DR73">
            <v>0</v>
          </cell>
        </row>
        <row r="74">
          <cell r="DR74" t="str">
            <v/>
          </cell>
        </row>
        <row r="75">
          <cell r="DR75">
            <v>0</v>
          </cell>
        </row>
        <row r="76">
          <cell r="DR76">
            <v>0</v>
          </cell>
        </row>
        <row r="77">
          <cell r="DR77">
            <v>0</v>
          </cell>
        </row>
        <row r="78">
          <cell r="DR78" t="str">
            <v/>
          </cell>
        </row>
        <row r="79">
          <cell r="DR79">
            <v>0</v>
          </cell>
        </row>
        <row r="80">
          <cell r="DR80">
            <v>0</v>
          </cell>
        </row>
        <row r="81">
          <cell r="DR81">
            <v>0</v>
          </cell>
        </row>
        <row r="82">
          <cell r="DR82">
            <v>0</v>
          </cell>
        </row>
        <row r="83">
          <cell r="DR83">
            <v>0</v>
          </cell>
        </row>
        <row r="84">
          <cell r="DR84">
            <v>0</v>
          </cell>
        </row>
        <row r="85">
          <cell r="DR85" t="str">
            <v/>
          </cell>
        </row>
        <row r="86">
          <cell r="DR86" t="str">
            <v/>
          </cell>
        </row>
        <row r="87">
          <cell r="DR87" t="str">
            <v/>
          </cell>
        </row>
        <row r="88">
          <cell r="DR88" t="str">
            <v/>
          </cell>
        </row>
        <row r="89">
          <cell r="DR89" t="str">
            <v/>
          </cell>
        </row>
        <row r="90">
          <cell r="DR90">
            <v>0</v>
          </cell>
        </row>
        <row r="91">
          <cell r="DR91">
            <v>0</v>
          </cell>
        </row>
        <row r="92">
          <cell r="DR92" t="str">
            <v/>
          </cell>
        </row>
        <row r="93">
          <cell r="DR93">
            <v>0</v>
          </cell>
        </row>
        <row r="94">
          <cell r="DR94">
            <v>0</v>
          </cell>
        </row>
        <row r="95">
          <cell r="DR95">
            <v>0</v>
          </cell>
        </row>
        <row r="96">
          <cell r="DR96">
            <v>0</v>
          </cell>
        </row>
        <row r="97">
          <cell r="DR97">
            <v>0</v>
          </cell>
        </row>
        <row r="98">
          <cell r="DR98">
            <v>0</v>
          </cell>
        </row>
        <row r="99">
          <cell r="DR99">
            <v>0</v>
          </cell>
        </row>
        <row r="100">
          <cell r="DR100">
            <v>0</v>
          </cell>
        </row>
        <row r="101">
          <cell r="DR101">
            <v>0</v>
          </cell>
        </row>
        <row r="102">
          <cell r="DR102">
            <v>0</v>
          </cell>
        </row>
        <row r="103">
          <cell r="DR103" t="str">
            <v/>
          </cell>
        </row>
        <row r="104">
          <cell r="DR104" t="str">
            <v/>
          </cell>
        </row>
        <row r="105">
          <cell r="DR105">
            <v>0</v>
          </cell>
        </row>
        <row r="106">
          <cell r="DR106">
            <v>0</v>
          </cell>
        </row>
        <row r="107">
          <cell r="DR107">
            <v>0</v>
          </cell>
        </row>
        <row r="108">
          <cell r="DR108">
            <v>0</v>
          </cell>
        </row>
        <row r="109">
          <cell r="DR109">
            <v>0</v>
          </cell>
        </row>
        <row r="110">
          <cell r="DR110">
            <v>0</v>
          </cell>
        </row>
        <row r="111">
          <cell r="DR111">
            <v>0</v>
          </cell>
        </row>
        <row r="112">
          <cell r="DR112">
            <v>0</v>
          </cell>
        </row>
        <row r="113">
          <cell r="DR113">
            <v>0</v>
          </cell>
        </row>
        <row r="114">
          <cell r="DR114">
            <v>0</v>
          </cell>
        </row>
        <row r="115">
          <cell r="DR115">
            <v>0</v>
          </cell>
        </row>
        <row r="116">
          <cell r="DR116">
            <v>0</v>
          </cell>
        </row>
        <row r="117">
          <cell r="DR117">
            <v>0</v>
          </cell>
        </row>
        <row r="118">
          <cell r="DR118">
            <v>0</v>
          </cell>
        </row>
        <row r="119">
          <cell r="DR119">
            <v>0</v>
          </cell>
        </row>
        <row r="120">
          <cell r="DR120">
            <v>0</v>
          </cell>
        </row>
        <row r="121">
          <cell r="DR121" t="str">
            <v/>
          </cell>
        </row>
        <row r="122">
          <cell r="DR122">
            <v>0</v>
          </cell>
        </row>
        <row r="123">
          <cell r="DR123">
            <v>0</v>
          </cell>
        </row>
        <row r="124">
          <cell r="DR124">
            <v>0</v>
          </cell>
        </row>
        <row r="125">
          <cell r="DR125">
            <v>0</v>
          </cell>
        </row>
        <row r="126">
          <cell r="DR126">
            <v>0</v>
          </cell>
        </row>
        <row r="127">
          <cell r="DR127">
            <v>0</v>
          </cell>
        </row>
        <row r="128">
          <cell r="DR128" t="str">
            <v/>
          </cell>
        </row>
        <row r="129">
          <cell r="DR129" t="str">
            <v/>
          </cell>
        </row>
        <row r="130">
          <cell r="DR130" t="str">
            <v/>
          </cell>
        </row>
        <row r="131">
          <cell r="DR131">
            <v>0</v>
          </cell>
        </row>
        <row r="132">
          <cell r="DR132">
            <v>0</v>
          </cell>
        </row>
        <row r="133">
          <cell r="DR133" t="str">
            <v/>
          </cell>
        </row>
        <row r="134">
          <cell r="DR134">
            <v>0</v>
          </cell>
        </row>
        <row r="135">
          <cell r="DR135">
            <v>0</v>
          </cell>
        </row>
        <row r="136">
          <cell r="DR136">
            <v>0</v>
          </cell>
        </row>
        <row r="137">
          <cell r="DR137">
            <v>0</v>
          </cell>
        </row>
        <row r="138">
          <cell r="DR138">
            <v>0</v>
          </cell>
        </row>
        <row r="139">
          <cell r="DR139">
            <v>0</v>
          </cell>
        </row>
        <row r="140">
          <cell r="DR140">
            <v>0</v>
          </cell>
        </row>
        <row r="141">
          <cell r="DR141">
            <v>0</v>
          </cell>
        </row>
        <row r="142">
          <cell r="DR142">
            <v>0</v>
          </cell>
        </row>
        <row r="143">
          <cell r="DR143">
            <v>0</v>
          </cell>
        </row>
        <row r="144">
          <cell r="DR144">
            <v>0</v>
          </cell>
        </row>
        <row r="145">
          <cell r="DR145">
            <v>0</v>
          </cell>
        </row>
        <row r="146">
          <cell r="DR146">
            <v>0</v>
          </cell>
        </row>
        <row r="147">
          <cell r="DR147">
            <v>0</v>
          </cell>
        </row>
        <row r="148">
          <cell r="DR148">
            <v>0</v>
          </cell>
        </row>
        <row r="149">
          <cell r="DR149">
            <v>0</v>
          </cell>
        </row>
        <row r="150">
          <cell r="DR150">
            <v>0</v>
          </cell>
        </row>
        <row r="151">
          <cell r="DR151">
            <v>0</v>
          </cell>
        </row>
        <row r="152">
          <cell r="DR152" t="str">
            <v/>
          </cell>
        </row>
        <row r="153">
          <cell r="DR153">
            <v>0</v>
          </cell>
        </row>
        <row r="154">
          <cell r="DR154">
            <v>0</v>
          </cell>
        </row>
        <row r="155">
          <cell r="DR155">
            <v>0</v>
          </cell>
        </row>
        <row r="156">
          <cell r="DR156">
            <v>0</v>
          </cell>
        </row>
        <row r="157">
          <cell r="DR157">
            <v>0</v>
          </cell>
        </row>
        <row r="158">
          <cell r="DR158">
            <v>0</v>
          </cell>
        </row>
        <row r="159">
          <cell r="DR159">
            <v>0</v>
          </cell>
        </row>
        <row r="160">
          <cell r="DR160">
            <v>0</v>
          </cell>
        </row>
        <row r="161">
          <cell r="DR161">
            <v>0</v>
          </cell>
        </row>
        <row r="162">
          <cell r="DR162">
            <v>0</v>
          </cell>
        </row>
        <row r="163">
          <cell r="DR163">
            <v>0</v>
          </cell>
        </row>
        <row r="164">
          <cell r="DR164">
            <v>0</v>
          </cell>
        </row>
        <row r="165">
          <cell r="DR165">
            <v>0</v>
          </cell>
        </row>
        <row r="166">
          <cell r="DR166">
            <v>0</v>
          </cell>
        </row>
        <row r="167">
          <cell r="DR167">
            <v>0</v>
          </cell>
        </row>
        <row r="168">
          <cell r="DR168">
            <v>0</v>
          </cell>
        </row>
        <row r="169">
          <cell r="DR169">
            <v>0</v>
          </cell>
        </row>
        <row r="170">
          <cell r="DR170">
            <v>0</v>
          </cell>
        </row>
        <row r="171">
          <cell r="DR171">
            <v>0</v>
          </cell>
        </row>
        <row r="172">
          <cell r="DR172">
            <v>0</v>
          </cell>
        </row>
        <row r="173">
          <cell r="DR173" t="str">
            <v/>
          </cell>
        </row>
        <row r="174">
          <cell r="DR174" t="str">
            <v/>
          </cell>
        </row>
        <row r="175">
          <cell r="DR175" t="str">
            <v/>
          </cell>
        </row>
        <row r="176">
          <cell r="DR176" t="str">
            <v/>
          </cell>
        </row>
        <row r="177">
          <cell r="DR177">
            <v>0</v>
          </cell>
        </row>
        <row r="178">
          <cell r="DR178">
            <v>0</v>
          </cell>
        </row>
        <row r="179">
          <cell r="DR179">
            <v>0</v>
          </cell>
        </row>
        <row r="180">
          <cell r="DR180">
            <v>0</v>
          </cell>
        </row>
        <row r="181">
          <cell r="DR181">
            <v>0</v>
          </cell>
        </row>
        <row r="182">
          <cell r="DR182">
            <v>0</v>
          </cell>
        </row>
        <row r="183">
          <cell r="DR183">
            <v>0</v>
          </cell>
        </row>
        <row r="184">
          <cell r="DR184">
            <v>0</v>
          </cell>
        </row>
        <row r="185">
          <cell r="DR185" t="str">
            <v/>
          </cell>
        </row>
        <row r="186">
          <cell r="DR186" t="str">
            <v/>
          </cell>
        </row>
        <row r="187">
          <cell r="DR187" t="str">
            <v/>
          </cell>
        </row>
        <row r="188">
          <cell r="DR188" t="str">
            <v/>
          </cell>
        </row>
        <row r="189">
          <cell r="DR189" t="str">
            <v/>
          </cell>
        </row>
        <row r="190">
          <cell r="DR190">
            <v>1644068.3512807554</v>
          </cell>
        </row>
        <row r="191">
          <cell r="DR191">
            <v>0</v>
          </cell>
        </row>
        <row r="192">
          <cell r="DR192">
            <v>0</v>
          </cell>
        </row>
        <row r="193">
          <cell r="DR193" t="str">
            <v/>
          </cell>
        </row>
        <row r="194">
          <cell r="DR194" t="str">
            <v/>
          </cell>
        </row>
        <row r="195">
          <cell r="DR195">
            <v>0</v>
          </cell>
        </row>
        <row r="196">
          <cell r="DR196">
            <v>0</v>
          </cell>
        </row>
        <row r="197">
          <cell r="DR197" t="str">
            <v/>
          </cell>
        </row>
        <row r="198">
          <cell r="DR198">
            <v>0</v>
          </cell>
        </row>
        <row r="199">
          <cell r="DR199">
            <v>0</v>
          </cell>
        </row>
        <row r="200">
          <cell r="DR200">
            <v>0</v>
          </cell>
        </row>
        <row r="201">
          <cell r="DR201">
            <v>0</v>
          </cell>
        </row>
        <row r="202">
          <cell r="DR202">
            <v>0</v>
          </cell>
        </row>
        <row r="203">
          <cell r="DR203">
            <v>0</v>
          </cell>
        </row>
        <row r="204">
          <cell r="DR204">
            <v>0</v>
          </cell>
        </row>
        <row r="205">
          <cell r="DR205">
            <v>0</v>
          </cell>
        </row>
        <row r="206">
          <cell r="DR206">
            <v>0</v>
          </cell>
        </row>
        <row r="207">
          <cell r="DR207" t="str">
            <v/>
          </cell>
        </row>
        <row r="208">
          <cell r="DR208">
            <v>0</v>
          </cell>
        </row>
        <row r="209">
          <cell r="DR209">
            <v>0</v>
          </cell>
        </row>
        <row r="210">
          <cell r="DR210">
            <v>0</v>
          </cell>
        </row>
        <row r="211">
          <cell r="DR211">
            <v>0</v>
          </cell>
        </row>
        <row r="212">
          <cell r="DR212">
            <v>0</v>
          </cell>
        </row>
        <row r="213">
          <cell r="DR213">
            <v>0</v>
          </cell>
        </row>
        <row r="214">
          <cell r="DR214" t="str">
            <v/>
          </cell>
        </row>
        <row r="215">
          <cell r="DR215">
            <v>0</v>
          </cell>
        </row>
        <row r="216">
          <cell r="DR216" t="str">
            <v/>
          </cell>
        </row>
        <row r="217">
          <cell r="DR217" t="str">
            <v/>
          </cell>
        </row>
        <row r="218">
          <cell r="DR218" t="str">
            <v/>
          </cell>
        </row>
        <row r="219">
          <cell r="DR219">
            <v>0</v>
          </cell>
        </row>
        <row r="220">
          <cell r="DR220">
            <v>0</v>
          </cell>
        </row>
        <row r="221">
          <cell r="DR221" t="str">
            <v/>
          </cell>
        </row>
        <row r="222">
          <cell r="DR222">
            <v>0</v>
          </cell>
        </row>
        <row r="223">
          <cell r="DR223">
            <v>0</v>
          </cell>
        </row>
        <row r="224">
          <cell r="DR224">
            <v>0</v>
          </cell>
        </row>
        <row r="225">
          <cell r="DR225">
            <v>0</v>
          </cell>
        </row>
        <row r="226">
          <cell r="DR226">
            <v>0</v>
          </cell>
        </row>
        <row r="227">
          <cell r="DR227">
            <v>0</v>
          </cell>
        </row>
        <row r="228">
          <cell r="DR228">
            <v>0</v>
          </cell>
        </row>
        <row r="229">
          <cell r="DR229">
            <v>0</v>
          </cell>
        </row>
        <row r="230">
          <cell r="DR230">
            <v>0</v>
          </cell>
        </row>
        <row r="231">
          <cell r="DR231">
            <v>0</v>
          </cell>
        </row>
        <row r="232">
          <cell r="DR232" t="str">
            <v/>
          </cell>
        </row>
        <row r="233">
          <cell r="DR233">
            <v>0</v>
          </cell>
        </row>
        <row r="234">
          <cell r="DR234">
            <v>0</v>
          </cell>
        </row>
        <row r="235">
          <cell r="DR235">
            <v>0</v>
          </cell>
        </row>
        <row r="236">
          <cell r="DR236" t="str">
            <v/>
          </cell>
        </row>
        <row r="237">
          <cell r="DR237">
            <v>0</v>
          </cell>
        </row>
        <row r="238">
          <cell r="DR238">
            <v>0</v>
          </cell>
        </row>
        <row r="239">
          <cell r="DR239" t="str">
            <v/>
          </cell>
        </row>
        <row r="240">
          <cell r="DR240">
            <v>0</v>
          </cell>
        </row>
        <row r="241">
          <cell r="DR241">
            <v>0</v>
          </cell>
        </row>
        <row r="242">
          <cell r="DR242">
            <v>0</v>
          </cell>
        </row>
        <row r="243">
          <cell r="DR243">
            <v>0</v>
          </cell>
        </row>
        <row r="244">
          <cell r="DR244">
            <v>0</v>
          </cell>
        </row>
        <row r="245">
          <cell r="DR245">
            <v>0</v>
          </cell>
        </row>
        <row r="246">
          <cell r="DR246">
            <v>0</v>
          </cell>
        </row>
        <row r="247">
          <cell r="DR247">
            <v>0</v>
          </cell>
        </row>
        <row r="248">
          <cell r="DR248">
            <v>0</v>
          </cell>
        </row>
        <row r="249">
          <cell r="DR249" t="str">
            <v/>
          </cell>
        </row>
        <row r="250">
          <cell r="DR250">
            <v>0</v>
          </cell>
        </row>
        <row r="251">
          <cell r="DR251">
            <v>0</v>
          </cell>
        </row>
        <row r="252">
          <cell r="DR252">
            <v>0</v>
          </cell>
        </row>
        <row r="253">
          <cell r="DR253" t="str">
            <v/>
          </cell>
        </row>
        <row r="254">
          <cell r="DR254" t="str">
            <v/>
          </cell>
        </row>
        <row r="255">
          <cell r="DR255">
            <v>0</v>
          </cell>
        </row>
        <row r="256">
          <cell r="DR256">
            <v>0</v>
          </cell>
        </row>
        <row r="257">
          <cell r="DR257">
            <v>0</v>
          </cell>
        </row>
        <row r="258">
          <cell r="DR258">
            <v>0</v>
          </cell>
        </row>
        <row r="259">
          <cell r="DR259">
            <v>0</v>
          </cell>
        </row>
        <row r="260">
          <cell r="DR260">
            <v>0</v>
          </cell>
        </row>
        <row r="261">
          <cell r="DR261">
            <v>0</v>
          </cell>
        </row>
        <row r="262">
          <cell r="DR262">
            <v>0</v>
          </cell>
        </row>
        <row r="263">
          <cell r="DR263">
            <v>0</v>
          </cell>
        </row>
        <row r="264">
          <cell r="DR264">
            <v>0</v>
          </cell>
        </row>
        <row r="265">
          <cell r="DR265" t="str">
            <v/>
          </cell>
        </row>
        <row r="266">
          <cell r="DR266">
            <v>0</v>
          </cell>
        </row>
        <row r="267">
          <cell r="DR267" t="str">
            <v/>
          </cell>
        </row>
        <row r="268">
          <cell r="DR268" t="str">
            <v/>
          </cell>
        </row>
        <row r="269">
          <cell r="DR269" t="str">
            <v/>
          </cell>
        </row>
        <row r="270">
          <cell r="DR270" t="str">
            <v/>
          </cell>
        </row>
        <row r="271">
          <cell r="DR271" t="str">
            <v/>
          </cell>
        </row>
        <row r="272">
          <cell r="DR272">
            <v>0</v>
          </cell>
        </row>
        <row r="273">
          <cell r="DR273">
            <v>0</v>
          </cell>
        </row>
        <row r="274">
          <cell r="DR274" t="str">
            <v/>
          </cell>
        </row>
        <row r="275">
          <cell r="DR275" t="str">
            <v/>
          </cell>
        </row>
        <row r="276">
          <cell r="DR276">
            <v>0</v>
          </cell>
        </row>
        <row r="277">
          <cell r="DR277">
            <v>0</v>
          </cell>
        </row>
        <row r="278">
          <cell r="DR278">
            <v>0</v>
          </cell>
        </row>
        <row r="279">
          <cell r="DR279">
            <v>0</v>
          </cell>
        </row>
        <row r="280">
          <cell r="DR280">
            <v>0</v>
          </cell>
        </row>
        <row r="281">
          <cell r="DR281" t="str">
            <v/>
          </cell>
        </row>
        <row r="282">
          <cell r="DR282">
            <v>0</v>
          </cell>
        </row>
        <row r="283">
          <cell r="DR283">
            <v>0</v>
          </cell>
        </row>
        <row r="284">
          <cell r="DR284">
            <v>0</v>
          </cell>
        </row>
        <row r="285">
          <cell r="DR285">
            <v>0</v>
          </cell>
        </row>
        <row r="286">
          <cell r="DR286">
            <v>0</v>
          </cell>
        </row>
        <row r="287">
          <cell r="DR287">
            <v>0</v>
          </cell>
        </row>
        <row r="288">
          <cell r="DR288">
            <v>0</v>
          </cell>
        </row>
        <row r="289">
          <cell r="DR289">
            <v>0</v>
          </cell>
        </row>
        <row r="290">
          <cell r="DR290">
            <v>0</v>
          </cell>
        </row>
        <row r="291">
          <cell r="DR291">
            <v>0</v>
          </cell>
        </row>
        <row r="292">
          <cell r="DR292">
            <v>0</v>
          </cell>
        </row>
        <row r="293">
          <cell r="DR293" t="str">
            <v/>
          </cell>
        </row>
        <row r="294">
          <cell r="DR294">
            <v>0</v>
          </cell>
        </row>
        <row r="295">
          <cell r="DR295">
            <v>0</v>
          </cell>
        </row>
        <row r="296">
          <cell r="DR296">
            <v>0</v>
          </cell>
        </row>
        <row r="297">
          <cell r="DR297">
            <v>0</v>
          </cell>
        </row>
        <row r="298">
          <cell r="DR298">
            <v>0</v>
          </cell>
        </row>
        <row r="299">
          <cell r="DR299">
            <v>0</v>
          </cell>
        </row>
        <row r="300">
          <cell r="DR300">
            <v>0</v>
          </cell>
        </row>
        <row r="301">
          <cell r="DR301">
            <v>0</v>
          </cell>
        </row>
        <row r="302">
          <cell r="DR302" t="str">
            <v/>
          </cell>
        </row>
        <row r="303">
          <cell r="DR303">
            <v>0</v>
          </cell>
        </row>
        <row r="304">
          <cell r="DR304">
            <v>0</v>
          </cell>
        </row>
        <row r="305">
          <cell r="DR305">
            <v>0</v>
          </cell>
        </row>
        <row r="306">
          <cell r="DR306">
            <v>0</v>
          </cell>
        </row>
        <row r="307">
          <cell r="DR307">
            <v>0</v>
          </cell>
        </row>
        <row r="308">
          <cell r="DR308">
            <v>0</v>
          </cell>
        </row>
        <row r="309">
          <cell r="DR309">
            <v>0</v>
          </cell>
        </row>
        <row r="310">
          <cell r="DR310">
            <v>0</v>
          </cell>
        </row>
        <row r="311">
          <cell r="DR311">
            <v>0</v>
          </cell>
        </row>
        <row r="312">
          <cell r="DR312" t="str">
            <v/>
          </cell>
        </row>
        <row r="313">
          <cell r="DR313">
            <v>0</v>
          </cell>
        </row>
        <row r="314">
          <cell r="DR314">
            <v>0</v>
          </cell>
        </row>
        <row r="315">
          <cell r="DR315">
            <v>0</v>
          </cell>
        </row>
        <row r="316">
          <cell r="DR316">
            <v>0</v>
          </cell>
        </row>
        <row r="317">
          <cell r="DR317">
            <v>0</v>
          </cell>
        </row>
        <row r="318">
          <cell r="DR318">
            <v>0</v>
          </cell>
        </row>
        <row r="319">
          <cell r="DR319">
            <v>0</v>
          </cell>
        </row>
        <row r="320">
          <cell r="DR320">
            <v>0</v>
          </cell>
        </row>
        <row r="321">
          <cell r="DR321">
            <v>0</v>
          </cell>
        </row>
        <row r="322">
          <cell r="DR322">
            <v>0</v>
          </cell>
        </row>
        <row r="323">
          <cell r="DR323">
            <v>0</v>
          </cell>
        </row>
        <row r="324">
          <cell r="DR324">
            <v>0</v>
          </cell>
        </row>
        <row r="325">
          <cell r="DR325">
            <v>0</v>
          </cell>
        </row>
        <row r="326">
          <cell r="DR326">
            <v>0</v>
          </cell>
        </row>
        <row r="327">
          <cell r="DR327" t="str">
            <v/>
          </cell>
        </row>
        <row r="328">
          <cell r="DR328">
            <v>0</v>
          </cell>
        </row>
        <row r="329">
          <cell r="DR329">
            <v>0</v>
          </cell>
        </row>
        <row r="330">
          <cell r="DR330">
            <v>0</v>
          </cell>
        </row>
        <row r="331">
          <cell r="DR331">
            <v>0</v>
          </cell>
        </row>
        <row r="332">
          <cell r="DR332">
            <v>0</v>
          </cell>
        </row>
        <row r="333">
          <cell r="DR333">
            <v>0</v>
          </cell>
        </row>
        <row r="334">
          <cell r="DR334">
            <v>0</v>
          </cell>
        </row>
        <row r="335">
          <cell r="DR335">
            <v>0</v>
          </cell>
        </row>
        <row r="336">
          <cell r="DR336" t="str">
            <v/>
          </cell>
        </row>
        <row r="337">
          <cell r="DR337">
            <v>0</v>
          </cell>
        </row>
        <row r="338">
          <cell r="DR338">
            <v>0</v>
          </cell>
        </row>
        <row r="339">
          <cell r="DR339">
            <v>0</v>
          </cell>
        </row>
        <row r="340">
          <cell r="DR340">
            <v>0</v>
          </cell>
        </row>
        <row r="341">
          <cell r="DR341">
            <v>0</v>
          </cell>
        </row>
        <row r="342">
          <cell r="DR342" t="str">
            <v/>
          </cell>
        </row>
        <row r="343">
          <cell r="DR343">
            <v>0</v>
          </cell>
        </row>
        <row r="344">
          <cell r="DR344">
            <v>0</v>
          </cell>
        </row>
        <row r="345">
          <cell r="DR345" t="str">
            <v/>
          </cell>
        </row>
        <row r="346">
          <cell r="DR346" t="str">
            <v/>
          </cell>
        </row>
        <row r="347">
          <cell r="DR347">
            <v>0</v>
          </cell>
        </row>
        <row r="348">
          <cell r="DR348">
            <v>0</v>
          </cell>
        </row>
        <row r="349">
          <cell r="DR349">
            <v>0</v>
          </cell>
        </row>
        <row r="350">
          <cell r="DR350">
            <v>0</v>
          </cell>
        </row>
        <row r="351">
          <cell r="DR351">
            <v>0</v>
          </cell>
        </row>
        <row r="352">
          <cell r="DR352" t="str">
            <v/>
          </cell>
        </row>
        <row r="353">
          <cell r="DR353">
            <v>0</v>
          </cell>
        </row>
        <row r="354">
          <cell r="DR354">
            <v>0</v>
          </cell>
        </row>
        <row r="355">
          <cell r="DR355">
            <v>0</v>
          </cell>
        </row>
        <row r="356">
          <cell r="DR356">
            <v>2426121.3689968698</v>
          </cell>
        </row>
        <row r="357">
          <cell r="DR357">
            <v>0</v>
          </cell>
        </row>
        <row r="358">
          <cell r="DR358">
            <v>38799706.312690876</v>
          </cell>
        </row>
        <row r="359">
          <cell r="DR359">
            <v>0</v>
          </cell>
        </row>
        <row r="360">
          <cell r="DR360">
            <v>4218330.5714127617</v>
          </cell>
        </row>
        <row r="361">
          <cell r="DR361">
            <v>444540.22666089085</v>
          </cell>
        </row>
        <row r="362">
          <cell r="DR362">
            <v>0</v>
          </cell>
        </row>
        <row r="363">
          <cell r="DR363">
            <v>0</v>
          </cell>
        </row>
        <row r="364">
          <cell r="DR364" t="str">
            <v/>
          </cell>
        </row>
        <row r="365">
          <cell r="DR365">
            <v>42143442.332349062</v>
          </cell>
        </row>
        <row r="366">
          <cell r="DR366">
            <v>1279828.174027896</v>
          </cell>
        </row>
        <row r="367">
          <cell r="DR367">
            <v>31190515.718856461</v>
          </cell>
        </row>
        <row r="368">
          <cell r="DR368">
            <v>6310927.9389129002</v>
          </cell>
        </row>
        <row r="369">
          <cell r="DR369">
            <v>11040375.00892755</v>
          </cell>
        </row>
        <row r="370">
          <cell r="DR370">
            <v>1402253.544297342</v>
          </cell>
        </row>
        <row r="371">
          <cell r="DR371">
            <v>0</v>
          </cell>
        </row>
        <row r="372">
          <cell r="DR372">
            <v>0</v>
          </cell>
        </row>
        <row r="373">
          <cell r="DR373" t="str">
            <v/>
          </cell>
        </row>
        <row r="374">
          <cell r="DR374">
            <v>0</v>
          </cell>
        </row>
        <row r="375">
          <cell r="DR375">
            <v>0</v>
          </cell>
        </row>
        <row r="376">
          <cell r="DR376">
            <v>0</v>
          </cell>
        </row>
        <row r="377">
          <cell r="DR377">
            <v>0</v>
          </cell>
        </row>
        <row r="378">
          <cell r="DR378">
            <v>0</v>
          </cell>
        </row>
        <row r="379">
          <cell r="DR379">
            <v>0</v>
          </cell>
        </row>
        <row r="380">
          <cell r="DR380">
            <v>0</v>
          </cell>
        </row>
        <row r="381">
          <cell r="DR381">
            <v>0</v>
          </cell>
        </row>
        <row r="382">
          <cell r="DR382">
            <v>0</v>
          </cell>
        </row>
        <row r="383">
          <cell r="DR383" t="str">
            <v/>
          </cell>
        </row>
        <row r="384">
          <cell r="DR384">
            <v>0</v>
          </cell>
        </row>
        <row r="385">
          <cell r="DR385">
            <v>0</v>
          </cell>
        </row>
        <row r="386">
          <cell r="DR386">
            <v>0</v>
          </cell>
        </row>
        <row r="387">
          <cell r="DR387">
            <v>0</v>
          </cell>
        </row>
        <row r="388">
          <cell r="DR388">
            <v>0</v>
          </cell>
        </row>
        <row r="389">
          <cell r="DR389">
            <v>0</v>
          </cell>
        </row>
        <row r="390">
          <cell r="DR390">
            <v>0</v>
          </cell>
        </row>
        <row r="391">
          <cell r="DR391">
            <v>0</v>
          </cell>
        </row>
        <row r="392">
          <cell r="DR392">
            <v>0</v>
          </cell>
        </row>
        <row r="393">
          <cell r="DR393">
            <v>0</v>
          </cell>
        </row>
        <row r="394">
          <cell r="DR394">
            <v>0</v>
          </cell>
        </row>
        <row r="395">
          <cell r="DR395">
            <v>0</v>
          </cell>
        </row>
        <row r="396">
          <cell r="DR396">
            <v>0</v>
          </cell>
        </row>
        <row r="397">
          <cell r="DR397" t="str">
            <v/>
          </cell>
        </row>
        <row r="398">
          <cell r="DR398">
            <v>0</v>
          </cell>
        </row>
        <row r="399">
          <cell r="DR399">
            <v>0</v>
          </cell>
        </row>
        <row r="400">
          <cell r="DR400">
            <v>0</v>
          </cell>
        </row>
        <row r="401">
          <cell r="DR401">
            <v>0</v>
          </cell>
        </row>
        <row r="402">
          <cell r="DR402">
            <v>0</v>
          </cell>
        </row>
        <row r="403">
          <cell r="DR403">
            <v>0</v>
          </cell>
        </row>
        <row r="404">
          <cell r="DR404">
            <v>0</v>
          </cell>
        </row>
        <row r="405">
          <cell r="DR405">
            <v>0</v>
          </cell>
        </row>
        <row r="406">
          <cell r="DR406" t="str">
            <v/>
          </cell>
        </row>
        <row r="407">
          <cell r="DR407">
            <v>0</v>
          </cell>
        </row>
        <row r="408">
          <cell r="DR408">
            <v>0</v>
          </cell>
        </row>
        <row r="409">
          <cell r="DR409">
            <v>0</v>
          </cell>
        </row>
        <row r="410">
          <cell r="DR410">
            <v>0</v>
          </cell>
        </row>
        <row r="411">
          <cell r="DR411">
            <v>0</v>
          </cell>
        </row>
        <row r="412">
          <cell r="DR412" t="str">
            <v/>
          </cell>
        </row>
        <row r="413">
          <cell r="DR413" t="str">
            <v/>
          </cell>
        </row>
        <row r="414">
          <cell r="DR414">
            <v>612395.50057880615</v>
          </cell>
        </row>
        <row r="415">
          <cell r="DR415">
            <v>0</v>
          </cell>
        </row>
        <row r="416">
          <cell r="DR416">
            <v>0</v>
          </cell>
        </row>
        <row r="417">
          <cell r="DR417">
            <v>0</v>
          </cell>
        </row>
        <row r="418">
          <cell r="DR418">
            <v>0</v>
          </cell>
        </row>
        <row r="419">
          <cell r="DR419" t="str">
            <v/>
          </cell>
        </row>
        <row r="420">
          <cell r="DR420">
            <v>0</v>
          </cell>
        </row>
        <row r="421">
          <cell r="DR421">
            <v>0</v>
          </cell>
        </row>
        <row r="422">
          <cell r="DR422">
            <v>2426121.3689968698</v>
          </cell>
        </row>
        <row r="423">
          <cell r="DR423">
            <v>0</v>
          </cell>
        </row>
        <row r="424">
          <cell r="DR424">
            <v>0</v>
          </cell>
        </row>
        <row r="425">
          <cell r="DR425">
            <v>0</v>
          </cell>
        </row>
        <row r="426">
          <cell r="DR426">
            <v>0</v>
          </cell>
        </row>
        <row r="427">
          <cell r="DR427">
            <v>0</v>
          </cell>
        </row>
        <row r="428">
          <cell r="DR428">
            <v>0</v>
          </cell>
        </row>
        <row r="429">
          <cell r="DR429" t="str">
            <v/>
          </cell>
        </row>
        <row r="430">
          <cell r="DR430">
            <v>0</v>
          </cell>
        </row>
        <row r="431">
          <cell r="DR431">
            <v>639659.33735778625</v>
          </cell>
        </row>
        <row r="432">
          <cell r="DR432">
            <v>0</v>
          </cell>
        </row>
        <row r="433">
          <cell r="DR433">
            <v>0</v>
          </cell>
        </row>
        <row r="434">
          <cell r="DR434">
            <v>0</v>
          </cell>
        </row>
        <row r="435">
          <cell r="DR435">
            <v>634164.0233221472</v>
          </cell>
        </row>
        <row r="436">
          <cell r="DR436">
            <v>0</v>
          </cell>
        </row>
        <row r="437">
          <cell r="DR437">
            <v>0</v>
          </cell>
        </row>
        <row r="438">
          <cell r="DR438" t="str">
            <v/>
          </cell>
        </row>
        <row r="439">
          <cell r="DR439">
            <v>0</v>
          </cell>
        </row>
        <row r="440">
          <cell r="DR440">
            <v>0</v>
          </cell>
        </row>
        <row r="441">
          <cell r="DR441">
            <v>0</v>
          </cell>
        </row>
        <row r="442">
          <cell r="DR442">
            <v>0</v>
          </cell>
        </row>
        <row r="443">
          <cell r="DR443">
            <v>0</v>
          </cell>
        </row>
        <row r="444">
          <cell r="DR444">
            <v>0</v>
          </cell>
        </row>
        <row r="445">
          <cell r="DR445">
            <v>0</v>
          </cell>
        </row>
        <row r="446">
          <cell r="DR446">
            <v>0</v>
          </cell>
        </row>
        <row r="447">
          <cell r="DR447">
            <v>0</v>
          </cell>
        </row>
        <row r="448">
          <cell r="DR448" t="str">
            <v/>
          </cell>
        </row>
        <row r="449">
          <cell r="DR449">
            <v>0</v>
          </cell>
        </row>
        <row r="450">
          <cell r="DR450">
            <v>0</v>
          </cell>
        </row>
        <row r="451">
          <cell r="DR451">
            <v>0</v>
          </cell>
        </row>
        <row r="452">
          <cell r="DR452">
            <v>0</v>
          </cell>
        </row>
        <row r="453">
          <cell r="DR453">
            <v>0</v>
          </cell>
        </row>
        <row r="454">
          <cell r="DR454">
            <v>0</v>
          </cell>
        </row>
        <row r="455">
          <cell r="DR455">
            <v>0</v>
          </cell>
        </row>
        <row r="456">
          <cell r="DR456">
            <v>0</v>
          </cell>
        </row>
        <row r="457">
          <cell r="DR457">
            <v>0</v>
          </cell>
        </row>
        <row r="458">
          <cell r="DR458">
            <v>0</v>
          </cell>
        </row>
        <row r="459">
          <cell r="DR459">
            <v>0</v>
          </cell>
        </row>
        <row r="460">
          <cell r="DR460">
            <v>0</v>
          </cell>
        </row>
        <row r="461">
          <cell r="DR461">
            <v>0</v>
          </cell>
        </row>
        <row r="462">
          <cell r="DR462">
            <v>0</v>
          </cell>
        </row>
        <row r="463">
          <cell r="DR463" t="str">
            <v/>
          </cell>
        </row>
        <row r="464">
          <cell r="DR464">
            <v>0</v>
          </cell>
        </row>
        <row r="465">
          <cell r="DR465">
            <v>0</v>
          </cell>
        </row>
        <row r="466">
          <cell r="DR466">
            <v>0</v>
          </cell>
        </row>
        <row r="467">
          <cell r="DR467">
            <v>0</v>
          </cell>
        </row>
        <row r="468">
          <cell r="DR468">
            <v>0</v>
          </cell>
        </row>
        <row r="469">
          <cell r="DR469">
            <v>0</v>
          </cell>
        </row>
        <row r="470">
          <cell r="DR470">
            <v>0</v>
          </cell>
        </row>
        <row r="471">
          <cell r="DR471">
            <v>0</v>
          </cell>
        </row>
        <row r="472">
          <cell r="DR472" t="str">
            <v/>
          </cell>
        </row>
        <row r="473">
          <cell r="DR473">
            <v>0</v>
          </cell>
        </row>
        <row r="474">
          <cell r="DR474">
            <v>0</v>
          </cell>
        </row>
        <row r="475">
          <cell r="DR475">
            <v>0</v>
          </cell>
        </row>
        <row r="476">
          <cell r="DR476">
            <v>0</v>
          </cell>
        </row>
        <row r="477">
          <cell r="DR477">
            <v>0</v>
          </cell>
        </row>
        <row r="478">
          <cell r="DR478" t="str">
            <v/>
          </cell>
        </row>
        <row r="479">
          <cell r="DR479" t="str">
            <v/>
          </cell>
        </row>
        <row r="480">
          <cell r="DR480" t="str">
            <v/>
          </cell>
        </row>
        <row r="481">
          <cell r="DR481" t="str">
            <v/>
          </cell>
        </row>
        <row r="482">
          <cell r="DR482" t="str">
            <v/>
          </cell>
        </row>
        <row r="483">
          <cell r="DR483" t="str">
            <v/>
          </cell>
        </row>
        <row r="484">
          <cell r="DR484">
            <v>0</v>
          </cell>
        </row>
        <row r="485">
          <cell r="DR485">
            <v>0</v>
          </cell>
        </row>
        <row r="486">
          <cell r="DR486">
            <v>3820503.9380150954</v>
          </cell>
        </row>
        <row r="487">
          <cell r="DR487">
            <v>0</v>
          </cell>
        </row>
        <row r="488">
          <cell r="DR488">
            <v>11672118.124268349</v>
          </cell>
        </row>
        <row r="489">
          <cell r="DR489">
            <v>0</v>
          </cell>
        </row>
        <row r="490">
          <cell r="DR490">
            <v>0</v>
          </cell>
        </row>
        <row r="491">
          <cell r="DR491">
            <v>0</v>
          </cell>
        </row>
        <row r="492">
          <cell r="DR492" t="str">
            <v/>
          </cell>
        </row>
        <row r="493">
          <cell r="DR493" t="str">
            <v/>
          </cell>
        </row>
        <row r="494">
          <cell r="DR494" t="str">
            <v/>
          </cell>
        </row>
        <row r="495">
          <cell r="DR495" t="str">
            <v/>
          </cell>
        </row>
        <row r="496">
          <cell r="DR496">
            <v>0</v>
          </cell>
        </row>
        <row r="497">
          <cell r="DR497">
            <v>0</v>
          </cell>
        </row>
        <row r="498">
          <cell r="DR498">
            <v>0</v>
          </cell>
        </row>
        <row r="499">
          <cell r="DR499">
            <v>0</v>
          </cell>
        </row>
        <row r="500">
          <cell r="DR500">
            <v>0</v>
          </cell>
        </row>
        <row r="501">
          <cell r="DR501">
            <v>0</v>
          </cell>
        </row>
        <row r="502">
          <cell r="DR502" t="str">
            <v/>
          </cell>
        </row>
        <row r="503">
          <cell r="DR503" t="str">
            <v/>
          </cell>
        </row>
        <row r="504">
          <cell r="DR504" t="str">
            <v/>
          </cell>
        </row>
      </sheetData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tan"/>
      <sheetName val="Daftar - Isi"/>
      <sheetName val="Hit Vol Str Jambi"/>
      <sheetName val="Hit Vol_PSU"/>
      <sheetName val="Analisa Harga Satuan"/>
      <sheetName val="Harga Satuan"/>
      <sheetName val="R A B"/>
      <sheetName val="&quot;S&quot; Curve"/>
      <sheetName val="Rekapitulasi"/>
      <sheetName val="Surat"/>
      <sheetName val="Input"/>
      <sheetName val="BAHAN"/>
      <sheetName val="Material"/>
      <sheetName val="Cover"/>
      <sheetName val="HarSat"/>
      <sheetName val="BQ"/>
      <sheetName val="PEMBESIAN BALOK INDUK!"/>
      <sheetName val="Analisa"/>
      <sheetName val="hargaSatuan"/>
      <sheetName val="DAF-1"/>
      <sheetName val="H.Satuan"/>
      <sheetName val="HRG BHN"/>
      <sheetName val="FORM X COST"/>
      <sheetName val="Analisa Upah _ Bahan Plum"/>
      <sheetName val="PERSIAPAN"/>
      <sheetName val="UTILITAS"/>
      <sheetName val="Data"/>
      <sheetName val="Daftar_-_Isi"/>
      <sheetName val="Hit_Vol_Str_Jambi"/>
      <sheetName val="Hit_Vol_PSU"/>
      <sheetName val="Analisa_Harga_Satuan"/>
      <sheetName val="Harga_Satuan"/>
      <sheetName val="R_A_B"/>
      <sheetName val="&quot;S&quot;_Curve"/>
      <sheetName val="2. GLIN POOR PLAT ENTRANCE! "/>
      <sheetName val="HB me"/>
      <sheetName val="Ris_Vol"/>
      <sheetName val="ana_str"/>
      <sheetName val="Hargamat"/>
      <sheetName val="BAG-2"/>
      <sheetName val="satuan_pek_str"/>
      <sheetName val="ANA-HRG"/>
      <sheetName val="Harsat Upah"/>
      <sheetName val="Perhitungan Besi"/>
      <sheetName val="DAF-3"/>
      <sheetName val="Daf 1"/>
      <sheetName val="lab bahasa"/>
      <sheetName val="Cover Daf-2"/>
      <sheetName val="Cover Daf_2"/>
      <sheetName val="HSATUAN"/>
    </sheetNames>
    <sheetDataSet>
      <sheetData sheetId="0"/>
      <sheetData sheetId="1" refreshError="1"/>
      <sheetData sheetId="2" refreshError="1"/>
      <sheetData sheetId="3" refreshError="1"/>
      <sheetData sheetId="4" refreshError="1">
        <row r="1239">
          <cell r="G1239">
            <v>56787.5</v>
          </cell>
        </row>
        <row r="1688">
          <cell r="G1688">
            <v>51661.1</v>
          </cell>
        </row>
      </sheetData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PH"/>
      <sheetName val="TS"/>
      <sheetName val="Rek"/>
      <sheetName val="Rab"/>
      <sheetName val="Anl"/>
      <sheetName val="H.Dasar"/>
      <sheetName val="H.Lokasi"/>
      <sheetName val="H_Dasar"/>
      <sheetName val="H_Lokasi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/>
      <sheetData sheetId="9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rg STn 09"/>
      <sheetName val="Anl BOW"/>
      <sheetName val="Rekap"/>
      <sheetName val="Rek BOW"/>
    </sheetNames>
    <sheetDataSet>
      <sheetData sheetId="0">
        <row r="38">
          <cell r="I38">
            <v>3700</v>
          </cell>
        </row>
      </sheetData>
      <sheetData sheetId="1"/>
      <sheetData sheetId="2"/>
      <sheetData sheetId="3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UPAH"/>
      <sheetName val="BAHAN"/>
      <sheetName val="ANALISA"/>
      <sheetName val="RAB"/>
      <sheetName val="QUARY"/>
    </sheetNames>
    <sheetDataSet>
      <sheetData sheetId="0" refreshError="1"/>
      <sheetData sheetId="1" refreshError="1"/>
      <sheetData sheetId="2" refreshError="1">
        <row r="44">
          <cell r="N44">
            <v>3485400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UPAH"/>
      <sheetName val="BAHAN"/>
      <sheetName val="ANALISA"/>
      <sheetName val="RAB"/>
      <sheetName val="QUARY"/>
    </sheetNames>
    <sheetDataSet>
      <sheetData sheetId="0" refreshError="1"/>
      <sheetData sheetId="1" refreshError="1"/>
      <sheetData sheetId="2">
        <row r="25">
          <cell r="N25">
            <v>24000</v>
          </cell>
        </row>
        <row r="53">
          <cell r="N53">
            <v>27200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ftar upah"/>
      <sheetName val="Analisa"/>
      <sheetName val="RAB"/>
      <sheetName val="DAF. UPAH"/>
    </sheetNames>
    <sheetDataSet>
      <sheetData sheetId="0" refreshError="1">
        <row r="56">
          <cell r="G56">
            <v>1725000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_Standar"/>
      <sheetName val="REKAP_1"/>
      <sheetName val="ABT"/>
      <sheetName val="RINCI"/>
      <sheetName val="Analisa"/>
      <sheetName val="an. beton"/>
      <sheetName val="an.alm"/>
      <sheetName val="Upah"/>
      <sheetName val="Material"/>
      <sheetName val="HARGA SAT"/>
      <sheetName val="BAHAN"/>
      <sheetName val="Rekap Direct Cost"/>
      <sheetName val="DAF-7"/>
      <sheetName val="DAF-1"/>
      <sheetName val="Kode kategori Nas+DVO III"/>
      <sheetName val="Kategori"/>
      <sheetName val="HARGA PEK"/>
      <sheetName val="DAF_7"/>
      <sheetName val="Analisa Harga Satuan"/>
      <sheetName val="DU&amp;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9">
          <cell r="C9">
            <v>15000</v>
          </cell>
        </row>
        <row r="11">
          <cell r="C11">
            <v>16500</v>
          </cell>
        </row>
        <row r="12">
          <cell r="C12">
            <v>18000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 TOTAL"/>
      <sheetName val="REKAP STANDAR"/>
      <sheetName val="REKAP NON STAN  (2)"/>
      <sheetName val="REKAP NON STAN "/>
      <sheetName val="Tanah &amp; Persiapan"/>
      <sheetName val="Str 1"/>
      <sheetName val="LT 1"/>
      <sheetName val="LT 2"/>
      <sheetName val="LT 3"/>
      <sheetName val="ME"/>
      <sheetName val="NON STAN (2)"/>
      <sheetName val="NON STAN-1"/>
      <sheetName val="Upah"/>
      <sheetName val="Material"/>
      <sheetName val="Analisa"/>
      <sheetName val="an. beton"/>
      <sheetName val="an.alm"/>
      <sheetName val="STR 2"/>
      <sheetName val=" LT 1"/>
      <sheetName val="An Alm"/>
      <sheetName val="Analisa Struktur"/>
      <sheetName val="Daftar Harga Upah"/>
    </sheetNames>
    <sheetDataSet>
      <sheetData sheetId="0">
        <row r="19">
          <cell r="D19">
            <v>17000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9">
          <cell r="D19">
            <v>17000</v>
          </cell>
        </row>
      </sheetData>
      <sheetData sheetId="12">
        <row r="19">
          <cell r="D19">
            <v>18000</v>
          </cell>
        </row>
        <row r="21">
          <cell r="D21">
            <v>18500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Srt-Twr"/>
      <sheetName val="Harga Bahan"/>
      <sheetName val="Daf Kuantitas &amp; Harga"/>
      <sheetName val="Rekapitulasi"/>
      <sheetName val="Jad-qurve S"/>
      <sheetName val="Analisa Harga"/>
    </sheetNames>
    <sheetDataSet>
      <sheetData sheetId="0"/>
      <sheetData sheetId="1"/>
      <sheetData sheetId="2">
        <row r="146">
          <cell r="H146">
            <v>45000</v>
          </cell>
        </row>
        <row r="147">
          <cell r="H147">
            <v>50000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UPAH"/>
      <sheetName val="BAHAN"/>
      <sheetName val="ANALISA"/>
      <sheetName val="RAB"/>
      <sheetName val="QUARY"/>
    </sheetNames>
    <sheetDataSet>
      <sheetData sheetId="0" refreshError="1"/>
      <sheetData sheetId="1" refreshError="1"/>
      <sheetData sheetId="2">
        <row r="42">
          <cell r="N42">
            <v>9900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ulit"/>
      <sheetName val="Peralatan"/>
      <sheetName val="Angkut"/>
      <sheetName val="Material"/>
      <sheetName val="Upah Kerja"/>
      <sheetName val="RAB"/>
      <sheetName val="Rekapitulasi"/>
      <sheetName val="HOK"/>
      <sheetName val="K-110"/>
      <sheetName val="K-210"/>
      <sheetName val="K-224"/>
      <sheetName val="K-225"/>
      <sheetName val="K-310"/>
      <sheetName val="K-341"/>
      <sheetName val="K-410"/>
      <sheetName val="K-515"/>
      <sheetName val="K-516"/>
      <sheetName val="K-705"/>
      <sheetName val="K-710"/>
      <sheetName val="K-715"/>
      <sheetName val="K-719"/>
      <sheetName val="K-720"/>
      <sheetName val="K-725"/>
      <sheetName val="K-810"/>
      <sheetName val="Gal. Excavator"/>
      <sheetName val="A-1"/>
      <sheetName val="A-16"/>
      <sheetName val="A-17a"/>
      <sheetName val="A-18"/>
      <sheetName val="G-2"/>
      <sheetName val="G-32h"/>
      <sheetName val="G-33m"/>
      <sheetName val="G-41"/>
      <sheetName val="G-43"/>
      <sheetName val="G-50h"/>
      <sheetName val="G-67"/>
      <sheetName val="F-1"/>
      <sheetName val="F-2"/>
      <sheetName val="F-8"/>
      <sheetName val="I-2"/>
      <sheetName val="Supl. V"/>
    </sheetNames>
    <sheetDataSet>
      <sheetData sheetId="0"/>
      <sheetData sheetId="1"/>
      <sheetData sheetId="2"/>
      <sheetData sheetId="3"/>
      <sheetData sheetId="4">
        <row r="17">
          <cell r="E17">
            <v>17500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ulit"/>
      <sheetName val="Peralatan"/>
      <sheetName val="Angkut"/>
      <sheetName val="Material"/>
      <sheetName val="Upah"/>
      <sheetName val="Upah Kerja"/>
      <sheetName val="Sewa Alat"/>
      <sheetName val="RAB-KSO"/>
      <sheetName val="Paket KSO"/>
      <sheetName val="Rekapitulasi"/>
      <sheetName val="Sheet1"/>
      <sheetName val="HOK"/>
      <sheetName val="Rinc. KSO"/>
      <sheetName val="A-1"/>
      <sheetName val="A-16"/>
      <sheetName val="G-32h"/>
      <sheetName val="G-44"/>
      <sheetName val="G-50h"/>
      <sheetName val="G-51c"/>
      <sheetName val="Sheet2"/>
    </sheetNames>
    <sheetDataSet>
      <sheetData sheetId="0"/>
      <sheetData sheetId="1"/>
      <sheetData sheetId="2"/>
      <sheetData sheetId="3">
        <row r="20">
          <cell r="J20">
            <v>65000</v>
          </cell>
        </row>
        <row r="24">
          <cell r="J24">
            <v>11500</v>
          </cell>
        </row>
      </sheetData>
      <sheetData sheetId="4">
        <row r="11">
          <cell r="F11">
            <v>15000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PH"/>
      <sheetName val="TS"/>
      <sheetName val="Rek"/>
      <sheetName val="Rab"/>
      <sheetName val="Anl"/>
      <sheetName val="H.Dasar"/>
      <sheetName val="H.Lokasi"/>
      <sheetName val="H_Dasar"/>
      <sheetName val="H_Lokasi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/>
      <sheetData sheetId="9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 &amp; Q"/>
      <sheetName val="besi Gelagar"/>
      <sheetName val="Volume bang."/>
      <sheetName val="besi Abutment"/>
      <sheetName val="!"/>
      <sheetName val="Peralatan"/>
      <sheetName val="LP K230"/>
      <sheetName val="ANALISA_K"/>
      <sheetName val="smpul"/>
      <sheetName val="Volume Jalan (2)"/>
      <sheetName val="RAB (3)"/>
      <sheetName val="JUDUL (2)"/>
      <sheetName val="ANALISA - K"/>
      <sheetName val="Jarak Angkut "/>
      <sheetName val="analisa Angkut "/>
      <sheetName val="Upah &amp; Bahan "/>
      <sheetName val="Volume Jalan"/>
      <sheetName val="RAB (2)"/>
      <sheetName val="Mobilisasi"/>
      <sheetName val="TAB. ALAT"/>
      <sheetName val="ANAL. ALAT"/>
      <sheetName val="Alat"/>
      <sheetName val="Sheet1"/>
      <sheetName val="Jarak Angkut"/>
      <sheetName val="analisa bah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6">
          <cell r="AW26">
            <v>184317.11669714874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427">
          <cell r="BO427">
            <v>1200000000</v>
          </cell>
        </row>
      </sheetData>
      <sheetData sheetId="22" refreshError="1"/>
      <sheetData sheetId="23" refreshError="1"/>
      <sheetData sheetId="24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RGA DASAR"/>
      <sheetName val="ANALISA"/>
      <sheetName val="REKAP ANALISA"/>
      <sheetName val="FURNITURE"/>
      <sheetName val="EE"/>
    </sheetNames>
    <sheetDataSet>
      <sheetData sheetId="0" refreshError="1">
        <row r="5">
          <cell r="C5" t="str">
            <v>Mandor</v>
          </cell>
        </row>
        <row r="16">
          <cell r="C16" t="str">
            <v>Dolken kayu Æ 8 - 10/400 cm</v>
          </cell>
          <cell r="D16" t="str">
            <v>Rp.</v>
          </cell>
          <cell r="E16">
            <v>80000</v>
          </cell>
          <cell r="F16" t="str">
            <v>/btg</v>
          </cell>
        </row>
        <row r="17">
          <cell r="C17" t="str">
            <v>Semen Portland @40 Kg Type I</v>
          </cell>
          <cell r="D17" t="str">
            <v>Rp.</v>
          </cell>
          <cell r="E17">
            <v>60000</v>
          </cell>
          <cell r="F17" t="str">
            <v>/zak</v>
          </cell>
        </row>
        <row r="18">
          <cell r="C18" t="str">
            <v>Seng gelombang BJLS 30</v>
          </cell>
          <cell r="D18" t="str">
            <v>Rp.</v>
          </cell>
          <cell r="E18">
            <v>60000</v>
          </cell>
          <cell r="F18" t="str">
            <v>/lbr</v>
          </cell>
        </row>
        <row r="19">
          <cell r="C19" t="str">
            <v>Pasir beton</v>
          </cell>
          <cell r="D19" t="str">
            <v>Rp.</v>
          </cell>
          <cell r="E19">
            <v>200000</v>
          </cell>
          <cell r="F19" t="str">
            <v>/m3</v>
          </cell>
        </row>
        <row r="20">
          <cell r="C20" t="str">
            <v>Batu pecah/split beton</v>
          </cell>
          <cell r="D20" t="str">
            <v>Rp.</v>
          </cell>
          <cell r="E20">
            <v>350000</v>
          </cell>
          <cell r="F20" t="str">
            <v>/m3</v>
          </cell>
        </row>
        <row r="21">
          <cell r="C21" t="str">
            <v>Kayu 5/7</v>
          </cell>
          <cell r="D21" t="str">
            <v>Rp.</v>
          </cell>
          <cell r="E21">
            <v>1500000</v>
          </cell>
          <cell r="F21" t="str">
            <v>/m3</v>
          </cell>
        </row>
        <row r="22">
          <cell r="C22" t="str">
            <v>Paku biasa 2" - 5"</v>
          </cell>
          <cell r="D22" t="str">
            <v>Rp.</v>
          </cell>
          <cell r="E22">
            <v>18000</v>
          </cell>
          <cell r="F22" t="str">
            <v>/kg</v>
          </cell>
        </row>
        <row r="23">
          <cell r="C23" t="str">
            <v>Residu/tar</v>
          </cell>
          <cell r="D23" t="str">
            <v>Rp.</v>
          </cell>
          <cell r="E23">
            <v>30000</v>
          </cell>
          <cell r="F23" t="str">
            <v>/ltr</v>
          </cell>
        </row>
        <row r="24">
          <cell r="C24" t="str">
            <v>Kayu papan 3/20</v>
          </cell>
          <cell r="D24" t="str">
            <v>Rp.</v>
          </cell>
          <cell r="E24">
            <v>1500000</v>
          </cell>
          <cell r="F24" t="str">
            <v>/m3</v>
          </cell>
        </row>
        <row r="25">
          <cell r="C25" t="str">
            <v>Kayu</v>
          </cell>
          <cell r="D25" t="str">
            <v>Rp.</v>
          </cell>
          <cell r="E25">
            <v>1500000</v>
          </cell>
          <cell r="F25" t="str">
            <v>/m3</v>
          </cell>
        </row>
        <row r="26">
          <cell r="C26" t="str">
            <v>Kayu biasa</v>
          </cell>
          <cell r="D26" t="str">
            <v>Rp.</v>
          </cell>
          <cell r="E26">
            <v>1500000</v>
          </cell>
          <cell r="F26" t="str">
            <v>/m3</v>
          </cell>
        </row>
        <row r="27">
          <cell r="C27" t="str">
            <v>Besi strip</v>
          </cell>
          <cell r="D27" t="str">
            <v>Rp.</v>
          </cell>
          <cell r="E27">
            <v>15000</v>
          </cell>
          <cell r="F27" t="str">
            <v>/kg</v>
          </cell>
        </row>
        <row r="28">
          <cell r="C28" t="str">
            <v>Pasir pasang</v>
          </cell>
          <cell r="D28" t="str">
            <v>Rp.</v>
          </cell>
          <cell r="E28">
            <v>200000</v>
          </cell>
          <cell r="F28" t="str">
            <v>/m3</v>
          </cell>
        </row>
        <row r="29">
          <cell r="C29" t="str">
            <v xml:space="preserve">Batu bata merah </v>
          </cell>
          <cell r="D29" t="str">
            <v>Rp.</v>
          </cell>
          <cell r="E29">
            <v>1100</v>
          </cell>
          <cell r="F29" t="str">
            <v>/bh</v>
          </cell>
        </row>
        <row r="30">
          <cell r="C30" t="str">
            <v>Seng plat</v>
          </cell>
          <cell r="D30" t="str">
            <v>Rp.</v>
          </cell>
          <cell r="E30">
            <v>275000</v>
          </cell>
          <cell r="F30" t="str">
            <v>/lbr</v>
          </cell>
        </row>
        <row r="31">
          <cell r="C31" t="str">
            <v>Jendela nako</v>
          </cell>
          <cell r="D31" t="str">
            <v>Rp.</v>
          </cell>
          <cell r="E31">
            <v>20000</v>
          </cell>
          <cell r="F31" t="str">
            <v>/bh</v>
          </cell>
        </row>
        <row r="32">
          <cell r="C32" t="str">
            <v>Kaca polos</v>
          </cell>
          <cell r="D32" t="str">
            <v>Rp.</v>
          </cell>
          <cell r="E32">
            <v>175000</v>
          </cell>
          <cell r="F32" t="str">
            <v>/m2</v>
          </cell>
        </row>
        <row r="33">
          <cell r="C33" t="str">
            <v>Kunci tanam</v>
          </cell>
          <cell r="D33" t="str">
            <v>Rp.</v>
          </cell>
          <cell r="E33">
            <v>125000</v>
          </cell>
          <cell r="F33" t="str">
            <v>/bh</v>
          </cell>
        </row>
        <row r="34">
          <cell r="C34" t="str">
            <v>Plywood 4 mm</v>
          </cell>
          <cell r="D34" t="str">
            <v>Rp.</v>
          </cell>
          <cell r="E34">
            <v>90000</v>
          </cell>
          <cell r="F34" t="str">
            <v>/lbr</v>
          </cell>
        </row>
        <row r="35">
          <cell r="C35" t="str">
            <v>Seng gelombang BJLS 32</v>
          </cell>
          <cell r="D35" t="str">
            <v>Rp.</v>
          </cell>
          <cell r="E35">
            <v>65000</v>
          </cell>
          <cell r="F35" t="str">
            <v>/lbr</v>
          </cell>
        </row>
        <row r="36">
          <cell r="C36" t="str">
            <v>Pasir Urug</v>
          </cell>
          <cell r="D36" t="str">
            <v>Rp.</v>
          </cell>
          <cell r="E36">
            <v>150000</v>
          </cell>
          <cell r="F36" t="str">
            <v>/m3</v>
          </cell>
        </row>
        <row r="37">
          <cell r="C37" t="str">
            <v>Sirtu</v>
          </cell>
          <cell r="D37" t="str">
            <v>Rp.</v>
          </cell>
          <cell r="E37">
            <v>150000</v>
          </cell>
          <cell r="F37" t="str">
            <v>/m3</v>
          </cell>
        </row>
        <row r="38">
          <cell r="C38" t="str">
            <v>Batu belah 15/20 cm</v>
          </cell>
          <cell r="D38" t="str">
            <v>Rp.</v>
          </cell>
          <cell r="E38">
            <v>150000</v>
          </cell>
          <cell r="F38" t="str">
            <v>/m3</v>
          </cell>
        </row>
        <row r="39">
          <cell r="C39" t="str">
            <v>Roster/terawang 12x11x24 cm</v>
          </cell>
          <cell r="D39" t="str">
            <v>Rp.</v>
          </cell>
          <cell r="E39">
            <v>5000</v>
          </cell>
          <cell r="F39" t="str">
            <v>/bh</v>
          </cell>
        </row>
        <row r="40">
          <cell r="C40" t="str">
            <v>Kayu Klas I, balok</v>
          </cell>
          <cell r="D40" t="str">
            <v>Rp.</v>
          </cell>
          <cell r="E40">
            <v>2500000</v>
          </cell>
          <cell r="F40" t="str">
            <v>/m3</v>
          </cell>
        </row>
        <row r="41">
          <cell r="C41" t="str">
            <v>Kayu Klas II, papan</v>
          </cell>
          <cell r="D41" t="str">
            <v>Rp.</v>
          </cell>
          <cell r="E41">
            <v>2200000</v>
          </cell>
          <cell r="F41" t="str">
            <v>/m3</v>
          </cell>
        </row>
        <row r="42">
          <cell r="C42" t="str">
            <v>Paku biasa 1/2" - 1"</v>
          </cell>
          <cell r="D42" t="str">
            <v>Rp.</v>
          </cell>
          <cell r="E42">
            <v>18000</v>
          </cell>
          <cell r="F42" t="str">
            <v>/kg</v>
          </cell>
        </row>
        <row r="43">
          <cell r="C43" t="str">
            <v>Besi beton polos</v>
          </cell>
          <cell r="D43" t="str">
            <v>Rp.</v>
          </cell>
          <cell r="E43">
            <v>13000</v>
          </cell>
          <cell r="F43" t="str">
            <v>/kg</v>
          </cell>
        </row>
        <row r="44">
          <cell r="C44" t="str">
            <v>Kawat beton</v>
          </cell>
          <cell r="D44" t="str">
            <v>Rp.</v>
          </cell>
          <cell r="E44">
            <v>18000</v>
          </cell>
          <cell r="F44" t="str">
            <v>/kg</v>
          </cell>
        </row>
        <row r="45">
          <cell r="C45" t="str">
            <v>Besi beton ulir</v>
          </cell>
          <cell r="D45" t="str">
            <v>Rp.</v>
          </cell>
          <cell r="E45">
            <v>13500</v>
          </cell>
          <cell r="F45" t="str">
            <v>/kg</v>
          </cell>
        </row>
        <row r="46">
          <cell r="C46" t="str">
            <v>Kayu papan bekisting klas II</v>
          </cell>
          <cell r="D46" t="str">
            <v>Rp.</v>
          </cell>
          <cell r="E46">
            <v>2200000</v>
          </cell>
          <cell r="F46" t="str">
            <v>/m3</v>
          </cell>
        </row>
        <row r="47">
          <cell r="C47" t="str">
            <v>Minyak bekisting</v>
          </cell>
          <cell r="D47" t="str">
            <v>Rp.</v>
          </cell>
          <cell r="E47">
            <v>15000</v>
          </cell>
          <cell r="F47" t="str">
            <v>/ltr</v>
          </cell>
        </row>
        <row r="48">
          <cell r="C48" t="str">
            <v>Balok kayu klas II</v>
          </cell>
          <cell r="D48" t="str">
            <v>Rp.</v>
          </cell>
          <cell r="E48">
            <v>2200000</v>
          </cell>
          <cell r="F48" t="str">
            <v>/m3</v>
          </cell>
        </row>
        <row r="49">
          <cell r="C49" t="str">
            <v xml:space="preserve">Plywood tebal 9 mm </v>
          </cell>
          <cell r="D49" t="str">
            <v>Rp.</v>
          </cell>
          <cell r="E49">
            <v>120000</v>
          </cell>
          <cell r="F49" t="str">
            <v>/lbr</v>
          </cell>
        </row>
        <row r="50">
          <cell r="C50" t="str">
            <v>Wiremesh M6</v>
          </cell>
          <cell r="D50" t="str">
            <v>Rp.</v>
          </cell>
          <cell r="E50">
            <v>120000</v>
          </cell>
          <cell r="F50" t="str">
            <v>/m2</v>
          </cell>
        </row>
        <row r="51">
          <cell r="C51" t="str">
            <v>GRC Board (120x240x6)mm</v>
          </cell>
          <cell r="D51" t="str">
            <v>Rp.</v>
          </cell>
          <cell r="E51">
            <v>120000</v>
          </cell>
          <cell r="F51" t="str">
            <v>/lbr</v>
          </cell>
        </row>
        <row r="52">
          <cell r="C52" t="str">
            <v>GRC Board (120x240x9)mm</v>
          </cell>
          <cell r="D52" t="str">
            <v>Rp.</v>
          </cell>
          <cell r="E52">
            <v>150000</v>
          </cell>
          <cell r="F52" t="str">
            <v>/lbr</v>
          </cell>
        </row>
        <row r="53">
          <cell r="C53" t="str">
            <v>Paku skrup standrat</v>
          </cell>
          <cell r="D53" t="str">
            <v>Rp.</v>
          </cell>
          <cell r="E53">
            <v>30000</v>
          </cell>
          <cell r="F53" t="str">
            <v>/kg</v>
          </cell>
        </row>
        <row r="54">
          <cell r="C54" t="str">
            <v>Compound</v>
          </cell>
          <cell r="D54" t="str">
            <v>Rp.</v>
          </cell>
          <cell r="E54">
            <v>30000</v>
          </cell>
          <cell r="F54" t="str">
            <v>/kg</v>
          </cell>
        </row>
        <row r="55">
          <cell r="C55" t="str">
            <v>Rangka furing</v>
          </cell>
          <cell r="D55" t="str">
            <v>Rp.</v>
          </cell>
          <cell r="E55">
            <v>18000</v>
          </cell>
          <cell r="F55" t="str">
            <v>/m2</v>
          </cell>
        </row>
        <row r="56">
          <cell r="C56" t="str">
            <v>Kloset duduk Setara American Standard</v>
          </cell>
          <cell r="D56" t="str">
            <v>Rp.</v>
          </cell>
          <cell r="E56">
            <v>1700000</v>
          </cell>
          <cell r="F56" t="str">
            <v>/bh</v>
          </cell>
        </row>
        <row r="57">
          <cell r="C57" t="str">
            <v>Kloset jongkok setara American Standard</v>
          </cell>
          <cell r="D57" t="str">
            <v>Rp.</v>
          </cell>
          <cell r="E57">
            <v>175000</v>
          </cell>
          <cell r="F57" t="str">
            <v>/bh</v>
          </cell>
        </row>
        <row r="58">
          <cell r="C58" t="str">
            <v>Urinoir setara American Standard</v>
          </cell>
          <cell r="D58" t="str">
            <v>Rp.</v>
          </cell>
          <cell r="E58">
            <v>1200000</v>
          </cell>
          <cell r="F58" t="str">
            <v>/bh</v>
          </cell>
        </row>
        <row r="59">
          <cell r="C59" t="str">
            <v>Wastafel setara American Standard</v>
          </cell>
          <cell r="D59" t="str">
            <v>Rp.</v>
          </cell>
          <cell r="E59">
            <v>350000</v>
          </cell>
          <cell r="F59" t="str">
            <v>/bh</v>
          </cell>
        </row>
        <row r="60">
          <cell r="C60" t="str">
            <v>Kran ¾" atau ½" setara San Ei</v>
          </cell>
          <cell r="D60" t="str">
            <v>Rp.</v>
          </cell>
          <cell r="E60">
            <v>120000</v>
          </cell>
          <cell r="F60" t="str">
            <v>/bh</v>
          </cell>
        </row>
        <row r="61">
          <cell r="C61" t="str">
            <v>Seal teap</v>
          </cell>
          <cell r="D61" t="str">
            <v>Rp.</v>
          </cell>
          <cell r="E61">
            <v>15000</v>
          </cell>
          <cell r="F61" t="str">
            <v>/bh</v>
          </cell>
        </row>
        <row r="62">
          <cell r="C62" t="str">
            <v xml:space="preserve">Floor drain </v>
          </cell>
          <cell r="D62" t="str">
            <v>Rp.</v>
          </cell>
          <cell r="E62">
            <v>75000</v>
          </cell>
          <cell r="F62" t="str">
            <v>/bh</v>
          </cell>
        </row>
        <row r="63">
          <cell r="C63" t="str">
            <v>Keramik Lantai 40x40cm Mulia KW 1</v>
          </cell>
          <cell r="D63" t="str">
            <v>Rp.</v>
          </cell>
          <cell r="E63">
            <v>60000</v>
          </cell>
          <cell r="F63" t="str">
            <v>/ktk</v>
          </cell>
        </row>
        <row r="64">
          <cell r="C64" t="str">
            <v>Semen warna</v>
          </cell>
          <cell r="D64" t="str">
            <v>Rp.</v>
          </cell>
          <cell r="E64">
            <v>30000</v>
          </cell>
          <cell r="F64" t="str">
            <v>/kg</v>
          </cell>
        </row>
        <row r="65">
          <cell r="C65" t="str">
            <v>Keramik Lantai 30x30cm Mulia KW 1</v>
          </cell>
          <cell r="D65" t="str">
            <v>Rp.</v>
          </cell>
          <cell r="E65">
            <v>60000</v>
          </cell>
          <cell r="F65" t="str">
            <v>/ktk</v>
          </cell>
        </row>
        <row r="66">
          <cell r="C66" t="str">
            <v>Keramik Lantai 20x20cm Mulia KW 1</v>
          </cell>
          <cell r="D66" t="str">
            <v>Rp.</v>
          </cell>
          <cell r="E66">
            <v>60000</v>
          </cell>
          <cell r="F66" t="str">
            <v>/ktk</v>
          </cell>
        </row>
        <row r="67">
          <cell r="C67" t="str">
            <v>Keramik dinding 20x25cm Mulia KW 1</v>
          </cell>
          <cell r="D67" t="str">
            <v>Rp.</v>
          </cell>
          <cell r="E67">
            <v>60000</v>
          </cell>
          <cell r="F67" t="str">
            <v>/ktk</v>
          </cell>
        </row>
        <row r="68">
          <cell r="C68" t="str">
            <v>Kuas</v>
          </cell>
          <cell r="D68" t="str">
            <v>Rp.</v>
          </cell>
          <cell r="E68">
            <v>10000</v>
          </cell>
          <cell r="F68" t="str">
            <v>/bh</v>
          </cell>
        </row>
        <row r="69">
          <cell r="C69" t="str">
            <v>Plamir</v>
          </cell>
          <cell r="D69" t="str">
            <v>Rp.</v>
          </cell>
          <cell r="E69">
            <v>25000</v>
          </cell>
          <cell r="F69" t="str">
            <v>/kg</v>
          </cell>
        </row>
        <row r="70">
          <cell r="C70" t="str">
            <v>Cat dasar ICI Dulux Watershield</v>
          </cell>
          <cell r="D70" t="str">
            <v>Rp.</v>
          </cell>
          <cell r="E70">
            <v>90000</v>
          </cell>
          <cell r="F70" t="str">
            <v>/kg</v>
          </cell>
        </row>
        <row r="71">
          <cell r="C71" t="str">
            <v>Cat penutup ICI Dulux Watershield</v>
          </cell>
          <cell r="D71" t="str">
            <v>Rp.</v>
          </cell>
          <cell r="E71">
            <v>90000</v>
          </cell>
          <cell r="F71" t="str">
            <v>/kg</v>
          </cell>
        </row>
        <row r="72">
          <cell r="C72" t="str">
            <v>Cat dasar Super Vinilex</v>
          </cell>
          <cell r="D72" t="str">
            <v>Rp.</v>
          </cell>
          <cell r="E72">
            <v>30000</v>
          </cell>
          <cell r="F72" t="str">
            <v>/kg</v>
          </cell>
        </row>
        <row r="73">
          <cell r="C73" t="str">
            <v>Cat penutup Super Vinilex</v>
          </cell>
          <cell r="D73" t="str">
            <v>Rp.</v>
          </cell>
          <cell r="E73">
            <v>30000</v>
          </cell>
          <cell r="F73" t="str">
            <v>/kg</v>
          </cell>
        </row>
        <row r="74">
          <cell r="C74" t="str">
            <v>Tanki air 2000 ltr</v>
          </cell>
          <cell r="D74" t="str">
            <v>Rp.</v>
          </cell>
          <cell r="E74">
            <v>3000000</v>
          </cell>
          <cell r="F74" t="str">
            <v>/bh</v>
          </cell>
        </row>
        <row r="75">
          <cell r="C75" t="str">
            <v>Cat Zinchromate Kansai</v>
          </cell>
          <cell r="D75" t="str">
            <v>Rp.</v>
          </cell>
          <cell r="E75">
            <v>45000</v>
          </cell>
          <cell r="F75" t="str">
            <v>/kg</v>
          </cell>
        </row>
        <row r="76">
          <cell r="C76" t="str">
            <v>Thinner</v>
          </cell>
          <cell r="D76" t="str">
            <v>Rp.</v>
          </cell>
          <cell r="E76">
            <v>30000</v>
          </cell>
          <cell r="F76" t="str">
            <v>/ltr</v>
          </cell>
        </row>
        <row r="77">
          <cell r="C77" t="str">
            <v>Amplas</v>
          </cell>
          <cell r="D77" t="str">
            <v>Rp.</v>
          </cell>
          <cell r="E77">
            <v>5000</v>
          </cell>
          <cell r="F77" t="str">
            <v>/lbr</v>
          </cell>
        </row>
        <row r="78">
          <cell r="C78" t="str">
            <v xml:space="preserve">Kuas </v>
          </cell>
          <cell r="D78" t="str">
            <v>Rp.</v>
          </cell>
          <cell r="E78">
            <v>10000</v>
          </cell>
          <cell r="F78" t="str">
            <v>/bh</v>
          </cell>
        </row>
        <row r="79">
          <cell r="C79" t="str">
            <v>Baja siku</v>
          </cell>
          <cell r="D79" t="str">
            <v>Rp.</v>
          </cell>
          <cell r="E79">
            <v>17000</v>
          </cell>
          <cell r="F79" t="str">
            <v>/kg</v>
          </cell>
        </row>
        <row r="80">
          <cell r="C80" t="str">
            <v>Kawat las</v>
          </cell>
          <cell r="D80" t="str">
            <v>Rp.</v>
          </cell>
          <cell r="E80">
            <v>25000</v>
          </cell>
          <cell r="F80" t="str">
            <v>/kg</v>
          </cell>
        </row>
        <row r="81">
          <cell r="C81" t="str">
            <v>Solar</v>
          </cell>
          <cell r="D81" t="str">
            <v>Rp.</v>
          </cell>
          <cell r="E81">
            <v>6000</v>
          </cell>
          <cell r="F81" t="str">
            <v>/ltr</v>
          </cell>
        </row>
        <row r="82">
          <cell r="C82" t="str">
            <v>Oli/pelumas</v>
          </cell>
          <cell r="D82" t="str">
            <v>Rp.</v>
          </cell>
          <cell r="E82">
            <v>6000</v>
          </cell>
          <cell r="F82" t="str">
            <v>/ltr</v>
          </cell>
        </row>
        <row r="83">
          <cell r="C83" t="str">
            <v>Baja profil C</v>
          </cell>
          <cell r="D83" t="str">
            <v>Rp.</v>
          </cell>
          <cell r="E83">
            <v>17000</v>
          </cell>
          <cell r="F83" t="str">
            <v>/kg</v>
          </cell>
        </row>
        <row r="84">
          <cell r="C84" t="str">
            <v>Baja pelat</v>
          </cell>
          <cell r="D84" t="str">
            <v>Rp.</v>
          </cell>
          <cell r="E84">
            <v>18000</v>
          </cell>
          <cell r="F84" t="str">
            <v>/kg</v>
          </cell>
        </row>
        <row r="85">
          <cell r="C85" t="str">
            <v>Spandek Coloubond</v>
          </cell>
          <cell r="D85" t="str">
            <v>Rp.</v>
          </cell>
          <cell r="E85">
            <v>135000</v>
          </cell>
          <cell r="F85" t="str">
            <v>/m2</v>
          </cell>
        </row>
        <row r="86">
          <cell r="C86" t="str">
            <v>Ridge capping Colourbond</v>
          </cell>
          <cell r="D86" t="str">
            <v>Rp.</v>
          </cell>
          <cell r="E86">
            <v>40000</v>
          </cell>
          <cell r="F86" t="str">
            <v>/m1</v>
          </cell>
        </row>
        <row r="87">
          <cell r="C87" t="str">
            <v>Flashing Colourbond</v>
          </cell>
          <cell r="D87" t="str">
            <v>Rp.</v>
          </cell>
          <cell r="E87">
            <v>40000</v>
          </cell>
          <cell r="F87" t="str">
            <v>/m1</v>
          </cell>
        </row>
        <row r="88">
          <cell r="C88" t="str">
            <v>Trusses AZ 100</v>
          </cell>
          <cell r="D88" t="str">
            <v>Rp.</v>
          </cell>
          <cell r="E88">
            <v>165000</v>
          </cell>
          <cell r="F88" t="str">
            <v>/m2</v>
          </cell>
        </row>
        <row r="89">
          <cell r="C89" t="str">
            <v>Tanah Urug</v>
          </cell>
          <cell r="D89" t="str">
            <v>Rp.</v>
          </cell>
          <cell r="E89">
            <v>125000</v>
          </cell>
          <cell r="F89" t="str">
            <v>/m3</v>
          </cell>
        </row>
        <row r="90">
          <cell r="C90" t="str">
            <v>Batu bata merah exposed</v>
          </cell>
          <cell r="D90" t="str">
            <v>Rp.</v>
          </cell>
          <cell r="E90">
            <v>1200</v>
          </cell>
          <cell r="F90" t="str">
            <v>/bh</v>
          </cell>
        </row>
        <row r="91">
          <cell r="C91" t="str">
            <v>Cat meni</v>
          </cell>
          <cell r="D91" t="str">
            <v>Rp.</v>
          </cell>
          <cell r="E91">
            <v>35000</v>
          </cell>
          <cell r="F91" t="str">
            <v>/kg</v>
          </cell>
        </row>
        <row r="92">
          <cell r="C92" t="str">
            <v>Gypsum Jaya Board (120x240x9)mm</v>
          </cell>
          <cell r="D92" t="str">
            <v>Rp.</v>
          </cell>
          <cell r="E92">
            <v>195000</v>
          </cell>
          <cell r="F92" t="str">
            <v>/lbr</v>
          </cell>
        </row>
        <row r="93">
          <cell r="C93" t="str">
            <v xml:space="preserve">Gypsum Jaya Board (120x240x6)mm </v>
          </cell>
          <cell r="D93" t="str">
            <v>Rp.</v>
          </cell>
          <cell r="E93">
            <v>195000</v>
          </cell>
          <cell r="F93" t="str">
            <v>/lbr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Q"/>
      <sheetName val="BQ (2)"/>
      <sheetName val="UP"/>
      <sheetName val="BREAK ALAT"/>
      <sheetName val="PE"/>
      <sheetName val="E-F"/>
      <sheetName val="WC1"/>
    </sheetNames>
    <sheetDataSet>
      <sheetData sheetId="0"/>
      <sheetData sheetId="1"/>
      <sheetData sheetId="2"/>
      <sheetData sheetId="3"/>
      <sheetData sheetId="4">
        <row r="10">
          <cell r="B10" t="str">
            <v>INDUSTRIAL MATERIAL</v>
          </cell>
        </row>
        <row r="11">
          <cell r="B11" t="str">
            <v>.Aspal</v>
          </cell>
          <cell r="C11" t="str">
            <v>kg</v>
          </cell>
          <cell r="D11">
            <v>1760</v>
          </cell>
          <cell r="G11">
            <v>100</v>
          </cell>
        </row>
        <row r="12">
          <cell r="B12" t="str">
            <v>.Cement Portland type I 50kg/zak</v>
          </cell>
          <cell r="C12" t="str">
            <v>bag</v>
          </cell>
          <cell r="D12">
            <v>22886</v>
          </cell>
          <cell r="G12">
            <v>100</v>
          </cell>
        </row>
        <row r="13">
          <cell r="B13" t="str">
            <v>.Concrete Girder I 090 - 16,60</v>
          </cell>
          <cell r="C13" t="str">
            <v>unit</v>
          </cell>
          <cell r="D13">
            <v>15814385</v>
          </cell>
          <cell r="G13">
            <v>100</v>
          </cell>
        </row>
        <row r="14">
          <cell r="B14" t="str">
            <v>.Concrete Girder I 125 - 25,80</v>
          </cell>
          <cell r="C14" t="str">
            <v>unit</v>
          </cell>
          <cell r="D14">
            <v>25643483</v>
          </cell>
          <cell r="G14">
            <v>100</v>
          </cell>
        </row>
        <row r="15">
          <cell r="B15" t="str">
            <v>.Concrete Girder I 160 - 31,60</v>
          </cell>
          <cell r="C15" t="str">
            <v>unit</v>
          </cell>
          <cell r="D15">
            <v>37510359</v>
          </cell>
          <cell r="G15">
            <v>100</v>
          </cell>
        </row>
        <row r="16">
          <cell r="B16" t="str">
            <v>.Concrete Girder I 170 - 40,80</v>
          </cell>
          <cell r="C16" t="str">
            <v>unit</v>
          </cell>
          <cell r="D16">
            <v>67685816</v>
          </cell>
          <cell r="G16">
            <v>100</v>
          </cell>
        </row>
        <row r="17">
          <cell r="B17" t="str">
            <v>.Concrete peil (reinforcced)</v>
          </cell>
          <cell r="C17" t="str">
            <v>pcs</v>
          </cell>
          <cell r="D17">
            <v>149259</v>
          </cell>
          <cell r="G17">
            <v>100</v>
          </cell>
        </row>
        <row r="18">
          <cell r="B18" t="str">
            <v xml:space="preserve">.Diafragma ending </v>
          </cell>
          <cell r="C18" t="str">
            <v>unit</v>
          </cell>
          <cell r="D18">
            <v>163399</v>
          </cell>
          <cell r="G18">
            <v>100</v>
          </cell>
        </row>
        <row r="19">
          <cell r="B19" t="str">
            <v xml:space="preserve">.Diafragma ending  </v>
          </cell>
          <cell r="C19" t="str">
            <v>unit</v>
          </cell>
          <cell r="D19">
            <v>208505</v>
          </cell>
          <cell r="G19">
            <v>100</v>
          </cell>
        </row>
        <row r="20">
          <cell r="B20" t="str">
            <v xml:space="preserve">.Diafragma ending   </v>
          </cell>
          <cell r="C20" t="str">
            <v>unit</v>
          </cell>
          <cell r="D20">
            <v>228078</v>
          </cell>
          <cell r="G20">
            <v>100</v>
          </cell>
        </row>
        <row r="21">
          <cell r="B21" t="str">
            <v xml:space="preserve">.Diafragma middle </v>
          </cell>
          <cell r="C21" t="str">
            <v>unit</v>
          </cell>
          <cell r="D21">
            <v>154038</v>
          </cell>
          <cell r="G21">
            <v>100</v>
          </cell>
        </row>
        <row r="22">
          <cell r="B22" t="str">
            <v xml:space="preserve">.Diafragma middle  </v>
          </cell>
          <cell r="C22" t="str">
            <v>unit</v>
          </cell>
          <cell r="D22">
            <v>194888</v>
          </cell>
          <cell r="G22">
            <v>100</v>
          </cell>
        </row>
        <row r="23">
          <cell r="B23" t="str">
            <v xml:space="preserve">.Diafragma middle   </v>
          </cell>
          <cell r="C23" t="str">
            <v>unit</v>
          </cell>
          <cell r="D23">
            <v>235737</v>
          </cell>
          <cell r="G23">
            <v>100</v>
          </cell>
        </row>
        <row r="24">
          <cell r="B24" t="str">
            <v xml:space="preserve">.Diafragma middle    </v>
          </cell>
          <cell r="C24" t="str">
            <v>unit</v>
          </cell>
          <cell r="D24">
            <v>247652</v>
          </cell>
          <cell r="G24">
            <v>100</v>
          </cell>
        </row>
        <row r="25">
          <cell r="B25" t="str">
            <v>.Elastomeric bearing pad 406 x 280 x 67 mm</v>
          </cell>
          <cell r="C25" t="str">
            <v>pcs</v>
          </cell>
          <cell r="D25">
            <v>647411</v>
          </cell>
          <cell r="G25">
            <v>100</v>
          </cell>
        </row>
        <row r="26">
          <cell r="B26" t="str">
            <v>.Elastomeric bearing pad 480 x 300 x 67 mm</v>
          </cell>
          <cell r="C26" t="str">
            <v>pcs</v>
          </cell>
          <cell r="D26">
            <v>836000</v>
          </cell>
          <cell r="G26">
            <v>100</v>
          </cell>
        </row>
        <row r="27">
          <cell r="B27" t="str">
            <v>.Galvanis iron pipe ø 2" - 6 m</v>
          </cell>
          <cell r="C27" t="str">
            <v>pcs</v>
          </cell>
          <cell r="D27">
            <v>163438</v>
          </cell>
          <cell r="G27">
            <v>100</v>
          </cell>
        </row>
        <row r="28">
          <cell r="B28" t="str">
            <v>.Galvanis iron pipe ø 3" - 6 m</v>
          </cell>
          <cell r="C28" t="str">
            <v>pcs</v>
          </cell>
          <cell r="D28">
            <v>296776</v>
          </cell>
          <cell r="G28">
            <v>100</v>
          </cell>
        </row>
        <row r="29">
          <cell r="B29" t="str">
            <v>.Galvanis iron pipe ø 4" - 6 m</v>
          </cell>
          <cell r="C29" t="str">
            <v>pcs</v>
          </cell>
          <cell r="D29">
            <v>427752</v>
          </cell>
          <cell r="G29">
            <v>100</v>
          </cell>
        </row>
        <row r="30">
          <cell r="B30" t="str">
            <v>.Joint Filler 120 x 180 x 10</v>
          </cell>
          <cell r="C30" t="str">
            <v>sheet</v>
          </cell>
          <cell r="D30">
            <v>135577</v>
          </cell>
          <cell r="G30">
            <v>100</v>
          </cell>
        </row>
        <row r="31">
          <cell r="B31" t="str">
            <v>.Maccaferri gabion 3 x 1.5 x 0.5</v>
          </cell>
          <cell r="C31" t="str">
            <v>unit</v>
          </cell>
          <cell r="D31">
            <v>420413</v>
          </cell>
          <cell r="G31">
            <v>100</v>
          </cell>
        </row>
        <row r="32">
          <cell r="B32" t="str">
            <v>.Maccaferri gabion cylinder</v>
          </cell>
          <cell r="C32" t="str">
            <v>unit</v>
          </cell>
          <cell r="D32">
            <v>0</v>
          </cell>
          <cell r="G32">
            <v>100</v>
          </cell>
        </row>
        <row r="33">
          <cell r="B33" t="str">
            <v>.Mowilex paint</v>
          </cell>
          <cell r="C33" t="str">
            <v>kg</v>
          </cell>
          <cell r="D33">
            <v>43534</v>
          </cell>
          <cell r="G33">
            <v>100</v>
          </cell>
        </row>
        <row r="34">
          <cell r="B34" t="str">
            <v>.Multiplek 12 mm</v>
          </cell>
          <cell r="C34" t="str">
            <v>sheet</v>
          </cell>
          <cell r="D34">
            <v>88934</v>
          </cell>
          <cell r="G34">
            <v>100</v>
          </cell>
        </row>
        <row r="35">
          <cell r="B35" t="str">
            <v>.Multiplek 9 mm</v>
          </cell>
          <cell r="C35" t="str">
            <v>sheet</v>
          </cell>
          <cell r="D35">
            <v>77117</v>
          </cell>
          <cell r="G35">
            <v>100</v>
          </cell>
        </row>
        <row r="36">
          <cell r="B36" t="str">
            <v>.Nail</v>
          </cell>
          <cell r="C36" t="str">
            <v>kg</v>
          </cell>
          <cell r="D36">
            <v>4540</v>
          </cell>
          <cell r="G36">
            <v>100</v>
          </cell>
        </row>
        <row r="37">
          <cell r="B37" t="str">
            <v>.Oil form</v>
          </cell>
          <cell r="C37" t="str">
            <v>ltr</v>
          </cell>
          <cell r="D37">
            <v>11816</v>
          </cell>
          <cell r="G37">
            <v>100</v>
          </cell>
        </row>
        <row r="38">
          <cell r="B38" t="str">
            <v>.PC Pile diam. 300 A2</v>
          </cell>
          <cell r="C38" t="str">
            <v>m</v>
          </cell>
          <cell r="D38">
            <v>78871</v>
          </cell>
          <cell r="G38">
            <v>100</v>
          </cell>
        </row>
        <row r="39">
          <cell r="B39" t="str">
            <v>.PC Pile diam. 400 A3</v>
          </cell>
          <cell r="C39" t="str">
            <v>m</v>
          </cell>
          <cell r="D39">
            <v>129980</v>
          </cell>
          <cell r="G39">
            <v>100</v>
          </cell>
        </row>
        <row r="40">
          <cell r="B40" t="str">
            <v>.PC Pile diam. 400 Bo</v>
          </cell>
          <cell r="C40" t="str">
            <v>m</v>
          </cell>
          <cell r="D40">
            <v>77968</v>
          </cell>
          <cell r="G40">
            <v>100</v>
          </cell>
        </row>
        <row r="41">
          <cell r="B41" t="str">
            <v>.PC Pile diam. 600 A3</v>
          </cell>
          <cell r="C41" t="str">
            <v>m</v>
          </cell>
          <cell r="D41">
            <v>264313</v>
          </cell>
          <cell r="G41">
            <v>100</v>
          </cell>
        </row>
        <row r="42">
          <cell r="B42" t="str">
            <v>.Profile L 75 x 75 x 6 mm</v>
          </cell>
          <cell r="C42" t="str">
            <v>kg</v>
          </cell>
          <cell r="D42">
            <v>4291</v>
          </cell>
          <cell r="G42">
            <v>100</v>
          </cell>
        </row>
        <row r="43">
          <cell r="B43" t="str">
            <v>.PVC Pipe diam. 25 mm</v>
          </cell>
          <cell r="C43" t="str">
            <v>m</v>
          </cell>
          <cell r="D43">
            <v>17364</v>
          </cell>
          <cell r="G43">
            <v>100</v>
          </cell>
        </row>
        <row r="44">
          <cell r="B44" t="str">
            <v>.PVC Pipe diam. 50 mm</v>
          </cell>
          <cell r="C44" t="str">
            <v>m</v>
          </cell>
          <cell r="D44">
            <v>40797</v>
          </cell>
          <cell r="G44">
            <v>100</v>
          </cell>
        </row>
        <row r="45">
          <cell r="B45" t="str">
            <v>.RC Pile 400 x 400</v>
          </cell>
          <cell r="C45" t="str">
            <v>m</v>
          </cell>
          <cell r="D45">
            <v>111945</v>
          </cell>
          <cell r="G45">
            <v>100</v>
          </cell>
        </row>
        <row r="46">
          <cell r="B46" t="str">
            <v>.RC Pipe dia. 60 cm , L = 1.25 m</v>
          </cell>
          <cell r="C46" t="str">
            <v>unit</v>
          </cell>
          <cell r="D46">
            <v>257658</v>
          </cell>
          <cell r="G46">
            <v>100</v>
          </cell>
        </row>
        <row r="47">
          <cell r="B47" t="str">
            <v>.RC slab</v>
          </cell>
          <cell r="C47" t="str">
            <v>unit</v>
          </cell>
          <cell r="D47">
            <v>181598</v>
          </cell>
          <cell r="G47">
            <v>100</v>
          </cell>
        </row>
        <row r="48">
          <cell r="B48" t="str">
            <v xml:space="preserve">.RC slab </v>
          </cell>
          <cell r="C48" t="str">
            <v>unit</v>
          </cell>
          <cell r="D48">
            <v>180355</v>
          </cell>
          <cell r="G48">
            <v>100</v>
          </cell>
        </row>
        <row r="49">
          <cell r="B49" t="str">
            <v xml:space="preserve">.RC slab    </v>
          </cell>
          <cell r="C49" t="str">
            <v>unit</v>
          </cell>
          <cell r="D49">
            <v>179111</v>
          </cell>
          <cell r="G49">
            <v>100</v>
          </cell>
        </row>
        <row r="50">
          <cell r="B50" t="str">
            <v>.RC  Slab</v>
          </cell>
          <cell r="C50" t="str">
            <v>unit</v>
          </cell>
          <cell r="D50">
            <v>165858.75</v>
          </cell>
          <cell r="G50">
            <v>100</v>
          </cell>
        </row>
        <row r="51">
          <cell r="B51" t="str">
            <v>.Reinforcement deform bar</v>
          </cell>
          <cell r="C51" t="str">
            <v>kg</v>
          </cell>
          <cell r="D51">
            <v>2848</v>
          </cell>
          <cell r="G51">
            <v>100</v>
          </cell>
        </row>
        <row r="52">
          <cell r="B52" t="str">
            <v>.Reinforcement plain bar</v>
          </cell>
          <cell r="C52" t="str">
            <v>kg</v>
          </cell>
          <cell r="D52">
            <v>2716</v>
          </cell>
          <cell r="G52">
            <v>100</v>
          </cell>
        </row>
        <row r="53">
          <cell r="B53" t="str">
            <v>.SP Pile ø 400 mm</v>
          </cell>
          <cell r="C53" t="str">
            <v>m</v>
          </cell>
          <cell r="D53">
            <v>271762</v>
          </cell>
          <cell r="G53">
            <v>100</v>
          </cell>
        </row>
        <row r="54">
          <cell r="B54" t="str">
            <v>.Steel sheet pile w= 40 cm</v>
          </cell>
          <cell r="C54" t="str">
            <v>m</v>
          </cell>
          <cell r="D54">
            <v>228239</v>
          </cell>
          <cell r="G54">
            <v>100</v>
          </cell>
        </row>
        <row r="55">
          <cell r="B55" t="str">
            <v>.Water stop welding</v>
          </cell>
          <cell r="C55" t="str">
            <v>unit</v>
          </cell>
          <cell r="D55">
            <v>310956</v>
          </cell>
          <cell r="G55">
            <v>100</v>
          </cell>
        </row>
        <row r="56">
          <cell r="B56" t="str">
            <v>.Water stop w=320 mm</v>
          </cell>
          <cell r="C56" t="str">
            <v>m</v>
          </cell>
          <cell r="D56">
            <v>113923</v>
          </cell>
          <cell r="G56">
            <v>100</v>
          </cell>
        </row>
        <row r="57">
          <cell r="B57" t="str">
            <v>.Welding rod</v>
          </cell>
          <cell r="C57" t="str">
            <v>kg</v>
          </cell>
          <cell r="D57">
            <v>13682</v>
          </cell>
          <cell r="G57">
            <v>100</v>
          </cell>
        </row>
        <row r="58">
          <cell r="B58" t="str">
            <v>.Wire</v>
          </cell>
          <cell r="C58" t="str">
            <v>kg</v>
          </cell>
          <cell r="D58">
            <v>4795</v>
          </cell>
          <cell r="G58">
            <v>100</v>
          </cell>
        </row>
        <row r="59">
          <cell r="B59" t="str">
            <v>.Wire for Gabion</v>
          </cell>
          <cell r="C59" t="str">
            <v>kg</v>
          </cell>
          <cell r="D59">
            <v>4565</v>
          </cell>
          <cell r="G59">
            <v>100</v>
          </cell>
        </row>
        <row r="60">
          <cell r="B60" t="str">
            <v>.Sunny hose ø 4"</v>
          </cell>
          <cell r="C60" t="str">
            <v>m</v>
          </cell>
          <cell r="D60">
            <v>18657</v>
          </cell>
          <cell r="G60">
            <v>100</v>
          </cell>
        </row>
        <row r="61">
          <cell r="B61" t="str">
            <v>.Supply material R.Dam</v>
          </cell>
          <cell r="C61" t="str">
            <v>unit</v>
          </cell>
          <cell r="D61">
            <v>2635956637.3000002</v>
          </cell>
          <cell r="G61">
            <v>100</v>
          </cell>
        </row>
        <row r="64">
          <cell r="B64" t="str">
            <v>NATURAL MATERIAL</v>
          </cell>
        </row>
        <row r="65">
          <cell r="B65" t="str">
            <v>.Crusher run</v>
          </cell>
          <cell r="C65" t="str">
            <v xml:space="preserve">m³ </v>
          </cell>
          <cell r="D65">
            <v>95071</v>
          </cell>
          <cell r="G65">
            <v>100</v>
          </cell>
        </row>
        <row r="66">
          <cell r="B66" t="str">
            <v xml:space="preserve">.Gravel </v>
          </cell>
          <cell r="C66" t="str">
            <v xml:space="preserve">m³ </v>
          </cell>
          <cell r="D66">
            <v>55225</v>
          </cell>
          <cell r="G66">
            <v>100</v>
          </cell>
        </row>
        <row r="67">
          <cell r="B67" t="str">
            <v>.Log pile ø 6 " - 4 m</v>
          </cell>
          <cell r="C67" t="str">
            <v>pcs</v>
          </cell>
          <cell r="D67">
            <v>13085</v>
          </cell>
          <cell r="G67">
            <v>100</v>
          </cell>
        </row>
        <row r="68">
          <cell r="B68" t="str">
            <v>.Palm fibre</v>
          </cell>
          <cell r="C68" t="str">
            <v>kg</v>
          </cell>
          <cell r="D68">
            <v>2180</v>
          </cell>
          <cell r="G68">
            <v>100</v>
          </cell>
        </row>
        <row r="69">
          <cell r="B69" t="str">
            <v>.River stone</v>
          </cell>
          <cell r="C69" t="str">
            <v xml:space="preserve">m³ </v>
          </cell>
          <cell r="D69">
            <v>37544</v>
          </cell>
          <cell r="G69">
            <v>100</v>
          </cell>
        </row>
        <row r="70">
          <cell r="B70" t="str">
            <v>.Sand</v>
          </cell>
          <cell r="C70" t="str">
            <v xml:space="preserve">m³ </v>
          </cell>
          <cell r="D70">
            <v>31488</v>
          </cell>
          <cell r="G70">
            <v>100</v>
          </cell>
        </row>
        <row r="71">
          <cell r="B71" t="str">
            <v>.Split 2/3</v>
          </cell>
          <cell r="C71" t="str">
            <v xml:space="preserve">m³ </v>
          </cell>
          <cell r="D71">
            <v>73150</v>
          </cell>
          <cell r="G71">
            <v>100</v>
          </cell>
        </row>
        <row r="72">
          <cell r="B72" t="str">
            <v>.Wooden for bekisting</v>
          </cell>
          <cell r="C72" t="str">
            <v xml:space="preserve">m³ </v>
          </cell>
          <cell r="D72">
            <v>1307980</v>
          </cell>
          <cell r="G72">
            <v>100</v>
          </cell>
        </row>
        <row r="73">
          <cell r="B73" t="str">
            <v>.Sodding</v>
          </cell>
          <cell r="C73" t="str">
            <v xml:space="preserve">m² </v>
          </cell>
          <cell r="D73">
            <v>4845</v>
          </cell>
          <cell r="G73">
            <v>100</v>
          </cell>
        </row>
        <row r="74">
          <cell r="B74" t="str">
            <v>.Wood</v>
          </cell>
          <cell r="C74" t="str">
            <v xml:space="preserve">m³ </v>
          </cell>
          <cell r="D74">
            <v>1307980</v>
          </cell>
          <cell r="G74">
            <v>100</v>
          </cell>
        </row>
        <row r="78">
          <cell r="B78" t="str">
            <v>LABOUR</v>
          </cell>
        </row>
        <row r="79">
          <cell r="B79" t="str">
            <v>.Carpenter</v>
          </cell>
          <cell r="C79" t="str">
            <v>man.day</v>
          </cell>
          <cell r="D79">
            <v>30114</v>
          </cell>
          <cell r="F79">
            <v>100</v>
          </cell>
        </row>
        <row r="80">
          <cell r="B80" t="str">
            <v>.Foreman</v>
          </cell>
          <cell r="C80" t="str">
            <v>man.day</v>
          </cell>
          <cell r="D80">
            <v>36660</v>
          </cell>
          <cell r="F80">
            <v>100</v>
          </cell>
        </row>
        <row r="81">
          <cell r="B81" t="str">
            <v>.Ironsmith</v>
          </cell>
          <cell r="C81" t="str">
            <v>man.day</v>
          </cell>
          <cell r="D81">
            <v>26840</v>
          </cell>
          <cell r="F81">
            <v>100</v>
          </cell>
        </row>
        <row r="82">
          <cell r="B82" t="str">
            <v>.Mason</v>
          </cell>
          <cell r="C82" t="str">
            <v>man.day</v>
          </cell>
          <cell r="D82">
            <v>26840</v>
          </cell>
          <cell r="F82">
            <v>100</v>
          </cell>
        </row>
        <row r="83">
          <cell r="B83" t="str">
            <v>.Mechanic</v>
          </cell>
          <cell r="C83" t="str">
            <v>man.day</v>
          </cell>
          <cell r="D83">
            <v>30114</v>
          </cell>
          <cell r="F83">
            <v>100</v>
          </cell>
        </row>
        <row r="84">
          <cell r="B84" t="str">
            <v>.Operator</v>
          </cell>
          <cell r="C84" t="str">
            <v>man.day</v>
          </cell>
          <cell r="D84">
            <v>23567</v>
          </cell>
          <cell r="F84">
            <v>100</v>
          </cell>
        </row>
        <row r="85">
          <cell r="B85" t="str">
            <v>.Skilled labour</v>
          </cell>
          <cell r="C85" t="str">
            <v>man.day</v>
          </cell>
          <cell r="D85">
            <v>30114</v>
          </cell>
          <cell r="F85">
            <v>100</v>
          </cell>
        </row>
        <row r="86">
          <cell r="B86" t="str">
            <v>.Unskilled labour</v>
          </cell>
          <cell r="C86" t="str">
            <v>man.day</v>
          </cell>
          <cell r="D86">
            <v>19639</v>
          </cell>
          <cell r="F86">
            <v>100</v>
          </cell>
        </row>
        <row r="87">
          <cell r="B87" t="str">
            <v>.Welder</v>
          </cell>
          <cell r="C87" t="str">
            <v>man.day</v>
          </cell>
          <cell r="D87">
            <v>30114</v>
          </cell>
          <cell r="F87">
            <v>100</v>
          </cell>
        </row>
        <row r="88">
          <cell r="B88" t="str">
            <v>.Install R. Dam</v>
          </cell>
          <cell r="C88" t="str">
            <v>unit</v>
          </cell>
          <cell r="D88">
            <v>222999828.78</v>
          </cell>
          <cell r="F88">
            <v>100</v>
          </cell>
        </row>
        <row r="91">
          <cell r="B91" t="str">
            <v>EQUIPMENT</v>
          </cell>
        </row>
        <row r="92">
          <cell r="B92" t="str">
            <v>.Air Compressor 175 cfm</v>
          </cell>
          <cell r="C92" t="str">
            <v>hour</v>
          </cell>
          <cell r="D92">
            <v>16107</v>
          </cell>
          <cell r="H92">
            <v>27.453902030173211</v>
          </cell>
          <cell r="I92">
            <v>72.546097969826789</v>
          </cell>
        </row>
        <row r="93">
          <cell r="B93" t="str">
            <v>.Baby roller</v>
          </cell>
          <cell r="C93" t="str">
            <v>hour</v>
          </cell>
          <cell r="D93">
            <v>5965</v>
          </cell>
          <cell r="H93">
            <v>67.139473012864897</v>
          </cell>
          <cell r="I93">
            <v>32.860526987135096</v>
          </cell>
        </row>
        <row r="94">
          <cell r="B94" t="str">
            <v>.Bar bender</v>
          </cell>
          <cell r="C94" t="str">
            <v>hour</v>
          </cell>
          <cell r="D94">
            <v>2422</v>
          </cell>
          <cell r="H94">
            <v>0</v>
          </cell>
          <cell r="I94">
            <v>100</v>
          </cell>
        </row>
        <row r="95">
          <cell r="B95" t="str">
            <v>.Bar cutter</v>
          </cell>
          <cell r="C95" t="str">
            <v>hour</v>
          </cell>
          <cell r="D95">
            <v>2422</v>
          </cell>
          <cell r="H95">
            <v>0</v>
          </cell>
          <cell r="I95">
            <v>100</v>
          </cell>
        </row>
        <row r="96">
          <cell r="B96" t="str">
            <v>.Bulldozer D7G</v>
          </cell>
          <cell r="C96" t="str">
            <v>hour</v>
          </cell>
          <cell r="D96">
            <v>257139</v>
          </cell>
          <cell r="H96">
            <v>11.783808470682047</v>
          </cell>
          <cell r="I96">
            <v>88.216191529317953</v>
          </cell>
        </row>
        <row r="97">
          <cell r="B97" t="str">
            <v>.Chain saw</v>
          </cell>
          <cell r="C97" t="str">
            <v>hour</v>
          </cell>
          <cell r="D97">
            <v>11385</v>
          </cell>
          <cell r="H97">
            <v>2.9797101449275365</v>
          </cell>
          <cell r="I97">
            <v>97.020289855072463</v>
          </cell>
        </row>
        <row r="98">
          <cell r="B98" t="str">
            <v>.Chute</v>
          </cell>
          <cell r="C98" t="str">
            <v>unit</v>
          </cell>
          <cell r="D98">
            <v>302774</v>
          </cell>
          <cell r="H98">
            <v>0</v>
          </cell>
          <cell r="I98">
            <v>100</v>
          </cell>
        </row>
        <row r="99">
          <cell r="B99" t="str">
            <v>.Concrete mixer 350 liter</v>
          </cell>
          <cell r="C99" t="str">
            <v>hour</v>
          </cell>
          <cell r="D99">
            <v>4421</v>
          </cell>
          <cell r="H99">
            <v>2.5378873558018546</v>
          </cell>
          <cell r="I99">
            <v>97.462112644198157</v>
          </cell>
        </row>
        <row r="100">
          <cell r="B100" t="str">
            <v>.Concrete mixer 400 lt winget</v>
          </cell>
          <cell r="C100" t="str">
            <v>hour</v>
          </cell>
          <cell r="D100">
            <v>29760</v>
          </cell>
          <cell r="H100">
            <v>0.37701612903225806</v>
          </cell>
          <cell r="I100">
            <v>99.622983870967744</v>
          </cell>
        </row>
        <row r="101">
          <cell r="B101" t="str">
            <v>.Concrete vibrator</v>
          </cell>
          <cell r="C101" t="str">
            <v>hour</v>
          </cell>
          <cell r="D101">
            <v>4804</v>
          </cell>
          <cell r="H101">
            <v>5.495420482930891</v>
          </cell>
          <cell r="I101">
            <v>94.504579517069104</v>
          </cell>
        </row>
        <row r="102">
          <cell r="B102" t="str">
            <v>.Crawler crane 40 ton</v>
          </cell>
          <cell r="C102" t="str">
            <v>hour</v>
          </cell>
          <cell r="D102">
            <v>167615</v>
          </cell>
          <cell r="H102">
            <v>17.418433868322495</v>
          </cell>
          <cell r="I102">
            <v>82.581566131677505</v>
          </cell>
        </row>
        <row r="103">
          <cell r="B103" t="str">
            <v>.Dump truck 8 ton</v>
          </cell>
          <cell r="C103" t="str">
            <v>hour</v>
          </cell>
          <cell r="D103">
            <v>48807</v>
          </cell>
          <cell r="H103">
            <v>22.284390991041128</v>
          </cell>
          <cell r="I103">
            <v>77.715609008958879</v>
          </cell>
        </row>
        <row r="104">
          <cell r="B104" t="str">
            <v>.Excavator Long arm PC-200</v>
          </cell>
          <cell r="C104" t="str">
            <v>hour</v>
          </cell>
          <cell r="D104">
            <v>206855</v>
          </cell>
          <cell r="H104">
            <v>9.6995183190765655</v>
          </cell>
          <cell r="I104">
            <v>90.300481680923426</v>
          </cell>
        </row>
        <row r="105">
          <cell r="B105" t="str">
            <v>.Excavator PC-200</v>
          </cell>
          <cell r="C105" t="str">
            <v>hour</v>
          </cell>
          <cell r="D105">
            <v>164466</v>
          </cell>
          <cell r="H105">
            <v>12.199444638360408</v>
          </cell>
          <cell r="I105">
            <v>87.800555361639582</v>
          </cell>
        </row>
        <row r="106">
          <cell r="B106" t="str">
            <v>.Genset 45 KVA</v>
          </cell>
          <cell r="C106" t="str">
            <v>hour</v>
          </cell>
          <cell r="D106">
            <v>14835</v>
          </cell>
          <cell r="H106">
            <v>26.83310414560162</v>
          </cell>
          <cell r="I106">
            <v>73.166895854398376</v>
          </cell>
        </row>
        <row r="107">
          <cell r="B107" t="str">
            <v>.Pick hammer 30 kg</v>
          </cell>
          <cell r="C107" t="str">
            <v>hour</v>
          </cell>
          <cell r="D107">
            <v>7569</v>
          </cell>
          <cell r="H107">
            <v>0</v>
          </cell>
          <cell r="I107">
            <v>100</v>
          </cell>
        </row>
        <row r="108">
          <cell r="B108" t="str">
            <v>.Piling equipment ( crane 25t &amp; hammer K-25 )</v>
          </cell>
          <cell r="C108" t="str">
            <v>month</v>
          </cell>
          <cell r="D108">
            <v>48443712</v>
          </cell>
          <cell r="H108">
            <v>0</v>
          </cell>
          <cell r="I108">
            <v>100</v>
          </cell>
        </row>
        <row r="109">
          <cell r="B109" t="str">
            <v>.Vibro roller CA-25</v>
          </cell>
          <cell r="C109" t="str">
            <v>hour</v>
          </cell>
          <cell r="D109">
            <v>116023</v>
          </cell>
          <cell r="H109">
            <v>17.293070011054557</v>
          </cell>
          <cell r="I109">
            <v>82.706929988945433</v>
          </cell>
        </row>
        <row r="110">
          <cell r="B110" t="str">
            <v>.Water pump 4"</v>
          </cell>
          <cell r="C110" t="str">
            <v>hour</v>
          </cell>
          <cell r="D110">
            <v>3634</v>
          </cell>
          <cell r="H110">
            <v>18.161805173362687</v>
          </cell>
          <cell r="I110">
            <v>81.838194826637306</v>
          </cell>
        </row>
        <row r="111">
          <cell r="B111" t="str">
            <v>.Water tank 5000 lt</v>
          </cell>
          <cell r="C111" t="str">
            <v>hour</v>
          </cell>
          <cell r="D111">
            <v>59465</v>
          </cell>
          <cell r="H111">
            <v>14.93496034440083</v>
          </cell>
          <cell r="I111">
            <v>85.065039655599179</v>
          </cell>
        </row>
        <row r="112">
          <cell r="B112" t="str">
            <v>.Welder machine + genset</v>
          </cell>
          <cell r="C112" t="str">
            <v>hour</v>
          </cell>
          <cell r="D112">
            <v>18166</v>
          </cell>
          <cell r="H112">
            <v>21.912864692282287</v>
          </cell>
          <cell r="I112">
            <v>78.087135307717716</v>
          </cell>
        </row>
        <row r="113">
          <cell r="B113" t="str">
            <v>.Concrete pump 85 m3</v>
          </cell>
          <cell r="C113" t="str">
            <v>hour</v>
          </cell>
          <cell r="D113">
            <v>222115</v>
          </cell>
          <cell r="H113">
            <v>8.4899339890576488</v>
          </cell>
          <cell r="I113">
            <v>91.510066010942353</v>
          </cell>
        </row>
        <row r="116">
          <cell r="B116" t="str">
            <v>.Tools</v>
          </cell>
          <cell r="C116" t="str">
            <v>ls</v>
          </cell>
          <cell r="I116">
            <v>100</v>
          </cell>
        </row>
        <row r="118">
          <cell r="B118" t="str">
            <v>SUBCONTRACTOR</v>
          </cell>
        </row>
        <row r="119">
          <cell r="B119" t="str">
            <v>.Concrete block crib t 20 cm</v>
          </cell>
          <cell r="C119" t="str">
            <v>nos</v>
          </cell>
          <cell r="D119">
            <v>121109</v>
          </cell>
          <cell r="G119">
            <v>100</v>
          </cell>
        </row>
        <row r="120">
          <cell r="B120" t="str">
            <v>.Control house</v>
          </cell>
          <cell r="C120" t="str">
            <v xml:space="preserve">m² </v>
          </cell>
          <cell r="D120">
            <v>787210</v>
          </cell>
          <cell r="G120">
            <v>100</v>
          </cell>
        </row>
        <row r="121">
          <cell r="B121" t="str">
            <v>.Flap gate ø 600 mm</v>
          </cell>
          <cell r="C121" t="str">
            <v>unit</v>
          </cell>
          <cell r="D121">
            <v>18166392</v>
          </cell>
          <cell r="G121">
            <v>100</v>
          </cell>
        </row>
        <row r="122">
          <cell r="B122" t="str">
            <v>.Name plate</v>
          </cell>
          <cell r="C122" t="str">
            <v>unit</v>
          </cell>
          <cell r="D122">
            <v>908320</v>
          </cell>
          <cell r="G122">
            <v>100</v>
          </cell>
        </row>
        <row r="123">
          <cell r="B123" t="str">
            <v>.Piling work PC pile ø 60 cm</v>
          </cell>
          <cell r="C123" t="str">
            <v>m</v>
          </cell>
          <cell r="D123">
            <v>54499</v>
          </cell>
          <cell r="I123">
            <v>100</v>
          </cell>
        </row>
        <row r="124">
          <cell r="B124" t="str">
            <v>.Piling work PC pile or SP Pile ø 30 cm or ø 35 cm</v>
          </cell>
          <cell r="C124" t="str">
            <v>m</v>
          </cell>
          <cell r="D124">
            <v>42388</v>
          </cell>
          <cell r="I124">
            <v>100</v>
          </cell>
        </row>
        <row r="125">
          <cell r="B125" t="str">
            <v>.Piling work PC pile or SP Pile ø 40 cm or ø 50 cm</v>
          </cell>
          <cell r="C125" t="str">
            <v>m</v>
          </cell>
          <cell r="D125">
            <v>42388</v>
          </cell>
          <cell r="I125">
            <v>100</v>
          </cell>
        </row>
        <row r="126">
          <cell r="B126" t="str">
            <v>.Ready mix K-350 for B</v>
          </cell>
          <cell r="C126" t="str">
            <v xml:space="preserve">m³ </v>
          </cell>
          <cell r="D126">
            <v>333051</v>
          </cell>
          <cell r="G126">
            <v>100</v>
          </cell>
        </row>
        <row r="127">
          <cell r="B127" t="str">
            <v>.Static loading test</v>
          </cell>
          <cell r="C127" t="str">
            <v>nos</v>
          </cell>
          <cell r="D127">
            <v>18166392</v>
          </cell>
          <cell r="I127">
            <v>100</v>
          </cell>
        </row>
        <row r="128">
          <cell r="B128" t="str">
            <v>.Steel sheet piling work</v>
          </cell>
          <cell r="C128" t="str">
            <v>m</v>
          </cell>
          <cell r="D128">
            <v>42388</v>
          </cell>
          <cell r="I128">
            <v>100</v>
          </cell>
        </row>
        <row r="129">
          <cell r="B129" t="str">
            <v>.Steel slide gate (H= 1m, B= 1m, x 2)</v>
          </cell>
          <cell r="C129" t="str">
            <v>unit</v>
          </cell>
          <cell r="D129">
            <v>8233732</v>
          </cell>
          <cell r="G129">
            <v>100</v>
          </cell>
        </row>
        <row r="130">
          <cell r="B130" t="str">
            <v>.Steel slide gate (H= 1m, B= 1,25m, x 2)</v>
          </cell>
          <cell r="C130" t="str">
            <v>unit</v>
          </cell>
          <cell r="D130">
            <v>8890335</v>
          </cell>
          <cell r="G130">
            <v>100</v>
          </cell>
        </row>
        <row r="131">
          <cell r="B131" t="str">
            <v>.Steel slide gate (H= 1,5m, B= 2m, x 2)</v>
          </cell>
          <cell r="C131" t="str">
            <v>unit</v>
          </cell>
          <cell r="D131">
            <v>12573526</v>
          </cell>
          <cell r="G131">
            <v>100</v>
          </cell>
        </row>
        <row r="132">
          <cell r="B132" t="str">
            <v>.Erection Diafragma wall</v>
          </cell>
          <cell r="C132" t="str">
            <v>unit</v>
          </cell>
          <cell r="D132">
            <v>170207</v>
          </cell>
          <cell r="I132">
            <v>100</v>
          </cell>
        </row>
        <row r="133">
          <cell r="B133" t="str">
            <v>.Erection of concrete girder I 125 - 25.60</v>
          </cell>
          <cell r="C133" t="str">
            <v>unit</v>
          </cell>
          <cell r="D133">
            <v>9019643</v>
          </cell>
          <cell r="I133">
            <v>100</v>
          </cell>
        </row>
        <row r="134">
          <cell r="B134" t="str">
            <v>.Erection of concrete girder I 160 - 31.60</v>
          </cell>
          <cell r="C134" t="str">
            <v>unit</v>
          </cell>
          <cell r="D134">
            <v>16453019</v>
          </cell>
          <cell r="I134">
            <v>100</v>
          </cell>
        </row>
        <row r="135">
          <cell r="B135" t="str">
            <v>.Erection of concrete girder I 170 - 40.80</v>
          </cell>
          <cell r="C135" t="str">
            <v>unit</v>
          </cell>
          <cell r="D135">
            <v>25555655</v>
          </cell>
          <cell r="I135">
            <v>100</v>
          </cell>
        </row>
        <row r="136">
          <cell r="B136" t="str">
            <v>.Erection of concrete girder I 090 - 16.60</v>
          </cell>
          <cell r="C136" t="str">
            <v>unit</v>
          </cell>
          <cell r="D136">
            <v>4548969</v>
          </cell>
          <cell r="I136">
            <v>100</v>
          </cell>
        </row>
        <row r="137">
          <cell r="B137" t="str">
            <v>.Erection of RC slab</v>
          </cell>
          <cell r="C137" t="str">
            <v>unit</v>
          </cell>
          <cell r="D137">
            <v>114890</v>
          </cell>
          <cell r="I137">
            <v>100</v>
          </cell>
        </row>
        <row r="138">
          <cell r="B138" t="str">
            <v>.Steel plate girder</v>
          </cell>
          <cell r="C138" t="str">
            <v>ls</v>
          </cell>
          <cell r="D138">
            <v>217445435</v>
          </cell>
          <cell r="G138">
            <v>100</v>
          </cell>
        </row>
        <row r="144">
          <cell r="B144" t="str">
            <v>.Rubber dam</v>
          </cell>
          <cell r="C144" t="str">
            <v>ls</v>
          </cell>
          <cell r="D144">
            <v>2858956466</v>
          </cell>
          <cell r="G144">
            <v>100</v>
          </cell>
        </row>
      </sheetData>
      <sheetData sheetId="5"/>
      <sheetData sheetId="6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_boq"/>
      <sheetName val="penawaran"/>
      <sheetName val="Peralatan"/>
      <sheetName val="a-bahan"/>
      <sheetName val="a-bat"/>
      <sheetName val="a-hrg"/>
      <sheetName val="1-boq"/>
      <sheetName val="TS"/>
      <sheetName val="F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P"/>
      <sheetName val="Additional"/>
      <sheetName val="Gal_Cold Milling"/>
      <sheetName val="Gal_Jack Hammer"/>
    </sheetNames>
    <sheetDataSet>
      <sheetData sheetId="0" refreshError="1">
        <row r="841">
          <cell r="T841" t="str">
            <v>Analisa EI-322</v>
          </cell>
        </row>
        <row r="843">
          <cell r="L843" t="str">
            <v>FORMULIR STANDAR UNTUK</v>
          </cell>
        </row>
        <row r="844">
          <cell r="L844" t="str">
            <v>PEREKAMAN ANALISA MASING-MASING HARGA SATUAN</v>
          </cell>
        </row>
        <row r="845">
          <cell r="L845" t="str">
            <v/>
          </cell>
        </row>
        <row r="848">
          <cell r="L848" t="str">
            <v>PROYEK</v>
          </cell>
          <cell r="O848" t="str">
            <v>: Proyek Pembangunan Jalan Pantai Utara  Jawa Barat</v>
          </cell>
        </row>
        <row r="849">
          <cell r="L849" t="str">
            <v>No. PAKET KONTRAK</v>
          </cell>
          <cell r="O849" t="str">
            <v xml:space="preserve">: </v>
          </cell>
        </row>
        <row r="850">
          <cell r="L850" t="str">
            <v>NAMA PAKET</v>
          </cell>
          <cell r="O850" t="str">
            <v>:  Flyover  Pamanukan</v>
          </cell>
        </row>
        <row r="851">
          <cell r="L851" t="str">
            <v>PROP / KAB / KODYA</v>
          </cell>
          <cell r="O851" t="str">
            <v>: Jawa Barat</v>
          </cell>
        </row>
        <row r="852">
          <cell r="L852" t="str">
            <v>ITEM PEMBAYARAN NO.</v>
          </cell>
          <cell r="O852" t="str">
            <v>:  3.2 (2)</v>
          </cell>
          <cell r="R852" t="str">
            <v>PERKIRAAN VOL. PEK.</v>
          </cell>
          <cell r="T852" t="str">
            <v>:</v>
          </cell>
          <cell r="U852">
            <v>6571.2013500000003</v>
          </cell>
        </row>
        <row r="853">
          <cell r="L853" t="str">
            <v>JENIS PEKERJAAN</v>
          </cell>
          <cell r="O853" t="str">
            <v>:  Timbunan Pilihan</v>
          </cell>
          <cell r="R853" t="str">
            <v>TOTAL HARGA (Rp.)</v>
          </cell>
          <cell r="T853" t="str">
            <v>:</v>
          </cell>
          <cell r="U853">
            <v>359628773.19481355</v>
          </cell>
        </row>
        <row r="854">
          <cell r="L854" t="str">
            <v>SATUAN PEMBAYARAN</v>
          </cell>
          <cell r="O854" t="str">
            <v>:  M3</v>
          </cell>
          <cell r="R854" t="str">
            <v>% THD. BIAYA PROYEK</v>
          </cell>
          <cell r="T854" t="str">
            <v>:</v>
          </cell>
          <cell r="U854">
            <v>0.70465720727372594</v>
          </cell>
        </row>
        <row r="857">
          <cell r="Q857" t="str">
            <v>PERKIRAAN</v>
          </cell>
          <cell r="R857" t="str">
            <v>HARGA</v>
          </cell>
          <cell r="S857" t="str">
            <v>JUMLAH</v>
          </cell>
        </row>
        <row r="858">
          <cell r="L858" t="str">
            <v>NO.</v>
          </cell>
          <cell r="N858" t="str">
            <v>KOMPONEN</v>
          </cell>
          <cell r="P858" t="str">
            <v>SATUAN</v>
          </cell>
          <cell r="Q858" t="str">
            <v>KUANTITAS</v>
          </cell>
          <cell r="R858" t="str">
            <v>SATUAN</v>
          </cell>
          <cell r="S858" t="str">
            <v>HARGA</v>
          </cell>
        </row>
        <row r="859">
          <cell r="R859" t="str">
            <v>(Rp.)</v>
          </cell>
          <cell r="S859" t="str">
            <v>(Rp.)</v>
          </cell>
        </row>
        <row r="862">
          <cell r="L862" t="str">
            <v>A.</v>
          </cell>
          <cell r="N862" t="str">
            <v>TENAGA</v>
          </cell>
        </row>
        <row r="864">
          <cell r="L864" t="str">
            <v>1.</v>
          </cell>
          <cell r="N864" t="str">
            <v>Pekerja</v>
          </cell>
          <cell r="O864" t="str">
            <v>(L01)</v>
          </cell>
          <cell r="P864" t="str">
            <v>Jam</v>
          </cell>
          <cell r="Q864">
            <v>7.1396697902721989E-2</v>
          </cell>
          <cell r="R864">
            <v>2750</v>
          </cell>
          <cell r="U864">
            <v>196.34091923248548</v>
          </cell>
        </row>
        <row r="865">
          <cell r="L865" t="str">
            <v>2.</v>
          </cell>
          <cell r="N865" t="str">
            <v>Mandor</v>
          </cell>
          <cell r="O865" t="str">
            <v>(L03)</v>
          </cell>
          <cell r="P865" t="str">
            <v>Jam</v>
          </cell>
          <cell r="Q865">
            <v>1.7849174475680497E-2</v>
          </cell>
          <cell r="R865">
            <v>4000</v>
          </cell>
          <cell r="U865">
            <v>71.396697902721996</v>
          </cell>
        </row>
        <row r="868">
          <cell r="Q868" t="str">
            <v xml:space="preserve">JUMLAH HARGA TENAGA   </v>
          </cell>
          <cell r="U868">
            <v>267.73761713520747</v>
          </cell>
        </row>
        <row r="870">
          <cell r="L870" t="str">
            <v>B.</v>
          </cell>
          <cell r="N870" t="str">
            <v>BAHAN</v>
          </cell>
        </row>
        <row r="872">
          <cell r="L872" t="str">
            <v>1.</v>
          </cell>
          <cell r="N872" t="str">
            <v>Bahan pilihan   (M09)</v>
          </cell>
          <cell r="O872" t="str">
            <v>(M09)</v>
          </cell>
          <cell r="P872" t="str">
            <v>M3</v>
          </cell>
          <cell r="Q872">
            <v>1.2</v>
          </cell>
          <cell r="R872">
            <v>21000</v>
          </cell>
          <cell r="U872">
            <v>25200</v>
          </cell>
        </row>
        <row r="878">
          <cell r="Q878" t="str">
            <v xml:space="preserve">JUMLAH HARGA BAHAN   </v>
          </cell>
          <cell r="U878">
            <v>25200</v>
          </cell>
        </row>
        <row r="880">
          <cell r="L880" t="str">
            <v>C.</v>
          </cell>
          <cell r="N880" t="str">
            <v>PERALATAN</v>
          </cell>
        </row>
        <row r="881">
          <cell r="L881" t="str">
            <v>1.</v>
          </cell>
          <cell r="N881" t="str">
            <v>Wheel  Loader</v>
          </cell>
          <cell r="O881" t="str">
            <v>(E15)</v>
          </cell>
          <cell r="P881" t="str">
            <v>Jam</v>
          </cell>
          <cell r="Q881">
            <v>1.7849174475680497E-2</v>
          </cell>
          <cell r="R881">
            <v>181182.97084330328</v>
          </cell>
          <cell r="U881">
            <v>3233.9664586042527</v>
          </cell>
        </row>
        <row r="882">
          <cell r="L882" t="str">
            <v>2.</v>
          </cell>
          <cell r="N882" t="str">
            <v>Dump Truck</v>
          </cell>
          <cell r="O882" t="str">
            <v>(E08)</v>
          </cell>
          <cell r="P882" t="str">
            <v>Jam</v>
          </cell>
          <cell r="Q882">
            <v>0.16265060240963855</v>
          </cell>
          <cell r="R882">
            <v>90902.327191025077</v>
          </cell>
          <cell r="U882">
            <v>14785.318278058296</v>
          </cell>
        </row>
        <row r="883">
          <cell r="L883" t="str">
            <v>3.</v>
          </cell>
          <cell r="N883" t="str">
            <v>Motor Grader</v>
          </cell>
          <cell r="O883" t="str">
            <v>(E13)</v>
          </cell>
          <cell r="P883" t="str">
            <v>Jam</v>
          </cell>
          <cell r="Q883">
            <v>1.5618027666220438E-2</v>
          </cell>
          <cell r="R883">
            <v>249349.23784774702</v>
          </cell>
          <cell r="U883">
            <v>3894.3432952570934</v>
          </cell>
        </row>
        <row r="884">
          <cell r="L884" t="str">
            <v>3.</v>
          </cell>
          <cell r="N884" t="str">
            <v>Vibro Roller</v>
          </cell>
          <cell r="O884" t="str">
            <v>(E19)</v>
          </cell>
          <cell r="P884" t="str">
            <v>Jam</v>
          </cell>
          <cell r="Q884">
            <v>1.6064257028112448E-2</v>
          </cell>
          <cell r="R884">
            <v>105030.97519263501</v>
          </cell>
          <cell r="U884">
            <v>1687.2445814077912</v>
          </cell>
        </row>
        <row r="885">
          <cell r="L885" t="str">
            <v>4.</v>
          </cell>
          <cell r="N885" t="str">
            <v>Water Tanker</v>
          </cell>
          <cell r="O885" t="str">
            <v>(E23)</v>
          </cell>
          <cell r="P885" t="str">
            <v>Jam</v>
          </cell>
          <cell r="Q885">
            <v>7.0281124497991983E-3</v>
          </cell>
          <cell r="R885">
            <v>85958.879632794691</v>
          </cell>
          <cell r="U885">
            <v>604.12867211803507</v>
          </cell>
        </row>
        <row r="886">
          <cell r="L886" t="str">
            <v>5.</v>
          </cell>
          <cell r="N886" t="str">
            <v>Alat  Bantu</v>
          </cell>
          <cell r="P886" t="str">
            <v>Ls</v>
          </cell>
          <cell r="Q886">
            <v>1</v>
          </cell>
          <cell r="R886">
            <v>80</v>
          </cell>
          <cell r="U886">
            <v>80</v>
          </cell>
        </row>
        <row r="890">
          <cell r="Q890" t="str">
            <v xml:space="preserve">JUMLAH HARGA PERALATAN   </v>
          </cell>
          <cell r="U890">
            <v>24285.001285445473</v>
          </cell>
        </row>
        <row r="892">
          <cell r="L892" t="str">
            <v>D.</v>
          </cell>
          <cell r="N892" t="str">
            <v>JUMLAH HARGA TENAGA, BAHAN DAN PERALATAN  ( A + B + C )</v>
          </cell>
          <cell r="U892">
            <v>49752.738902580677</v>
          </cell>
        </row>
        <row r="893">
          <cell r="L893" t="str">
            <v>E.</v>
          </cell>
          <cell r="N893" t="str">
            <v>OVERHEAD &amp; PROFIT</v>
          </cell>
          <cell r="P893">
            <v>10</v>
          </cell>
          <cell r="Q893" t="str">
            <v>%  x  D</v>
          </cell>
          <cell r="U893">
            <v>4975.2738902580677</v>
          </cell>
        </row>
        <row r="894">
          <cell r="L894" t="str">
            <v>F.</v>
          </cell>
          <cell r="N894" t="str">
            <v>HARGA SATUAN PEKERJAAN  ( D + E )</v>
          </cell>
          <cell r="U894">
            <v>54728.012792838745</v>
          </cell>
        </row>
        <row r="895">
          <cell r="L895" t="str">
            <v>Note: 1</v>
          </cell>
          <cell r="N895" t="str">
            <v>SATUAN dapat berdasarkan atas jam operasi untuk Tenaga Kerja dan Peralatan, volume dan/atau ukuran</v>
          </cell>
        </row>
        <row r="896">
          <cell r="N896" t="str">
            <v>berat untuk bahan-bahan.</v>
          </cell>
        </row>
        <row r="897">
          <cell r="L897">
            <v>2</v>
          </cell>
          <cell r="N897" t="str">
            <v>Kuantitas satuan adalah kuantitas setiap komponen untuk menyelesaikan satu satuan pekerjaan dari nomor</v>
          </cell>
        </row>
        <row r="898">
          <cell r="N898" t="str">
            <v>mata pembayaran.</v>
          </cell>
        </row>
        <row r="899">
          <cell r="L899">
            <v>3</v>
          </cell>
          <cell r="N899" t="str">
            <v>Biaya satuan untuk peralatan sudah termasuk bahan bakar, bahan habis dipakai dan operator.</v>
          </cell>
        </row>
        <row r="900">
          <cell r="L900">
            <v>4</v>
          </cell>
          <cell r="N900" t="str">
            <v>Biaya satuan sudah termasuk pengeluaran untuk seluruh pajak yang berkaitan (tetapi tidak termasuk PPN</v>
          </cell>
        </row>
        <row r="901">
          <cell r="N901" t="str">
            <v>yang dibayar dari kontrak) dan biaya-biaya lainnya.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P"/>
      <sheetName val="Additional"/>
      <sheetName val="Gal_Cold Milling"/>
      <sheetName val="Gal_Jack Hammer"/>
    </sheetNames>
    <sheetDataSet>
      <sheetData sheetId="0" refreshError="1">
        <row r="841">
          <cell r="T841" t="str">
            <v>Analisa EI-322</v>
          </cell>
        </row>
        <row r="843">
          <cell r="L843" t="str">
            <v>FORMULIR STANDAR UNTUK</v>
          </cell>
        </row>
        <row r="844">
          <cell r="L844" t="str">
            <v>PEREKAMAN ANALISA MASING-MASING HARGA SATUAN</v>
          </cell>
        </row>
        <row r="845">
          <cell r="L845" t="str">
            <v/>
          </cell>
        </row>
        <row r="848">
          <cell r="L848" t="str">
            <v>PROYEK</v>
          </cell>
          <cell r="O848" t="str">
            <v>: Proyek Pembangunan Jalan Pantai Utara  Jawa Barat</v>
          </cell>
        </row>
        <row r="849">
          <cell r="L849" t="str">
            <v>No. PAKET KONTRAK</v>
          </cell>
          <cell r="O849" t="str">
            <v xml:space="preserve">: </v>
          </cell>
        </row>
        <row r="850">
          <cell r="L850" t="str">
            <v>NAMA PAKET</v>
          </cell>
          <cell r="O850" t="str">
            <v>:  Flyover  Pamanukan</v>
          </cell>
        </row>
        <row r="851">
          <cell r="L851" t="str">
            <v>PROP / KAB / KODYA</v>
          </cell>
          <cell r="O851" t="str">
            <v>: Jawa Barat</v>
          </cell>
        </row>
        <row r="852">
          <cell r="L852" t="str">
            <v>ITEM PEMBAYARAN NO.</v>
          </cell>
          <cell r="O852" t="str">
            <v>:  3.2 (2)</v>
          </cell>
          <cell r="R852" t="str">
            <v>PERKIRAAN VOL. PEK.</v>
          </cell>
          <cell r="T852" t="str">
            <v>:</v>
          </cell>
          <cell r="U852">
            <v>6571.2013500000003</v>
          </cell>
        </row>
        <row r="853">
          <cell r="L853" t="str">
            <v>JENIS PEKERJAAN</v>
          </cell>
          <cell r="O853" t="str">
            <v>:  Timbunan Pilihan</v>
          </cell>
          <cell r="R853" t="str">
            <v>TOTAL HARGA (Rp.)</v>
          </cell>
          <cell r="T853" t="str">
            <v>:</v>
          </cell>
          <cell r="U853">
            <v>359628773.19481355</v>
          </cell>
        </row>
        <row r="854">
          <cell r="L854" t="str">
            <v>SATUAN PEMBAYARAN</v>
          </cell>
          <cell r="O854" t="str">
            <v>:  M3</v>
          </cell>
          <cell r="R854" t="str">
            <v>% THD. BIAYA PROYEK</v>
          </cell>
          <cell r="T854" t="str">
            <v>:</v>
          </cell>
          <cell r="U854">
            <v>0.70465720727372594</v>
          </cell>
        </row>
        <row r="857">
          <cell r="Q857" t="str">
            <v>PERKIRAAN</v>
          </cell>
          <cell r="R857" t="str">
            <v>HARGA</v>
          </cell>
          <cell r="S857" t="str">
            <v>JUMLAH</v>
          </cell>
        </row>
        <row r="858">
          <cell r="L858" t="str">
            <v>NO.</v>
          </cell>
          <cell r="N858" t="str">
            <v>KOMPONEN</v>
          </cell>
          <cell r="P858" t="str">
            <v>SATUAN</v>
          </cell>
          <cell r="Q858" t="str">
            <v>KUANTITAS</v>
          </cell>
          <cell r="R858" t="str">
            <v>SATUAN</v>
          </cell>
          <cell r="S858" t="str">
            <v>HARGA</v>
          </cell>
        </row>
        <row r="859">
          <cell r="R859" t="str">
            <v>(Rp.)</v>
          </cell>
          <cell r="S859" t="str">
            <v>(Rp.)</v>
          </cell>
        </row>
        <row r="862">
          <cell r="L862" t="str">
            <v>A.</v>
          </cell>
          <cell r="N862" t="str">
            <v>TENAGA</v>
          </cell>
        </row>
        <row r="864">
          <cell r="L864" t="str">
            <v>1.</v>
          </cell>
          <cell r="N864" t="str">
            <v>Pekerja</v>
          </cell>
          <cell r="O864" t="str">
            <v>(L01)</v>
          </cell>
          <cell r="P864" t="str">
            <v>Jam</v>
          </cell>
          <cell r="Q864">
            <v>7.1396697902721989E-2</v>
          </cell>
          <cell r="R864">
            <v>2750</v>
          </cell>
          <cell r="U864">
            <v>196.34091923248548</v>
          </cell>
        </row>
        <row r="865">
          <cell r="L865" t="str">
            <v>2.</v>
          </cell>
          <cell r="N865" t="str">
            <v>Mandor</v>
          </cell>
          <cell r="O865" t="str">
            <v>(L03)</v>
          </cell>
          <cell r="P865" t="str">
            <v>Jam</v>
          </cell>
          <cell r="Q865">
            <v>1.7849174475680497E-2</v>
          </cell>
          <cell r="R865">
            <v>4000</v>
          </cell>
          <cell r="U865">
            <v>71.396697902721996</v>
          </cell>
        </row>
        <row r="868">
          <cell r="Q868" t="str">
            <v xml:space="preserve">JUMLAH HARGA TENAGA   </v>
          </cell>
          <cell r="U868">
            <v>267.73761713520747</v>
          </cell>
        </row>
        <row r="870">
          <cell r="L870" t="str">
            <v>B.</v>
          </cell>
          <cell r="N870" t="str">
            <v>BAHAN</v>
          </cell>
        </row>
        <row r="872">
          <cell r="L872" t="str">
            <v>1.</v>
          </cell>
          <cell r="N872" t="str">
            <v>Bahan pilihan   (M09)</v>
          </cell>
          <cell r="O872" t="str">
            <v>(M09)</v>
          </cell>
          <cell r="P872" t="str">
            <v>M3</v>
          </cell>
          <cell r="Q872">
            <v>1.2</v>
          </cell>
          <cell r="R872">
            <v>21000</v>
          </cell>
          <cell r="U872">
            <v>25200</v>
          </cell>
        </row>
        <row r="878">
          <cell r="Q878" t="str">
            <v xml:space="preserve">JUMLAH HARGA BAHAN   </v>
          </cell>
          <cell r="U878">
            <v>25200</v>
          </cell>
        </row>
        <row r="880">
          <cell r="L880" t="str">
            <v>C.</v>
          </cell>
          <cell r="N880" t="str">
            <v>PERALATAN</v>
          </cell>
        </row>
        <row r="881">
          <cell r="L881" t="str">
            <v>1.</v>
          </cell>
          <cell r="N881" t="str">
            <v>Wheel  Loader</v>
          </cell>
          <cell r="O881" t="str">
            <v>(E15)</v>
          </cell>
          <cell r="P881" t="str">
            <v>Jam</v>
          </cell>
          <cell r="Q881">
            <v>1.7849174475680497E-2</v>
          </cell>
          <cell r="R881">
            <v>181182.97084330328</v>
          </cell>
          <cell r="U881">
            <v>3233.9664586042527</v>
          </cell>
        </row>
        <row r="882">
          <cell r="L882" t="str">
            <v>2.</v>
          </cell>
          <cell r="N882" t="str">
            <v>Dump Truck</v>
          </cell>
          <cell r="O882" t="str">
            <v>(E08)</v>
          </cell>
          <cell r="P882" t="str">
            <v>Jam</v>
          </cell>
          <cell r="Q882">
            <v>0.16265060240963855</v>
          </cell>
          <cell r="R882">
            <v>90902.327191025077</v>
          </cell>
          <cell r="U882">
            <v>14785.318278058296</v>
          </cell>
        </row>
        <row r="883">
          <cell r="L883" t="str">
            <v>3.</v>
          </cell>
          <cell r="N883" t="str">
            <v>Motor Grader</v>
          </cell>
          <cell r="O883" t="str">
            <v>(E13)</v>
          </cell>
          <cell r="P883" t="str">
            <v>Jam</v>
          </cell>
          <cell r="Q883">
            <v>1.5618027666220438E-2</v>
          </cell>
          <cell r="R883">
            <v>249349.23784774702</v>
          </cell>
          <cell r="U883">
            <v>3894.3432952570934</v>
          </cell>
        </row>
        <row r="884">
          <cell r="L884" t="str">
            <v>3.</v>
          </cell>
          <cell r="N884" t="str">
            <v>Vibro Roller</v>
          </cell>
          <cell r="O884" t="str">
            <v>(E19)</v>
          </cell>
          <cell r="P884" t="str">
            <v>Jam</v>
          </cell>
          <cell r="Q884">
            <v>1.6064257028112448E-2</v>
          </cell>
          <cell r="R884">
            <v>105030.97519263501</v>
          </cell>
          <cell r="U884">
            <v>1687.2445814077912</v>
          </cell>
        </row>
        <row r="885">
          <cell r="L885" t="str">
            <v>4.</v>
          </cell>
          <cell r="N885" t="str">
            <v>Water Tanker</v>
          </cell>
          <cell r="O885" t="str">
            <v>(E23)</v>
          </cell>
          <cell r="P885" t="str">
            <v>Jam</v>
          </cell>
          <cell r="Q885">
            <v>7.0281124497991983E-3</v>
          </cell>
          <cell r="R885">
            <v>85958.879632794691</v>
          </cell>
          <cell r="U885">
            <v>604.12867211803507</v>
          </cell>
        </row>
        <row r="886">
          <cell r="L886" t="str">
            <v>5.</v>
          </cell>
          <cell r="N886" t="str">
            <v>Alat  Bantu</v>
          </cell>
          <cell r="P886" t="str">
            <v>Ls</v>
          </cell>
          <cell r="Q886">
            <v>1</v>
          </cell>
          <cell r="R886">
            <v>80</v>
          </cell>
          <cell r="U886">
            <v>80</v>
          </cell>
        </row>
        <row r="890">
          <cell r="Q890" t="str">
            <v xml:space="preserve">JUMLAH HARGA PERALATAN   </v>
          </cell>
          <cell r="U890">
            <v>24285.001285445473</v>
          </cell>
        </row>
        <row r="892">
          <cell r="L892" t="str">
            <v>D.</v>
          </cell>
          <cell r="N892" t="str">
            <v>JUMLAH HARGA TENAGA, BAHAN DAN PERALATAN  ( A + B + C )</v>
          </cell>
          <cell r="U892">
            <v>49752.738902580677</v>
          </cell>
        </row>
        <row r="893">
          <cell r="L893" t="str">
            <v>E.</v>
          </cell>
          <cell r="N893" t="str">
            <v>OVERHEAD &amp; PROFIT</v>
          </cell>
          <cell r="P893">
            <v>10</v>
          </cell>
          <cell r="Q893" t="str">
            <v>%  x  D</v>
          </cell>
          <cell r="U893">
            <v>4975.2738902580677</v>
          </cell>
        </row>
        <row r="894">
          <cell r="L894" t="str">
            <v>F.</v>
          </cell>
          <cell r="N894" t="str">
            <v>HARGA SATUAN PEKERJAAN  ( D + E )</v>
          </cell>
          <cell r="U894">
            <v>54728.012792838745</v>
          </cell>
        </row>
        <row r="895">
          <cell r="L895" t="str">
            <v>Note: 1</v>
          </cell>
          <cell r="N895" t="str">
            <v>SATUAN dapat berdasarkan atas jam operasi untuk Tenaga Kerja dan Peralatan, volume dan/atau ukuran</v>
          </cell>
        </row>
        <row r="896">
          <cell r="N896" t="str">
            <v>berat untuk bahan-bahan.</v>
          </cell>
        </row>
        <row r="897">
          <cell r="L897">
            <v>2</v>
          </cell>
          <cell r="N897" t="str">
            <v>Kuantitas satuan adalah kuantitas setiap komponen untuk menyelesaikan satu satuan pekerjaan dari nomor</v>
          </cell>
        </row>
        <row r="898">
          <cell r="N898" t="str">
            <v>mata pembayaran.</v>
          </cell>
        </row>
        <row r="899">
          <cell r="L899">
            <v>3</v>
          </cell>
          <cell r="N899" t="str">
            <v>Biaya satuan untuk peralatan sudah termasuk bahan bakar, bahan habis dipakai dan operator.</v>
          </cell>
        </row>
        <row r="900">
          <cell r="L900">
            <v>4</v>
          </cell>
          <cell r="N900" t="str">
            <v>Biaya satuan sudah termasuk pengeluaran untuk seluruh pajak yang berkaitan (tetapi tidak termasuk PPN</v>
          </cell>
        </row>
        <row r="901">
          <cell r="N901" t="str">
            <v>yang dibayar dari kontrak) dan biaya-biaya lainnya.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UPAH"/>
      <sheetName val="BAHAN"/>
      <sheetName val="ANALISA"/>
      <sheetName val="RAB"/>
      <sheetName val="QUARY"/>
    </sheetNames>
    <sheetDataSet>
      <sheetData sheetId="0" refreshError="1"/>
      <sheetData sheetId="1" refreshError="1"/>
      <sheetData sheetId="2">
        <row r="27">
          <cell r="N27">
            <v>80750</v>
          </cell>
        </row>
        <row r="28">
          <cell r="N28">
            <v>52600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NIT PRICE"/>
      <sheetName val="UNIT PRICE2"/>
      <sheetName val="EQUIPMENT"/>
      <sheetName val="BASIC PRICE"/>
      <sheetName val="FACTOR"/>
      <sheetName val="INDEX"/>
      <sheetName val="BPS"/>
      <sheetName val="RATIO"/>
      <sheetName val="BREAKDWN"/>
      <sheetName val="1st"/>
      <sheetName val="2nd"/>
      <sheetName val="3rd"/>
      <sheetName val="4th"/>
      <sheetName val="5th"/>
      <sheetName val="6th "/>
      <sheetName val="SUM1"/>
      <sheetName val="SUM2"/>
      <sheetName val="SUM3"/>
      <sheetName val="SUM4"/>
      <sheetName val="SUM5"/>
      <sheetName val="SUM6"/>
      <sheetName val="TOTAL"/>
      <sheetName val="Sheet2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4">
          <cell r="F24" t="str">
            <v>DW</v>
          </cell>
          <cell r="G24">
            <v>15</v>
          </cell>
          <cell r="H24">
            <v>10</v>
          </cell>
          <cell r="I24">
            <v>60</v>
          </cell>
          <cell r="J24">
            <v>13</v>
          </cell>
          <cell r="K24">
            <v>2</v>
          </cell>
          <cell r="L24">
            <v>0</v>
          </cell>
          <cell r="M24">
            <v>9.0300000000000005E-2</v>
          </cell>
        </row>
        <row r="25">
          <cell r="F25" t="str">
            <v>EW</v>
          </cell>
          <cell r="G25">
            <v>15</v>
          </cell>
          <cell r="H25">
            <v>1</v>
          </cell>
          <cell r="I25">
            <v>69</v>
          </cell>
          <cell r="J25">
            <v>15</v>
          </cell>
          <cell r="K25">
            <v>0</v>
          </cell>
          <cell r="L25">
            <v>0</v>
          </cell>
          <cell r="M25">
            <v>4.1200000000000001E-2</v>
          </cell>
        </row>
        <row r="26">
          <cell r="F26" t="str">
            <v>CW</v>
          </cell>
          <cell r="G26">
            <v>15</v>
          </cell>
          <cell r="H26">
            <v>7</v>
          </cell>
          <cell r="I26">
            <v>12</v>
          </cell>
          <cell r="J26">
            <v>0</v>
          </cell>
          <cell r="K26">
            <v>66</v>
          </cell>
          <cell r="L26">
            <v>0</v>
          </cell>
          <cell r="M26">
            <v>0.16619999999999999</v>
          </cell>
        </row>
        <row r="27">
          <cell r="F27" t="str">
            <v>RW</v>
          </cell>
          <cell r="G27">
            <v>15</v>
          </cell>
          <cell r="H27">
            <v>7</v>
          </cell>
          <cell r="I27">
            <v>1</v>
          </cell>
          <cell r="J27">
            <v>0</v>
          </cell>
          <cell r="K27">
            <v>77</v>
          </cell>
          <cell r="L27">
            <v>0</v>
          </cell>
          <cell r="M27">
            <v>0.15260000000000001</v>
          </cell>
        </row>
        <row r="28">
          <cell r="F28" t="str">
            <v>PW</v>
          </cell>
          <cell r="G28">
            <v>15</v>
          </cell>
          <cell r="H28">
            <v>2</v>
          </cell>
          <cell r="I28">
            <v>17</v>
          </cell>
          <cell r="J28">
            <v>0</v>
          </cell>
          <cell r="K28">
            <v>66</v>
          </cell>
          <cell r="L28">
            <v>0</v>
          </cell>
          <cell r="M28">
            <v>0.14019999999999999</v>
          </cell>
        </row>
        <row r="29">
          <cell r="F29" t="str">
            <v>SW</v>
          </cell>
          <cell r="G29">
            <v>15</v>
          </cell>
          <cell r="H29">
            <v>15</v>
          </cell>
          <cell r="I29">
            <v>0</v>
          </cell>
          <cell r="J29">
            <v>0</v>
          </cell>
          <cell r="K29">
            <v>70</v>
          </cell>
          <cell r="L29">
            <v>0</v>
          </cell>
          <cell r="M29">
            <v>0.21379999999999999</v>
          </cell>
        </row>
        <row r="30">
          <cell r="F30" t="str">
            <v>RP</v>
          </cell>
          <cell r="G30">
            <v>15</v>
          </cell>
          <cell r="H30">
            <v>5</v>
          </cell>
          <cell r="I30">
            <v>5</v>
          </cell>
          <cell r="J30">
            <v>1</v>
          </cell>
          <cell r="K30">
            <v>74</v>
          </cell>
          <cell r="L30">
            <v>0</v>
          </cell>
          <cell r="M30">
            <v>0.16800000000000001</v>
          </cell>
        </row>
        <row r="31">
          <cell r="F31" t="str">
            <v>MW</v>
          </cell>
          <cell r="G31">
            <v>15</v>
          </cell>
          <cell r="H31">
            <v>2</v>
          </cell>
          <cell r="I31">
            <v>0</v>
          </cell>
          <cell r="J31">
            <v>0</v>
          </cell>
          <cell r="K31">
            <v>83</v>
          </cell>
          <cell r="L31">
            <v>0</v>
          </cell>
          <cell r="M31">
            <v>0.16550000000000001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BQ"/>
      <sheetName val="B.Kim2010"/>
      <sheetName val="Bahan"/>
      <sheetName val="UPAH"/>
      <sheetName val="B. Opr Alat"/>
      <sheetName val="D. H. Alat"/>
      <sheetName val="Volume"/>
      <sheetName val="Anl BOW"/>
      <sheetName val="EE"/>
      <sheetName val="Rekap"/>
      <sheetName val="oe"/>
      <sheetName val="HPS"/>
      <sheetName val="COR 123"/>
      <sheetName val="COR 136"/>
      <sheetName val="BATA 12"/>
      <sheetName val="BATA 14"/>
      <sheetName val="B.BELAH 14"/>
      <sheetName val="MORTAR 13"/>
      <sheetName val="MORTAR 14"/>
      <sheetName val="PLESTER 12"/>
      <sheetName val="PLESTER 14"/>
      <sheetName val="JADWAL"/>
      <sheetName val="HIT. BAHAN 1"/>
      <sheetName val="HITUNG BAHAN"/>
      <sheetName val="Jadwal Bahan"/>
      <sheetName val="Jadwal T.Kerja"/>
      <sheetName val="Jadwal Alat"/>
    </sheetNames>
    <sheetDataSet>
      <sheetData sheetId="0" refreshError="1"/>
      <sheetData sheetId="1" refreshError="1">
        <row r="641">
          <cell r="C641">
            <v>1</v>
          </cell>
        </row>
        <row r="642">
          <cell r="C642">
            <v>2</v>
          </cell>
        </row>
        <row r="643">
          <cell r="C643">
            <v>3</v>
          </cell>
        </row>
        <row r="644">
          <cell r="C644">
            <v>4</v>
          </cell>
        </row>
        <row r="645">
          <cell r="C645">
            <v>5</v>
          </cell>
        </row>
        <row r="646">
          <cell r="C646">
            <v>6</v>
          </cell>
        </row>
        <row r="647">
          <cell r="C647">
            <v>7</v>
          </cell>
        </row>
        <row r="648">
          <cell r="C648">
            <v>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PIKUL"/>
      <sheetName val="INPUT TRANSPORTASI"/>
      <sheetName val="BIAYA PIKUL &amp; ANGKUT"/>
      <sheetName val="ANALISA PIKUL"/>
      <sheetName val="ANALISA TRANSPOR"/>
      <sheetName val="ANGKUT ALTERNATIF"/>
      <sheetName val="ANGKUT ALTERNATIF (2)"/>
      <sheetName val="ANGKUT ALTERNATIF (3)"/>
      <sheetName val="ANALISA  ANGKUT PER KG"/>
      <sheetName val="ANALISA  ANGKUT PER KG RUDY"/>
      <sheetName val="GALIAN MEKANIS"/>
      <sheetName val="PEMBENTUKAN JALAN"/>
      <sheetName val="ALAT"/>
      <sheetName val="Basic Price"/>
      <sheetName val="Plat Beton"/>
      <sheetName val="S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uantitas &amp; Harga (2)"/>
      <sheetName val="Rekap Biaya (2)"/>
      <sheetName val="Rekap Biaya"/>
      <sheetName val="Kuantitas &amp; Harga"/>
      <sheetName val="Pekerjaan Utama"/>
      <sheetName val="%"/>
    </sheetNames>
    <sheetDataSet>
      <sheetData sheetId="0" refreshError="1"/>
      <sheetData sheetId="1" refreshError="1"/>
      <sheetData sheetId="2"/>
      <sheetData sheetId="3">
        <row r="26">
          <cell r="G26">
            <v>215250000</v>
          </cell>
        </row>
        <row r="50">
          <cell r="G50">
            <v>76522255.210000008</v>
          </cell>
        </row>
        <row r="84">
          <cell r="G84">
            <v>93057891.650000006</v>
          </cell>
        </row>
        <row r="99">
          <cell r="G99">
            <v>117067958.64</v>
          </cell>
        </row>
        <row r="119">
          <cell r="G119">
            <v>899550957.625</v>
          </cell>
        </row>
        <row r="155">
          <cell r="G155">
            <v>1393070824.3599999</v>
          </cell>
        </row>
        <row r="377">
          <cell r="G377">
            <v>0</v>
          </cell>
        </row>
        <row r="405">
          <cell r="G405">
            <v>0</v>
          </cell>
        </row>
        <row r="418">
          <cell r="G418">
            <v>0</v>
          </cell>
        </row>
      </sheetData>
      <sheetData sheetId="4" refreshError="1"/>
      <sheetData sheetId="5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PIKUL"/>
      <sheetName val="INPUT TRANSPORTASI"/>
      <sheetName val="BIAYA PIKUL &amp; ANGKUT"/>
      <sheetName val="ANALISA PIKUL"/>
      <sheetName val="ANALISA TRANSPOR"/>
      <sheetName val="ANGKUT ALTERNATIF"/>
      <sheetName val="ANGKUT ALTERNATIF (2)"/>
      <sheetName val="ANGKUT ALTERNATIF (3)"/>
      <sheetName val="ANALISA  ANGKUT PER KG"/>
      <sheetName val="ANALISA  ANGKUT PER KG RUDY"/>
      <sheetName val="GALIAN MEKANIS"/>
      <sheetName val="PEMBENTUKAN JALAN"/>
      <sheetName val="ALAT"/>
      <sheetName val="Basic Price"/>
      <sheetName val="Plat Beton"/>
      <sheetName val="S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RGA DASAR"/>
      <sheetName val="ANALISA"/>
      <sheetName val="REKAP ANALISA"/>
      <sheetName val="FURNITURE"/>
      <sheetName val="EE"/>
    </sheetNames>
    <sheetDataSet>
      <sheetData sheetId="0" refreshError="1">
        <row r="5">
          <cell r="C5" t="str">
            <v>Mandor</v>
          </cell>
          <cell r="D5" t="str">
            <v>Rp.</v>
          </cell>
          <cell r="E5">
            <v>80000</v>
          </cell>
          <cell r="F5" t="str">
            <v>Oh</v>
          </cell>
        </row>
        <row r="6">
          <cell r="C6" t="str">
            <v>Kepala Tukang</v>
          </cell>
          <cell r="D6" t="str">
            <v>Rp.</v>
          </cell>
          <cell r="E6">
            <v>80000</v>
          </cell>
          <cell r="F6" t="str">
            <v>Oh</v>
          </cell>
        </row>
        <row r="7">
          <cell r="C7" t="str">
            <v>Tukang Kayu</v>
          </cell>
          <cell r="D7" t="str">
            <v>Rp.</v>
          </cell>
          <cell r="E7">
            <v>65000</v>
          </cell>
          <cell r="F7" t="str">
            <v>Oh</v>
          </cell>
        </row>
        <row r="8">
          <cell r="C8" t="str">
            <v>Tukang Batu</v>
          </cell>
          <cell r="D8" t="str">
            <v>Rp.</v>
          </cell>
          <cell r="E8">
            <v>65000</v>
          </cell>
          <cell r="F8" t="str">
            <v>Oh</v>
          </cell>
        </row>
        <row r="9">
          <cell r="C9" t="str">
            <v>Tukang Besi</v>
          </cell>
          <cell r="D9" t="str">
            <v>Rp.</v>
          </cell>
          <cell r="E9">
            <v>65000</v>
          </cell>
          <cell r="F9" t="str">
            <v>Oh</v>
          </cell>
        </row>
        <row r="10">
          <cell r="C10" t="str">
            <v>Tukang Gali</v>
          </cell>
          <cell r="D10" t="str">
            <v>Rp.</v>
          </cell>
          <cell r="E10">
            <v>65000</v>
          </cell>
          <cell r="F10" t="str">
            <v>Oh</v>
          </cell>
        </row>
        <row r="11">
          <cell r="C11" t="str">
            <v>Tukang Cat</v>
          </cell>
          <cell r="D11" t="str">
            <v>Rp.</v>
          </cell>
          <cell r="E11">
            <v>65000</v>
          </cell>
          <cell r="F11" t="str">
            <v>Oh</v>
          </cell>
        </row>
        <row r="12">
          <cell r="C12" t="str">
            <v>Tukang Las</v>
          </cell>
          <cell r="D12" t="str">
            <v>Rp.</v>
          </cell>
          <cell r="E12">
            <v>65000</v>
          </cell>
          <cell r="F12" t="str">
            <v>Oh</v>
          </cell>
        </row>
        <row r="13">
          <cell r="C13" t="str">
            <v>Pekerja</v>
          </cell>
          <cell r="D13" t="str">
            <v>Rp.</v>
          </cell>
          <cell r="E13">
            <v>45000</v>
          </cell>
          <cell r="F13" t="str">
            <v>Oh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 OUT"/>
      <sheetName val="PROSES"/>
      <sheetName val="AN - STN"/>
      <sheetName val="UPAH - MATERIAL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 OUT"/>
      <sheetName val="PROSES"/>
      <sheetName val="AN - STN"/>
      <sheetName val="UPAH - MATERIAL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e 370"/>
      <sheetName val="page 372"/>
      <sheetName val="REKAP (2)"/>
      <sheetName val="RAB SD 060858"/>
      <sheetName val="UPAD-BAHAN-ALAT"/>
      <sheetName val="analisa baru"/>
      <sheetName val="supl"/>
      <sheetName val="rekap"/>
      <sheetName val="page 442"/>
      <sheetName val="page 443"/>
      <sheetName val="page 444"/>
      <sheetName val="page 445"/>
      <sheetName val="page 446"/>
      <sheetName val="page 447"/>
      <sheetName val="page 448"/>
      <sheetName val="page 449"/>
      <sheetName val="page 450"/>
      <sheetName val="page 451"/>
      <sheetName val="page 452"/>
      <sheetName val="page 453"/>
      <sheetName val="page 454"/>
      <sheetName val="page 455"/>
      <sheetName val="page 456"/>
      <sheetName val="page 457"/>
      <sheetName val="page 458"/>
      <sheetName val="page 459"/>
      <sheetName val="page 460"/>
      <sheetName val="page 461"/>
      <sheetName val="page 462"/>
      <sheetName val="page 463"/>
      <sheetName val="page 464"/>
      <sheetName val="page 465"/>
      <sheetName val="page 466"/>
      <sheetName val="page 467"/>
      <sheetName val="page 468"/>
      <sheetName val="page 469"/>
      <sheetName val="page 470"/>
      <sheetName val="page 471"/>
      <sheetName val="page 472"/>
      <sheetName val="page 473"/>
      <sheetName val="page 473 (2)"/>
      <sheetName val="page 474"/>
      <sheetName val="page 475"/>
      <sheetName val="page 476"/>
      <sheetName val="page 477"/>
      <sheetName val="page 478"/>
      <sheetName val="page 479"/>
      <sheetName val="page 480"/>
      <sheetName val="page 481"/>
      <sheetName val="page 482"/>
      <sheetName val="page 483"/>
      <sheetName val="page 484"/>
      <sheetName val="page 485"/>
      <sheetName val="page 486"/>
      <sheetName val="page 487"/>
      <sheetName val="page 488"/>
      <sheetName val="page 489"/>
      <sheetName val="page 490"/>
      <sheetName val="page 491"/>
      <sheetName val="page 492"/>
      <sheetName val="page 493"/>
      <sheetName val="page 494"/>
      <sheetName val="page 495"/>
      <sheetName val="page 496"/>
      <sheetName val="page 497"/>
      <sheetName val="page 498"/>
      <sheetName val="page 499"/>
      <sheetName val="page 500"/>
      <sheetName val="page 501"/>
      <sheetName val="page 502"/>
      <sheetName val="page 503"/>
      <sheetName val="page 504"/>
      <sheetName val="page 505"/>
      <sheetName val="page 506"/>
      <sheetName val="page 507"/>
      <sheetName val="page 508"/>
      <sheetName val="page 509"/>
      <sheetName val="page 509 (2)"/>
      <sheetName val="page 510"/>
      <sheetName val="page 511"/>
      <sheetName val="page 512"/>
      <sheetName val="page 513"/>
      <sheetName val="page 514"/>
      <sheetName val="page 515"/>
      <sheetName val="page 516"/>
      <sheetName val="page 517"/>
      <sheetName val="page 518"/>
      <sheetName val="page 519"/>
      <sheetName val="page 520"/>
      <sheetName val="page 521"/>
      <sheetName val="page 522"/>
      <sheetName val="page 523"/>
      <sheetName val="page 524"/>
      <sheetName val="page 525"/>
      <sheetName val="page 526"/>
      <sheetName val="page 527"/>
      <sheetName val="page 528"/>
      <sheetName val="page 529"/>
      <sheetName val="page 530"/>
      <sheetName val="page 530 (2)"/>
      <sheetName val="page 531"/>
      <sheetName val="page 532"/>
      <sheetName val="page 533"/>
      <sheetName val="page 534"/>
      <sheetName val="page 535"/>
      <sheetName val="page 536"/>
      <sheetName val="page 537"/>
      <sheetName val="page 538"/>
      <sheetName val="page 539"/>
      <sheetName val="page 540"/>
      <sheetName val="page 541"/>
      <sheetName val="page 542"/>
      <sheetName val="page 543"/>
      <sheetName val="page 544"/>
      <sheetName val="page 544 (2)"/>
      <sheetName val="page 545"/>
      <sheetName val="page 546"/>
      <sheetName val="page 547"/>
      <sheetName val="page 548"/>
      <sheetName val="page 549"/>
      <sheetName val="page 550"/>
      <sheetName val="page 551"/>
      <sheetName val="page 552"/>
      <sheetName val="page 553"/>
      <sheetName val="page 554"/>
      <sheetName val="page 555"/>
      <sheetName val="page 556"/>
      <sheetName val="page 557"/>
      <sheetName val="page 558"/>
      <sheetName val="page 559"/>
      <sheetName val="page 560"/>
      <sheetName val="page 561"/>
      <sheetName val="page 562"/>
      <sheetName val="page 563"/>
      <sheetName val="page 564"/>
      <sheetName val="page 565"/>
      <sheetName val="page 566"/>
      <sheetName val="page 566 (2)"/>
      <sheetName val="page 567"/>
      <sheetName val="page 568"/>
      <sheetName val="page 569"/>
      <sheetName val="page 570"/>
      <sheetName val="page 571"/>
      <sheetName val="page 572"/>
      <sheetName val="page 573"/>
      <sheetName val="page 574"/>
      <sheetName val="page 575"/>
      <sheetName val="page 576"/>
      <sheetName val="page 577"/>
      <sheetName val="page 578"/>
      <sheetName val="page 579"/>
      <sheetName val="page 580"/>
      <sheetName val="page 581"/>
      <sheetName val="page 582"/>
      <sheetName val="page 583"/>
      <sheetName val="page 584"/>
      <sheetName val="page 584 (2)"/>
      <sheetName val="page 585"/>
      <sheetName val="page 586"/>
      <sheetName val="page 587"/>
      <sheetName val="page 588"/>
      <sheetName val="page 589"/>
      <sheetName val="page 590"/>
      <sheetName val="page 591"/>
      <sheetName val="page 592"/>
      <sheetName val="page 593"/>
      <sheetName val="page 594"/>
      <sheetName val="page 595"/>
      <sheetName val="page 596"/>
      <sheetName val="page 597"/>
      <sheetName val="page 598"/>
      <sheetName val="page 599"/>
      <sheetName val="page 600"/>
      <sheetName val="page 601"/>
      <sheetName val="page 602"/>
      <sheetName val="page 603"/>
      <sheetName val="page 604"/>
      <sheetName val="page 605"/>
      <sheetName val="page 606"/>
      <sheetName val="page 607"/>
      <sheetName val="page 608"/>
      <sheetName val="page 609"/>
      <sheetName val="page 610"/>
      <sheetName val="page 611"/>
      <sheetName val="page 612"/>
      <sheetName val="page 613"/>
      <sheetName val="page 614"/>
      <sheetName val="page 615"/>
      <sheetName val="page 616"/>
      <sheetName val="page 617"/>
      <sheetName val="page 618"/>
      <sheetName val="page 619"/>
      <sheetName val="page 620"/>
      <sheetName val="page 621"/>
      <sheetName val="page 622"/>
      <sheetName val="page 623"/>
      <sheetName val="page 624"/>
      <sheetName val="page 625"/>
      <sheetName val="page 626"/>
      <sheetName val="page 627"/>
      <sheetName val="page 628"/>
      <sheetName val="page 629"/>
      <sheetName val="page 630"/>
      <sheetName val="page 631"/>
      <sheetName val="page 632"/>
      <sheetName val="page 633"/>
      <sheetName val="page 634"/>
      <sheetName val="page 635"/>
      <sheetName val="page 636"/>
      <sheetName val="page 637"/>
      <sheetName val="page 638"/>
      <sheetName val="page 639"/>
      <sheetName val="page 640"/>
      <sheetName val="page 641"/>
      <sheetName val="page 642"/>
      <sheetName val="page 643"/>
      <sheetName val="page 644"/>
      <sheetName val="page 645"/>
      <sheetName val="page 646"/>
      <sheetName val="page 647"/>
      <sheetName val="page 648"/>
      <sheetName val="page 649"/>
      <sheetName val="page 650"/>
      <sheetName val="page 651"/>
      <sheetName val="page 652"/>
      <sheetName val="page 653"/>
      <sheetName val="page 654"/>
      <sheetName val="page 655"/>
      <sheetName val="page 656"/>
      <sheetName val="page 657"/>
      <sheetName val="page 658"/>
      <sheetName val="page 659"/>
      <sheetName val="page 660"/>
      <sheetName val="page 661"/>
      <sheetName val="page 662"/>
      <sheetName val="page 663"/>
      <sheetName val="page 663 2"/>
      <sheetName val="page 664"/>
      <sheetName val="page 665"/>
      <sheetName val="page 666"/>
      <sheetName val="page 667"/>
      <sheetName val="page 668"/>
      <sheetName val="page 669"/>
      <sheetName val="page 670"/>
      <sheetName val="page 671"/>
      <sheetName val="page 672"/>
      <sheetName val="page 673"/>
      <sheetName val="page 674"/>
      <sheetName val="page 675"/>
      <sheetName val="page 676"/>
      <sheetName val="page 677"/>
      <sheetName val="page 677 (2)"/>
      <sheetName val="page 678"/>
      <sheetName val="page 679"/>
      <sheetName val="page 680"/>
      <sheetName val="page 681"/>
      <sheetName val="page 682"/>
      <sheetName val="page 683"/>
      <sheetName val="page 683 (2)"/>
      <sheetName val="page 684"/>
      <sheetName val="page 685"/>
      <sheetName val="page 686"/>
      <sheetName val="page 687"/>
      <sheetName val="page 696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2">
          <cell r="I12">
            <v>96000</v>
          </cell>
        </row>
        <row r="13">
          <cell r="I13">
            <v>115000</v>
          </cell>
        </row>
        <row r="14">
          <cell r="I14">
            <v>115000</v>
          </cell>
        </row>
        <row r="15">
          <cell r="I15">
            <v>127500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e 370"/>
      <sheetName val="page 372"/>
      <sheetName val="RAB"/>
      <sheetName val="UPAD-BAHAN-ALAT"/>
      <sheetName val="analisa sanitasi-air minum"/>
      <sheetName val="analisa baru"/>
      <sheetName val="supl"/>
      <sheetName val="rekap"/>
      <sheetName val="dihitung"/>
      <sheetName val="page 442"/>
      <sheetName val="page 443"/>
      <sheetName val="page 444"/>
      <sheetName val="page 445"/>
      <sheetName val="page 446"/>
      <sheetName val="page 447"/>
      <sheetName val="page 448"/>
      <sheetName val="page 449"/>
      <sheetName val="page 450"/>
      <sheetName val="page 451"/>
      <sheetName val="page 452"/>
      <sheetName val="page 453"/>
      <sheetName val="page 454"/>
      <sheetName val="page 455"/>
      <sheetName val="page 456"/>
      <sheetName val="page 457"/>
      <sheetName val="page 458"/>
      <sheetName val="page 459"/>
      <sheetName val="page 460"/>
      <sheetName val="page 461"/>
      <sheetName val="page 462"/>
      <sheetName val="page 463"/>
      <sheetName val="page 464"/>
      <sheetName val="page 465"/>
      <sheetName val="page 466"/>
      <sheetName val="page 467"/>
      <sheetName val="page 468"/>
      <sheetName val="page 469"/>
      <sheetName val="page 470"/>
      <sheetName val="page 471"/>
      <sheetName val="page 472"/>
      <sheetName val="page 473"/>
      <sheetName val="page 473 (2)"/>
      <sheetName val="page 474"/>
      <sheetName val="page 475"/>
      <sheetName val="page 476"/>
      <sheetName val="page 477"/>
      <sheetName val="page 478"/>
      <sheetName val="page 479"/>
      <sheetName val="page 480"/>
      <sheetName val="page 481"/>
      <sheetName val="page 482"/>
      <sheetName val="page 483"/>
      <sheetName val="page 484"/>
      <sheetName val="page 485"/>
      <sheetName val="page 486"/>
      <sheetName val="page 487"/>
      <sheetName val="page 488"/>
      <sheetName val="page 489"/>
      <sheetName val="page 490"/>
      <sheetName val="page 491"/>
      <sheetName val="page 492"/>
      <sheetName val="page 493"/>
      <sheetName val="page 494"/>
      <sheetName val="page 495"/>
      <sheetName val="page 496"/>
      <sheetName val="page 497"/>
      <sheetName val="page 498"/>
      <sheetName val="page 499"/>
      <sheetName val="page 500"/>
      <sheetName val="page 501"/>
      <sheetName val="page 502"/>
      <sheetName val="page 503"/>
      <sheetName val="page 504"/>
      <sheetName val="page 505"/>
      <sheetName val="page 506"/>
      <sheetName val="page 507"/>
      <sheetName val="page 508"/>
      <sheetName val="page 509"/>
      <sheetName val="page 509 (2)"/>
      <sheetName val="page 510"/>
      <sheetName val="page 511"/>
      <sheetName val="page 512"/>
      <sheetName val="page 513"/>
      <sheetName val="page 514"/>
      <sheetName val="page 515"/>
      <sheetName val="page 516"/>
      <sheetName val="page 517"/>
      <sheetName val="page 518"/>
      <sheetName val="page 519"/>
      <sheetName val="page 520"/>
      <sheetName val="page 521"/>
      <sheetName val="page 522"/>
      <sheetName val="page 523"/>
      <sheetName val="page 524"/>
      <sheetName val="page 525"/>
      <sheetName val="page 526"/>
      <sheetName val="page 527"/>
      <sheetName val="page 528"/>
      <sheetName val="page 529"/>
      <sheetName val="page 530"/>
      <sheetName val="page 530 (2)"/>
      <sheetName val="page 531"/>
      <sheetName val="page 532"/>
      <sheetName val="page 533"/>
      <sheetName val="page 534"/>
      <sheetName val="page 535"/>
      <sheetName val="page 536"/>
      <sheetName val="page 537"/>
      <sheetName val="page 538"/>
      <sheetName val="page 539"/>
      <sheetName val="page 540"/>
      <sheetName val="page 541"/>
      <sheetName val="page 542"/>
      <sheetName val="page 543"/>
      <sheetName val="page 544"/>
      <sheetName val="page 544 (2)"/>
      <sheetName val="page 545"/>
      <sheetName val="page 546"/>
      <sheetName val="page 547"/>
      <sheetName val="page 548"/>
      <sheetName val="page 549"/>
      <sheetName val="page 550"/>
      <sheetName val="page 551"/>
      <sheetName val="page 552"/>
      <sheetName val="page 553"/>
      <sheetName val="page 554"/>
      <sheetName val="page 555"/>
      <sheetName val="page 556"/>
      <sheetName val="page 557"/>
      <sheetName val="page 558"/>
      <sheetName val="page 559"/>
      <sheetName val="page 560"/>
      <sheetName val="page 561"/>
      <sheetName val="page 562"/>
      <sheetName val="page 563"/>
      <sheetName val="page 564"/>
      <sheetName val="page 565"/>
      <sheetName val="page 566"/>
      <sheetName val="page 566 (2)"/>
      <sheetName val="page 567"/>
      <sheetName val="page 568"/>
      <sheetName val="page 569"/>
      <sheetName val="page 570"/>
      <sheetName val="page 571"/>
      <sheetName val="page 572"/>
      <sheetName val="page 573"/>
      <sheetName val="page 574"/>
      <sheetName val="page 575"/>
      <sheetName val="page 576"/>
      <sheetName val="page 577"/>
      <sheetName val="page 578"/>
      <sheetName val="page 579"/>
      <sheetName val="page 580"/>
      <sheetName val="page 581"/>
      <sheetName val="page 582"/>
      <sheetName val="page 583"/>
      <sheetName val="page 584"/>
      <sheetName val="page 584 (2)"/>
      <sheetName val="page 585"/>
      <sheetName val="page 586"/>
      <sheetName val="page 587"/>
      <sheetName val="page 588"/>
      <sheetName val="page 589"/>
      <sheetName val="page 590"/>
      <sheetName val="page 591"/>
      <sheetName val="page 592"/>
      <sheetName val="page 593"/>
      <sheetName val="page 594"/>
      <sheetName val="page 595"/>
      <sheetName val="page 596"/>
      <sheetName val="page 597"/>
      <sheetName val="page 598"/>
      <sheetName val="page 599"/>
      <sheetName val="page 600"/>
      <sheetName val="page 601"/>
      <sheetName val="page 602"/>
      <sheetName val="page 603"/>
      <sheetName val="page 604"/>
      <sheetName val="page 605"/>
      <sheetName val="page 606"/>
      <sheetName val="page 607"/>
      <sheetName val="page 608"/>
      <sheetName val="page 609"/>
      <sheetName val="page 610"/>
      <sheetName val="page 611"/>
      <sheetName val="page 612"/>
      <sheetName val="page 613"/>
      <sheetName val="page 614"/>
      <sheetName val="page 615"/>
      <sheetName val="page 616"/>
      <sheetName val="page 617"/>
      <sheetName val="page 618"/>
      <sheetName val="page 619"/>
      <sheetName val="page 620"/>
      <sheetName val="page 621"/>
      <sheetName val="page 622"/>
      <sheetName val="page 623"/>
      <sheetName val="page 624"/>
      <sheetName val="page 625"/>
      <sheetName val="page 626"/>
      <sheetName val="page 627"/>
      <sheetName val="page 628"/>
      <sheetName val="page 629"/>
      <sheetName val="page 630"/>
      <sheetName val="page 631"/>
      <sheetName val="page 632"/>
      <sheetName val="page 633"/>
      <sheetName val="page 634"/>
      <sheetName val="page 635"/>
      <sheetName val="page 636"/>
      <sheetName val="page 637"/>
      <sheetName val="page 638"/>
      <sheetName val="page 639"/>
      <sheetName val="page 640"/>
      <sheetName val="page 641"/>
      <sheetName val="page 642"/>
      <sheetName val="page 643"/>
      <sheetName val="page 644"/>
      <sheetName val="page 645"/>
      <sheetName val="page 646"/>
      <sheetName val="page 647"/>
      <sheetName val="page 648"/>
      <sheetName val="page 649"/>
      <sheetName val="page 650"/>
      <sheetName val="page 651"/>
      <sheetName val="page 652"/>
      <sheetName val="page 653"/>
      <sheetName val="page 654"/>
      <sheetName val="page 655"/>
      <sheetName val="page 656"/>
      <sheetName val="page 657"/>
      <sheetName val="page 658"/>
      <sheetName val="page 659"/>
      <sheetName val="page 660"/>
      <sheetName val="page 661"/>
      <sheetName val="page 662"/>
      <sheetName val="page 663"/>
      <sheetName val="page 663 2"/>
      <sheetName val="page 664"/>
      <sheetName val="page 665"/>
      <sheetName val="page 666"/>
      <sheetName val="page 667"/>
      <sheetName val="page 668"/>
      <sheetName val="page 669"/>
      <sheetName val="page 670"/>
      <sheetName val="page 671"/>
      <sheetName val="page 672"/>
      <sheetName val="page 673"/>
      <sheetName val="page 674"/>
      <sheetName val="page 675"/>
      <sheetName val="page 676"/>
      <sheetName val="page 677"/>
      <sheetName val="page 677 (2)"/>
      <sheetName val="page 678"/>
      <sheetName val="page 679"/>
      <sheetName val="page 680"/>
      <sheetName val="page 681"/>
      <sheetName val="page 682"/>
      <sheetName val="page 683"/>
      <sheetName val="page 683 (2)"/>
      <sheetName val="page 684"/>
      <sheetName val="page 685"/>
      <sheetName val="page 686"/>
      <sheetName val="page 687"/>
      <sheetName val="page 696"/>
    </sheetNames>
    <sheetDataSet>
      <sheetData sheetId="0" refreshError="1"/>
      <sheetData sheetId="1" refreshError="1"/>
      <sheetData sheetId="2" refreshError="1"/>
      <sheetData sheetId="3" refreshError="1">
        <row r="548">
          <cell r="B548" t="str">
            <v>Excavator</v>
          </cell>
        </row>
        <row r="577">
          <cell r="B577" t="str">
            <v xml:space="preserve">Box kontrol precast dia. 30cm h=60cm </v>
          </cell>
        </row>
      </sheetData>
      <sheetData sheetId="4" refreshError="1"/>
      <sheetData sheetId="5" refreshError="1">
        <row r="366">
          <cell r="A366" t="str">
            <v>A.2.3.1.1.</v>
          </cell>
          <cell r="B366" t="str">
            <v xml:space="preserve"> Penggalian 1 m3 tanah biasa sedalam 1 m</v>
          </cell>
        </row>
        <row r="869">
          <cell r="A869" t="str">
            <v xml:space="preserve">A.4.1.1.1 </v>
          </cell>
          <cell r="B869" t="str">
            <v>Membuat 1 m3 beton mutu f’= 7.4 MPa (K 100). slump (12 ± 2) cm. w/c = 0.87</v>
          </cell>
        </row>
        <row r="963">
          <cell r="A963" t="str">
            <v xml:space="preserve">A.4.1.1.5. </v>
          </cell>
          <cell r="B963" t="str">
            <v>Membuat 1 m3 beton mutu f’  = 14.5 MPa (K 175). slump (12 ±2) cm. w/c = 0.66</v>
          </cell>
        </row>
        <row r="1231">
          <cell r="A1231" t="str">
            <v xml:space="preserve">A.4.1.1.17  </v>
          </cell>
          <cell r="B1231" t="str">
            <v xml:space="preserve">Pembesian 1 kg dengan besi polos </v>
          </cell>
        </row>
        <row r="1317">
          <cell r="A1317" t="str">
            <v xml:space="preserve">A.4.1.1.20  </v>
          </cell>
          <cell r="B1317" t="str">
            <v>Pemasangan 1 m2  bekisting untuk pondasi</v>
          </cell>
        </row>
        <row r="2295">
          <cell r="A2295" t="str">
            <v xml:space="preserve"> A.4.2.1.1. </v>
          </cell>
          <cell r="B2295" t="str">
            <v>Pemasangan 1 kg besi profil</v>
          </cell>
        </row>
        <row r="2335">
          <cell r="A2335" t="str">
            <v>A.4.2.1.3.</v>
          </cell>
          <cell r="B2335" t="str">
            <v xml:space="preserve"> Pengerjaan 100 kg pekerjaan perakitan</v>
          </cell>
        </row>
        <row r="2378">
          <cell r="A2378" t="str">
            <v xml:space="preserve">A.4.2.1.5. </v>
          </cell>
          <cell r="B2378" t="str">
            <v>Pengerjaan 10 cm pengelasan dengan las listrik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D41"/>
  <sheetViews>
    <sheetView workbookViewId="0">
      <selection activeCell="G11" sqref="G11"/>
    </sheetView>
  </sheetViews>
  <sheetFormatPr defaultColWidth="9.109375" defaultRowHeight="14.4"/>
  <cols>
    <col min="1" max="1" width="11.5546875" style="35" customWidth="1"/>
    <col min="2" max="2" width="22.33203125" style="35" customWidth="1"/>
    <col min="3" max="3" width="5" style="35" customWidth="1"/>
    <col min="4" max="4" width="50.6640625" style="35" customWidth="1"/>
    <col min="5" max="16384" width="9.109375" style="35"/>
  </cols>
  <sheetData>
    <row r="1" spans="1:4" ht="12.15" customHeight="1">
      <c r="A1" s="2040" t="s">
        <v>0</v>
      </c>
      <c r="B1" s="2040"/>
      <c r="C1" s="2041" t="s">
        <v>1</v>
      </c>
      <c r="D1" s="2041"/>
    </row>
    <row r="2" spans="1:4" ht="12.15" customHeight="1">
      <c r="A2" s="2038" t="s">
        <v>2</v>
      </c>
      <c r="B2" s="2042" t="s">
        <v>3</v>
      </c>
      <c r="C2" s="29">
        <v>1.1000000000000001</v>
      </c>
      <c r="D2" s="29" t="s">
        <v>4</v>
      </c>
    </row>
    <row r="3" spans="1:4" ht="12.15" customHeight="1">
      <c r="A3" s="2038" t="s">
        <v>2</v>
      </c>
      <c r="B3" s="2042" t="s">
        <v>3</v>
      </c>
      <c r="C3" s="29">
        <v>1.2</v>
      </c>
      <c r="D3" s="29" t="s">
        <v>5</v>
      </c>
    </row>
    <row r="4" spans="1:4" ht="12.15" customHeight="1">
      <c r="A4" s="2038" t="s">
        <v>2</v>
      </c>
      <c r="B4" s="2042" t="s">
        <v>3</v>
      </c>
      <c r="C4" s="29">
        <v>1.3</v>
      </c>
      <c r="D4" s="30" t="s">
        <v>6</v>
      </c>
    </row>
    <row r="5" spans="1:4" ht="12.15" customHeight="1">
      <c r="A5" s="2038" t="s">
        <v>2</v>
      </c>
      <c r="B5" s="2042" t="s">
        <v>3</v>
      </c>
      <c r="C5" s="29">
        <v>1.4</v>
      </c>
      <c r="D5" s="30" t="s">
        <v>7</v>
      </c>
    </row>
    <row r="6" spans="1:4" ht="12" customHeight="1">
      <c r="A6" s="2038" t="s">
        <v>2</v>
      </c>
      <c r="B6" s="2042" t="s">
        <v>3</v>
      </c>
      <c r="C6" s="29">
        <v>1.5</v>
      </c>
      <c r="D6" s="29" t="s">
        <v>8</v>
      </c>
    </row>
    <row r="7" spans="1:4" ht="12.15" customHeight="1">
      <c r="A7" s="31"/>
      <c r="B7" s="31"/>
      <c r="C7" s="31"/>
      <c r="D7" s="31"/>
    </row>
    <row r="8" spans="1:4" ht="12.15" customHeight="1">
      <c r="A8" s="2038" t="s">
        <v>9</v>
      </c>
      <c r="B8" s="2042" t="s">
        <v>10</v>
      </c>
      <c r="C8" s="29">
        <v>2.1</v>
      </c>
      <c r="D8" s="30" t="s">
        <v>11</v>
      </c>
    </row>
    <row r="9" spans="1:4" ht="12.15" customHeight="1">
      <c r="A9" s="2038" t="s">
        <v>9</v>
      </c>
      <c r="B9" s="2042" t="s">
        <v>10</v>
      </c>
      <c r="C9" s="29">
        <v>2.2000000000000002</v>
      </c>
      <c r="D9" s="29" t="s">
        <v>12</v>
      </c>
    </row>
    <row r="10" spans="1:4" ht="12.15" customHeight="1">
      <c r="A10" s="2038" t="s">
        <v>9</v>
      </c>
      <c r="B10" s="2042" t="s">
        <v>10</v>
      </c>
      <c r="C10" s="29">
        <v>2.2999999999999998</v>
      </c>
      <c r="D10" s="29" t="s">
        <v>13</v>
      </c>
    </row>
    <row r="11" spans="1:4" ht="12" customHeight="1">
      <c r="A11" s="2038" t="s">
        <v>9</v>
      </c>
      <c r="B11" s="2042" t="s">
        <v>10</v>
      </c>
      <c r="C11" s="29">
        <v>2.4</v>
      </c>
      <c r="D11" s="29" t="s">
        <v>14</v>
      </c>
    </row>
    <row r="12" spans="1:4" ht="12.15" customHeight="1">
      <c r="A12" s="2038" t="s">
        <v>9</v>
      </c>
      <c r="B12" s="2042" t="s">
        <v>10</v>
      </c>
      <c r="C12" s="29">
        <v>2.5</v>
      </c>
      <c r="D12" s="29" t="s">
        <v>15</v>
      </c>
    </row>
    <row r="13" spans="1:4" ht="12.15" customHeight="1">
      <c r="A13" s="31"/>
      <c r="B13" s="31"/>
      <c r="C13" s="31"/>
      <c r="D13" s="31"/>
    </row>
    <row r="14" spans="1:4" ht="12.15" customHeight="1">
      <c r="A14" s="2038" t="s">
        <v>16</v>
      </c>
      <c r="B14" s="2038" t="s">
        <v>17</v>
      </c>
      <c r="C14" s="29">
        <v>3.1</v>
      </c>
      <c r="D14" s="29" t="s">
        <v>18</v>
      </c>
    </row>
    <row r="15" spans="1:4" ht="12.15" customHeight="1">
      <c r="A15" s="2038" t="s">
        <v>16</v>
      </c>
      <c r="B15" s="2038" t="s">
        <v>17</v>
      </c>
      <c r="C15" s="29">
        <v>3.2</v>
      </c>
      <c r="D15" s="29" t="s">
        <v>19</v>
      </c>
    </row>
    <row r="16" spans="1:4" ht="12.15" customHeight="1">
      <c r="A16" s="2038" t="s">
        <v>16</v>
      </c>
      <c r="B16" s="2038" t="s">
        <v>17</v>
      </c>
      <c r="C16" s="29">
        <v>3.3</v>
      </c>
      <c r="D16" s="29" t="s">
        <v>20</v>
      </c>
    </row>
    <row r="17" spans="1:4" ht="12" customHeight="1">
      <c r="A17" s="31"/>
      <c r="B17" s="31"/>
      <c r="C17" s="31"/>
      <c r="D17" s="31"/>
    </row>
    <row r="18" spans="1:4" ht="12.15" customHeight="1">
      <c r="A18" s="2038" t="s">
        <v>21</v>
      </c>
      <c r="B18" s="2038" t="s">
        <v>22</v>
      </c>
      <c r="C18" s="29">
        <v>4.0999999999999996</v>
      </c>
      <c r="D18" s="29" t="s">
        <v>23</v>
      </c>
    </row>
    <row r="19" spans="1:4" ht="12.15" customHeight="1">
      <c r="A19" s="2038" t="s">
        <v>21</v>
      </c>
      <c r="B19" s="2038" t="s">
        <v>22</v>
      </c>
      <c r="C19" s="29">
        <v>4.2</v>
      </c>
      <c r="D19" s="29" t="s">
        <v>24</v>
      </c>
    </row>
    <row r="20" spans="1:4" ht="12.15" customHeight="1">
      <c r="A20" s="2038" t="s">
        <v>21</v>
      </c>
      <c r="B20" s="2038" t="s">
        <v>22</v>
      </c>
      <c r="C20" s="29">
        <v>4.3</v>
      </c>
      <c r="D20" s="29" t="s">
        <v>25</v>
      </c>
    </row>
    <row r="21" spans="1:4" ht="12.15" customHeight="1">
      <c r="A21" s="2038" t="s">
        <v>21</v>
      </c>
      <c r="B21" s="2038" t="s">
        <v>22</v>
      </c>
      <c r="C21" s="29">
        <v>4.4000000000000004</v>
      </c>
      <c r="D21" s="29" t="s">
        <v>26</v>
      </c>
    </row>
    <row r="22" spans="1:4" ht="12.15" customHeight="1">
      <c r="A22" s="2038" t="s">
        <v>21</v>
      </c>
      <c r="B22" s="2038" t="s">
        <v>22</v>
      </c>
      <c r="C22" s="29">
        <v>4.5</v>
      </c>
      <c r="D22" s="29" t="s">
        <v>27</v>
      </c>
    </row>
    <row r="23" spans="1:4" ht="12" customHeight="1">
      <c r="A23" s="2038" t="s">
        <v>21</v>
      </c>
      <c r="B23" s="2038" t="s">
        <v>22</v>
      </c>
      <c r="C23" s="29">
        <v>4.5999999999999996</v>
      </c>
      <c r="D23" s="29" t="s">
        <v>28</v>
      </c>
    </row>
    <row r="24" spans="1:4" ht="12.15" customHeight="1">
      <c r="A24" s="2038" t="s">
        <v>21</v>
      </c>
      <c r="B24" s="2038" t="s">
        <v>22</v>
      </c>
      <c r="C24" s="29">
        <v>4.7</v>
      </c>
      <c r="D24" s="30" t="s">
        <v>29</v>
      </c>
    </row>
    <row r="25" spans="1:4" ht="12.15" customHeight="1">
      <c r="A25" s="31"/>
      <c r="B25" s="31"/>
      <c r="C25" s="31"/>
      <c r="D25" s="31"/>
    </row>
    <row r="26" spans="1:4" ht="12.15" customHeight="1">
      <c r="A26" s="2038" t="s">
        <v>30</v>
      </c>
      <c r="B26" s="2038" t="s">
        <v>31</v>
      </c>
      <c r="C26" s="29">
        <v>5.0999999999999996</v>
      </c>
      <c r="D26" s="30" t="s">
        <v>32</v>
      </c>
    </row>
    <row r="27" spans="1:4" ht="12.15" customHeight="1">
      <c r="A27" s="2038" t="s">
        <v>30</v>
      </c>
      <c r="B27" s="2038" t="s">
        <v>31</v>
      </c>
      <c r="C27" s="29">
        <v>5.2</v>
      </c>
      <c r="D27" s="29" t="s">
        <v>33</v>
      </c>
    </row>
    <row r="28" spans="1:4" ht="12.15" customHeight="1">
      <c r="A28" s="2038" t="s">
        <v>30</v>
      </c>
      <c r="B28" s="2038" t="s">
        <v>31</v>
      </c>
      <c r="C28" s="29">
        <v>5.3</v>
      </c>
      <c r="D28" s="29" t="s">
        <v>34</v>
      </c>
    </row>
    <row r="29" spans="1:4" ht="12" customHeight="1">
      <c r="A29" s="31"/>
      <c r="B29" s="31"/>
      <c r="C29" s="31"/>
      <c r="D29" s="31"/>
    </row>
    <row r="30" spans="1:4" ht="12.15" customHeight="1">
      <c r="A30" s="2038" t="s">
        <v>35</v>
      </c>
      <c r="B30" s="2038" t="s">
        <v>36</v>
      </c>
      <c r="C30" s="29">
        <v>6.1</v>
      </c>
      <c r="D30" s="29" t="s">
        <v>37</v>
      </c>
    </row>
    <row r="31" spans="1:4" ht="12.75" customHeight="1">
      <c r="A31" s="2038" t="s">
        <v>35</v>
      </c>
      <c r="B31" s="2038" t="s">
        <v>36</v>
      </c>
      <c r="C31" s="29">
        <v>6.2</v>
      </c>
      <c r="D31" s="29" t="s">
        <v>38</v>
      </c>
    </row>
    <row r="32" spans="1:4" ht="12.15" customHeight="1">
      <c r="A32" s="2038" t="s">
        <v>35</v>
      </c>
      <c r="B32" s="2038" t="s">
        <v>36</v>
      </c>
      <c r="C32" s="29">
        <v>6.3</v>
      </c>
      <c r="D32" s="29" t="s">
        <v>39</v>
      </c>
    </row>
    <row r="33" spans="1:4" ht="12.15" customHeight="1">
      <c r="A33" s="2038" t="s">
        <v>35</v>
      </c>
      <c r="B33" s="2038" t="s">
        <v>36</v>
      </c>
      <c r="C33" s="29">
        <v>6.4</v>
      </c>
      <c r="D33" s="29" t="s">
        <v>40</v>
      </c>
    </row>
    <row r="34" spans="1:4" ht="12.15" customHeight="1">
      <c r="A34" s="31"/>
      <c r="B34" s="31"/>
      <c r="C34" s="31"/>
      <c r="D34" s="31"/>
    </row>
    <row r="35" spans="1:4" ht="12" customHeight="1">
      <c r="A35" s="2038" t="s">
        <v>41</v>
      </c>
      <c r="B35" s="2038" t="s">
        <v>42</v>
      </c>
      <c r="C35" s="29">
        <v>7.1</v>
      </c>
      <c r="D35" s="30" t="s">
        <v>43</v>
      </c>
    </row>
    <row r="36" spans="1:4" ht="12.15" customHeight="1">
      <c r="A36" s="2038" t="s">
        <v>41</v>
      </c>
      <c r="B36" s="2038" t="s">
        <v>42</v>
      </c>
      <c r="C36" s="29">
        <v>7.2</v>
      </c>
      <c r="D36" s="29" t="s">
        <v>44</v>
      </c>
    </row>
    <row r="37" spans="1:4" ht="12.15" customHeight="1">
      <c r="A37" s="2039" t="s">
        <v>41</v>
      </c>
      <c r="B37" s="2038" t="s">
        <v>42</v>
      </c>
      <c r="C37" s="29">
        <v>7.3</v>
      </c>
      <c r="D37" s="29" t="s">
        <v>45</v>
      </c>
    </row>
    <row r="38" spans="1:4" ht="12" customHeight="1">
      <c r="A38" s="2032" t="s">
        <v>46</v>
      </c>
      <c r="B38" s="2035" t="s">
        <v>2127</v>
      </c>
      <c r="C38" s="32">
        <v>8.1</v>
      </c>
      <c r="D38" s="29" t="s">
        <v>47</v>
      </c>
    </row>
    <row r="39" spans="1:4" ht="12.15" customHeight="1">
      <c r="A39" s="2033"/>
      <c r="B39" s="2036"/>
      <c r="C39" s="32">
        <v>8.1999999999999993</v>
      </c>
      <c r="D39" s="29" t="s">
        <v>48</v>
      </c>
    </row>
    <row r="40" spans="1:4" ht="12.15" customHeight="1">
      <c r="A40" s="2033"/>
      <c r="B40" s="2036"/>
      <c r="C40" s="32">
        <v>8.3000000000000007</v>
      </c>
      <c r="D40" s="30" t="s">
        <v>49</v>
      </c>
    </row>
    <row r="41" spans="1:4" ht="23.25" customHeight="1">
      <c r="A41" s="2034"/>
      <c r="B41" s="2037"/>
      <c r="C41" s="33" t="s">
        <v>50</v>
      </c>
      <c r="D41" s="34" t="s">
        <v>51</v>
      </c>
    </row>
  </sheetData>
  <mergeCells count="18">
    <mergeCell ref="A1:B1"/>
    <mergeCell ref="C1:D1"/>
    <mergeCell ref="A2:A6"/>
    <mergeCell ref="B2:B6"/>
    <mergeCell ref="A8:A12"/>
    <mergeCell ref="B8:B12"/>
    <mergeCell ref="A14:A16"/>
    <mergeCell ref="B14:B16"/>
    <mergeCell ref="A18:A24"/>
    <mergeCell ref="B18:B24"/>
    <mergeCell ref="A26:A28"/>
    <mergeCell ref="B26:B28"/>
    <mergeCell ref="A38:A41"/>
    <mergeCell ref="B38:B41"/>
    <mergeCell ref="A30:A33"/>
    <mergeCell ref="B30:B33"/>
    <mergeCell ref="A35:A37"/>
    <mergeCell ref="B35:B37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70C0"/>
  </sheetPr>
  <dimension ref="A1:N164"/>
  <sheetViews>
    <sheetView tabSelected="1" view="pageBreakPreview" topLeftCell="A130" zoomScaleSheetLayoutView="100" workbookViewId="0">
      <selection activeCell="O160" sqref="O160"/>
    </sheetView>
  </sheetViews>
  <sheetFormatPr defaultRowHeight="14.4"/>
  <cols>
    <col min="1" max="1" width="3" style="817" customWidth="1"/>
    <col min="2" max="2" width="2.88671875" style="867" bestFit="1" customWidth="1"/>
    <col min="3" max="3" width="2.88671875" style="817" customWidth="1"/>
    <col min="4" max="4" width="13.33203125" style="839" customWidth="1"/>
    <col min="5" max="5" width="3.6640625" style="839" customWidth="1"/>
    <col min="6" max="6" width="53.5546875" style="839" customWidth="1"/>
    <col min="7" max="7" width="8.88671875" style="840" bestFit="1" customWidth="1"/>
    <col min="8" max="8" width="7.44140625" style="817" bestFit="1" customWidth="1"/>
    <col min="9" max="9" width="13.33203125" style="817" customWidth="1"/>
    <col min="10" max="10" width="15.6640625" style="841" customWidth="1"/>
    <col min="11" max="11" width="19.33203125" style="841" customWidth="1"/>
    <col min="12" max="12" width="19" style="729" customWidth="1"/>
    <col min="13" max="13" width="17.33203125" customWidth="1"/>
  </cols>
  <sheetData>
    <row r="1" spans="1:14" ht="25.5" customHeight="1" thickBot="1">
      <c r="A1" s="2353" t="s">
        <v>4908</v>
      </c>
      <c r="B1" s="2354"/>
      <c r="C1" s="2354"/>
      <c r="D1" s="2354"/>
      <c r="E1" s="2354"/>
      <c r="F1" s="2354"/>
      <c r="G1" s="2354"/>
      <c r="H1" s="2354"/>
      <c r="I1" s="2354"/>
      <c r="J1" s="2354"/>
      <c r="K1" s="2354"/>
      <c r="L1" s="2354"/>
      <c r="M1" s="2354"/>
      <c r="N1" s="2355"/>
    </row>
    <row r="2" spans="1:14" ht="41.25" customHeight="1" thickTop="1">
      <c r="A2" s="2328" t="s">
        <v>4959</v>
      </c>
      <c r="B2" s="2329"/>
      <c r="C2" s="2329"/>
      <c r="D2" s="2329"/>
      <c r="E2" s="2329"/>
      <c r="F2" s="2329"/>
      <c r="G2" s="2340" t="s">
        <v>4955</v>
      </c>
      <c r="H2" s="2340"/>
      <c r="I2" s="2325" t="s">
        <v>5171</v>
      </c>
      <c r="J2" s="2325"/>
      <c r="K2" s="2326"/>
      <c r="L2" s="1989"/>
      <c r="M2" s="1990"/>
      <c r="N2" s="1991"/>
    </row>
    <row r="3" spans="1:14" ht="15.6">
      <c r="A3" s="2330" t="s">
        <v>4956</v>
      </c>
      <c r="B3" s="2331"/>
      <c r="C3" s="2331"/>
      <c r="D3" s="2331"/>
      <c r="E3" s="2331"/>
      <c r="F3" s="2331"/>
      <c r="G3" s="2327" t="s">
        <v>4910</v>
      </c>
      <c r="H3" s="2327"/>
      <c r="I3" s="2327" t="s">
        <v>5172</v>
      </c>
      <c r="J3" s="2327"/>
      <c r="K3" s="2336"/>
      <c r="N3" s="1992"/>
    </row>
    <row r="4" spans="1:14" ht="15.75" customHeight="1">
      <c r="A4" s="2332" t="s">
        <v>4957</v>
      </c>
      <c r="B4" s="2333"/>
      <c r="C4" s="2333"/>
      <c r="D4" s="2333"/>
      <c r="E4" s="2333"/>
      <c r="F4" s="2333"/>
      <c r="G4" s="2327" t="s">
        <v>4911</v>
      </c>
      <c r="H4" s="2327"/>
      <c r="I4" s="2327" t="s">
        <v>4960</v>
      </c>
      <c r="J4" s="2327"/>
      <c r="K4" s="2336"/>
      <c r="N4" s="1992"/>
    </row>
    <row r="5" spans="1:14" ht="16.5" customHeight="1" thickBot="1">
      <c r="A5" s="2334"/>
      <c r="B5" s="2335"/>
      <c r="C5" s="2335"/>
      <c r="D5" s="2335"/>
      <c r="E5" s="2335"/>
      <c r="F5" s="2335"/>
      <c r="G5" s="2339" t="s">
        <v>4912</v>
      </c>
      <c r="H5" s="2339"/>
      <c r="I5" s="2337">
        <v>2022</v>
      </c>
      <c r="J5" s="2337"/>
      <c r="K5" s="2338"/>
      <c r="L5" s="1920"/>
      <c r="M5" s="1921"/>
      <c r="N5" s="1993"/>
    </row>
    <row r="6" spans="1:14" s="694" customFormat="1" ht="31.5" customHeight="1" thickBot="1">
      <c r="A6" s="1994" t="s">
        <v>1003</v>
      </c>
      <c r="B6" s="2366" t="s">
        <v>3491</v>
      </c>
      <c r="C6" s="2366"/>
      <c r="D6" s="2366"/>
      <c r="E6" s="2366"/>
      <c r="F6" s="2366"/>
      <c r="G6" s="807" t="s">
        <v>4906</v>
      </c>
      <c r="H6" s="1553" t="s">
        <v>4913</v>
      </c>
      <c r="I6" s="1553" t="s">
        <v>4907</v>
      </c>
      <c r="J6" s="808" t="s">
        <v>4914</v>
      </c>
      <c r="K6" s="1929" t="s">
        <v>3493</v>
      </c>
      <c r="L6" s="1943" t="s">
        <v>5345</v>
      </c>
      <c r="M6" s="1553" t="s">
        <v>3493</v>
      </c>
      <c r="N6" s="1995" t="s">
        <v>5352</v>
      </c>
    </row>
    <row r="7" spans="1:14" ht="21" customHeight="1" thickTop="1">
      <c r="A7" s="1996" t="s">
        <v>671</v>
      </c>
      <c r="B7" s="2323" t="s">
        <v>4915</v>
      </c>
      <c r="C7" s="2323"/>
      <c r="D7" s="2323"/>
      <c r="E7" s="2323"/>
      <c r="F7" s="2323"/>
      <c r="G7" s="1977"/>
      <c r="H7" s="1978"/>
      <c r="I7" s="1978"/>
      <c r="J7" s="1979"/>
      <c r="K7" s="1980"/>
      <c r="L7" s="1981"/>
      <c r="M7" s="1982"/>
      <c r="N7" s="1997"/>
    </row>
    <row r="8" spans="1:14">
      <c r="A8" s="1998"/>
      <c r="B8" s="830"/>
      <c r="C8" s="830">
        <v>1</v>
      </c>
      <c r="D8" s="2322" t="s">
        <v>4916</v>
      </c>
      <c r="E8" s="2322"/>
      <c r="F8" s="2322"/>
      <c r="G8" s="831">
        <f>BACKUP!M12</f>
        <v>1</v>
      </c>
      <c r="H8" s="832" t="s">
        <v>4925</v>
      </c>
      <c r="I8" s="832" t="str">
        <f>'ANL. HITUNG'!B16</f>
        <v>ANL. HIT. 2</v>
      </c>
      <c r="J8" s="833">
        <f>'ANL. HITUNG'!H38</f>
        <v>14635000</v>
      </c>
      <c r="K8" s="1930">
        <f>J8*G8</f>
        <v>14635000</v>
      </c>
      <c r="L8" s="1938">
        <f>J8</f>
        <v>14635000</v>
      </c>
      <c r="M8" s="1923">
        <f>L8*G8</f>
        <v>14635000</v>
      </c>
      <c r="N8" s="1999">
        <f>M8/K8</f>
        <v>1</v>
      </c>
    </row>
    <row r="9" spans="1:14">
      <c r="A9" s="2000"/>
      <c r="B9" s="809"/>
      <c r="C9" s="809">
        <f>C8+1</f>
        <v>2</v>
      </c>
      <c r="D9" s="2298" t="s">
        <v>4917</v>
      </c>
      <c r="E9" s="2298"/>
      <c r="F9" s="2298"/>
      <c r="G9" s="810">
        <f>BACKUP!M13</f>
        <v>1</v>
      </c>
      <c r="H9" s="811" t="s">
        <v>3513</v>
      </c>
      <c r="I9" s="811" t="s">
        <v>4925</v>
      </c>
      <c r="J9" s="812">
        <v>12087500</v>
      </c>
      <c r="K9" s="1931">
        <f>J9*G9</f>
        <v>12087500</v>
      </c>
      <c r="L9" s="1941">
        <f>J9</f>
        <v>12087500</v>
      </c>
      <c r="M9" s="1942">
        <f>L9*G9</f>
        <v>12087500</v>
      </c>
      <c r="N9" s="2001">
        <f>M9/K9</f>
        <v>1</v>
      </c>
    </row>
    <row r="10" spans="1:14">
      <c r="A10" s="2002"/>
      <c r="B10" s="2318"/>
      <c r="C10" s="2319"/>
      <c r="D10" s="2319"/>
      <c r="E10" s="2319"/>
      <c r="F10" s="2319"/>
      <c r="G10" s="987"/>
      <c r="H10" s="1555"/>
      <c r="I10" s="988"/>
      <c r="J10" s="921" t="s">
        <v>4918</v>
      </c>
      <c r="K10" s="1932">
        <f>SUM(K8:K9)</f>
        <v>26722500</v>
      </c>
      <c r="L10" s="1983" t="s">
        <v>4918</v>
      </c>
      <c r="M10" s="1932">
        <f>SUM(M8:M9)</f>
        <v>26722500</v>
      </c>
      <c r="N10" s="2003"/>
    </row>
    <row r="11" spans="1:14" ht="21.75" customHeight="1">
      <c r="A11" s="2004" t="s">
        <v>686</v>
      </c>
      <c r="B11" s="2310" t="s">
        <v>5040</v>
      </c>
      <c r="C11" s="2311"/>
      <c r="D11" s="2311"/>
      <c r="E11" s="2311"/>
      <c r="F11" s="2311"/>
      <c r="G11" s="1946"/>
      <c r="H11" s="1947"/>
      <c r="I11" s="1947"/>
      <c r="J11" s="1948"/>
      <c r="K11" s="1948"/>
      <c r="L11" s="1944"/>
      <c r="M11" s="1945"/>
      <c r="N11" s="2005"/>
    </row>
    <row r="12" spans="1:14" ht="15.75" customHeight="1">
      <c r="A12" s="2006"/>
      <c r="B12" s="2324" t="s">
        <v>5051</v>
      </c>
      <c r="C12" s="2324"/>
      <c r="D12" s="2324"/>
      <c r="E12" s="2324"/>
      <c r="F12" s="2324"/>
      <c r="G12" s="1949"/>
      <c r="H12" s="1950"/>
      <c r="I12" s="1950"/>
      <c r="J12" s="1951"/>
      <c r="K12" s="1951"/>
      <c r="L12" s="1944"/>
      <c r="M12" s="1945"/>
      <c r="N12" s="2005"/>
    </row>
    <row r="13" spans="1:14">
      <c r="A13" s="2007">
        <v>1</v>
      </c>
      <c r="B13" s="2302" t="s">
        <v>5283</v>
      </c>
      <c r="C13" s="2302"/>
      <c r="D13" s="2302"/>
      <c r="E13" s="2302"/>
      <c r="F13" s="2302"/>
      <c r="G13" s="831"/>
      <c r="H13" s="832"/>
      <c r="I13" s="832"/>
      <c r="J13" s="833"/>
      <c r="K13" s="1930"/>
      <c r="L13" s="1938"/>
      <c r="M13" s="1922"/>
      <c r="N13" s="2003"/>
    </row>
    <row r="14" spans="1:14">
      <c r="A14" s="2000"/>
      <c r="B14" s="809" t="s">
        <v>4920</v>
      </c>
      <c r="C14" s="2298" t="s">
        <v>5043</v>
      </c>
      <c r="D14" s="2298"/>
      <c r="E14" s="2298"/>
      <c r="F14" s="2299"/>
      <c r="G14" s="810"/>
      <c r="H14" s="811"/>
      <c r="I14" s="811"/>
      <c r="J14" s="812"/>
      <c r="K14" s="1931"/>
      <c r="L14" s="1972"/>
      <c r="M14" s="1974"/>
      <c r="N14" s="2008"/>
    </row>
    <row r="15" spans="1:14">
      <c r="A15" s="2000"/>
      <c r="B15" s="838"/>
      <c r="C15" s="809">
        <v>1</v>
      </c>
      <c r="D15" s="2298" t="s">
        <v>5042</v>
      </c>
      <c r="E15" s="2298"/>
      <c r="F15" s="2299"/>
      <c r="G15" s="810">
        <f>BACKUP!M21</f>
        <v>21.624749999999999</v>
      </c>
      <c r="H15" s="811" t="s">
        <v>2646</v>
      </c>
      <c r="I15" s="811" t="str">
        <f>Rekap!B22</f>
        <v>A.2.3.1.1</v>
      </c>
      <c r="J15" s="812">
        <f>Rekap!D22</f>
        <v>135843.75</v>
      </c>
      <c r="K15" s="1931">
        <f>J15*G15</f>
        <v>2937587.1328125</v>
      </c>
      <c r="L15" s="1972">
        <f>Analisa!M353</f>
        <v>135843.75</v>
      </c>
      <c r="M15" s="1973">
        <f>L15*G15</f>
        <v>2937587.1328125</v>
      </c>
      <c r="N15" s="2009">
        <f>M15/K15</f>
        <v>1</v>
      </c>
    </row>
    <row r="16" spans="1:14">
      <c r="A16" s="2000"/>
      <c r="B16" s="838"/>
      <c r="C16" s="809">
        <f>C15+1</f>
        <v>2</v>
      </c>
      <c r="D16" s="2298" t="s">
        <v>5044</v>
      </c>
      <c r="E16" s="2298"/>
      <c r="F16" s="2299"/>
      <c r="G16" s="810">
        <f>BACKUP!M22</f>
        <v>7.2082499999999996</v>
      </c>
      <c r="H16" s="811" t="s">
        <v>2646</v>
      </c>
      <c r="I16" s="811" t="str">
        <f>Rekap!B30</f>
        <v>A.2.3.1.9</v>
      </c>
      <c r="J16" s="812">
        <f>Rekap!D30</f>
        <v>99187.5</v>
      </c>
      <c r="K16" s="1931">
        <f t="shared" ref="K16:K24" si="0">J16*G16</f>
        <v>714968.296875</v>
      </c>
      <c r="L16" s="1972">
        <f>Rekap!E30</f>
        <v>99187.5</v>
      </c>
      <c r="M16" s="1973">
        <f>L16*G16</f>
        <v>714968.296875</v>
      </c>
      <c r="N16" s="2009">
        <f>M16/K16</f>
        <v>1</v>
      </c>
    </row>
    <row r="17" spans="1:14">
      <c r="A17" s="2000"/>
      <c r="B17" s="838"/>
      <c r="C17" s="809">
        <f>C16+1</f>
        <v>3</v>
      </c>
      <c r="D17" s="2298" t="s">
        <v>5153</v>
      </c>
      <c r="E17" s="2298"/>
      <c r="F17" s="2299"/>
      <c r="G17" s="810">
        <f>BACKUP!M23</f>
        <v>17.984999999999999</v>
      </c>
      <c r="H17" s="811" t="s">
        <v>2646</v>
      </c>
      <c r="I17" s="811" t="str">
        <f>Rekap!B33</f>
        <v>A.2.3.1.11. A</v>
      </c>
      <c r="J17" s="812">
        <f>Rekap!D33</f>
        <v>216915.3</v>
      </c>
      <c r="K17" s="1931">
        <f t="shared" si="0"/>
        <v>3901221.6704999995</v>
      </c>
      <c r="L17" s="1972">
        <f>Rekap!E33</f>
        <v>216915.3</v>
      </c>
      <c r="M17" s="1973">
        <f>L17*G17</f>
        <v>3901221.6704999995</v>
      </c>
      <c r="N17" s="2009">
        <f>M17/K17</f>
        <v>1</v>
      </c>
    </row>
    <row r="18" spans="1:14">
      <c r="A18" s="2000"/>
      <c r="B18" s="809" t="s">
        <v>4578</v>
      </c>
      <c r="C18" s="2298" t="s">
        <v>5045</v>
      </c>
      <c r="D18" s="2298"/>
      <c r="E18" s="2298"/>
      <c r="F18" s="2299"/>
      <c r="G18" s="810"/>
      <c r="H18" s="811"/>
      <c r="I18" s="811"/>
      <c r="J18" s="812"/>
      <c r="K18" s="1931"/>
      <c r="L18" s="1972"/>
      <c r="M18" s="1974"/>
      <c r="N18" s="2009"/>
    </row>
    <row r="19" spans="1:14">
      <c r="A19" s="2000"/>
      <c r="B19" s="838"/>
      <c r="C19" s="809">
        <v>1</v>
      </c>
      <c r="D19" s="2298" t="s">
        <v>5046</v>
      </c>
      <c r="E19" s="2298"/>
      <c r="F19" s="2299"/>
      <c r="G19" s="810">
        <f>BACKUP!M25</f>
        <v>1.5446250000000001</v>
      </c>
      <c r="H19" s="811" t="s">
        <v>2646</v>
      </c>
      <c r="I19" s="811" t="str">
        <f>Rekap!B32</f>
        <v>A.2.3.1.11</v>
      </c>
      <c r="J19" s="812">
        <f>Rekap!D32</f>
        <v>265103.52</v>
      </c>
      <c r="K19" s="1931">
        <f t="shared" si="0"/>
        <v>409485.52458000008</v>
      </c>
      <c r="L19" s="1976">
        <f>Rekap!E32</f>
        <v>265103.51999999996</v>
      </c>
      <c r="M19" s="1973">
        <f t="shared" ref="M19:M24" si="1">L19*G19</f>
        <v>409485.52457999997</v>
      </c>
      <c r="N19" s="2009">
        <f t="shared" ref="N19:N24" si="2">M19/K19</f>
        <v>0.99999999999999967</v>
      </c>
    </row>
    <row r="20" spans="1:14">
      <c r="A20" s="2000"/>
      <c r="B20" s="838"/>
      <c r="C20" s="809">
        <f>C19+1</f>
        <v>2</v>
      </c>
      <c r="D20" s="2298" t="s">
        <v>5047</v>
      </c>
      <c r="E20" s="2298"/>
      <c r="F20" s="2299"/>
      <c r="G20" s="810">
        <f>BACKUP!M26</f>
        <v>1.5446250000000001</v>
      </c>
      <c r="H20" s="811" t="s">
        <v>2646</v>
      </c>
      <c r="I20" s="811" t="str">
        <f>Rekap!B51</f>
        <v>A.4.1.1.1</v>
      </c>
      <c r="J20" s="812">
        <f>Rekap!D51</f>
        <v>1298044.5</v>
      </c>
      <c r="K20" s="1931">
        <f t="shared" si="0"/>
        <v>2004991.9858125001</v>
      </c>
      <c r="L20" s="1976">
        <f>Rekap!E51</f>
        <v>1284667.8744249998</v>
      </c>
      <c r="M20" s="1973">
        <f t="shared" si="1"/>
        <v>1984330.1155337156</v>
      </c>
      <c r="N20" s="2009">
        <f t="shared" si="2"/>
        <v>0.9896947866001512</v>
      </c>
    </row>
    <row r="21" spans="1:14">
      <c r="A21" s="2000"/>
      <c r="B21" s="838"/>
      <c r="C21" s="809">
        <f>C20+1</f>
        <v>3</v>
      </c>
      <c r="D21" s="2298" t="s">
        <v>5156</v>
      </c>
      <c r="E21" s="2298"/>
      <c r="F21" s="2299"/>
      <c r="G21" s="810">
        <f>BACKUP!M27</f>
        <v>8.9245000000000019</v>
      </c>
      <c r="H21" s="811" t="s">
        <v>2646</v>
      </c>
      <c r="I21" s="811" t="str">
        <f>Rekap!B42</f>
        <v>A.3.2.1.3</v>
      </c>
      <c r="J21" s="812">
        <f>Rekap!D42</f>
        <v>1365041.8</v>
      </c>
      <c r="K21" s="1931">
        <f t="shared" si="0"/>
        <v>12182315.544100003</v>
      </c>
      <c r="L21" s="1976">
        <f>Rekap!E42</f>
        <v>1357676.5358</v>
      </c>
      <c r="M21" s="1973">
        <f t="shared" si="1"/>
        <v>12116584.243747102</v>
      </c>
      <c r="N21" s="2009">
        <f t="shared" si="2"/>
        <v>0.99460436728018131</v>
      </c>
    </row>
    <row r="22" spans="1:14">
      <c r="A22" s="2000"/>
      <c r="B22" s="809" t="s">
        <v>4921</v>
      </c>
      <c r="C22" s="2298" t="s">
        <v>4952</v>
      </c>
      <c r="D22" s="2298"/>
      <c r="E22" s="2298"/>
      <c r="F22" s="2299"/>
      <c r="G22" s="810">
        <f>BACKUP!M28</f>
        <v>68.650000000000006</v>
      </c>
      <c r="H22" s="811" t="s">
        <v>2941</v>
      </c>
      <c r="I22" s="811" t="str">
        <f>Analisa!B1329</f>
        <v>A.4.1.1.36.B</v>
      </c>
      <c r="J22" s="812">
        <f>Analisa!H1350</f>
        <v>185069.27</v>
      </c>
      <c r="K22" s="1931">
        <f t="shared" si="0"/>
        <v>12705005.385500001</v>
      </c>
      <c r="L22" s="1976">
        <f>Analisa!M1350</f>
        <v>152185.46</v>
      </c>
      <c r="M22" s="1973">
        <f t="shared" si="1"/>
        <v>10447531.829</v>
      </c>
      <c r="N22" s="2009">
        <f t="shared" si="2"/>
        <v>0.82231620625077295</v>
      </c>
    </row>
    <row r="23" spans="1:14">
      <c r="A23" s="2000"/>
      <c r="B23" s="809" t="s">
        <v>4922</v>
      </c>
      <c r="C23" s="2298" t="s">
        <v>5180</v>
      </c>
      <c r="D23" s="2298"/>
      <c r="E23" s="2298"/>
      <c r="F23" s="2299"/>
      <c r="G23" s="810">
        <f>BACKUP!M29</f>
        <v>69.599999999999994</v>
      </c>
      <c r="H23" s="811" t="s">
        <v>2941</v>
      </c>
      <c r="I23" s="811" t="str">
        <f>Analisa!B1376</f>
        <v>A.4.1.1.36.A</v>
      </c>
      <c r="J23" s="812">
        <f>Analisa!H1397</f>
        <v>181847.06</v>
      </c>
      <c r="K23" s="1931">
        <f t="shared" si="0"/>
        <v>12656555.375999998</v>
      </c>
      <c r="L23" s="1976">
        <f>Analisa!M1397</f>
        <v>149126.07999999999</v>
      </c>
      <c r="M23" s="1973">
        <f t="shared" si="1"/>
        <v>10379175.167999998</v>
      </c>
      <c r="N23" s="2009">
        <f t="shared" si="2"/>
        <v>0.82006318936363332</v>
      </c>
    </row>
    <row r="24" spans="1:14">
      <c r="A24" s="2000"/>
      <c r="B24" s="809" t="s">
        <v>4923</v>
      </c>
      <c r="C24" s="2298" t="s">
        <v>5181</v>
      </c>
      <c r="D24" s="2298"/>
      <c r="E24" s="2298"/>
      <c r="F24" s="2299"/>
      <c r="G24" s="810">
        <f>BACKUP!M30</f>
        <v>68.650000000000006</v>
      </c>
      <c r="H24" s="811" t="s">
        <v>2941</v>
      </c>
      <c r="I24" s="811" t="str">
        <f>Analisa!B1353</f>
        <v>A.4.1.1.36</v>
      </c>
      <c r="J24" s="812">
        <f>Analisa!H1374</f>
        <v>181847.06</v>
      </c>
      <c r="K24" s="1931">
        <f t="shared" si="0"/>
        <v>12483800.669000002</v>
      </c>
      <c r="L24" s="1976">
        <f>Analisa!M1374</f>
        <v>149126.07999999999</v>
      </c>
      <c r="M24" s="1973">
        <f t="shared" si="1"/>
        <v>10237505.391999999</v>
      </c>
      <c r="N24" s="2009">
        <f t="shared" si="2"/>
        <v>0.8200631893636332</v>
      </c>
    </row>
    <row r="25" spans="1:14">
      <c r="A25" s="2010">
        <v>2</v>
      </c>
      <c r="B25" s="2300" t="s">
        <v>5282</v>
      </c>
      <c r="C25" s="2300"/>
      <c r="D25" s="2300"/>
      <c r="E25" s="2300"/>
      <c r="F25" s="2300"/>
      <c r="G25" s="810"/>
      <c r="H25" s="811"/>
      <c r="I25" s="811"/>
      <c r="J25" s="812"/>
      <c r="K25" s="1931"/>
      <c r="L25" s="1972"/>
      <c r="M25" s="1974"/>
      <c r="N25" s="2009"/>
    </row>
    <row r="26" spans="1:14">
      <c r="A26" s="2000"/>
      <c r="B26" s="809" t="s">
        <v>4920</v>
      </c>
      <c r="C26" s="2312" t="s">
        <v>5052</v>
      </c>
      <c r="D26" s="2312"/>
      <c r="E26" s="2312"/>
      <c r="F26" s="2313"/>
      <c r="G26" s="810"/>
      <c r="H26" s="811"/>
      <c r="I26" s="811"/>
      <c r="J26" s="812"/>
      <c r="K26" s="1931"/>
      <c r="L26" s="1972"/>
      <c r="M26" s="1974"/>
      <c r="N26" s="2009"/>
    </row>
    <row r="27" spans="1:14">
      <c r="A27" s="2000"/>
      <c r="B27" s="809"/>
      <c r="C27" s="822">
        <v>1</v>
      </c>
      <c r="D27" s="2312" t="s">
        <v>5054</v>
      </c>
      <c r="E27" s="2312"/>
      <c r="F27" s="2313"/>
      <c r="G27" s="810">
        <f>BACKUP!M33</f>
        <v>3.1320000000000001</v>
      </c>
      <c r="H27" s="811" t="s">
        <v>2646</v>
      </c>
      <c r="I27" s="811" t="str">
        <f>Rekap!B16</f>
        <v>A. 2.2.1.13</v>
      </c>
      <c r="J27" s="812">
        <f>Rekap!D16</f>
        <v>2472442.5</v>
      </c>
      <c r="K27" s="1931">
        <f>J27*G27</f>
        <v>7743689.9100000001</v>
      </c>
      <c r="L27" s="1972">
        <f>Rekap!E16</f>
        <v>2472442.5</v>
      </c>
      <c r="M27" s="1973">
        <f>L27*G27</f>
        <v>7743689.9100000001</v>
      </c>
      <c r="N27" s="2009">
        <f>M27/K27</f>
        <v>1</v>
      </c>
    </row>
    <row r="28" spans="1:14">
      <c r="A28" s="2000"/>
      <c r="B28" s="809"/>
      <c r="C28" s="822">
        <f>C27+1</f>
        <v>2</v>
      </c>
      <c r="D28" s="2312" t="s">
        <v>5281</v>
      </c>
      <c r="E28" s="2312"/>
      <c r="F28" s="2313"/>
      <c r="G28" s="810">
        <f>BACKUP!M34</f>
        <v>71.313999999999993</v>
      </c>
      <c r="H28" s="811" t="s">
        <v>2647</v>
      </c>
      <c r="I28" s="811" t="s">
        <v>4937</v>
      </c>
      <c r="J28" s="812">
        <v>15000</v>
      </c>
      <c r="K28" s="1931">
        <f>J28*G28</f>
        <v>1069710</v>
      </c>
      <c r="L28" s="1972"/>
      <c r="M28" s="1974"/>
      <c r="N28" s="2009"/>
    </row>
    <row r="29" spans="1:14">
      <c r="A29" s="2000"/>
      <c r="B29" s="809" t="s">
        <v>4578</v>
      </c>
      <c r="C29" s="2298" t="s">
        <v>5043</v>
      </c>
      <c r="D29" s="2298"/>
      <c r="E29" s="2298"/>
      <c r="F29" s="2299"/>
      <c r="G29" s="810"/>
      <c r="H29" s="811"/>
      <c r="I29" s="811"/>
      <c r="J29" s="812"/>
      <c r="K29" s="1931"/>
      <c r="L29" s="1972"/>
      <c r="M29" s="1974"/>
      <c r="N29" s="2009"/>
    </row>
    <row r="30" spans="1:14">
      <c r="A30" s="2000"/>
      <c r="B30" s="809"/>
      <c r="C30" s="809">
        <v>1</v>
      </c>
      <c r="D30" s="2298" t="s">
        <v>5042</v>
      </c>
      <c r="E30" s="2298"/>
      <c r="F30" s="2299"/>
      <c r="G30" s="810">
        <f>BACKUP!M36</f>
        <v>22.119299999999999</v>
      </c>
      <c r="H30" s="811" t="s">
        <v>2646</v>
      </c>
      <c r="I30" s="811" t="str">
        <f>Rekap!B22</f>
        <v>A.2.3.1.1</v>
      </c>
      <c r="J30" s="812">
        <f>Rekap!D22</f>
        <v>135843.75</v>
      </c>
      <c r="K30" s="1931">
        <f>J30*G30</f>
        <v>3004768.6593749998</v>
      </c>
      <c r="L30" s="1972">
        <f>Rekap!E22</f>
        <v>135843.75</v>
      </c>
      <c r="M30" s="1973">
        <f>L30*G30</f>
        <v>3004768.6593749998</v>
      </c>
      <c r="N30" s="2009">
        <f>M30/K30</f>
        <v>1</v>
      </c>
    </row>
    <row r="31" spans="1:14">
      <c r="A31" s="2000"/>
      <c r="B31" s="809"/>
      <c r="C31" s="809">
        <f>C30+1</f>
        <v>2</v>
      </c>
      <c r="D31" s="2298" t="s">
        <v>5044</v>
      </c>
      <c r="E31" s="2298"/>
      <c r="F31" s="2299"/>
      <c r="G31" s="810">
        <f>BACKUP!M37</f>
        <v>7.3731</v>
      </c>
      <c r="H31" s="811" t="s">
        <v>2646</v>
      </c>
      <c r="I31" s="811" t="str">
        <f>Rekap!B30</f>
        <v>A.2.3.1.9</v>
      </c>
      <c r="J31" s="812">
        <f>Rekap!D30</f>
        <v>99187.5</v>
      </c>
      <c r="K31" s="1931">
        <f t="shared" ref="K31:K43" si="3">J31*G31</f>
        <v>731319.35624999995</v>
      </c>
      <c r="L31" s="1972">
        <f>Rekap!E30</f>
        <v>99187.5</v>
      </c>
      <c r="M31" s="1973">
        <f>L31*G31</f>
        <v>731319.35624999995</v>
      </c>
      <c r="N31" s="2009">
        <f>M31/K31</f>
        <v>1</v>
      </c>
    </row>
    <row r="32" spans="1:14">
      <c r="A32" s="2000"/>
      <c r="B32" s="809"/>
      <c r="C32" s="809">
        <f>C31+1</f>
        <v>3</v>
      </c>
      <c r="D32" s="2298" t="s">
        <v>5153</v>
      </c>
      <c r="E32" s="2298"/>
      <c r="F32" s="2299"/>
      <c r="G32" s="810">
        <f>BACKUP!M38</f>
        <v>8.91</v>
      </c>
      <c r="H32" s="811" t="s">
        <v>2646</v>
      </c>
      <c r="I32" s="811" t="str">
        <f>Rekap!B33</f>
        <v>A.2.3.1.11. A</v>
      </c>
      <c r="J32" s="812">
        <f>Rekap!D33</f>
        <v>216915.3</v>
      </c>
      <c r="K32" s="1931">
        <f t="shared" si="3"/>
        <v>1932715.3229999999</v>
      </c>
      <c r="L32" s="1972">
        <f>Rekap!E33</f>
        <v>216915.3</v>
      </c>
      <c r="M32" s="1973">
        <f>L32*G32</f>
        <v>1932715.3229999999</v>
      </c>
      <c r="N32" s="2009">
        <f>M32/K32</f>
        <v>1</v>
      </c>
    </row>
    <row r="33" spans="1:14">
      <c r="A33" s="2000"/>
      <c r="B33" s="809" t="s">
        <v>4921</v>
      </c>
      <c r="C33" s="2298" t="s">
        <v>5045</v>
      </c>
      <c r="D33" s="2298"/>
      <c r="E33" s="2298"/>
      <c r="F33" s="2299"/>
      <c r="G33" s="810"/>
      <c r="H33" s="811"/>
      <c r="I33" s="811"/>
      <c r="J33" s="812"/>
      <c r="K33" s="1931"/>
      <c r="L33" s="1972"/>
      <c r="M33" s="1974"/>
      <c r="N33" s="2009"/>
    </row>
    <row r="34" spans="1:14">
      <c r="A34" s="2000"/>
      <c r="B34" s="809"/>
      <c r="C34" s="809">
        <v>1</v>
      </c>
      <c r="D34" s="2298" t="s">
        <v>5046</v>
      </c>
      <c r="E34" s="2298"/>
      <c r="F34" s="2299"/>
      <c r="G34" s="810">
        <f>BACKUP!M40</f>
        <v>1.5799500000000002</v>
      </c>
      <c r="H34" s="811" t="s">
        <v>2646</v>
      </c>
      <c r="I34" s="811" t="str">
        <f>Rekap!B32</f>
        <v>A.2.3.1.11</v>
      </c>
      <c r="J34" s="812">
        <f>Rekap!D32</f>
        <v>265103.52</v>
      </c>
      <c r="K34" s="1931">
        <f t="shared" si="3"/>
        <v>418850.30642400007</v>
      </c>
      <c r="L34" s="1972">
        <f>Rekap!E32</f>
        <v>265103.51999999996</v>
      </c>
      <c r="M34" s="1973">
        <f t="shared" ref="M34:M39" si="4">L34*G34</f>
        <v>418850.30642400001</v>
      </c>
      <c r="N34" s="2009">
        <f t="shared" ref="N34:N39" si="5">M34/K34</f>
        <v>0.99999999999999989</v>
      </c>
    </row>
    <row r="35" spans="1:14">
      <c r="A35" s="2000"/>
      <c r="B35" s="809"/>
      <c r="C35" s="959">
        <v>2</v>
      </c>
      <c r="D35" s="2298" t="s">
        <v>5047</v>
      </c>
      <c r="E35" s="2298"/>
      <c r="F35" s="2299"/>
      <c r="G35" s="810">
        <f>BACKUP!M41</f>
        <v>1.5799500000000002</v>
      </c>
      <c r="H35" s="811" t="s">
        <v>2646</v>
      </c>
      <c r="I35" s="811" t="str">
        <f>Rekap!B51</f>
        <v>A.4.1.1.1</v>
      </c>
      <c r="J35" s="812">
        <f>Rekap!D51</f>
        <v>1298044.5</v>
      </c>
      <c r="K35" s="1931">
        <f t="shared" si="3"/>
        <v>2050845.4077750002</v>
      </c>
      <c r="L35" s="1972">
        <f>Rekap!E51</f>
        <v>1284667.8744249998</v>
      </c>
      <c r="M35" s="1973">
        <f t="shared" si="4"/>
        <v>2029711.0081977786</v>
      </c>
      <c r="N35" s="2009">
        <f t="shared" si="5"/>
        <v>0.98969478660015109</v>
      </c>
    </row>
    <row r="36" spans="1:14">
      <c r="A36" s="2000"/>
      <c r="B36" s="809"/>
      <c r="C36" s="959">
        <v>3</v>
      </c>
      <c r="D36" s="2298" t="s">
        <v>5156</v>
      </c>
      <c r="E36" s="2298"/>
      <c r="F36" s="2299"/>
      <c r="G36" s="810">
        <f>BACKUP!M42</f>
        <v>9.1286000000000005</v>
      </c>
      <c r="H36" s="811" t="s">
        <v>2646</v>
      </c>
      <c r="I36" s="811" t="str">
        <f>Rekap!B42</f>
        <v>A.3.2.1.3</v>
      </c>
      <c r="J36" s="812">
        <f>Rekap!D42</f>
        <v>1365041.8</v>
      </c>
      <c r="K36" s="1931">
        <f t="shared" si="3"/>
        <v>12460920.575480001</v>
      </c>
      <c r="L36" s="1972">
        <f>Rekap!E42</f>
        <v>1357676.5358</v>
      </c>
      <c r="M36" s="1973">
        <f t="shared" si="4"/>
        <v>12393686.024703881</v>
      </c>
      <c r="N36" s="2009">
        <f t="shared" si="5"/>
        <v>0.99460436728018142</v>
      </c>
    </row>
    <row r="37" spans="1:14">
      <c r="A37" s="2000"/>
      <c r="B37" s="809" t="s">
        <v>4922</v>
      </c>
      <c r="C37" s="2298" t="s">
        <v>4952</v>
      </c>
      <c r="D37" s="2298"/>
      <c r="E37" s="2298"/>
      <c r="F37" s="2299"/>
      <c r="G37" s="810">
        <f>BACKUP!M43</f>
        <v>70.22</v>
      </c>
      <c r="H37" s="811" t="s">
        <v>2941</v>
      </c>
      <c r="I37" s="811" t="str">
        <f>Analisa!B1329</f>
        <v>A.4.1.1.36.B</v>
      </c>
      <c r="J37" s="812">
        <f>Analisa!H1350</f>
        <v>185069.27</v>
      </c>
      <c r="K37" s="1931">
        <f t="shared" si="3"/>
        <v>12995564.1394</v>
      </c>
      <c r="L37" s="1972">
        <f>Analisa!M1350</f>
        <v>152185.46</v>
      </c>
      <c r="M37" s="1973">
        <f t="shared" si="4"/>
        <v>10686463.0012</v>
      </c>
      <c r="N37" s="2009">
        <f t="shared" si="5"/>
        <v>0.82231620625077306</v>
      </c>
    </row>
    <row r="38" spans="1:14">
      <c r="A38" s="2000"/>
      <c r="B38" s="809" t="s">
        <v>4923</v>
      </c>
      <c r="C38" s="2298" t="s">
        <v>5180</v>
      </c>
      <c r="D38" s="2298"/>
      <c r="E38" s="2298"/>
      <c r="F38" s="2299"/>
      <c r="G38" s="810">
        <f>BACKUP!M44</f>
        <v>98.8</v>
      </c>
      <c r="H38" s="811" t="s">
        <v>2941</v>
      </c>
      <c r="I38" s="811" t="str">
        <f>Analisa!B1376</f>
        <v>A.4.1.1.36.A</v>
      </c>
      <c r="J38" s="812">
        <f>Analisa!H1397</f>
        <v>181847.06</v>
      </c>
      <c r="K38" s="1931">
        <f t="shared" si="3"/>
        <v>17966489.528000001</v>
      </c>
      <c r="L38" s="1972">
        <f>Analisa!M1397</f>
        <v>149126.07999999999</v>
      </c>
      <c r="M38" s="1973">
        <f t="shared" si="4"/>
        <v>14733656.703999998</v>
      </c>
      <c r="N38" s="2009">
        <f t="shared" si="5"/>
        <v>0.8200631893636332</v>
      </c>
    </row>
    <row r="39" spans="1:14">
      <c r="A39" s="2000"/>
      <c r="B39" s="809" t="s">
        <v>4924</v>
      </c>
      <c r="C39" s="2298" t="s">
        <v>5181</v>
      </c>
      <c r="D39" s="2298"/>
      <c r="E39" s="2298"/>
      <c r="F39" s="2299"/>
      <c r="G39" s="810">
        <f>BACKUP!M45</f>
        <v>70.22</v>
      </c>
      <c r="H39" s="811" t="s">
        <v>2941</v>
      </c>
      <c r="I39" s="811" t="str">
        <f>Analisa!B1353</f>
        <v>A.4.1.1.36</v>
      </c>
      <c r="J39" s="812">
        <f>Analisa!H1374</f>
        <v>181847.06</v>
      </c>
      <c r="K39" s="1931">
        <f t="shared" si="3"/>
        <v>12769300.553199999</v>
      </c>
      <c r="L39" s="1972">
        <f>Analisa!M1374</f>
        <v>149126.07999999999</v>
      </c>
      <c r="M39" s="1973">
        <f t="shared" si="4"/>
        <v>10471633.337599998</v>
      </c>
      <c r="N39" s="2009">
        <f t="shared" si="5"/>
        <v>0.82006318936363332</v>
      </c>
    </row>
    <row r="40" spans="1:14">
      <c r="A40" s="2000"/>
      <c r="B40" s="809" t="s">
        <v>5055</v>
      </c>
      <c r="C40" s="2298" t="s">
        <v>5056</v>
      </c>
      <c r="D40" s="2298"/>
      <c r="E40" s="2298"/>
      <c r="F40" s="2299"/>
      <c r="G40" s="810"/>
      <c r="H40" s="811"/>
      <c r="I40" s="811"/>
      <c r="J40" s="812"/>
      <c r="K40" s="1931"/>
      <c r="L40" s="1972"/>
      <c r="M40" s="1974"/>
      <c r="N40" s="2009"/>
    </row>
    <row r="41" spans="1:14">
      <c r="A41" s="2000"/>
      <c r="B41" s="809"/>
      <c r="C41" s="809">
        <v>1</v>
      </c>
      <c r="D41" s="2298" t="s">
        <v>5058</v>
      </c>
      <c r="E41" s="2298"/>
      <c r="F41" s="2299"/>
      <c r="G41" s="810">
        <f>BACKUP!M47</f>
        <v>12.022500000000001</v>
      </c>
      <c r="H41" s="811" t="s">
        <v>2647</v>
      </c>
      <c r="I41" s="811" t="str">
        <f>Analisa!B1269</f>
        <v>A.4.1.1.26</v>
      </c>
      <c r="J41" s="812">
        <f>Analisa!H1287</f>
        <v>690290.29</v>
      </c>
      <c r="K41" s="1931">
        <f t="shared" si="3"/>
        <v>8299015.0115250014</v>
      </c>
      <c r="L41" s="1972">
        <f>Rekap!E82</f>
        <v>671483.6</v>
      </c>
      <c r="M41" s="1973">
        <f>L41*G41</f>
        <v>8072911.5810000002</v>
      </c>
      <c r="N41" s="2009">
        <f>M41/K41</f>
        <v>0.97275538962021313</v>
      </c>
    </row>
    <row r="42" spans="1:14">
      <c r="A42" s="2000"/>
      <c r="B42" s="838"/>
      <c r="C42" s="809">
        <f>C41+1</f>
        <v>2</v>
      </c>
      <c r="D42" s="2304" t="s">
        <v>5049</v>
      </c>
      <c r="E42" s="2304"/>
      <c r="F42" s="2305"/>
      <c r="G42" s="810">
        <f>BACKUP!M54</f>
        <v>407.04309750000004</v>
      </c>
      <c r="H42" s="811" t="s">
        <v>773</v>
      </c>
      <c r="I42" s="811" t="str">
        <f>Rekap!B67</f>
        <v>A.4.1.1.17</v>
      </c>
      <c r="J42" s="812">
        <f>Rekap!D67</f>
        <v>21993.13</v>
      </c>
      <c r="K42" s="1931">
        <f t="shared" si="3"/>
        <v>8952151.758920176</v>
      </c>
      <c r="L42" s="1972">
        <f>Rekap!E67</f>
        <v>12798.21</v>
      </c>
      <c r="M42" s="1973">
        <f>L42*G42</f>
        <v>5209423.0408554748</v>
      </c>
      <c r="N42" s="2009">
        <f>M42/K42</f>
        <v>0.58191853546993988</v>
      </c>
    </row>
    <row r="43" spans="1:14">
      <c r="A43" s="2011"/>
      <c r="B43" s="866"/>
      <c r="C43" s="813">
        <f>C42+1</f>
        <v>3</v>
      </c>
      <c r="D43" s="2306" t="s">
        <v>5057</v>
      </c>
      <c r="E43" s="2306"/>
      <c r="F43" s="2307"/>
      <c r="G43" s="814">
        <f>BACKUP!M55</f>
        <v>3.8570000000000002</v>
      </c>
      <c r="H43" s="815" t="s">
        <v>2646</v>
      </c>
      <c r="I43" s="815" t="str">
        <f>Rekap!B59</f>
        <v>A.4.1.1.9</v>
      </c>
      <c r="J43" s="816">
        <f>Rekap!D59</f>
        <v>1602944.4</v>
      </c>
      <c r="K43" s="1933">
        <f t="shared" si="3"/>
        <v>6182556.5508000003</v>
      </c>
      <c r="L43" s="1938">
        <f>Rekap!E59</f>
        <v>1580956.9075500001</v>
      </c>
      <c r="M43" s="1923">
        <f>L43*G43</f>
        <v>6097750.7924203509</v>
      </c>
      <c r="N43" s="1999">
        <f>M43/K43</f>
        <v>0.98628305981792019</v>
      </c>
    </row>
    <row r="44" spans="1:14">
      <c r="A44" s="2002"/>
      <c r="B44" s="1320"/>
      <c r="C44" s="1321"/>
      <c r="D44" s="2319"/>
      <c r="E44" s="2319"/>
      <c r="F44" s="2320"/>
      <c r="G44" s="993"/>
      <c r="H44" s="994"/>
      <c r="I44" s="994"/>
      <c r="J44" s="1060" t="s">
        <v>5284</v>
      </c>
      <c r="K44" s="1932">
        <f>SUM(K15:K43)</f>
        <v>156573828.66532916</v>
      </c>
      <c r="L44" s="1060" t="s">
        <v>5284</v>
      </c>
      <c r="M44" s="1932">
        <f>SUM(M15:M43)</f>
        <v>136654968.41807479</v>
      </c>
      <c r="N44" s="2012"/>
    </row>
    <row r="45" spans="1:14" ht="25.5" customHeight="1">
      <c r="A45" s="2004" t="s">
        <v>703</v>
      </c>
      <c r="B45" s="2310" t="s">
        <v>5041</v>
      </c>
      <c r="C45" s="2311"/>
      <c r="D45" s="2311"/>
      <c r="E45" s="2311"/>
      <c r="F45" s="2311"/>
      <c r="G45" s="1946"/>
      <c r="H45" s="1947"/>
      <c r="I45" s="1947"/>
      <c r="J45" s="1952"/>
      <c r="K45" s="1952"/>
      <c r="L45" s="1944"/>
      <c r="M45" s="1945"/>
      <c r="N45" s="2013"/>
    </row>
    <row r="46" spans="1:14" ht="15.75" customHeight="1">
      <c r="A46" s="2014">
        <v>1</v>
      </c>
      <c r="B46" s="2314" t="s">
        <v>5121</v>
      </c>
      <c r="C46" s="2315"/>
      <c r="D46" s="2315"/>
      <c r="E46" s="2315"/>
      <c r="F46" s="2315"/>
      <c r="G46" s="1953"/>
      <c r="H46" s="1954"/>
      <c r="I46" s="1954"/>
      <c r="J46" s="1955"/>
      <c r="K46" s="1955"/>
      <c r="L46" s="2029"/>
      <c r="M46" s="2030"/>
      <c r="N46" s="2031"/>
    </row>
    <row r="47" spans="1:14">
      <c r="A47" s="1998"/>
      <c r="B47" s="837" t="s">
        <v>4920</v>
      </c>
      <c r="C47" s="2302" t="s">
        <v>5059</v>
      </c>
      <c r="D47" s="2302"/>
      <c r="E47" s="2302"/>
      <c r="F47" s="2303"/>
      <c r="G47" s="831"/>
      <c r="H47" s="832"/>
      <c r="I47" s="832"/>
      <c r="J47" s="833"/>
      <c r="K47" s="1930"/>
      <c r="L47" s="1938"/>
      <c r="M47" s="1922"/>
      <c r="N47" s="1999"/>
    </row>
    <row r="48" spans="1:14">
      <c r="A48" s="2000"/>
      <c r="B48" s="838"/>
      <c r="C48" s="809">
        <v>1</v>
      </c>
      <c r="D48" s="2298" t="s">
        <v>5182</v>
      </c>
      <c r="E48" s="2298"/>
      <c r="F48" s="2299"/>
      <c r="G48" s="810">
        <f>BACKUP!M59</f>
        <v>1974.46</v>
      </c>
      <c r="H48" s="811" t="s">
        <v>2647</v>
      </c>
      <c r="I48" s="811" t="s">
        <v>4937</v>
      </c>
      <c r="J48" s="812">
        <v>10500</v>
      </c>
      <c r="K48" s="1931">
        <f>J48*G48</f>
        <v>20731830</v>
      </c>
      <c r="L48" s="1972">
        <f>J48</f>
        <v>10500</v>
      </c>
      <c r="M48" s="1973">
        <f>L48*G48</f>
        <v>20731830</v>
      </c>
      <c r="N48" s="2009">
        <f>M48/K48</f>
        <v>1</v>
      </c>
    </row>
    <row r="49" spans="1:14">
      <c r="A49" s="2000"/>
      <c r="B49" s="838"/>
      <c r="C49" s="809">
        <f>C48+1</f>
        <v>2</v>
      </c>
      <c r="D49" s="2298" t="s">
        <v>5183</v>
      </c>
      <c r="E49" s="2298"/>
      <c r="F49" s="2299"/>
      <c r="G49" s="810">
        <f>BACKUP!M63</f>
        <v>567.80400000000009</v>
      </c>
      <c r="H49" s="811" t="s">
        <v>2647</v>
      </c>
      <c r="I49" s="811" t="s">
        <v>4937</v>
      </c>
      <c r="J49" s="812">
        <v>16000</v>
      </c>
      <c r="K49" s="1931">
        <f>J49*G49</f>
        <v>9084864.0000000019</v>
      </c>
      <c r="L49" s="1972">
        <f>J49</f>
        <v>16000</v>
      </c>
      <c r="M49" s="1973">
        <f>L49*G49</f>
        <v>9084864.0000000019</v>
      </c>
      <c r="N49" s="2009">
        <f>M49/K49</f>
        <v>1</v>
      </c>
    </row>
    <row r="50" spans="1:14">
      <c r="A50" s="2000"/>
      <c r="B50" s="838"/>
      <c r="C50" s="809">
        <f>C49+1</f>
        <v>3</v>
      </c>
      <c r="D50" s="2298" t="s">
        <v>5105</v>
      </c>
      <c r="E50" s="2298"/>
      <c r="F50" s="2299"/>
      <c r="G50" s="810">
        <f>BACKUP!M64</f>
        <v>1050</v>
      </c>
      <c r="H50" s="811" t="s">
        <v>2647</v>
      </c>
      <c r="I50" s="811" t="s">
        <v>4937</v>
      </c>
      <c r="J50" s="812">
        <v>7000</v>
      </c>
      <c r="K50" s="1931">
        <f>J50*G50</f>
        <v>7350000</v>
      </c>
      <c r="L50" s="1972">
        <f>J50</f>
        <v>7000</v>
      </c>
      <c r="M50" s="1973">
        <f>L50*G50</f>
        <v>7350000</v>
      </c>
      <c r="N50" s="2009">
        <f>M50/K50</f>
        <v>1</v>
      </c>
    </row>
    <row r="51" spans="1:14">
      <c r="A51" s="2000"/>
      <c r="B51" s="838" t="s">
        <v>4578</v>
      </c>
      <c r="C51" s="2300" t="s">
        <v>5062</v>
      </c>
      <c r="D51" s="2300"/>
      <c r="E51" s="2300"/>
      <c r="F51" s="2301"/>
      <c r="G51" s="810"/>
      <c r="H51" s="811"/>
      <c r="I51" s="811"/>
      <c r="J51" s="812"/>
      <c r="K51" s="1931"/>
      <c r="L51" s="1972"/>
      <c r="M51" s="1974"/>
      <c r="N51" s="2009"/>
    </row>
    <row r="52" spans="1:14">
      <c r="A52" s="2000"/>
      <c r="B52" s="838"/>
      <c r="C52" s="809">
        <v>1</v>
      </c>
      <c r="D52" s="2298" t="s">
        <v>5127</v>
      </c>
      <c r="E52" s="2298"/>
      <c r="F52" s="2299"/>
      <c r="G52" s="810">
        <f>BACKUP!M66</f>
        <v>630.7808</v>
      </c>
      <c r="H52" s="811" t="s">
        <v>2647</v>
      </c>
      <c r="I52" s="811" t="str">
        <f>Rekap!B154</f>
        <v>A.4.4.1.9</v>
      </c>
      <c r="J52" s="812">
        <f>Rekap!D154</f>
        <v>158529.12</v>
      </c>
      <c r="K52" s="1931">
        <f>J52*G52</f>
        <v>99997125.136895999</v>
      </c>
      <c r="L52" s="1972">
        <f>Rekap!E154</f>
        <v>157896.82</v>
      </c>
      <c r="M52" s="1973">
        <f t="shared" ref="M52:M57" si="6">L52*G52</f>
        <v>99598282.437056005</v>
      </c>
      <c r="N52" s="2009">
        <f t="shared" ref="N52:N57" si="7">M52/K52</f>
        <v>0.99601145833648741</v>
      </c>
    </row>
    <row r="53" spans="1:14">
      <c r="A53" s="2000"/>
      <c r="B53" s="838"/>
      <c r="C53" s="809">
        <f>C52+1</f>
        <v>2</v>
      </c>
      <c r="D53" s="2298" t="s">
        <v>5128</v>
      </c>
      <c r="E53" s="2298"/>
      <c r="F53" s="2299"/>
      <c r="G53" s="810">
        <f>BACKUP!M71</f>
        <v>1261.5616</v>
      </c>
      <c r="H53" s="811" t="s">
        <v>2647</v>
      </c>
      <c r="I53" s="811" t="str">
        <f>Rekap!B172</f>
        <v>A.4.4.2.4</v>
      </c>
      <c r="J53" s="812">
        <f>Rekap!D172</f>
        <v>109084.53</v>
      </c>
      <c r="K53" s="1931">
        <f t="shared" ref="K53:K75" si="8">J53*G53</f>
        <v>137616854.202048</v>
      </c>
      <c r="L53" s="1972">
        <f>Rekap!E172</f>
        <v>108746.59</v>
      </c>
      <c r="M53" s="1973">
        <f t="shared" si="6"/>
        <v>137190522.07494399</v>
      </c>
      <c r="N53" s="2009">
        <f t="shared" si="7"/>
        <v>0.99690203551319323</v>
      </c>
    </row>
    <row r="54" spans="1:14">
      <c r="A54" s="2000"/>
      <c r="B54" s="838"/>
      <c r="C54" s="809">
        <f t="shared" ref="C54:C57" si="9">C53+1</f>
        <v>3</v>
      </c>
      <c r="D54" s="2298" t="s">
        <v>5129</v>
      </c>
      <c r="E54" s="2298"/>
      <c r="F54" s="2299"/>
      <c r="G54" s="810">
        <f>BACKUP!M72</f>
        <v>567.80400000000009</v>
      </c>
      <c r="H54" s="811" t="s">
        <v>2647</v>
      </c>
      <c r="I54" s="811" t="str">
        <f>Rekap!B225</f>
        <v>A.4.4.3.54 B</v>
      </c>
      <c r="J54" s="812">
        <f>Rekap!D225</f>
        <v>362548.81</v>
      </c>
      <c r="K54" s="1931">
        <f t="shared" si="8"/>
        <v>205856664.51324004</v>
      </c>
      <c r="L54" s="1972">
        <f>Rekap!E225</f>
        <v>320566.48</v>
      </c>
      <c r="M54" s="1973">
        <f t="shared" si="6"/>
        <v>182018929.60992002</v>
      </c>
      <c r="N54" s="2009">
        <f t="shared" si="7"/>
        <v>0.88420226782705469</v>
      </c>
    </row>
    <row r="55" spans="1:14">
      <c r="A55" s="2000"/>
      <c r="B55" s="838"/>
      <c r="C55" s="809">
        <f t="shared" si="9"/>
        <v>4</v>
      </c>
      <c r="D55" s="2298" t="s">
        <v>5318</v>
      </c>
      <c r="E55" s="2298"/>
      <c r="F55" s="2299"/>
      <c r="G55" s="810">
        <f>BACKUP!M76</f>
        <v>24.950400000000002</v>
      </c>
      <c r="H55" s="811" t="s">
        <v>2647</v>
      </c>
      <c r="I55" s="811" t="str">
        <f>Rekap!B324</f>
        <v>A.4.6.1.23 A</v>
      </c>
      <c r="J55" s="812">
        <f>Rekap!D324</f>
        <v>253177.56</v>
      </c>
      <c r="K55" s="1931">
        <f t="shared" si="8"/>
        <v>6316881.3930240003</v>
      </c>
      <c r="L55" s="1972">
        <f>Rekap!E324</f>
        <v>210462.07999999999</v>
      </c>
      <c r="M55" s="1973">
        <f t="shared" si="6"/>
        <v>5251113.0808319999</v>
      </c>
      <c r="N55" s="2009">
        <f t="shared" si="7"/>
        <v>0.83128251966722477</v>
      </c>
    </row>
    <row r="56" spans="1:14">
      <c r="A56" s="2000"/>
      <c r="B56" s="838"/>
      <c r="C56" s="809">
        <f t="shared" si="9"/>
        <v>5</v>
      </c>
      <c r="D56" s="2298" t="s">
        <v>5319</v>
      </c>
      <c r="E56" s="2298"/>
      <c r="F56" s="2299"/>
      <c r="G56" s="810">
        <f>BACKUP!M77</f>
        <v>24.950400000000002</v>
      </c>
      <c r="H56" s="811" t="s">
        <v>2647</v>
      </c>
      <c r="I56" s="811" t="str">
        <f>Rekap!B325</f>
        <v>A.4.6.1.23 B</v>
      </c>
      <c r="J56" s="812">
        <f>Rekap!D325</f>
        <v>82722.69</v>
      </c>
      <c r="K56" s="1931">
        <f t="shared" si="8"/>
        <v>2063964.2045760001</v>
      </c>
      <c r="L56" s="1972">
        <f>Rekap!E325</f>
        <v>52346.879999999997</v>
      </c>
      <c r="M56" s="1973">
        <f t="shared" si="6"/>
        <v>1306075.5947519999</v>
      </c>
      <c r="N56" s="2009">
        <f t="shared" si="7"/>
        <v>0.63279953782934273</v>
      </c>
    </row>
    <row r="57" spans="1:14">
      <c r="A57" s="2000"/>
      <c r="B57" s="838"/>
      <c r="C57" s="809">
        <f t="shared" si="9"/>
        <v>6</v>
      </c>
      <c r="D57" s="2298" t="s">
        <v>5324</v>
      </c>
      <c r="E57" s="2298"/>
      <c r="F57" s="2299"/>
      <c r="G57" s="810">
        <f>BACKUP!M78</f>
        <v>8.3840000000000003</v>
      </c>
      <c r="H57" s="811" t="s">
        <v>2647</v>
      </c>
      <c r="I57" s="811" t="str">
        <f>Analisa!B2673</f>
        <v>A. 4.4.1.22</v>
      </c>
      <c r="J57" s="812">
        <f>Analisa!H2688</f>
        <v>457256.08</v>
      </c>
      <c r="K57" s="1931">
        <f>J57*G57</f>
        <v>3833634.9747200003</v>
      </c>
      <c r="L57" s="1972">
        <f>Rekap!E163</f>
        <v>451530.12</v>
      </c>
      <c r="M57" s="1973">
        <f t="shared" si="6"/>
        <v>3785628.5260800002</v>
      </c>
      <c r="N57" s="2009">
        <f t="shared" si="7"/>
        <v>0.98747756399433773</v>
      </c>
    </row>
    <row r="58" spans="1:14">
      <c r="A58" s="2000"/>
      <c r="B58" s="838" t="s">
        <v>4921</v>
      </c>
      <c r="C58" s="2300" t="s">
        <v>5065</v>
      </c>
      <c r="D58" s="2300"/>
      <c r="E58" s="2300"/>
      <c r="F58" s="2301"/>
      <c r="G58" s="810"/>
      <c r="H58" s="811"/>
      <c r="I58" s="811"/>
      <c r="J58" s="812"/>
      <c r="K58" s="1931"/>
      <c r="L58" s="1972"/>
      <c r="M58" s="1974"/>
      <c r="N58" s="2008"/>
    </row>
    <row r="59" spans="1:14">
      <c r="A59" s="2000"/>
      <c r="B59" s="838"/>
      <c r="C59" s="809">
        <v>1</v>
      </c>
      <c r="D59" s="2298" t="s">
        <v>5179</v>
      </c>
      <c r="E59" s="2298"/>
      <c r="F59" s="2299"/>
      <c r="G59" s="810">
        <f>BACKUP!M84</f>
        <v>139.68</v>
      </c>
      <c r="H59" s="811" t="s">
        <v>2647</v>
      </c>
      <c r="I59" s="811" t="str">
        <f>Rekap!B206</f>
        <v>A.4.4.3.36 B</v>
      </c>
      <c r="J59" s="812">
        <f>Rekap!D206</f>
        <v>303656.8</v>
      </c>
      <c r="K59" s="1931">
        <f t="shared" si="8"/>
        <v>42414781.824000001</v>
      </c>
      <c r="L59" s="1972">
        <f>Rekap!E206</f>
        <v>287424.87</v>
      </c>
      <c r="M59" s="1973">
        <f>L59*G59</f>
        <v>40147505.841600001</v>
      </c>
      <c r="N59" s="2009">
        <f>M59/K59</f>
        <v>0.94654514570396575</v>
      </c>
    </row>
    <row r="60" spans="1:14">
      <c r="A60" s="2000"/>
      <c r="B60" s="838"/>
      <c r="C60" s="809">
        <f>C59+1</f>
        <v>2</v>
      </c>
      <c r="D60" s="2298" t="s">
        <v>5294</v>
      </c>
      <c r="E60" s="2298"/>
      <c r="F60" s="2299"/>
      <c r="G60" s="1491">
        <f>BACKUP!M89</f>
        <v>1050</v>
      </c>
      <c r="H60" s="811" t="s">
        <v>2647</v>
      </c>
      <c r="I60" s="811" t="str">
        <f>Rekap!B192</f>
        <v>A.4.4.3.1</v>
      </c>
      <c r="J60" s="812">
        <f>Rekap!D192</f>
        <v>162243.54</v>
      </c>
      <c r="K60" s="1931">
        <f>J60*G60</f>
        <v>170355717</v>
      </c>
      <c r="L60" s="1972">
        <f>Rekap!E192</f>
        <v>140741.70000000001</v>
      </c>
      <c r="M60" s="1973">
        <f>L60*G60</f>
        <v>147778785</v>
      </c>
      <c r="N60" s="2009">
        <f>M60/K60</f>
        <v>0.86747182661325062</v>
      </c>
    </row>
    <row r="61" spans="1:14" ht="19.5" customHeight="1">
      <c r="A61" s="2000"/>
      <c r="B61" s="838"/>
      <c r="C61" s="834">
        <f t="shared" ref="C61:C62" si="10">C60+1</f>
        <v>3</v>
      </c>
      <c r="D61" s="2369" t="s">
        <v>5287</v>
      </c>
      <c r="E61" s="2369"/>
      <c r="F61" s="2370"/>
      <c r="G61" s="1492">
        <f>BACKUP!M90</f>
        <v>286.8</v>
      </c>
      <c r="H61" s="1493" t="s">
        <v>2647</v>
      </c>
      <c r="I61" s="1493" t="str">
        <f>Rekap!B233</f>
        <v>A.4.4.3.59</v>
      </c>
      <c r="J61" s="1494">
        <f>Rekap!D233</f>
        <v>243399.69</v>
      </c>
      <c r="K61" s="1934">
        <f t="shared" si="8"/>
        <v>69807031.092000008</v>
      </c>
      <c r="L61" s="1972">
        <f>Rekap!E233</f>
        <v>177698.18</v>
      </c>
      <c r="M61" s="1973">
        <f>L61*G61</f>
        <v>50963838.023999996</v>
      </c>
      <c r="N61" s="2009">
        <f>M61/K61</f>
        <v>0.7300674047694965</v>
      </c>
    </row>
    <row r="62" spans="1:14">
      <c r="A62" s="2000"/>
      <c r="B62" s="838"/>
      <c r="C62" s="834">
        <f t="shared" si="10"/>
        <v>4</v>
      </c>
      <c r="D62" s="823" t="s">
        <v>5103</v>
      </c>
      <c r="E62" s="823"/>
      <c r="F62" s="824"/>
      <c r="G62" s="810">
        <f>BACKUP!M97</f>
        <v>1050</v>
      </c>
      <c r="H62" s="811" t="s">
        <v>2647</v>
      </c>
      <c r="I62" s="811" t="str">
        <f>'ANL. HITUNG'!B155</f>
        <v>Anl. Hit .9</v>
      </c>
      <c r="J62" s="812">
        <f>'ANL. HITUNG'!H167</f>
        <v>2202663.8841949999</v>
      </c>
      <c r="K62" s="1931">
        <f>J62*G62</f>
        <v>2312797078.4047499</v>
      </c>
      <c r="L62" s="1972">
        <f>'ANL. HITUNG'!L167</f>
        <v>1686046.76254</v>
      </c>
      <c r="M62" s="1973">
        <f>L62*G62</f>
        <v>1770349100.6670001</v>
      </c>
      <c r="N62" s="2009">
        <f>M62/K62</f>
        <v>0.76545803226632281</v>
      </c>
    </row>
    <row r="63" spans="1:14">
      <c r="A63" s="2000"/>
      <c r="B63" s="838" t="s">
        <v>4922</v>
      </c>
      <c r="C63" s="2300" t="s">
        <v>5125</v>
      </c>
      <c r="D63" s="2300"/>
      <c r="E63" s="2300"/>
      <c r="F63" s="2301"/>
      <c r="G63" s="810"/>
      <c r="H63" s="811"/>
      <c r="I63" s="811"/>
      <c r="J63" s="812"/>
      <c r="K63" s="1931"/>
      <c r="L63" s="1972"/>
      <c r="M63" s="1974"/>
      <c r="N63" s="2008"/>
    </row>
    <row r="64" spans="1:14">
      <c r="A64" s="2000"/>
      <c r="B64" s="838"/>
      <c r="C64" s="809">
        <v>1</v>
      </c>
      <c r="D64" s="2298" t="s">
        <v>5069</v>
      </c>
      <c r="E64" s="2298"/>
      <c r="F64" s="2299"/>
      <c r="G64" s="810">
        <f>BACKUP!M106</f>
        <v>23.400000000000002</v>
      </c>
      <c r="H64" s="811" t="s">
        <v>2647</v>
      </c>
      <c r="I64" s="811" t="str">
        <f>Rekap!B363</f>
        <v>A.4.6.2.19.b</v>
      </c>
      <c r="J64" s="812">
        <f>Rekap!D363</f>
        <v>2078788.5300000003</v>
      </c>
      <c r="K64" s="1931">
        <f t="shared" si="8"/>
        <v>48643651.602000013</v>
      </c>
      <c r="L64" s="1972">
        <f>Rekap!E363</f>
        <v>1337126.6599999999</v>
      </c>
      <c r="M64" s="1973">
        <f t="shared" ref="M64:M70" si="11">L64*G64</f>
        <v>31288763.844000001</v>
      </c>
      <c r="N64" s="2009">
        <f t="shared" ref="N64:N70" si="12">M64/K64</f>
        <v>0.64322399354397042</v>
      </c>
    </row>
    <row r="65" spans="1:14">
      <c r="A65" s="2000"/>
      <c r="B65" s="838"/>
      <c r="C65" s="809">
        <f>C64+1</f>
        <v>2</v>
      </c>
      <c r="D65" s="2298" t="s">
        <v>4958</v>
      </c>
      <c r="E65" s="2298"/>
      <c r="F65" s="2299"/>
      <c r="G65" s="810">
        <f>BACKUP!M107</f>
        <v>31</v>
      </c>
      <c r="H65" s="811" t="s">
        <v>1405</v>
      </c>
      <c r="I65" s="811" t="s">
        <v>4937</v>
      </c>
      <c r="J65" s="812">
        <v>2350000</v>
      </c>
      <c r="K65" s="1931">
        <f t="shared" si="8"/>
        <v>72850000</v>
      </c>
      <c r="L65" s="1972">
        <f>J65</f>
        <v>2350000</v>
      </c>
      <c r="M65" s="1973">
        <f t="shared" si="11"/>
        <v>72850000</v>
      </c>
      <c r="N65" s="2009">
        <f t="shared" si="12"/>
        <v>1</v>
      </c>
    </row>
    <row r="66" spans="1:14">
      <c r="A66" s="2000"/>
      <c r="B66" s="838"/>
      <c r="C66" s="809">
        <f t="shared" ref="C66:C68" si="13">C65+1</f>
        <v>3</v>
      </c>
      <c r="D66" s="2298" t="s">
        <v>5152</v>
      </c>
      <c r="E66" s="2298"/>
      <c r="F66" s="2299"/>
      <c r="G66" s="810">
        <f>BACKUP!M108</f>
        <v>17.295999999999999</v>
      </c>
      <c r="H66" s="811" t="s">
        <v>2647</v>
      </c>
      <c r="I66" s="811" t="str">
        <f>Rekap!B117</f>
        <v>A.4.2.1.4</v>
      </c>
      <c r="J66" s="812">
        <f>Rekap!D117</f>
        <v>1328807.3500000001</v>
      </c>
      <c r="K66" s="1931">
        <f t="shared" si="8"/>
        <v>22983051.9256</v>
      </c>
      <c r="L66" s="1972">
        <f>Rekap!E117</f>
        <v>983027.28</v>
      </c>
      <c r="M66" s="1973">
        <f t="shared" si="11"/>
        <v>17002439.834879998</v>
      </c>
      <c r="N66" s="2009">
        <f t="shared" si="12"/>
        <v>0.7397816395281076</v>
      </c>
    </row>
    <row r="67" spans="1:14">
      <c r="A67" s="2000"/>
      <c r="B67" s="838"/>
      <c r="C67" s="809">
        <f t="shared" si="13"/>
        <v>4</v>
      </c>
      <c r="D67" s="2298" t="s">
        <v>5330</v>
      </c>
      <c r="E67" s="2298"/>
      <c r="F67" s="2299"/>
      <c r="G67" s="810">
        <f>BACKUP!M109</f>
        <v>13</v>
      </c>
      <c r="H67" s="811" t="s">
        <v>1405</v>
      </c>
      <c r="I67" s="811" t="s">
        <v>4937</v>
      </c>
      <c r="J67" s="812">
        <v>2800000</v>
      </c>
      <c r="K67" s="1931">
        <f t="shared" si="8"/>
        <v>36400000</v>
      </c>
      <c r="L67" s="1972">
        <f>J67</f>
        <v>2800000</v>
      </c>
      <c r="M67" s="1973">
        <f t="shared" si="11"/>
        <v>36400000</v>
      </c>
      <c r="N67" s="2009">
        <f t="shared" si="12"/>
        <v>1</v>
      </c>
    </row>
    <row r="68" spans="1:14">
      <c r="A68" s="2000"/>
      <c r="B68" s="838"/>
      <c r="C68" s="809">
        <f t="shared" si="13"/>
        <v>5</v>
      </c>
      <c r="D68" s="823" t="s">
        <v>5149</v>
      </c>
      <c r="E68" s="823"/>
      <c r="F68" s="824"/>
      <c r="G68" s="810">
        <f>BACKUP!M110</f>
        <v>39</v>
      </c>
      <c r="H68" s="811" t="s">
        <v>1423</v>
      </c>
      <c r="I68" s="811" t="s">
        <v>4937</v>
      </c>
      <c r="J68" s="812">
        <v>215000</v>
      </c>
      <c r="K68" s="1931">
        <f t="shared" si="8"/>
        <v>8385000</v>
      </c>
      <c r="L68" s="1972">
        <f>J68</f>
        <v>215000</v>
      </c>
      <c r="M68" s="1973">
        <f t="shared" si="11"/>
        <v>8385000</v>
      </c>
      <c r="N68" s="2009">
        <f t="shared" si="12"/>
        <v>1</v>
      </c>
    </row>
    <row r="69" spans="1:14">
      <c r="A69" s="2000"/>
      <c r="B69" s="838"/>
      <c r="C69" s="809">
        <f t="shared" ref="C69:C70" si="14">C68+1</f>
        <v>6</v>
      </c>
      <c r="D69" s="823" t="s">
        <v>5072</v>
      </c>
      <c r="E69" s="823"/>
      <c r="F69" s="824"/>
      <c r="G69" s="810">
        <f>BACKUP!M111</f>
        <v>13</v>
      </c>
      <c r="H69" s="811" t="s">
        <v>1346</v>
      </c>
      <c r="I69" s="811" t="s">
        <v>4937</v>
      </c>
      <c r="J69" s="812">
        <v>175000</v>
      </c>
      <c r="K69" s="1931">
        <f t="shared" si="8"/>
        <v>2275000</v>
      </c>
      <c r="L69" s="1972">
        <f>J69</f>
        <v>175000</v>
      </c>
      <c r="M69" s="1973">
        <f t="shared" si="11"/>
        <v>2275000</v>
      </c>
      <c r="N69" s="2009">
        <f t="shared" si="12"/>
        <v>1</v>
      </c>
    </row>
    <row r="70" spans="1:14">
      <c r="A70" s="2000"/>
      <c r="B70" s="838"/>
      <c r="C70" s="809">
        <f t="shared" si="14"/>
        <v>7</v>
      </c>
      <c r="D70" s="2298" t="s">
        <v>5320</v>
      </c>
      <c r="E70" s="2298"/>
      <c r="F70" s="2299"/>
      <c r="G70" s="810">
        <f>BACKUP!M112</f>
        <v>2</v>
      </c>
      <c r="H70" s="811" t="s">
        <v>1405</v>
      </c>
      <c r="I70" s="811" t="s">
        <v>5195</v>
      </c>
      <c r="J70" s="812">
        <v>1750000</v>
      </c>
      <c r="K70" s="1931">
        <f t="shared" si="8"/>
        <v>3500000</v>
      </c>
      <c r="L70" s="1972">
        <f>J70</f>
        <v>1750000</v>
      </c>
      <c r="M70" s="1973">
        <f t="shared" si="11"/>
        <v>3500000</v>
      </c>
      <c r="N70" s="2009">
        <f t="shared" si="12"/>
        <v>1</v>
      </c>
    </row>
    <row r="71" spans="1:14">
      <c r="A71" s="2000"/>
      <c r="B71" s="838" t="s">
        <v>4923</v>
      </c>
      <c r="C71" s="2300" t="s">
        <v>4926</v>
      </c>
      <c r="D71" s="2300"/>
      <c r="E71" s="2300"/>
      <c r="F71" s="2301"/>
      <c r="G71" s="810"/>
      <c r="H71" s="811"/>
      <c r="I71" s="811"/>
      <c r="J71" s="812"/>
      <c r="K71" s="1931"/>
      <c r="L71" s="1972"/>
      <c r="M71" s="1974"/>
      <c r="N71" s="2008"/>
    </row>
    <row r="72" spans="1:14">
      <c r="A72" s="2000"/>
      <c r="B72" s="838"/>
      <c r="C72" s="809">
        <v>1</v>
      </c>
      <c r="D72" s="2298" t="s">
        <v>5220</v>
      </c>
      <c r="E72" s="2298"/>
      <c r="F72" s="2299"/>
      <c r="G72" s="810">
        <f>BACKUP!M120</f>
        <v>1692.9928</v>
      </c>
      <c r="H72" s="811" t="s">
        <v>2647</v>
      </c>
      <c r="I72" s="811" t="str">
        <f>Rekap!B380</f>
        <v>A.4.7.1.11</v>
      </c>
      <c r="J72" s="812">
        <f>Rekap!D380</f>
        <v>42451.45</v>
      </c>
      <c r="K72" s="1931">
        <f t="shared" si="8"/>
        <v>71869999.199560001</v>
      </c>
      <c r="L72" s="1972">
        <f>Rekap!E380</f>
        <v>32998.28</v>
      </c>
      <c r="M72" s="1973">
        <f>L72*G72</f>
        <v>55865850.452383995</v>
      </c>
      <c r="N72" s="2009">
        <f>M72/K72</f>
        <v>0.77731808925254608</v>
      </c>
    </row>
    <row r="73" spans="1:14">
      <c r="A73" s="2000"/>
      <c r="B73" s="838"/>
      <c r="C73" s="809">
        <f>C72+1</f>
        <v>2</v>
      </c>
      <c r="D73" s="823" t="s">
        <v>5221</v>
      </c>
      <c r="E73" s="823"/>
      <c r="F73" s="824"/>
      <c r="G73" s="810">
        <f>BACKUP!M121</f>
        <v>30.72</v>
      </c>
      <c r="H73" s="811" t="s">
        <v>2647</v>
      </c>
      <c r="I73" s="811" t="str">
        <f>Analisa!B6136</f>
        <v>A.4.7.1.16 A</v>
      </c>
      <c r="J73" s="812">
        <f>Analisa!H6151</f>
        <v>62389.46</v>
      </c>
      <c r="K73" s="1931">
        <f t="shared" si="8"/>
        <v>1916604.2111999998</v>
      </c>
      <c r="L73" s="1972">
        <f>Rekap!E387</f>
        <v>50106.58</v>
      </c>
      <c r="M73" s="1973">
        <f>L73*G73</f>
        <v>1539274.1376</v>
      </c>
      <c r="N73" s="2009">
        <f>M73/K73</f>
        <v>0.80312572027390539</v>
      </c>
    </row>
    <row r="74" spans="1:14">
      <c r="A74" s="2011"/>
      <c r="B74" s="866" t="s">
        <v>4924</v>
      </c>
      <c r="C74" s="2300" t="s">
        <v>5280</v>
      </c>
      <c r="D74" s="2300"/>
      <c r="E74" s="2300"/>
      <c r="F74" s="2301"/>
      <c r="G74" s="814"/>
      <c r="H74" s="815"/>
      <c r="I74" s="815"/>
      <c r="J74" s="816"/>
      <c r="K74" s="1931"/>
      <c r="L74" s="1972"/>
      <c r="M74" s="1974"/>
      <c r="N74" s="2008"/>
    </row>
    <row r="75" spans="1:14">
      <c r="A75" s="2015"/>
      <c r="B75" s="1082"/>
      <c r="C75" s="1081">
        <v>1</v>
      </c>
      <c r="D75" s="2308" t="s">
        <v>5279</v>
      </c>
      <c r="E75" s="2308"/>
      <c r="F75" s="2309"/>
      <c r="G75" s="810">
        <f>BACKUP!M124</f>
        <v>21</v>
      </c>
      <c r="H75" s="811" t="s">
        <v>1423</v>
      </c>
      <c r="I75" s="811" t="s">
        <v>4937</v>
      </c>
      <c r="J75" s="812">
        <v>186000</v>
      </c>
      <c r="K75" s="1931">
        <f t="shared" si="8"/>
        <v>3906000</v>
      </c>
      <c r="L75" s="1972">
        <f>J75</f>
        <v>186000</v>
      </c>
      <c r="M75" s="1973">
        <f>L75*G75</f>
        <v>3906000</v>
      </c>
      <c r="N75" s="2009">
        <f>M75/K75</f>
        <v>1</v>
      </c>
    </row>
    <row r="76" spans="1:14">
      <c r="A76" s="2015"/>
      <c r="B76" s="1082"/>
      <c r="C76" s="1081"/>
      <c r="D76" s="2308"/>
      <c r="E76" s="2308"/>
      <c r="F76" s="2309"/>
      <c r="G76" s="810"/>
      <c r="H76" s="811"/>
      <c r="I76" s="811"/>
      <c r="J76" s="812"/>
      <c r="K76" s="1931"/>
      <c r="L76" s="1938"/>
      <c r="M76" s="1922"/>
      <c r="N76" s="2003"/>
    </row>
    <row r="77" spans="1:14">
      <c r="A77" s="2002"/>
      <c r="B77" s="1554"/>
      <c r="C77" s="1555"/>
      <c r="D77" s="2321"/>
      <c r="E77" s="2321"/>
      <c r="F77" s="2321"/>
      <c r="G77" s="987"/>
      <c r="H77" s="1555"/>
      <c r="I77" s="2344" t="s">
        <v>5132</v>
      </c>
      <c r="J77" s="2345"/>
      <c r="K77" s="1932">
        <f>SUM(K48:K75)</f>
        <v>3360955733.6836147</v>
      </c>
      <c r="L77" s="1060" t="s">
        <v>5347</v>
      </c>
      <c r="M77" s="1932">
        <f>SUM(M48:M75)</f>
        <v>2708568803.1250477</v>
      </c>
      <c r="N77" s="2016"/>
    </row>
    <row r="78" spans="1:14" s="694" customFormat="1">
      <c r="A78" s="2006">
        <v>2</v>
      </c>
      <c r="B78" s="2343" t="s">
        <v>5122</v>
      </c>
      <c r="C78" s="2324"/>
      <c r="D78" s="2324"/>
      <c r="E78" s="2324"/>
      <c r="F78" s="2324"/>
      <c r="G78" s="1949"/>
      <c r="H78" s="1950"/>
      <c r="I78" s="1950"/>
      <c r="J78" s="1951"/>
      <c r="K78" s="1951"/>
      <c r="L78" s="1956"/>
      <c r="M78" s="1957"/>
      <c r="N78" s="2017"/>
    </row>
    <row r="79" spans="1:14">
      <c r="A79" s="1998"/>
      <c r="B79" s="837" t="s">
        <v>4920</v>
      </c>
      <c r="C79" s="2302" t="s">
        <v>5075</v>
      </c>
      <c r="D79" s="2302"/>
      <c r="E79" s="2302"/>
      <c r="F79" s="2303"/>
      <c r="G79" s="831"/>
      <c r="H79" s="832"/>
      <c r="I79" s="832"/>
      <c r="J79" s="833"/>
      <c r="K79" s="1930"/>
      <c r="L79" s="1938"/>
      <c r="M79" s="1922"/>
      <c r="N79" s="2003"/>
    </row>
    <row r="80" spans="1:14">
      <c r="A80" s="2000"/>
      <c r="B80" s="838"/>
      <c r="C80" s="809">
        <v>1</v>
      </c>
      <c r="D80" s="823" t="s">
        <v>5184</v>
      </c>
      <c r="E80" s="823"/>
      <c r="F80" s="824"/>
      <c r="G80" s="810">
        <f>BACKUP!M130</f>
        <v>24</v>
      </c>
      <c r="H80" s="811" t="s">
        <v>2647</v>
      </c>
      <c r="I80" s="811" t="str">
        <f>Rekap!B154</f>
        <v>A.4.4.1.9</v>
      </c>
      <c r="J80" s="812">
        <f>Rekap!D154</f>
        <v>158529.12</v>
      </c>
      <c r="K80" s="1931">
        <f>J80*G80</f>
        <v>3804698.88</v>
      </c>
      <c r="L80" s="1972">
        <f>Rekap!E154</f>
        <v>157896.82</v>
      </c>
      <c r="M80" s="1973">
        <f>L80*G80</f>
        <v>3789523.68</v>
      </c>
      <c r="N80" s="2009">
        <f>M80/K80</f>
        <v>0.99601145833648741</v>
      </c>
    </row>
    <row r="81" spans="1:14">
      <c r="A81" s="2000"/>
      <c r="B81" s="838"/>
      <c r="C81" s="809">
        <v>2</v>
      </c>
      <c r="D81" s="823" t="s">
        <v>5198</v>
      </c>
      <c r="E81" s="823"/>
      <c r="F81" s="824"/>
      <c r="G81" s="810">
        <f>BACKUP!M133</f>
        <v>5.14</v>
      </c>
      <c r="H81" s="811" t="s">
        <v>2647</v>
      </c>
      <c r="I81" s="811" t="str">
        <f>Rekap!B206</f>
        <v>A.4.4.3.36 B</v>
      </c>
      <c r="J81" s="812">
        <f>Rekap!D206</f>
        <v>303656.8</v>
      </c>
      <c r="K81" s="1931">
        <f t="shared" ref="K81:K97" si="15">J81*G81</f>
        <v>1560795.9519999998</v>
      </c>
      <c r="L81" s="1972">
        <f>Rekap!E206</f>
        <v>287424.87</v>
      </c>
      <c r="M81" s="1973">
        <f>L81*G81</f>
        <v>1477363.8317999998</v>
      </c>
      <c r="N81" s="2009">
        <f>M81/K81</f>
        <v>0.94654514570396575</v>
      </c>
    </row>
    <row r="82" spans="1:14">
      <c r="A82" s="2000"/>
      <c r="B82" s="838"/>
      <c r="C82" s="809">
        <f t="shared" ref="C82:C83" si="16">C81+1</f>
        <v>3</v>
      </c>
      <c r="D82" s="2298" t="s">
        <v>5199</v>
      </c>
      <c r="E82" s="2298"/>
      <c r="F82" s="2299"/>
      <c r="G82" s="810">
        <f>BACKUP!M134</f>
        <v>18.3</v>
      </c>
      <c r="H82" s="811" t="s">
        <v>2647</v>
      </c>
      <c r="I82" s="811" t="str">
        <f>Rekap!B225</f>
        <v>A.4.4.3.54 B</v>
      </c>
      <c r="J82" s="812">
        <f>Rekap!D225</f>
        <v>362548.81</v>
      </c>
      <c r="K82" s="1931">
        <f t="shared" si="15"/>
        <v>6634643.2230000002</v>
      </c>
      <c r="L82" s="1972">
        <f>Rekap!E225</f>
        <v>320566.48</v>
      </c>
      <c r="M82" s="1973">
        <f>L82*G82</f>
        <v>5866366.5839999998</v>
      </c>
      <c r="N82" s="2009">
        <f>M82/K82</f>
        <v>0.88420226782705469</v>
      </c>
    </row>
    <row r="83" spans="1:14">
      <c r="A83" s="2000"/>
      <c r="B83" s="838"/>
      <c r="C83" s="809">
        <f t="shared" si="16"/>
        <v>4</v>
      </c>
      <c r="D83" s="2298" t="s">
        <v>5329</v>
      </c>
      <c r="E83" s="2298"/>
      <c r="F83" s="2299"/>
      <c r="G83" s="810">
        <f>BACKUP!M135</f>
        <v>22</v>
      </c>
      <c r="H83" s="811" t="s">
        <v>2647</v>
      </c>
      <c r="I83" s="811" t="str">
        <f>Rekap!B207</f>
        <v>A.4.4.3.36 C</v>
      </c>
      <c r="J83" s="812">
        <f>Rekap!D207</f>
        <v>388509.55</v>
      </c>
      <c r="K83" s="1931">
        <f t="shared" si="15"/>
        <v>8547210.0999999996</v>
      </c>
      <c r="L83" s="1972">
        <f>Rekap!E207</f>
        <v>355145.85</v>
      </c>
      <c r="M83" s="1973">
        <f>L83*G83</f>
        <v>7813208.6999999993</v>
      </c>
      <c r="N83" s="2009">
        <f>M83/K83</f>
        <v>0.91412386130533985</v>
      </c>
    </row>
    <row r="84" spans="1:14">
      <c r="A84" s="2000"/>
      <c r="B84" s="838" t="s">
        <v>4578</v>
      </c>
      <c r="C84" s="2300" t="s">
        <v>5333</v>
      </c>
      <c r="D84" s="2300"/>
      <c r="E84" s="2300"/>
      <c r="F84" s="2301"/>
      <c r="G84" s="810"/>
      <c r="H84" s="811"/>
      <c r="I84" s="811"/>
      <c r="J84" s="812"/>
      <c r="K84" s="1931"/>
      <c r="L84" s="1972"/>
      <c r="M84" s="1974"/>
      <c r="N84" s="2008"/>
    </row>
    <row r="85" spans="1:14">
      <c r="A85" s="2000"/>
      <c r="B85" s="838"/>
      <c r="C85" s="809">
        <v>1</v>
      </c>
      <c r="D85" s="2298" t="s">
        <v>5295</v>
      </c>
      <c r="E85" s="2298"/>
      <c r="F85" s="2299"/>
      <c r="G85" s="810">
        <f>BACKUP!M143</f>
        <v>1955.4880000000001</v>
      </c>
      <c r="H85" s="811" t="s">
        <v>773</v>
      </c>
      <c r="I85" s="811" t="str">
        <f>Analisa!B1823</f>
        <v>A.4.2.1.1</v>
      </c>
      <c r="J85" s="812">
        <f>Analisa!H1836</f>
        <v>50105.5</v>
      </c>
      <c r="K85" s="1931">
        <f>J85*G85</f>
        <v>97980703.983999997</v>
      </c>
      <c r="L85" s="1972">
        <f>Rekap!E114</f>
        <v>40921.910000000003</v>
      </c>
      <c r="M85" s="1973">
        <f>L85*G85</f>
        <v>80022303.942080006</v>
      </c>
      <c r="N85" s="2009">
        <f>M85/K85</f>
        <v>0.81671493149454655</v>
      </c>
    </row>
    <row r="86" spans="1:14">
      <c r="A86" s="2000"/>
      <c r="B86" s="838" t="s">
        <v>4921</v>
      </c>
      <c r="C86" s="2300" t="s">
        <v>5124</v>
      </c>
      <c r="D86" s="2300"/>
      <c r="E86" s="2300"/>
      <c r="F86" s="2301"/>
      <c r="G86" s="810"/>
      <c r="H86" s="811"/>
      <c r="I86" s="811"/>
      <c r="J86" s="812"/>
      <c r="K86" s="1931"/>
      <c r="L86" s="1972"/>
      <c r="M86" s="1974"/>
      <c r="N86" s="2008"/>
    </row>
    <row r="87" spans="1:14">
      <c r="A87" s="2000"/>
      <c r="B87" s="838"/>
      <c r="C87" s="809">
        <v>1</v>
      </c>
      <c r="D87" s="823" t="s">
        <v>5077</v>
      </c>
      <c r="E87" s="823"/>
      <c r="F87" s="824"/>
      <c r="G87" s="810">
        <f>BACKUP!M145</f>
        <v>1.8</v>
      </c>
      <c r="H87" s="811" t="s">
        <v>2647</v>
      </c>
      <c r="I87" s="811" t="str">
        <f>Rekap!B363</f>
        <v>A.4.6.2.19.b</v>
      </c>
      <c r="J87" s="812">
        <f>Rekap!D363</f>
        <v>2078788.5300000003</v>
      </c>
      <c r="K87" s="1931">
        <f t="shared" si="15"/>
        <v>3741819.3540000007</v>
      </c>
      <c r="L87" s="1972">
        <f>Rekap!E363</f>
        <v>1337126.6599999999</v>
      </c>
      <c r="M87" s="1973">
        <f>L87*G87</f>
        <v>2406827.9879999999</v>
      </c>
      <c r="N87" s="2009">
        <f>M87/K87</f>
        <v>0.64322399354397042</v>
      </c>
    </row>
    <row r="88" spans="1:14">
      <c r="A88" s="2000"/>
      <c r="B88" s="838"/>
      <c r="C88" s="809">
        <f>C87+1</f>
        <v>2</v>
      </c>
      <c r="D88" s="823" t="s">
        <v>5078</v>
      </c>
      <c r="E88" s="823"/>
      <c r="F88" s="824"/>
      <c r="G88" s="810">
        <f>BACKUP!M146</f>
        <v>11.6</v>
      </c>
      <c r="H88" s="811" t="s">
        <v>2647</v>
      </c>
      <c r="I88" s="811" t="str">
        <f>Rekap!B363</f>
        <v>A.4.6.2.19.b</v>
      </c>
      <c r="J88" s="812">
        <f>Rekap!D363</f>
        <v>2078788.5300000003</v>
      </c>
      <c r="K88" s="1931">
        <f t="shared" si="15"/>
        <v>24113946.948000003</v>
      </c>
      <c r="L88" s="1972">
        <f>Rekap!E363</f>
        <v>1337126.6599999999</v>
      </c>
      <c r="M88" s="1973">
        <f>L88*G88</f>
        <v>15510669.255999999</v>
      </c>
      <c r="N88" s="2009">
        <f>M88/K88</f>
        <v>0.64322399354397042</v>
      </c>
    </row>
    <row r="89" spans="1:14">
      <c r="A89" s="2000"/>
      <c r="B89" s="838"/>
      <c r="C89" s="809">
        <f t="shared" ref="C89:C91" si="17">C88+1</f>
        <v>3</v>
      </c>
      <c r="D89" s="823" t="s">
        <v>5331</v>
      </c>
      <c r="E89" s="823"/>
      <c r="F89" s="824"/>
      <c r="G89" s="810">
        <f>BACKUP!M149</f>
        <v>1</v>
      </c>
      <c r="H89" s="811" t="s">
        <v>2970</v>
      </c>
      <c r="I89" s="811" t="s">
        <v>4937</v>
      </c>
      <c r="J89" s="812">
        <v>2800000</v>
      </c>
      <c r="K89" s="1931">
        <f>J89*G89</f>
        <v>2800000</v>
      </c>
      <c r="L89" s="1972">
        <f>J89</f>
        <v>2800000</v>
      </c>
      <c r="M89" s="1973">
        <f>L89*G89</f>
        <v>2800000</v>
      </c>
      <c r="N89" s="2009">
        <f>M89/K89</f>
        <v>1</v>
      </c>
    </row>
    <row r="90" spans="1:14">
      <c r="A90" s="2000"/>
      <c r="B90" s="838"/>
      <c r="C90" s="809">
        <f t="shared" si="17"/>
        <v>4</v>
      </c>
      <c r="D90" s="823" t="s">
        <v>5150</v>
      </c>
      <c r="E90" s="823"/>
      <c r="F90" s="824"/>
      <c r="G90" s="810">
        <f>BACKUP!M150</f>
        <v>3</v>
      </c>
      <c r="H90" s="811" t="s">
        <v>1423</v>
      </c>
      <c r="I90" s="811" t="s">
        <v>4937</v>
      </c>
      <c r="J90" s="812">
        <v>215000</v>
      </c>
      <c r="K90" s="1931">
        <f t="shared" si="15"/>
        <v>645000</v>
      </c>
      <c r="L90" s="1972">
        <f>J90</f>
        <v>215000</v>
      </c>
      <c r="M90" s="1973">
        <f>L90*G90</f>
        <v>645000</v>
      </c>
      <c r="N90" s="2009">
        <f>M90/K90</f>
        <v>1</v>
      </c>
    </row>
    <row r="91" spans="1:14">
      <c r="A91" s="2000"/>
      <c r="B91" s="838"/>
      <c r="C91" s="809">
        <f t="shared" si="17"/>
        <v>5</v>
      </c>
      <c r="D91" s="823" t="s">
        <v>5072</v>
      </c>
      <c r="E91" s="823"/>
      <c r="F91" s="824"/>
      <c r="G91" s="810">
        <f>BACKUP!M151</f>
        <v>1</v>
      </c>
      <c r="H91" s="811" t="s">
        <v>1346</v>
      </c>
      <c r="I91" s="811" t="s">
        <v>4937</v>
      </c>
      <c r="J91" s="812">
        <v>175000</v>
      </c>
      <c r="K91" s="1931">
        <f t="shared" si="15"/>
        <v>175000</v>
      </c>
      <c r="L91" s="1972">
        <f>J91</f>
        <v>175000</v>
      </c>
      <c r="M91" s="1973">
        <f>L91*G91</f>
        <v>175000</v>
      </c>
      <c r="N91" s="2009">
        <f>M91/K91</f>
        <v>1</v>
      </c>
    </row>
    <row r="92" spans="1:14">
      <c r="A92" s="2000"/>
      <c r="B92" s="838" t="s">
        <v>4922</v>
      </c>
      <c r="C92" s="2300" t="s">
        <v>5173</v>
      </c>
      <c r="D92" s="2300"/>
      <c r="E92" s="2300"/>
      <c r="F92" s="2301"/>
      <c r="G92" s="810"/>
      <c r="H92" s="811"/>
      <c r="I92" s="811"/>
      <c r="J92" s="812"/>
      <c r="K92" s="1931"/>
      <c r="L92" s="1972"/>
      <c r="M92" s="1974"/>
      <c r="N92" s="2008"/>
    </row>
    <row r="93" spans="1:14">
      <c r="A93" s="2000"/>
      <c r="B93" s="838"/>
      <c r="C93" s="809">
        <v>1</v>
      </c>
      <c r="D93" s="2298" t="s">
        <v>5174</v>
      </c>
      <c r="E93" s="2298"/>
      <c r="F93" s="2299"/>
      <c r="G93" s="810">
        <f>BACKUP!M153</f>
        <v>31.52</v>
      </c>
      <c r="H93" s="811" t="s">
        <v>2647</v>
      </c>
      <c r="I93" s="811" t="s">
        <v>5151</v>
      </c>
      <c r="J93" s="812">
        <v>850000</v>
      </c>
      <c r="K93" s="1931">
        <f t="shared" si="15"/>
        <v>26792000</v>
      </c>
      <c r="L93" s="1972">
        <f>J93</f>
        <v>850000</v>
      </c>
      <c r="M93" s="1973">
        <f>L93*G93</f>
        <v>26792000</v>
      </c>
      <c r="N93" s="2009">
        <f>M93/K93</f>
        <v>1</v>
      </c>
    </row>
    <row r="94" spans="1:14">
      <c r="A94" s="2000"/>
      <c r="B94" s="838"/>
      <c r="C94" s="809">
        <f>C93+1</f>
        <v>2</v>
      </c>
      <c r="D94" s="2298" t="s">
        <v>5332</v>
      </c>
      <c r="E94" s="2298"/>
      <c r="F94" s="2299"/>
      <c r="G94" s="810">
        <f>BACKUP!M154</f>
        <v>29.195999999999998</v>
      </c>
      <c r="H94" s="811" t="s">
        <v>2647</v>
      </c>
      <c r="I94" s="811" t="s">
        <v>5151</v>
      </c>
      <c r="J94" s="812">
        <v>850000</v>
      </c>
      <c r="K94" s="1931">
        <f>J94*G94</f>
        <v>24816600</v>
      </c>
      <c r="L94" s="1972">
        <f>J94</f>
        <v>850000</v>
      </c>
      <c r="M94" s="1973">
        <f>L94*G94</f>
        <v>24816600</v>
      </c>
      <c r="N94" s="2009">
        <f>M94/K94</f>
        <v>1</v>
      </c>
    </row>
    <row r="95" spans="1:14">
      <c r="A95" s="2000"/>
      <c r="B95" s="838" t="s">
        <v>4923</v>
      </c>
      <c r="C95" s="2300" t="s">
        <v>4926</v>
      </c>
      <c r="D95" s="2300"/>
      <c r="E95" s="2300"/>
      <c r="F95" s="2301"/>
      <c r="G95" s="810"/>
      <c r="H95" s="811"/>
      <c r="I95" s="811"/>
      <c r="J95" s="812"/>
      <c r="K95" s="1931"/>
      <c r="L95" s="1972"/>
      <c r="M95" s="1974"/>
      <c r="N95" s="2008"/>
    </row>
    <row r="96" spans="1:14">
      <c r="A96" s="2000"/>
      <c r="B96" s="838"/>
      <c r="C96" s="809">
        <v>1</v>
      </c>
      <c r="D96" s="2298" t="s">
        <v>5222</v>
      </c>
      <c r="E96" s="2298"/>
      <c r="F96" s="2299"/>
      <c r="G96" s="810">
        <f>BACKUP!M157</f>
        <v>1427.5981999999999</v>
      </c>
      <c r="H96" s="811" t="s">
        <v>2647</v>
      </c>
      <c r="I96" s="811" t="str">
        <f>Rekap!B380</f>
        <v>A.4.7.1.11</v>
      </c>
      <c r="J96" s="812">
        <f>Rekap!D380</f>
        <v>42451.45</v>
      </c>
      <c r="K96" s="1931">
        <f t="shared" si="15"/>
        <v>60603613.607389994</v>
      </c>
      <c r="L96" s="1972">
        <f>Rekap!E380</f>
        <v>32998.28</v>
      </c>
      <c r="M96" s="1973">
        <f>L96*G96</f>
        <v>47108285.131095998</v>
      </c>
      <c r="N96" s="2009">
        <f>M96/K96</f>
        <v>0.7773180892525462</v>
      </c>
    </row>
    <row r="97" spans="1:14">
      <c r="A97" s="2011"/>
      <c r="B97" s="866"/>
      <c r="C97" s="813">
        <f>C96+1</f>
        <v>2</v>
      </c>
      <c r="D97" s="2298" t="s">
        <v>5229</v>
      </c>
      <c r="E97" s="2298"/>
      <c r="F97" s="2299"/>
      <c r="G97" s="814">
        <f>BACKUP!M162</f>
        <v>82.800000000000011</v>
      </c>
      <c r="H97" s="815" t="s">
        <v>2647</v>
      </c>
      <c r="I97" s="815" t="str">
        <f>Analisa!B6136</f>
        <v>A.4.7.1.16 A</v>
      </c>
      <c r="J97" s="816">
        <f>Analisa!H6151</f>
        <v>62389.46</v>
      </c>
      <c r="K97" s="1933">
        <f t="shared" si="15"/>
        <v>5165847.2880000006</v>
      </c>
      <c r="L97" s="1972">
        <f>Rekap!E387</f>
        <v>50106.58</v>
      </c>
      <c r="M97" s="1973">
        <f>L97*G97</f>
        <v>4148824.8240000005</v>
      </c>
      <c r="N97" s="2009">
        <f>M97/K97</f>
        <v>0.80312572027390527</v>
      </c>
    </row>
    <row r="98" spans="1:14">
      <c r="A98" s="2018"/>
      <c r="B98" s="1020"/>
      <c r="C98" s="1021">
        <f>C97+1</f>
        <v>3</v>
      </c>
      <c r="D98" s="2351" t="s">
        <v>5310</v>
      </c>
      <c r="E98" s="2351"/>
      <c r="F98" s="2352"/>
      <c r="G98" s="1022">
        <f>BACKUP!M165</f>
        <v>91.327999999999989</v>
      </c>
      <c r="H98" s="1023" t="s">
        <v>2647</v>
      </c>
      <c r="I98" s="1023" t="str">
        <f>Analisa!B5972</f>
        <v>A.4.7.1.9 A</v>
      </c>
      <c r="J98" s="1024">
        <f>Analisa!H5986</f>
        <v>31043.1</v>
      </c>
      <c r="K98" s="1935">
        <f>J98*G98</f>
        <v>2835104.2367999996</v>
      </c>
      <c r="L98" s="1938">
        <f>Analisa!M5986</f>
        <v>27393.35</v>
      </c>
      <c r="M98" s="1923">
        <f>L98*G98</f>
        <v>2501779.8687999994</v>
      </c>
      <c r="N98" s="1999">
        <f>M98/K98</f>
        <v>0.8824295898283353</v>
      </c>
    </row>
    <row r="99" spans="1:14">
      <c r="A99" s="2002"/>
      <c r="B99" s="1554"/>
      <c r="C99" s="1555"/>
      <c r="D99" s="2321"/>
      <c r="E99" s="2321"/>
      <c r="F99" s="2321"/>
      <c r="G99" s="987"/>
      <c r="H99" s="1555"/>
      <c r="I99" s="2344" t="s">
        <v>5146</v>
      </c>
      <c r="J99" s="2345"/>
      <c r="K99" s="1932">
        <f>SUM(K80:K98)</f>
        <v>270216983.57318997</v>
      </c>
      <c r="L99" s="1060" t="s">
        <v>5348</v>
      </c>
      <c r="M99" s="1932">
        <f>SUM(M80:M98)</f>
        <v>225873753.805776</v>
      </c>
      <c r="N99" s="2016"/>
    </row>
    <row r="100" spans="1:14">
      <c r="A100" s="2019">
        <v>3</v>
      </c>
      <c r="B100" s="2316" t="s">
        <v>5117</v>
      </c>
      <c r="C100" s="2317"/>
      <c r="D100" s="2317"/>
      <c r="E100" s="2317"/>
      <c r="F100" s="2317"/>
      <c r="G100" s="1946"/>
      <c r="H100" s="1947"/>
      <c r="I100" s="1947"/>
      <c r="J100" s="1952"/>
      <c r="K100" s="1952"/>
      <c r="L100" s="1944"/>
      <c r="M100" s="1945"/>
      <c r="N100" s="2005"/>
    </row>
    <row r="101" spans="1:14">
      <c r="A101" s="1998"/>
      <c r="B101" s="837" t="s">
        <v>4920</v>
      </c>
      <c r="C101" s="2302" t="s">
        <v>5059</v>
      </c>
      <c r="D101" s="2302"/>
      <c r="E101" s="2302"/>
      <c r="F101" s="2303"/>
      <c r="G101" s="831"/>
      <c r="H101" s="832"/>
      <c r="I101" s="832"/>
      <c r="J101" s="833"/>
      <c r="K101" s="1930"/>
      <c r="L101" s="1938"/>
      <c r="M101" s="1922"/>
      <c r="N101" s="2003"/>
    </row>
    <row r="102" spans="1:14">
      <c r="A102" s="2000"/>
      <c r="B102" s="868"/>
      <c r="C102" s="809">
        <v>1</v>
      </c>
      <c r="D102" s="2298" t="s">
        <v>5201</v>
      </c>
      <c r="E102" s="2298"/>
      <c r="F102" s="2299"/>
      <c r="G102" s="810">
        <f>BACKUP!M168</f>
        <v>2596.1669999999999</v>
      </c>
      <c r="H102" s="811" t="s">
        <v>2647</v>
      </c>
      <c r="I102" s="811" t="s">
        <v>4937</v>
      </c>
      <c r="J102" s="812">
        <v>5900</v>
      </c>
      <c r="K102" s="1931">
        <f t="shared" ref="K102:K117" si="18">J102*G102</f>
        <v>15317385.299999999</v>
      </c>
      <c r="L102" s="1972">
        <f>J102</f>
        <v>5900</v>
      </c>
      <c r="M102" s="1973">
        <f>L102*G102</f>
        <v>15317385.299999999</v>
      </c>
      <c r="N102" s="2009">
        <f>M102/K102</f>
        <v>1</v>
      </c>
    </row>
    <row r="103" spans="1:14">
      <c r="A103" s="2000"/>
      <c r="B103" s="838" t="s">
        <v>4578</v>
      </c>
      <c r="C103" s="2300" t="s">
        <v>5062</v>
      </c>
      <c r="D103" s="2300"/>
      <c r="E103" s="2300"/>
      <c r="F103" s="2301"/>
      <c r="G103" s="810"/>
      <c r="H103" s="811"/>
      <c r="I103" s="811"/>
      <c r="J103" s="812"/>
      <c r="K103" s="1931"/>
      <c r="L103" s="1972"/>
      <c r="M103" s="1974"/>
      <c r="N103" s="2008"/>
    </row>
    <row r="104" spans="1:14">
      <c r="A104" s="2000"/>
      <c r="B104" s="838"/>
      <c r="C104" s="809">
        <v>1</v>
      </c>
      <c r="D104" s="2298" t="s">
        <v>5200</v>
      </c>
      <c r="E104" s="2298"/>
      <c r="F104" s="2299"/>
      <c r="G104" s="810">
        <f>BACKUP!M170</f>
        <v>39</v>
      </c>
      <c r="H104" s="811" t="s">
        <v>2647</v>
      </c>
      <c r="I104" s="811" t="str">
        <f>Rekap!B154</f>
        <v>A.4.4.1.9</v>
      </c>
      <c r="J104" s="812">
        <f>Rekap!D154</f>
        <v>158529.12</v>
      </c>
      <c r="K104" s="1931">
        <f>J104*G104</f>
        <v>6182635.6799999997</v>
      </c>
      <c r="L104" s="1972">
        <f>Rekap!E154</f>
        <v>157896.82</v>
      </c>
      <c r="M104" s="1973">
        <f>L104*G104</f>
        <v>6157975.9800000004</v>
      </c>
      <c r="N104" s="2009">
        <f>M104/K104</f>
        <v>0.99601145833648741</v>
      </c>
    </row>
    <row r="105" spans="1:14">
      <c r="A105" s="2000"/>
      <c r="B105" s="838"/>
      <c r="C105" s="809">
        <f>C104+1</f>
        <v>2</v>
      </c>
      <c r="D105" s="2298" t="s">
        <v>5128</v>
      </c>
      <c r="E105" s="2298"/>
      <c r="F105" s="2299"/>
      <c r="G105" s="810">
        <f>BACKUP!M171</f>
        <v>78</v>
      </c>
      <c r="H105" s="811" t="s">
        <v>2647</v>
      </c>
      <c r="I105" s="811" t="str">
        <f>Rekap!B172</f>
        <v>A.4.4.2.4</v>
      </c>
      <c r="J105" s="812">
        <f>Rekap!D172</f>
        <v>109084.53</v>
      </c>
      <c r="K105" s="1931">
        <f>J105*G105</f>
        <v>8508593.3399999999</v>
      </c>
      <c r="L105" s="1972">
        <f>Rekap!E172</f>
        <v>108746.59</v>
      </c>
      <c r="M105" s="1973">
        <f>L105*G105</f>
        <v>8482234.0199999996</v>
      </c>
      <c r="N105" s="2009">
        <f>M105/K105</f>
        <v>0.99690203551319323</v>
      </c>
    </row>
    <row r="106" spans="1:14">
      <c r="A106" s="2000"/>
      <c r="B106" s="838"/>
      <c r="C106" s="809">
        <f t="shared" ref="C106:C109" si="19">C105+1</f>
        <v>3</v>
      </c>
      <c r="D106" s="2298" t="s">
        <v>5118</v>
      </c>
      <c r="E106" s="2298"/>
      <c r="F106" s="2299"/>
      <c r="G106" s="810">
        <f>BACKUP!M172</f>
        <v>208</v>
      </c>
      <c r="H106" s="811" t="s">
        <v>2941</v>
      </c>
      <c r="I106" s="811" t="s">
        <v>5151</v>
      </c>
      <c r="J106" s="812">
        <v>130000</v>
      </c>
      <c r="K106" s="1931">
        <f t="shared" si="18"/>
        <v>27040000</v>
      </c>
      <c r="L106" s="1972">
        <f>J106</f>
        <v>130000</v>
      </c>
      <c r="M106" s="1973">
        <f>L106*G106</f>
        <v>27040000</v>
      </c>
      <c r="N106" s="2009">
        <f>M106/K106</f>
        <v>1</v>
      </c>
    </row>
    <row r="107" spans="1:14">
      <c r="A107" s="2000"/>
      <c r="B107" s="838"/>
      <c r="C107" s="809">
        <f t="shared" si="19"/>
        <v>4</v>
      </c>
      <c r="D107" s="2298" t="s">
        <v>5196</v>
      </c>
      <c r="E107" s="2298"/>
      <c r="F107" s="2299"/>
      <c r="G107" s="810">
        <f>BACKUP!M173</f>
        <v>16.900000000000002</v>
      </c>
      <c r="H107" s="811" t="s">
        <v>2647</v>
      </c>
      <c r="I107" s="811" t="str">
        <f>Rekap!B232</f>
        <v>A.4.4.3.58</v>
      </c>
      <c r="J107" s="812">
        <f>Rekap!D232</f>
        <v>252945.32</v>
      </c>
      <c r="K107" s="1931">
        <f t="shared" si="18"/>
        <v>4274775.9080000008</v>
      </c>
      <c r="L107" s="1972">
        <f>Rekap!E232</f>
        <v>252287.64</v>
      </c>
      <c r="M107" s="1973">
        <f>L107*G107</f>
        <v>4263661.1160000004</v>
      </c>
      <c r="N107" s="2009">
        <f>M107/K107</f>
        <v>0.99739991236050529</v>
      </c>
    </row>
    <row r="108" spans="1:14">
      <c r="A108" s="2000"/>
      <c r="B108" s="838"/>
      <c r="C108" s="809">
        <f t="shared" si="19"/>
        <v>5</v>
      </c>
      <c r="D108" s="2298" t="s">
        <v>5204</v>
      </c>
      <c r="E108" s="2298"/>
      <c r="F108" s="2299"/>
      <c r="G108" s="810">
        <f>BACKUP!M174</f>
        <v>68.605999999999995</v>
      </c>
      <c r="H108" s="811" t="s">
        <v>2647</v>
      </c>
      <c r="I108" s="811" t="str">
        <f>Analisa!B3969</f>
        <v>Supl. ACP</v>
      </c>
      <c r="J108" s="812">
        <f>Analisa!H3986</f>
        <v>1371647.67</v>
      </c>
      <c r="K108" s="1931">
        <f t="shared" si="18"/>
        <v>94103260.04801999</v>
      </c>
      <c r="L108" s="1972">
        <f>Analisa!M3986</f>
        <v>738925.27</v>
      </c>
      <c r="M108" s="1973">
        <f>L108*G108</f>
        <v>50694707.073619999</v>
      </c>
      <c r="N108" s="2009">
        <f>M108/K108</f>
        <v>0.53871361149179076</v>
      </c>
    </row>
    <row r="109" spans="1:14">
      <c r="A109" s="2000"/>
      <c r="B109" s="838"/>
      <c r="C109" s="809">
        <f t="shared" si="19"/>
        <v>6</v>
      </c>
      <c r="D109" s="2298" t="s">
        <v>5210</v>
      </c>
      <c r="E109" s="2298"/>
      <c r="F109" s="2299"/>
      <c r="G109" s="810">
        <f>BACKUP!M183</f>
        <v>144</v>
      </c>
      <c r="H109" s="811" t="s">
        <v>2647</v>
      </c>
      <c r="I109" s="811" t="s">
        <v>5151</v>
      </c>
      <c r="J109" s="812">
        <v>855000</v>
      </c>
      <c r="K109" s="1931">
        <f t="shared" si="18"/>
        <v>123120000</v>
      </c>
      <c r="L109" s="1972">
        <f>J109</f>
        <v>855000</v>
      </c>
      <c r="M109" s="1973">
        <f>L109*G109</f>
        <v>123120000</v>
      </c>
      <c r="N109" s="2009">
        <f>M109/K109</f>
        <v>1</v>
      </c>
    </row>
    <row r="110" spans="1:14">
      <c r="A110" s="2000"/>
      <c r="B110" s="838" t="s">
        <v>4921</v>
      </c>
      <c r="C110" s="2300" t="s">
        <v>5087</v>
      </c>
      <c r="D110" s="2300"/>
      <c r="E110" s="2300"/>
      <c r="F110" s="2301"/>
      <c r="G110" s="810"/>
      <c r="H110" s="811"/>
      <c r="I110" s="811"/>
      <c r="J110" s="812"/>
      <c r="K110" s="1931"/>
      <c r="L110" s="1972"/>
      <c r="M110" s="1974"/>
      <c r="N110" s="2008"/>
    </row>
    <row r="111" spans="1:14" ht="16.5" customHeight="1">
      <c r="A111" s="2000"/>
      <c r="B111" s="809"/>
      <c r="C111" s="809">
        <v>1</v>
      </c>
      <c r="D111" s="2298" t="s">
        <v>5316</v>
      </c>
      <c r="E111" s="2298"/>
      <c r="F111" s="2299"/>
      <c r="G111" s="810">
        <f>BACKUP!M185</f>
        <v>10992.226666666667</v>
      </c>
      <c r="H111" s="811" t="s">
        <v>773</v>
      </c>
      <c r="I111" s="811" t="str">
        <f>Rekap!B114</f>
        <v>A.4.2.1.1</v>
      </c>
      <c r="J111" s="812">
        <f>Rekap!D114</f>
        <v>50105.5</v>
      </c>
      <c r="K111" s="1931">
        <f>J111*G111</f>
        <v>550771013.24666667</v>
      </c>
      <c r="L111" s="1972">
        <f>Rekap!E114</f>
        <v>40921.910000000003</v>
      </c>
      <c r="M111" s="1973">
        <f>L111*G111</f>
        <v>449822910.35293341</v>
      </c>
      <c r="N111" s="2009">
        <f>M111/K111</f>
        <v>0.81671493149454666</v>
      </c>
    </row>
    <row r="112" spans="1:14" ht="16.5" customHeight="1">
      <c r="A112" s="2000"/>
      <c r="B112" s="838"/>
      <c r="C112" s="809">
        <v>2</v>
      </c>
      <c r="D112" s="2298" t="s">
        <v>5277</v>
      </c>
      <c r="E112" s="2298"/>
      <c r="F112" s="2299"/>
      <c r="G112" s="810">
        <f>BACKUP!M187</f>
        <v>2596.1669999999999</v>
      </c>
      <c r="H112" s="811" t="s">
        <v>2647</v>
      </c>
      <c r="I112" s="811" t="str">
        <f>Rekap!B277</f>
        <v>A.4.5.2.31</v>
      </c>
      <c r="J112" s="812">
        <f>Rekap!D277</f>
        <v>346991.8</v>
      </c>
      <c r="K112" s="1931">
        <f t="shared" si="18"/>
        <v>900848660.43059993</v>
      </c>
      <c r="L112" s="1975">
        <f>Rekap!E277</f>
        <v>161609.56</v>
      </c>
      <c r="M112" s="1973">
        <f>L112*G112</f>
        <v>419565406.55651999</v>
      </c>
      <c r="N112" s="2009">
        <f>M112/K112</f>
        <v>0.46574460837403076</v>
      </c>
    </row>
    <row r="113" spans="1:14" ht="16.5" customHeight="1">
      <c r="A113" s="2000"/>
      <c r="B113" s="838"/>
      <c r="C113" s="809">
        <f t="shared" ref="C113:C114" si="20">C112+1</f>
        <v>3</v>
      </c>
      <c r="D113" s="2298" t="s">
        <v>5191</v>
      </c>
      <c r="E113" s="2298"/>
      <c r="F113" s="2299"/>
      <c r="G113" s="810">
        <f>BACKUP!M190</f>
        <v>173.5488</v>
      </c>
      <c r="H113" s="811" t="s">
        <v>2647</v>
      </c>
      <c r="I113" s="811" t="s">
        <v>5151</v>
      </c>
      <c r="J113" s="812">
        <v>420000</v>
      </c>
      <c r="K113" s="1931">
        <f t="shared" si="18"/>
        <v>72890496</v>
      </c>
      <c r="L113" s="1972">
        <f>J113</f>
        <v>420000</v>
      </c>
      <c r="M113" s="1973">
        <f>L113*G113</f>
        <v>72890496</v>
      </c>
      <c r="N113" s="2009">
        <f>M113/K113</f>
        <v>1</v>
      </c>
    </row>
    <row r="114" spans="1:14" ht="16.5" customHeight="1">
      <c r="A114" s="2000"/>
      <c r="B114" s="838"/>
      <c r="C114" s="809">
        <f t="shared" si="20"/>
        <v>4</v>
      </c>
      <c r="D114" s="2298" t="s">
        <v>5315</v>
      </c>
      <c r="E114" s="2298"/>
      <c r="F114" s="2299"/>
      <c r="G114" s="810">
        <f>BACKUP!M191</f>
        <v>148.19999999999999</v>
      </c>
      <c r="H114" s="811" t="s">
        <v>2647</v>
      </c>
      <c r="I114" s="811" t="str">
        <f>Analisa!B5124</f>
        <v>A.4.6.1.22 A</v>
      </c>
      <c r="J114" s="812">
        <f>Analisa!H5139</f>
        <v>377479.45</v>
      </c>
      <c r="K114" s="1931">
        <f t="shared" si="18"/>
        <v>55942454.489999995</v>
      </c>
      <c r="L114" s="1975">
        <f>Rekap!E320</f>
        <v>242042.82</v>
      </c>
      <c r="M114" s="1973">
        <f>L114*G114</f>
        <v>35870745.923999995</v>
      </c>
      <c r="N114" s="2009">
        <f>M114/K114</f>
        <v>0.64120793860433989</v>
      </c>
    </row>
    <row r="115" spans="1:14">
      <c r="A115" s="2000"/>
      <c r="B115" s="838" t="s">
        <v>4922</v>
      </c>
      <c r="C115" s="2341" t="s">
        <v>4926</v>
      </c>
      <c r="D115" s="2341"/>
      <c r="E115" s="2341"/>
      <c r="F115" s="2342"/>
      <c r="G115" s="810"/>
      <c r="H115" s="811"/>
      <c r="I115" s="811"/>
      <c r="J115" s="812"/>
      <c r="K115" s="1931"/>
      <c r="L115" s="1972"/>
      <c r="M115" s="1974"/>
      <c r="N115" s="2008"/>
    </row>
    <row r="116" spans="1:14">
      <c r="A116" s="2000"/>
      <c r="B116" s="838"/>
      <c r="C116" s="809">
        <v>1</v>
      </c>
      <c r="D116" s="2298" t="s">
        <v>5223</v>
      </c>
      <c r="E116" s="2298"/>
      <c r="F116" s="2299"/>
      <c r="G116" s="810">
        <f>BACKUP!M193</f>
        <v>2971.9</v>
      </c>
      <c r="H116" s="811" t="s">
        <v>2647</v>
      </c>
      <c r="I116" s="811" t="str">
        <f>Rekap!B388</f>
        <v>A.4.7.1.16 B</v>
      </c>
      <c r="J116" s="812">
        <f>Rekap!D388</f>
        <v>53306.5</v>
      </c>
      <c r="K116" s="1931">
        <f>J116*G116</f>
        <v>158421587.34999999</v>
      </c>
      <c r="L116" s="1972">
        <f>Rekap!E388</f>
        <v>42496.25</v>
      </c>
      <c r="M116" s="1973">
        <f>L116*G116</f>
        <v>126294605.375</v>
      </c>
      <c r="N116" s="2009">
        <f>M116/K116</f>
        <v>0.79720578165889722</v>
      </c>
    </row>
    <row r="117" spans="1:14">
      <c r="A117" s="2000"/>
      <c r="B117" s="838"/>
      <c r="C117" s="809">
        <f>C116+1</f>
        <v>2</v>
      </c>
      <c r="D117" s="2351" t="s">
        <v>5311</v>
      </c>
      <c r="E117" s="2351"/>
      <c r="F117" s="2352"/>
      <c r="G117" s="810">
        <f>BACKUP!M203</f>
        <v>419.61600000000004</v>
      </c>
      <c r="H117" s="811" t="s">
        <v>2647</v>
      </c>
      <c r="I117" s="811" t="str">
        <f>Rekap!B388</f>
        <v>A.4.7.1.16 B</v>
      </c>
      <c r="J117" s="812">
        <f>Rekap!D388</f>
        <v>53306.5</v>
      </c>
      <c r="K117" s="1931">
        <f t="shared" si="18"/>
        <v>22368260.304000001</v>
      </c>
      <c r="L117" s="1938">
        <f>Rekap!E388</f>
        <v>42496.25</v>
      </c>
      <c r="M117" s="1923">
        <f>L117*G117</f>
        <v>17832106.440000001</v>
      </c>
      <c r="N117" s="1999">
        <f>M117/K117</f>
        <v>0.79720578165889711</v>
      </c>
    </row>
    <row r="118" spans="1:14">
      <c r="A118" s="2002"/>
      <c r="B118" s="1554"/>
      <c r="C118" s="1555"/>
      <c r="D118" s="2321"/>
      <c r="E118" s="2321"/>
      <c r="F118" s="2321"/>
      <c r="G118" s="987"/>
      <c r="H118" s="1555"/>
      <c r="I118" s="2344" t="s">
        <v>5147</v>
      </c>
      <c r="J118" s="2345"/>
      <c r="K118" s="1932">
        <f>SUM(K102:K117)</f>
        <v>2039789122.0972865</v>
      </c>
      <c r="L118" s="1060" t="s">
        <v>5147</v>
      </c>
      <c r="M118" s="1932">
        <f>SUM(M102:M117)</f>
        <v>1357352234.1380734</v>
      </c>
      <c r="N118" s="2016"/>
    </row>
    <row r="119" spans="1:14">
      <c r="A119" s="2002"/>
      <c r="B119" s="1554"/>
      <c r="C119" s="1555"/>
      <c r="D119" s="2321"/>
      <c r="E119" s="2321"/>
      <c r="F119" s="2321"/>
      <c r="G119" s="987"/>
      <c r="H119" s="1555"/>
      <c r="I119" s="2319" t="s">
        <v>5148</v>
      </c>
      <c r="J119" s="2320"/>
      <c r="K119" s="1932">
        <f>SUM(K118,K99,K77)</f>
        <v>5670961839.3540916</v>
      </c>
      <c r="L119" s="1939"/>
      <c r="M119" s="1940"/>
      <c r="N119" s="2016"/>
    </row>
    <row r="120" spans="1:14" ht="19.5" customHeight="1">
      <c r="A120" s="2004" t="s">
        <v>706</v>
      </c>
      <c r="B120" s="2310" t="s">
        <v>5079</v>
      </c>
      <c r="C120" s="2311"/>
      <c r="D120" s="2311"/>
      <c r="E120" s="2311"/>
      <c r="F120" s="2311"/>
      <c r="G120" s="1949"/>
      <c r="H120" s="1950"/>
      <c r="I120" s="1950"/>
      <c r="J120" s="1951"/>
      <c r="K120" s="1951"/>
      <c r="L120" s="1944"/>
      <c r="M120" s="1945"/>
      <c r="N120" s="2005"/>
    </row>
    <row r="121" spans="1:14">
      <c r="A121" s="2020"/>
      <c r="B121" s="1958" t="s">
        <v>4920</v>
      </c>
      <c r="C121" s="2317" t="s">
        <v>5080</v>
      </c>
      <c r="D121" s="2317"/>
      <c r="E121" s="2317"/>
      <c r="F121" s="2317"/>
      <c r="G121" s="1959"/>
      <c r="H121" s="1960"/>
      <c r="I121" s="1960"/>
      <c r="J121" s="1961"/>
      <c r="K121" s="1952"/>
      <c r="L121" s="1944"/>
      <c r="M121" s="1945"/>
      <c r="N121" s="2005"/>
    </row>
    <row r="122" spans="1:14">
      <c r="A122" s="1998"/>
      <c r="B122" s="837"/>
      <c r="C122" s="830">
        <v>1</v>
      </c>
      <c r="D122" s="2322" t="s">
        <v>5081</v>
      </c>
      <c r="E122" s="2322"/>
      <c r="F122" s="2348"/>
      <c r="G122" s="831">
        <f>BACKUP!M211</f>
        <v>120</v>
      </c>
      <c r="H122" s="832" t="s">
        <v>2941</v>
      </c>
      <c r="I122" s="832" t="str">
        <f>Rekap!B424</f>
        <v>A.5.1.1.26</v>
      </c>
      <c r="J122" s="833">
        <f>Rekap!D424</f>
        <v>35253.410000000003</v>
      </c>
      <c r="K122" s="1930">
        <f>J122*G122</f>
        <v>4230409.2</v>
      </c>
      <c r="L122" s="1938">
        <f>Rekap!E424</f>
        <v>34198.129999999997</v>
      </c>
      <c r="M122" s="1923">
        <f t="shared" ref="M122:M136" si="21">L122*G122</f>
        <v>4103775.5999999996</v>
      </c>
      <c r="N122" s="1999">
        <f t="shared" ref="N122:N136" si="22">M122/K122</f>
        <v>0.97006587447852555</v>
      </c>
    </row>
    <row r="123" spans="1:14">
      <c r="A123" s="1998"/>
      <c r="B123" s="837"/>
      <c r="C123" s="830">
        <f>C122+1</f>
        <v>2</v>
      </c>
      <c r="D123" s="2298" t="s">
        <v>5130</v>
      </c>
      <c r="E123" s="2298"/>
      <c r="F123" s="2299"/>
      <c r="G123" s="831">
        <f>BACKUP!M212</f>
        <v>30</v>
      </c>
      <c r="H123" s="811" t="s">
        <v>2941</v>
      </c>
      <c r="I123" s="832" t="str">
        <f>Rekap!B426</f>
        <v>A.5.1.1.28</v>
      </c>
      <c r="J123" s="833">
        <f>Rekap!D426</f>
        <v>55873.03</v>
      </c>
      <c r="K123" s="1930">
        <f t="shared" ref="K123:K136" si="23">J123*G123</f>
        <v>1676190.9</v>
      </c>
      <c r="L123" s="1972">
        <f>Rekap!E426</f>
        <v>54063.98</v>
      </c>
      <c r="M123" s="1973">
        <f t="shared" si="21"/>
        <v>1621919.4000000001</v>
      </c>
      <c r="N123" s="2009">
        <f t="shared" si="22"/>
        <v>0.96762212466372433</v>
      </c>
    </row>
    <row r="124" spans="1:14">
      <c r="A124" s="1998"/>
      <c r="B124" s="837"/>
      <c r="C124" s="830">
        <f t="shared" ref="C124:C136" si="24">C123+1</f>
        <v>3</v>
      </c>
      <c r="D124" s="2298" t="s">
        <v>5083</v>
      </c>
      <c r="E124" s="2298"/>
      <c r="F124" s="2299"/>
      <c r="G124" s="831">
        <f>BACKUP!M213</f>
        <v>18</v>
      </c>
      <c r="H124" s="811" t="s">
        <v>2941</v>
      </c>
      <c r="I124" s="832" t="str">
        <f>Rekap!B429</f>
        <v>A.5.1.1.31</v>
      </c>
      <c r="J124" s="833">
        <f>Rekap!D429</f>
        <v>97647.08</v>
      </c>
      <c r="K124" s="1930">
        <f t="shared" si="23"/>
        <v>1757647.44</v>
      </c>
      <c r="L124" s="1972">
        <f>Rekap!E429</f>
        <v>93878.23</v>
      </c>
      <c r="M124" s="1973">
        <f t="shared" si="21"/>
        <v>1689808.14</v>
      </c>
      <c r="N124" s="2009">
        <f t="shared" si="22"/>
        <v>0.96140335174385139</v>
      </c>
    </row>
    <row r="125" spans="1:14">
      <c r="A125" s="1998"/>
      <c r="B125" s="837"/>
      <c r="C125" s="830">
        <f t="shared" si="24"/>
        <v>4</v>
      </c>
      <c r="D125" s="823" t="s">
        <v>5131</v>
      </c>
      <c r="E125" s="823"/>
      <c r="F125" s="824"/>
      <c r="G125" s="831">
        <f>BACKUP!M214</f>
        <v>18</v>
      </c>
      <c r="H125" s="811" t="s">
        <v>2941</v>
      </c>
      <c r="I125" s="832" t="str">
        <f>Rekap!B430</f>
        <v>A.5.1.1.32</v>
      </c>
      <c r="J125" s="833">
        <f>Rekap!D430</f>
        <v>117599.81</v>
      </c>
      <c r="K125" s="1930">
        <f t="shared" si="23"/>
        <v>2116796.58</v>
      </c>
      <c r="L125" s="1972">
        <f>Rekap!E430</f>
        <v>112323.42</v>
      </c>
      <c r="M125" s="1973">
        <f t="shared" si="21"/>
        <v>2021821.56</v>
      </c>
      <c r="N125" s="2009">
        <f t="shared" si="22"/>
        <v>0.95513266560549714</v>
      </c>
    </row>
    <row r="126" spans="1:14">
      <c r="A126" s="1998"/>
      <c r="B126" s="837"/>
      <c r="C126" s="830">
        <f t="shared" si="24"/>
        <v>5</v>
      </c>
      <c r="D126" s="823" t="s">
        <v>5278</v>
      </c>
      <c r="E126" s="823"/>
      <c r="F126" s="824"/>
      <c r="G126" s="831">
        <f>BACKUP!M215</f>
        <v>18</v>
      </c>
      <c r="H126" s="811" t="s">
        <v>2941</v>
      </c>
      <c r="I126" s="832" t="str">
        <f>Rekap!B456</f>
        <v>A.8.4.1.4 L</v>
      </c>
      <c r="J126" s="833">
        <f>Rekap!D456</f>
        <v>290983.86</v>
      </c>
      <c r="K126" s="1930">
        <f t="shared" si="23"/>
        <v>5237709.4799999995</v>
      </c>
      <c r="L126" s="1972">
        <f>Rekap!E456</f>
        <v>253079.06</v>
      </c>
      <c r="M126" s="1973">
        <f t="shared" si="21"/>
        <v>4555423.08</v>
      </c>
      <c r="N126" s="2009">
        <f t="shared" si="22"/>
        <v>0.86973573035975271</v>
      </c>
    </row>
    <row r="127" spans="1:14">
      <c r="A127" s="1998"/>
      <c r="B127" s="837"/>
      <c r="C127" s="830">
        <f t="shared" si="24"/>
        <v>6</v>
      </c>
      <c r="D127" s="823" t="s">
        <v>5260</v>
      </c>
      <c r="E127" s="823"/>
      <c r="F127" s="824"/>
      <c r="G127" s="831">
        <f>BACKUP!M216</f>
        <v>1</v>
      </c>
      <c r="H127" s="811" t="s">
        <v>2970</v>
      </c>
      <c r="I127" s="832" t="str">
        <f>'ANL. HITUNG'!B131</f>
        <v>Anl. Hit .7</v>
      </c>
      <c r="J127" s="833">
        <f>'ANL. HITUNG'!H140</f>
        <v>8025505</v>
      </c>
      <c r="K127" s="1930">
        <f t="shared" si="23"/>
        <v>8025505</v>
      </c>
      <c r="L127" s="1972">
        <f>J127</f>
        <v>8025505</v>
      </c>
      <c r="M127" s="1973">
        <f t="shared" si="21"/>
        <v>8025505</v>
      </c>
      <c r="N127" s="2009">
        <f t="shared" si="22"/>
        <v>1</v>
      </c>
    </row>
    <row r="128" spans="1:14">
      <c r="A128" s="1998"/>
      <c r="B128" s="837"/>
      <c r="C128" s="830">
        <f t="shared" si="24"/>
        <v>7</v>
      </c>
      <c r="D128" s="823" t="s">
        <v>5257</v>
      </c>
      <c r="E128" s="823"/>
      <c r="F128" s="824"/>
      <c r="G128" s="831">
        <f>BACKUP!M217</f>
        <v>1</v>
      </c>
      <c r="H128" s="811" t="s">
        <v>2970</v>
      </c>
      <c r="I128" s="832" t="s">
        <v>4937</v>
      </c>
      <c r="J128" s="833">
        <v>8500000</v>
      </c>
      <c r="K128" s="1930">
        <f t="shared" si="23"/>
        <v>8500000</v>
      </c>
      <c r="L128" s="1972">
        <f>J128</f>
        <v>8500000</v>
      </c>
      <c r="M128" s="1973">
        <f t="shared" si="21"/>
        <v>8500000</v>
      </c>
      <c r="N128" s="2009">
        <f t="shared" si="22"/>
        <v>1</v>
      </c>
    </row>
    <row r="129" spans="1:14">
      <c r="A129" s="1998"/>
      <c r="B129" s="837"/>
      <c r="C129" s="830">
        <f t="shared" si="24"/>
        <v>8</v>
      </c>
      <c r="D129" s="823" t="s">
        <v>5244</v>
      </c>
      <c r="E129" s="823"/>
      <c r="F129" s="824"/>
      <c r="G129" s="831">
        <f>BACKUP!M218</f>
        <v>14</v>
      </c>
      <c r="H129" s="811" t="s">
        <v>2970</v>
      </c>
      <c r="I129" s="832" t="str">
        <f>Rekap!B401</f>
        <v>A.5.1.1.2 B</v>
      </c>
      <c r="J129" s="833">
        <f>Rekap!D401</f>
        <v>1079889.82</v>
      </c>
      <c r="K129" s="1930">
        <f t="shared" si="23"/>
        <v>15118457.48</v>
      </c>
      <c r="L129" s="1972">
        <f>Rekap!E401</f>
        <v>999849.76</v>
      </c>
      <c r="M129" s="1973">
        <f t="shared" si="21"/>
        <v>13997896.640000001</v>
      </c>
      <c r="N129" s="2009">
        <f t="shared" si="22"/>
        <v>0.92588127185049307</v>
      </c>
    </row>
    <row r="130" spans="1:14">
      <c r="A130" s="1998"/>
      <c r="B130" s="837"/>
      <c r="C130" s="830">
        <f t="shared" si="24"/>
        <v>9</v>
      </c>
      <c r="D130" s="823" t="s">
        <v>5253</v>
      </c>
      <c r="E130" s="823"/>
      <c r="F130" s="824"/>
      <c r="G130" s="831">
        <f>BACKUP!M219</f>
        <v>9</v>
      </c>
      <c r="H130" s="811" t="s">
        <v>2970</v>
      </c>
      <c r="I130" s="832" t="str">
        <f>Rekap!B398</f>
        <v>A.5.1.1.1 A</v>
      </c>
      <c r="J130" s="833">
        <f>Rekap!D398</f>
        <v>4617894</v>
      </c>
      <c r="K130" s="1930">
        <f t="shared" si="23"/>
        <v>41561046</v>
      </c>
      <c r="L130" s="1972">
        <f>Rekap!E398</f>
        <v>2942942.92</v>
      </c>
      <c r="M130" s="1973">
        <f t="shared" si="21"/>
        <v>26486486.280000001</v>
      </c>
      <c r="N130" s="2009">
        <f t="shared" si="22"/>
        <v>0.63729113747522137</v>
      </c>
    </row>
    <row r="131" spans="1:14">
      <c r="A131" s="1998"/>
      <c r="B131" s="837"/>
      <c r="C131" s="830">
        <f t="shared" si="24"/>
        <v>10</v>
      </c>
      <c r="D131" s="823" t="s">
        <v>5245</v>
      </c>
      <c r="E131" s="823"/>
      <c r="F131" s="824"/>
      <c r="G131" s="831">
        <f>BACKUP!M220</f>
        <v>11</v>
      </c>
      <c r="H131" s="811" t="s">
        <v>2970</v>
      </c>
      <c r="I131" s="832" t="str">
        <f>Rekap!B402</f>
        <v>A.5.1.1.4</v>
      </c>
      <c r="J131" s="833">
        <f>Rekap!D402</f>
        <v>4394132.32</v>
      </c>
      <c r="K131" s="1930">
        <f t="shared" si="23"/>
        <v>48335455.520000003</v>
      </c>
      <c r="L131" s="1972">
        <f>Rekap!E402</f>
        <v>3114655.95</v>
      </c>
      <c r="M131" s="1973">
        <f t="shared" si="21"/>
        <v>34261215.450000003</v>
      </c>
      <c r="N131" s="2009">
        <f t="shared" si="22"/>
        <v>0.7088216109978227</v>
      </c>
    </row>
    <row r="132" spans="1:14">
      <c r="A132" s="1998"/>
      <c r="B132" s="837"/>
      <c r="C132" s="830">
        <f t="shared" si="24"/>
        <v>11</v>
      </c>
      <c r="D132" s="823" t="s">
        <v>5251</v>
      </c>
      <c r="E132" s="823"/>
      <c r="F132" s="824"/>
      <c r="G132" s="831">
        <f>BACKUP!M221</f>
        <v>13</v>
      </c>
      <c r="H132" s="811" t="s">
        <v>2970</v>
      </c>
      <c r="I132" s="832" t="str">
        <f>Rekap!B404</f>
        <v>A.5.1.1.5 A</v>
      </c>
      <c r="J132" s="833">
        <f>Rekap!D404</f>
        <v>2034148.32</v>
      </c>
      <c r="K132" s="1930">
        <f t="shared" si="23"/>
        <v>26443928.16</v>
      </c>
      <c r="L132" s="1972">
        <f>Rekap!E404</f>
        <v>959116.88</v>
      </c>
      <c r="M132" s="1973">
        <f t="shared" si="21"/>
        <v>12468519.439999999</v>
      </c>
      <c r="N132" s="2009">
        <f t="shared" si="22"/>
        <v>0.47150783970364557</v>
      </c>
    </row>
    <row r="133" spans="1:14">
      <c r="A133" s="1998"/>
      <c r="B133" s="837"/>
      <c r="C133" s="830">
        <f t="shared" si="24"/>
        <v>12</v>
      </c>
      <c r="D133" s="2298" t="s">
        <v>5113</v>
      </c>
      <c r="E133" s="2298"/>
      <c r="F133" s="2299"/>
      <c r="G133" s="831">
        <f>BACKUP!M222</f>
        <v>39</v>
      </c>
      <c r="H133" s="811" t="s">
        <v>1423</v>
      </c>
      <c r="I133" s="832" t="str">
        <f>Rekap!B412</f>
        <v>A.5.1.1.14</v>
      </c>
      <c r="J133" s="833">
        <f>Rekap!D412</f>
        <v>62877.4</v>
      </c>
      <c r="K133" s="1930">
        <f t="shared" si="23"/>
        <v>2452218.6</v>
      </c>
      <c r="L133" s="1972">
        <f>Rekap!E412</f>
        <v>59880.41</v>
      </c>
      <c r="M133" s="1973">
        <f t="shared" si="21"/>
        <v>2335335.9900000002</v>
      </c>
      <c r="N133" s="2009">
        <f t="shared" si="22"/>
        <v>0.9523359744518699</v>
      </c>
    </row>
    <row r="134" spans="1:14">
      <c r="A134" s="1998"/>
      <c r="B134" s="837"/>
      <c r="C134" s="830">
        <f t="shared" si="24"/>
        <v>13</v>
      </c>
      <c r="D134" s="2298" t="s">
        <v>5256</v>
      </c>
      <c r="E134" s="2298"/>
      <c r="F134" s="2299"/>
      <c r="G134" s="831">
        <f>BACKUP!M223</f>
        <v>5</v>
      </c>
      <c r="H134" s="811" t="s">
        <v>2970</v>
      </c>
      <c r="I134" s="832" t="str">
        <f>Rekap!B415</f>
        <v>A.5.1.1.18 B</v>
      </c>
      <c r="J134" s="833">
        <f>Rekap!D415</f>
        <v>2244951.92</v>
      </c>
      <c r="K134" s="1930">
        <f t="shared" si="23"/>
        <v>11224759.6</v>
      </c>
      <c r="L134" s="1972">
        <f>Rekap!E415</f>
        <v>1214828.49</v>
      </c>
      <c r="M134" s="1973">
        <f t="shared" si="21"/>
        <v>6074142.4500000002</v>
      </c>
      <c r="N134" s="2009">
        <f t="shared" si="22"/>
        <v>0.54113786543811593</v>
      </c>
    </row>
    <row r="135" spans="1:14">
      <c r="A135" s="1998"/>
      <c r="B135" s="837"/>
      <c r="C135" s="830">
        <f t="shared" si="24"/>
        <v>14</v>
      </c>
      <c r="D135" s="823" t="s">
        <v>5115</v>
      </c>
      <c r="E135" s="823"/>
      <c r="F135" s="824"/>
      <c r="G135" s="831">
        <f>BACKUP!M224</f>
        <v>24</v>
      </c>
      <c r="H135" s="811" t="s">
        <v>1423</v>
      </c>
      <c r="I135" s="832" t="str">
        <f>Rekap!B413</f>
        <v>A.5.1.1.18</v>
      </c>
      <c r="J135" s="833">
        <f>Rekap!D413</f>
        <v>117445.02</v>
      </c>
      <c r="K135" s="1930">
        <f t="shared" si="23"/>
        <v>2818680.48</v>
      </c>
      <c r="L135" s="1972">
        <f>Rekap!E413</f>
        <v>107525.06</v>
      </c>
      <c r="M135" s="1973">
        <f t="shared" si="21"/>
        <v>2580601.44</v>
      </c>
      <c r="N135" s="2009">
        <f t="shared" si="22"/>
        <v>0.91553528621307223</v>
      </c>
    </row>
    <row r="136" spans="1:14">
      <c r="A136" s="1998"/>
      <c r="B136" s="837"/>
      <c r="C136" s="830">
        <f t="shared" si="24"/>
        <v>15</v>
      </c>
      <c r="D136" s="828" t="s">
        <v>5126</v>
      </c>
      <c r="E136" s="828"/>
      <c r="F136" s="829"/>
      <c r="G136" s="831">
        <f>BACKUP!M225</f>
        <v>2</v>
      </c>
      <c r="H136" s="815" t="s">
        <v>2970</v>
      </c>
      <c r="I136" s="832" t="str">
        <f>'ANL. HITUNG'!B142</f>
        <v>Anl. Hit .8</v>
      </c>
      <c r="J136" s="833">
        <f>'ANL. HITUNG'!H153</f>
        <v>4274550</v>
      </c>
      <c r="K136" s="1930">
        <f t="shared" si="23"/>
        <v>8549100</v>
      </c>
      <c r="L136" s="1938">
        <f>J136</f>
        <v>4274550</v>
      </c>
      <c r="M136" s="1923">
        <f t="shared" si="21"/>
        <v>8549100</v>
      </c>
      <c r="N136" s="1999">
        <f t="shared" si="22"/>
        <v>1</v>
      </c>
    </row>
    <row r="137" spans="1:14">
      <c r="A137" s="2020"/>
      <c r="B137" s="1958" t="s">
        <v>4578</v>
      </c>
      <c r="C137" s="2317" t="s">
        <v>5090</v>
      </c>
      <c r="D137" s="2317"/>
      <c r="E137" s="2317"/>
      <c r="F137" s="2346"/>
      <c r="G137" s="1959"/>
      <c r="H137" s="1960"/>
      <c r="I137" s="1960"/>
      <c r="J137" s="1961"/>
      <c r="K137" s="1952"/>
      <c r="L137" s="1944"/>
      <c r="M137" s="1945"/>
      <c r="N137" s="2005"/>
    </row>
    <row r="138" spans="1:14">
      <c r="A138" s="1998"/>
      <c r="B138" s="837"/>
      <c r="C138" s="830">
        <v>1</v>
      </c>
      <c r="D138" s="2322" t="s">
        <v>5100</v>
      </c>
      <c r="E138" s="2322"/>
      <c r="F138" s="2348"/>
      <c r="G138" s="831">
        <f>BACKUP!M228</f>
        <v>1</v>
      </c>
      <c r="H138" s="832" t="s">
        <v>1405</v>
      </c>
      <c r="I138" s="832" t="s">
        <v>5151</v>
      </c>
      <c r="J138" s="833">
        <v>3850000</v>
      </c>
      <c r="K138" s="1930">
        <f>J138*G138</f>
        <v>3850000</v>
      </c>
      <c r="L138" s="1938">
        <f>J138</f>
        <v>3850000</v>
      </c>
      <c r="M138" s="1923">
        <f t="shared" ref="M138:M149" si="25">L138*G138</f>
        <v>3850000</v>
      </c>
      <c r="N138" s="1999">
        <f t="shared" ref="N138:N149" si="26">M138/K138</f>
        <v>1</v>
      </c>
    </row>
    <row r="139" spans="1:14">
      <c r="A139" s="2000"/>
      <c r="B139" s="838"/>
      <c r="C139" s="809">
        <f>C138+1</f>
        <v>2</v>
      </c>
      <c r="D139" s="2298" t="s">
        <v>5273</v>
      </c>
      <c r="E139" s="2298"/>
      <c r="F139" s="2299"/>
      <c r="G139" s="810">
        <f>BACKUP!M229</f>
        <v>25</v>
      </c>
      <c r="H139" s="811" t="s">
        <v>1423</v>
      </c>
      <c r="I139" s="811" t="str">
        <f>Analisa!B8935</f>
        <v>PK Supl. 5</v>
      </c>
      <c r="J139" s="812">
        <f>Analisa!H8949</f>
        <v>7286773.75</v>
      </c>
      <c r="K139" s="1931">
        <f t="shared" ref="K139" si="27">J139*G139</f>
        <v>182169343.75</v>
      </c>
      <c r="L139" s="1972">
        <f>Rekap!E556</f>
        <v>3228711.25</v>
      </c>
      <c r="M139" s="1973">
        <f t="shared" si="25"/>
        <v>80717781.25</v>
      </c>
      <c r="N139" s="2009">
        <f t="shared" si="26"/>
        <v>0.44309201311485757</v>
      </c>
    </row>
    <row r="140" spans="1:14">
      <c r="A140" s="2000"/>
      <c r="B140" s="838"/>
      <c r="C140" s="809">
        <v>3</v>
      </c>
      <c r="D140" s="823" t="s">
        <v>5091</v>
      </c>
      <c r="E140" s="823"/>
      <c r="F140" s="824"/>
      <c r="G140" s="810">
        <f>BACKUP!M230</f>
        <v>68</v>
      </c>
      <c r="H140" s="811" t="s">
        <v>1423</v>
      </c>
      <c r="I140" s="811" t="s">
        <v>5151</v>
      </c>
      <c r="J140" s="812">
        <v>240000</v>
      </c>
      <c r="K140" s="1931">
        <f t="shared" ref="K140:K149" si="28">J140*G140</f>
        <v>16320000</v>
      </c>
      <c r="L140" s="1972">
        <f>J140</f>
        <v>240000</v>
      </c>
      <c r="M140" s="1973">
        <f t="shared" si="25"/>
        <v>16320000</v>
      </c>
      <c r="N140" s="2009">
        <f t="shared" si="26"/>
        <v>1</v>
      </c>
    </row>
    <row r="141" spans="1:14">
      <c r="A141" s="2000"/>
      <c r="B141" s="838"/>
      <c r="C141" s="809">
        <f t="shared" ref="C141:C142" si="29">C140+1</f>
        <v>4</v>
      </c>
      <c r="D141" s="823" t="s">
        <v>5092</v>
      </c>
      <c r="E141" s="823"/>
      <c r="F141" s="824"/>
      <c r="G141" s="810">
        <f>BACKUP!M231</f>
        <v>31</v>
      </c>
      <c r="H141" s="811" t="s">
        <v>1423</v>
      </c>
      <c r="I141" s="811" t="s">
        <v>5151</v>
      </c>
      <c r="J141" s="812">
        <v>165000</v>
      </c>
      <c r="K141" s="1931">
        <f t="shared" si="28"/>
        <v>5115000</v>
      </c>
      <c r="L141" s="1972">
        <f>J141</f>
        <v>165000</v>
      </c>
      <c r="M141" s="1973">
        <f t="shared" si="25"/>
        <v>5115000</v>
      </c>
      <c r="N141" s="2009">
        <f t="shared" si="26"/>
        <v>1</v>
      </c>
    </row>
    <row r="142" spans="1:14">
      <c r="A142" s="2000"/>
      <c r="B142" s="838"/>
      <c r="C142" s="809">
        <f t="shared" si="29"/>
        <v>5</v>
      </c>
      <c r="D142" s="823" t="s">
        <v>5095</v>
      </c>
      <c r="E142" s="823"/>
      <c r="F142" s="824"/>
      <c r="G142" s="810">
        <f>BACKUP!M232</f>
        <v>10</v>
      </c>
      <c r="H142" s="811" t="s">
        <v>1423</v>
      </c>
      <c r="I142" s="811" t="str">
        <f>Rekap!B558</f>
        <v>PK Supl. 7</v>
      </c>
      <c r="J142" s="812">
        <f>Rekap!D558</f>
        <v>60529.1</v>
      </c>
      <c r="K142" s="1931">
        <f t="shared" si="28"/>
        <v>605291</v>
      </c>
      <c r="L142" s="1972">
        <f>Rekap!E558</f>
        <v>50589.120000000003</v>
      </c>
      <c r="M142" s="1973">
        <f t="shared" si="25"/>
        <v>505891.2</v>
      </c>
      <c r="N142" s="2009">
        <f t="shared" si="26"/>
        <v>0.83578179751557513</v>
      </c>
    </row>
    <row r="143" spans="1:14">
      <c r="A143" s="2000"/>
      <c r="B143" s="838"/>
      <c r="C143" s="809">
        <f t="shared" ref="C143:C145" si="30">C142+1</f>
        <v>6</v>
      </c>
      <c r="D143" s="823" t="s">
        <v>5094</v>
      </c>
      <c r="E143" s="823"/>
      <c r="F143" s="824"/>
      <c r="G143" s="810">
        <f>BACKUP!M233</f>
        <v>24</v>
      </c>
      <c r="H143" s="811" t="s">
        <v>1423</v>
      </c>
      <c r="I143" s="811" t="str">
        <f>Rekap!B559</f>
        <v>PK Supl. 8</v>
      </c>
      <c r="J143" s="812">
        <f>Rekap!D559</f>
        <v>65952.5</v>
      </c>
      <c r="K143" s="1931">
        <f t="shared" si="28"/>
        <v>1582860</v>
      </c>
      <c r="L143" s="1972">
        <f>Rekap!E559</f>
        <v>52950.47</v>
      </c>
      <c r="M143" s="1973">
        <f t="shared" si="25"/>
        <v>1270811.28</v>
      </c>
      <c r="N143" s="2009">
        <f t="shared" si="26"/>
        <v>0.80285766271180015</v>
      </c>
    </row>
    <row r="144" spans="1:14">
      <c r="A144" s="2000"/>
      <c r="B144" s="838"/>
      <c r="C144" s="809">
        <f t="shared" si="30"/>
        <v>7</v>
      </c>
      <c r="D144" s="823" t="s">
        <v>5093</v>
      </c>
      <c r="E144" s="823"/>
      <c r="F144" s="824"/>
      <c r="G144" s="810">
        <f>BACKUP!M234</f>
        <v>40</v>
      </c>
      <c r="H144" s="811" t="s">
        <v>1423</v>
      </c>
      <c r="I144" s="811" t="str">
        <f>Rekap!B557</f>
        <v>PK Supl. 6</v>
      </c>
      <c r="J144" s="812">
        <f>Rekap!D557</f>
        <v>65269.4</v>
      </c>
      <c r="K144" s="1931">
        <f t="shared" si="28"/>
        <v>2610776</v>
      </c>
      <c r="L144" s="1972">
        <f>Rekap!E557</f>
        <v>51853.07</v>
      </c>
      <c r="M144" s="1973">
        <f t="shared" si="25"/>
        <v>2074122.8</v>
      </c>
      <c r="N144" s="2009">
        <f t="shared" si="26"/>
        <v>0.79444686177596247</v>
      </c>
    </row>
    <row r="145" spans="1:14">
      <c r="A145" s="2000"/>
      <c r="B145" s="838"/>
      <c r="C145" s="809">
        <f t="shared" si="30"/>
        <v>8</v>
      </c>
      <c r="D145" s="823" t="s">
        <v>5096</v>
      </c>
      <c r="E145" s="823"/>
      <c r="F145" s="824"/>
      <c r="G145" s="810">
        <f>BACKUP!M235</f>
        <v>33</v>
      </c>
      <c r="H145" s="811" t="s">
        <v>1423</v>
      </c>
      <c r="I145" s="811" t="s">
        <v>5151</v>
      </c>
      <c r="J145" s="812">
        <v>85000</v>
      </c>
      <c r="K145" s="1931">
        <f t="shared" si="28"/>
        <v>2805000</v>
      </c>
      <c r="L145" s="1972">
        <f>J145</f>
        <v>85000</v>
      </c>
      <c r="M145" s="1973">
        <f t="shared" si="25"/>
        <v>2805000</v>
      </c>
      <c r="N145" s="2009">
        <f t="shared" si="26"/>
        <v>1</v>
      </c>
    </row>
    <row r="146" spans="1:14">
      <c r="A146" s="2000"/>
      <c r="B146" s="838"/>
      <c r="C146" s="809">
        <f>C145+1</f>
        <v>9</v>
      </c>
      <c r="D146" s="823" t="s">
        <v>5097</v>
      </c>
      <c r="E146" s="823"/>
      <c r="F146" s="824"/>
      <c r="G146" s="810">
        <f>BACKUP!M236</f>
        <v>14</v>
      </c>
      <c r="H146" s="811" t="s">
        <v>1423</v>
      </c>
      <c r="I146" s="811" t="s">
        <v>5151</v>
      </c>
      <c r="J146" s="812">
        <v>125000</v>
      </c>
      <c r="K146" s="1931">
        <f t="shared" si="28"/>
        <v>1750000</v>
      </c>
      <c r="L146" s="1972">
        <f>J146</f>
        <v>125000</v>
      </c>
      <c r="M146" s="1973">
        <f t="shared" si="25"/>
        <v>1750000</v>
      </c>
      <c r="N146" s="2009">
        <f t="shared" si="26"/>
        <v>1</v>
      </c>
    </row>
    <row r="147" spans="1:14">
      <c r="A147" s="2000"/>
      <c r="B147" s="838"/>
      <c r="C147" s="809">
        <f>C146+1</f>
        <v>10</v>
      </c>
      <c r="D147" s="823" t="s">
        <v>5098</v>
      </c>
      <c r="E147" s="823"/>
      <c r="F147" s="824"/>
      <c r="G147" s="810">
        <f>BACKUP!M237</f>
        <v>2</v>
      </c>
      <c r="H147" s="811" t="s">
        <v>1423</v>
      </c>
      <c r="I147" s="811" t="s">
        <v>5151</v>
      </c>
      <c r="J147" s="812">
        <f>DUB!I442</f>
        <v>675000</v>
      </c>
      <c r="K147" s="1931">
        <f t="shared" si="28"/>
        <v>1350000</v>
      </c>
      <c r="L147" s="1972">
        <f>J147</f>
        <v>675000</v>
      </c>
      <c r="M147" s="1973">
        <f t="shared" si="25"/>
        <v>1350000</v>
      </c>
      <c r="N147" s="2009">
        <f t="shared" si="26"/>
        <v>1</v>
      </c>
    </row>
    <row r="148" spans="1:14">
      <c r="A148" s="2000"/>
      <c r="B148" s="838"/>
      <c r="C148" s="809">
        <f t="shared" ref="C148:C149" si="31">C147+1</f>
        <v>11</v>
      </c>
      <c r="D148" s="823" t="s">
        <v>5164</v>
      </c>
      <c r="E148" s="823"/>
      <c r="F148" s="824"/>
      <c r="G148" s="810">
        <f>BACKUP!M238</f>
        <v>48</v>
      </c>
      <c r="H148" s="811" t="s">
        <v>2941</v>
      </c>
      <c r="I148" s="811" t="s">
        <v>5151</v>
      </c>
      <c r="J148" s="812">
        <v>115000</v>
      </c>
      <c r="K148" s="1931">
        <f t="shared" si="28"/>
        <v>5520000</v>
      </c>
      <c r="L148" s="1972">
        <f>J148</f>
        <v>115000</v>
      </c>
      <c r="M148" s="1973">
        <f t="shared" si="25"/>
        <v>5520000</v>
      </c>
      <c r="N148" s="2009">
        <f t="shared" si="26"/>
        <v>1</v>
      </c>
    </row>
    <row r="149" spans="1:14">
      <c r="A149" s="2000"/>
      <c r="B149" s="838"/>
      <c r="C149" s="809">
        <f t="shared" si="31"/>
        <v>12</v>
      </c>
      <c r="D149" s="823" t="s">
        <v>5099</v>
      </c>
      <c r="E149" s="823"/>
      <c r="F149" s="824"/>
      <c r="G149" s="810">
        <f>BACKUP!M239</f>
        <v>786.55</v>
      </c>
      <c r="H149" s="811" t="s">
        <v>2941</v>
      </c>
      <c r="I149" s="811" t="s">
        <v>5151</v>
      </c>
      <c r="J149" s="812">
        <v>26000</v>
      </c>
      <c r="K149" s="1931">
        <f t="shared" si="28"/>
        <v>20450300</v>
      </c>
      <c r="L149" s="1972">
        <f>J149</f>
        <v>26000</v>
      </c>
      <c r="M149" s="1973">
        <f t="shared" si="25"/>
        <v>20450300</v>
      </c>
      <c r="N149" s="2009">
        <f t="shared" si="26"/>
        <v>1</v>
      </c>
    </row>
    <row r="150" spans="1:14">
      <c r="A150" s="2018"/>
      <c r="D150" s="818"/>
      <c r="E150" s="818"/>
      <c r="F150" s="818"/>
      <c r="G150" s="1059"/>
      <c r="H150" s="970"/>
      <c r="I150" s="970"/>
      <c r="J150" s="2021"/>
      <c r="L150" s="1938"/>
      <c r="M150" s="1922"/>
      <c r="N150" s="2003"/>
    </row>
    <row r="151" spans="1:14">
      <c r="A151" s="2002"/>
      <c r="B151" s="1554"/>
      <c r="C151" s="1555"/>
      <c r="D151" s="865"/>
      <c r="E151" s="865"/>
      <c r="F151" s="865"/>
      <c r="G151" s="987"/>
      <c r="H151" s="2344" t="s">
        <v>5349</v>
      </c>
      <c r="I151" s="2347"/>
      <c r="J151" s="2345"/>
      <c r="K151" s="1932">
        <f>SUM(K122:K149)</f>
        <v>432176475.18999994</v>
      </c>
      <c r="L151" s="1060" t="s">
        <v>5350</v>
      </c>
      <c r="M151" s="1932">
        <f>SUM(M122:M149)</f>
        <v>279000457</v>
      </c>
      <c r="N151" s="2016"/>
    </row>
    <row r="152" spans="1:14" ht="21" customHeight="1">
      <c r="A152" s="2004" t="s">
        <v>708</v>
      </c>
      <c r="B152" s="2310" t="s">
        <v>5176</v>
      </c>
      <c r="C152" s="2311"/>
      <c r="D152" s="2311"/>
      <c r="E152" s="2311"/>
      <c r="F152" s="2311"/>
      <c r="G152" s="1946"/>
      <c r="H152" s="1962"/>
      <c r="I152" s="1962"/>
      <c r="J152" s="1962"/>
      <c r="K152" s="1948"/>
      <c r="L152" s="1944"/>
      <c r="M152" s="1945"/>
      <c r="N152" s="2005"/>
    </row>
    <row r="153" spans="1:14">
      <c r="A153" s="2020"/>
      <c r="B153" s="1963" t="s">
        <v>4920</v>
      </c>
      <c r="C153" s="2317" t="s">
        <v>5192</v>
      </c>
      <c r="D153" s="2317"/>
      <c r="E153" s="2317"/>
      <c r="F153" s="2346"/>
      <c r="G153" s="1964"/>
      <c r="H153" s="1965"/>
      <c r="I153" s="1960"/>
      <c r="J153" s="1966"/>
      <c r="K153" s="1952"/>
      <c r="L153" s="1944"/>
      <c r="M153" s="1945"/>
      <c r="N153" s="2005"/>
    </row>
    <row r="154" spans="1:14">
      <c r="A154" s="1998"/>
      <c r="B154" s="1322"/>
      <c r="C154" s="830">
        <v>1</v>
      </c>
      <c r="D154" s="1002" t="s">
        <v>5058</v>
      </c>
      <c r="E154" s="1322"/>
      <c r="F154" s="1323"/>
      <c r="G154" s="1324">
        <f>BACKUP!M247</f>
        <v>4.8000000000000007</v>
      </c>
      <c r="H154" s="1325" t="s">
        <v>2647</v>
      </c>
      <c r="I154" s="832" t="str">
        <f>Rekap!B81</f>
        <v>A.4.1.1.25</v>
      </c>
      <c r="J154" s="1326">
        <f>Rekap!D81</f>
        <v>774404.46</v>
      </c>
      <c r="K154" s="1936">
        <f>J154*G154</f>
        <v>3717141.4080000003</v>
      </c>
      <c r="L154" s="1938">
        <f>Rekap!E81</f>
        <v>754824.1</v>
      </c>
      <c r="M154" s="1923">
        <f>L154*G154</f>
        <v>3623155.6800000006</v>
      </c>
      <c r="N154" s="1999">
        <f>M154/K154</f>
        <v>0.97471558983531692</v>
      </c>
    </row>
    <row r="155" spans="1:14">
      <c r="A155" s="2018"/>
      <c r="B155" s="817"/>
      <c r="C155" s="817">
        <f>C154+1</f>
        <v>2</v>
      </c>
      <c r="D155" s="2349" t="s">
        <v>5334</v>
      </c>
      <c r="E155" s="2349"/>
      <c r="F155" s="2350"/>
      <c r="G155" s="985">
        <f>BACKUP!M248</f>
        <v>0.49920000000000003</v>
      </c>
      <c r="H155" s="986" t="s">
        <v>2646</v>
      </c>
      <c r="I155" s="970" t="str">
        <f>Rekap!B59</f>
        <v>A.4.1.1.9</v>
      </c>
      <c r="J155" s="2021">
        <f>Rekap!D59</f>
        <v>1602944.4</v>
      </c>
      <c r="K155" s="841">
        <f>J155*G155</f>
        <v>800189.84447999997</v>
      </c>
      <c r="L155" s="1941">
        <f>Rekap!E59</f>
        <v>1580956.9075500001</v>
      </c>
      <c r="M155" s="1942">
        <f>L155*G155</f>
        <v>789213.68824896007</v>
      </c>
      <c r="N155" s="2001">
        <f>M155/K155</f>
        <v>0.98628305981792019</v>
      </c>
    </row>
    <row r="156" spans="1:14">
      <c r="A156" s="2002"/>
      <c r="B156" s="1554"/>
      <c r="C156" s="1555"/>
      <c r="D156" s="865"/>
      <c r="E156" s="865"/>
      <c r="F156" s="865"/>
      <c r="G156" s="987"/>
      <c r="H156" s="1556"/>
      <c r="I156" s="2344" t="s">
        <v>5178</v>
      </c>
      <c r="J156" s="2345"/>
      <c r="K156" s="1932">
        <f>SUM(K154:K155)</f>
        <v>4517331.2524800003</v>
      </c>
      <c r="L156" s="1983" t="s">
        <v>5178</v>
      </c>
      <c r="M156" s="1932">
        <f>SUM(M154:M155)</f>
        <v>4412369.3682489609</v>
      </c>
      <c r="N156" s="2003"/>
    </row>
    <row r="157" spans="1:14" ht="21" customHeight="1">
      <c r="A157" s="2004" t="s">
        <v>711</v>
      </c>
      <c r="B157" s="2310" t="s">
        <v>4928</v>
      </c>
      <c r="C157" s="2311"/>
      <c r="D157" s="2311"/>
      <c r="E157" s="2311"/>
      <c r="F157" s="2311"/>
      <c r="G157" s="1949"/>
      <c r="H157" s="1950"/>
      <c r="I157" s="1950"/>
      <c r="J157" s="1951"/>
      <c r="K157" s="1951"/>
      <c r="L157" s="1944"/>
      <c r="M157" s="1945"/>
      <c r="N157" s="2005"/>
    </row>
    <row r="158" spans="1:14">
      <c r="A158" s="2018"/>
      <c r="C158" s="817">
        <v>1</v>
      </c>
      <c r="D158" s="2306" t="s">
        <v>4929</v>
      </c>
      <c r="E158" s="2306"/>
      <c r="F158" s="2306"/>
      <c r="G158" s="819">
        <f>BACKUP!M251</f>
        <v>1</v>
      </c>
      <c r="H158" s="820" t="s">
        <v>3513</v>
      </c>
      <c r="I158" s="820" t="s">
        <v>4925</v>
      </c>
      <c r="J158" s="821">
        <v>15354000</v>
      </c>
      <c r="K158" s="841">
        <f>J158*G158</f>
        <v>15354000</v>
      </c>
      <c r="L158" s="1938">
        <f>J158</f>
        <v>15354000</v>
      </c>
      <c r="M158" s="1923">
        <f>L158*G158</f>
        <v>15354000</v>
      </c>
      <c r="N158" s="1999">
        <f>M158/K158</f>
        <v>1</v>
      </c>
    </row>
    <row r="159" spans="1:14">
      <c r="A159" s="2022"/>
      <c r="B159" s="1924"/>
      <c r="C159" s="1925"/>
      <c r="D159" s="1926"/>
      <c r="E159" s="1926"/>
      <c r="F159" s="1926"/>
      <c r="G159" s="1927"/>
      <c r="H159" s="1925"/>
      <c r="I159" s="2367" t="s">
        <v>4927</v>
      </c>
      <c r="J159" s="2368"/>
      <c r="K159" s="1937">
        <f>K158</f>
        <v>15354000</v>
      </c>
      <c r="L159" s="1984" t="s">
        <v>4927</v>
      </c>
      <c r="M159" s="1937">
        <f>M158</f>
        <v>15354000</v>
      </c>
      <c r="N159" s="2023"/>
    </row>
    <row r="160" spans="1:14">
      <c r="A160" s="2024"/>
      <c r="B160" s="1924"/>
      <c r="C160" s="1925"/>
      <c r="D160" s="1928"/>
      <c r="E160" s="1928"/>
      <c r="F160" s="1928"/>
      <c r="G160" s="1927"/>
      <c r="H160" s="1925"/>
      <c r="I160" s="1925"/>
      <c r="J160" s="2358" t="s">
        <v>5351</v>
      </c>
      <c r="K160" s="2356">
        <f>K159+K156+K151+K118+K99+K77+K44+K10</f>
        <v>6306305974.4618998</v>
      </c>
      <c r="L160" s="2358" t="s">
        <v>5351</v>
      </c>
      <c r="M160" s="2356">
        <f>M159+M156+M151+M118+M99+M77+M44+M10</f>
        <v>4753939085.8552208</v>
      </c>
      <c r="N160" s="2360"/>
    </row>
    <row r="161" spans="1:14">
      <c r="A161" s="2025"/>
      <c r="B161" s="1985"/>
      <c r="C161" s="1986"/>
      <c r="D161" s="1987"/>
      <c r="E161" s="1987"/>
      <c r="F161" s="1987"/>
      <c r="G161" s="1988"/>
      <c r="H161" s="1986"/>
      <c r="I161" s="1986"/>
      <c r="J161" s="2359"/>
      <c r="K161" s="2357"/>
      <c r="L161" s="2359"/>
      <c r="M161" s="2357"/>
      <c r="N161" s="2361"/>
    </row>
    <row r="162" spans="1:14">
      <c r="A162" s="2026"/>
      <c r="L162" s="2364" t="s">
        <v>5346</v>
      </c>
      <c r="M162" s="2362">
        <f>M160/K160</f>
        <v>0.75383895185340444</v>
      </c>
      <c r="N162" s="1992"/>
    </row>
    <row r="163" spans="1:14" ht="15" thickBot="1">
      <c r="A163" s="1967"/>
      <c r="B163" s="1968"/>
      <c r="C163" s="1969"/>
      <c r="D163" s="1970"/>
      <c r="E163" s="1970"/>
      <c r="F163" s="1970"/>
      <c r="G163" s="1971"/>
      <c r="H163" s="1969"/>
      <c r="I163" s="1969"/>
      <c r="J163" s="2027"/>
      <c r="K163" s="2027"/>
      <c r="L163" s="2365"/>
      <c r="M163" s="2363"/>
      <c r="N163" s="2028"/>
    </row>
    <row r="164" spans="1:14" ht="15" thickTop="1"/>
  </sheetData>
  <mergeCells count="143">
    <mergeCell ref="A1:N1"/>
    <mergeCell ref="M160:M161"/>
    <mergeCell ref="L160:L161"/>
    <mergeCell ref="N160:N161"/>
    <mergeCell ref="K160:K161"/>
    <mergeCell ref="M162:M163"/>
    <mergeCell ref="L162:L163"/>
    <mergeCell ref="J160:J161"/>
    <mergeCell ref="D139:F139"/>
    <mergeCell ref="C22:F22"/>
    <mergeCell ref="B6:F6"/>
    <mergeCell ref="D17:F17"/>
    <mergeCell ref="I159:J159"/>
    <mergeCell ref="D102:F102"/>
    <mergeCell ref="D66:F66"/>
    <mergeCell ref="D158:F158"/>
    <mergeCell ref="D61:F61"/>
    <mergeCell ref="I77:J77"/>
    <mergeCell ref="I99:J99"/>
    <mergeCell ref="I118:J118"/>
    <mergeCell ref="I119:J119"/>
    <mergeCell ref="C101:F101"/>
    <mergeCell ref="D98:F98"/>
    <mergeCell ref="D138:F138"/>
    <mergeCell ref="C115:F115"/>
    <mergeCell ref="C71:F71"/>
    <mergeCell ref="B78:F78"/>
    <mergeCell ref="C63:F63"/>
    <mergeCell ref="B157:F157"/>
    <mergeCell ref="D114:F114"/>
    <mergeCell ref="I156:J156"/>
    <mergeCell ref="D112:F112"/>
    <mergeCell ref="D113:F113"/>
    <mergeCell ref="D118:F118"/>
    <mergeCell ref="D119:F119"/>
    <mergeCell ref="C121:F121"/>
    <mergeCell ref="B120:F120"/>
    <mergeCell ref="C137:F137"/>
    <mergeCell ref="B152:F152"/>
    <mergeCell ref="H151:J151"/>
    <mergeCell ref="D122:F122"/>
    <mergeCell ref="D155:F155"/>
    <mergeCell ref="C153:F153"/>
    <mergeCell ref="D133:F133"/>
    <mergeCell ref="D134:F134"/>
    <mergeCell ref="D117:F117"/>
    <mergeCell ref="D116:F116"/>
    <mergeCell ref="D8:F8"/>
    <mergeCell ref="D9:F9"/>
    <mergeCell ref="B7:F7"/>
    <mergeCell ref="B12:F12"/>
    <mergeCell ref="B13:F13"/>
    <mergeCell ref="C14:F14"/>
    <mergeCell ref="C23:F23"/>
    <mergeCell ref="I2:K2"/>
    <mergeCell ref="G3:H3"/>
    <mergeCell ref="G4:H4"/>
    <mergeCell ref="A2:F2"/>
    <mergeCell ref="A3:F3"/>
    <mergeCell ref="A4:F5"/>
    <mergeCell ref="I3:K3"/>
    <mergeCell ref="I4:K4"/>
    <mergeCell ref="I5:K5"/>
    <mergeCell ref="G5:H5"/>
    <mergeCell ref="G2:H2"/>
    <mergeCell ref="D123:F123"/>
    <mergeCell ref="D124:F124"/>
    <mergeCell ref="D111:F111"/>
    <mergeCell ref="D109:F109"/>
    <mergeCell ref="C95:F95"/>
    <mergeCell ref="C110:F110"/>
    <mergeCell ref="D60:F60"/>
    <mergeCell ref="B10:F10"/>
    <mergeCell ref="D44:F44"/>
    <mergeCell ref="D77:F77"/>
    <mergeCell ref="D99:F99"/>
    <mergeCell ref="D59:F59"/>
    <mergeCell ref="D108:F108"/>
    <mergeCell ref="D15:F15"/>
    <mergeCell ref="D16:F16"/>
    <mergeCell ref="D19:F19"/>
    <mergeCell ref="D30:F30"/>
    <mergeCell ref="D31:F31"/>
    <mergeCell ref="D34:F34"/>
    <mergeCell ref="D49:F49"/>
    <mergeCell ref="D52:F52"/>
    <mergeCell ref="B25:F25"/>
    <mergeCell ref="D21:F21"/>
    <mergeCell ref="D27:F27"/>
    <mergeCell ref="D107:F107"/>
    <mergeCell ref="D96:F96"/>
    <mergeCell ref="D97:F97"/>
    <mergeCell ref="D106:F106"/>
    <mergeCell ref="D83:F83"/>
    <mergeCell ref="D36:F36"/>
    <mergeCell ref="C37:F37"/>
    <mergeCell ref="C38:F38"/>
    <mergeCell ref="D28:F28"/>
    <mergeCell ref="D54:F54"/>
    <mergeCell ref="D55:F55"/>
    <mergeCell ref="D56:F56"/>
    <mergeCell ref="D72:F72"/>
    <mergeCell ref="C92:F92"/>
    <mergeCell ref="D93:F93"/>
    <mergeCell ref="B100:F100"/>
    <mergeCell ref="C103:F103"/>
    <mergeCell ref="B11:F11"/>
    <mergeCell ref="C51:F51"/>
    <mergeCell ref="C58:F58"/>
    <mergeCell ref="B45:F45"/>
    <mergeCell ref="C47:F47"/>
    <mergeCell ref="D20:F20"/>
    <mergeCell ref="C18:F18"/>
    <mergeCell ref="D48:F48"/>
    <mergeCell ref="C26:F26"/>
    <mergeCell ref="C29:F29"/>
    <mergeCell ref="D35:F35"/>
    <mergeCell ref="B46:F46"/>
    <mergeCell ref="D32:F32"/>
    <mergeCell ref="D50:F50"/>
    <mergeCell ref="C39:F39"/>
    <mergeCell ref="D94:F94"/>
    <mergeCell ref="C84:F84"/>
    <mergeCell ref="D104:F104"/>
    <mergeCell ref="D105:F105"/>
    <mergeCell ref="C79:F79"/>
    <mergeCell ref="C86:F86"/>
    <mergeCell ref="D57:F57"/>
    <mergeCell ref="C24:F24"/>
    <mergeCell ref="D42:F42"/>
    <mergeCell ref="D53:F53"/>
    <mergeCell ref="C40:F40"/>
    <mergeCell ref="C33:F33"/>
    <mergeCell ref="D43:F43"/>
    <mergeCell ref="D41:F41"/>
    <mergeCell ref="C74:F74"/>
    <mergeCell ref="D64:F64"/>
    <mergeCell ref="D67:F67"/>
    <mergeCell ref="D85:F85"/>
    <mergeCell ref="D82:F82"/>
    <mergeCell ref="D65:F65"/>
    <mergeCell ref="D75:F76"/>
    <mergeCell ref="D70:F70"/>
  </mergeCells>
  <printOptions horizontalCentered="1"/>
  <pageMargins left="0.25" right="0" top="0.75" bottom="0.5" header="0" footer="0"/>
  <pageSetup paperSize="9" scale="53" orientation="portrait" horizontalDpi="360" verticalDpi="360" r:id="rId1"/>
  <rowBreaks count="2" manualBreakCount="2">
    <brk id="62" max="16383" man="1"/>
    <brk id="119" max="16383" man="1"/>
  </rowBreaks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92"/>
  <dimension ref="A1:G42"/>
  <sheetViews>
    <sheetView workbookViewId="0">
      <selection activeCell="G42" sqref="A1:G42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1" t="s">
        <v>2304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65" customHeight="1">
      <c r="A5" s="5"/>
      <c r="B5" s="3" t="s">
        <v>673</v>
      </c>
      <c r="C5" s="3" t="s">
        <v>674</v>
      </c>
      <c r="D5" s="3" t="s">
        <v>675</v>
      </c>
      <c r="E5" s="3" t="s">
        <v>746</v>
      </c>
      <c r="F5" s="5"/>
      <c r="G5" s="5"/>
    </row>
    <row r="6" spans="1:7" ht="13.95" customHeight="1">
      <c r="A6" s="5"/>
      <c r="B6" s="3" t="s">
        <v>677</v>
      </c>
      <c r="C6" s="3" t="s">
        <v>681</v>
      </c>
      <c r="D6" s="3" t="s">
        <v>675</v>
      </c>
      <c r="E6" s="3" t="s">
        <v>740</v>
      </c>
      <c r="F6" s="5"/>
      <c r="G6" s="5"/>
    </row>
    <row r="7" spans="1:7" ht="13.65" customHeight="1">
      <c r="A7" s="5"/>
      <c r="B7" s="3" t="s">
        <v>751</v>
      </c>
      <c r="C7" s="3" t="s">
        <v>1202</v>
      </c>
      <c r="D7" s="3" t="s">
        <v>675</v>
      </c>
      <c r="E7" s="3" t="s">
        <v>811</v>
      </c>
      <c r="F7" s="5"/>
      <c r="G7" s="5"/>
    </row>
    <row r="8" spans="1:7" ht="13.65" customHeight="1">
      <c r="A8" s="5"/>
      <c r="B8" s="3" t="s">
        <v>683</v>
      </c>
      <c r="C8" s="3" t="s">
        <v>1204</v>
      </c>
      <c r="D8" s="3" t="s">
        <v>675</v>
      </c>
      <c r="E8" s="3" t="s">
        <v>901</v>
      </c>
      <c r="F8" s="5"/>
      <c r="G8" s="5"/>
    </row>
    <row r="9" spans="1:7" ht="12" customHeight="1">
      <c r="A9" s="5"/>
      <c r="B9" s="5"/>
      <c r="C9" s="5"/>
      <c r="D9" s="5"/>
      <c r="E9" s="2474" t="s">
        <v>685</v>
      </c>
      <c r="F9" s="2474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5" customHeight="1">
      <c r="A11" s="5"/>
      <c r="B11" s="3" t="s">
        <v>1252</v>
      </c>
      <c r="C11" s="5"/>
      <c r="D11" s="3" t="s">
        <v>743</v>
      </c>
      <c r="E11" s="3" t="s">
        <v>737</v>
      </c>
      <c r="F11" s="5"/>
      <c r="G11" s="5"/>
    </row>
    <row r="12" spans="1:7" ht="13.65" customHeight="1">
      <c r="A12" s="5"/>
      <c r="B12" s="3" t="s">
        <v>1215</v>
      </c>
      <c r="C12" s="5"/>
      <c r="D12" s="3" t="s">
        <v>690</v>
      </c>
      <c r="E12" s="3" t="s">
        <v>753</v>
      </c>
      <c r="F12" s="5"/>
      <c r="G12" s="5"/>
    </row>
    <row r="13" spans="1:7" ht="12" customHeight="1">
      <c r="A13" s="5"/>
      <c r="B13" s="5"/>
      <c r="C13" s="5"/>
      <c r="D13" s="5"/>
      <c r="E13" s="2474" t="s">
        <v>702</v>
      </c>
      <c r="F13" s="2474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2474" t="s">
        <v>705</v>
      </c>
      <c r="F16" s="2474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2474" t="s">
        <v>707</v>
      </c>
      <c r="C18" s="2474"/>
      <c r="D18" s="2474"/>
      <c r="E18" s="2474"/>
      <c r="F18" s="2474"/>
      <c r="G18" s="5"/>
    </row>
    <row r="19" spans="1:7" ht="12" customHeight="1">
      <c r="A19" s="3" t="s">
        <v>708</v>
      </c>
      <c r="B19" s="2471" t="s">
        <v>876</v>
      </c>
      <c r="C19" s="2471"/>
      <c r="D19" s="2471"/>
      <c r="E19" s="2472" t="s">
        <v>710</v>
      </c>
      <c r="F19" s="2472"/>
      <c r="G19" s="5"/>
    </row>
    <row r="20" spans="1:7" ht="12" customHeight="1">
      <c r="A20" s="3" t="s">
        <v>711</v>
      </c>
      <c r="B20" s="2473" t="s">
        <v>712</v>
      </c>
      <c r="C20" s="2473"/>
      <c r="D20" s="2473"/>
      <c r="E20" s="2473"/>
      <c r="F20" s="2473"/>
      <c r="G20" s="5"/>
    </row>
    <row r="21" spans="1:7" ht="12" customHeight="1">
      <c r="A21" s="3"/>
      <c r="B21" s="26"/>
      <c r="C21" s="26"/>
      <c r="D21" s="26"/>
      <c r="E21" s="26"/>
      <c r="F21" s="26"/>
      <c r="G21" s="5"/>
    </row>
    <row r="22" spans="1:7" ht="12" customHeight="1">
      <c r="A22" s="51" t="s">
        <v>2305</v>
      </c>
      <c r="B22" s="26"/>
      <c r="C22" s="26"/>
      <c r="D22" s="26"/>
      <c r="E22" s="26"/>
      <c r="F22" s="26"/>
      <c r="G22" s="5"/>
    </row>
    <row r="23" spans="1:7" ht="12" customHeight="1">
      <c r="A23" s="3"/>
      <c r="B23" s="26"/>
      <c r="C23" s="26"/>
      <c r="D23" s="26"/>
      <c r="E23" s="26"/>
      <c r="F23" s="26"/>
      <c r="G23" s="5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65" customHeight="1">
      <c r="A26" s="5"/>
      <c r="B26" s="3" t="s">
        <v>673</v>
      </c>
      <c r="C26" s="3" t="s">
        <v>674</v>
      </c>
      <c r="D26" s="3" t="s">
        <v>675</v>
      </c>
      <c r="E26" s="3" t="s">
        <v>787</v>
      </c>
      <c r="F26" s="5"/>
      <c r="G26" s="5"/>
    </row>
    <row r="27" spans="1:7" ht="13.65" customHeight="1">
      <c r="A27" s="5"/>
      <c r="B27" s="3" t="s">
        <v>677</v>
      </c>
      <c r="C27" s="3" t="s">
        <v>681</v>
      </c>
      <c r="D27" s="3" t="s">
        <v>675</v>
      </c>
      <c r="E27" s="3" t="s">
        <v>746</v>
      </c>
      <c r="F27" s="5"/>
      <c r="G27" s="5"/>
    </row>
    <row r="28" spans="1:7" ht="13.95" customHeight="1">
      <c r="A28" s="5"/>
      <c r="B28" s="3" t="s">
        <v>751</v>
      </c>
      <c r="C28" s="3" t="s">
        <v>1202</v>
      </c>
      <c r="D28" s="3" t="s">
        <v>675</v>
      </c>
      <c r="E28" s="3" t="s">
        <v>794</v>
      </c>
      <c r="F28" s="5"/>
      <c r="G28" s="5"/>
    </row>
    <row r="29" spans="1:7" ht="13.65" customHeight="1">
      <c r="A29" s="5"/>
      <c r="B29" s="3" t="s">
        <v>683</v>
      </c>
      <c r="C29" s="3" t="s">
        <v>1204</v>
      </c>
      <c r="D29" s="3" t="s">
        <v>675</v>
      </c>
      <c r="E29" s="3" t="s">
        <v>891</v>
      </c>
      <c r="F29" s="5"/>
      <c r="G29" s="5"/>
    </row>
    <row r="30" spans="1:7" ht="12" customHeight="1">
      <c r="A30" s="5"/>
      <c r="B30" s="5"/>
      <c r="C30" s="5"/>
      <c r="D30" s="5"/>
      <c r="E30" s="2474" t="s">
        <v>685</v>
      </c>
      <c r="F30" s="2474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65" customHeight="1">
      <c r="A32" s="5"/>
      <c r="B32" s="3" t="s">
        <v>1253</v>
      </c>
      <c r="C32" s="5"/>
      <c r="D32" s="3" t="s">
        <v>715</v>
      </c>
      <c r="E32" s="3" t="s">
        <v>1209</v>
      </c>
      <c r="F32" s="5"/>
      <c r="G32" s="5"/>
    </row>
    <row r="33" spans="1:7" ht="13.95" customHeight="1">
      <c r="A33" s="5"/>
      <c r="B33" s="3" t="s">
        <v>1215</v>
      </c>
      <c r="C33" s="5"/>
      <c r="D33" s="3" t="s">
        <v>690</v>
      </c>
      <c r="E33" s="3" t="s">
        <v>753</v>
      </c>
      <c r="F33" s="5"/>
      <c r="G33" s="5"/>
    </row>
    <row r="34" spans="1:7" ht="13.65" customHeight="1">
      <c r="A34" s="5"/>
      <c r="B34" s="3" t="s">
        <v>1237</v>
      </c>
      <c r="C34" s="5"/>
      <c r="D34" s="3" t="s">
        <v>690</v>
      </c>
      <c r="E34" s="3" t="s">
        <v>753</v>
      </c>
      <c r="F34" s="5"/>
      <c r="G34" s="5"/>
    </row>
    <row r="35" spans="1:7" ht="12" customHeight="1">
      <c r="A35" s="5"/>
      <c r="B35" s="5"/>
      <c r="C35" s="5"/>
      <c r="D35" s="5"/>
      <c r="E35" s="2474" t="s">
        <v>702</v>
      </c>
      <c r="F35" s="2474"/>
      <c r="G35" s="5"/>
    </row>
    <row r="36" spans="1:7" ht="12" customHeight="1">
      <c r="A36" s="3" t="s">
        <v>703</v>
      </c>
      <c r="B36" s="3" t="s">
        <v>704</v>
      </c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2474" t="s">
        <v>705</v>
      </c>
      <c r="F38" s="2474"/>
      <c r="G38" s="5"/>
    </row>
    <row r="39" spans="1:7" ht="12" customHeight="1">
      <c r="A39" s="5"/>
      <c r="B39" s="5"/>
      <c r="C39" s="5"/>
      <c r="D39" s="5"/>
      <c r="E39" s="5"/>
      <c r="F39" s="5"/>
      <c r="G39" s="5"/>
    </row>
    <row r="40" spans="1:7" ht="12" customHeight="1">
      <c r="A40" s="3" t="s">
        <v>706</v>
      </c>
      <c r="B40" s="2474" t="s">
        <v>707</v>
      </c>
      <c r="C40" s="2474"/>
      <c r="D40" s="2474"/>
      <c r="E40" s="2474"/>
      <c r="F40" s="2474"/>
      <c r="G40" s="5"/>
    </row>
    <row r="41" spans="1:7" ht="12" customHeight="1">
      <c r="A41" s="3" t="s">
        <v>708</v>
      </c>
      <c r="B41" s="2471" t="s">
        <v>876</v>
      </c>
      <c r="C41" s="2471"/>
      <c r="D41" s="2471"/>
      <c r="E41" s="2472" t="s">
        <v>710</v>
      </c>
      <c r="F41" s="2472"/>
      <c r="G41" s="5"/>
    </row>
    <row r="42" spans="1:7" ht="12" customHeight="1">
      <c r="A42" s="3" t="s">
        <v>711</v>
      </c>
      <c r="B42" s="2473" t="s">
        <v>712</v>
      </c>
      <c r="C42" s="2473"/>
      <c r="D42" s="2473"/>
      <c r="E42" s="2473"/>
      <c r="F42" s="2473"/>
      <c r="G42" s="5"/>
    </row>
  </sheetData>
  <mergeCells count="14">
    <mergeCell ref="E9:F9"/>
    <mergeCell ref="E13:F13"/>
    <mergeCell ref="E16:F16"/>
    <mergeCell ref="B18:F18"/>
    <mergeCell ref="B19:D19"/>
    <mergeCell ref="E19:F19"/>
    <mergeCell ref="B41:D41"/>
    <mergeCell ref="E41:F41"/>
    <mergeCell ref="B42:F42"/>
    <mergeCell ref="B20:F20"/>
    <mergeCell ref="E30:F30"/>
    <mergeCell ref="E35:F35"/>
    <mergeCell ref="E38:F38"/>
    <mergeCell ref="B40:F40"/>
  </mergeCells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93"/>
  <dimension ref="A1:G41"/>
  <sheetViews>
    <sheetView workbookViewId="0">
      <selection activeCell="G41" sqref="A1:G41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2306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65" customHeight="1">
      <c r="A5" s="5"/>
      <c r="B5" s="3" t="s">
        <v>673</v>
      </c>
      <c r="C5" s="3" t="s">
        <v>674</v>
      </c>
      <c r="D5" s="3" t="s">
        <v>675</v>
      </c>
      <c r="E5" s="3" t="s">
        <v>889</v>
      </c>
      <c r="F5" s="5"/>
      <c r="G5" s="5"/>
    </row>
    <row r="6" spans="1:7" ht="13.95" customHeight="1">
      <c r="A6" s="5"/>
      <c r="B6" s="3" t="s">
        <v>677</v>
      </c>
      <c r="C6" s="3" t="s">
        <v>681</v>
      </c>
      <c r="D6" s="3" t="s">
        <v>675</v>
      </c>
      <c r="E6" s="3" t="s">
        <v>1254</v>
      </c>
      <c r="F6" s="5"/>
      <c r="G6" s="5"/>
    </row>
    <row r="7" spans="1:7" ht="13.65" customHeight="1">
      <c r="A7" s="5"/>
      <c r="B7" s="3" t="s">
        <v>751</v>
      </c>
      <c r="C7" s="3" t="s">
        <v>1202</v>
      </c>
      <c r="D7" s="3" t="s">
        <v>675</v>
      </c>
      <c r="E7" s="3" t="s">
        <v>891</v>
      </c>
      <c r="F7" s="5"/>
      <c r="G7" s="5"/>
    </row>
    <row r="8" spans="1:7" ht="13.65" customHeight="1">
      <c r="A8" s="5"/>
      <c r="B8" s="3" t="s">
        <v>683</v>
      </c>
      <c r="C8" s="3" t="s">
        <v>1204</v>
      </c>
      <c r="D8" s="3" t="s">
        <v>675</v>
      </c>
      <c r="E8" s="3" t="s">
        <v>891</v>
      </c>
      <c r="F8" s="5"/>
      <c r="G8" s="5"/>
    </row>
    <row r="9" spans="1:7" ht="12" customHeight="1">
      <c r="A9" s="5"/>
      <c r="B9" s="5"/>
      <c r="C9" s="5"/>
      <c r="D9" s="5"/>
      <c r="E9" s="2474" t="s">
        <v>685</v>
      </c>
      <c r="F9" s="2474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5" customHeight="1">
      <c r="A11" s="5"/>
      <c r="B11" s="3" t="s">
        <v>1255</v>
      </c>
      <c r="C11" s="5"/>
      <c r="D11" s="3" t="s">
        <v>715</v>
      </c>
      <c r="E11" s="3" t="s">
        <v>1132</v>
      </c>
      <c r="F11" s="5"/>
      <c r="G11" s="5"/>
    </row>
    <row r="12" spans="1:7" ht="13.65" customHeight="1">
      <c r="A12" s="5"/>
      <c r="B12" s="3" t="s">
        <v>1215</v>
      </c>
      <c r="C12" s="5"/>
      <c r="D12" s="3" t="s">
        <v>690</v>
      </c>
      <c r="E12" s="3" t="s">
        <v>728</v>
      </c>
      <c r="F12" s="5"/>
      <c r="G12" s="5"/>
    </row>
    <row r="13" spans="1:7" ht="12" customHeight="1">
      <c r="A13" s="5"/>
      <c r="B13" s="5"/>
      <c r="C13" s="5"/>
      <c r="D13" s="5"/>
      <c r="E13" s="2474" t="s">
        <v>702</v>
      </c>
      <c r="F13" s="2474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2474" t="s">
        <v>705</v>
      </c>
      <c r="F16" s="2474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2474" t="s">
        <v>707</v>
      </c>
      <c r="C18" s="2474"/>
      <c r="D18" s="2474"/>
      <c r="E18" s="2474"/>
      <c r="F18" s="2474"/>
      <c r="G18" s="5"/>
    </row>
    <row r="19" spans="1:7" ht="12" customHeight="1">
      <c r="A19" s="3" t="s">
        <v>708</v>
      </c>
      <c r="B19" s="2471" t="s">
        <v>876</v>
      </c>
      <c r="C19" s="2471"/>
      <c r="D19" s="2471"/>
      <c r="E19" s="2472" t="s">
        <v>710</v>
      </c>
      <c r="F19" s="2472"/>
      <c r="G19" s="5"/>
    </row>
    <row r="20" spans="1:7" ht="12" customHeight="1">
      <c r="A20" s="3" t="s">
        <v>711</v>
      </c>
      <c r="B20" s="2473" t="s">
        <v>712</v>
      </c>
      <c r="C20" s="2473"/>
      <c r="D20" s="2473"/>
      <c r="E20" s="2473"/>
      <c r="F20" s="2473"/>
      <c r="G20" s="5"/>
    </row>
    <row r="21" spans="1:7" ht="12" customHeight="1">
      <c r="A21" s="3"/>
      <c r="B21" s="26"/>
      <c r="C21" s="26"/>
      <c r="D21" s="26"/>
      <c r="E21" s="26"/>
      <c r="F21" s="26"/>
      <c r="G21" s="5"/>
    </row>
    <row r="22" spans="1:7" ht="12" customHeight="1">
      <c r="A22" s="50" t="s">
        <v>2307</v>
      </c>
      <c r="B22" s="26"/>
      <c r="C22" s="26"/>
      <c r="D22" s="26"/>
      <c r="E22" s="26"/>
      <c r="F22" s="26"/>
      <c r="G22" s="5"/>
    </row>
    <row r="23" spans="1:7" ht="12" customHeight="1">
      <c r="A23" s="3"/>
      <c r="B23" s="26"/>
      <c r="C23" s="26"/>
      <c r="D23" s="26"/>
      <c r="E23" s="26"/>
      <c r="F23" s="26"/>
      <c r="G23" s="5"/>
    </row>
    <row r="24" spans="1:7" ht="34.950000000000003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95" customHeight="1">
      <c r="A26" s="5"/>
      <c r="B26" s="3" t="s">
        <v>673</v>
      </c>
      <c r="C26" s="3" t="s">
        <v>674</v>
      </c>
      <c r="D26" s="3" t="s">
        <v>675</v>
      </c>
      <c r="E26" s="3" t="s">
        <v>740</v>
      </c>
      <c r="F26" s="5"/>
      <c r="G26" s="5"/>
    </row>
    <row r="27" spans="1:7" ht="13.65" customHeight="1">
      <c r="A27" s="5"/>
      <c r="B27" s="3" t="s">
        <v>677</v>
      </c>
      <c r="C27" s="3" t="s">
        <v>681</v>
      </c>
      <c r="D27" s="3" t="s">
        <v>675</v>
      </c>
      <c r="E27" s="3" t="s">
        <v>1256</v>
      </c>
      <c r="F27" s="5"/>
      <c r="G27" s="5"/>
    </row>
    <row r="28" spans="1:7" ht="13.95" customHeight="1">
      <c r="A28" s="5"/>
      <c r="B28" s="3" t="s">
        <v>751</v>
      </c>
      <c r="C28" s="3" t="s">
        <v>1202</v>
      </c>
      <c r="D28" s="3" t="s">
        <v>675</v>
      </c>
      <c r="E28" s="3" t="s">
        <v>730</v>
      </c>
      <c r="F28" s="5"/>
      <c r="G28" s="5"/>
    </row>
    <row r="29" spans="1:7" ht="13.65" customHeight="1">
      <c r="A29" s="5"/>
      <c r="B29" s="3" t="s">
        <v>683</v>
      </c>
      <c r="C29" s="3" t="s">
        <v>1204</v>
      </c>
      <c r="D29" s="3" t="s">
        <v>675</v>
      </c>
      <c r="E29" s="3" t="s">
        <v>891</v>
      </c>
      <c r="F29" s="5"/>
      <c r="G29" s="5"/>
    </row>
    <row r="30" spans="1:7" ht="12" customHeight="1">
      <c r="A30" s="5"/>
      <c r="B30" s="5"/>
      <c r="C30" s="5"/>
      <c r="D30" s="5"/>
      <c r="E30" s="2474" t="s">
        <v>685</v>
      </c>
      <c r="F30" s="2474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65" customHeight="1">
      <c r="A32" s="5"/>
      <c r="B32" s="3" t="s">
        <v>1257</v>
      </c>
      <c r="C32" s="5"/>
      <c r="D32" s="3" t="s">
        <v>715</v>
      </c>
      <c r="E32" s="3" t="s">
        <v>770</v>
      </c>
      <c r="F32" s="5"/>
      <c r="G32" s="5"/>
    </row>
    <row r="33" spans="1:7" ht="13.95" customHeight="1">
      <c r="A33" s="5"/>
      <c r="B33" s="3" t="s">
        <v>1215</v>
      </c>
      <c r="C33" s="5"/>
      <c r="D33" s="3" t="s">
        <v>690</v>
      </c>
      <c r="E33" s="3" t="s">
        <v>1258</v>
      </c>
      <c r="F33" s="5"/>
      <c r="G33" s="5"/>
    </row>
    <row r="34" spans="1:7" ht="12" customHeight="1">
      <c r="A34" s="5"/>
      <c r="B34" s="5"/>
      <c r="C34" s="5"/>
      <c r="D34" s="5"/>
      <c r="E34" s="2474" t="s">
        <v>702</v>
      </c>
      <c r="F34" s="2474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2474" t="s">
        <v>705</v>
      </c>
      <c r="F37" s="2474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2474" t="s">
        <v>707</v>
      </c>
      <c r="C39" s="2474"/>
      <c r="D39" s="2474"/>
      <c r="E39" s="2474"/>
      <c r="F39" s="2474"/>
      <c r="G39" s="5"/>
    </row>
    <row r="40" spans="1:7" ht="12" customHeight="1">
      <c r="A40" s="3" t="s">
        <v>708</v>
      </c>
      <c r="B40" s="2471" t="s">
        <v>876</v>
      </c>
      <c r="C40" s="2471"/>
      <c r="D40" s="2471"/>
      <c r="E40" s="2472" t="s">
        <v>710</v>
      </c>
      <c r="F40" s="2472"/>
      <c r="G40" s="5"/>
    </row>
    <row r="41" spans="1:7" ht="12" customHeight="1">
      <c r="A41" s="3" t="s">
        <v>711</v>
      </c>
      <c r="B41" s="2473" t="s">
        <v>712</v>
      </c>
      <c r="C41" s="2473"/>
      <c r="D41" s="2473"/>
      <c r="E41" s="2473"/>
      <c r="F41" s="2473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94"/>
  <dimension ref="A1:G41"/>
  <sheetViews>
    <sheetView workbookViewId="0">
      <selection activeCell="G41" sqref="A1:G41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2308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65" customHeight="1">
      <c r="A5" s="5"/>
      <c r="B5" s="3" t="s">
        <v>673</v>
      </c>
      <c r="C5" s="3" t="s">
        <v>674</v>
      </c>
      <c r="D5" s="3" t="s">
        <v>675</v>
      </c>
      <c r="E5" s="3" t="s">
        <v>740</v>
      </c>
      <c r="F5" s="5"/>
      <c r="G5" s="5"/>
    </row>
    <row r="6" spans="1:7" ht="13.95" customHeight="1">
      <c r="A6" s="5"/>
      <c r="B6" s="3" t="s">
        <v>677</v>
      </c>
      <c r="C6" s="3" t="s">
        <v>681</v>
      </c>
      <c r="D6" s="3" t="s">
        <v>675</v>
      </c>
      <c r="E6" s="3" t="s">
        <v>1149</v>
      </c>
      <c r="F6" s="5"/>
      <c r="G6" s="5"/>
    </row>
    <row r="7" spans="1:7" ht="13.65" customHeight="1">
      <c r="A7" s="5"/>
      <c r="B7" s="3" t="s">
        <v>751</v>
      </c>
      <c r="C7" s="3" t="s">
        <v>1202</v>
      </c>
      <c r="D7" s="3" t="s">
        <v>675</v>
      </c>
      <c r="E7" s="3" t="s">
        <v>774</v>
      </c>
      <c r="F7" s="5"/>
      <c r="G7" s="5"/>
    </row>
    <row r="8" spans="1:7" ht="13.65" customHeight="1">
      <c r="A8" s="5"/>
      <c r="B8" s="3" t="s">
        <v>683</v>
      </c>
      <c r="C8" s="3" t="s">
        <v>1204</v>
      </c>
      <c r="D8" s="3" t="s">
        <v>675</v>
      </c>
      <c r="E8" s="3" t="s">
        <v>891</v>
      </c>
      <c r="F8" s="5"/>
      <c r="G8" s="5"/>
    </row>
    <row r="9" spans="1:7" ht="12" customHeight="1">
      <c r="A9" s="5"/>
      <c r="B9" s="5"/>
      <c r="C9" s="5"/>
      <c r="D9" s="5"/>
      <c r="E9" s="2474" t="s">
        <v>685</v>
      </c>
      <c r="F9" s="2474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5" customHeight="1">
      <c r="A11" s="5"/>
      <c r="B11" s="3" t="s">
        <v>1259</v>
      </c>
      <c r="C11" s="5"/>
      <c r="D11" s="3" t="s">
        <v>715</v>
      </c>
      <c r="E11" s="3" t="s">
        <v>1140</v>
      </c>
      <c r="F11" s="5"/>
      <c r="G11" s="5"/>
    </row>
    <row r="12" spans="1:7" ht="13.65" customHeight="1">
      <c r="A12" s="5"/>
      <c r="B12" s="3" t="s">
        <v>1260</v>
      </c>
      <c r="C12" s="5"/>
      <c r="D12" s="3" t="s">
        <v>690</v>
      </c>
      <c r="E12" s="3" t="s">
        <v>728</v>
      </c>
      <c r="F12" s="5"/>
      <c r="G12" s="5"/>
    </row>
    <row r="13" spans="1:7" ht="12" customHeight="1">
      <c r="A13" s="5"/>
      <c r="B13" s="5"/>
      <c r="C13" s="5"/>
      <c r="D13" s="5"/>
      <c r="E13" s="2474" t="s">
        <v>702</v>
      </c>
      <c r="F13" s="2474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2474" t="s">
        <v>705</v>
      </c>
      <c r="F16" s="2474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2474" t="s">
        <v>707</v>
      </c>
      <c r="C18" s="2474"/>
      <c r="D18" s="2474"/>
      <c r="E18" s="2474"/>
      <c r="F18" s="2474"/>
      <c r="G18" s="5"/>
    </row>
    <row r="19" spans="1:7" ht="12" customHeight="1">
      <c r="A19" s="3" t="s">
        <v>708</v>
      </c>
      <c r="B19" s="2471" t="s">
        <v>876</v>
      </c>
      <c r="C19" s="2471"/>
      <c r="D19" s="2471"/>
      <c r="E19" s="2472" t="s">
        <v>710</v>
      </c>
      <c r="F19" s="2472"/>
      <c r="G19" s="5"/>
    </row>
    <row r="20" spans="1:7" ht="12" customHeight="1">
      <c r="A20" s="3" t="s">
        <v>711</v>
      </c>
      <c r="B20" s="2473" t="s">
        <v>712</v>
      </c>
      <c r="C20" s="2473"/>
      <c r="D20" s="2473"/>
      <c r="E20" s="2473"/>
      <c r="F20" s="2473"/>
      <c r="G20" s="5"/>
    </row>
    <row r="21" spans="1:7" ht="12" customHeight="1">
      <c r="A21" s="3"/>
      <c r="B21" s="26"/>
      <c r="C21" s="26"/>
      <c r="D21" s="26"/>
      <c r="E21" s="26"/>
      <c r="F21" s="26"/>
      <c r="G21" s="5"/>
    </row>
    <row r="22" spans="1:7" ht="12" customHeight="1">
      <c r="A22" s="50" t="s">
        <v>2309</v>
      </c>
      <c r="B22" s="26"/>
      <c r="C22" s="26"/>
      <c r="D22" s="26"/>
      <c r="E22" s="26"/>
      <c r="F22" s="26"/>
      <c r="G22" s="5"/>
    </row>
    <row r="23" spans="1:7" ht="12" customHeight="1">
      <c r="A23" s="3"/>
      <c r="B23" s="26"/>
      <c r="C23" s="26"/>
      <c r="D23" s="26"/>
      <c r="E23" s="26"/>
      <c r="F23" s="26"/>
      <c r="G23" s="5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65" customHeight="1">
      <c r="A26" s="5"/>
      <c r="B26" s="3" t="s">
        <v>673</v>
      </c>
      <c r="C26" s="3" t="s">
        <v>674</v>
      </c>
      <c r="D26" s="3" t="s">
        <v>675</v>
      </c>
      <c r="E26" s="3" t="s">
        <v>741</v>
      </c>
      <c r="F26" s="5"/>
      <c r="G26" s="5"/>
    </row>
    <row r="27" spans="1:7" ht="13.65" customHeight="1">
      <c r="A27" s="5"/>
      <c r="B27" s="3" t="s">
        <v>677</v>
      </c>
      <c r="C27" s="3" t="s">
        <v>681</v>
      </c>
      <c r="D27" s="3" t="s">
        <v>675</v>
      </c>
      <c r="E27" s="3" t="s">
        <v>719</v>
      </c>
      <c r="F27" s="5"/>
      <c r="G27" s="5"/>
    </row>
    <row r="28" spans="1:7" ht="13.95" customHeight="1">
      <c r="A28" s="5"/>
      <c r="B28" s="3" t="s">
        <v>751</v>
      </c>
      <c r="C28" s="3" t="s">
        <v>1202</v>
      </c>
      <c r="D28" s="3" t="s">
        <v>675</v>
      </c>
      <c r="E28" s="3" t="s">
        <v>1261</v>
      </c>
      <c r="F28" s="5"/>
      <c r="G28" s="5"/>
    </row>
    <row r="29" spans="1:7" ht="13.65" customHeight="1">
      <c r="A29" s="5"/>
      <c r="B29" s="3" t="s">
        <v>683</v>
      </c>
      <c r="C29" s="3" t="s">
        <v>1204</v>
      </c>
      <c r="D29" s="3" t="s">
        <v>675</v>
      </c>
      <c r="E29" s="3" t="s">
        <v>753</v>
      </c>
      <c r="F29" s="5"/>
      <c r="G29" s="5"/>
    </row>
    <row r="30" spans="1:7" ht="12" customHeight="1">
      <c r="A30" s="5"/>
      <c r="B30" s="5"/>
      <c r="C30" s="5"/>
      <c r="D30" s="5"/>
      <c r="E30" s="2474" t="s">
        <v>685</v>
      </c>
      <c r="F30" s="2474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65" customHeight="1">
      <c r="A32" s="5"/>
      <c r="B32" s="3" t="s">
        <v>1262</v>
      </c>
      <c r="C32" s="5"/>
      <c r="D32" s="3" t="s">
        <v>743</v>
      </c>
      <c r="E32" s="3" t="s">
        <v>1234</v>
      </c>
      <c r="F32" s="5"/>
      <c r="G32" s="5"/>
    </row>
    <row r="33" spans="1:7" ht="13.95" customHeight="1">
      <c r="A33" s="5"/>
      <c r="B33" s="3" t="s">
        <v>1260</v>
      </c>
      <c r="C33" s="5"/>
      <c r="D33" s="3" t="s">
        <v>690</v>
      </c>
      <c r="E33" s="3" t="s">
        <v>1258</v>
      </c>
      <c r="F33" s="5"/>
      <c r="G33" s="5"/>
    </row>
    <row r="34" spans="1:7" ht="12" customHeight="1">
      <c r="A34" s="5"/>
      <c r="B34" s="5"/>
      <c r="C34" s="5"/>
      <c r="D34" s="5"/>
      <c r="E34" s="2474" t="s">
        <v>702</v>
      </c>
      <c r="F34" s="2474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2474" t="s">
        <v>705</v>
      </c>
      <c r="F37" s="2474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2474" t="s">
        <v>707</v>
      </c>
      <c r="C39" s="2474"/>
      <c r="D39" s="2474"/>
      <c r="E39" s="2474"/>
      <c r="F39" s="2474"/>
      <c r="G39" s="5"/>
    </row>
    <row r="40" spans="1:7" ht="12" customHeight="1">
      <c r="A40" s="3" t="s">
        <v>708</v>
      </c>
      <c r="B40" s="2471" t="s">
        <v>876</v>
      </c>
      <c r="C40" s="2471"/>
      <c r="D40" s="2471"/>
      <c r="E40" s="2472" t="s">
        <v>710</v>
      </c>
      <c r="F40" s="2472"/>
      <c r="G40" s="5"/>
    </row>
    <row r="41" spans="1:7" ht="12" customHeight="1">
      <c r="A41" s="3" t="s">
        <v>711</v>
      </c>
      <c r="B41" s="2473" t="s">
        <v>712</v>
      </c>
      <c r="C41" s="2473"/>
      <c r="D41" s="2473"/>
      <c r="E41" s="2473"/>
      <c r="F41" s="2473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95"/>
  <dimension ref="A1:G19"/>
  <sheetViews>
    <sheetView workbookViewId="0">
      <selection activeCell="G19" sqref="A1:G19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6.5546875" customWidth="1"/>
    <col min="5" max="5" width="7.88671875" customWidth="1"/>
    <col min="6" max="7" width="10.109375" customWidth="1"/>
  </cols>
  <sheetData>
    <row r="1" spans="1:7">
      <c r="A1" s="51" t="s">
        <v>2310</v>
      </c>
    </row>
    <row r="3" spans="1:7" ht="35.1" customHeight="1">
      <c r="A3" s="6" t="s">
        <v>762</v>
      </c>
      <c r="B3" s="91" t="s">
        <v>763</v>
      </c>
      <c r="C3" s="6" t="s">
        <v>764</v>
      </c>
      <c r="D3" s="91" t="s">
        <v>765</v>
      </c>
      <c r="E3" s="91" t="s">
        <v>766</v>
      </c>
      <c r="F3" s="91" t="s">
        <v>767</v>
      </c>
      <c r="G3" s="109" t="s">
        <v>768</v>
      </c>
    </row>
    <row r="4" spans="1:7" ht="12" customHeight="1">
      <c r="A4" s="3" t="s">
        <v>671</v>
      </c>
      <c r="B4" s="96" t="s">
        <v>672</v>
      </c>
      <c r="C4" s="5"/>
      <c r="D4" s="86"/>
      <c r="E4" s="86"/>
      <c r="F4" s="86"/>
      <c r="G4" s="107"/>
    </row>
    <row r="5" spans="1:7" ht="13.65" customHeight="1">
      <c r="A5" s="5"/>
      <c r="B5" s="96" t="s">
        <v>673</v>
      </c>
      <c r="C5" s="3" t="s">
        <v>674</v>
      </c>
      <c r="D5" s="96" t="s">
        <v>675</v>
      </c>
      <c r="E5" s="96" t="s">
        <v>740</v>
      </c>
      <c r="F5" s="86"/>
      <c r="G5" s="107"/>
    </row>
    <row r="6" spans="1:7" ht="13.95" customHeight="1">
      <c r="A6" s="5"/>
      <c r="B6" s="96" t="s">
        <v>677</v>
      </c>
      <c r="C6" s="3" t="s">
        <v>681</v>
      </c>
      <c r="D6" s="96" t="s">
        <v>675</v>
      </c>
      <c r="E6" s="96" t="s">
        <v>753</v>
      </c>
      <c r="F6" s="86"/>
      <c r="G6" s="107"/>
    </row>
    <row r="7" spans="1:7" ht="13.65" customHeight="1">
      <c r="A7" s="5"/>
      <c r="B7" s="96" t="s">
        <v>751</v>
      </c>
      <c r="C7" s="3" t="s">
        <v>1202</v>
      </c>
      <c r="D7" s="96" t="s">
        <v>675</v>
      </c>
      <c r="E7" s="96" t="s">
        <v>693</v>
      </c>
      <c r="F7" s="86"/>
      <c r="G7" s="107"/>
    </row>
    <row r="8" spans="1:7" ht="13.65" customHeight="1">
      <c r="A8" s="5"/>
      <c r="B8" s="96" t="s">
        <v>683</v>
      </c>
      <c r="C8" s="3" t="s">
        <v>1204</v>
      </c>
      <c r="D8" s="96" t="s">
        <v>675</v>
      </c>
      <c r="E8" s="96" t="s">
        <v>868</v>
      </c>
      <c r="F8" s="86"/>
      <c r="G8" s="107"/>
    </row>
    <row r="9" spans="1:7" ht="12" customHeight="1">
      <c r="A9" s="5"/>
      <c r="B9" s="86"/>
      <c r="C9" s="5"/>
      <c r="D9" s="86"/>
      <c r="E9" s="96" t="s">
        <v>685</v>
      </c>
      <c r="F9" s="102"/>
      <c r="G9" s="107"/>
    </row>
    <row r="10" spans="1:7" ht="12" customHeight="1">
      <c r="A10" s="3" t="s">
        <v>686</v>
      </c>
      <c r="B10" s="96" t="s">
        <v>687</v>
      </c>
      <c r="C10" s="5"/>
      <c r="D10" s="86"/>
      <c r="E10" s="86"/>
      <c r="F10" s="86"/>
      <c r="G10" s="107"/>
    </row>
    <row r="11" spans="1:7" ht="13.95" customHeight="1">
      <c r="A11" s="5"/>
      <c r="B11" s="96" t="s">
        <v>1263</v>
      </c>
      <c r="C11" s="5"/>
      <c r="D11" s="96" t="s">
        <v>1264</v>
      </c>
      <c r="E11" s="96" t="s">
        <v>1140</v>
      </c>
      <c r="F11" s="86"/>
      <c r="G11" s="107"/>
    </row>
    <row r="12" spans="1:7" ht="12" customHeight="1">
      <c r="A12" s="5"/>
      <c r="B12" s="86"/>
      <c r="C12" s="5"/>
      <c r="D12" s="86"/>
      <c r="E12" s="96" t="s">
        <v>702</v>
      </c>
      <c r="F12" s="102"/>
      <c r="G12" s="107"/>
    </row>
    <row r="13" spans="1:7" ht="12" customHeight="1">
      <c r="A13" s="3" t="s">
        <v>703</v>
      </c>
      <c r="B13" s="96" t="s">
        <v>704</v>
      </c>
      <c r="C13" s="5"/>
      <c r="D13" s="86"/>
      <c r="E13" s="86"/>
      <c r="F13" s="86"/>
      <c r="G13" s="107"/>
    </row>
    <row r="14" spans="1:7" ht="12" customHeight="1">
      <c r="A14" s="5"/>
      <c r="B14" s="86"/>
      <c r="C14" s="5"/>
      <c r="D14" s="86"/>
      <c r="E14" s="86"/>
      <c r="F14" s="86"/>
      <c r="G14" s="107"/>
    </row>
    <row r="15" spans="1:7" ht="12" customHeight="1">
      <c r="A15" s="5"/>
      <c r="B15" s="86"/>
      <c r="C15" s="5"/>
      <c r="D15" s="86"/>
      <c r="E15" s="96" t="s">
        <v>705</v>
      </c>
      <c r="F15" s="102"/>
      <c r="G15" s="107"/>
    </row>
    <row r="16" spans="1:7" ht="12" customHeight="1">
      <c r="A16" s="5"/>
      <c r="B16" s="86"/>
      <c r="C16" s="5"/>
      <c r="D16" s="86"/>
      <c r="E16" s="86"/>
      <c r="F16" s="86"/>
      <c r="G16" s="107"/>
    </row>
    <row r="17" spans="1:7" ht="12" customHeight="1">
      <c r="A17" s="3" t="s">
        <v>706</v>
      </c>
      <c r="B17" s="96" t="s">
        <v>707</v>
      </c>
      <c r="C17" s="102"/>
      <c r="D17" s="102"/>
      <c r="E17" s="102"/>
      <c r="F17" s="102"/>
      <c r="G17" s="107"/>
    </row>
    <row r="18" spans="1:7" ht="12" customHeight="1">
      <c r="A18" s="3" t="s">
        <v>708</v>
      </c>
      <c r="B18" s="92" t="s">
        <v>876</v>
      </c>
      <c r="C18" s="93"/>
      <c r="D18" s="93"/>
      <c r="E18" s="96" t="s">
        <v>710</v>
      </c>
      <c r="F18" s="102"/>
      <c r="G18" s="107"/>
    </row>
    <row r="19" spans="1:7" ht="12" customHeight="1">
      <c r="A19" s="3" t="s">
        <v>711</v>
      </c>
      <c r="B19" s="96" t="s">
        <v>712</v>
      </c>
      <c r="C19" s="102"/>
      <c r="D19" s="102"/>
      <c r="E19" s="102"/>
      <c r="F19" s="102"/>
      <c r="G19" s="107"/>
    </row>
  </sheetData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96"/>
  <dimension ref="A1:G21"/>
  <sheetViews>
    <sheetView workbookViewId="0">
      <selection sqref="A1:G21"/>
    </sheetView>
  </sheetViews>
  <sheetFormatPr defaultRowHeight="14.4"/>
  <cols>
    <col min="1" max="1" width="5.33203125" customWidth="1"/>
    <col min="2" max="2" width="22.33203125" customWidth="1"/>
    <col min="3" max="3" width="7.33203125" customWidth="1"/>
    <col min="4" max="4" width="11" customWidth="1"/>
    <col min="5" max="5" width="14.6640625" customWidth="1"/>
    <col min="6" max="6" width="14.33203125" customWidth="1"/>
    <col min="7" max="7" width="16.6640625" customWidth="1"/>
  </cols>
  <sheetData>
    <row r="1" spans="1:7" ht="12" customHeight="1">
      <c r="A1" s="112" t="s">
        <v>2311</v>
      </c>
      <c r="B1" s="38"/>
      <c r="C1" s="38"/>
      <c r="D1" s="38"/>
      <c r="E1" s="38"/>
      <c r="F1" s="38"/>
      <c r="G1" s="37"/>
    </row>
    <row r="2" spans="1:7" ht="12" customHeight="1">
      <c r="A2" s="50" t="s">
        <v>2312</v>
      </c>
      <c r="B2" s="38"/>
      <c r="C2" s="38"/>
      <c r="D2" s="38"/>
      <c r="E2" s="38"/>
      <c r="F2" s="38"/>
      <c r="G2" s="37"/>
    </row>
    <row r="3" spans="1:7" ht="12" customHeight="1">
      <c r="A3" s="100"/>
      <c r="B3" s="100"/>
      <c r="C3" s="100"/>
      <c r="D3" s="100"/>
      <c r="E3" s="100"/>
      <c r="F3" s="100"/>
      <c r="G3" s="95"/>
    </row>
    <row r="4" spans="1:7" ht="40.200000000000003" customHeight="1">
      <c r="A4" s="6" t="s">
        <v>762</v>
      </c>
      <c r="B4" s="6" t="s">
        <v>763</v>
      </c>
      <c r="C4" s="91" t="s">
        <v>764</v>
      </c>
      <c r="D4" s="91" t="s">
        <v>765</v>
      </c>
      <c r="E4" s="91" t="s">
        <v>766</v>
      </c>
      <c r="F4" s="91" t="s">
        <v>767</v>
      </c>
      <c r="G4" s="7" t="s">
        <v>768</v>
      </c>
    </row>
    <row r="5" spans="1:7" ht="13.65" customHeight="1">
      <c r="A5" s="3" t="s">
        <v>671</v>
      </c>
      <c r="B5" s="3" t="s">
        <v>672</v>
      </c>
      <c r="C5" s="86"/>
      <c r="D5" s="86"/>
      <c r="E5" s="86"/>
      <c r="F5" s="86"/>
      <c r="G5" s="5"/>
    </row>
    <row r="6" spans="1:7" ht="13.95" customHeight="1">
      <c r="A6" s="5"/>
      <c r="B6" s="3" t="s">
        <v>673</v>
      </c>
      <c r="C6" s="96" t="s">
        <v>674</v>
      </c>
      <c r="D6" s="96" t="s">
        <v>675</v>
      </c>
      <c r="E6" s="96" t="s">
        <v>999</v>
      </c>
      <c r="F6" s="86"/>
      <c r="G6" s="5"/>
    </row>
    <row r="7" spans="1:7" ht="13.65" customHeight="1">
      <c r="A7" s="5"/>
      <c r="B7" s="3" t="s">
        <v>871</v>
      </c>
      <c r="C7" s="96" t="s">
        <v>681</v>
      </c>
      <c r="D7" s="96" t="s">
        <v>675</v>
      </c>
      <c r="E7" s="96" t="s">
        <v>1265</v>
      </c>
      <c r="F7" s="86"/>
      <c r="G7" s="5"/>
    </row>
    <row r="8" spans="1:7" ht="13.95" customHeight="1">
      <c r="A8" s="5"/>
      <c r="B8" s="3" t="s">
        <v>751</v>
      </c>
      <c r="C8" s="96" t="s">
        <v>681</v>
      </c>
      <c r="D8" s="96" t="s">
        <v>675</v>
      </c>
      <c r="E8" s="96" t="s">
        <v>844</v>
      </c>
      <c r="F8" s="86"/>
      <c r="G8" s="5"/>
    </row>
    <row r="9" spans="1:7" ht="13.65" customHeight="1">
      <c r="A9" s="5"/>
      <c r="B9" s="3" t="s">
        <v>683</v>
      </c>
      <c r="C9" s="96" t="s">
        <v>684</v>
      </c>
      <c r="D9" s="96" t="s">
        <v>675</v>
      </c>
      <c r="E9" s="96" t="s">
        <v>845</v>
      </c>
      <c r="F9" s="86"/>
      <c r="G9" s="5"/>
    </row>
    <row r="10" spans="1:7" ht="13.65" customHeight="1">
      <c r="A10" s="5"/>
      <c r="B10" s="5"/>
      <c r="C10" s="86"/>
      <c r="D10" s="86"/>
      <c r="E10" s="96" t="s">
        <v>685</v>
      </c>
      <c r="F10" s="102"/>
      <c r="G10" s="5"/>
    </row>
    <row r="11" spans="1:7" ht="13.95" customHeight="1">
      <c r="A11" s="3" t="s">
        <v>686</v>
      </c>
      <c r="B11" s="3" t="s">
        <v>687</v>
      </c>
      <c r="C11" s="86"/>
      <c r="D11" s="86"/>
      <c r="E11" s="86"/>
      <c r="F11" s="86"/>
      <c r="G11" s="5"/>
    </row>
    <row r="12" spans="1:7" ht="13.65" customHeight="1">
      <c r="A12" s="5"/>
      <c r="B12" s="3" t="s">
        <v>1266</v>
      </c>
      <c r="C12" s="86"/>
      <c r="D12" s="101" t="s">
        <v>815</v>
      </c>
      <c r="E12" s="96" t="s">
        <v>737</v>
      </c>
      <c r="F12" s="86"/>
      <c r="G12" s="5"/>
    </row>
    <row r="13" spans="1:7" ht="13.65" customHeight="1">
      <c r="A13" s="5"/>
      <c r="B13" s="3" t="s">
        <v>1267</v>
      </c>
      <c r="C13" s="86"/>
      <c r="D13" s="96" t="s">
        <v>690</v>
      </c>
      <c r="E13" s="96" t="s">
        <v>713</v>
      </c>
      <c r="F13" s="86"/>
      <c r="G13" s="5"/>
    </row>
    <row r="14" spans="1:7" ht="13.95" customHeight="1">
      <c r="A14" s="5"/>
      <c r="B14" s="3" t="s">
        <v>1268</v>
      </c>
      <c r="C14" s="86"/>
      <c r="D14" s="96" t="s">
        <v>690</v>
      </c>
      <c r="E14" s="96" t="s">
        <v>775</v>
      </c>
      <c r="F14" s="86"/>
      <c r="G14" s="5"/>
    </row>
    <row r="15" spans="1:7" ht="13.65" customHeight="1">
      <c r="A15" s="5"/>
      <c r="B15" s="5"/>
      <c r="C15" s="86"/>
      <c r="D15" s="86"/>
      <c r="E15" s="96" t="s">
        <v>702</v>
      </c>
      <c r="F15" s="102"/>
      <c r="G15" s="5"/>
    </row>
    <row r="16" spans="1:7" ht="13.65" customHeight="1">
      <c r="A16" s="3" t="s">
        <v>703</v>
      </c>
      <c r="B16" s="3" t="s">
        <v>704</v>
      </c>
      <c r="C16" s="86"/>
      <c r="D16" s="86"/>
      <c r="E16" s="86"/>
      <c r="F16" s="86"/>
      <c r="G16" s="5"/>
    </row>
    <row r="17" spans="1:7" ht="13.95" customHeight="1">
      <c r="A17" s="5"/>
      <c r="B17" s="5"/>
      <c r="C17" s="86"/>
      <c r="D17" s="86"/>
      <c r="E17" s="96" t="s">
        <v>705</v>
      </c>
      <c r="F17" s="102"/>
      <c r="G17" s="5"/>
    </row>
    <row r="18" spans="1:7" ht="13.65" customHeight="1">
      <c r="A18" s="5"/>
      <c r="B18" s="5"/>
      <c r="C18" s="86"/>
      <c r="D18" s="86"/>
      <c r="E18" s="86"/>
      <c r="F18" s="86"/>
      <c r="G18" s="5"/>
    </row>
    <row r="19" spans="1:7" ht="13.95" customHeight="1">
      <c r="A19" s="3" t="s">
        <v>706</v>
      </c>
      <c r="B19" s="96" t="s">
        <v>707</v>
      </c>
      <c r="C19" s="102"/>
      <c r="D19" s="102"/>
      <c r="E19" s="102"/>
      <c r="F19" s="102"/>
      <c r="G19" s="5"/>
    </row>
    <row r="20" spans="1:7" ht="13.65" customHeight="1">
      <c r="A20" s="3" t="s">
        <v>708</v>
      </c>
      <c r="B20" s="92" t="s">
        <v>876</v>
      </c>
      <c r="C20" s="93"/>
      <c r="D20" s="93"/>
      <c r="E20" s="96" t="s">
        <v>710</v>
      </c>
      <c r="F20" s="102"/>
      <c r="G20" s="5"/>
    </row>
    <row r="21" spans="1:7" ht="13.65" customHeight="1">
      <c r="A21" s="3" t="s">
        <v>711</v>
      </c>
      <c r="B21" s="2473" t="s">
        <v>712</v>
      </c>
      <c r="C21" s="2473"/>
      <c r="D21" s="2473"/>
      <c r="E21" s="2473"/>
      <c r="F21" s="2473"/>
      <c r="G21" s="5"/>
    </row>
  </sheetData>
  <mergeCells count="1">
    <mergeCell ref="B21:F21"/>
  </mergeCells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97"/>
  <dimension ref="A1:G41"/>
  <sheetViews>
    <sheetView workbookViewId="0">
      <selection activeCell="G41" sqref="A1:G41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8" customWidth="1"/>
    <col min="5" max="5" width="14.6640625" customWidth="1"/>
    <col min="6" max="6" width="14.33203125" customWidth="1"/>
    <col min="7" max="7" width="16.6640625" customWidth="1"/>
  </cols>
  <sheetData>
    <row r="1" spans="1:7">
      <c r="A1" s="50" t="s">
        <v>2313</v>
      </c>
    </row>
    <row r="3" spans="1:7" ht="40.200000000000003" customHeight="1">
      <c r="A3" s="6" t="s">
        <v>762</v>
      </c>
      <c r="B3" s="91" t="s">
        <v>763</v>
      </c>
      <c r="C3" s="91" t="s">
        <v>764</v>
      </c>
      <c r="D3" s="91" t="s">
        <v>765</v>
      </c>
      <c r="E3" s="91" t="s">
        <v>766</v>
      </c>
      <c r="F3" s="91" t="s">
        <v>767</v>
      </c>
      <c r="G3" s="7" t="s">
        <v>768</v>
      </c>
    </row>
    <row r="4" spans="1:7" ht="13.65" customHeight="1">
      <c r="A4" s="3" t="s">
        <v>671</v>
      </c>
      <c r="B4" s="96" t="s">
        <v>672</v>
      </c>
      <c r="C4" s="86"/>
      <c r="D4" s="86"/>
      <c r="E4" s="86"/>
      <c r="F4" s="86"/>
      <c r="G4" s="5"/>
    </row>
    <row r="5" spans="1:7" ht="13.65" customHeight="1">
      <c r="A5" s="5"/>
      <c r="B5" s="96" t="s">
        <v>673</v>
      </c>
      <c r="C5" s="96" t="s">
        <v>674</v>
      </c>
      <c r="D5" s="96" t="s">
        <v>675</v>
      </c>
      <c r="E5" s="96" t="s">
        <v>813</v>
      </c>
      <c r="F5" s="86"/>
      <c r="G5" s="5"/>
    </row>
    <row r="6" spans="1:7" ht="13.95" customHeight="1">
      <c r="A6" s="5"/>
      <c r="B6" s="96" t="s">
        <v>871</v>
      </c>
      <c r="C6" s="96" t="s">
        <v>681</v>
      </c>
      <c r="D6" s="96" t="s">
        <v>675</v>
      </c>
      <c r="E6" s="96" t="s">
        <v>1269</v>
      </c>
      <c r="F6" s="86"/>
      <c r="G6" s="5"/>
    </row>
    <row r="7" spans="1:7" ht="13.65" customHeight="1">
      <c r="A7" s="5"/>
      <c r="B7" s="96" t="s">
        <v>751</v>
      </c>
      <c r="C7" s="96" t="s">
        <v>681</v>
      </c>
      <c r="D7" s="96" t="s">
        <v>675</v>
      </c>
      <c r="E7" s="96" t="s">
        <v>836</v>
      </c>
      <c r="F7" s="86"/>
      <c r="G7" s="5"/>
    </row>
    <row r="8" spans="1:7" ht="13.65" customHeight="1">
      <c r="A8" s="5"/>
      <c r="B8" s="96" t="s">
        <v>683</v>
      </c>
      <c r="C8" s="96" t="s">
        <v>684</v>
      </c>
      <c r="D8" s="96" t="s">
        <v>675</v>
      </c>
      <c r="E8" s="96" t="s">
        <v>718</v>
      </c>
      <c r="F8" s="86"/>
      <c r="G8" s="5"/>
    </row>
    <row r="9" spans="1:7" ht="13.95" customHeight="1">
      <c r="A9" s="5"/>
      <c r="B9" s="86"/>
      <c r="C9" s="86"/>
      <c r="D9" s="86"/>
      <c r="E9" s="96" t="s">
        <v>685</v>
      </c>
      <c r="F9" s="102"/>
      <c r="G9" s="5"/>
    </row>
    <row r="10" spans="1:7" ht="13.65" customHeight="1">
      <c r="A10" s="3" t="s">
        <v>686</v>
      </c>
      <c r="B10" s="96" t="s">
        <v>687</v>
      </c>
      <c r="C10" s="86"/>
      <c r="D10" s="86"/>
      <c r="E10" s="86"/>
      <c r="F10" s="86"/>
      <c r="G10" s="5"/>
    </row>
    <row r="11" spans="1:7" ht="13.95" customHeight="1">
      <c r="A11" s="5"/>
      <c r="B11" s="96" t="s">
        <v>1266</v>
      </c>
      <c r="C11" s="86"/>
      <c r="D11" s="101" t="s">
        <v>815</v>
      </c>
      <c r="E11" s="96" t="s">
        <v>800</v>
      </c>
      <c r="F11" s="86"/>
      <c r="G11" s="5"/>
    </row>
    <row r="12" spans="1:7" ht="13.65" customHeight="1">
      <c r="A12" s="5"/>
      <c r="B12" s="96" t="s">
        <v>1267</v>
      </c>
      <c r="C12" s="86"/>
      <c r="D12" s="96" t="s">
        <v>690</v>
      </c>
      <c r="E12" s="96" t="s">
        <v>713</v>
      </c>
      <c r="F12" s="86"/>
      <c r="G12" s="5"/>
    </row>
    <row r="13" spans="1:7" ht="13.65" customHeight="1">
      <c r="A13" s="5"/>
      <c r="B13" s="96" t="s">
        <v>1268</v>
      </c>
      <c r="C13" s="86"/>
      <c r="D13" s="96" t="s">
        <v>690</v>
      </c>
      <c r="E13" s="96" t="s">
        <v>775</v>
      </c>
      <c r="F13" s="86"/>
      <c r="G13" s="5"/>
    </row>
    <row r="14" spans="1:7" ht="13.95" customHeight="1">
      <c r="A14" s="5"/>
      <c r="B14" s="86"/>
      <c r="C14" s="86"/>
      <c r="D14" s="86"/>
      <c r="E14" s="96" t="s">
        <v>702</v>
      </c>
      <c r="F14" s="102"/>
      <c r="G14" s="5"/>
    </row>
    <row r="15" spans="1:7" ht="13.65" customHeight="1">
      <c r="A15" s="3" t="s">
        <v>703</v>
      </c>
      <c r="B15" s="96" t="s">
        <v>704</v>
      </c>
      <c r="C15" s="86"/>
      <c r="D15" s="86"/>
      <c r="E15" s="86"/>
      <c r="F15" s="86"/>
      <c r="G15" s="5"/>
    </row>
    <row r="16" spans="1:7" ht="13.65" customHeight="1">
      <c r="A16" s="5"/>
      <c r="B16" s="86"/>
      <c r="C16" s="86"/>
      <c r="D16" s="86"/>
      <c r="E16" s="96" t="s">
        <v>705</v>
      </c>
      <c r="F16" s="102"/>
      <c r="G16" s="5"/>
    </row>
    <row r="17" spans="1:7" ht="13.95" customHeight="1">
      <c r="A17" s="5"/>
      <c r="B17" s="86"/>
      <c r="C17" s="86"/>
      <c r="D17" s="87"/>
      <c r="E17" s="86"/>
      <c r="F17" s="86"/>
      <c r="G17" s="5"/>
    </row>
    <row r="18" spans="1:7" ht="13.65" customHeight="1">
      <c r="A18" s="3" t="s">
        <v>706</v>
      </c>
      <c r="B18" s="96" t="s">
        <v>707</v>
      </c>
      <c r="C18" s="102"/>
      <c r="D18" s="102"/>
      <c r="E18" s="102"/>
      <c r="F18" s="102"/>
      <c r="G18" s="5"/>
    </row>
    <row r="19" spans="1:7" ht="13.65" customHeight="1">
      <c r="A19" s="3" t="s">
        <v>708</v>
      </c>
      <c r="B19" s="92" t="s">
        <v>876</v>
      </c>
      <c r="C19" s="93"/>
      <c r="D19" s="93"/>
      <c r="E19" s="96" t="s">
        <v>710</v>
      </c>
      <c r="F19" s="102"/>
      <c r="G19" s="5"/>
    </row>
    <row r="20" spans="1:7" ht="13.95" customHeight="1">
      <c r="A20" s="3" t="s">
        <v>711</v>
      </c>
      <c r="B20" s="96" t="s">
        <v>712</v>
      </c>
      <c r="C20" s="102"/>
      <c r="D20" s="102"/>
      <c r="E20" s="102"/>
      <c r="F20" s="102"/>
      <c r="G20" s="5"/>
    </row>
    <row r="21" spans="1:7" ht="13.95" customHeight="1">
      <c r="A21" s="3"/>
      <c r="B21" s="26"/>
      <c r="C21" s="26"/>
      <c r="D21" s="26"/>
      <c r="E21" s="26"/>
      <c r="F21" s="26"/>
      <c r="G21" s="5"/>
    </row>
    <row r="22" spans="1:7" ht="13.95" customHeight="1">
      <c r="A22" s="55" t="s">
        <v>2314</v>
      </c>
      <c r="B22" s="26"/>
      <c r="C22" s="26"/>
      <c r="D22" s="26"/>
      <c r="E22" s="26"/>
      <c r="F22" s="26"/>
      <c r="G22" s="5"/>
    </row>
    <row r="23" spans="1:7" ht="13.95" customHeight="1">
      <c r="A23" s="3"/>
      <c r="B23" s="26"/>
      <c r="C23" s="26"/>
      <c r="D23" s="26"/>
      <c r="E23" s="26"/>
      <c r="F23" s="26"/>
      <c r="G23" s="5"/>
    </row>
    <row r="24" spans="1:7" ht="40.200000000000003" customHeight="1">
      <c r="A24" s="6" t="s">
        <v>762</v>
      </c>
      <c r="B24" s="6" t="s">
        <v>763</v>
      </c>
      <c r="C24" s="91" t="s">
        <v>764</v>
      </c>
      <c r="D24" s="91" t="s">
        <v>765</v>
      </c>
      <c r="E24" s="91" t="s">
        <v>766</v>
      </c>
      <c r="F24" s="91" t="s">
        <v>767</v>
      </c>
      <c r="G24" s="109" t="s">
        <v>768</v>
      </c>
    </row>
    <row r="25" spans="1:7" ht="13.65" customHeight="1">
      <c r="A25" s="3" t="s">
        <v>671</v>
      </c>
      <c r="B25" s="3" t="s">
        <v>672</v>
      </c>
      <c r="C25" s="86"/>
      <c r="D25" s="86"/>
      <c r="E25" s="86"/>
      <c r="F25" s="87"/>
      <c r="G25" s="87"/>
    </row>
    <row r="26" spans="1:7" ht="13.95" customHeight="1">
      <c r="A26" s="5"/>
      <c r="B26" s="3" t="s">
        <v>673</v>
      </c>
      <c r="C26" s="96" t="s">
        <v>674</v>
      </c>
      <c r="D26" s="96" t="s">
        <v>675</v>
      </c>
      <c r="E26" s="96" t="s">
        <v>845</v>
      </c>
      <c r="F26" s="87"/>
      <c r="G26" s="87"/>
    </row>
    <row r="27" spans="1:7" ht="13.65" customHeight="1">
      <c r="A27" s="5"/>
      <c r="B27" s="3" t="s">
        <v>871</v>
      </c>
      <c r="C27" s="96" t="s">
        <v>681</v>
      </c>
      <c r="D27" s="96" t="s">
        <v>675</v>
      </c>
      <c r="E27" s="96" t="s">
        <v>797</v>
      </c>
      <c r="F27" s="87"/>
      <c r="G27" s="87"/>
    </row>
    <row r="28" spans="1:7" ht="13.95" customHeight="1">
      <c r="A28" s="5"/>
      <c r="B28" s="3" t="s">
        <v>751</v>
      </c>
      <c r="C28" s="96" t="s">
        <v>681</v>
      </c>
      <c r="D28" s="96" t="s">
        <v>675</v>
      </c>
      <c r="E28" s="96" t="s">
        <v>847</v>
      </c>
      <c r="F28" s="87"/>
      <c r="G28" s="87"/>
    </row>
    <row r="29" spans="1:7" ht="13.65" customHeight="1">
      <c r="A29" s="5"/>
      <c r="B29" s="3" t="s">
        <v>683</v>
      </c>
      <c r="C29" s="96" t="s">
        <v>684</v>
      </c>
      <c r="D29" s="96" t="s">
        <v>675</v>
      </c>
      <c r="E29" s="96" t="s">
        <v>865</v>
      </c>
      <c r="F29" s="87"/>
      <c r="G29" s="87"/>
    </row>
    <row r="30" spans="1:7" ht="13.65" customHeight="1">
      <c r="A30" s="5"/>
      <c r="B30" s="5"/>
      <c r="C30" s="86"/>
      <c r="D30" s="86"/>
      <c r="E30" s="96" t="s">
        <v>685</v>
      </c>
      <c r="F30" s="97"/>
      <c r="G30" s="87"/>
    </row>
    <row r="31" spans="1:7" ht="13.95" customHeight="1">
      <c r="A31" s="3" t="s">
        <v>686</v>
      </c>
      <c r="B31" s="3" t="s">
        <v>687</v>
      </c>
      <c r="C31" s="87"/>
      <c r="D31" s="86"/>
      <c r="E31" s="86"/>
      <c r="F31" s="87"/>
      <c r="G31" s="87"/>
    </row>
    <row r="32" spans="1:7" ht="14.4" customHeight="1">
      <c r="A32" s="5"/>
      <c r="B32" s="3" t="s">
        <v>1270</v>
      </c>
      <c r="C32" s="87"/>
      <c r="D32" s="114" t="s">
        <v>1271</v>
      </c>
      <c r="E32" s="96" t="s">
        <v>805</v>
      </c>
      <c r="F32" s="87"/>
      <c r="G32" s="87"/>
    </row>
    <row r="33" spans="1:7" ht="13.65" customHeight="1">
      <c r="A33" s="5"/>
      <c r="B33" s="3" t="s">
        <v>1272</v>
      </c>
      <c r="C33" s="87"/>
      <c r="D33" s="96" t="s">
        <v>690</v>
      </c>
      <c r="E33" s="96" t="s">
        <v>801</v>
      </c>
      <c r="F33" s="87"/>
      <c r="G33" s="87"/>
    </row>
    <row r="34" spans="1:7" ht="13.95" customHeight="1">
      <c r="A34" s="5"/>
      <c r="B34" s="5"/>
      <c r="C34" s="87"/>
      <c r="D34" s="86"/>
      <c r="E34" s="96" t="s">
        <v>702</v>
      </c>
      <c r="F34" s="97"/>
      <c r="G34" s="87"/>
    </row>
    <row r="35" spans="1:7" ht="13.65" customHeight="1">
      <c r="A35" s="3" t="s">
        <v>703</v>
      </c>
      <c r="B35" s="3" t="s">
        <v>704</v>
      </c>
      <c r="C35" s="87"/>
      <c r="D35" s="86"/>
      <c r="E35" s="86"/>
      <c r="F35" s="87"/>
      <c r="G35" s="87"/>
    </row>
    <row r="36" spans="1:7" ht="13.65" customHeight="1">
      <c r="A36" s="5"/>
      <c r="B36" s="5"/>
      <c r="C36" s="87"/>
      <c r="D36" s="86"/>
      <c r="E36" s="86"/>
      <c r="F36" s="87"/>
      <c r="G36" s="87"/>
    </row>
    <row r="37" spans="1:7" ht="13.95" customHeight="1">
      <c r="A37" s="5"/>
      <c r="B37" s="5"/>
      <c r="C37" s="87"/>
      <c r="D37" s="86"/>
      <c r="E37" s="96" t="s">
        <v>705</v>
      </c>
      <c r="F37" s="97"/>
      <c r="G37" s="87"/>
    </row>
    <row r="38" spans="1:7" ht="13.65" customHeight="1">
      <c r="A38" s="5"/>
      <c r="B38" s="5"/>
      <c r="C38" s="87"/>
      <c r="D38" s="86"/>
      <c r="E38" s="86"/>
      <c r="F38" s="87"/>
      <c r="G38" s="87"/>
    </row>
    <row r="39" spans="1:7" ht="13.65" customHeight="1">
      <c r="A39" s="3" t="s">
        <v>706</v>
      </c>
      <c r="B39" s="96" t="s">
        <v>707</v>
      </c>
      <c r="C39" s="102"/>
      <c r="D39" s="102"/>
      <c r="E39" s="102"/>
      <c r="F39" s="97"/>
      <c r="G39" s="87"/>
    </row>
    <row r="40" spans="1:7" ht="13.95" customHeight="1">
      <c r="A40" s="3" t="s">
        <v>708</v>
      </c>
      <c r="B40" s="92" t="s">
        <v>876</v>
      </c>
      <c r="C40" s="93"/>
      <c r="D40" s="93"/>
      <c r="E40" s="96" t="s">
        <v>710</v>
      </c>
      <c r="F40" s="97"/>
      <c r="G40" s="87"/>
    </row>
    <row r="41" spans="1:7" ht="13.65" customHeight="1">
      <c r="A41" s="3" t="s">
        <v>711</v>
      </c>
      <c r="B41" s="96" t="s">
        <v>712</v>
      </c>
      <c r="C41" s="102"/>
      <c r="D41" s="102"/>
      <c r="E41" s="102"/>
      <c r="F41" s="97"/>
      <c r="G41" s="87"/>
    </row>
  </sheetData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98"/>
  <dimension ref="A1:G41"/>
  <sheetViews>
    <sheetView workbookViewId="0">
      <selection activeCell="G41" sqref="A1:G41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.33203125" customWidth="1"/>
    <col min="5" max="5" width="14.6640625" customWidth="1"/>
    <col min="6" max="6" width="14.33203125" customWidth="1"/>
    <col min="7" max="7" width="16.6640625" customWidth="1"/>
  </cols>
  <sheetData>
    <row r="1" spans="1:7">
      <c r="A1" s="50" t="s">
        <v>2315</v>
      </c>
    </row>
    <row r="3" spans="1:7" ht="40.200000000000003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3.95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65" customHeight="1">
      <c r="A5" s="5"/>
      <c r="B5" s="3" t="s">
        <v>673</v>
      </c>
      <c r="C5" s="3" t="s">
        <v>674</v>
      </c>
      <c r="D5" s="12" t="s">
        <v>675</v>
      </c>
      <c r="E5" s="3" t="s">
        <v>845</v>
      </c>
      <c r="F5" s="5"/>
      <c r="G5" s="5"/>
    </row>
    <row r="6" spans="1:7" ht="13.65" customHeight="1">
      <c r="A6" s="5"/>
      <c r="B6" s="3" t="s">
        <v>871</v>
      </c>
      <c r="C6" s="3" t="s">
        <v>681</v>
      </c>
      <c r="D6" s="12" t="s">
        <v>675</v>
      </c>
      <c r="E6" s="3" t="s">
        <v>797</v>
      </c>
      <c r="F6" s="5"/>
      <c r="G6" s="5"/>
    </row>
    <row r="7" spans="1:7" ht="13.95" customHeight="1">
      <c r="A7" s="5"/>
      <c r="B7" s="3" t="s">
        <v>751</v>
      </c>
      <c r="C7" s="3" t="s">
        <v>681</v>
      </c>
      <c r="D7" s="12" t="s">
        <v>675</v>
      </c>
      <c r="E7" s="3" t="s">
        <v>847</v>
      </c>
      <c r="F7" s="5"/>
      <c r="G7" s="5"/>
    </row>
    <row r="8" spans="1:7" ht="13.65" customHeight="1">
      <c r="A8" s="5"/>
      <c r="B8" s="3" t="s">
        <v>683</v>
      </c>
      <c r="C8" s="3" t="s">
        <v>684</v>
      </c>
      <c r="D8" s="12" t="s">
        <v>675</v>
      </c>
      <c r="E8" s="3" t="s">
        <v>865</v>
      </c>
      <c r="F8" s="5"/>
      <c r="G8" s="5"/>
    </row>
    <row r="9" spans="1:7" ht="13.65" customHeight="1">
      <c r="A9" s="5"/>
      <c r="B9" s="5"/>
      <c r="C9" s="5"/>
      <c r="D9" s="5"/>
      <c r="E9" s="2474" t="s">
        <v>685</v>
      </c>
      <c r="F9" s="2474"/>
      <c r="G9" s="5"/>
    </row>
    <row r="10" spans="1:7" ht="13.95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65" customHeight="1">
      <c r="A11" s="5"/>
      <c r="B11" s="3" t="s">
        <v>1270</v>
      </c>
      <c r="C11" s="5"/>
      <c r="D11" s="14" t="s">
        <v>815</v>
      </c>
      <c r="E11" s="3" t="s">
        <v>805</v>
      </c>
      <c r="F11" s="5"/>
      <c r="G11" s="5"/>
    </row>
    <row r="12" spans="1:7" ht="13.65" customHeight="1">
      <c r="A12" s="5"/>
      <c r="B12" s="3" t="s">
        <v>1272</v>
      </c>
      <c r="C12" s="5"/>
      <c r="D12" s="12" t="s">
        <v>690</v>
      </c>
      <c r="E12" s="3" t="s">
        <v>801</v>
      </c>
      <c r="F12" s="5"/>
      <c r="G12" s="5"/>
    </row>
    <row r="13" spans="1:7" ht="13.95" customHeight="1">
      <c r="A13" s="5"/>
      <c r="B13" s="5"/>
      <c r="C13" s="5"/>
      <c r="D13" s="5"/>
      <c r="E13" s="2474" t="s">
        <v>702</v>
      </c>
      <c r="F13" s="2474"/>
      <c r="G13" s="5"/>
    </row>
    <row r="14" spans="1:7" ht="13.65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3.95" customHeight="1">
      <c r="A15" s="5"/>
      <c r="B15" s="5"/>
      <c r="C15" s="5"/>
      <c r="D15" s="5"/>
      <c r="E15" s="5"/>
      <c r="F15" s="5"/>
      <c r="G15" s="5"/>
    </row>
    <row r="16" spans="1:7" ht="13.65" customHeight="1">
      <c r="A16" s="5"/>
      <c r="B16" s="5"/>
      <c r="C16" s="5"/>
      <c r="D16" s="5"/>
      <c r="E16" s="2474" t="s">
        <v>705</v>
      </c>
      <c r="F16" s="2474"/>
      <c r="G16" s="5"/>
    </row>
    <row r="17" spans="1:7" ht="13.65" customHeight="1">
      <c r="A17" s="5"/>
      <c r="B17" s="5"/>
      <c r="C17" s="5"/>
      <c r="D17" s="5"/>
      <c r="E17" s="5"/>
      <c r="F17" s="5"/>
      <c r="G17" s="5"/>
    </row>
    <row r="18" spans="1:7" ht="13.95" customHeight="1">
      <c r="A18" s="3" t="s">
        <v>706</v>
      </c>
      <c r="B18" s="2474" t="s">
        <v>707</v>
      </c>
      <c r="C18" s="2474"/>
      <c r="D18" s="2474"/>
      <c r="E18" s="2474"/>
      <c r="F18" s="2474"/>
      <c r="G18" s="5"/>
    </row>
    <row r="19" spans="1:7" ht="13.65" customHeight="1">
      <c r="A19" s="3" t="s">
        <v>708</v>
      </c>
      <c r="B19" s="2471" t="s">
        <v>876</v>
      </c>
      <c r="C19" s="2471"/>
      <c r="D19" s="2471"/>
      <c r="E19" s="2472" t="s">
        <v>710</v>
      </c>
      <c r="F19" s="2472"/>
      <c r="G19" s="5"/>
    </row>
    <row r="20" spans="1:7" ht="13.95" customHeight="1">
      <c r="A20" s="3" t="s">
        <v>711</v>
      </c>
      <c r="B20" s="2473" t="s">
        <v>712</v>
      </c>
      <c r="C20" s="2473"/>
      <c r="D20" s="2473"/>
      <c r="E20" s="2473"/>
      <c r="F20" s="2473"/>
      <c r="G20" s="5"/>
    </row>
    <row r="21" spans="1:7" ht="13.95" customHeight="1">
      <c r="A21" s="3"/>
      <c r="B21" s="26"/>
      <c r="C21" s="26"/>
      <c r="D21" s="26"/>
      <c r="E21" s="26"/>
      <c r="F21" s="26"/>
      <c r="G21" s="5"/>
    </row>
    <row r="22" spans="1:7" ht="13.95" customHeight="1">
      <c r="A22" s="50" t="s">
        <v>2316</v>
      </c>
      <c r="B22" s="26"/>
      <c r="C22" s="26"/>
      <c r="D22" s="26"/>
      <c r="E22" s="26"/>
      <c r="F22" s="26"/>
      <c r="G22" s="5"/>
    </row>
    <row r="23" spans="1:7" ht="13.95" customHeight="1">
      <c r="A23" s="3"/>
      <c r="B23" s="26"/>
      <c r="C23" s="26"/>
      <c r="D23" s="26"/>
      <c r="E23" s="26"/>
      <c r="F23" s="26"/>
      <c r="G23" s="5"/>
    </row>
    <row r="24" spans="1:7" ht="40.200000000000003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3.65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65" customHeight="1">
      <c r="A26" s="5"/>
      <c r="B26" s="3" t="s">
        <v>673</v>
      </c>
      <c r="C26" s="3" t="s">
        <v>674</v>
      </c>
      <c r="D26" s="12" t="s">
        <v>675</v>
      </c>
      <c r="E26" s="3" t="s">
        <v>775</v>
      </c>
      <c r="F26" s="5"/>
      <c r="G26" s="5"/>
    </row>
    <row r="27" spans="1:7" ht="13.95" customHeight="1">
      <c r="A27" s="5"/>
      <c r="B27" s="3" t="s">
        <v>871</v>
      </c>
      <c r="C27" s="3" t="s">
        <v>681</v>
      </c>
      <c r="D27" s="12" t="s">
        <v>675</v>
      </c>
      <c r="E27" s="3" t="s">
        <v>879</v>
      </c>
      <c r="F27" s="5"/>
      <c r="G27" s="5"/>
    </row>
    <row r="28" spans="1:7" ht="13.65" customHeight="1">
      <c r="A28" s="5"/>
      <c r="B28" s="3" t="s">
        <v>751</v>
      </c>
      <c r="C28" s="3" t="s">
        <v>681</v>
      </c>
      <c r="D28" s="12" t="s">
        <v>675</v>
      </c>
      <c r="E28" s="3" t="s">
        <v>718</v>
      </c>
      <c r="F28" s="5"/>
      <c r="G28" s="5"/>
    </row>
    <row r="29" spans="1:7" ht="13.65" customHeight="1">
      <c r="A29" s="5"/>
      <c r="B29" s="3" t="s">
        <v>683</v>
      </c>
      <c r="C29" s="3" t="s">
        <v>684</v>
      </c>
      <c r="D29" s="12" t="s">
        <v>675</v>
      </c>
      <c r="E29" s="3" t="s">
        <v>801</v>
      </c>
      <c r="F29" s="5"/>
      <c r="G29" s="5"/>
    </row>
    <row r="30" spans="1:7" ht="13.95" customHeight="1">
      <c r="A30" s="5"/>
      <c r="B30" s="5"/>
      <c r="C30" s="5"/>
      <c r="D30" s="5"/>
      <c r="E30" s="2474" t="s">
        <v>685</v>
      </c>
      <c r="F30" s="2474"/>
      <c r="G30" s="5"/>
    </row>
    <row r="31" spans="1:7" ht="13.65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95" customHeight="1">
      <c r="A32" s="5"/>
      <c r="B32" s="3" t="s">
        <v>1270</v>
      </c>
      <c r="C32" s="5"/>
      <c r="D32" s="14" t="s">
        <v>815</v>
      </c>
      <c r="E32" s="3" t="s">
        <v>805</v>
      </c>
      <c r="F32" s="5"/>
      <c r="G32" s="5"/>
    </row>
    <row r="33" spans="1:7" ht="13.65" customHeight="1">
      <c r="A33" s="5"/>
      <c r="B33" s="3" t="s">
        <v>1268</v>
      </c>
      <c r="C33" s="5"/>
      <c r="D33" s="12" t="s">
        <v>690</v>
      </c>
      <c r="E33" s="3" t="s">
        <v>802</v>
      </c>
      <c r="F33" s="5"/>
      <c r="G33" s="5"/>
    </row>
    <row r="34" spans="1:7" ht="13.65" customHeight="1">
      <c r="A34" s="5"/>
      <c r="B34" s="5"/>
      <c r="C34" s="5"/>
      <c r="D34" s="5"/>
      <c r="E34" s="2474" t="s">
        <v>702</v>
      </c>
      <c r="F34" s="2474"/>
      <c r="G34" s="5"/>
    </row>
    <row r="35" spans="1:7" ht="13.95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3.65" customHeight="1">
      <c r="A36" s="5"/>
      <c r="B36" s="5"/>
      <c r="C36" s="5"/>
      <c r="D36" s="5"/>
      <c r="E36" s="5"/>
      <c r="F36" s="5"/>
      <c r="G36" s="5"/>
    </row>
    <row r="37" spans="1:7" ht="13.65" customHeight="1">
      <c r="A37" s="5"/>
      <c r="B37" s="5"/>
      <c r="C37" s="5"/>
      <c r="D37" s="5"/>
      <c r="E37" s="2474" t="s">
        <v>705</v>
      </c>
      <c r="F37" s="2474"/>
      <c r="G37" s="5"/>
    </row>
    <row r="38" spans="1:7" ht="13.95" customHeight="1">
      <c r="A38" s="5"/>
      <c r="B38" s="5"/>
      <c r="C38" s="5"/>
      <c r="D38" s="5"/>
      <c r="E38" s="5"/>
      <c r="F38" s="5"/>
      <c r="G38" s="5"/>
    </row>
    <row r="39" spans="1:7" ht="13.65" customHeight="1">
      <c r="A39" s="3" t="s">
        <v>706</v>
      </c>
      <c r="B39" s="2474" t="s">
        <v>707</v>
      </c>
      <c r="C39" s="2474"/>
      <c r="D39" s="2474"/>
      <c r="E39" s="2474"/>
      <c r="F39" s="2474"/>
      <c r="G39" s="5"/>
    </row>
    <row r="40" spans="1:7" ht="13.65" customHeight="1">
      <c r="A40" s="3" t="s">
        <v>708</v>
      </c>
      <c r="B40" s="2471" t="s">
        <v>876</v>
      </c>
      <c r="C40" s="2471"/>
      <c r="D40" s="2471"/>
      <c r="E40" s="2472" t="s">
        <v>710</v>
      </c>
      <c r="F40" s="2472"/>
      <c r="G40" s="5"/>
    </row>
    <row r="41" spans="1:7" ht="13.95" customHeight="1">
      <c r="A41" s="3" t="s">
        <v>711</v>
      </c>
      <c r="B41" s="2473" t="s">
        <v>712</v>
      </c>
      <c r="C41" s="2473"/>
      <c r="D41" s="2473"/>
      <c r="E41" s="2473"/>
      <c r="F41" s="2473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99"/>
  <dimension ref="A1:G40"/>
  <sheetViews>
    <sheetView workbookViewId="0">
      <selection activeCell="G40" sqref="A1:G40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.33203125" customWidth="1"/>
    <col min="5" max="5" width="14.6640625" customWidth="1"/>
    <col min="6" max="6" width="14.33203125" customWidth="1"/>
    <col min="7" max="7" width="16.6640625" customWidth="1"/>
  </cols>
  <sheetData>
    <row r="1" spans="1:7">
      <c r="A1" s="50" t="s">
        <v>2317</v>
      </c>
    </row>
    <row r="3" spans="1:7" ht="40.200000000000003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3.65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95" customHeight="1">
      <c r="A5" s="5"/>
      <c r="B5" s="3" t="s">
        <v>673</v>
      </c>
      <c r="C5" s="3" t="s">
        <v>674</v>
      </c>
      <c r="D5" s="12" t="s">
        <v>675</v>
      </c>
      <c r="E5" s="3" t="s">
        <v>804</v>
      </c>
      <c r="F5" s="5"/>
      <c r="G5" s="5"/>
    </row>
    <row r="6" spans="1:7" ht="13.65" customHeight="1">
      <c r="A6" s="5"/>
      <c r="B6" s="3" t="s">
        <v>871</v>
      </c>
      <c r="C6" s="3" t="s">
        <v>681</v>
      </c>
      <c r="D6" s="12" t="s">
        <v>675</v>
      </c>
      <c r="E6" s="3" t="s">
        <v>837</v>
      </c>
      <c r="F6" s="5"/>
      <c r="G6" s="5"/>
    </row>
    <row r="7" spans="1:7" ht="13.65" customHeight="1">
      <c r="A7" s="5"/>
      <c r="B7" s="3" t="s">
        <v>751</v>
      </c>
      <c r="C7" s="3" t="s">
        <v>681</v>
      </c>
      <c r="D7" s="12" t="s">
        <v>675</v>
      </c>
      <c r="E7" s="3" t="s">
        <v>890</v>
      </c>
      <c r="F7" s="5"/>
      <c r="G7" s="5"/>
    </row>
    <row r="8" spans="1:7" ht="13.95" customHeight="1">
      <c r="A8" s="5"/>
      <c r="B8" s="3" t="s">
        <v>683</v>
      </c>
      <c r="C8" s="3" t="s">
        <v>684</v>
      </c>
      <c r="D8" s="12" t="s">
        <v>675</v>
      </c>
      <c r="E8" s="3" t="s">
        <v>805</v>
      </c>
      <c r="F8" s="5"/>
      <c r="G8" s="5"/>
    </row>
    <row r="9" spans="1:7" ht="13.65" customHeight="1">
      <c r="A9" s="5"/>
      <c r="B9" s="5"/>
      <c r="C9" s="5"/>
      <c r="D9" s="5"/>
      <c r="E9" s="2474" t="s">
        <v>685</v>
      </c>
      <c r="F9" s="2474"/>
      <c r="G9" s="5"/>
    </row>
    <row r="10" spans="1:7" ht="13.95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65" customHeight="1">
      <c r="A11" s="5"/>
      <c r="B11" s="3" t="s">
        <v>1270</v>
      </c>
      <c r="C11" s="5"/>
      <c r="D11" s="14" t="s">
        <v>815</v>
      </c>
      <c r="E11" s="3" t="s">
        <v>915</v>
      </c>
      <c r="F11" s="5"/>
      <c r="G11" s="5"/>
    </row>
    <row r="12" spans="1:7" ht="13.65" customHeight="1">
      <c r="A12" s="5"/>
      <c r="B12" s="3" t="s">
        <v>1268</v>
      </c>
      <c r="C12" s="5"/>
      <c r="D12" s="12" t="s">
        <v>690</v>
      </c>
      <c r="E12" s="3" t="s">
        <v>718</v>
      </c>
      <c r="F12" s="5"/>
      <c r="G12" s="5"/>
    </row>
    <row r="13" spans="1:7" ht="13.95" customHeight="1">
      <c r="A13" s="5"/>
      <c r="B13" s="5"/>
      <c r="C13" s="5"/>
      <c r="D13" s="5"/>
      <c r="E13" s="2474" t="s">
        <v>702</v>
      </c>
      <c r="F13" s="2474"/>
      <c r="G13" s="5"/>
    </row>
    <row r="14" spans="1:7" ht="13.65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3.65" customHeight="1">
      <c r="A15" s="5"/>
      <c r="B15" s="5"/>
      <c r="C15" s="5"/>
      <c r="D15" s="5"/>
      <c r="E15" s="5"/>
      <c r="F15" s="5"/>
      <c r="G15" s="5"/>
    </row>
    <row r="16" spans="1:7" ht="13.95" customHeight="1">
      <c r="A16" s="5"/>
      <c r="B16" s="5"/>
      <c r="C16" s="5"/>
      <c r="D16" s="5"/>
      <c r="E16" s="2474" t="s">
        <v>705</v>
      </c>
      <c r="F16" s="2474"/>
      <c r="G16" s="5"/>
    </row>
    <row r="17" spans="1:7" ht="13.65" customHeight="1">
      <c r="A17" s="5"/>
      <c r="B17" s="5"/>
      <c r="C17" s="5"/>
      <c r="D17" s="5"/>
      <c r="E17" s="5"/>
      <c r="F17" s="5"/>
      <c r="G17" s="5"/>
    </row>
    <row r="18" spans="1:7" ht="13.65" customHeight="1">
      <c r="A18" s="3" t="s">
        <v>706</v>
      </c>
      <c r="B18" s="2474" t="s">
        <v>707</v>
      </c>
      <c r="C18" s="2474"/>
      <c r="D18" s="2474"/>
      <c r="E18" s="2474"/>
      <c r="F18" s="2474"/>
      <c r="G18" s="5"/>
    </row>
    <row r="19" spans="1:7" ht="13.95" customHeight="1">
      <c r="A19" s="3" t="s">
        <v>708</v>
      </c>
      <c r="B19" s="2471" t="s">
        <v>876</v>
      </c>
      <c r="C19" s="2471"/>
      <c r="D19" s="2471"/>
      <c r="E19" s="2472" t="s">
        <v>710</v>
      </c>
      <c r="F19" s="2472"/>
      <c r="G19" s="5"/>
    </row>
    <row r="20" spans="1:7" ht="13.65" customHeight="1">
      <c r="A20" s="3" t="s">
        <v>711</v>
      </c>
      <c r="B20" s="2473" t="s">
        <v>712</v>
      </c>
      <c r="C20" s="2473"/>
      <c r="D20" s="2473"/>
      <c r="E20" s="2473"/>
      <c r="F20" s="2473"/>
      <c r="G20" s="5"/>
    </row>
    <row r="21" spans="1:7" ht="13.65" customHeight="1">
      <c r="A21" s="3"/>
      <c r="B21" s="26"/>
      <c r="C21" s="26"/>
      <c r="D21" s="26"/>
      <c r="E21" s="26"/>
      <c r="F21" s="26"/>
      <c r="G21" s="5"/>
    </row>
    <row r="22" spans="1:7" ht="13.65" customHeight="1">
      <c r="A22" s="50" t="s">
        <v>2318</v>
      </c>
      <c r="B22" s="26"/>
      <c r="C22" s="26"/>
      <c r="D22" s="26"/>
      <c r="E22" s="26"/>
      <c r="F22" s="26"/>
      <c r="G22" s="5"/>
    </row>
    <row r="23" spans="1:7" ht="13.65" customHeight="1">
      <c r="A23" s="3"/>
      <c r="B23" s="26"/>
      <c r="C23" s="26"/>
      <c r="D23" s="26"/>
      <c r="E23" s="26"/>
      <c r="F23" s="26"/>
      <c r="G23" s="5"/>
    </row>
    <row r="24" spans="1:7" ht="40.200000000000003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3.95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65" customHeight="1">
      <c r="A26" s="5"/>
      <c r="B26" s="3" t="s">
        <v>673</v>
      </c>
      <c r="C26" s="3" t="s">
        <v>674</v>
      </c>
      <c r="D26" s="12" t="s">
        <v>675</v>
      </c>
      <c r="E26" s="3" t="s">
        <v>775</v>
      </c>
      <c r="F26" s="5"/>
      <c r="G26" s="5"/>
    </row>
    <row r="27" spans="1:7" ht="13.65" customHeight="1">
      <c r="A27" s="5"/>
      <c r="B27" s="3" t="s">
        <v>871</v>
      </c>
      <c r="C27" s="3" t="s">
        <v>681</v>
      </c>
      <c r="D27" s="12" t="s">
        <v>675</v>
      </c>
      <c r="E27" s="3" t="s">
        <v>879</v>
      </c>
      <c r="F27" s="5"/>
      <c r="G27" s="5"/>
    </row>
    <row r="28" spans="1:7" ht="13.95" customHeight="1">
      <c r="A28" s="5"/>
      <c r="B28" s="3" t="s">
        <v>751</v>
      </c>
      <c r="C28" s="3" t="s">
        <v>681</v>
      </c>
      <c r="D28" s="12" t="s">
        <v>675</v>
      </c>
      <c r="E28" s="3" t="s">
        <v>718</v>
      </c>
      <c r="F28" s="5"/>
      <c r="G28" s="5"/>
    </row>
    <row r="29" spans="1:7" ht="13.65" customHeight="1">
      <c r="A29" s="5"/>
      <c r="B29" s="3" t="s">
        <v>683</v>
      </c>
      <c r="C29" s="3" t="s">
        <v>684</v>
      </c>
      <c r="D29" s="12" t="s">
        <v>675</v>
      </c>
      <c r="E29" s="3" t="s">
        <v>801</v>
      </c>
      <c r="F29" s="5"/>
      <c r="G29" s="5"/>
    </row>
    <row r="30" spans="1:7" ht="13.95" customHeight="1">
      <c r="A30" s="5"/>
      <c r="B30" s="5"/>
      <c r="C30" s="5"/>
      <c r="D30" s="5"/>
      <c r="E30" s="2474" t="s">
        <v>685</v>
      </c>
      <c r="F30" s="2474"/>
      <c r="G30" s="5"/>
    </row>
    <row r="31" spans="1:7" ht="13.65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65" customHeight="1">
      <c r="A32" s="5"/>
      <c r="B32" s="3" t="s">
        <v>1270</v>
      </c>
      <c r="C32" s="5"/>
      <c r="D32" s="14" t="s">
        <v>815</v>
      </c>
      <c r="E32" s="3" t="s">
        <v>916</v>
      </c>
      <c r="F32" s="5"/>
      <c r="G32" s="5"/>
    </row>
    <row r="33" spans="1:7" ht="13.95" customHeight="1">
      <c r="A33" s="5"/>
      <c r="B33" s="3" t="s">
        <v>1268</v>
      </c>
      <c r="C33" s="5"/>
      <c r="D33" s="12" t="s">
        <v>690</v>
      </c>
      <c r="E33" s="3" t="s">
        <v>802</v>
      </c>
      <c r="F33" s="5"/>
      <c r="G33" s="5"/>
    </row>
    <row r="34" spans="1:7" ht="13.65" customHeight="1">
      <c r="A34" s="5"/>
      <c r="B34" s="5"/>
      <c r="C34" s="5"/>
      <c r="D34" s="5"/>
      <c r="E34" s="2474" t="s">
        <v>702</v>
      </c>
      <c r="F34" s="2474"/>
      <c r="G34" s="5"/>
    </row>
    <row r="35" spans="1:7" ht="13.65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3.95" customHeight="1">
      <c r="A36" s="5"/>
      <c r="B36" s="5"/>
      <c r="C36" s="5"/>
      <c r="D36" s="5"/>
      <c r="E36" s="5"/>
      <c r="F36" s="5"/>
      <c r="G36" s="5"/>
    </row>
    <row r="37" spans="1:7" ht="13.65" customHeight="1">
      <c r="A37" s="5"/>
      <c r="B37" s="5"/>
      <c r="C37" s="5"/>
      <c r="D37" s="5"/>
      <c r="E37" s="2473" t="s">
        <v>705</v>
      </c>
      <c r="F37" s="2473"/>
      <c r="G37" s="5"/>
    </row>
    <row r="38" spans="1:7" ht="13.65" customHeight="1">
      <c r="A38" s="3" t="s">
        <v>706</v>
      </c>
      <c r="B38" s="2474" t="s">
        <v>707</v>
      </c>
      <c r="C38" s="2474"/>
      <c r="D38" s="2474"/>
      <c r="E38" s="2474"/>
      <c r="F38" s="2474"/>
      <c r="G38" s="5"/>
    </row>
    <row r="39" spans="1:7" ht="13.95" customHeight="1">
      <c r="A39" s="3" t="s">
        <v>708</v>
      </c>
      <c r="B39" s="2471" t="s">
        <v>876</v>
      </c>
      <c r="C39" s="2471"/>
      <c r="D39" s="2471"/>
      <c r="E39" s="2472" t="s">
        <v>710</v>
      </c>
      <c r="F39" s="2472"/>
      <c r="G39" s="5"/>
    </row>
    <row r="40" spans="1:7" ht="13.65" customHeight="1">
      <c r="A40" s="3" t="s">
        <v>711</v>
      </c>
      <c r="B40" s="2473" t="s">
        <v>712</v>
      </c>
      <c r="C40" s="2473"/>
      <c r="D40" s="2473"/>
      <c r="E40" s="2473"/>
      <c r="F40" s="2473"/>
      <c r="G40" s="5"/>
    </row>
  </sheetData>
  <mergeCells count="14">
    <mergeCell ref="E9:F9"/>
    <mergeCell ref="E13:F13"/>
    <mergeCell ref="E16:F16"/>
    <mergeCell ref="B18:F18"/>
    <mergeCell ref="B19:D19"/>
    <mergeCell ref="E19:F19"/>
    <mergeCell ref="B39:D39"/>
    <mergeCell ref="E39:F39"/>
    <mergeCell ref="B40:F40"/>
    <mergeCell ref="B20:F20"/>
    <mergeCell ref="E30:F30"/>
    <mergeCell ref="E34:F34"/>
    <mergeCell ref="E37:F37"/>
    <mergeCell ref="B38:F38"/>
  </mergeCells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100"/>
  <dimension ref="A1:G44"/>
  <sheetViews>
    <sheetView topLeftCell="A32" workbookViewId="0">
      <selection activeCell="G44" sqref="A1:G44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.33203125" customWidth="1"/>
    <col min="5" max="5" width="14.6640625" customWidth="1"/>
    <col min="6" max="6" width="14.33203125" customWidth="1"/>
    <col min="7" max="7" width="16.6640625" customWidth="1"/>
  </cols>
  <sheetData>
    <row r="1" spans="1:7">
      <c r="A1" s="55" t="s">
        <v>2319</v>
      </c>
    </row>
    <row r="2" spans="1:7">
      <c r="A2" s="50"/>
    </row>
    <row r="3" spans="1:7" ht="40.200000000000003" customHeight="1">
      <c r="A3" s="6" t="s">
        <v>762</v>
      </c>
      <c r="B3" s="91" t="s">
        <v>763</v>
      </c>
      <c r="C3" s="91" t="s">
        <v>764</v>
      </c>
      <c r="D3" s="91" t="s">
        <v>765</v>
      </c>
      <c r="E3" s="91" t="s">
        <v>766</v>
      </c>
      <c r="F3" s="91" t="s">
        <v>767</v>
      </c>
      <c r="G3" s="7" t="s">
        <v>768</v>
      </c>
    </row>
    <row r="4" spans="1:7" ht="13.65" customHeight="1">
      <c r="A4" s="3" t="s">
        <v>671</v>
      </c>
      <c r="B4" s="96" t="s">
        <v>672</v>
      </c>
      <c r="C4" s="86"/>
      <c r="D4" s="86"/>
      <c r="E4" s="86"/>
      <c r="F4" s="86"/>
      <c r="G4" s="5"/>
    </row>
    <row r="5" spans="1:7" ht="13.95" customHeight="1">
      <c r="A5" s="5"/>
      <c r="B5" s="96" t="s">
        <v>673</v>
      </c>
      <c r="C5" s="96" t="s">
        <v>674</v>
      </c>
      <c r="D5" s="96" t="s">
        <v>675</v>
      </c>
      <c r="E5" s="96" t="s">
        <v>755</v>
      </c>
      <c r="F5" s="86"/>
      <c r="G5" s="5"/>
    </row>
    <row r="6" spans="1:7" ht="13.65" customHeight="1">
      <c r="A6" s="5"/>
      <c r="B6" s="96" t="s">
        <v>871</v>
      </c>
      <c r="C6" s="96" t="s">
        <v>681</v>
      </c>
      <c r="D6" s="96" t="s">
        <v>675</v>
      </c>
      <c r="E6" s="96" t="s">
        <v>844</v>
      </c>
      <c r="F6" s="86"/>
      <c r="G6" s="5"/>
    </row>
    <row r="7" spans="1:7" ht="13.65" customHeight="1">
      <c r="A7" s="5"/>
      <c r="B7" s="96" t="s">
        <v>751</v>
      </c>
      <c r="C7" s="96" t="s">
        <v>681</v>
      </c>
      <c r="D7" s="96" t="s">
        <v>675</v>
      </c>
      <c r="E7" s="96" t="s">
        <v>760</v>
      </c>
      <c r="F7" s="86"/>
      <c r="G7" s="5"/>
    </row>
    <row r="8" spans="1:7" ht="13.95" customHeight="1">
      <c r="A8" s="5"/>
      <c r="B8" s="96" t="s">
        <v>683</v>
      </c>
      <c r="C8" s="96" t="s">
        <v>684</v>
      </c>
      <c r="D8" s="96" t="s">
        <v>675</v>
      </c>
      <c r="E8" s="96" t="s">
        <v>846</v>
      </c>
      <c r="F8" s="86"/>
      <c r="G8" s="5"/>
    </row>
    <row r="9" spans="1:7" ht="13.65" customHeight="1">
      <c r="A9" s="5"/>
      <c r="B9" s="86"/>
      <c r="C9" s="86"/>
      <c r="D9" s="86"/>
      <c r="E9" s="96" t="s">
        <v>685</v>
      </c>
      <c r="F9" s="102"/>
      <c r="G9" s="5"/>
    </row>
    <row r="10" spans="1:7" ht="13.95" customHeight="1">
      <c r="A10" s="3" t="s">
        <v>686</v>
      </c>
      <c r="B10" s="96" t="s">
        <v>687</v>
      </c>
      <c r="C10" s="86"/>
      <c r="D10" s="86"/>
      <c r="E10" s="86"/>
      <c r="F10" s="86"/>
      <c r="G10" s="5"/>
    </row>
    <row r="11" spans="1:7" ht="13.65" customHeight="1">
      <c r="A11" s="5"/>
      <c r="B11" s="96" t="s">
        <v>1270</v>
      </c>
      <c r="C11" s="86"/>
      <c r="D11" s="101" t="s">
        <v>815</v>
      </c>
      <c r="E11" s="96" t="s">
        <v>794</v>
      </c>
      <c r="F11" s="86"/>
      <c r="G11" s="5"/>
    </row>
    <row r="12" spans="1:7" ht="13.65" customHeight="1">
      <c r="A12" s="5"/>
      <c r="B12" s="96" t="s">
        <v>1002</v>
      </c>
      <c r="C12" s="86"/>
      <c r="D12" s="96" t="s">
        <v>773</v>
      </c>
      <c r="E12" s="96" t="s">
        <v>851</v>
      </c>
      <c r="F12" s="86"/>
      <c r="G12" s="5"/>
    </row>
    <row r="13" spans="1:7" ht="13.95" customHeight="1">
      <c r="A13" s="5"/>
      <c r="B13" s="96" t="s">
        <v>1268</v>
      </c>
      <c r="C13" s="86"/>
      <c r="D13" s="96" t="s">
        <v>773</v>
      </c>
      <c r="E13" s="96" t="s">
        <v>802</v>
      </c>
      <c r="F13" s="86"/>
      <c r="G13" s="5"/>
    </row>
    <row r="14" spans="1:7" ht="23.4" customHeight="1">
      <c r="A14" s="5"/>
      <c r="B14" s="115" t="s">
        <v>1273</v>
      </c>
      <c r="C14" s="86"/>
      <c r="D14" s="96" t="s">
        <v>888</v>
      </c>
      <c r="E14" s="96" t="s">
        <v>775</v>
      </c>
      <c r="F14" s="86"/>
      <c r="G14" s="5"/>
    </row>
    <row r="15" spans="1:7" ht="13.95" customHeight="1">
      <c r="A15" s="5"/>
      <c r="B15" s="86"/>
      <c r="C15" s="86"/>
      <c r="D15" s="86"/>
      <c r="E15" s="96" t="s">
        <v>702</v>
      </c>
      <c r="F15" s="102"/>
      <c r="G15" s="5"/>
    </row>
    <row r="16" spans="1:7" ht="13.65" customHeight="1">
      <c r="A16" s="3" t="s">
        <v>703</v>
      </c>
      <c r="B16" s="96" t="s">
        <v>704</v>
      </c>
      <c r="C16" s="86"/>
      <c r="D16" s="86"/>
      <c r="E16" s="86"/>
      <c r="F16" s="86"/>
      <c r="G16" s="5"/>
    </row>
    <row r="17" spans="1:7" ht="13.95" customHeight="1">
      <c r="A17" s="5"/>
      <c r="B17" s="86"/>
      <c r="C17" s="86"/>
      <c r="D17" s="86"/>
      <c r="E17" s="96" t="s">
        <v>705</v>
      </c>
      <c r="F17" s="102"/>
      <c r="G17" s="5"/>
    </row>
    <row r="18" spans="1:7" ht="13.65" customHeight="1">
      <c r="A18" s="5"/>
      <c r="B18" s="86"/>
      <c r="C18" s="86"/>
      <c r="D18" s="86"/>
      <c r="E18" s="86"/>
      <c r="F18" s="86"/>
      <c r="G18" s="5"/>
    </row>
    <row r="19" spans="1:7" ht="13.65" customHeight="1">
      <c r="A19" s="3" t="s">
        <v>706</v>
      </c>
      <c r="B19" s="96" t="s">
        <v>707</v>
      </c>
      <c r="C19" s="102"/>
      <c r="D19" s="102"/>
      <c r="E19" s="102"/>
      <c r="F19" s="102"/>
      <c r="G19" s="5"/>
    </row>
    <row r="20" spans="1:7" ht="13.95" customHeight="1">
      <c r="A20" s="3" t="s">
        <v>708</v>
      </c>
      <c r="B20" s="92" t="s">
        <v>876</v>
      </c>
      <c r="C20" s="93"/>
      <c r="D20" s="93"/>
      <c r="E20" s="96" t="s">
        <v>710</v>
      </c>
      <c r="F20" s="102"/>
      <c r="G20" s="5"/>
    </row>
    <row r="21" spans="1:7" ht="13.65" customHeight="1">
      <c r="A21" s="3" t="s">
        <v>711</v>
      </c>
      <c r="B21" s="96" t="s">
        <v>712</v>
      </c>
      <c r="C21" s="102"/>
      <c r="D21" s="102"/>
      <c r="E21" s="102"/>
      <c r="F21" s="102"/>
      <c r="G21" s="5"/>
    </row>
    <row r="22" spans="1:7" ht="13.65" customHeight="1">
      <c r="A22" s="3"/>
      <c r="B22" s="26"/>
      <c r="C22" s="26"/>
      <c r="D22" s="26"/>
      <c r="E22" s="26"/>
      <c r="F22" s="26"/>
      <c r="G22" s="5"/>
    </row>
    <row r="23" spans="1:7" ht="13.65" customHeight="1">
      <c r="A23" s="50" t="s">
        <v>2320</v>
      </c>
      <c r="B23" s="26"/>
      <c r="C23" s="26"/>
      <c r="D23" s="26"/>
      <c r="E23" s="26"/>
      <c r="F23" s="26"/>
      <c r="G23" s="5"/>
    </row>
    <row r="24" spans="1:7" ht="13.65" customHeight="1">
      <c r="A24" s="3"/>
      <c r="B24" s="26"/>
      <c r="C24" s="26"/>
      <c r="D24" s="26"/>
      <c r="E24" s="26"/>
      <c r="F24" s="26"/>
      <c r="G24" s="5"/>
    </row>
    <row r="25" spans="1:7" ht="40.200000000000003" customHeight="1">
      <c r="A25" s="91" t="s">
        <v>762</v>
      </c>
      <c r="B25" s="6" t="s">
        <v>763</v>
      </c>
      <c r="C25" s="91" t="s">
        <v>764</v>
      </c>
      <c r="D25" s="91" t="s">
        <v>765</v>
      </c>
      <c r="E25" s="91" t="s">
        <v>766</v>
      </c>
      <c r="F25" s="91" t="s">
        <v>767</v>
      </c>
      <c r="G25" s="7" t="s">
        <v>768</v>
      </c>
    </row>
    <row r="26" spans="1:7" ht="13.95" customHeight="1">
      <c r="A26" s="96" t="s">
        <v>671</v>
      </c>
      <c r="B26" s="3" t="s">
        <v>672</v>
      </c>
      <c r="C26" s="86"/>
      <c r="D26" s="86"/>
      <c r="E26" s="86"/>
      <c r="F26" s="89"/>
      <c r="G26" s="87"/>
    </row>
    <row r="27" spans="1:7" ht="13.65" customHeight="1">
      <c r="A27" s="86"/>
      <c r="B27" s="3" t="s">
        <v>673</v>
      </c>
      <c r="C27" s="96" t="s">
        <v>674</v>
      </c>
      <c r="D27" s="96" t="s">
        <v>675</v>
      </c>
      <c r="E27" s="96" t="s">
        <v>804</v>
      </c>
      <c r="F27" s="89"/>
      <c r="G27" s="87"/>
    </row>
    <row r="28" spans="1:7" ht="13.65" customHeight="1">
      <c r="A28" s="86"/>
      <c r="B28" s="3" t="s">
        <v>871</v>
      </c>
      <c r="C28" s="96" t="s">
        <v>681</v>
      </c>
      <c r="D28" s="96" t="s">
        <v>675</v>
      </c>
      <c r="E28" s="96" t="s">
        <v>837</v>
      </c>
      <c r="F28" s="89"/>
      <c r="G28" s="87"/>
    </row>
    <row r="29" spans="1:7" ht="13.95" customHeight="1">
      <c r="A29" s="86"/>
      <c r="B29" s="3" t="s">
        <v>751</v>
      </c>
      <c r="C29" s="96" t="s">
        <v>681</v>
      </c>
      <c r="D29" s="96" t="s">
        <v>675</v>
      </c>
      <c r="E29" s="96" t="s">
        <v>890</v>
      </c>
      <c r="F29" s="89"/>
      <c r="G29" s="87"/>
    </row>
    <row r="30" spans="1:7" ht="13.65" customHeight="1">
      <c r="A30" s="86"/>
      <c r="B30" s="3" t="s">
        <v>683</v>
      </c>
      <c r="C30" s="96" t="s">
        <v>684</v>
      </c>
      <c r="D30" s="96" t="s">
        <v>675</v>
      </c>
      <c r="E30" s="96" t="s">
        <v>805</v>
      </c>
      <c r="F30" s="89"/>
      <c r="G30" s="87"/>
    </row>
    <row r="31" spans="1:7" ht="13.95" customHeight="1">
      <c r="A31" s="86"/>
      <c r="B31" s="5"/>
      <c r="C31" s="86"/>
      <c r="D31" s="86"/>
      <c r="E31" s="96" t="s">
        <v>685</v>
      </c>
      <c r="F31" s="103"/>
      <c r="G31" s="87"/>
    </row>
    <row r="32" spans="1:7" ht="13.65" customHeight="1">
      <c r="A32" s="96" t="s">
        <v>686</v>
      </c>
      <c r="B32" s="3" t="s">
        <v>687</v>
      </c>
      <c r="C32" s="87"/>
      <c r="D32" s="86"/>
      <c r="E32" s="86"/>
      <c r="F32" s="89"/>
      <c r="G32" s="87"/>
    </row>
    <row r="33" spans="1:7" ht="13.65" customHeight="1">
      <c r="A33" s="86"/>
      <c r="B33" s="3" t="s">
        <v>1270</v>
      </c>
      <c r="C33" s="87"/>
      <c r="D33" s="101" t="s">
        <v>815</v>
      </c>
      <c r="E33" s="96" t="s">
        <v>1274</v>
      </c>
      <c r="F33" s="89"/>
      <c r="G33" s="87"/>
    </row>
    <row r="34" spans="1:7" ht="23.4" customHeight="1">
      <c r="A34" s="86"/>
      <c r="B34" s="2" t="s">
        <v>1275</v>
      </c>
      <c r="C34" s="87"/>
      <c r="D34" s="96" t="s">
        <v>773</v>
      </c>
      <c r="E34" s="96" t="s">
        <v>851</v>
      </c>
      <c r="F34" s="89"/>
      <c r="G34" s="87"/>
    </row>
    <row r="35" spans="1:7" ht="13.65" customHeight="1">
      <c r="A35" s="86"/>
      <c r="B35" s="3" t="s">
        <v>1268</v>
      </c>
      <c r="C35" s="87"/>
      <c r="D35" s="96" t="s">
        <v>773</v>
      </c>
      <c r="E35" s="96" t="s">
        <v>802</v>
      </c>
      <c r="F35" s="89"/>
      <c r="G35" s="87"/>
    </row>
    <row r="36" spans="1:7" ht="23.4" customHeight="1">
      <c r="A36" s="86"/>
      <c r="B36" s="82" t="s">
        <v>1276</v>
      </c>
      <c r="C36" s="87"/>
      <c r="D36" s="104" t="s">
        <v>1277</v>
      </c>
      <c r="E36" s="104" t="s">
        <v>1278</v>
      </c>
      <c r="F36" s="89"/>
      <c r="G36" s="87"/>
    </row>
    <row r="37" spans="1:7" ht="13.95" customHeight="1">
      <c r="A37" s="86"/>
      <c r="B37" s="5"/>
      <c r="C37" s="87"/>
      <c r="D37" s="86"/>
      <c r="E37" s="96" t="s">
        <v>702</v>
      </c>
      <c r="F37" s="103"/>
      <c r="G37" s="87"/>
    </row>
    <row r="38" spans="1:7" ht="13.65" customHeight="1">
      <c r="A38" s="96" t="s">
        <v>703</v>
      </c>
      <c r="B38" s="3" t="s">
        <v>704</v>
      </c>
      <c r="C38" s="87"/>
      <c r="D38" s="86"/>
      <c r="E38" s="86"/>
      <c r="F38" s="89"/>
      <c r="G38" s="87"/>
    </row>
    <row r="39" spans="1:7" ht="13.65" customHeight="1">
      <c r="A39" s="86"/>
      <c r="B39" s="5"/>
      <c r="C39" s="87"/>
      <c r="D39" s="86"/>
      <c r="E39" s="86"/>
      <c r="F39" s="89"/>
      <c r="G39" s="87"/>
    </row>
    <row r="40" spans="1:7" ht="13.95" customHeight="1">
      <c r="A40" s="86"/>
      <c r="B40" s="5"/>
      <c r="C40" s="87"/>
      <c r="D40" s="87"/>
      <c r="E40" s="96" t="s">
        <v>705</v>
      </c>
      <c r="F40" s="103"/>
      <c r="G40" s="87"/>
    </row>
    <row r="41" spans="1:7" ht="13.65" customHeight="1">
      <c r="A41" s="86"/>
      <c r="B41" s="5"/>
      <c r="C41" s="87"/>
      <c r="D41" s="87"/>
      <c r="E41" s="86"/>
      <c r="F41" s="89"/>
      <c r="G41" s="87"/>
    </row>
    <row r="42" spans="1:7" ht="13.65" customHeight="1">
      <c r="A42" s="96" t="s">
        <v>706</v>
      </c>
      <c r="B42" s="96" t="s">
        <v>707</v>
      </c>
      <c r="C42" s="102"/>
      <c r="D42" s="102"/>
      <c r="E42" s="102"/>
      <c r="F42" s="103"/>
      <c r="G42" s="87"/>
    </row>
    <row r="43" spans="1:7" ht="13.95" customHeight="1">
      <c r="A43" s="96" t="s">
        <v>708</v>
      </c>
      <c r="B43" s="92" t="s">
        <v>876</v>
      </c>
      <c r="C43" s="93"/>
      <c r="D43" s="94"/>
      <c r="E43" s="96" t="s">
        <v>710</v>
      </c>
      <c r="F43" s="103"/>
      <c r="G43" s="87"/>
    </row>
    <row r="44" spans="1:7" ht="13.65" customHeight="1">
      <c r="A44" s="96" t="s">
        <v>711</v>
      </c>
      <c r="B44" s="96" t="s">
        <v>712</v>
      </c>
      <c r="C44" s="102"/>
      <c r="D44" s="102"/>
      <c r="E44" s="102"/>
      <c r="F44" s="103"/>
      <c r="G44" s="87"/>
    </row>
  </sheetData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101"/>
  <dimension ref="A1:G42"/>
  <sheetViews>
    <sheetView topLeftCell="A37" workbookViewId="0">
      <selection sqref="A1:G42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.33203125" customWidth="1"/>
    <col min="5" max="5" width="14.6640625" customWidth="1"/>
    <col min="6" max="6" width="14.33203125" customWidth="1"/>
    <col min="7" max="7" width="16.6640625" customWidth="1"/>
  </cols>
  <sheetData>
    <row r="1" spans="1:7">
      <c r="A1" s="50" t="s">
        <v>2321</v>
      </c>
    </row>
    <row r="3" spans="1:7" ht="40.200000000000003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3.95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65" customHeight="1">
      <c r="A5" s="5"/>
      <c r="B5" s="3" t="s">
        <v>673</v>
      </c>
      <c r="C5" s="3" t="s">
        <v>674</v>
      </c>
      <c r="D5" s="12" t="s">
        <v>675</v>
      </c>
      <c r="E5" s="3" t="s">
        <v>1279</v>
      </c>
      <c r="F5" s="5"/>
      <c r="G5" s="5"/>
    </row>
    <row r="6" spans="1:7" ht="13.65" customHeight="1">
      <c r="A6" s="5"/>
      <c r="B6" s="3" t="s">
        <v>871</v>
      </c>
      <c r="C6" s="3" t="s">
        <v>681</v>
      </c>
      <c r="D6" s="12" t="s">
        <v>675</v>
      </c>
      <c r="E6" s="3" t="s">
        <v>720</v>
      </c>
      <c r="F6" s="5"/>
      <c r="G6" s="5"/>
    </row>
    <row r="7" spans="1:7" ht="13.95" customHeight="1">
      <c r="A7" s="5"/>
      <c r="B7" s="3" t="s">
        <v>751</v>
      </c>
      <c r="C7" s="3" t="s">
        <v>681</v>
      </c>
      <c r="D7" s="12" t="s">
        <v>675</v>
      </c>
      <c r="E7" s="3" t="s">
        <v>679</v>
      </c>
      <c r="F7" s="5"/>
      <c r="G7" s="5"/>
    </row>
    <row r="8" spans="1:7" ht="13.65" customHeight="1">
      <c r="A8" s="5"/>
      <c r="B8" s="3" t="s">
        <v>683</v>
      </c>
      <c r="C8" s="3" t="s">
        <v>684</v>
      </c>
      <c r="D8" s="12" t="s">
        <v>675</v>
      </c>
      <c r="E8" s="3" t="s">
        <v>1280</v>
      </c>
      <c r="F8" s="5"/>
      <c r="G8" s="5"/>
    </row>
    <row r="9" spans="1:7" ht="13.65" customHeight="1">
      <c r="A9" s="5"/>
      <c r="B9" s="5"/>
      <c r="C9" s="5"/>
      <c r="D9" s="5"/>
      <c r="E9" s="2474" t="s">
        <v>685</v>
      </c>
      <c r="F9" s="2474"/>
      <c r="G9" s="5"/>
    </row>
    <row r="10" spans="1:7" ht="13.95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65" customHeight="1">
      <c r="A11" s="5"/>
      <c r="B11" s="3" t="s">
        <v>1270</v>
      </c>
      <c r="C11" s="5"/>
      <c r="D11" s="14" t="s">
        <v>815</v>
      </c>
      <c r="E11" s="3" t="s">
        <v>699</v>
      </c>
      <c r="F11" s="5"/>
      <c r="G11" s="5"/>
    </row>
    <row r="12" spans="1:7" ht="13.65" customHeight="1">
      <c r="A12" s="5"/>
      <c r="B12" s="3" t="s">
        <v>1281</v>
      </c>
      <c r="C12" s="5"/>
      <c r="D12" s="12" t="s">
        <v>773</v>
      </c>
      <c r="E12" s="3" t="s">
        <v>740</v>
      </c>
      <c r="F12" s="5"/>
      <c r="G12" s="5"/>
    </row>
    <row r="13" spans="1:7" ht="13.95" customHeight="1">
      <c r="A13" s="5"/>
      <c r="B13" s="5"/>
      <c r="C13" s="5"/>
      <c r="D13" s="5"/>
      <c r="E13" s="2474" t="s">
        <v>702</v>
      </c>
      <c r="F13" s="2474"/>
      <c r="G13" s="5"/>
    </row>
    <row r="14" spans="1:7" ht="13.65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3.95" customHeight="1">
      <c r="A15" s="5"/>
      <c r="B15" s="5"/>
      <c r="C15" s="5"/>
      <c r="D15" s="5"/>
      <c r="E15" s="5"/>
      <c r="F15" s="5"/>
      <c r="G15" s="5"/>
    </row>
    <row r="16" spans="1:7" ht="13.65" customHeight="1">
      <c r="A16" s="5"/>
      <c r="B16" s="5"/>
      <c r="C16" s="5"/>
      <c r="D16" s="5"/>
      <c r="E16" s="2474" t="s">
        <v>705</v>
      </c>
      <c r="F16" s="2474"/>
      <c r="G16" s="5"/>
    </row>
    <row r="17" spans="1:7" ht="13.65" customHeight="1">
      <c r="A17" s="5"/>
      <c r="B17" s="5"/>
      <c r="C17" s="5"/>
      <c r="D17" s="5"/>
      <c r="E17" s="5"/>
      <c r="F17" s="5"/>
      <c r="G17" s="5"/>
    </row>
    <row r="18" spans="1:7" ht="13.95" customHeight="1">
      <c r="A18" s="3" t="s">
        <v>706</v>
      </c>
      <c r="B18" s="2474" t="s">
        <v>707</v>
      </c>
      <c r="C18" s="2474"/>
      <c r="D18" s="2474"/>
      <c r="E18" s="2474"/>
      <c r="F18" s="2474"/>
      <c r="G18" s="5"/>
    </row>
    <row r="19" spans="1:7" ht="13.65" customHeight="1">
      <c r="A19" s="3" t="s">
        <v>708</v>
      </c>
      <c r="B19" s="2471" t="s">
        <v>876</v>
      </c>
      <c r="C19" s="2471"/>
      <c r="D19" s="2471"/>
      <c r="E19" s="2472" t="s">
        <v>710</v>
      </c>
      <c r="F19" s="2472"/>
      <c r="G19" s="5"/>
    </row>
    <row r="20" spans="1:7" ht="13.95" customHeight="1">
      <c r="A20" s="3" t="s">
        <v>711</v>
      </c>
      <c r="B20" s="2473" t="s">
        <v>712</v>
      </c>
      <c r="C20" s="2473"/>
      <c r="D20" s="2473"/>
      <c r="E20" s="2473"/>
      <c r="F20" s="2473"/>
      <c r="G20" s="5"/>
    </row>
    <row r="21" spans="1:7" ht="13.95" customHeight="1">
      <c r="A21" s="3"/>
      <c r="B21" s="26"/>
      <c r="C21" s="26"/>
      <c r="D21" s="26"/>
      <c r="E21" s="26"/>
      <c r="F21" s="26"/>
      <c r="G21" s="5"/>
    </row>
    <row r="22" spans="1:7" ht="13.95" customHeight="1">
      <c r="A22" s="55" t="s">
        <v>2322</v>
      </c>
      <c r="B22" s="26"/>
      <c r="C22" s="26"/>
      <c r="D22" s="26"/>
      <c r="E22" s="26"/>
      <c r="F22" s="26"/>
      <c r="G22" s="5"/>
    </row>
    <row r="23" spans="1:7" ht="13.95" customHeight="1">
      <c r="A23" s="3"/>
      <c r="B23" s="26"/>
      <c r="C23" s="26"/>
      <c r="D23" s="26"/>
      <c r="E23" s="26"/>
      <c r="F23" s="26"/>
      <c r="G23" s="5"/>
    </row>
    <row r="24" spans="1:7" ht="40.200000000000003" customHeight="1">
      <c r="A24" s="6" t="s">
        <v>762</v>
      </c>
      <c r="B24" s="91" t="s">
        <v>763</v>
      </c>
      <c r="C24" s="91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3.95" customHeight="1">
      <c r="A25" s="3" t="s">
        <v>671</v>
      </c>
      <c r="B25" s="96" t="s">
        <v>672</v>
      </c>
      <c r="C25" s="86"/>
      <c r="D25" s="5"/>
      <c r="E25" s="5"/>
      <c r="F25" s="5"/>
      <c r="G25" s="5"/>
    </row>
    <row r="26" spans="1:7" ht="13.65" customHeight="1">
      <c r="A26" s="5"/>
      <c r="B26" s="96" t="s">
        <v>673</v>
      </c>
      <c r="C26" s="96" t="s">
        <v>674</v>
      </c>
      <c r="D26" s="12" t="s">
        <v>675</v>
      </c>
      <c r="E26" s="3" t="s">
        <v>804</v>
      </c>
      <c r="F26" s="5"/>
      <c r="G26" s="5"/>
    </row>
    <row r="27" spans="1:7" ht="13.95" customHeight="1">
      <c r="A27" s="5"/>
      <c r="B27" s="96" t="s">
        <v>871</v>
      </c>
      <c r="C27" s="96" t="s">
        <v>681</v>
      </c>
      <c r="D27" s="12" t="s">
        <v>675</v>
      </c>
      <c r="E27" s="3" t="s">
        <v>837</v>
      </c>
      <c r="F27" s="5"/>
      <c r="G27" s="5"/>
    </row>
    <row r="28" spans="1:7" ht="13.65" customHeight="1">
      <c r="A28" s="5"/>
      <c r="B28" s="96" t="s">
        <v>751</v>
      </c>
      <c r="C28" s="96" t="s">
        <v>681</v>
      </c>
      <c r="D28" s="12" t="s">
        <v>675</v>
      </c>
      <c r="E28" s="3" t="s">
        <v>890</v>
      </c>
      <c r="F28" s="5"/>
      <c r="G28" s="5"/>
    </row>
    <row r="29" spans="1:7" ht="13.65" customHeight="1">
      <c r="A29" s="5"/>
      <c r="B29" s="96" t="s">
        <v>683</v>
      </c>
      <c r="C29" s="96" t="s">
        <v>684</v>
      </c>
      <c r="D29" s="12" t="s">
        <v>675</v>
      </c>
      <c r="E29" s="3" t="s">
        <v>805</v>
      </c>
      <c r="F29" s="5"/>
      <c r="G29" s="5"/>
    </row>
    <row r="30" spans="1:7" ht="13.95" customHeight="1">
      <c r="A30" s="5"/>
      <c r="B30" s="86"/>
      <c r="C30" s="86"/>
      <c r="D30" s="5"/>
      <c r="E30" s="96" t="s">
        <v>685</v>
      </c>
      <c r="F30" s="97"/>
      <c r="G30" s="5"/>
    </row>
    <row r="31" spans="1:7" ht="13.65" customHeight="1">
      <c r="A31" s="3" t="s">
        <v>686</v>
      </c>
      <c r="B31" s="96" t="s">
        <v>687</v>
      </c>
      <c r="C31" s="87"/>
      <c r="D31" s="5"/>
      <c r="E31" s="5"/>
      <c r="F31" s="5"/>
      <c r="G31" s="5"/>
    </row>
    <row r="32" spans="1:7" ht="13.65" customHeight="1">
      <c r="A32" s="5"/>
      <c r="B32" s="96" t="s">
        <v>1270</v>
      </c>
      <c r="C32" s="87"/>
      <c r="D32" s="14" t="s">
        <v>815</v>
      </c>
      <c r="E32" s="3" t="s">
        <v>794</v>
      </c>
      <c r="F32" s="5"/>
      <c r="G32" s="5"/>
    </row>
    <row r="33" spans="1:7" ht="13.95" customHeight="1">
      <c r="A33" s="5"/>
      <c r="B33" s="96" t="s">
        <v>1281</v>
      </c>
      <c r="C33" s="87"/>
      <c r="D33" s="12" t="s">
        <v>773</v>
      </c>
      <c r="E33" s="3" t="s">
        <v>851</v>
      </c>
      <c r="F33" s="5"/>
      <c r="G33" s="5"/>
    </row>
    <row r="34" spans="1:7" ht="13.65" customHeight="1">
      <c r="A34" s="5"/>
      <c r="B34" s="96" t="s">
        <v>1268</v>
      </c>
      <c r="C34" s="87"/>
      <c r="D34" s="12" t="s">
        <v>773</v>
      </c>
      <c r="E34" s="3" t="s">
        <v>718</v>
      </c>
      <c r="F34" s="5"/>
      <c r="G34" s="5"/>
    </row>
    <row r="35" spans="1:7" ht="23.4" customHeight="1">
      <c r="A35" s="5"/>
      <c r="B35" s="104" t="s">
        <v>1282</v>
      </c>
      <c r="C35" s="87"/>
      <c r="D35" s="2" t="s">
        <v>1277</v>
      </c>
      <c r="E35" s="2" t="s">
        <v>1278</v>
      </c>
      <c r="F35" s="5"/>
      <c r="G35" s="5"/>
    </row>
    <row r="36" spans="1:7" ht="13.65" customHeight="1">
      <c r="A36" s="5"/>
      <c r="B36" s="86"/>
      <c r="C36" s="87"/>
      <c r="D36" s="5"/>
      <c r="E36" s="96" t="s">
        <v>702</v>
      </c>
      <c r="F36" s="97"/>
      <c r="G36" s="5"/>
    </row>
    <row r="37" spans="1:7" ht="13.95" customHeight="1">
      <c r="A37" s="3" t="s">
        <v>703</v>
      </c>
      <c r="B37" s="96" t="s">
        <v>704</v>
      </c>
      <c r="C37" s="87"/>
      <c r="D37" s="5"/>
      <c r="E37" s="5"/>
      <c r="F37" s="5"/>
      <c r="G37" s="5"/>
    </row>
    <row r="38" spans="1:7" ht="13.65" customHeight="1">
      <c r="A38" s="5"/>
      <c r="B38" s="86"/>
      <c r="C38" s="87"/>
      <c r="D38" s="5"/>
      <c r="E38" s="96" t="s">
        <v>705</v>
      </c>
      <c r="F38" s="97"/>
      <c r="G38" s="5"/>
    </row>
    <row r="39" spans="1:7" ht="13.65" customHeight="1">
      <c r="A39" s="5"/>
      <c r="B39" s="86"/>
      <c r="C39" s="87"/>
      <c r="D39" s="5"/>
      <c r="E39" s="5"/>
      <c r="F39" s="5"/>
      <c r="G39" s="5"/>
    </row>
    <row r="40" spans="1:7" ht="13.95" customHeight="1">
      <c r="A40" s="3" t="s">
        <v>706</v>
      </c>
      <c r="B40" s="96" t="s">
        <v>707</v>
      </c>
      <c r="C40" s="102"/>
      <c r="D40" s="102"/>
      <c r="E40" s="102"/>
      <c r="F40" s="97"/>
      <c r="G40" s="5"/>
    </row>
    <row r="41" spans="1:7" ht="13.65" customHeight="1">
      <c r="A41" s="3" t="s">
        <v>708</v>
      </c>
      <c r="B41" s="92" t="s">
        <v>876</v>
      </c>
      <c r="C41" s="93"/>
      <c r="D41" s="94"/>
      <c r="E41" s="96" t="s">
        <v>710</v>
      </c>
      <c r="F41" s="97"/>
      <c r="G41" s="5"/>
    </row>
    <row r="42" spans="1:7" ht="13.95" customHeight="1">
      <c r="A42" s="3" t="s">
        <v>711</v>
      </c>
      <c r="B42" s="96" t="s">
        <v>712</v>
      </c>
      <c r="C42" s="102"/>
      <c r="D42" s="102"/>
      <c r="E42" s="102"/>
      <c r="F42" s="97"/>
      <c r="G42" s="5"/>
    </row>
  </sheetData>
  <mergeCells count="7">
    <mergeCell ref="E13:F13"/>
    <mergeCell ref="E9:F9"/>
    <mergeCell ref="B20:F20"/>
    <mergeCell ref="B18:F18"/>
    <mergeCell ref="B19:D19"/>
    <mergeCell ref="E19:F19"/>
    <mergeCell ref="E16:F16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V270"/>
  <sheetViews>
    <sheetView topLeftCell="A7" workbookViewId="0">
      <pane ySplit="4" topLeftCell="A111" activePane="bottomLeft" state="frozen"/>
      <selection activeCell="A7" sqref="A7"/>
      <selection pane="bottomLeft" activeCell="H118" sqref="H118"/>
    </sheetView>
  </sheetViews>
  <sheetFormatPr defaultRowHeight="14.4"/>
  <cols>
    <col min="1" max="1" width="3.5546875" customWidth="1"/>
    <col min="2" max="2" width="4.44140625" customWidth="1"/>
    <col min="3" max="3" width="3.5546875" customWidth="1"/>
    <col min="5" max="5" width="46" customWidth="1"/>
    <col min="6" max="6" width="18.44140625" customWidth="1"/>
    <col min="7" max="7" width="19.5546875" style="766" customWidth="1"/>
    <col min="8" max="8" width="8" style="78" customWidth="1"/>
    <col min="9" max="10" width="7.5546875" style="78" customWidth="1"/>
    <col min="11" max="11" width="8.88671875" style="715" customWidth="1"/>
    <col min="12" max="12" width="8.88671875" style="78" customWidth="1"/>
    <col min="13" max="13" width="10.109375" style="879" bestFit="1" customWidth="1"/>
    <col min="15" max="15" width="5" customWidth="1"/>
    <col min="16" max="16" width="5.44140625" customWidth="1"/>
    <col min="17" max="17" width="4.5546875" customWidth="1"/>
    <col min="18" max="18" width="6.33203125" customWidth="1"/>
    <col min="19" max="19" width="6.6640625" style="78" customWidth="1"/>
    <col min="21" max="21" width="10.5546875" bestFit="1" customWidth="1"/>
    <col min="22" max="22" width="17.6640625" customWidth="1"/>
  </cols>
  <sheetData>
    <row r="1" spans="1:19" ht="21.6" thickTop="1" thickBot="1">
      <c r="A1" s="2375" t="s">
        <v>4930</v>
      </c>
      <c r="B1" s="2376"/>
      <c r="C1" s="2376"/>
      <c r="D1" s="2376"/>
      <c r="E1" s="2376"/>
      <c r="F1" s="2376"/>
      <c r="G1" s="2376"/>
      <c r="H1" s="2376"/>
      <c r="I1" s="2376"/>
      <c r="J1" s="2376"/>
      <c r="K1" s="2376"/>
      <c r="L1" s="2376"/>
      <c r="M1" s="2376"/>
      <c r="N1" s="2376"/>
    </row>
    <row r="2" spans="1:19" ht="16.2" thickTop="1">
      <c r="A2" s="2377" t="s">
        <v>4909</v>
      </c>
      <c r="B2" s="2377"/>
      <c r="C2" s="2377"/>
      <c r="D2" s="693" t="s">
        <v>4532</v>
      </c>
      <c r="E2" s="695"/>
      <c r="F2" s="695"/>
      <c r="G2" s="880"/>
      <c r="H2" s="695"/>
      <c r="I2" s="695"/>
      <c r="J2" s="695"/>
      <c r="K2" s="735" t="s">
        <v>4938</v>
      </c>
      <c r="L2" s="695"/>
      <c r="M2" s="2397">
        <f>0.6165*0.6*0.6</f>
        <v>0.22194</v>
      </c>
      <c r="N2" s="2397"/>
    </row>
    <row r="3" spans="1:19" ht="15.6">
      <c r="A3" s="2377" t="s">
        <v>4910</v>
      </c>
      <c r="B3" s="2377"/>
      <c r="C3" s="2377"/>
      <c r="D3" s="693" t="s">
        <v>4532</v>
      </c>
      <c r="E3" s="695"/>
      <c r="F3" s="695"/>
      <c r="G3" s="880"/>
      <c r="H3" s="695"/>
      <c r="I3" s="695"/>
      <c r="J3" s="695"/>
      <c r="K3" s="735" t="s">
        <v>4939</v>
      </c>
      <c r="L3" s="695"/>
      <c r="M3" s="2397">
        <f>0.6165*0.8*0.8</f>
        <v>0.39456000000000008</v>
      </c>
      <c r="N3" s="2397"/>
    </row>
    <row r="4" spans="1:19" ht="15.6">
      <c r="A4" s="2377" t="s">
        <v>4911</v>
      </c>
      <c r="B4" s="2377"/>
      <c r="C4" s="2377"/>
      <c r="D4" s="693" t="s">
        <v>4532</v>
      </c>
      <c r="E4" s="2396"/>
      <c r="F4" s="2396"/>
      <c r="G4" s="881"/>
      <c r="H4" s="695"/>
      <c r="I4" s="695"/>
      <c r="J4" s="695"/>
      <c r="K4" s="735" t="s">
        <v>4940</v>
      </c>
      <c r="L4" s="695"/>
      <c r="M4" s="2397">
        <f>0.6165*1*1</f>
        <v>0.61650000000000005</v>
      </c>
      <c r="N4" s="2397"/>
    </row>
    <row r="5" spans="1:19" ht="15.6">
      <c r="A5" s="2377" t="s">
        <v>4912</v>
      </c>
      <c r="B5" s="2377"/>
      <c r="C5" s="2377"/>
      <c r="D5" s="693" t="s">
        <v>4532</v>
      </c>
      <c r="E5" s="803">
        <v>2022</v>
      </c>
      <c r="F5" s="803"/>
      <c r="G5" s="881"/>
      <c r="H5" s="702"/>
      <c r="I5" s="702"/>
      <c r="J5" s="702"/>
      <c r="K5" s="735" t="s">
        <v>4941</v>
      </c>
      <c r="L5" s="702"/>
      <c r="M5" s="2397">
        <f>0.6165*1.2*1.2</f>
        <v>0.88775999999999999</v>
      </c>
      <c r="N5" s="2397"/>
    </row>
    <row r="6" spans="1:19" ht="15.6">
      <c r="A6" s="721"/>
      <c r="B6" s="721"/>
      <c r="C6" s="721"/>
      <c r="D6" s="693"/>
      <c r="E6" s="702"/>
      <c r="F6" s="803"/>
      <c r="G6" s="881"/>
      <c r="H6" s="702"/>
      <c r="I6" s="702"/>
      <c r="J6" s="702"/>
      <c r="K6" s="735" t="s">
        <v>4942</v>
      </c>
      <c r="L6" s="702"/>
      <c r="M6" s="2397">
        <f>0.6165*1.3*1.3</f>
        <v>1.0418850000000002</v>
      </c>
      <c r="N6" s="2397"/>
    </row>
    <row r="7" spans="1:19" ht="9" customHeight="1" thickBot="1">
      <c r="A7" s="721"/>
      <c r="B7" s="721"/>
      <c r="C7" s="721"/>
      <c r="D7" s="693"/>
      <c r="E7" s="702"/>
      <c r="F7" s="803"/>
      <c r="G7" s="881"/>
      <c r="H7" s="702"/>
      <c r="I7" s="702"/>
      <c r="J7" s="702"/>
      <c r="K7" s="736" t="s">
        <v>4943</v>
      </c>
      <c r="L7" s="702"/>
      <c r="M7" s="2401">
        <f>0.6165*1.6*1.6</f>
        <v>1.5782400000000003</v>
      </c>
      <c r="N7" s="2401"/>
    </row>
    <row r="8" spans="1:19" ht="14.25" customHeight="1">
      <c r="A8" s="2378" t="s">
        <v>1003</v>
      </c>
      <c r="B8" s="2382" t="s">
        <v>3491</v>
      </c>
      <c r="C8" s="2383"/>
      <c r="D8" s="2383"/>
      <c r="E8" s="2383"/>
      <c r="F8" s="2384"/>
      <c r="G8" s="2380" t="s">
        <v>4931</v>
      </c>
      <c r="H8" s="2393" t="s">
        <v>4932</v>
      </c>
      <c r="I8" s="2394"/>
      <c r="J8" s="2394"/>
      <c r="K8" s="2395"/>
      <c r="L8" s="2402" t="s">
        <v>4549</v>
      </c>
      <c r="M8" s="2371" t="s">
        <v>4906</v>
      </c>
      <c r="N8" s="2404" t="s">
        <v>4913</v>
      </c>
    </row>
    <row r="9" spans="1:19" ht="18" customHeight="1">
      <c r="A9" s="2379"/>
      <c r="B9" s="2385"/>
      <c r="C9" s="2386"/>
      <c r="D9" s="2386"/>
      <c r="E9" s="2386"/>
      <c r="F9" s="2387"/>
      <c r="G9" s="2381"/>
      <c r="H9" s="708" t="s">
        <v>4933</v>
      </c>
      <c r="I9" s="710" t="s">
        <v>896</v>
      </c>
      <c r="J9" s="712" t="s">
        <v>4934</v>
      </c>
      <c r="K9" s="737" t="s">
        <v>4935</v>
      </c>
      <c r="L9" s="2403"/>
      <c r="M9" s="2372"/>
      <c r="N9" s="2405"/>
    </row>
    <row r="10" spans="1:19" ht="15" customHeight="1" thickBot="1">
      <c r="A10" s="2379"/>
      <c r="B10" s="2385"/>
      <c r="C10" s="2386"/>
      <c r="D10" s="2386"/>
      <c r="E10" s="2386"/>
      <c r="F10" s="2388"/>
      <c r="G10" s="2381"/>
      <c r="H10" s="709" t="s">
        <v>2944</v>
      </c>
      <c r="I10" s="711" t="s">
        <v>2944</v>
      </c>
      <c r="J10" s="713" t="s">
        <v>2944</v>
      </c>
      <c r="K10" s="738" t="s">
        <v>2944</v>
      </c>
      <c r="L10" s="1450" t="s">
        <v>4936</v>
      </c>
      <c r="M10" s="2372"/>
      <c r="N10" s="2405"/>
      <c r="S10" s="78" t="s">
        <v>5193</v>
      </c>
    </row>
    <row r="11" spans="1:19" ht="25.5" customHeight="1" thickTop="1">
      <c r="A11" s="1455" t="s">
        <v>671</v>
      </c>
      <c r="B11" s="2398" t="str">
        <f>EE!B7</f>
        <v>PEKERJAAN PENDAHULUAN</v>
      </c>
      <c r="C11" s="2399"/>
      <c r="D11" s="2399"/>
      <c r="E11" s="2399"/>
      <c r="F11" s="2400"/>
      <c r="G11" s="1456"/>
      <c r="H11" s="1457"/>
      <c r="I11" s="1457"/>
      <c r="J11" s="1457"/>
      <c r="K11" s="1458"/>
      <c r="L11" s="1459"/>
      <c r="M11" s="1460"/>
      <c r="N11" s="1461"/>
    </row>
    <row r="12" spans="1:19">
      <c r="A12" s="1451"/>
      <c r="B12" s="830">
        <v>1</v>
      </c>
      <c r="C12" s="830"/>
      <c r="D12" s="2322" t="s">
        <v>4916</v>
      </c>
      <c r="E12" s="2322"/>
      <c r="F12" s="2322"/>
      <c r="G12" s="1452"/>
      <c r="H12" s="1453"/>
      <c r="I12" s="1453"/>
      <c r="J12" s="1453"/>
      <c r="K12" s="1454"/>
      <c r="L12" s="1453"/>
      <c r="M12" s="878">
        <v>1</v>
      </c>
      <c r="N12" s="706"/>
    </row>
    <row r="13" spans="1:19">
      <c r="A13" s="703"/>
      <c r="B13" s="813">
        <v>2</v>
      </c>
      <c r="C13" s="813"/>
      <c r="D13" s="2306" t="s">
        <v>4917</v>
      </c>
      <c r="E13" s="2306"/>
      <c r="F13" s="2306"/>
      <c r="G13" s="882"/>
      <c r="H13" s="704"/>
      <c r="I13" s="704"/>
      <c r="J13" s="704"/>
      <c r="K13" s="725"/>
      <c r="L13" s="704"/>
      <c r="M13" s="873">
        <v>1</v>
      </c>
      <c r="N13" s="704"/>
    </row>
    <row r="14" spans="1:19" ht="23.25" customHeight="1">
      <c r="A14" s="1462" t="s">
        <v>686</v>
      </c>
      <c r="B14" s="2389" t="s">
        <v>5040</v>
      </c>
      <c r="C14" s="2390"/>
      <c r="D14" s="2390"/>
      <c r="E14" s="2390"/>
      <c r="F14" s="2391"/>
      <c r="G14" s="1463"/>
      <c r="H14" s="1464"/>
      <c r="I14" s="1464"/>
      <c r="J14" s="1464"/>
      <c r="K14" s="1465"/>
      <c r="L14" s="1464"/>
      <c r="M14" s="1466"/>
      <c r="N14" s="1464"/>
      <c r="O14" s="722" t="s">
        <v>4938</v>
      </c>
      <c r="P14" s="695"/>
      <c r="Q14" s="2397">
        <f>0.6165*0.6*0.6</f>
        <v>0.22194</v>
      </c>
      <c r="R14" s="2397"/>
    </row>
    <row r="15" spans="1:19">
      <c r="A15" s="1075"/>
      <c r="B15" s="2411" t="s">
        <v>5051</v>
      </c>
      <c r="C15" s="2411"/>
      <c r="D15" s="2411"/>
      <c r="E15" s="2411"/>
      <c r="F15" s="2411"/>
      <c r="G15" s="1076"/>
      <c r="H15" s="1077"/>
      <c r="I15" s="1077"/>
      <c r="J15" s="1077"/>
      <c r="K15" s="1078"/>
      <c r="L15" s="1077"/>
      <c r="M15" s="1079"/>
      <c r="N15" s="1077"/>
      <c r="O15" s="722" t="s">
        <v>4939</v>
      </c>
      <c r="P15" s="695"/>
      <c r="Q15" s="2397">
        <f>0.6165*0.8*0.8</f>
        <v>0.39456000000000008</v>
      </c>
      <c r="R15" s="2397"/>
    </row>
    <row r="16" spans="1:19">
      <c r="A16" s="990"/>
      <c r="B16" s="2392" t="s">
        <v>5050</v>
      </c>
      <c r="C16" s="2392"/>
      <c r="D16" s="2392"/>
      <c r="E16" s="2392"/>
      <c r="F16" s="2392"/>
      <c r="G16" s="991"/>
      <c r="H16" s="864"/>
      <c r="I16" s="864"/>
      <c r="J16" s="864"/>
      <c r="K16" s="992"/>
      <c r="L16" s="864"/>
      <c r="M16" s="877"/>
      <c r="N16" s="864"/>
      <c r="O16" s="722" t="s">
        <v>4940</v>
      </c>
      <c r="P16" s="695"/>
      <c r="Q16" s="2397">
        <f>0.6165*1*1</f>
        <v>0.61650000000000005</v>
      </c>
      <c r="R16" s="2397"/>
    </row>
    <row r="17" spans="1:19">
      <c r="A17" s="703"/>
      <c r="B17" s="809"/>
      <c r="C17" s="2312"/>
      <c r="D17" s="2312"/>
      <c r="E17" s="2312"/>
      <c r="F17" s="2313"/>
      <c r="G17" s="997"/>
      <c r="H17" s="704"/>
      <c r="I17" s="704"/>
      <c r="J17" s="704"/>
      <c r="K17" s="725"/>
      <c r="L17" s="704"/>
      <c r="M17" s="873"/>
      <c r="N17" s="704"/>
      <c r="O17" s="722" t="s">
        <v>4941</v>
      </c>
      <c r="P17" s="702"/>
      <c r="Q17" s="2397">
        <f>0.6165*1.2*1.2</f>
        <v>0.88775999999999999</v>
      </c>
      <c r="R17" s="2397"/>
    </row>
    <row r="18" spans="1:19">
      <c r="A18" s="703"/>
      <c r="B18" s="809"/>
      <c r="C18" s="822"/>
      <c r="D18" s="2312"/>
      <c r="E18" s="2312"/>
      <c r="F18" s="2313"/>
      <c r="G18" s="997"/>
      <c r="H18" s="704"/>
      <c r="I18" s="704"/>
      <c r="J18" s="704"/>
      <c r="K18" s="725"/>
      <c r="L18" s="704"/>
      <c r="M18" s="873"/>
      <c r="N18" s="704"/>
      <c r="O18" s="722" t="s">
        <v>4942</v>
      </c>
      <c r="P18" s="702"/>
      <c r="Q18" s="2397">
        <f>0.6165*1.3*1.3</f>
        <v>1.0418850000000002</v>
      </c>
      <c r="R18" s="2397"/>
    </row>
    <row r="19" spans="1:19">
      <c r="A19" s="703"/>
      <c r="B19" s="809"/>
      <c r="C19" s="822"/>
      <c r="D19" s="2312"/>
      <c r="E19" s="2312"/>
      <c r="F19" s="2313"/>
      <c r="G19" s="883"/>
      <c r="H19" s="704"/>
      <c r="I19" s="704"/>
      <c r="J19" s="704"/>
      <c r="K19" s="725"/>
      <c r="L19" s="704"/>
      <c r="M19" s="873"/>
      <c r="N19" s="704"/>
      <c r="O19" s="723" t="s">
        <v>4943</v>
      </c>
      <c r="P19" s="702"/>
      <c r="Q19" s="2401">
        <f>0.6165*1.6*1.6</f>
        <v>1.5782400000000003</v>
      </c>
      <c r="R19" s="2401"/>
    </row>
    <row r="20" spans="1:19">
      <c r="A20" s="703"/>
      <c r="B20" s="809" t="s">
        <v>4920</v>
      </c>
      <c r="C20" s="2373" t="s">
        <v>5043</v>
      </c>
      <c r="D20" s="2373"/>
      <c r="E20" s="2373"/>
      <c r="F20" s="2374"/>
      <c r="G20" s="884"/>
      <c r="H20" s="704"/>
      <c r="I20" s="704"/>
      <c r="J20" s="704"/>
      <c r="K20" s="725"/>
      <c r="L20" s="998"/>
      <c r="M20" s="873"/>
      <c r="N20" s="704"/>
      <c r="P20" s="716"/>
    </row>
    <row r="21" spans="1:19">
      <c r="A21" s="703"/>
      <c r="B21" s="809"/>
      <c r="C21" s="809" t="s">
        <v>4925</v>
      </c>
      <c r="D21" s="823" t="s">
        <v>5042</v>
      </c>
      <c r="E21" s="823"/>
      <c r="F21" s="824"/>
      <c r="G21" s="884"/>
      <c r="H21" s="704">
        <v>68.650000000000006</v>
      </c>
      <c r="I21" s="704">
        <v>0.45</v>
      </c>
      <c r="J21" s="704">
        <v>0.7</v>
      </c>
      <c r="K21" s="725"/>
      <c r="L21" s="704"/>
      <c r="M21" s="873">
        <f>H21*I21*J21</f>
        <v>21.624749999999999</v>
      </c>
      <c r="N21" s="704" t="s">
        <v>2646</v>
      </c>
      <c r="S21" s="78">
        <f>(1.45+1.74+1.74)*2</f>
        <v>9.86</v>
      </c>
    </row>
    <row r="22" spans="1:19">
      <c r="A22" s="703"/>
      <c r="B22" s="809"/>
      <c r="C22" s="809" t="s">
        <v>4925</v>
      </c>
      <c r="D22" s="823" t="s">
        <v>5044</v>
      </c>
      <c r="E22" s="823"/>
      <c r="F22" s="824"/>
      <c r="G22" s="883"/>
      <c r="H22" s="704"/>
      <c r="I22" s="704"/>
      <c r="J22" s="704"/>
      <c r="K22" s="725"/>
      <c r="L22" s="704">
        <f>M21/3</f>
        <v>7.2082499999999996</v>
      </c>
      <c r="M22" s="873">
        <f>L22</f>
        <v>7.2082499999999996</v>
      </c>
      <c r="N22" s="704"/>
    </row>
    <row r="23" spans="1:19">
      <c r="A23" s="703"/>
      <c r="B23" s="809"/>
      <c r="C23" s="809"/>
      <c r="D23" s="2298" t="str">
        <f>EE!D17</f>
        <v>Pekerjaan Urugan Tanah di datangkan</v>
      </c>
      <c r="E23" s="2298"/>
      <c r="F23" s="824"/>
      <c r="G23" s="883"/>
      <c r="H23" s="704">
        <v>10.9</v>
      </c>
      <c r="I23" s="704">
        <v>1.65</v>
      </c>
      <c r="J23" s="704">
        <v>0.5</v>
      </c>
      <c r="K23" s="725"/>
      <c r="L23" s="704">
        <v>2</v>
      </c>
      <c r="M23" s="873">
        <f>L23*J23*I23*H23</f>
        <v>17.984999999999999</v>
      </c>
      <c r="N23" s="704" t="s">
        <v>2646</v>
      </c>
    </row>
    <row r="24" spans="1:19">
      <c r="A24" s="703"/>
      <c r="B24" s="809" t="s">
        <v>4578</v>
      </c>
      <c r="C24" s="2373" t="s">
        <v>5045</v>
      </c>
      <c r="D24" s="2373"/>
      <c r="E24" s="2373"/>
      <c r="F24" s="827"/>
      <c r="G24" s="883"/>
      <c r="H24" s="704"/>
      <c r="I24" s="704"/>
      <c r="J24" s="704"/>
      <c r="K24" s="725"/>
      <c r="L24" s="998"/>
      <c r="M24" s="873"/>
      <c r="N24" s="704"/>
    </row>
    <row r="25" spans="1:19">
      <c r="A25" s="703"/>
      <c r="B25" s="809"/>
      <c r="C25" s="825" t="s">
        <v>4925</v>
      </c>
      <c r="D25" s="823" t="s">
        <v>5046</v>
      </c>
      <c r="E25" s="826"/>
      <c r="F25" s="827"/>
      <c r="G25" s="884"/>
      <c r="H25" s="704">
        <f>H21</f>
        <v>68.650000000000006</v>
      </c>
      <c r="I25" s="704">
        <v>0.45</v>
      </c>
      <c r="J25" s="704">
        <v>0.05</v>
      </c>
      <c r="K25" s="725"/>
      <c r="L25" s="704"/>
      <c r="M25" s="873">
        <f>H25*I25*J25</f>
        <v>1.5446250000000001</v>
      </c>
      <c r="N25" s="704" t="s">
        <v>2646</v>
      </c>
    </row>
    <row r="26" spans="1:19">
      <c r="A26" s="703"/>
      <c r="B26" s="809"/>
      <c r="C26" s="825" t="s">
        <v>4925</v>
      </c>
      <c r="D26" s="2298" t="s">
        <v>5047</v>
      </c>
      <c r="E26" s="2298"/>
      <c r="F26" s="2299"/>
      <c r="G26" s="884"/>
      <c r="H26" s="704">
        <f>H25</f>
        <v>68.650000000000006</v>
      </c>
      <c r="I26" s="704">
        <f>I25</f>
        <v>0.45</v>
      </c>
      <c r="J26" s="704">
        <f>J25</f>
        <v>0.05</v>
      </c>
      <c r="K26" s="725"/>
      <c r="L26" s="704"/>
      <c r="M26" s="873">
        <f>H26*I26*J26</f>
        <v>1.5446250000000001</v>
      </c>
      <c r="N26" s="704" t="s">
        <v>2646</v>
      </c>
    </row>
    <row r="27" spans="1:19">
      <c r="A27" s="703"/>
      <c r="B27" s="809"/>
      <c r="C27" s="825" t="s">
        <v>4925</v>
      </c>
      <c r="D27" s="2298" t="s">
        <v>5048</v>
      </c>
      <c r="E27" s="2298"/>
      <c r="F27" s="2299"/>
      <c r="G27" s="884"/>
      <c r="H27" s="704">
        <f>H21</f>
        <v>68.650000000000006</v>
      </c>
      <c r="I27" s="704">
        <v>0.13</v>
      </c>
      <c r="J27" s="704"/>
      <c r="K27" s="725"/>
      <c r="L27" s="704"/>
      <c r="M27" s="873">
        <f>H27*I27</f>
        <v>8.9245000000000019</v>
      </c>
      <c r="N27" s="704" t="s">
        <v>2646</v>
      </c>
    </row>
    <row r="28" spans="1:19">
      <c r="A28" s="703"/>
      <c r="B28" s="809" t="s">
        <v>5020</v>
      </c>
      <c r="C28" s="2298" t="s">
        <v>4952</v>
      </c>
      <c r="D28" s="2298"/>
      <c r="E28" s="2298"/>
      <c r="F28" s="2299"/>
      <c r="G28" s="884"/>
      <c r="H28" s="704">
        <f>H21</f>
        <v>68.650000000000006</v>
      </c>
      <c r="I28" s="704"/>
      <c r="J28" s="704"/>
      <c r="K28" s="725"/>
      <c r="L28" s="704"/>
      <c r="M28" s="873">
        <f>H28</f>
        <v>68.650000000000006</v>
      </c>
      <c r="N28" s="704" t="s">
        <v>2941</v>
      </c>
    </row>
    <row r="29" spans="1:19">
      <c r="A29" s="703"/>
      <c r="B29" s="809" t="s">
        <v>5021</v>
      </c>
      <c r="C29" s="2298" t="s">
        <v>5101</v>
      </c>
      <c r="D29" s="2298"/>
      <c r="E29" s="2298"/>
      <c r="F29" s="2299"/>
      <c r="G29" s="884"/>
      <c r="H29" s="704">
        <f>24*2.9</f>
        <v>69.599999999999994</v>
      </c>
      <c r="I29" s="704"/>
      <c r="J29" s="704"/>
      <c r="K29" s="725"/>
      <c r="L29" s="998"/>
      <c r="M29" s="873">
        <f>H29</f>
        <v>69.599999999999994</v>
      </c>
      <c r="N29" s="704" t="s">
        <v>2941</v>
      </c>
      <c r="S29" s="78">
        <v>4</v>
      </c>
    </row>
    <row r="30" spans="1:19">
      <c r="A30" s="707"/>
      <c r="B30" s="813" t="s">
        <v>4923</v>
      </c>
      <c r="C30" s="2306" t="s">
        <v>4954</v>
      </c>
      <c r="D30" s="2306"/>
      <c r="E30" s="2306"/>
      <c r="F30" s="2307"/>
      <c r="G30" s="1070"/>
      <c r="H30" s="705">
        <f>H21</f>
        <v>68.650000000000006</v>
      </c>
      <c r="I30" s="705"/>
      <c r="J30" s="705"/>
      <c r="K30" s="739"/>
      <c r="L30" s="705"/>
      <c r="M30" s="874">
        <f>H30</f>
        <v>68.650000000000006</v>
      </c>
      <c r="N30" s="705" t="s">
        <v>2941</v>
      </c>
    </row>
    <row r="31" spans="1:19">
      <c r="A31" s="1061"/>
      <c r="B31" s="2410" t="s">
        <v>5053</v>
      </c>
      <c r="C31" s="2410"/>
      <c r="D31" s="2410"/>
      <c r="E31" s="2410"/>
      <c r="F31" s="2410"/>
      <c r="G31" s="1073"/>
      <c r="H31" s="1069"/>
      <c r="I31" s="1069"/>
      <c r="J31" s="1069"/>
      <c r="K31" s="1074"/>
      <c r="L31" s="1069"/>
      <c r="M31" s="1068"/>
      <c r="N31" s="1069"/>
    </row>
    <row r="32" spans="1:19">
      <c r="A32" s="734"/>
      <c r="B32" s="830" t="s">
        <v>4920</v>
      </c>
      <c r="C32" s="2408" t="s">
        <v>5052</v>
      </c>
      <c r="D32" s="2408"/>
      <c r="E32" s="2408"/>
      <c r="F32" s="2409"/>
      <c r="G32" s="1071"/>
      <c r="H32" s="706"/>
      <c r="I32" s="706"/>
      <c r="J32" s="706"/>
      <c r="K32" s="741"/>
      <c r="L32" s="1072"/>
      <c r="M32" s="878"/>
      <c r="N32" s="706"/>
    </row>
    <row r="33" spans="1:19">
      <c r="A33" s="703"/>
      <c r="B33" s="809"/>
      <c r="C33" s="822" t="s">
        <v>4925</v>
      </c>
      <c r="D33" s="2312" t="s">
        <v>5054</v>
      </c>
      <c r="E33" s="2312"/>
      <c r="F33" s="2313"/>
      <c r="G33" s="883"/>
      <c r="H33" s="704"/>
      <c r="I33" s="704">
        <v>1.45</v>
      </c>
      <c r="J33" s="704"/>
      <c r="K33" s="725">
        <v>1.08</v>
      </c>
      <c r="L33" s="704">
        <v>2</v>
      </c>
      <c r="M33" s="873">
        <f>K33*I33*L33</f>
        <v>3.1320000000000001</v>
      </c>
      <c r="N33" s="704" t="s">
        <v>2646</v>
      </c>
    </row>
    <row r="34" spans="1:19">
      <c r="A34" s="703"/>
      <c r="B34" s="809"/>
      <c r="C34" s="822"/>
      <c r="D34" s="2312" t="str">
        <f>EE!D28</f>
        <v>Pekerjaan Bongkar dinding Existing</v>
      </c>
      <c r="E34" s="2312"/>
      <c r="F34" s="1058"/>
      <c r="G34" s="883"/>
      <c r="H34" s="704">
        <f>9.85*2</f>
        <v>19.7</v>
      </c>
      <c r="I34" s="704"/>
      <c r="J34" s="704">
        <v>3.62</v>
      </c>
      <c r="K34" s="725"/>
      <c r="L34" s="704"/>
      <c r="M34" s="873">
        <f>H34*J34</f>
        <v>71.313999999999993</v>
      </c>
      <c r="N34" s="704" t="s">
        <v>2647</v>
      </c>
    </row>
    <row r="35" spans="1:19">
      <c r="A35" s="703"/>
      <c r="B35" s="809" t="s">
        <v>4578</v>
      </c>
      <c r="C35" s="2373" t="s">
        <v>5043</v>
      </c>
      <c r="D35" s="2373"/>
      <c r="E35" s="2373"/>
      <c r="F35" s="2374"/>
      <c r="G35" s="884"/>
      <c r="H35" s="704"/>
      <c r="I35" s="704"/>
      <c r="J35" s="704"/>
      <c r="K35" s="725"/>
      <c r="L35" s="704"/>
      <c r="M35" s="873"/>
      <c r="N35" s="704"/>
    </row>
    <row r="36" spans="1:19">
      <c r="A36" s="703"/>
      <c r="B36" s="809"/>
      <c r="C36" s="809" t="s">
        <v>4925</v>
      </c>
      <c r="D36" s="823" t="s">
        <v>5042</v>
      </c>
      <c r="E36" s="823"/>
      <c r="F36" s="824"/>
      <c r="G36" s="884"/>
      <c r="H36" s="704">
        <v>70.22</v>
      </c>
      <c r="I36" s="704">
        <v>0.45</v>
      </c>
      <c r="J36" s="704">
        <v>0.7</v>
      </c>
      <c r="K36" s="725"/>
      <c r="L36" s="704"/>
      <c r="M36" s="873">
        <f>J36*I36*H36</f>
        <v>22.119299999999999</v>
      </c>
      <c r="N36" s="704" t="s">
        <v>2646</v>
      </c>
      <c r="S36" s="78">
        <f>3.25+8.56+6.4</f>
        <v>18.21</v>
      </c>
    </row>
    <row r="37" spans="1:19">
      <c r="A37" s="703"/>
      <c r="B37" s="809"/>
      <c r="C37" s="809" t="s">
        <v>4925</v>
      </c>
      <c r="D37" s="823" t="s">
        <v>5044</v>
      </c>
      <c r="E37" s="823"/>
      <c r="F37" s="824"/>
      <c r="G37" s="883"/>
      <c r="H37" s="704"/>
      <c r="I37" s="704"/>
      <c r="J37" s="704"/>
      <c r="K37" s="725"/>
      <c r="L37" s="704">
        <f>M36/3</f>
        <v>7.3731</v>
      </c>
      <c r="M37" s="873">
        <f>L37</f>
        <v>7.3731</v>
      </c>
      <c r="N37" s="704" t="s">
        <v>2646</v>
      </c>
    </row>
    <row r="38" spans="1:19">
      <c r="A38" s="703"/>
      <c r="B38" s="809"/>
      <c r="C38" s="809"/>
      <c r="D38" s="2298" t="str">
        <f>EE!D32</f>
        <v>Pekerjaan Urugan Tanah di datangkan</v>
      </c>
      <c r="E38" s="2298"/>
      <c r="F38" s="824"/>
      <c r="G38" s="883"/>
      <c r="H38" s="704">
        <v>10.8</v>
      </c>
      <c r="I38" s="704">
        <v>1.65</v>
      </c>
      <c r="J38" s="704">
        <v>0.5</v>
      </c>
      <c r="K38" s="725"/>
      <c r="L38" s="704"/>
      <c r="M38" s="873">
        <f>H38*I38*J38</f>
        <v>8.91</v>
      </c>
      <c r="N38" s="704" t="s">
        <v>2646</v>
      </c>
    </row>
    <row r="39" spans="1:19">
      <c r="A39" s="703"/>
      <c r="B39" s="809" t="s">
        <v>5020</v>
      </c>
      <c r="C39" s="2373" t="s">
        <v>5045</v>
      </c>
      <c r="D39" s="2373"/>
      <c r="E39" s="2373"/>
      <c r="F39" s="2374"/>
      <c r="G39" s="883"/>
      <c r="H39" s="704"/>
      <c r="I39" s="704"/>
      <c r="J39" s="704"/>
      <c r="K39" s="725"/>
      <c r="L39" s="704"/>
      <c r="M39" s="873"/>
      <c r="N39" s="704"/>
    </row>
    <row r="40" spans="1:19">
      <c r="A40" s="703"/>
      <c r="B40" s="809"/>
      <c r="C40" s="825" t="s">
        <v>4925</v>
      </c>
      <c r="D40" s="823" t="s">
        <v>5046</v>
      </c>
      <c r="E40" s="826"/>
      <c r="F40" s="827"/>
      <c r="G40" s="884"/>
      <c r="H40" s="704">
        <f>H36</f>
        <v>70.22</v>
      </c>
      <c r="I40" s="704">
        <v>0.45</v>
      </c>
      <c r="J40" s="704">
        <v>0.05</v>
      </c>
      <c r="K40" s="725"/>
      <c r="L40" s="704"/>
      <c r="M40" s="873">
        <f>J40*I40*H40</f>
        <v>1.5799500000000002</v>
      </c>
      <c r="N40" s="704" t="s">
        <v>2646</v>
      </c>
    </row>
    <row r="41" spans="1:19">
      <c r="A41" s="703"/>
      <c r="B41" s="809"/>
      <c r="C41" s="825" t="s">
        <v>4925</v>
      </c>
      <c r="D41" s="2298" t="s">
        <v>5047</v>
      </c>
      <c r="E41" s="2298"/>
      <c r="F41" s="2299"/>
      <c r="G41" s="884"/>
      <c r="H41" s="704">
        <f>H40</f>
        <v>70.22</v>
      </c>
      <c r="I41" s="704">
        <f>I40</f>
        <v>0.45</v>
      </c>
      <c r="J41" s="704">
        <f>J40</f>
        <v>0.05</v>
      </c>
      <c r="K41" s="725"/>
      <c r="L41" s="704"/>
      <c r="M41" s="873">
        <f>J41*I41*H41</f>
        <v>1.5799500000000002</v>
      </c>
      <c r="N41" s="704" t="s">
        <v>2646</v>
      </c>
    </row>
    <row r="42" spans="1:19">
      <c r="A42" s="703"/>
      <c r="B42" s="809"/>
      <c r="C42" s="825" t="s">
        <v>4925</v>
      </c>
      <c r="D42" s="2298" t="s">
        <v>5048</v>
      </c>
      <c r="E42" s="2298"/>
      <c r="F42" s="2299"/>
      <c r="G42" s="884"/>
      <c r="H42" s="704">
        <f>H40</f>
        <v>70.22</v>
      </c>
      <c r="I42" s="704">
        <v>0.13</v>
      </c>
      <c r="J42" s="704"/>
      <c r="K42" s="725"/>
      <c r="L42" s="704"/>
      <c r="M42" s="873">
        <f>I42*H42</f>
        <v>9.1286000000000005</v>
      </c>
      <c r="N42" s="704" t="s">
        <v>2646</v>
      </c>
    </row>
    <row r="43" spans="1:19">
      <c r="A43" s="703"/>
      <c r="B43" s="809" t="s">
        <v>5021</v>
      </c>
      <c r="C43" s="2298" t="s">
        <v>4952</v>
      </c>
      <c r="D43" s="2298"/>
      <c r="E43" s="2298"/>
      <c r="F43" s="2299"/>
      <c r="G43" s="884"/>
      <c r="H43" s="704">
        <f>H40</f>
        <v>70.22</v>
      </c>
      <c r="I43" s="704">
        <v>0.15</v>
      </c>
      <c r="J43" s="704">
        <v>0.2</v>
      </c>
      <c r="K43" s="725"/>
      <c r="L43" s="704"/>
      <c r="M43" s="873">
        <f>H43</f>
        <v>70.22</v>
      </c>
      <c r="N43" s="704" t="s">
        <v>2941</v>
      </c>
    </row>
    <row r="44" spans="1:19">
      <c r="A44" s="703"/>
      <c r="B44" s="809" t="s">
        <v>4923</v>
      </c>
      <c r="C44" s="2298" t="s">
        <v>5180</v>
      </c>
      <c r="D44" s="2298"/>
      <c r="E44" s="2298"/>
      <c r="F44" s="2299"/>
      <c r="G44" s="884"/>
      <c r="H44" s="704">
        <f>26*3.8</f>
        <v>98.8</v>
      </c>
      <c r="I44" s="704"/>
      <c r="J44" s="704"/>
      <c r="K44" s="725"/>
      <c r="L44" s="704"/>
      <c r="M44" s="714">
        <f>H44</f>
        <v>98.8</v>
      </c>
      <c r="N44" s="704" t="s">
        <v>2941</v>
      </c>
    </row>
    <row r="45" spans="1:19">
      <c r="A45" s="703"/>
      <c r="B45" s="809" t="s">
        <v>4924</v>
      </c>
      <c r="C45" s="2298" t="s">
        <v>5181</v>
      </c>
      <c r="D45" s="2298"/>
      <c r="E45" s="2298"/>
      <c r="F45" s="2299"/>
      <c r="G45" s="883"/>
      <c r="H45" s="704">
        <f>H40</f>
        <v>70.22</v>
      </c>
      <c r="I45" s="704"/>
      <c r="J45" s="704"/>
      <c r="K45" s="725"/>
      <c r="L45" s="704"/>
      <c r="M45" s="873">
        <f>H45</f>
        <v>70.22</v>
      </c>
      <c r="N45" s="704" t="s">
        <v>2941</v>
      </c>
    </row>
    <row r="46" spans="1:19">
      <c r="A46" s="703"/>
      <c r="B46" s="809" t="s">
        <v>5055</v>
      </c>
      <c r="C46" s="2373" t="s">
        <v>5056</v>
      </c>
      <c r="D46" s="2373"/>
      <c r="E46" s="2373"/>
      <c r="F46" s="2374"/>
      <c r="G46" s="884"/>
      <c r="H46" s="704"/>
      <c r="I46" s="704"/>
      <c r="J46" s="704"/>
      <c r="K46" s="725"/>
      <c r="L46" s="704"/>
      <c r="M46" s="873"/>
      <c r="N46" s="704"/>
    </row>
    <row r="47" spans="1:19">
      <c r="A47" s="703"/>
      <c r="B47" s="809"/>
      <c r="C47" s="809" t="s">
        <v>4925</v>
      </c>
      <c r="D47" s="2298" t="s">
        <v>5058</v>
      </c>
      <c r="E47" s="2298"/>
      <c r="F47" s="2299"/>
      <c r="G47" s="886"/>
      <c r="H47" s="704">
        <v>4.45</v>
      </c>
      <c r="I47" s="704">
        <v>1.45</v>
      </c>
      <c r="J47" s="704"/>
      <c r="K47" s="725"/>
      <c r="L47" s="704">
        <f>I47*H47</f>
        <v>6.4524999999999997</v>
      </c>
      <c r="M47" s="873">
        <f>L50</f>
        <v>12.022500000000001</v>
      </c>
      <c r="N47" s="704" t="s">
        <v>2647</v>
      </c>
    </row>
    <row r="48" spans="1:19">
      <c r="A48" s="703"/>
      <c r="B48" s="809"/>
      <c r="C48" s="809"/>
      <c r="D48" s="823"/>
      <c r="E48" s="823"/>
      <c r="F48" s="824"/>
      <c r="G48" s="886"/>
      <c r="H48" s="704">
        <v>1.45</v>
      </c>
      <c r="I48" s="704"/>
      <c r="J48" s="704">
        <v>0.2</v>
      </c>
      <c r="K48" s="725">
        <v>13</v>
      </c>
      <c r="L48" s="704">
        <f>K48*J48*H48</f>
        <v>3.77</v>
      </c>
      <c r="M48" s="873"/>
      <c r="N48" s="704"/>
    </row>
    <row r="49" spans="1:14">
      <c r="A49" s="703"/>
      <c r="B49" s="809"/>
      <c r="C49" s="809"/>
      <c r="D49" s="823"/>
      <c r="E49" s="823"/>
      <c r="F49" s="824"/>
      <c r="G49" s="886"/>
      <c r="H49" s="704"/>
      <c r="I49" s="704">
        <v>1.8</v>
      </c>
      <c r="J49" s="704"/>
      <c r="K49" s="725"/>
      <c r="L49" s="724">
        <f>I49</f>
        <v>1.8</v>
      </c>
      <c r="M49" s="873"/>
      <c r="N49" s="704"/>
    </row>
    <row r="50" spans="1:14">
      <c r="A50" s="703"/>
      <c r="B50" s="809"/>
      <c r="C50" s="809"/>
      <c r="D50" s="823"/>
      <c r="E50" s="823"/>
      <c r="F50" s="824"/>
      <c r="G50" s="886"/>
      <c r="H50" s="704"/>
      <c r="I50" s="704"/>
      <c r="J50" s="704"/>
      <c r="K50" s="725"/>
      <c r="L50" s="704">
        <f>SUM(L47:L49)</f>
        <v>12.022500000000001</v>
      </c>
      <c r="M50" s="873"/>
      <c r="N50" s="704"/>
    </row>
    <row r="51" spans="1:14">
      <c r="A51" s="703"/>
      <c r="B51" s="809"/>
      <c r="C51" s="809" t="s">
        <v>4925</v>
      </c>
      <c r="D51" s="2304" t="s">
        <v>5049</v>
      </c>
      <c r="E51" s="2304"/>
      <c r="F51" s="2305"/>
      <c r="G51" s="884" t="s">
        <v>5154</v>
      </c>
      <c r="H51" s="704">
        <v>7.85</v>
      </c>
      <c r="I51" s="872">
        <f>Q16</f>
        <v>0.61650000000000005</v>
      </c>
      <c r="J51" s="704"/>
      <c r="K51" s="725">
        <f>H52/0.15</f>
        <v>10.333333333333334</v>
      </c>
      <c r="L51" s="704">
        <v>4</v>
      </c>
      <c r="M51" s="742">
        <f>L51*K51*I51*H51</f>
        <v>200.03370000000001</v>
      </c>
      <c r="N51" s="704"/>
    </row>
    <row r="52" spans="1:14">
      <c r="A52" s="703"/>
      <c r="B52" s="809"/>
      <c r="C52" s="809"/>
      <c r="D52" s="835"/>
      <c r="E52" s="835"/>
      <c r="F52" s="836"/>
      <c r="G52" s="887" t="s">
        <v>5155</v>
      </c>
      <c r="H52" s="704">
        <v>1.55</v>
      </c>
      <c r="I52" s="872">
        <f>I51</f>
        <v>0.61650000000000005</v>
      </c>
      <c r="J52" s="704"/>
      <c r="K52" s="725">
        <f>H51/0.15</f>
        <v>52.333333333333336</v>
      </c>
      <c r="L52" s="704">
        <v>4</v>
      </c>
      <c r="M52" s="742">
        <f t="shared" ref="M52:M53" si="0">L52*K52*I52*H52</f>
        <v>200.03370000000001</v>
      </c>
      <c r="N52" s="704"/>
    </row>
    <row r="53" spans="1:14">
      <c r="A53" s="703"/>
      <c r="B53" s="809"/>
      <c r="C53" s="809"/>
      <c r="D53" s="835"/>
      <c r="E53" s="835"/>
      <c r="F53" s="836"/>
      <c r="G53" s="887"/>
      <c r="H53" s="704">
        <v>0.73</v>
      </c>
      <c r="I53" s="872">
        <f>I52</f>
        <v>0.61650000000000005</v>
      </c>
      <c r="J53" s="704"/>
      <c r="K53" s="725">
        <f>H52/0.2</f>
        <v>7.75</v>
      </c>
      <c r="L53" s="704">
        <v>2</v>
      </c>
      <c r="M53" s="875">
        <f t="shared" si="0"/>
        <v>6.9756975000000008</v>
      </c>
      <c r="N53" s="704"/>
    </row>
    <row r="54" spans="1:14">
      <c r="A54" s="703"/>
      <c r="B54" s="809"/>
      <c r="C54" s="809"/>
      <c r="D54" s="835"/>
      <c r="E54" s="835"/>
      <c r="F54" s="836"/>
      <c r="G54" s="887"/>
      <c r="H54" s="704"/>
      <c r="I54" s="872"/>
      <c r="J54" s="704"/>
      <c r="K54" s="725"/>
      <c r="L54" s="704"/>
      <c r="M54" s="873">
        <f>SUM(M51:M53)</f>
        <v>407.04309750000004</v>
      </c>
      <c r="N54" s="704" t="s">
        <v>2646</v>
      </c>
    </row>
    <row r="55" spans="1:14">
      <c r="A55" s="703"/>
      <c r="B55" s="809"/>
      <c r="C55" s="809" t="s">
        <v>4925</v>
      </c>
      <c r="D55" s="2298" t="s">
        <v>5057</v>
      </c>
      <c r="E55" s="2298"/>
      <c r="F55" s="2299"/>
      <c r="G55" s="885"/>
      <c r="H55" s="704"/>
      <c r="I55" s="704">
        <v>1.33</v>
      </c>
      <c r="J55" s="704"/>
      <c r="K55" s="725">
        <v>1.45</v>
      </c>
      <c r="L55" s="704">
        <v>2</v>
      </c>
      <c r="M55" s="873">
        <f>L55*K55*I55</f>
        <v>3.8570000000000002</v>
      </c>
      <c r="N55" s="704" t="s">
        <v>2646</v>
      </c>
    </row>
    <row r="56" spans="1:14" ht="32.25" customHeight="1">
      <c r="A56" s="1467" t="s">
        <v>703</v>
      </c>
      <c r="B56" s="2412" t="s">
        <v>5041</v>
      </c>
      <c r="C56" s="2413"/>
      <c r="D56" s="2413"/>
      <c r="E56" s="2413"/>
      <c r="F56" s="2414"/>
      <c r="G56" s="1468"/>
      <c r="H56" s="1469"/>
      <c r="I56" s="1469"/>
      <c r="J56" s="1469"/>
      <c r="K56" s="1470"/>
      <c r="L56" s="1469"/>
      <c r="M56" s="1471"/>
      <c r="N56" s="1472"/>
    </row>
    <row r="57" spans="1:14">
      <c r="A57" s="1061">
        <v>1</v>
      </c>
      <c r="B57" s="1062" t="s">
        <v>5121</v>
      </c>
      <c r="C57" s="1063"/>
      <c r="D57" s="1063"/>
      <c r="E57" s="1063"/>
      <c r="F57" s="1064"/>
      <c r="G57" s="1065"/>
      <c r="H57" s="1066"/>
      <c r="I57" s="1066"/>
      <c r="J57" s="1066"/>
      <c r="K57" s="1067"/>
      <c r="L57" s="1066"/>
      <c r="M57" s="1068"/>
      <c r="N57" s="1069"/>
    </row>
    <row r="58" spans="1:14">
      <c r="A58" s="1412"/>
      <c r="B58" s="1413" t="s">
        <v>4920</v>
      </c>
      <c r="C58" s="2415" t="s">
        <v>5059</v>
      </c>
      <c r="D58" s="2415"/>
      <c r="E58" s="2415"/>
      <c r="F58" s="2416"/>
      <c r="G58" s="1414"/>
      <c r="H58" s="1415"/>
      <c r="I58" s="1415"/>
      <c r="J58" s="1415"/>
      <c r="K58" s="1416"/>
      <c r="L58" s="1415"/>
      <c r="M58" s="1417"/>
      <c r="N58" s="1418"/>
    </row>
    <row r="59" spans="1:14">
      <c r="A59" s="703"/>
      <c r="B59" s="809"/>
      <c r="C59" s="809">
        <v>1</v>
      </c>
      <c r="D59" s="2298" t="s">
        <v>5060</v>
      </c>
      <c r="E59" s="2298"/>
      <c r="F59" s="2299"/>
      <c r="G59" s="884"/>
      <c r="H59" s="733"/>
      <c r="I59" s="860">
        <f>M84</f>
        <v>139.68</v>
      </c>
      <c r="J59" s="733"/>
      <c r="K59" s="740"/>
      <c r="L59" s="733"/>
      <c r="M59" s="873">
        <f>I62</f>
        <v>1974.46</v>
      </c>
      <c r="N59" s="704"/>
    </row>
    <row r="60" spans="1:14">
      <c r="A60" s="703"/>
      <c r="B60" s="809"/>
      <c r="C60" s="809"/>
      <c r="D60" s="823"/>
      <c r="E60" s="823"/>
      <c r="F60" s="824"/>
      <c r="G60" s="884"/>
      <c r="H60" s="733"/>
      <c r="I60" s="860">
        <f>M93</f>
        <v>784.78</v>
      </c>
      <c r="J60" s="733"/>
      <c r="K60" s="740"/>
      <c r="L60" s="733"/>
      <c r="M60" s="873"/>
      <c r="N60" s="704"/>
    </row>
    <row r="61" spans="1:14">
      <c r="A61" s="703"/>
      <c r="B61" s="809"/>
      <c r="C61" s="809"/>
      <c r="D61" s="823"/>
      <c r="E61" s="823"/>
      <c r="F61" s="824"/>
      <c r="G61" s="884"/>
      <c r="H61" s="733"/>
      <c r="I61" s="869">
        <f>M89</f>
        <v>1050</v>
      </c>
      <c r="J61" s="733"/>
      <c r="K61" s="740"/>
      <c r="L61" s="733"/>
      <c r="M61" s="873"/>
      <c r="N61" s="704"/>
    </row>
    <row r="62" spans="1:14">
      <c r="A62" s="703"/>
      <c r="B62" s="809"/>
      <c r="C62" s="809"/>
      <c r="D62" s="823"/>
      <c r="E62" s="823"/>
      <c r="F62" s="824"/>
      <c r="G62" s="884"/>
      <c r="H62" s="733"/>
      <c r="I62" s="860">
        <f>SUM(I59:I61)</f>
        <v>1974.46</v>
      </c>
      <c r="J62" s="733"/>
      <c r="K62" s="740"/>
      <c r="L62" s="733"/>
      <c r="M62" s="873"/>
      <c r="N62" s="704"/>
    </row>
    <row r="63" spans="1:14">
      <c r="A63" s="703"/>
      <c r="B63" s="809"/>
      <c r="C63" s="809">
        <f>C59+1</f>
        <v>2</v>
      </c>
      <c r="D63" s="823" t="s">
        <v>5061</v>
      </c>
      <c r="E63" s="823"/>
      <c r="F63" s="824"/>
      <c r="G63" s="884"/>
      <c r="H63" s="733"/>
      <c r="I63" s="860">
        <f>M72</f>
        <v>567.80400000000009</v>
      </c>
      <c r="J63" s="733"/>
      <c r="K63" s="740"/>
      <c r="L63" s="733"/>
      <c r="M63" s="873">
        <f>I63</f>
        <v>567.80400000000009</v>
      </c>
      <c r="N63" s="704"/>
    </row>
    <row r="64" spans="1:14">
      <c r="A64" s="703"/>
      <c r="B64" s="809"/>
      <c r="C64" s="809">
        <f>C63+1</f>
        <v>3</v>
      </c>
      <c r="D64" s="2298" t="s">
        <v>5105</v>
      </c>
      <c r="E64" s="2298"/>
      <c r="F64" s="2299"/>
      <c r="G64" s="883"/>
      <c r="H64" s="733">
        <v>42</v>
      </c>
      <c r="I64" s="733">
        <v>25</v>
      </c>
      <c r="J64" s="733"/>
      <c r="K64" s="740"/>
      <c r="L64" s="733"/>
      <c r="M64" s="873">
        <f>H64*I64</f>
        <v>1050</v>
      </c>
      <c r="N64" s="704" t="s">
        <v>2647</v>
      </c>
    </row>
    <row r="65" spans="1:14">
      <c r="A65" s="804"/>
      <c r="B65" s="1409" t="s">
        <v>4578</v>
      </c>
      <c r="C65" s="2417" t="s">
        <v>5062</v>
      </c>
      <c r="D65" s="2417"/>
      <c r="E65" s="2417"/>
      <c r="F65" s="2418"/>
      <c r="G65" s="897"/>
      <c r="H65" s="1410"/>
      <c r="I65" s="1410"/>
      <c r="J65" s="1410"/>
      <c r="K65" s="1411"/>
      <c r="L65" s="1410"/>
      <c r="M65" s="876"/>
      <c r="N65" s="805"/>
    </row>
    <row r="66" spans="1:14">
      <c r="A66" s="703"/>
      <c r="B66" s="809"/>
      <c r="C66" s="809">
        <v>1</v>
      </c>
      <c r="D66" s="823" t="s">
        <v>5064</v>
      </c>
      <c r="E66" s="823"/>
      <c r="F66" s="824"/>
      <c r="G66" s="884" t="s">
        <v>5285</v>
      </c>
      <c r="H66" s="733">
        <v>48.32</v>
      </c>
      <c r="I66" s="733"/>
      <c r="J66" s="733">
        <v>3.39</v>
      </c>
      <c r="K66" s="740"/>
      <c r="L66" s="733">
        <f>J66*H66</f>
        <v>163.8048</v>
      </c>
      <c r="M66" s="873">
        <f>L70</f>
        <v>630.7808</v>
      </c>
      <c r="N66" s="704" t="s">
        <v>2647</v>
      </c>
    </row>
    <row r="67" spans="1:14">
      <c r="A67" s="703"/>
      <c r="B67" s="809"/>
      <c r="C67" s="809"/>
      <c r="D67" s="823"/>
      <c r="E67" s="823"/>
      <c r="F67" s="824"/>
      <c r="G67" s="884" t="s">
        <v>5137</v>
      </c>
      <c r="H67" s="733">
        <f>20.33*2</f>
        <v>40.659999999999997</v>
      </c>
      <c r="I67" s="733"/>
      <c r="J67" s="733">
        <v>2.6</v>
      </c>
      <c r="K67" s="740"/>
      <c r="L67" s="733">
        <f>J67*H67</f>
        <v>105.71599999999999</v>
      </c>
      <c r="M67" s="873"/>
      <c r="N67" s="704"/>
    </row>
    <row r="68" spans="1:14">
      <c r="A68" s="703"/>
      <c r="B68" s="809"/>
      <c r="C68" s="809"/>
      <c r="D68" s="823"/>
      <c r="E68" s="989"/>
      <c r="F68" s="824"/>
      <c r="G68" s="884" t="s">
        <v>5138</v>
      </c>
      <c r="H68" s="733">
        <v>18.34</v>
      </c>
      <c r="I68" s="733"/>
      <c r="J68" s="733">
        <v>1.2</v>
      </c>
      <c r="K68" s="740">
        <v>1</v>
      </c>
      <c r="L68" s="733">
        <f t="shared" ref="L68:L69" si="1">K68*J68*H68</f>
        <v>22.007999999999999</v>
      </c>
      <c r="M68" s="873"/>
      <c r="N68" s="704"/>
    </row>
    <row r="69" spans="1:14">
      <c r="A69" s="703"/>
      <c r="B69" s="809"/>
      <c r="C69" s="809"/>
      <c r="D69" s="823"/>
      <c r="E69" s="823"/>
      <c r="F69" s="824"/>
      <c r="G69" s="884" t="s">
        <v>5286</v>
      </c>
      <c r="H69" s="733">
        <f>4.26+26.4+19.23</f>
        <v>49.89</v>
      </c>
      <c r="I69" s="733"/>
      <c r="J69" s="733">
        <v>3.4</v>
      </c>
      <c r="K69" s="740">
        <v>2</v>
      </c>
      <c r="L69" s="856">
        <f t="shared" si="1"/>
        <v>339.25200000000001</v>
      </c>
      <c r="M69" s="873"/>
      <c r="N69" s="704"/>
    </row>
    <row r="70" spans="1:14">
      <c r="A70" s="703"/>
      <c r="B70" s="809"/>
      <c r="C70" s="809"/>
      <c r="D70" s="823"/>
      <c r="E70" s="823"/>
      <c r="F70" s="824"/>
      <c r="G70" s="884"/>
      <c r="H70" s="733"/>
      <c r="I70" s="733"/>
      <c r="J70" s="733"/>
      <c r="K70" s="740"/>
      <c r="L70" s="733">
        <f>SUM(L66:L69)</f>
        <v>630.7808</v>
      </c>
      <c r="M70" s="873"/>
      <c r="N70" s="704"/>
    </row>
    <row r="71" spans="1:14">
      <c r="A71" s="703"/>
      <c r="B71" s="809"/>
      <c r="C71" s="809">
        <f>C66+1</f>
        <v>2</v>
      </c>
      <c r="D71" s="823" t="s">
        <v>5063</v>
      </c>
      <c r="E71" s="823"/>
      <c r="F71" s="824"/>
      <c r="G71" s="884"/>
      <c r="H71" s="733"/>
      <c r="I71" s="733"/>
      <c r="J71" s="733"/>
      <c r="K71" s="740">
        <f>M66</f>
        <v>630.7808</v>
      </c>
      <c r="L71" s="733">
        <v>2</v>
      </c>
      <c r="M71" s="873">
        <f>L71*K71</f>
        <v>1261.5616</v>
      </c>
      <c r="N71" s="704" t="s">
        <v>2647</v>
      </c>
    </row>
    <row r="72" spans="1:14" ht="16.5" customHeight="1">
      <c r="A72" s="703"/>
      <c r="B72" s="809"/>
      <c r="C72" s="809">
        <v>3</v>
      </c>
      <c r="D72" s="823" t="str">
        <f>EE!D54</f>
        <v>Pekerjaan Pasangan Keramik Dinding Toilet Uk. 20x40cm ( Polished)</v>
      </c>
      <c r="E72" s="823"/>
      <c r="F72" s="824"/>
      <c r="G72" s="883"/>
      <c r="H72" s="733">
        <v>167.81</v>
      </c>
      <c r="I72" s="733"/>
      <c r="J72" s="733">
        <v>2.2000000000000002</v>
      </c>
      <c r="K72" s="740"/>
      <c r="L72" s="733">
        <f>J72*H72</f>
        <v>369.18200000000002</v>
      </c>
      <c r="M72" s="873">
        <f>L75</f>
        <v>567.80400000000009</v>
      </c>
      <c r="N72" s="704"/>
    </row>
    <row r="73" spans="1:14" ht="16.5" customHeight="1">
      <c r="A73" s="703"/>
      <c r="B73" s="809"/>
      <c r="C73" s="809"/>
      <c r="D73" s="823"/>
      <c r="E73" s="823"/>
      <c r="F73" s="824"/>
      <c r="G73" s="883"/>
      <c r="H73" s="733">
        <f>55.86+31.2</f>
        <v>87.06</v>
      </c>
      <c r="I73" s="733"/>
      <c r="J73" s="733">
        <v>2.2000000000000002</v>
      </c>
      <c r="K73" s="740"/>
      <c r="L73" s="733">
        <f t="shared" ref="L73:L74" si="2">J73*H73</f>
        <v>191.53200000000001</v>
      </c>
      <c r="M73" s="873"/>
      <c r="N73" s="704"/>
    </row>
    <row r="74" spans="1:14" ht="16.5" customHeight="1">
      <c r="A74" s="703"/>
      <c r="B74" s="809"/>
      <c r="C74" s="809"/>
      <c r="D74" s="823"/>
      <c r="E74" s="823"/>
      <c r="F74" s="824"/>
      <c r="G74" s="883"/>
      <c r="H74" s="733">
        <v>7.09</v>
      </c>
      <c r="I74" s="733"/>
      <c r="J74" s="733">
        <v>1</v>
      </c>
      <c r="K74" s="740"/>
      <c r="L74" s="733">
        <f t="shared" si="2"/>
        <v>7.09</v>
      </c>
      <c r="M74" s="873"/>
      <c r="N74" s="704"/>
    </row>
    <row r="75" spans="1:14" ht="16.5" customHeight="1">
      <c r="A75" s="703"/>
      <c r="B75" s="809"/>
      <c r="C75" s="809"/>
      <c r="D75" s="823"/>
      <c r="E75" s="823"/>
      <c r="F75" s="824"/>
      <c r="G75" s="883"/>
      <c r="H75" s="733"/>
      <c r="I75" s="733"/>
      <c r="J75" s="733"/>
      <c r="K75" s="740"/>
      <c r="L75" s="733">
        <f>SUM(L72:L74)</f>
        <v>567.80400000000009</v>
      </c>
      <c r="M75" s="873"/>
      <c r="N75" s="704"/>
    </row>
    <row r="76" spans="1:14" ht="16.5" customHeight="1">
      <c r="A76" s="703"/>
      <c r="B76" s="809"/>
      <c r="C76" s="809">
        <f>C72+1</f>
        <v>4</v>
      </c>
      <c r="D76" s="823" t="str">
        <f>EE!D55</f>
        <v>Pekerjaan Dinding Partisi Frame Kanal C.70 (Dinding Team Home &amp; away)</v>
      </c>
      <c r="E76" s="823"/>
      <c r="F76" s="824"/>
      <c r="G76" s="883"/>
      <c r="H76" s="733">
        <f>3.68*2</f>
        <v>7.36</v>
      </c>
      <c r="I76" s="733"/>
      <c r="J76" s="733">
        <f>J66</f>
        <v>3.39</v>
      </c>
      <c r="K76" s="740"/>
      <c r="L76" s="733"/>
      <c r="M76" s="873">
        <f>J76*H76</f>
        <v>24.950400000000002</v>
      </c>
      <c r="N76" s="704" t="s">
        <v>2647</v>
      </c>
    </row>
    <row r="77" spans="1:14" ht="16.5" customHeight="1">
      <c r="A77" s="703"/>
      <c r="B77" s="809"/>
      <c r="C77" s="809">
        <f t="shared" ref="C77:C78" si="3">C76+1</f>
        <v>5</v>
      </c>
      <c r="D77" s="823" t="str">
        <f>EE!D56</f>
        <v>Pekerjaan Dinding Partisi Frame Penutup Gypsum T. 9mm (Dinding Team Home &amp; away)</v>
      </c>
      <c r="E77" s="823"/>
      <c r="F77" s="824"/>
      <c r="G77" s="883"/>
      <c r="H77" s="733">
        <f>H76</f>
        <v>7.36</v>
      </c>
      <c r="I77" s="733"/>
      <c r="J77" s="733">
        <f>J66</f>
        <v>3.39</v>
      </c>
      <c r="K77" s="740"/>
      <c r="L77" s="733"/>
      <c r="M77" s="873">
        <f>J77*H77</f>
        <v>24.950400000000002</v>
      </c>
      <c r="N77" s="704" t="s">
        <v>2647</v>
      </c>
    </row>
    <row r="78" spans="1:14" ht="16.5" customHeight="1">
      <c r="A78" s="703"/>
      <c r="B78" s="809"/>
      <c r="C78" s="809">
        <f t="shared" si="3"/>
        <v>6</v>
      </c>
      <c r="D78" s="2298" t="str">
        <f>EE!D57</f>
        <v>Pekerjaan Pasangan Roster Beton 2 sisi ( Exterior Fasade Musholla )</v>
      </c>
      <c r="E78" s="2298"/>
      <c r="F78" s="2299"/>
      <c r="G78" s="883"/>
      <c r="H78" s="733">
        <v>3</v>
      </c>
      <c r="I78" s="733">
        <v>0.4</v>
      </c>
      <c r="J78" s="733"/>
      <c r="K78" s="740">
        <v>2</v>
      </c>
      <c r="L78" s="733">
        <f>K78*I78*H78</f>
        <v>2.4000000000000004</v>
      </c>
      <c r="M78" s="873">
        <f>L80+L81</f>
        <v>8.3840000000000003</v>
      </c>
      <c r="N78" s="704" t="s">
        <v>2647</v>
      </c>
    </row>
    <row r="79" spans="1:14" ht="16.5" customHeight="1">
      <c r="A79" s="703"/>
      <c r="B79" s="809"/>
      <c r="C79" s="809"/>
      <c r="D79" s="823"/>
      <c r="E79" s="823"/>
      <c r="F79" s="824"/>
      <c r="G79" s="883"/>
      <c r="H79" s="733">
        <v>1.78</v>
      </c>
      <c r="I79" s="733">
        <v>0.4</v>
      </c>
      <c r="J79" s="733"/>
      <c r="K79" s="740">
        <v>1</v>
      </c>
      <c r="L79" s="856">
        <f t="shared" ref="L79:L81" si="4">K79*I79*H79</f>
        <v>0.71200000000000008</v>
      </c>
      <c r="M79" s="873"/>
      <c r="N79" s="704"/>
    </row>
    <row r="80" spans="1:14" ht="16.5" customHeight="1">
      <c r="A80" s="703"/>
      <c r="B80" s="809"/>
      <c r="C80" s="809"/>
      <c r="D80" s="823"/>
      <c r="E80" s="823"/>
      <c r="F80" s="824"/>
      <c r="G80" s="883"/>
      <c r="H80" s="733"/>
      <c r="I80" s="733"/>
      <c r="J80" s="733"/>
      <c r="K80" s="740"/>
      <c r="L80" s="733">
        <f>SUM(L78:L79)*2</f>
        <v>6.2240000000000011</v>
      </c>
      <c r="M80" s="873"/>
      <c r="N80" s="704"/>
    </row>
    <row r="81" spans="1:14" ht="16.5" customHeight="1">
      <c r="A81" s="703"/>
      <c r="B81" s="809"/>
      <c r="C81" s="809"/>
      <c r="D81" s="823"/>
      <c r="E81" s="823"/>
      <c r="F81" s="824"/>
      <c r="G81" s="883"/>
      <c r="H81" s="733">
        <v>0.6</v>
      </c>
      <c r="I81" s="733">
        <v>1.8</v>
      </c>
      <c r="J81" s="733"/>
      <c r="K81" s="740">
        <v>2</v>
      </c>
      <c r="L81" s="733">
        <f t="shared" si="4"/>
        <v>2.16</v>
      </c>
      <c r="M81" s="873"/>
      <c r="N81" s="704"/>
    </row>
    <row r="82" spans="1:14" ht="16.5" customHeight="1">
      <c r="A82" s="703"/>
      <c r="B82" s="809"/>
      <c r="C82" s="809"/>
      <c r="D82" s="823"/>
      <c r="E82" s="823"/>
      <c r="F82" s="824"/>
      <c r="G82" s="883"/>
      <c r="H82" s="733"/>
      <c r="I82" s="733"/>
      <c r="J82" s="733"/>
      <c r="K82" s="740"/>
      <c r="L82" s="733"/>
      <c r="M82" s="873"/>
      <c r="N82" s="704"/>
    </row>
    <row r="83" spans="1:14">
      <c r="A83" s="804"/>
      <c r="B83" s="1409" t="s">
        <v>4921</v>
      </c>
      <c r="C83" s="2417" t="s">
        <v>5065</v>
      </c>
      <c r="D83" s="2417"/>
      <c r="E83" s="2417"/>
      <c r="F83" s="2418"/>
      <c r="G83" s="897"/>
      <c r="H83" s="1410"/>
      <c r="I83" s="1410"/>
      <c r="J83" s="1410"/>
      <c r="K83" s="1411"/>
      <c r="L83" s="1410"/>
      <c r="M83" s="876"/>
      <c r="N83" s="805"/>
    </row>
    <row r="84" spans="1:14">
      <c r="A84" s="703"/>
      <c r="B84" s="809"/>
      <c r="C84" s="809">
        <v>1</v>
      </c>
      <c r="D84" s="2425" t="s">
        <v>5066</v>
      </c>
      <c r="E84" s="2425"/>
      <c r="F84" s="824"/>
      <c r="G84" s="889" t="s">
        <v>5288</v>
      </c>
      <c r="H84" s="733"/>
      <c r="I84" s="733">
        <v>71.400000000000006</v>
      </c>
      <c r="J84" s="733"/>
      <c r="K84" s="740">
        <v>1</v>
      </c>
      <c r="L84" s="733">
        <f>K84*I84</f>
        <v>71.400000000000006</v>
      </c>
      <c r="M84" s="873">
        <f>L88</f>
        <v>139.68</v>
      </c>
      <c r="N84" s="704" t="s">
        <v>2647</v>
      </c>
    </row>
    <row r="85" spans="1:14">
      <c r="A85" s="703"/>
      <c r="B85" s="809"/>
      <c r="C85" s="809"/>
      <c r="D85" s="823"/>
      <c r="E85" s="823"/>
      <c r="F85" s="824"/>
      <c r="G85" s="889" t="s">
        <v>5289</v>
      </c>
      <c r="H85" s="733"/>
      <c r="I85" s="733">
        <v>33.479999999999997</v>
      </c>
      <c r="J85" s="733"/>
      <c r="K85" s="740">
        <v>1</v>
      </c>
      <c r="L85" s="733">
        <f t="shared" ref="L85:L87" si="5">K85*I85</f>
        <v>33.479999999999997</v>
      </c>
      <c r="M85" s="873"/>
      <c r="N85" s="704"/>
    </row>
    <row r="86" spans="1:14">
      <c r="A86" s="703"/>
      <c r="B86" s="809"/>
      <c r="C86" s="809"/>
      <c r="D86" s="823"/>
      <c r="E86" s="823"/>
      <c r="F86" s="824"/>
      <c r="G86" s="889" t="s">
        <v>5290</v>
      </c>
      <c r="H86" s="733"/>
      <c r="I86" s="733">
        <v>1.1499999999999999</v>
      </c>
      <c r="J86" s="733"/>
      <c r="K86" s="740">
        <v>1</v>
      </c>
      <c r="L86" s="733">
        <f t="shared" si="5"/>
        <v>1.1499999999999999</v>
      </c>
      <c r="M86" s="873"/>
      <c r="N86" s="704"/>
    </row>
    <row r="87" spans="1:14">
      <c r="A87" s="703"/>
      <c r="B87" s="809"/>
      <c r="C87" s="809"/>
      <c r="D87" s="823"/>
      <c r="E87" s="823"/>
      <c r="F87" s="824"/>
      <c r="G87" s="889" t="s">
        <v>5291</v>
      </c>
      <c r="H87" s="733"/>
      <c r="I87" s="733">
        <v>33.65</v>
      </c>
      <c r="J87" s="733"/>
      <c r="K87" s="740">
        <v>1</v>
      </c>
      <c r="L87" s="856">
        <f t="shared" si="5"/>
        <v>33.65</v>
      </c>
      <c r="M87" s="873"/>
      <c r="N87" s="704"/>
    </row>
    <row r="88" spans="1:14">
      <c r="A88" s="703"/>
      <c r="B88" s="809"/>
      <c r="C88" s="809"/>
      <c r="D88" s="823"/>
      <c r="E88" s="823"/>
      <c r="F88" s="824"/>
      <c r="G88" s="889"/>
      <c r="H88" s="733"/>
      <c r="I88" s="733"/>
      <c r="J88" s="733"/>
      <c r="K88" s="740"/>
      <c r="L88" s="733">
        <f>SUM(L84:L87)</f>
        <v>139.68</v>
      </c>
      <c r="M88" s="873"/>
      <c r="N88" s="704"/>
    </row>
    <row r="89" spans="1:14">
      <c r="A89" s="703"/>
      <c r="B89" s="809"/>
      <c r="C89" s="809">
        <v>2</v>
      </c>
      <c r="D89" s="2298" t="str">
        <f>EE!D60</f>
        <v>Pekerjaan Lantai uk.40x40cm polished warna putih polos ( Lapangan Futsal )</v>
      </c>
      <c r="E89" s="2298"/>
      <c r="F89" s="2299"/>
      <c r="G89" s="889"/>
      <c r="H89" s="733">
        <v>42</v>
      </c>
      <c r="I89" s="733">
        <v>25</v>
      </c>
      <c r="J89" s="733"/>
      <c r="K89" s="740"/>
      <c r="L89" s="733"/>
      <c r="M89" s="873">
        <f>H89*I89</f>
        <v>1050</v>
      </c>
      <c r="N89" s="704" t="s">
        <v>2647</v>
      </c>
    </row>
    <row r="90" spans="1:14">
      <c r="A90" s="703"/>
      <c r="B90" s="809"/>
      <c r="C90" s="834">
        <v>3</v>
      </c>
      <c r="D90" s="2421" t="s">
        <v>5104</v>
      </c>
      <c r="E90" s="2421"/>
      <c r="F90" s="2422"/>
      <c r="G90" s="884" t="s">
        <v>5134</v>
      </c>
      <c r="H90" s="733"/>
      <c r="I90" s="733">
        <v>58.4</v>
      </c>
      <c r="J90" s="733"/>
      <c r="K90" s="740">
        <v>2</v>
      </c>
      <c r="L90" s="733">
        <f>K90*I90</f>
        <v>116.8</v>
      </c>
      <c r="M90" s="873">
        <f>L92</f>
        <v>286.8</v>
      </c>
      <c r="N90" s="704" t="s">
        <v>2647</v>
      </c>
    </row>
    <row r="91" spans="1:14">
      <c r="A91" s="703"/>
      <c r="B91" s="809"/>
      <c r="C91" s="834"/>
      <c r="D91" s="844"/>
      <c r="E91" s="844"/>
      <c r="F91" s="842"/>
      <c r="G91" s="884" t="s">
        <v>5135</v>
      </c>
      <c r="H91" s="733"/>
      <c r="I91" s="733">
        <v>170</v>
      </c>
      <c r="J91" s="733"/>
      <c r="K91" s="740">
        <v>1</v>
      </c>
      <c r="L91" s="856">
        <f>K91*I91</f>
        <v>170</v>
      </c>
      <c r="M91" s="873"/>
      <c r="N91" s="704"/>
    </row>
    <row r="92" spans="1:14">
      <c r="A92" s="703"/>
      <c r="B92" s="809"/>
      <c r="C92" s="834"/>
      <c r="D92" s="844"/>
      <c r="E92" s="844"/>
      <c r="F92" s="842"/>
      <c r="G92" s="884"/>
      <c r="H92" s="733"/>
      <c r="I92" s="733"/>
      <c r="J92" s="733"/>
      <c r="K92" s="740"/>
      <c r="L92" s="733">
        <f>SUM(L90:L91)</f>
        <v>286.8</v>
      </c>
      <c r="M92" s="873"/>
      <c r="N92" s="704"/>
    </row>
    <row r="93" spans="1:14" hidden="1">
      <c r="A93" s="1498"/>
      <c r="B93" s="1495"/>
      <c r="C93" s="1499">
        <f>C90+1</f>
        <v>4</v>
      </c>
      <c r="D93" s="1496" t="s">
        <v>5102</v>
      </c>
      <c r="E93" s="1496"/>
      <c r="F93" s="1497"/>
      <c r="G93" s="1500" t="s">
        <v>5194</v>
      </c>
      <c r="H93" s="1501"/>
      <c r="I93" s="1501">
        <v>1752</v>
      </c>
      <c r="J93" s="1501"/>
      <c r="K93" s="1502">
        <v>1050</v>
      </c>
      <c r="L93" s="1503">
        <f>I93-K93</f>
        <v>702</v>
      </c>
      <c r="M93" s="1504">
        <f>L96</f>
        <v>784.78</v>
      </c>
      <c r="N93" s="1505" t="s">
        <v>2647</v>
      </c>
    </row>
    <row r="94" spans="1:14" hidden="1">
      <c r="A94" s="1498"/>
      <c r="B94" s="1495"/>
      <c r="C94" s="1499"/>
      <c r="D94" s="1496"/>
      <c r="E94" s="1496"/>
      <c r="F94" s="1497"/>
      <c r="G94" s="1500" t="s">
        <v>5292</v>
      </c>
      <c r="H94" s="1501"/>
      <c r="I94" s="1501">
        <v>69.900000000000006</v>
      </c>
      <c r="J94" s="1501"/>
      <c r="K94" s="1506"/>
      <c r="L94" s="1501">
        <f>I94</f>
        <v>69.900000000000006</v>
      </c>
      <c r="M94" s="1504"/>
      <c r="N94" s="1505"/>
    </row>
    <row r="95" spans="1:14" hidden="1">
      <c r="A95" s="1498"/>
      <c r="B95" s="1495"/>
      <c r="C95" s="1499"/>
      <c r="D95" s="1496"/>
      <c r="E95" s="1496"/>
      <c r="F95" s="1497"/>
      <c r="G95" s="1500" t="s">
        <v>5139</v>
      </c>
      <c r="H95" s="1501"/>
      <c r="I95" s="1501">
        <v>6.44</v>
      </c>
      <c r="J95" s="1501"/>
      <c r="K95" s="1506">
        <v>2</v>
      </c>
      <c r="L95" s="1507">
        <f>I95*K95</f>
        <v>12.88</v>
      </c>
      <c r="M95" s="1504"/>
      <c r="N95" s="1505"/>
    </row>
    <row r="96" spans="1:14" hidden="1">
      <c r="A96" s="1498"/>
      <c r="B96" s="1495"/>
      <c r="C96" s="1499"/>
      <c r="D96" s="1496"/>
      <c r="E96" s="1496"/>
      <c r="F96" s="1497"/>
      <c r="G96" s="1500"/>
      <c r="H96" s="1501"/>
      <c r="I96" s="1501"/>
      <c r="J96" s="1501"/>
      <c r="K96" s="1506"/>
      <c r="L96" s="1503">
        <f>SUM(L93:L95)</f>
        <v>784.78</v>
      </c>
      <c r="M96" s="1504"/>
      <c r="N96" s="1505"/>
    </row>
    <row r="97" spans="1:14">
      <c r="A97" s="703"/>
      <c r="B97" s="809"/>
      <c r="C97" s="834">
        <f>C93+1</f>
        <v>5</v>
      </c>
      <c r="D97" s="823" t="s">
        <v>5103</v>
      </c>
      <c r="E97" s="823"/>
      <c r="F97" s="824"/>
      <c r="G97" s="883"/>
      <c r="H97" s="733">
        <v>42</v>
      </c>
      <c r="I97" s="733">
        <v>25</v>
      </c>
      <c r="J97" s="733"/>
      <c r="K97" s="740"/>
      <c r="L97" s="733"/>
      <c r="M97" s="873">
        <f>H97*I97</f>
        <v>1050</v>
      </c>
      <c r="N97" s="704" t="s">
        <v>2647</v>
      </c>
    </row>
    <row r="98" spans="1:14" hidden="1">
      <c r="A98" s="1498"/>
      <c r="B98" s="1495"/>
      <c r="C98" s="1495">
        <v>1</v>
      </c>
      <c r="D98" s="1496" t="s">
        <v>5067</v>
      </c>
      <c r="E98" s="1496"/>
      <c r="F98" s="1497"/>
      <c r="G98" s="1500"/>
      <c r="H98" s="1501"/>
      <c r="I98" s="1501">
        <v>105.8</v>
      </c>
      <c r="J98" s="1501"/>
      <c r="K98" s="1506">
        <v>2</v>
      </c>
      <c r="L98" s="1501">
        <f>K98*I98</f>
        <v>211.6</v>
      </c>
      <c r="M98" s="1504">
        <f>L100</f>
        <v>466.38</v>
      </c>
      <c r="N98" s="1505" t="s">
        <v>2647</v>
      </c>
    </row>
    <row r="99" spans="1:14" hidden="1">
      <c r="A99" s="1498"/>
      <c r="B99" s="1495"/>
      <c r="C99" s="1495"/>
      <c r="D99" s="1496"/>
      <c r="E99" s="1496"/>
      <c r="F99" s="1497"/>
      <c r="G99" s="1500"/>
      <c r="H99" s="1501"/>
      <c r="I99" s="1501">
        <v>254.78</v>
      </c>
      <c r="J99" s="1501"/>
      <c r="K99" s="1506">
        <v>1</v>
      </c>
      <c r="L99" s="1507">
        <f>K99*I99</f>
        <v>254.78</v>
      </c>
      <c r="M99" s="1504"/>
      <c r="N99" s="1505"/>
    </row>
    <row r="100" spans="1:14" hidden="1">
      <c r="A100" s="1498"/>
      <c r="B100" s="1495"/>
      <c r="C100" s="1495"/>
      <c r="D100" s="1496"/>
      <c r="E100" s="1496"/>
      <c r="F100" s="1497"/>
      <c r="G100" s="1500"/>
      <c r="H100" s="1501"/>
      <c r="I100" s="1501"/>
      <c r="J100" s="1501"/>
      <c r="K100" s="1506"/>
      <c r="L100" s="1501">
        <f>SUM(L98:L99)</f>
        <v>466.38</v>
      </c>
      <c r="M100" s="1504"/>
      <c r="N100" s="1505"/>
    </row>
    <row r="101" spans="1:14" hidden="1">
      <c r="A101" s="1498"/>
      <c r="B101" s="1495"/>
      <c r="C101" s="1495">
        <f>C98+1</f>
        <v>2</v>
      </c>
      <c r="D101" s="1496" t="s">
        <v>5068</v>
      </c>
      <c r="E101" s="1496"/>
      <c r="F101" s="1497"/>
      <c r="G101" s="1500"/>
      <c r="H101" s="1501"/>
      <c r="I101" s="1501"/>
      <c r="J101" s="1501"/>
      <c r="K101" s="1506"/>
      <c r="L101" s="1501"/>
      <c r="M101" s="1504">
        <f>M98</f>
        <v>466.38</v>
      </c>
      <c r="N101" s="1505" t="s">
        <v>2647</v>
      </c>
    </row>
    <row r="102" spans="1:14" hidden="1">
      <c r="A102" s="1498"/>
      <c r="B102" s="1495"/>
      <c r="C102" s="1495"/>
      <c r="D102" s="2435" t="e">
        <f>EE!#REF!</f>
        <v>#REF!</v>
      </c>
      <c r="E102" s="2435"/>
      <c r="F102" s="2436"/>
      <c r="G102" s="1508"/>
      <c r="H102" s="1501">
        <v>110</v>
      </c>
      <c r="I102" s="1501"/>
      <c r="J102" s="1501"/>
      <c r="K102" s="1506">
        <v>4</v>
      </c>
      <c r="L102" s="1501">
        <f>K102*H102</f>
        <v>440</v>
      </c>
      <c r="M102" s="1504">
        <f>L104</f>
        <v>564.41999999999996</v>
      </c>
      <c r="N102" s="1505" t="s">
        <v>2941</v>
      </c>
    </row>
    <row r="103" spans="1:14" hidden="1">
      <c r="A103" s="1498"/>
      <c r="B103" s="1495"/>
      <c r="C103" s="1495"/>
      <c r="D103" s="1496"/>
      <c r="E103" s="1496"/>
      <c r="F103" s="1497"/>
      <c r="G103" s="1508"/>
      <c r="H103" s="1501">
        <v>62.21</v>
      </c>
      <c r="I103" s="1501"/>
      <c r="J103" s="1501"/>
      <c r="K103" s="1506">
        <v>2</v>
      </c>
      <c r="L103" s="1507">
        <f>K103*H103</f>
        <v>124.42</v>
      </c>
      <c r="M103" s="1504"/>
      <c r="N103" s="1505"/>
    </row>
    <row r="104" spans="1:14" hidden="1">
      <c r="A104" s="1498"/>
      <c r="B104" s="1495"/>
      <c r="C104" s="1495"/>
      <c r="D104" s="1496"/>
      <c r="E104" s="1496"/>
      <c r="F104" s="1497"/>
      <c r="G104" s="1508"/>
      <c r="H104" s="1501"/>
      <c r="I104" s="1501"/>
      <c r="J104" s="1501"/>
      <c r="K104" s="1506"/>
      <c r="L104" s="1501">
        <f>SUM(L102:L103)</f>
        <v>564.41999999999996</v>
      </c>
      <c r="M104" s="1504"/>
      <c r="N104" s="1505"/>
    </row>
    <row r="105" spans="1:14">
      <c r="A105" s="703"/>
      <c r="B105" s="861" t="s">
        <v>4922</v>
      </c>
      <c r="C105" s="2423" t="s">
        <v>5125</v>
      </c>
      <c r="D105" s="2423"/>
      <c r="E105" s="2423"/>
      <c r="F105" s="2424"/>
      <c r="G105" s="890"/>
      <c r="H105" s="862"/>
      <c r="I105" s="862"/>
      <c r="J105" s="862"/>
      <c r="K105" s="863"/>
      <c r="L105" s="862"/>
      <c r="M105" s="877"/>
      <c r="N105" s="864"/>
    </row>
    <row r="106" spans="1:14">
      <c r="A106" s="703"/>
      <c r="B106" s="809"/>
      <c r="C106" s="809">
        <v>1</v>
      </c>
      <c r="D106" s="2298" t="s">
        <v>5069</v>
      </c>
      <c r="E106" s="2298"/>
      <c r="F106" s="2299"/>
      <c r="G106" s="884"/>
      <c r="H106" s="733"/>
      <c r="I106" s="733">
        <v>0.9</v>
      </c>
      <c r="J106" s="733">
        <v>2</v>
      </c>
      <c r="K106" s="740">
        <v>13</v>
      </c>
      <c r="L106" s="733">
        <f>K106*J106*I106</f>
        <v>23.400000000000002</v>
      </c>
      <c r="M106" s="873">
        <f>L106</f>
        <v>23.400000000000002</v>
      </c>
      <c r="N106" s="704" t="s">
        <v>2647</v>
      </c>
    </row>
    <row r="107" spans="1:14">
      <c r="A107" s="703"/>
      <c r="B107" s="809"/>
      <c r="C107" s="809">
        <f>C106+1</f>
        <v>2</v>
      </c>
      <c r="D107" s="2298" t="s">
        <v>4958</v>
      </c>
      <c r="E107" s="2298"/>
      <c r="F107" s="2299"/>
      <c r="G107" s="884"/>
      <c r="H107" s="733"/>
      <c r="I107" s="733"/>
      <c r="J107" s="733"/>
      <c r="K107" s="740"/>
      <c r="L107" s="733"/>
      <c r="M107" s="873">
        <v>31</v>
      </c>
      <c r="N107" s="704"/>
    </row>
    <row r="108" spans="1:14">
      <c r="A108" s="703"/>
      <c r="B108" s="809"/>
      <c r="C108" s="809">
        <f t="shared" ref="C108:C110" si="6">C107+1</f>
        <v>3</v>
      </c>
      <c r="D108" s="2298" t="str">
        <f>EE!D66</f>
        <v>Pekerjaan Pintu Plat Besi (Akses Keluar dari Tribun)</v>
      </c>
      <c r="E108" s="2298"/>
      <c r="F108" s="824"/>
      <c r="G108" s="884"/>
      <c r="H108" s="733"/>
      <c r="I108" s="733">
        <v>1.88</v>
      </c>
      <c r="J108" s="733">
        <v>2.2999999999999998</v>
      </c>
      <c r="K108" s="740"/>
      <c r="L108" s="733">
        <v>4</v>
      </c>
      <c r="M108" s="873">
        <f>L108*J108*I108</f>
        <v>17.295999999999999</v>
      </c>
      <c r="N108" s="704" t="s">
        <v>2647</v>
      </c>
    </row>
    <row r="109" spans="1:14">
      <c r="A109" s="703"/>
      <c r="B109" s="809"/>
      <c r="C109" s="809">
        <f t="shared" si="6"/>
        <v>4</v>
      </c>
      <c r="D109" s="2298" t="s">
        <v>5070</v>
      </c>
      <c r="E109" s="2298"/>
      <c r="F109" s="2299"/>
      <c r="G109" s="884"/>
      <c r="H109" s="733"/>
      <c r="I109" s="733"/>
      <c r="J109" s="733"/>
      <c r="K109" s="740"/>
      <c r="L109" s="733"/>
      <c r="M109" s="873">
        <f>K106</f>
        <v>13</v>
      </c>
      <c r="N109" s="704"/>
    </row>
    <row r="110" spans="1:14">
      <c r="A110" s="703"/>
      <c r="B110" s="809"/>
      <c r="C110" s="809">
        <f t="shared" si="6"/>
        <v>5</v>
      </c>
      <c r="D110" s="823" t="s">
        <v>5071</v>
      </c>
      <c r="E110" s="823"/>
      <c r="F110" s="824"/>
      <c r="G110" s="884"/>
      <c r="H110" s="733"/>
      <c r="I110" s="733"/>
      <c r="J110" s="733"/>
      <c r="K110" s="740">
        <f>M109</f>
        <v>13</v>
      </c>
      <c r="L110" s="733">
        <v>3</v>
      </c>
      <c r="M110" s="873">
        <f>L110*K110</f>
        <v>39</v>
      </c>
      <c r="N110" s="704"/>
    </row>
    <row r="111" spans="1:14">
      <c r="A111" s="703"/>
      <c r="B111" s="809"/>
      <c r="C111" s="809">
        <f t="shared" ref="C111:C112" si="7">C110+1</f>
        <v>6</v>
      </c>
      <c r="D111" s="823" t="s">
        <v>5072</v>
      </c>
      <c r="E111" s="823"/>
      <c r="F111" s="824"/>
      <c r="G111" s="884"/>
      <c r="H111" s="733"/>
      <c r="I111" s="733"/>
      <c r="J111" s="733"/>
      <c r="K111" s="740"/>
      <c r="L111" s="733"/>
      <c r="M111" s="873">
        <f>K106</f>
        <v>13</v>
      </c>
      <c r="N111" s="704"/>
    </row>
    <row r="112" spans="1:14">
      <c r="A112" s="703"/>
      <c r="B112" s="809"/>
      <c r="C112" s="809">
        <f t="shared" si="7"/>
        <v>7</v>
      </c>
      <c r="D112" s="2298" t="str">
        <f>EE!D70</f>
        <v>Pekerjaan Jendela UPVC Uk.75x130cm ( Musholla )</v>
      </c>
      <c r="E112" s="2298"/>
      <c r="F112" s="824"/>
      <c r="G112" s="884"/>
      <c r="H112" s="733"/>
      <c r="I112" s="733"/>
      <c r="J112" s="733"/>
      <c r="K112" s="740"/>
      <c r="L112" s="733"/>
      <c r="M112" s="873">
        <v>2</v>
      </c>
      <c r="N112" s="704" t="s">
        <v>2970</v>
      </c>
    </row>
    <row r="113" spans="1:14">
      <c r="A113" s="703"/>
      <c r="B113" s="809"/>
      <c r="C113" s="809"/>
      <c r="D113" s="823"/>
      <c r="E113" s="823"/>
      <c r="F113" s="824"/>
      <c r="G113" s="884" t="s">
        <v>5142</v>
      </c>
      <c r="H113" s="733"/>
      <c r="I113" s="733"/>
      <c r="J113" s="733"/>
      <c r="K113" s="740"/>
      <c r="L113" s="856">
        <v>18</v>
      </c>
      <c r="M113" s="873"/>
      <c r="N113" s="704"/>
    </row>
    <row r="114" spans="1:14">
      <c r="A114" s="703"/>
      <c r="B114" s="809"/>
      <c r="C114" s="809"/>
      <c r="D114" s="823"/>
      <c r="E114" s="823"/>
      <c r="F114" s="824"/>
      <c r="G114" s="884"/>
      <c r="H114" s="733"/>
      <c r="I114" s="733"/>
      <c r="J114" s="733"/>
      <c r="K114" s="740"/>
      <c r="L114" s="733">
        <f>SUM(L113:L113)</f>
        <v>18</v>
      </c>
      <c r="M114" s="873"/>
      <c r="N114" s="704"/>
    </row>
    <row r="115" spans="1:14">
      <c r="A115" s="804"/>
      <c r="B115" s="1409" t="s">
        <v>4923</v>
      </c>
      <c r="C115" s="2419" t="s">
        <v>4926</v>
      </c>
      <c r="D115" s="2419"/>
      <c r="E115" s="2419"/>
      <c r="F115" s="2420"/>
      <c r="G115" s="897"/>
      <c r="H115" s="1410"/>
      <c r="I115" s="1410"/>
      <c r="J115" s="1410"/>
      <c r="K115" s="1411"/>
      <c r="L115" s="1410"/>
      <c r="M115" s="876"/>
      <c r="N115" s="805"/>
    </row>
    <row r="116" spans="1:14">
      <c r="A116" s="703"/>
      <c r="B116" s="809"/>
      <c r="C116" s="809">
        <v>1</v>
      </c>
      <c r="D116" s="823" t="s">
        <v>5262</v>
      </c>
      <c r="E116" s="823"/>
      <c r="F116" s="824"/>
      <c r="G116" s="884" t="s">
        <v>5144</v>
      </c>
      <c r="H116" s="733">
        <f>86.36+92.5+50</f>
        <v>228.86</v>
      </c>
      <c r="I116" s="733"/>
      <c r="J116" s="733"/>
      <c r="K116" s="740">
        <v>3.4</v>
      </c>
      <c r="L116" s="733"/>
      <c r="M116" s="714">
        <f>K116*H116</f>
        <v>778.12400000000002</v>
      </c>
      <c r="N116" s="704"/>
    </row>
    <row r="117" spans="1:14">
      <c r="A117" s="703"/>
      <c r="B117" s="809"/>
      <c r="C117" s="809"/>
      <c r="D117" s="823"/>
      <c r="E117" s="823"/>
      <c r="F117" s="824"/>
      <c r="G117" s="884" t="s">
        <v>5145</v>
      </c>
      <c r="H117" s="733">
        <f>50+43.56+14.7+18.18</f>
        <v>126.44</v>
      </c>
      <c r="I117" s="733"/>
      <c r="J117" s="733"/>
      <c r="K117" s="740">
        <v>3.4</v>
      </c>
      <c r="L117" s="733"/>
      <c r="M117" s="714">
        <f>K117*H117</f>
        <v>429.89599999999996</v>
      </c>
      <c r="N117" s="704"/>
    </row>
    <row r="118" spans="1:14">
      <c r="A118" s="703"/>
      <c r="B118" s="809"/>
      <c r="C118" s="809"/>
      <c r="D118" s="823"/>
      <c r="E118" s="823"/>
      <c r="F118" s="824"/>
      <c r="G118" s="884" t="s">
        <v>5143</v>
      </c>
      <c r="H118" s="733">
        <f>32.32+18.8+13.2</f>
        <v>64.320000000000007</v>
      </c>
      <c r="I118" s="733"/>
      <c r="J118" s="733">
        <v>3.77</v>
      </c>
      <c r="K118" s="740"/>
      <c r="L118" s="733"/>
      <c r="M118" s="714">
        <f>J118*H118</f>
        <v>242.48640000000003</v>
      </c>
      <c r="N118" s="704"/>
    </row>
    <row r="119" spans="1:14">
      <c r="A119" s="703"/>
      <c r="B119" s="809"/>
      <c r="C119" s="809"/>
      <c r="D119" s="823"/>
      <c r="E119" s="823"/>
      <c r="F119" s="824"/>
      <c r="G119" s="884" t="s">
        <v>5123</v>
      </c>
      <c r="H119" s="733">
        <f>H118</f>
        <v>64.320000000000007</v>
      </c>
      <c r="I119" s="733"/>
      <c r="J119" s="733">
        <f>J118</f>
        <v>3.77</v>
      </c>
      <c r="K119" s="740"/>
      <c r="L119" s="733"/>
      <c r="M119" s="714">
        <f>J119*H119</f>
        <v>242.48640000000003</v>
      </c>
      <c r="N119" s="704"/>
    </row>
    <row r="120" spans="1:14">
      <c r="A120" s="703"/>
      <c r="B120" s="809"/>
      <c r="C120" s="809"/>
      <c r="D120" s="823"/>
      <c r="E120" s="823"/>
      <c r="F120" s="824"/>
      <c r="G120" s="884"/>
      <c r="H120" s="733"/>
      <c r="I120" s="733"/>
      <c r="J120" s="733"/>
      <c r="K120" s="740"/>
      <c r="L120" s="733"/>
      <c r="M120" s="873">
        <f>SUM(M116:M119)</f>
        <v>1692.9928</v>
      </c>
      <c r="N120" s="704" t="s">
        <v>2647</v>
      </c>
    </row>
    <row r="121" spans="1:14">
      <c r="A121" s="703"/>
      <c r="B121" s="809"/>
      <c r="C121" s="809">
        <f>C116+1</f>
        <v>2</v>
      </c>
      <c r="D121" s="823" t="s">
        <v>5073</v>
      </c>
      <c r="E121" s="823"/>
      <c r="F121" s="824"/>
      <c r="G121" s="884"/>
      <c r="H121" s="733"/>
      <c r="I121" s="733">
        <v>3.84</v>
      </c>
      <c r="J121" s="733"/>
      <c r="K121" s="740">
        <v>2</v>
      </c>
      <c r="L121" s="733">
        <v>4</v>
      </c>
      <c r="M121" s="873">
        <f>L121*K121*I121</f>
        <v>30.72</v>
      </c>
      <c r="N121" s="704" t="s">
        <v>2647</v>
      </c>
    </row>
    <row r="122" spans="1:14">
      <c r="A122" s="703"/>
      <c r="B122" s="809"/>
      <c r="C122" s="809">
        <f>C121+1</f>
        <v>3</v>
      </c>
      <c r="D122" s="823" t="s">
        <v>5074</v>
      </c>
      <c r="E122" s="823"/>
      <c r="F122" s="824"/>
      <c r="G122" s="891"/>
      <c r="H122" s="733"/>
      <c r="I122" s="733"/>
      <c r="J122" s="733"/>
      <c r="K122" s="740"/>
      <c r="L122" s="733"/>
      <c r="M122" s="873"/>
      <c r="N122" s="704"/>
    </row>
    <row r="123" spans="1:14">
      <c r="A123" s="804"/>
      <c r="B123" s="1419" t="s">
        <v>4924</v>
      </c>
      <c r="C123" s="2417" t="s">
        <v>5120</v>
      </c>
      <c r="D123" s="2417"/>
      <c r="E123" s="2417"/>
      <c r="F123" s="2418"/>
      <c r="G123" s="1420"/>
      <c r="H123" s="1410"/>
      <c r="I123" s="1410"/>
      <c r="J123" s="1410"/>
      <c r="K123" s="1411"/>
      <c r="L123" s="1410"/>
      <c r="M123" s="876"/>
      <c r="N123" s="805"/>
    </row>
    <row r="124" spans="1:14">
      <c r="A124" s="703"/>
      <c r="B124" s="813"/>
      <c r="C124" s="813">
        <v>1</v>
      </c>
      <c r="D124" s="2406" t="str">
        <f>EE!D75</f>
        <v>Pekerjaan Pemasangan Nama - Nama Ruangan ( Contoh Toilet Pria , Ruang Medis dll ) Terbuat dari Akrilic Uk. 10cmx40cm</v>
      </c>
      <c r="E124" s="2406"/>
      <c r="F124" s="829"/>
      <c r="G124" s="888"/>
      <c r="H124" s="733"/>
      <c r="I124" s="733"/>
      <c r="J124" s="733"/>
      <c r="K124" s="740"/>
      <c r="L124" s="733"/>
      <c r="M124" s="873">
        <v>21</v>
      </c>
      <c r="N124" s="704" t="s">
        <v>1423</v>
      </c>
    </row>
    <row r="125" spans="1:14">
      <c r="A125" s="703"/>
      <c r="B125" s="813"/>
      <c r="C125" s="813"/>
      <c r="D125" s="2407"/>
      <c r="E125" s="2407"/>
      <c r="F125" s="829"/>
      <c r="G125" s="888"/>
      <c r="H125" s="733"/>
      <c r="I125" s="733"/>
      <c r="J125" s="733"/>
      <c r="K125" s="740"/>
      <c r="L125" s="733"/>
      <c r="M125" s="873"/>
      <c r="N125" s="704"/>
    </row>
    <row r="126" spans="1:14">
      <c r="A126" s="703"/>
      <c r="B126" s="813"/>
      <c r="C126" s="813"/>
      <c r="D126" s="828"/>
      <c r="E126" s="828"/>
      <c r="F126" s="829"/>
      <c r="G126" s="888"/>
      <c r="H126" s="733"/>
      <c r="I126" s="733"/>
      <c r="J126" s="733"/>
      <c r="K126" s="740"/>
      <c r="L126" s="733"/>
      <c r="M126" s="873"/>
      <c r="N126" s="704"/>
    </row>
    <row r="127" spans="1:14">
      <c r="A127" s="707"/>
      <c r="B127" s="813"/>
      <c r="C127" s="813"/>
      <c r="D127" s="828"/>
      <c r="E127" s="828"/>
      <c r="F127" s="829"/>
      <c r="G127" s="888"/>
      <c r="H127" s="999"/>
      <c r="I127" s="999"/>
      <c r="J127" s="999"/>
      <c r="K127" s="1000"/>
      <c r="L127" s="999"/>
      <c r="M127" s="874"/>
      <c r="N127" s="705"/>
    </row>
    <row r="128" spans="1:14" ht="25.5" customHeight="1">
      <c r="A128" s="1421">
        <v>2</v>
      </c>
      <c r="B128" s="2440" t="s">
        <v>5122</v>
      </c>
      <c r="C128" s="2441"/>
      <c r="D128" s="2441"/>
      <c r="E128" s="2441"/>
      <c r="F128" s="2442"/>
      <c r="G128" s="1422"/>
      <c r="H128" s="1066"/>
      <c r="I128" s="1066"/>
      <c r="J128" s="1066"/>
      <c r="K128" s="1067"/>
      <c r="L128" s="1066"/>
      <c r="M128" s="1068"/>
      <c r="N128" s="1069"/>
    </row>
    <row r="129" spans="1:18">
      <c r="A129" s="1423"/>
      <c r="B129" s="1424" t="s">
        <v>4920</v>
      </c>
      <c r="C129" s="2443" t="s">
        <v>5075</v>
      </c>
      <c r="D129" s="2443"/>
      <c r="E129" s="2443"/>
      <c r="F129" s="2444"/>
      <c r="G129" s="1425"/>
      <c r="H129" s="1426"/>
      <c r="I129" s="1426"/>
      <c r="J129" s="1426"/>
      <c r="K129" s="1427"/>
      <c r="L129" s="1426"/>
      <c r="M129" s="1428"/>
      <c r="N129" s="1429"/>
    </row>
    <row r="130" spans="1:18">
      <c r="A130" s="703"/>
      <c r="B130" s="809"/>
      <c r="C130" s="809">
        <v>1</v>
      </c>
      <c r="D130" s="823" t="s">
        <v>4919</v>
      </c>
      <c r="E130" s="823"/>
      <c r="F130" s="824"/>
      <c r="G130" s="884"/>
      <c r="H130" s="733">
        <v>1.6</v>
      </c>
      <c r="I130" s="733"/>
      <c r="J130" s="733">
        <v>0.25</v>
      </c>
      <c r="K130" s="740">
        <f>J130*H130</f>
        <v>0.4</v>
      </c>
      <c r="L130" s="733">
        <v>60</v>
      </c>
      <c r="M130" s="873">
        <f>L130*K130</f>
        <v>24</v>
      </c>
      <c r="N130" s="704"/>
    </row>
    <row r="131" spans="1:18">
      <c r="A131" s="703"/>
      <c r="B131" s="809"/>
      <c r="C131" s="809"/>
      <c r="D131" s="823"/>
      <c r="E131" s="823"/>
      <c r="F131" s="824"/>
      <c r="G131" s="888"/>
      <c r="H131" s="733"/>
      <c r="I131" s="733"/>
      <c r="J131" s="733"/>
      <c r="K131" s="740"/>
      <c r="L131" s="733"/>
      <c r="M131" s="873"/>
      <c r="N131" s="704"/>
    </row>
    <row r="132" spans="1:18">
      <c r="A132" s="703"/>
      <c r="B132" s="809"/>
      <c r="C132" s="809"/>
      <c r="D132" s="823"/>
      <c r="E132" s="823"/>
      <c r="F132" s="824"/>
      <c r="G132" s="884"/>
      <c r="H132" s="733"/>
      <c r="I132" s="733"/>
      <c r="J132" s="733"/>
      <c r="K132" s="740"/>
      <c r="L132" s="733"/>
      <c r="M132" s="873"/>
      <c r="N132" s="704"/>
    </row>
    <row r="133" spans="1:18">
      <c r="A133" s="703"/>
      <c r="B133" s="809"/>
      <c r="C133" s="809">
        <v>2</v>
      </c>
      <c r="D133" s="823" t="s">
        <v>5076</v>
      </c>
      <c r="E133" s="823"/>
      <c r="F133" s="824"/>
      <c r="G133" s="884"/>
      <c r="H133" s="733"/>
      <c r="I133" s="733">
        <v>5.14</v>
      </c>
      <c r="J133" s="733"/>
      <c r="K133" s="740"/>
      <c r="L133" s="733"/>
      <c r="M133" s="873">
        <f>I133</f>
        <v>5.14</v>
      </c>
      <c r="N133" s="704"/>
    </row>
    <row r="134" spans="1:18">
      <c r="A134" s="703"/>
      <c r="B134" s="809"/>
      <c r="C134" s="809">
        <f t="shared" ref="C134:C135" si="8">C133+1</f>
        <v>3</v>
      </c>
      <c r="D134" s="2298" t="s">
        <v>5107</v>
      </c>
      <c r="E134" s="2298"/>
      <c r="F134" s="2299"/>
      <c r="G134" s="892"/>
      <c r="H134" s="733">
        <v>9.15</v>
      </c>
      <c r="I134" s="733"/>
      <c r="J134" s="733">
        <v>2</v>
      </c>
      <c r="K134" s="740"/>
      <c r="L134" s="733"/>
      <c r="M134" s="873">
        <f>J134*H134</f>
        <v>18.3</v>
      </c>
      <c r="N134" s="704"/>
    </row>
    <row r="135" spans="1:18">
      <c r="A135" s="703"/>
      <c r="B135" s="809"/>
      <c r="C135" s="809">
        <f t="shared" si="8"/>
        <v>4</v>
      </c>
      <c r="D135" s="2298" t="str">
        <f>EE!D83</f>
        <v>Pekerjaan Pasangan Keramik Lantai Ruang VIP Uk. 60x60cm (Unpolished)</v>
      </c>
      <c r="E135" s="2298"/>
      <c r="F135" s="2299"/>
      <c r="G135" s="892"/>
      <c r="H135" s="733"/>
      <c r="I135" s="733">
        <v>22</v>
      </c>
      <c r="J135" s="733"/>
      <c r="K135" s="740"/>
      <c r="L135" s="733"/>
      <c r="M135" s="873">
        <f>I135</f>
        <v>22</v>
      </c>
      <c r="N135" s="704" t="s">
        <v>2647</v>
      </c>
    </row>
    <row r="136" spans="1:18">
      <c r="A136" s="1430"/>
      <c r="B136" s="1437" t="s">
        <v>4578</v>
      </c>
      <c r="C136" s="2438" t="e">
        <f>EE!#REF!</f>
        <v>#REF!</v>
      </c>
      <c r="D136" s="2438"/>
      <c r="E136" s="2438"/>
      <c r="F136" s="2439"/>
      <c r="G136" s="1438"/>
      <c r="H136" s="1433"/>
      <c r="I136" s="1433"/>
      <c r="J136" s="1433"/>
      <c r="K136" s="1434"/>
      <c r="L136" s="1433"/>
      <c r="M136" s="1435"/>
      <c r="N136" s="1436"/>
    </row>
    <row r="137" spans="1:18">
      <c r="A137" s="1498"/>
      <c r="B137" s="1495"/>
      <c r="C137" s="1495">
        <v>1</v>
      </c>
      <c r="D137" s="2435" t="e">
        <f>EE!#REF!</f>
        <v>#REF!</v>
      </c>
      <c r="E137" s="2435"/>
      <c r="F137" s="2436"/>
      <c r="G137" s="1509" t="s">
        <v>5188</v>
      </c>
      <c r="H137" s="1501">
        <v>20.45</v>
      </c>
      <c r="I137" s="1501"/>
      <c r="J137" s="1501">
        <v>2.8</v>
      </c>
      <c r="K137" s="1506"/>
      <c r="L137" s="1501">
        <f>J137*H137</f>
        <v>57.259999999999991</v>
      </c>
      <c r="M137" s="1504">
        <f>L138+L137</f>
        <v>83.009999999999991</v>
      </c>
      <c r="N137" s="1505" t="s">
        <v>2647</v>
      </c>
    </row>
    <row r="138" spans="1:18">
      <c r="A138" s="1498"/>
      <c r="B138" s="1495"/>
      <c r="C138" s="1495"/>
      <c r="D138" s="1496"/>
      <c r="E138" s="1496"/>
      <c r="F138" s="1497"/>
      <c r="G138" s="1509" t="s">
        <v>5189</v>
      </c>
      <c r="H138" s="1501">
        <v>10.3</v>
      </c>
      <c r="I138" s="1501">
        <v>2.5</v>
      </c>
      <c r="J138" s="1501"/>
      <c r="K138" s="1506"/>
      <c r="L138" s="1501">
        <f>I138*H138</f>
        <v>25.75</v>
      </c>
      <c r="M138" s="1504"/>
      <c r="N138" s="1505"/>
    </row>
    <row r="139" spans="1:18">
      <c r="A139" s="1498"/>
      <c r="B139" s="1495"/>
      <c r="C139" s="1495">
        <v>2</v>
      </c>
      <c r="D139" s="2435" t="e">
        <f>EE!#REF!</f>
        <v>#REF!</v>
      </c>
      <c r="E139" s="2435"/>
      <c r="F139" s="2436"/>
      <c r="G139" s="1509"/>
      <c r="H139" s="1501">
        <v>20</v>
      </c>
      <c r="I139" s="1501"/>
      <c r="J139" s="1501">
        <v>2.65</v>
      </c>
      <c r="K139" s="1506"/>
      <c r="L139" s="1501"/>
      <c r="M139" s="1504">
        <f>J139*H139</f>
        <v>53</v>
      </c>
      <c r="N139" s="1505" t="s">
        <v>2647</v>
      </c>
    </row>
    <row r="140" spans="1:18">
      <c r="A140" s="1498"/>
      <c r="B140" s="1495"/>
      <c r="C140" s="1495"/>
      <c r="D140" s="2435"/>
      <c r="E140" s="2435"/>
      <c r="F140" s="2436"/>
      <c r="G140" s="1509"/>
      <c r="H140" s="1501">
        <v>23</v>
      </c>
      <c r="I140" s="1501"/>
      <c r="J140" s="1501">
        <v>2.8</v>
      </c>
      <c r="K140" s="1506"/>
      <c r="L140" s="1501"/>
      <c r="M140" s="1504">
        <f>H140*J140</f>
        <v>64.399999999999991</v>
      </c>
      <c r="N140" s="1505" t="s">
        <v>2647</v>
      </c>
    </row>
    <row r="141" spans="1:18">
      <c r="A141" s="1498"/>
      <c r="B141" s="1495"/>
      <c r="C141" s="1495">
        <v>3</v>
      </c>
      <c r="D141" s="2435" t="e">
        <f>EE!#REF!</f>
        <v>#REF!</v>
      </c>
      <c r="E141" s="2435"/>
      <c r="F141" s="2436"/>
      <c r="G141" s="1509"/>
      <c r="H141" s="1501">
        <v>10.3</v>
      </c>
      <c r="I141" s="1501">
        <v>2.5</v>
      </c>
      <c r="J141" s="1501"/>
      <c r="K141" s="1506"/>
      <c r="L141" s="1501"/>
      <c r="M141" s="1504">
        <f>H141*I141</f>
        <v>25.75</v>
      </c>
      <c r="N141" s="1505" t="s">
        <v>2647</v>
      </c>
    </row>
    <row r="142" spans="1:18">
      <c r="A142" s="1430"/>
      <c r="B142" s="1431" t="s">
        <v>4921</v>
      </c>
      <c r="C142" s="2445" t="str">
        <f>EE!C84</f>
        <v>Pekerjaan Frame Konstruksi Penggantung Lampu Penerangan Lapangan Futsal</v>
      </c>
      <c r="D142" s="2445"/>
      <c r="E142" s="2445"/>
      <c r="F142" s="2446"/>
      <c r="G142" s="1432"/>
      <c r="H142" s="1433"/>
      <c r="I142" s="1433"/>
      <c r="J142" s="1433"/>
      <c r="K142" s="1434"/>
      <c r="L142" s="1433"/>
      <c r="M142" s="1435"/>
      <c r="N142" s="1436"/>
    </row>
    <row r="143" spans="1:18">
      <c r="A143" s="703"/>
      <c r="B143" s="1032"/>
      <c r="C143" s="1032">
        <v>1</v>
      </c>
      <c r="D143" s="2447" t="s">
        <v>5086</v>
      </c>
      <c r="E143" s="2447"/>
      <c r="F143" s="2448"/>
      <c r="G143" s="1083"/>
      <c r="H143" s="1084">
        <v>691.8</v>
      </c>
      <c r="I143" s="1084"/>
      <c r="J143" s="1084"/>
      <c r="K143" s="1085">
        <f>H143/6</f>
        <v>115.3</v>
      </c>
      <c r="L143" s="1084">
        <v>16.96</v>
      </c>
      <c r="M143" s="1086">
        <f>L143*K143</f>
        <v>1955.4880000000001</v>
      </c>
      <c r="N143" s="1087" t="s">
        <v>773</v>
      </c>
      <c r="R143" t="s">
        <v>2941</v>
      </c>
    </row>
    <row r="144" spans="1:18">
      <c r="A144" s="1430"/>
      <c r="B144" s="1431" t="s">
        <v>4922</v>
      </c>
      <c r="C144" s="2445" t="s">
        <v>5124</v>
      </c>
      <c r="D144" s="2445"/>
      <c r="E144" s="2445"/>
      <c r="F144" s="2446"/>
      <c r="G144" s="1432"/>
      <c r="H144" s="1433"/>
      <c r="I144" s="1433"/>
      <c r="J144" s="1433"/>
      <c r="K144" s="1434"/>
      <c r="L144" s="1433"/>
      <c r="M144" s="1435"/>
      <c r="N144" s="1436"/>
      <c r="R144">
        <v>186.48</v>
      </c>
    </row>
    <row r="145" spans="1:22">
      <c r="A145" s="703"/>
      <c r="B145" s="809"/>
      <c r="C145" s="809">
        <v>1</v>
      </c>
      <c r="D145" s="823" t="s">
        <v>5077</v>
      </c>
      <c r="E145" s="823"/>
      <c r="F145" s="824"/>
      <c r="G145" s="884"/>
      <c r="H145" s="733">
        <v>2</v>
      </c>
      <c r="I145" s="733">
        <v>0.9</v>
      </c>
      <c r="J145" s="733"/>
      <c r="K145" s="740"/>
      <c r="L145" s="733"/>
      <c r="M145" s="873">
        <f>I145*H145</f>
        <v>1.8</v>
      </c>
      <c r="N145" s="704"/>
      <c r="R145">
        <v>5.92</v>
      </c>
    </row>
    <row r="146" spans="1:22">
      <c r="A146" s="703"/>
      <c r="B146" s="809"/>
      <c r="C146" s="809">
        <f>C145+1</f>
        <v>2</v>
      </c>
      <c r="D146" s="823" t="s">
        <v>5078</v>
      </c>
      <c r="E146" s="823"/>
      <c r="F146" s="824"/>
      <c r="G146" s="884"/>
      <c r="H146" s="733">
        <v>1.2</v>
      </c>
      <c r="I146" s="733"/>
      <c r="J146" s="733">
        <v>2</v>
      </c>
      <c r="K146" s="740"/>
      <c r="L146" s="733">
        <f>J146*H146</f>
        <v>2.4</v>
      </c>
      <c r="M146" s="873">
        <f>L148</f>
        <v>11.6</v>
      </c>
      <c r="N146" s="704"/>
      <c r="R146">
        <f>9*25.56</f>
        <v>230.04</v>
      </c>
    </row>
    <row r="147" spans="1:22">
      <c r="A147" s="703"/>
      <c r="B147" s="809"/>
      <c r="C147" s="809"/>
      <c r="D147" s="823"/>
      <c r="E147" s="823"/>
      <c r="F147" s="824"/>
      <c r="G147" s="884"/>
      <c r="H147" s="733"/>
      <c r="I147" s="733">
        <v>9.1999999999999993</v>
      </c>
      <c r="J147" s="733"/>
      <c r="K147" s="740"/>
      <c r="L147" s="856">
        <f>I147</f>
        <v>9.1999999999999993</v>
      </c>
      <c r="M147" s="873"/>
      <c r="N147" s="704"/>
      <c r="R147">
        <f>9*40</f>
        <v>360</v>
      </c>
    </row>
    <row r="148" spans="1:22">
      <c r="A148" s="703"/>
      <c r="B148" s="809"/>
      <c r="C148" s="809"/>
      <c r="D148" s="823"/>
      <c r="E148" s="823"/>
      <c r="F148" s="824"/>
      <c r="G148" s="884"/>
      <c r="H148" s="733"/>
      <c r="I148" s="733"/>
      <c r="J148" s="733"/>
      <c r="K148" s="740"/>
      <c r="L148" s="733">
        <f>SUM(L146:L147)</f>
        <v>11.6</v>
      </c>
      <c r="M148" s="873"/>
      <c r="N148" s="704"/>
      <c r="Q148">
        <f>5.78*4</f>
        <v>23.12</v>
      </c>
      <c r="R148">
        <f>Q148*16</f>
        <v>369.92</v>
      </c>
      <c r="T148" t="s">
        <v>773</v>
      </c>
    </row>
    <row r="149" spans="1:22">
      <c r="A149" s="703"/>
      <c r="B149" s="809"/>
      <c r="C149" s="809">
        <f>C146+1</f>
        <v>3</v>
      </c>
      <c r="D149" s="823" t="s">
        <v>5070</v>
      </c>
      <c r="E149" s="823"/>
      <c r="F149" s="824"/>
      <c r="G149" s="884"/>
      <c r="H149" s="733"/>
      <c r="I149" s="733"/>
      <c r="J149" s="733"/>
      <c r="K149" s="740"/>
      <c r="L149" s="733"/>
      <c r="M149" s="873">
        <v>1</v>
      </c>
      <c r="N149" s="704"/>
      <c r="R149" s="900">
        <f>SUM(R144:R148)</f>
        <v>1152.3599999999999</v>
      </c>
      <c r="S149" s="78">
        <f>R149/6</f>
        <v>192.05999999999997</v>
      </c>
      <c r="T149">
        <f>S149*18.36</f>
        <v>3526.2215999999994</v>
      </c>
      <c r="U149" s="765">
        <f>Rekap!D114</f>
        <v>50105.5</v>
      </c>
      <c r="V149" s="765">
        <f>U149*T149</f>
        <v>176683096.37879997</v>
      </c>
    </row>
    <row r="150" spans="1:22">
      <c r="A150" s="703"/>
      <c r="B150" s="809"/>
      <c r="C150" s="809">
        <f t="shared" ref="C150:C151" si="9">C149+1</f>
        <v>4</v>
      </c>
      <c r="D150" s="823" t="s">
        <v>4953</v>
      </c>
      <c r="E150" s="823"/>
      <c r="F150" s="824"/>
      <c r="G150" s="884"/>
      <c r="H150" s="733"/>
      <c r="I150" s="733"/>
      <c r="J150" s="733"/>
      <c r="K150" s="740"/>
      <c r="L150" s="733"/>
      <c r="M150" s="873">
        <v>3</v>
      </c>
      <c r="N150" s="704"/>
    </row>
    <row r="151" spans="1:22">
      <c r="A151" s="743"/>
      <c r="B151" s="809"/>
      <c r="C151" s="809">
        <f t="shared" si="9"/>
        <v>5</v>
      </c>
      <c r="D151" s="823" t="s">
        <v>5072</v>
      </c>
      <c r="E151" s="823"/>
      <c r="F151" s="824"/>
      <c r="G151" s="892"/>
      <c r="H151" s="733"/>
      <c r="I151" s="733"/>
      <c r="J151" s="733"/>
      <c r="K151" s="740"/>
      <c r="L151" s="733"/>
      <c r="M151" s="873">
        <v>1</v>
      </c>
      <c r="N151" s="704"/>
    </row>
    <row r="152" spans="1:22">
      <c r="A152" s="1430"/>
      <c r="B152" s="1431" t="s">
        <v>4923</v>
      </c>
      <c r="C152" s="2445" t="s">
        <v>5175</v>
      </c>
      <c r="D152" s="2445"/>
      <c r="E152" s="2445"/>
      <c r="F152" s="2446"/>
      <c r="G152" s="1432"/>
      <c r="H152" s="1433"/>
      <c r="I152" s="1433"/>
      <c r="J152" s="1433"/>
      <c r="K152" s="1434"/>
      <c r="L152" s="1433"/>
      <c r="M152" s="1435"/>
      <c r="N152" s="1436"/>
    </row>
    <row r="153" spans="1:22">
      <c r="A153" s="703"/>
      <c r="B153" s="809"/>
      <c r="C153" s="809">
        <v>1</v>
      </c>
      <c r="D153" s="2298" t="str">
        <f>EE!D93</f>
        <v>Pekerjaan besi Hollow Uk.50x50x2mm T .80 cm (diatas Tangga akses masuk tribun )</v>
      </c>
      <c r="E153" s="2298"/>
      <c r="F153" s="2299"/>
      <c r="G153" s="893"/>
      <c r="H153" s="733">
        <v>9.85</v>
      </c>
      <c r="I153" s="733"/>
      <c r="J153" s="733">
        <v>0.8</v>
      </c>
      <c r="K153" s="740"/>
      <c r="L153" s="733">
        <v>4</v>
      </c>
      <c r="M153" s="873">
        <f>L153*J153*H153</f>
        <v>31.52</v>
      </c>
      <c r="N153" s="704" t="s">
        <v>2647</v>
      </c>
    </row>
    <row r="154" spans="1:22">
      <c r="A154" s="703"/>
      <c r="B154" s="809"/>
      <c r="C154" s="809">
        <f>C153+1</f>
        <v>2</v>
      </c>
      <c r="D154" s="2298" t="str">
        <f>EE!D94</f>
        <v>Pekerjaan besi Hollow Uk.50x50x2mm T. 1,8m (Penambahan Pagar Tribun VIP Kanan &amp; kiri)</v>
      </c>
      <c r="E154" s="2298"/>
      <c r="F154" s="2299"/>
      <c r="G154" s="893"/>
      <c r="H154" s="733">
        <v>8.11</v>
      </c>
      <c r="I154" s="733"/>
      <c r="J154" s="733">
        <v>1.8</v>
      </c>
      <c r="K154" s="740"/>
      <c r="L154" s="733">
        <v>2</v>
      </c>
      <c r="M154" s="873">
        <f>H154*J154*L154</f>
        <v>29.195999999999998</v>
      </c>
      <c r="N154" s="704" t="s">
        <v>2647</v>
      </c>
    </row>
    <row r="155" spans="1:22">
      <c r="A155" s="703"/>
      <c r="B155" s="809"/>
      <c r="C155" s="809">
        <f>C154+1</f>
        <v>3</v>
      </c>
      <c r="D155" s="2455"/>
      <c r="E155" s="2455"/>
      <c r="F155" s="2456"/>
      <c r="G155" s="892"/>
      <c r="H155" s="733"/>
      <c r="I155" s="733"/>
      <c r="J155" s="733"/>
      <c r="K155" s="740"/>
      <c r="L155" s="733"/>
      <c r="M155" s="873"/>
      <c r="N155" s="704"/>
    </row>
    <row r="156" spans="1:22">
      <c r="A156" s="1430"/>
      <c r="B156" s="1431" t="s">
        <v>4924</v>
      </c>
      <c r="C156" s="2445" t="s">
        <v>4926</v>
      </c>
      <c r="D156" s="2445"/>
      <c r="E156" s="2445"/>
      <c r="F156" s="2446"/>
      <c r="G156" s="1432"/>
      <c r="H156" s="1433"/>
      <c r="I156" s="1433"/>
      <c r="J156" s="1433"/>
      <c r="K156" s="1434"/>
      <c r="L156" s="1433"/>
      <c r="M156" s="1435"/>
      <c r="N156" s="1436"/>
    </row>
    <row r="157" spans="1:22">
      <c r="A157" s="703"/>
      <c r="B157" s="809"/>
      <c r="C157" s="809">
        <v>1</v>
      </c>
      <c r="D157" s="823" t="s">
        <v>5262</v>
      </c>
      <c r="E157" s="823"/>
      <c r="F157" s="824"/>
      <c r="G157" s="884" t="s">
        <v>5263</v>
      </c>
      <c r="H157" s="733">
        <f>50.32+9.4</f>
        <v>59.72</v>
      </c>
      <c r="I157" s="733"/>
      <c r="J157" s="733">
        <v>5.53</v>
      </c>
      <c r="K157" s="740"/>
      <c r="L157" s="733">
        <f>J157*H157</f>
        <v>330.2516</v>
      </c>
      <c r="M157" s="873">
        <f>SUM(L157:L160)</f>
        <v>1427.5981999999999</v>
      </c>
      <c r="N157" s="704"/>
    </row>
    <row r="158" spans="1:22">
      <c r="A158" s="703"/>
      <c r="B158" s="809"/>
      <c r="C158" s="809"/>
      <c r="D158" s="823"/>
      <c r="E158" s="823"/>
      <c r="F158" s="824"/>
      <c r="G158" s="884" t="s">
        <v>5133</v>
      </c>
      <c r="H158" s="733">
        <f>50.32+9.4</f>
        <v>59.72</v>
      </c>
      <c r="I158" s="733"/>
      <c r="J158" s="733">
        <v>5.53</v>
      </c>
      <c r="K158" s="740"/>
      <c r="L158" s="733">
        <f t="shared" ref="L158:L160" si="10">J158*H158</f>
        <v>330.2516</v>
      </c>
      <c r="M158" s="873"/>
      <c r="N158" s="704"/>
    </row>
    <row r="159" spans="1:22">
      <c r="A159" s="703"/>
      <c r="B159" s="809"/>
      <c r="C159" s="809"/>
      <c r="D159" s="823"/>
      <c r="E159" s="823"/>
      <c r="F159" s="824"/>
      <c r="G159" s="884" t="s">
        <v>5143</v>
      </c>
      <c r="H159" s="733">
        <f>44.85+9.4</f>
        <v>54.25</v>
      </c>
      <c r="I159" s="733"/>
      <c r="J159" s="733">
        <v>7.07</v>
      </c>
      <c r="K159" s="740"/>
      <c r="L159" s="733">
        <f t="shared" si="10"/>
        <v>383.54750000000001</v>
      </c>
      <c r="M159" s="873"/>
      <c r="N159" s="704"/>
    </row>
    <row r="160" spans="1:22">
      <c r="A160" s="703"/>
      <c r="B160" s="809"/>
      <c r="C160" s="809"/>
      <c r="D160" s="823"/>
      <c r="E160" s="823"/>
      <c r="F160" s="824"/>
      <c r="G160" s="884" t="s">
        <v>5123</v>
      </c>
      <c r="H160" s="733">
        <f>H159</f>
        <v>54.25</v>
      </c>
      <c r="I160" s="733"/>
      <c r="J160" s="733">
        <v>7.07</v>
      </c>
      <c r="K160" s="740"/>
      <c r="L160" s="733">
        <f t="shared" si="10"/>
        <v>383.54750000000001</v>
      </c>
      <c r="M160" s="873"/>
      <c r="N160" s="704"/>
    </row>
    <row r="161" spans="1:14">
      <c r="A161" s="703"/>
      <c r="B161" s="809"/>
      <c r="C161" s="809"/>
      <c r="D161" s="823"/>
      <c r="E161" s="823"/>
      <c r="F161" s="824"/>
      <c r="G161" s="888"/>
      <c r="H161" s="733"/>
      <c r="I161" s="733"/>
      <c r="J161" s="733"/>
      <c r="K161" s="740"/>
      <c r="L161" s="733"/>
      <c r="M161" s="873"/>
      <c r="N161" s="704"/>
    </row>
    <row r="162" spans="1:14">
      <c r="A162" s="703"/>
      <c r="B162" s="809"/>
      <c r="C162" s="809">
        <f>C157+1</f>
        <v>2</v>
      </c>
      <c r="D162" s="823" t="s">
        <v>5106</v>
      </c>
      <c r="E162" s="823"/>
      <c r="F162" s="824"/>
      <c r="G162" s="888"/>
      <c r="H162" s="733">
        <v>56</v>
      </c>
      <c r="I162" s="733"/>
      <c r="J162" s="733">
        <v>0.8</v>
      </c>
      <c r="K162" s="740"/>
      <c r="L162" s="733">
        <f>J162*H162</f>
        <v>44.800000000000004</v>
      </c>
      <c r="M162" s="873">
        <f>L164</f>
        <v>82.800000000000011</v>
      </c>
      <c r="N162" s="704"/>
    </row>
    <row r="163" spans="1:14">
      <c r="A163" s="703"/>
      <c r="B163" s="817"/>
      <c r="C163" s="817"/>
      <c r="D163" s="818"/>
      <c r="E163" s="818"/>
      <c r="F163" s="843"/>
      <c r="G163" s="894"/>
      <c r="H163" s="733">
        <v>47.5</v>
      </c>
      <c r="I163" s="733"/>
      <c r="J163" s="733">
        <v>0.8</v>
      </c>
      <c r="K163" s="740"/>
      <c r="L163" s="856">
        <f>J163*H163</f>
        <v>38</v>
      </c>
      <c r="M163" s="873"/>
      <c r="N163" s="704"/>
    </row>
    <row r="164" spans="1:14">
      <c r="A164" s="703"/>
      <c r="B164" s="817"/>
      <c r="C164" s="817"/>
      <c r="D164" s="818"/>
      <c r="E164" s="818"/>
      <c r="F164" s="843"/>
      <c r="G164" s="894"/>
      <c r="H164" s="733"/>
      <c r="I164" s="733"/>
      <c r="J164" s="733"/>
      <c r="K164" s="740"/>
      <c r="L164" s="733">
        <f>SUM(L162:L163)</f>
        <v>82.800000000000011</v>
      </c>
      <c r="M164" s="873"/>
      <c r="N164" s="704"/>
    </row>
    <row r="165" spans="1:14">
      <c r="A165" s="707"/>
      <c r="B165" s="817"/>
      <c r="C165" s="817">
        <v>3</v>
      </c>
      <c r="D165" s="2349" t="str">
        <f>EE!D98</f>
        <v xml:space="preserve">Pekerjaan Cat Dulux Pro Diamond Ceiling dan dinding Akustik (Ruang VIP) </v>
      </c>
      <c r="E165" s="2349"/>
      <c r="F165" s="2452"/>
      <c r="G165" s="1001"/>
      <c r="H165" s="999">
        <v>23</v>
      </c>
      <c r="I165" s="999">
        <f>10.2*2.64</f>
        <v>26.928000000000001</v>
      </c>
      <c r="J165" s="999">
        <v>2.8</v>
      </c>
      <c r="K165" s="1000"/>
      <c r="L165" s="999"/>
      <c r="M165" s="874">
        <f>J165*H165+I165</f>
        <v>91.327999999999989</v>
      </c>
      <c r="N165" s="705" t="s">
        <v>2647</v>
      </c>
    </row>
    <row r="166" spans="1:14" ht="27" customHeight="1">
      <c r="A166" s="1439"/>
      <c r="B166" s="2440" t="s">
        <v>5117</v>
      </c>
      <c r="C166" s="2441"/>
      <c r="D166" s="2441"/>
      <c r="E166" s="2441"/>
      <c r="F166" s="2442"/>
      <c r="G166" s="1440"/>
      <c r="H166" s="1441"/>
      <c r="I166" s="1441"/>
      <c r="J166" s="1441"/>
      <c r="K166" s="1442"/>
      <c r="L166" s="1441"/>
      <c r="M166" s="1443"/>
      <c r="N166" s="1444"/>
    </row>
    <row r="167" spans="1:14">
      <c r="A167" s="1412"/>
      <c r="B167" s="1445" t="s">
        <v>4920</v>
      </c>
      <c r="C167" s="2453" t="s">
        <v>5059</v>
      </c>
      <c r="D167" s="2453"/>
      <c r="E167" s="2453"/>
      <c r="F167" s="2454"/>
      <c r="G167" s="1414"/>
      <c r="H167" s="1415"/>
      <c r="I167" s="1415"/>
      <c r="J167" s="1415"/>
      <c r="K167" s="1416"/>
      <c r="L167" s="1415"/>
      <c r="M167" s="1417"/>
      <c r="N167" s="1418"/>
    </row>
    <row r="168" spans="1:14">
      <c r="A168" s="703"/>
      <c r="B168" s="823"/>
      <c r="C168" s="809">
        <v>1</v>
      </c>
      <c r="D168" s="2298" t="str">
        <f>EE!D102</f>
        <v>Pekerjaan Bongkar Atap dan reng CNP Exisitng</v>
      </c>
      <c r="E168" s="2298"/>
      <c r="F168" s="2299"/>
      <c r="G168" s="892"/>
      <c r="H168" s="733"/>
      <c r="I168" s="733"/>
      <c r="J168" s="733"/>
      <c r="K168" s="740"/>
      <c r="L168" s="860"/>
      <c r="M168" s="873">
        <f>M187</f>
        <v>2596.1669999999999</v>
      </c>
      <c r="N168" s="704"/>
    </row>
    <row r="169" spans="1:14">
      <c r="A169" s="804"/>
      <c r="B169" s="853" t="s">
        <v>4578</v>
      </c>
      <c r="C169" s="2419" t="s">
        <v>5116</v>
      </c>
      <c r="D169" s="2419"/>
      <c r="E169" s="2419"/>
      <c r="F169" s="2420"/>
      <c r="G169" s="897"/>
      <c r="H169" s="1410"/>
      <c r="I169" s="1410"/>
      <c r="J169" s="1410"/>
      <c r="K169" s="1411"/>
      <c r="L169" s="1410"/>
      <c r="M169" s="876"/>
      <c r="N169" s="805"/>
    </row>
    <row r="170" spans="1:14">
      <c r="A170" s="703"/>
      <c r="B170" s="838"/>
      <c r="C170" s="809">
        <v>1</v>
      </c>
      <c r="D170" s="2298" t="str">
        <f>EE!D104</f>
        <v>Pekerjaan Pasangan 1/2 Bata Merah 1:4</v>
      </c>
      <c r="E170" s="2298"/>
      <c r="F170" s="2299"/>
      <c r="G170" s="884"/>
      <c r="H170" s="733"/>
      <c r="I170" s="733">
        <v>0.6</v>
      </c>
      <c r="J170" s="733"/>
      <c r="K170" s="740">
        <v>65</v>
      </c>
      <c r="L170" s="733"/>
      <c r="M170" s="873">
        <f>K170*I170</f>
        <v>39</v>
      </c>
      <c r="N170" s="704" t="s">
        <v>2647</v>
      </c>
    </row>
    <row r="171" spans="1:14">
      <c r="A171" s="703"/>
      <c r="B171" s="838"/>
      <c r="C171" s="809">
        <f>C170+1</f>
        <v>2</v>
      </c>
      <c r="D171" s="2298" t="str">
        <f>EE!D105</f>
        <v>Pekerjaan Plesteran 1:4 tebal 15mm</v>
      </c>
      <c r="E171" s="2298"/>
      <c r="F171" s="2299"/>
      <c r="G171" s="884"/>
      <c r="H171" s="733"/>
      <c r="I171" s="742">
        <f>M170</f>
        <v>39</v>
      </c>
      <c r="J171" s="733"/>
      <c r="K171" s="740"/>
      <c r="L171" s="733">
        <v>2</v>
      </c>
      <c r="M171" s="873">
        <f>L171*I171</f>
        <v>78</v>
      </c>
      <c r="N171" s="704" t="s">
        <v>2647</v>
      </c>
    </row>
    <row r="172" spans="1:14">
      <c r="A172" s="703"/>
      <c r="B172" s="809"/>
      <c r="C172" s="809">
        <f t="shared" ref="C172:C174" si="11">C171+1</f>
        <v>3</v>
      </c>
      <c r="D172" s="823" t="s">
        <v>5118</v>
      </c>
      <c r="E172" s="823"/>
      <c r="F172" s="824"/>
      <c r="G172" s="884"/>
      <c r="H172" s="733"/>
      <c r="I172" s="733">
        <v>3.2</v>
      </c>
      <c r="J172" s="733"/>
      <c r="K172" s="740">
        <v>65</v>
      </c>
      <c r="L172" s="733"/>
      <c r="M172" s="873">
        <f>K172*I172</f>
        <v>208</v>
      </c>
      <c r="N172" s="704" t="s">
        <v>2941</v>
      </c>
    </row>
    <row r="173" spans="1:14">
      <c r="A173" s="707"/>
      <c r="B173" s="813"/>
      <c r="C173" s="813">
        <f t="shared" si="11"/>
        <v>4</v>
      </c>
      <c r="D173" s="2306" t="s">
        <v>5119</v>
      </c>
      <c r="E173" s="2306"/>
      <c r="F173" s="2307"/>
      <c r="G173" s="888"/>
      <c r="H173" s="705"/>
      <c r="I173" s="705">
        <v>0.26</v>
      </c>
      <c r="J173" s="705"/>
      <c r="K173" s="739">
        <v>65</v>
      </c>
      <c r="L173" s="705"/>
      <c r="M173" s="874">
        <f>K173*I173</f>
        <v>16.900000000000002</v>
      </c>
      <c r="N173" s="705"/>
    </row>
    <row r="174" spans="1:14">
      <c r="A174" s="704"/>
      <c r="B174" s="809"/>
      <c r="C174" s="809">
        <f t="shared" si="11"/>
        <v>5</v>
      </c>
      <c r="D174" s="2459" t="str">
        <f>EE!D108</f>
        <v>Pek. Frame Hollow 40x40cm dan ACP Seven PVDF Alloy 5005 FR T.0,5m  (Fasade Utara)</v>
      </c>
      <c r="E174" s="2459"/>
      <c r="F174" s="2460"/>
      <c r="G174" s="884" t="s">
        <v>5205</v>
      </c>
      <c r="H174" s="704"/>
      <c r="I174" s="704">
        <v>5.76</v>
      </c>
      <c r="J174" s="704"/>
      <c r="K174" s="725">
        <v>2</v>
      </c>
      <c r="L174" s="704">
        <f>K174*I174</f>
        <v>11.52</v>
      </c>
      <c r="M174" s="873">
        <f>L182</f>
        <v>68.605999999999995</v>
      </c>
      <c r="N174" s="704" t="s">
        <v>2647</v>
      </c>
    </row>
    <row r="175" spans="1:14">
      <c r="A175" s="704"/>
      <c r="B175" s="809"/>
      <c r="C175" s="809"/>
      <c r="D175" s="2459"/>
      <c r="E175" s="2459"/>
      <c r="F175" s="2460"/>
      <c r="G175" s="884"/>
      <c r="H175" s="704">
        <v>5</v>
      </c>
      <c r="I175" s="704">
        <v>1</v>
      </c>
      <c r="J175" s="704"/>
      <c r="K175" s="725">
        <v>3</v>
      </c>
      <c r="L175" s="704">
        <f>K175*I175*H175</f>
        <v>15</v>
      </c>
      <c r="M175" s="873"/>
      <c r="N175" s="704"/>
    </row>
    <row r="176" spans="1:14">
      <c r="A176" s="704"/>
      <c r="B176" s="809"/>
      <c r="C176" s="809"/>
      <c r="D176" s="823"/>
      <c r="E176" s="823"/>
      <c r="F176" s="824"/>
      <c r="G176" s="884" t="s">
        <v>5206</v>
      </c>
      <c r="H176" s="704"/>
      <c r="I176" s="704">
        <v>3.36</v>
      </c>
      <c r="J176" s="704"/>
      <c r="K176" s="725">
        <v>4</v>
      </c>
      <c r="L176" s="704">
        <f>K176*I176</f>
        <v>13.44</v>
      </c>
      <c r="M176" s="873"/>
      <c r="N176" s="704"/>
    </row>
    <row r="177" spans="1:22">
      <c r="A177" s="704"/>
      <c r="B177" s="809"/>
      <c r="C177" s="809"/>
      <c r="D177" s="823"/>
      <c r="E177" s="823"/>
      <c r="F177" s="824"/>
      <c r="G177" s="884"/>
      <c r="H177" s="704"/>
      <c r="I177" s="704"/>
      <c r="J177" s="704"/>
      <c r="K177" s="725"/>
      <c r="L177" s="724"/>
      <c r="M177" s="873"/>
      <c r="N177" s="704"/>
    </row>
    <row r="178" spans="1:22">
      <c r="A178" s="704"/>
      <c r="B178" s="809"/>
      <c r="C178" s="809"/>
      <c r="D178" s="823"/>
      <c r="E178" s="823"/>
      <c r="F178" s="824"/>
      <c r="G178" s="884" t="s">
        <v>5207</v>
      </c>
      <c r="H178" s="704"/>
      <c r="I178" s="704">
        <v>7.99</v>
      </c>
      <c r="J178" s="704"/>
      <c r="K178" s="725">
        <v>2</v>
      </c>
      <c r="L178" s="704">
        <f>K178*I178</f>
        <v>15.98</v>
      </c>
      <c r="M178" s="873"/>
      <c r="N178" s="704"/>
    </row>
    <row r="179" spans="1:22">
      <c r="A179" s="704"/>
      <c r="B179" s="809"/>
      <c r="C179" s="1446"/>
      <c r="D179" s="1446"/>
      <c r="E179" s="1446"/>
      <c r="F179" s="824"/>
      <c r="G179" s="884" t="s">
        <v>5208</v>
      </c>
      <c r="H179" s="704">
        <v>4.45</v>
      </c>
      <c r="I179" s="704">
        <v>0.3</v>
      </c>
      <c r="J179" s="704"/>
      <c r="K179" s="725">
        <v>2</v>
      </c>
      <c r="L179" s="704">
        <f>K179*I179*H179</f>
        <v>2.67</v>
      </c>
      <c r="M179" s="873"/>
      <c r="N179" s="704"/>
    </row>
    <row r="180" spans="1:22">
      <c r="A180" s="704"/>
      <c r="B180" s="809"/>
      <c r="C180" s="1446"/>
      <c r="D180" s="1446"/>
      <c r="E180" s="1446"/>
      <c r="F180" s="824"/>
      <c r="G180" s="884" t="s">
        <v>5209</v>
      </c>
      <c r="H180" s="704">
        <f>(1.2*6)+(2.13*6)+(1.97*2)+(4.7*2)</f>
        <v>33.32</v>
      </c>
      <c r="I180" s="704"/>
      <c r="J180" s="704">
        <v>0.2</v>
      </c>
      <c r="K180" s="725"/>
      <c r="L180" s="704">
        <f>J180*H180</f>
        <v>6.6640000000000006</v>
      </c>
      <c r="M180" s="873"/>
      <c r="N180" s="704"/>
    </row>
    <row r="181" spans="1:22">
      <c r="A181" s="704"/>
      <c r="B181" s="809"/>
      <c r="C181" s="1446"/>
      <c r="D181" s="1446"/>
      <c r="E181" s="1446"/>
      <c r="F181" s="824"/>
      <c r="G181" s="884"/>
      <c r="H181" s="704">
        <f>H180</f>
        <v>33.32</v>
      </c>
      <c r="I181" s="704">
        <v>0.1</v>
      </c>
      <c r="J181" s="704"/>
      <c r="K181" s="725"/>
      <c r="L181" s="724">
        <f>I181*H181</f>
        <v>3.3320000000000003</v>
      </c>
      <c r="M181" s="873"/>
      <c r="N181" s="704"/>
    </row>
    <row r="182" spans="1:22">
      <c r="A182" s="704"/>
      <c r="B182" s="809"/>
      <c r="C182" s="1446"/>
      <c r="D182" s="1446"/>
      <c r="E182" s="1446"/>
      <c r="F182" s="824"/>
      <c r="G182" s="884"/>
      <c r="H182" s="704"/>
      <c r="I182" s="704"/>
      <c r="J182" s="704"/>
      <c r="K182" s="725"/>
      <c r="L182" s="1447">
        <f>SUM(L174:L181)</f>
        <v>68.605999999999995</v>
      </c>
      <c r="M182" s="873"/>
      <c r="N182" s="704"/>
    </row>
    <row r="183" spans="1:22">
      <c r="A183" s="734"/>
      <c r="B183" s="830"/>
      <c r="C183" s="830">
        <f>C174+1</f>
        <v>6</v>
      </c>
      <c r="D183" s="1002" t="str">
        <f>EE!D109</f>
        <v>Pekerjaan pagar GRC Stone Fowder T. 4cm @Uk.2,25mx1m</v>
      </c>
      <c r="E183" s="1002"/>
      <c r="F183" s="1006"/>
      <c r="G183" s="973"/>
      <c r="H183" s="706">
        <v>2.25</v>
      </c>
      <c r="I183" s="706"/>
      <c r="J183" s="706">
        <v>1</v>
      </c>
      <c r="K183" s="741"/>
      <c r="L183" s="706">
        <v>64</v>
      </c>
      <c r="M183" s="878">
        <f>L183*J183*H183</f>
        <v>144</v>
      </c>
      <c r="N183" s="706" t="s">
        <v>2647</v>
      </c>
    </row>
    <row r="184" spans="1:22">
      <c r="A184" s="1412"/>
      <c r="B184" s="853" t="s">
        <v>4921</v>
      </c>
      <c r="C184" s="2419" t="s">
        <v>5087</v>
      </c>
      <c r="D184" s="2419"/>
      <c r="E184" s="2419"/>
      <c r="F184" s="2420"/>
      <c r="G184" s="1414"/>
      <c r="H184" s="1418"/>
      <c r="I184" s="1418"/>
      <c r="J184" s="1418"/>
      <c r="K184" s="1448" t="s">
        <v>5197</v>
      </c>
      <c r="L184" s="1418"/>
      <c r="M184" s="1417"/>
      <c r="N184" s="1418"/>
    </row>
    <row r="185" spans="1:22">
      <c r="A185" s="734"/>
      <c r="B185" s="838"/>
      <c r="C185" s="809">
        <v>1</v>
      </c>
      <c r="D185" s="2298" t="str">
        <f>EE!D111</f>
        <v>Pekerjaan Reng CNP 150x50x20x2,3mm (Penambahan reng CNP dari Existing)</v>
      </c>
      <c r="E185" s="2298"/>
      <c r="F185" s="2299"/>
      <c r="G185" s="895"/>
      <c r="H185" s="706">
        <v>50.3</v>
      </c>
      <c r="I185" s="706"/>
      <c r="J185" s="706"/>
      <c r="K185" s="1337">
        <v>29.8</v>
      </c>
      <c r="L185" s="706">
        <f>126-82</f>
        <v>44</v>
      </c>
      <c r="M185" s="1338">
        <f>L185*H185*K185/6</f>
        <v>10992.226666666667</v>
      </c>
      <c r="N185" s="706" t="s">
        <v>773</v>
      </c>
      <c r="P185">
        <v>48.89</v>
      </c>
      <c r="Q185" s="716">
        <v>0.6</v>
      </c>
      <c r="R185">
        <f>P185/Q185</f>
        <v>81.483333333333334</v>
      </c>
      <c r="S185" s="78">
        <f>R186-R185</f>
        <v>44.516666666666666</v>
      </c>
      <c r="U185">
        <f>S185*50.3</f>
        <v>2239.188333333333</v>
      </c>
    </row>
    <row r="186" spans="1:22">
      <c r="A186" s="703"/>
      <c r="B186" s="809"/>
      <c r="C186" s="809"/>
      <c r="D186" s="823"/>
      <c r="E186" s="823"/>
      <c r="F186" s="824"/>
      <c r="G186" s="884"/>
      <c r="H186" s="733"/>
      <c r="I186" s="733"/>
      <c r="J186" s="733"/>
      <c r="K186" s="740"/>
      <c r="L186" s="733"/>
      <c r="M186" s="873"/>
      <c r="N186" s="704"/>
      <c r="R186">
        <f>63*2</f>
        <v>126</v>
      </c>
      <c r="U186">
        <f>U185/6</f>
        <v>373.19805555555553</v>
      </c>
      <c r="V186" s="766">
        <f>U186*410000</f>
        <v>153011202.77777776</v>
      </c>
    </row>
    <row r="187" spans="1:22">
      <c r="A187" s="703"/>
      <c r="B187" s="809"/>
      <c r="C187" s="809">
        <v>2</v>
      </c>
      <c r="D187" s="2298" t="str">
        <f>EE!D112</f>
        <v>Pek. Atap Onduline Clasic T. 0,3cm</v>
      </c>
      <c r="E187" s="2298"/>
      <c r="F187" s="824"/>
      <c r="G187" s="884"/>
      <c r="H187" s="704">
        <v>48.89</v>
      </c>
      <c r="I187" s="704">
        <v>50.3</v>
      </c>
      <c r="J187" s="704"/>
      <c r="K187" s="725">
        <v>137</v>
      </c>
      <c r="L187" s="704">
        <f>H187*I187</f>
        <v>2459.1669999999999</v>
      </c>
      <c r="M187" s="873">
        <f>K187+L187</f>
        <v>2596.1669999999999</v>
      </c>
      <c r="N187" s="704"/>
    </row>
    <row r="188" spans="1:22">
      <c r="A188" s="703"/>
      <c r="B188" s="809"/>
      <c r="C188" s="809"/>
      <c r="D188" s="823"/>
      <c r="E188" s="823"/>
      <c r="F188" s="824"/>
      <c r="G188" s="884"/>
      <c r="H188" s="704"/>
      <c r="I188" s="704"/>
      <c r="J188" s="704"/>
      <c r="K188" s="725"/>
      <c r="L188" s="704"/>
      <c r="M188" s="873"/>
      <c r="N188" s="704"/>
    </row>
    <row r="189" spans="1:22">
      <c r="A189" s="703"/>
      <c r="B189" s="809"/>
      <c r="C189" s="809"/>
      <c r="D189" s="823"/>
      <c r="E189" s="823"/>
      <c r="F189" s="824"/>
      <c r="G189" s="884"/>
      <c r="H189" s="704"/>
      <c r="I189" s="704"/>
      <c r="J189" s="704"/>
      <c r="K189" s="725"/>
      <c r="L189" s="704"/>
      <c r="M189" s="873"/>
      <c r="N189" s="704"/>
    </row>
    <row r="190" spans="1:22">
      <c r="A190" s="703"/>
      <c r="B190" s="809"/>
      <c r="C190" s="809">
        <f>C187+1</f>
        <v>3</v>
      </c>
      <c r="D190" s="823" t="s">
        <v>5088</v>
      </c>
      <c r="E190" s="823"/>
      <c r="F190" s="824"/>
      <c r="G190" s="896"/>
      <c r="H190" s="704">
        <v>20.96</v>
      </c>
      <c r="I190" s="704">
        <v>8.2799999999999994</v>
      </c>
      <c r="J190" s="704"/>
      <c r="K190" s="725"/>
      <c r="L190" s="704"/>
      <c r="M190" s="873">
        <f>I190*H190</f>
        <v>173.5488</v>
      </c>
      <c r="N190" s="704"/>
    </row>
    <row r="191" spans="1:22" ht="36.75" customHeight="1">
      <c r="A191" s="703"/>
      <c r="B191" s="809"/>
      <c r="C191" s="834">
        <v>4</v>
      </c>
      <c r="D191" s="2421" t="str">
        <f>EE!D114</f>
        <v>Pekerjaan Lisplank Shera 20x300cmx8mm berikut Frame Hollow 40x40x1,7mm</v>
      </c>
      <c r="E191" s="2421"/>
      <c r="F191" s="824"/>
      <c r="G191" s="896"/>
      <c r="H191" s="704">
        <v>49.4</v>
      </c>
      <c r="I191" s="704">
        <v>1.5</v>
      </c>
      <c r="J191" s="704"/>
      <c r="K191" s="725"/>
      <c r="L191" s="704">
        <v>2</v>
      </c>
      <c r="M191" s="873">
        <f>L191*I191*H191</f>
        <v>148.19999999999999</v>
      </c>
      <c r="N191" s="704"/>
    </row>
    <row r="192" spans="1:22">
      <c r="A192" s="804"/>
      <c r="B192" s="853" t="s">
        <v>4922</v>
      </c>
      <c r="C192" s="2457" t="s">
        <v>4926</v>
      </c>
      <c r="D192" s="2457"/>
      <c r="E192" s="2457"/>
      <c r="F192" s="2458"/>
      <c r="G192" s="897"/>
      <c r="H192" s="805"/>
      <c r="I192" s="805"/>
      <c r="J192" s="805"/>
      <c r="K192" s="854"/>
      <c r="L192" s="805"/>
      <c r="M192" s="876"/>
      <c r="N192" s="805"/>
    </row>
    <row r="193" spans="1:14">
      <c r="A193" s="703"/>
      <c r="B193" s="809"/>
      <c r="C193" s="809">
        <v>1</v>
      </c>
      <c r="D193" s="2406" t="str">
        <f>EE!D116</f>
        <v>Pekerjaan cat dinding Dulux Professional E.1000  wheatershaields Warna Putih</v>
      </c>
      <c r="E193" s="2406"/>
      <c r="F193" s="824"/>
      <c r="G193" s="884" t="s">
        <v>5264</v>
      </c>
      <c r="H193" s="704"/>
      <c r="I193" s="704">
        <v>515.19000000000005</v>
      </c>
      <c r="J193" s="704"/>
      <c r="K193" s="725"/>
      <c r="L193" s="855">
        <f>I193</f>
        <v>515.19000000000005</v>
      </c>
      <c r="M193" s="714">
        <f>SUM(L193:L201)</f>
        <v>2971.9</v>
      </c>
      <c r="N193" s="704" t="s">
        <v>2647</v>
      </c>
    </row>
    <row r="194" spans="1:14">
      <c r="A194" s="703"/>
      <c r="B194" s="809"/>
      <c r="C194" s="809"/>
      <c r="D194" s="2407"/>
      <c r="E194" s="2407"/>
      <c r="F194" s="824"/>
      <c r="G194" s="1019" t="s">
        <v>5265</v>
      </c>
      <c r="H194" s="704">
        <f>38.2*2</f>
        <v>76.400000000000006</v>
      </c>
      <c r="I194" s="704"/>
      <c r="J194" s="704">
        <v>2</v>
      </c>
      <c r="K194" s="725"/>
      <c r="L194" s="855">
        <f t="shared" ref="L194:L196" si="12">J194*H194</f>
        <v>152.80000000000001</v>
      </c>
      <c r="M194" s="714"/>
      <c r="N194" s="704"/>
    </row>
    <row r="195" spans="1:14">
      <c r="A195" s="703"/>
      <c r="B195" s="809"/>
      <c r="C195" s="809"/>
      <c r="D195" s="823"/>
      <c r="E195" s="823"/>
      <c r="F195" s="824"/>
      <c r="G195" s="884" t="s">
        <v>5142</v>
      </c>
      <c r="H195" s="704"/>
      <c r="I195" s="704">
        <f>I193</f>
        <v>515.19000000000005</v>
      </c>
      <c r="J195" s="704"/>
      <c r="K195" s="725"/>
      <c r="L195" s="855">
        <f>I195</f>
        <v>515.19000000000005</v>
      </c>
      <c r="M195" s="714"/>
      <c r="N195" s="704"/>
    </row>
    <row r="196" spans="1:14">
      <c r="A196" s="703"/>
      <c r="B196" s="809"/>
      <c r="C196" s="809"/>
      <c r="D196" s="823"/>
      <c r="E196" s="823"/>
      <c r="F196" s="824"/>
      <c r="G196" s="1019" t="s">
        <v>5265</v>
      </c>
      <c r="H196" s="704">
        <f>55.61*2</f>
        <v>111.22</v>
      </c>
      <c r="I196" s="704"/>
      <c r="J196" s="704">
        <v>2</v>
      </c>
      <c r="K196" s="725"/>
      <c r="L196" s="855">
        <f t="shared" si="12"/>
        <v>222.44</v>
      </c>
      <c r="M196" s="714"/>
      <c r="N196" s="704"/>
    </row>
    <row r="197" spans="1:14">
      <c r="A197" s="703"/>
      <c r="B197" s="809"/>
      <c r="C197" s="809"/>
      <c r="D197" s="823"/>
      <c r="E197" s="823"/>
      <c r="F197" s="824"/>
      <c r="G197" s="884" t="s">
        <v>5143</v>
      </c>
      <c r="H197" s="704"/>
      <c r="I197" s="704">
        <v>518</v>
      </c>
      <c r="J197" s="704"/>
      <c r="K197" s="725"/>
      <c r="L197" s="855">
        <f>I197</f>
        <v>518</v>
      </c>
      <c r="M197" s="714"/>
      <c r="N197" s="704"/>
    </row>
    <row r="198" spans="1:14">
      <c r="A198" s="703"/>
      <c r="B198" s="809"/>
      <c r="C198" s="809"/>
      <c r="D198" s="823"/>
      <c r="E198" s="823"/>
      <c r="F198" s="824"/>
      <c r="G198" s="1019" t="s">
        <v>5293</v>
      </c>
      <c r="H198" s="704">
        <f>H194</f>
        <v>76.400000000000006</v>
      </c>
      <c r="I198" s="704"/>
      <c r="J198" s="704">
        <f>J196</f>
        <v>2</v>
      </c>
      <c r="K198" s="725"/>
      <c r="L198" s="855">
        <f>J198*H198</f>
        <v>152.80000000000001</v>
      </c>
      <c r="M198" s="714"/>
      <c r="N198" s="704"/>
    </row>
    <row r="199" spans="1:14">
      <c r="A199" s="703"/>
      <c r="B199" s="809"/>
      <c r="C199" s="809"/>
      <c r="D199" s="823"/>
      <c r="E199" s="823"/>
      <c r="F199" s="824"/>
      <c r="G199" s="884" t="s">
        <v>5123</v>
      </c>
      <c r="H199" s="704"/>
      <c r="I199" s="704">
        <f>I197</f>
        <v>518</v>
      </c>
      <c r="J199" s="704"/>
      <c r="K199" s="725"/>
      <c r="L199" s="704">
        <f>I199</f>
        <v>518</v>
      </c>
      <c r="M199" s="714"/>
      <c r="N199" s="704"/>
    </row>
    <row r="200" spans="1:14">
      <c r="A200" s="703"/>
      <c r="B200" s="809"/>
      <c r="C200" s="809"/>
      <c r="D200" s="823"/>
      <c r="E200" s="823"/>
      <c r="F200" s="824"/>
      <c r="G200" s="1019" t="s">
        <v>5293</v>
      </c>
      <c r="H200" s="704">
        <f>H196</f>
        <v>111.22</v>
      </c>
      <c r="I200" s="704"/>
      <c r="J200" s="704">
        <f>J194</f>
        <v>2</v>
      </c>
      <c r="K200" s="725"/>
      <c r="L200" s="704">
        <f>J200*H200</f>
        <v>222.44</v>
      </c>
      <c r="M200" s="714"/>
      <c r="N200" s="704"/>
    </row>
    <row r="201" spans="1:14">
      <c r="A201" s="703"/>
      <c r="B201" s="809"/>
      <c r="C201" s="809"/>
      <c r="D201" s="823"/>
      <c r="E201" s="823"/>
      <c r="F201" s="824"/>
      <c r="G201" s="1019" t="s">
        <v>5266</v>
      </c>
      <c r="H201" s="704">
        <v>129.19999999999999</v>
      </c>
      <c r="I201" s="704">
        <v>0.4</v>
      </c>
      <c r="J201" s="704"/>
      <c r="K201" s="725">
        <v>3</v>
      </c>
      <c r="L201" s="724">
        <f>K201*I201*H201</f>
        <v>155.04000000000002</v>
      </c>
      <c r="M201" s="873"/>
      <c r="N201" s="704"/>
    </row>
    <row r="202" spans="1:14">
      <c r="A202" s="703"/>
      <c r="B202" s="809"/>
      <c r="C202" s="809"/>
      <c r="D202" s="823"/>
      <c r="E202" s="823"/>
      <c r="F202" s="824"/>
      <c r="G202" s="1019"/>
      <c r="H202" s="704"/>
      <c r="I202" s="704"/>
      <c r="J202" s="704"/>
      <c r="K202" s="725"/>
      <c r="L202" s="704"/>
      <c r="M202" s="873"/>
      <c r="N202" s="704"/>
    </row>
    <row r="203" spans="1:14">
      <c r="A203" s="703"/>
      <c r="B203" s="809"/>
      <c r="C203" s="809">
        <f>C193+1</f>
        <v>2</v>
      </c>
      <c r="D203" s="2406" t="str">
        <f>EE!D117</f>
        <v>Pekerjaan cat Dulux Professional E.1000 Pagar GRC Stone dan Pembatas warna Putih</v>
      </c>
      <c r="E203" s="2406"/>
      <c r="F203" s="824"/>
      <c r="G203" s="1007" t="s">
        <v>5212</v>
      </c>
      <c r="H203" s="704"/>
      <c r="I203" s="704">
        <v>56.46</v>
      </c>
      <c r="J203" s="704"/>
      <c r="K203" s="725">
        <v>0.8</v>
      </c>
      <c r="L203" s="704">
        <f>K203*I203</f>
        <v>45.168000000000006</v>
      </c>
      <c r="M203" s="873">
        <f>L206-L208</f>
        <v>419.61600000000004</v>
      </c>
      <c r="N203" s="704"/>
    </row>
    <row r="204" spans="1:14">
      <c r="A204" s="703"/>
      <c r="B204" s="809"/>
      <c r="C204" s="809"/>
      <c r="D204" s="2407"/>
      <c r="E204" s="2407"/>
      <c r="F204" s="824"/>
      <c r="G204" s="1008" t="s">
        <v>5211</v>
      </c>
      <c r="H204" s="704"/>
      <c r="I204" s="704">
        <v>26.85</v>
      </c>
      <c r="J204" s="704"/>
      <c r="K204" s="725">
        <v>1.8</v>
      </c>
      <c r="L204" s="704">
        <f t="shared" ref="L204:L205" si="13">K204*I204</f>
        <v>48.330000000000005</v>
      </c>
      <c r="M204" s="873"/>
      <c r="N204" s="704"/>
    </row>
    <row r="205" spans="1:14">
      <c r="A205" s="703"/>
      <c r="B205" s="809"/>
      <c r="C205" s="809"/>
      <c r="D205" s="823"/>
      <c r="E205" s="823"/>
      <c r="F205" s="824"/>
      <c r="G205" s="1008" t="s">
        <v>5213</v>
      </c>
      <c r="H205" s="704"/>
      <c r="I205" s="704">
        <v>68.95</v>
      </c>
      <c r="J205" s="704"/>
      <c r="K205" s="725">
        <v>1.8</v>
      </c>
      <c r="L205" s="724">
        <f t="shared" si="13"/>
        <v>124.11000000000001</v>
      </c>
      <c r="M205" s="873"/>
      <c r="N205" s="704"/>
    </row>
    <row r="206" spans="1:14">
      <c r="A206" s="703"/>
      <c r="B206" s="809"/>
      <c r="C206" s="809"/>
      <c r="D206" s="823"/>
      <c r="E206" s="823"/>
      <c r="F206" s="824"/>
      <c r="G206" s="885"/>
      <c r="H206" s="704"/>
      <c r="I206" s="704"/>
      <c r="J206" s="704"/>
      <c r="K206" s="725"/>
      <c r="L206" s="704">
        <f>SUM(L203:L205)*2</f>
        <v>435.21600000000007</v>
      </c>
      <c r="M206" s="873"/>
      <c r="N206" s="704"/>
    </row>
    <row r="207" spans="1:14">
      <c r="A207" s="703"/>
      <c r="B207" s="809"/>
      <c r="C207" s="809"/>
      <c r="D207" s="823"/>
      <c r="E207" s="823"/>
      <c r="F207" s="824"/>
      <c r="G207" s="885"/>
      <c r="H207" s="704"/>
      <c r="I207" s="704"/>
      <c r="J207" s="704"/>
      <c r="K207" s="725"/>
      <c r="L207" s="704"/>
      <c r="M207" s="873"/>
      <c r="N207" s="704"/>
    </row>
    <row r="208" spans="1:14">
      <c r="A208" s="703"/>
      <c r="B208" s="809"/>
      <c r="C208" s="809"/>
      <c r="D208" s="823"/>
      <c r="E208" s="823"/>
      <c r="F208" s="824"/>
      <c r="G208" s="1008" t="s">
        <v>5214</v>
      </c>
      <c r="H208" s="704"/>
      <c r="I208" s="704">
        <v>0.26</v>
      </c>
      <c r="J208" s="704"/>
      <c r="K208" s="725">
        <v>60</v>
      </c>
      <c r="L208" s="704">
        <f>K208*I208</f>
        <v>15.600000000000001</v>
      </c>
      <c r="M208" s="873"/>
      <c r="N208" s="704"/>
    </row>
    <row r="209" spans="1:14" ht="29.25" customHeight="1">
      <c r="A209" s="1478" t="s">
        <v>706</v>
      </c>
      <c r="B209" s="2432" t="s">
        <v>5079</v>
      </c>
      <c r="C209" s="2433"/>
      <c r="D209" s="2433"/>
      <c r="E209" s="2433"/>
      <c r="F209" s="2434"/>
      <c r="G209" s="1473"/>
      <c r="H209" s="1474"/>
      <c r="I209" s="1474"/>
      <c r="J209" s="1474"/>
      <c r="K209" s="1475"/>
      <c r="L209" s="1474"/>
      <c r="M209" s="1476"/>
      <c r="N209" s="1474"/>
    </row>
    <row r="210" spans="1:14">
      <c r="A210" s="972"/>
      <c r="B210" s="2449" t="s">
        <v>5080</v>
      </c>
      <c r="C210" s="2450"/>
      <c r="D210" s="2450"/>
      <c r="E210" s="2450"/>
      <c r="F210" s="2451"/>
      <c r="G210" s="973"/>
      <c r="H210" s="704"/>
      <c r="I210" s="704"/>
      <c r="J210" s="704"/>
      <c r="K210" s="725"/>
      <c r="L210" s="704"/>
      <c r="M210" s="873"/>
      <c r="N210" s="704"/>
    </row>
    <row r="211" spans="1:14">
      <c r="A211" s="703"/>
      <c r="B211" s="809"/>
      <c r="C211" s="809">
        <v>1</v>
      </c>
      <c r="D211" s="2298" t="s">
        <v>5081</v>
      </c>
      <c r="E211" s="2298"/>
      <c r="F211" s="2299"/>
      <c r="G211" s="884"/>
      <c r="H211" s="704"/>
      <c r="I211" s="704"/>
      <c r="J211" s="704"/>
      <c r="K211" s="725"/>
      <c r="L211" s="704"/>
      <c r="M211" s="873">
        <v>120</v>
      </c>
      <c r="N211" s="704"/>
    </row>
    <row r="212" spans="1:14">
      <c r="A212" s="703"/>
      <c r="B212" s="809"/>
      <c r="C212" s="809">
        <f>C211+1</f>
        <v>2</v>
      </c>
      <c r="D212" s="823" t="s">
        <v>5082</v>
      </c>
      <c r="E212" s="823"/>
      <c r="F212" s="824"/>
      <c r="G212" s="884"/>
      <c r="H212" s="704"/>
      <c r="I212" s="704"/>
      <c r="J212" s="704"/>
      <c r="K212" s="725"/>
      <c r="L212" s="704"/>
      <c r="M212" s="873">
        <v>30</v>
      </c>
      <c r="N212" s="704"/>
    </row>
    <row r="213" spans="1:14">
      <c r="A213" s="703"/>
      <c r="B213" s="809"/>
      <c r="C213" s="809">
        <f t="shared" ref="C213:C226" si="14">C212+1</f>
        <v>3</v>
      </c>
      <c r="D213" s="823" t="s">
        <v>5083</v>
      </c>
      <c r="E213" s="823"/>
      <c r="F213" s="824"/>
      <c r="G213" s="884"/>
      <c r="H213" s="704"/>
      <c r="I213" s="704"/>
      <c r="J213" s="704"/>
      <c r="K213" s="725"/>
      <c r="L213" s="704"/>
      <c r="M213" s="873">
        <v>18</v>
      </c>
      <c r="N213" s="704"/>
    </row>
    <row r="214" spans="1:14">
      <c r="A214" s="703"/>
      <c r="B214" s="809"/>
      <c r="C214" s="809">
        <f t="shared" si="14"/>
        <v>4</v>
      </c>
      <c r="D214" s="823" t="s">
        <v>5084</v>
      </c>
      <c r="E214" s="823"/>
      <c r="F214" s="824"/>
      <c r="G214" s="884"/>
      <c r="H214" s="704"/>
      <c r="I214" s="704"/>
      <c r="J214" s="704"/>
      <c r="K214" s="725"/>
      <c r="L214" s="724"/>
      <c r="M214" s="873">
        <v>18</v>
      </c>
      <c r="N214" s="704"/>
    </row>
    <row r="215" spans="1:14">
      <c r="A215" s="703"/>
      <c r="B215" s="809"/>
      <c r="C215" s="809">
        <f t="shared" si="14"/>
        <v>5</v>
      </c>
      <c r="D215" s="823" t="s">
        <v>5190</v>
      </c>
      <c r="E215" s="823"/>
      <c r="F215" s="824"/>
      <c r="G215" s="892"/>
      <c r="H215" s="704"/>
      <c r="I215" s="704"/>
      <c r="J215" s="704"/>
      <c r="K215" s="725"/>
      <c r="L215" s="704"/>
      <c r="M215" s="873">
        <v>18</v>
      </c>
      <c r="N215" s="704"/>
    </row>
    <row r="216" spans="1:14">
      <c r="A216" s="703"/>
      <c r="B216" s="809"/>
      <c r="C216" s="809">
        <f t="shared" si="14"/>
        <v>6</v>
      </c>
      <c r="D216" s="823" t="s">
        <v>5085</v>
      </c>
      <c r="E216" s="823"/>
      <c r="F216" s="824"/>
      <c r="G216" s="884"/>
      <c r="H216" s="704"/>
      <c r="I216" s="714"/>
      <c r="J216" s="704"/>
      <c r="K216" s="725"/>
      <c r="L216" s="714"/>
      <c r="M216" s="873">
        <v>1</v>
      </c>
      <c r="N216" s="704"/>
    </row>
    <row r="217" spans="1:14">
      <c r="A217" s="703"/>
      <c r="B217" s="809"/>
      <c r="C217" s="809">
        <f t="shared" si="14"/>
        <v>7</v>
      </c>
      <c r="D217" s="823" t="s">
        <v>5089</v>
      </c>
      <c r="E217" s="823"/>
      <c r="F217" s="824"/>
      <c r="G217" s="884"/>
      <c r="H217" s="704"/>
      <c r="I217" s="704"/>
      <c r="J217" s="704"/>
      <c r="K217" s="725"/>
      <c r="L217" s="704"/>
      <c r="M217" s="873">
        <v>1</v>
      </c>
      <c r="N217" s="704"/>
    </row>
    <row r="218" spans="1:14">
      <c r="A218" s="703"/>
      <c r="B218" s="809"/>
      <c r="C218" s="809">
        <f t="shared" si="14"/>
        <v>8</v>
      </c>
      <c r="D218" s="823" t="s">
        <v>5110</v>
      </c>
      <c r="E218" s="823"/>
      <c r="F218" s="824"/>
      <c r="G218" s="884"/>
      <c r="H218" s="704"/>
      <c r="I218" s="704"/>
      <c r="J218" s="704"/>
      <c r="K218" s="725"/>
      <c r="L218" s="704"/>
      <c r="M218" s="873">
        <v>14</v>
      </c>
      <c r="N218" s="704"/>
    </row>
    <row r="219" spans="1:14">
      <c r="A219" s="703"/>
      <c r="B219" s="809"/>
      <c r="C219" s="809">
        <f t="shared" si="14"/>
        <v>9</v>
      </c>
      <c r="D219" s="823" t="s">
        <v>5109</v>
      </c>
      <c r="E219" s="823"/>
      <c r="F219" s="824"/>
      <c r="G219" s="884"/>
      <c r="H219" s="733"/>
      <c r="I219" s="733"/>
      <c r="J219" s="733"/>
      <c r="K219" s="740"/>
      <c r="L219" s="733"/>
      <c r="M219" s="873">
        <v>9</v>
      </c>
      <c r="N219" s="704"/>
    </row>
    <row r="220" spans="1:14">
      <c r="A220" s="703"/>
      <c r="B220" s="809"/>
      <c r="C220" s="809">
        <f t="shared" si="14"/>
        <v>10</v>
      </c>
      <c r="D220" s="823" t="s">
        <v>5112</v>
      </c>
      <c r="E220" s="823"/>
      <c r="F220" s="824"/>
      <c r="G220" s="884"/>
      <c r="H220" s="704"/>
      <c r="I220" s="704"/>
      <c r="J220" s="704"/>
      <c r="K220" s="725"/>
      <c r="L220" s="704"/>
      <c r="M220" s="873">
        <v>11</v>
      </c>
      <c r="N220" s="704"/>
    </row>
    <row r="221" spans="1:14">
      <c r="A221" s="703"/>
      <c r="B221" s="809"/>
      <c r="C221" s="809">
        <f t="shared" si="14"/>
        <v>11</v>
      </c>
      <c r="D221" s="823" t="s">
        <v>5111</v>
      </c>
      <c r="E221" s="823"/>
      <c r="F221" s="824"/>
      <c r="G221" s="884"/>
      <c r="H221" s="704"/>
      <c r="I221" s="704"/>
      <c r="J221" s="704"/>
      <c r="K221" s="725"/>
      <c r="L221" s="704"/>
      <c r="M221" s="873">
        <v>13</v>
      </c>
      <c r="N221" s="704"/>
    </row>
    <row r="222" spans="1:14">
      <c r="A222" s="703"/>
      <c r="B222" s="809"/>
      <c r="C222" s="809">
        <f t="shared" si="14"/>
        <v>12</v>
      </c>
      <c r="D222" s="823" t="s">
        <v>5113</v>
      </c>
      <c r="E222" s="823"/>
      <c r="F222" s="824"/>
      <c r="G222" s="884"/>
      <c r="H222" s="704"/>
      <c r="I222" s="704"/>
      <c r="J222" s="704"/>
      <c r="K222" s="725"/>
      <c r="L222" s="704"/>
      <c r="M222" s="873">
        <v>39</v>
      </c>
      <c r="N222" s="704"/>
    </row>
    <row r="223" spans="1:14">
      <c r="A223" s="703"/>
      <c r="B223" s="809"/>
      <c r="C223" s="809">
        <f t="shared" si="14"/>
        <v>13</v>
      </c>
      <c r="D223" s="823" t="s">
        <v>5114</v>
      </c>
      <c r="E223" s="823"/>
      <c r="F223" s="824"/>
      <c r="G223" s="884"/>
      <c r="H223" s="704"/>
      <c r="I223" s="704"/>
      <c r="J223" s="704"/>
      <c r="K223" s="725"/>
      <c r="L223" s="704"/>
      <c r="M223" s="873">
        <v>5</v>
      </c>
      <c r="N223" s="704"/>
    </row>
    <row r="224" spans="1:14">
      <c r="A224" s="703"/>
      <c r="B224" s="809"/>
      <c r="C224" s="809">
        <f t="shared" si="14"/>
        <v>14</v>
      </c>
      <c r="D224" s="823" t="s">
        <v>5115</v>
      </c>
      <c r="E224" s="823"/>
      <c r="F224" s="824"/>
      <c r="G224" s="884"/>
      <c r="H224" s="704"/>
      <c r="I224" s="704"/>
      <c r="J224" s="704"/>
      <c r="K224" s="725"/>
      <c r="L224" s="704"/>
      <c r="M224" s="873">
        <v>24</v>
      </c>
      <c r="N224" s="704"/>
    </row>
    <row r="225" spans="1:19">
      <c r="A225" s="703"/>
      <c r="B225" s="809"/>
      <c r="C225" s="809">
        <f t="shared" si="14"/>
        <v>15</v>
      </c>
      <c r="D225" s="823" t="s">
        <v>5126</v>
      </c>
      <c r="E225" s="823"/>
      <c r="F225" s="824"/>
      <c r="G225" s="888"/>
      <c r="H225" s="704"/>
      <c r="I225" s="704"/>
      <c r="J225" s="704"/>
      <c r="K225" s="725"/>
      <c r="L225" s="704"/>
      <c r="M225" s="873">
        <v>2</v>
      </c>
      <c r="N225" s="704"/>
      <c r="S225" s="78">
        <v>1</v>
      </c>
    </row>
    <row r="226" spans="1:19">
      <c r="A226" s="1498"/>
      <c r="B226" s="1495"/>
      <c r="C226" s="1495">
        <f t="shared" si="14"/>
        <v>16</v>
      </c>
      <c r="D226" s="1496" t="s">
        <v>5108</v>
      </c>
      <c r="E226" s="1496"/>
      <c r="F226" s="1497"/>
      <c r="G226" s="1509"/>
      <c r="H226" s="1505"/>
      <c r="I226" s="1505"/>
      <c r="J226" s="1505"/>
      <c r="K226" s="1510"/>
      <c r="L226" s="1505"/>
      <c r="M226" s="1504">
        <v>26</v>
      </c>
      <c r="N226" s="1505"/>
    </row>
    <row r="227" spans="1:19">
      <c r="A227" s="804"/>
      <c r="B227" s="853" t="s">
        <v>4578</v>
      </c>
      <c r="C227" s="2419" t="s">
        <v>5090</v>
      </c>
      <c r="D227" s="2419"/>
      <c r="E227" s="2419"/>
      <c r="F227" s="2420"/>
      <c r="G227" s="897"/>
      <c r="H227" s="805"/>
      <c r="I227" s="805"/>
      <c r="J227" s="805"/>
      <c r="K227" s="854"/>
      <c r="L227" s="805"/>
      <c r="M227" s="876"/>
      <c r="N227" s="805"/>
    </row>
    <row r="228" spans="1:19">
      <c r="A228" s="707"/>
      <c r="B228" s="838"/>
      <c r="C228" s="809">
        <v>1</v>
      </c>
      <c r="D228" s="2298" t="str">
        <f>EE!D138</f>
        <v>Pekerjaan Box Panel Uk 50x80cm</v>
      </c>
      <c r="E228" s="2298"/>
      <c r="F228" s="971"/>
      <c r="G228" s="888"/>
      <c r="H228" s="705"/>
      <c r="I228" s="705"/>
      <c r="J228" s="705"/>
      <c r="K228" s="739"/>
      <c r="L228" s="705"/>
      <c r="M228" s="874">
        <v>1</v>
      </c>
      <c r="N228" s="705"/>
    </row>
    <row r="229" spans="1:19">
      <c r="A229" s="707"/>
      <c r="B229" s="809"/>
      <c r="C229" s="809">
        <f>C228+1</f>
        <v>2</v>
      </c>
      <c r="D229" s="823" t="str">
        <f>EE!D139</f>
        <v>Pek. Lampu Philips BY698P G5 LED300/NW PSU WB GM (Penerangan Lapangan Futsal)</v>
      </c>
      <c r="E229" s="823"/>
      <c r="F229" s="824"/>
      <c r="G229" s="888"/>
      <c r="H229" s="705"/>
      <c r="I229" s="705"/>
      <c r="J229" s="705"/>
      <c r="K229" s="739"/>
      <c r="L229" s="705"/>
      <c r="M229" s="874">
        <v>25</v>
      </c>
      <c r="N229" s="705"/>
    </row>
    <row r="230" spans="1:19">
      <c r="A230" s="734"/>
      <c r="B230" s="809"/>
      <c r="C230" s="809">
        <f>C229+1</f>
        <v>3</v>
      </c>
      <c r="D230" s="823" t="s">
        <v>5091</v>
      </c>
      <c r="E230" s="823"/>
      <c r="F230" s="824"/>
      <c r="G230" s="895"/>
      <c r="H230" s="706"/>
      <c r="I230" s="706"/>
      <c r="J230" s="706"/>
      <c r="K230" s="741"/>
      <c r="L230" s="706"/>
      <c r="M230" s="878">
        <v>68</v>
      </c>
      <c r="N230" s="706"/>
    </row>
    <row r="231" spans="1:19">
      <c r="A231" s="703"/>
      <c r="B231" s="809"/>
      <c r="C231" s="809">
        <f t="shared" ref="C231:C235" si="15">C230+1</f>
        <v>4</v>
      </c>
      <c r="D231" s="823" t="s">
        <v>5092</v>
      </c>
      <c r="E231" s="823"/>
      <c r="F231" s="824"/>
      <c r="G231" s="884"/>
      <c r="H231" s="733"/>
      <c r="I231" s="733"/>
      <c r="J231" s="733"/>
      <c r="K231" s="740"/>
      <c r="L231" s="733"/>
      <c r="M231" s="873">
        <v>31</v>
      </c>
      <c r="N231" s="704"/>
    </row>
    <row r="232" spans="1:19">
      <c r="A232" s="703"/>
      <c r="B232" s="809"/>
      <c r="C232" s="809">
        <f t="shared" si="15"/>
        <v>5</v>
      </c>
      <c r="D232" s="823" t="s">
        <v>5095</v>
      </c>
      <c r="E232" s="823"/>
      <c r="F232" s="824"/>
      <c r="G232" s="884"/>
      <c r="H232" s="704"/>
      <c r="I232" s="704"/>
      <c r="J232" s="704"/>
      <c r="K232" s="725"/>
      <c r="L232" s="704"/>
      <c r="M232" s="873">
        <v>10</v>
      </c>
      <c r="N232" s="704"/>
    </row>
    <row r="233" spans="1:19">
      <c r="A233" s="703"/>
      <c r="B233" s="809"/>
      <c r="C233" s="809">
        <f t="shared" si="15"/>
        <v>6</v>
      </c>
      <c r="D233" s="823" t="s">
        <v>5094</v>
      </c>
      <c r="E233" s="823"/>
      <c r="F233" s="824"/>
      <c r="G233" s="884"/>
      <c r="H233" s="704"/>
      <c r="I233" s="704"/>
      <c r="J233" s="704"/>
      <c r="K233" s="725"/>
      <c r="L233" s="704"/>
      <c r="M233" s="873">
        <v>24</v>
      </c>
      <c r="N233" s="704"/>
    </row>
    <row r="234" spans="1:19">
      <c r="A234" s="703"/>
      <c r="B234" s="809"/>
      <c r="C234" s="809">
        <f t="shared" si="15"/>
        <v>7</v>
      </c>
      <c r="D234" s="823" t="s">
        <v>5093</v>
      </c>
      <c r="E234" s="823"/>
      <c r="F234" s="824"/>
      <c r="G234" s="884"/>
      <c r="H234" s="704"/>
      <c r="I234" s="704"/>
      <c r="J234" s="704"/>
      <c r="K234" s="725"/>
      <c r="L234" s="704"/>
      <c r="M234" s="873">
        <v>40</v>
      </c>
      <c r="N234" s="704"/>
    </row>
    <row r="235" spans="1:19">
      <c r="A235" s="703"/>
      <c r="B235" s="809"/>
      <c r="C235" s="809">
        <f t="shared" si="15"/>
        <v>8</v>
      </c>
      <c r="D235" s="823" t="s">
        <v>5096</v>
      </c>
      <c r="E235" s="823"/>
      <c r="F235" s="824"/>
      <c r="G235" s="884"/>
      <c r="H235" s="704"/>
      <c r="I235" s="704"/>
      <c r="J235" s="704"/>
      <c r="K235" s="725"/>
      <c r="L235" s="704"/>
      <c r="M235" s="873">
        <v>33</v>
      </c>
      <c r="N235" s="704"/>
    </row>
    <row r="236" spans="1:19">
      <c r="A236" s="703"/>
      <c r="B236" s="809"/>
      <c r="C236" s="809">
        <f>C235+1</f>
        <v>9</v>
      </c>
      <c r="D236" s="823" t="s">
        <v>5097</v>
      </c>
      <c r="E236" s="823"/>
      <c r="F236" s="824"/>
      <c r="G236" s="884"/>
      <c r="H236" s="704"/>
      <c r="I236" s="704"/>
      <c r="J236" s="704"/>
      <c r="K236" s="725"/>
      <c r="L236" s="704"/>
      <c r="M236" s="873">
        <v>14</v>
      </c>
      <c r="N236" s="704"/>
    </row>
    <row r="237" spans="1:19">
      <c r="A237" s="703"/>
      <c r="B237" s="809"/>
      <c r="C237" s="809">
        <f t="shared" ref="C237:C239" si="16">C236+1</f>
        <v>10</v>
      </c>
      <c r="D237" s="823" t="s">
        <v>5098</v>
      </c>
      <c r="E237" s="823"/>
      <c r="F237" s="824"/>
      <c r="G237" s="884"/>
      <c r="H237" s="704"/>
      <c r="I237" s="704"/>
      <c r="J237" s="704"/>
      <c r="K237" s="725"/>
      <c r="L237" s="704"/>
      <c r="M237" s="873">
        <v>2</v>
      </c>
      <c r="N237" s="704"/>
    </row>
    <row r="238" spans="1:19">
      <c r="A238" s="703"/>
      <c r="B238" s="809"/>
      <c r="C238" s="809">
        <f t="shared" si="16"/>
        <v>11</v>
      </c>
      <c r="D238" s="823" t="s">
        <v>5164</v>
      </c>
      <c r="E238" s="823"/>
      <c r="F238" s="824"/>
      <c r="G238" s="888"/>
      <c r="H238" s="704">
        <v>12</v>
      </c>
      <c r="I238" s="704">
        <v>3</v>
      </c>
      <c r="J238" s="704">
        <v>12</v>
      </c>
      <c r="K238" s="725"/>
      <c r="L238" s="704"/>
      <c r="M238" s="873">
        <f>J238*I238+H238</f>
        <v>48</v>
      </c>
      <c r="N238" s="704" t="s">
        <v>2941</v>
      </c>
    </row>
    <row r="239" spans="1:19">
      <c r="A239" s="707"/>
      <c r="B239" s="813"/>
      <c r="C239" s="813">
        <f t="shared" si="16"/>
        <v>12</v>
      </c>
      <c r="D239" s="828" t="s">
        <v>5099</v>
      </c>
      <c r="E239" s="828"/>
      <c r="F239" s="829"/>
      <c r="G239" s="1406"/>
      <c r="H239" s="705">
        <v>25</v>
      </c>
      <c r="I239" s="705"/>
      <c r="J239" s="705"/>
      <c r="K239" s="739">
        <v>8</v>
      </c>
      <c r="L239" s="705">
        <f>K239*H239</f>
        <v>200</v>
      </c>
      <c r="M239" s="874">
        <f>L244</f>
        <v>786.55</v>
      </c>
      <c r="N239" s="705" t="s">
        <v>2941</v>
      </c>
    </row>
    <row r="240" spans="1:19">
      <c r="A240" s="703"/>
      <c r="B240" s="809"/>
      <c r="C240" s="809"/>
      <c r="D240" s="823"/>
      <c r="E240" s="823"/>
      <c r="F240" s="824"/>
      <c r="G240" s="1408"/>
      <c r="H240" s="704">
        <v>45</v>
      </c>
      <c r="I240" s="704"/>
      <c r="J240" s="704"/>
      <c r="K240" s="725">
        <v>2.5</v>
      </c>
      <c r="L240" s="704">
        <f t="shared" ref="L240:L243" si="17">K240*H240</f>
        <v>112.5</v>
      </c>
      <c r="M240" s="873"/>
      <c r="N240" s="704"/>
    </row>
    <row r="241" spans="1:15">
      <c r="A241" s="703"/>
      <c r="B241" s="809"/>
      <c r="C241" s="809"/>
      <c r="D241" s="823"/>
      <c r="E241" s="823"/>
      <c r="F241" s="824"/>
      <c r="G241" s="1408"/>
      <c r="H241" s="704">
        <v>50.6</v>
      </c>
      <c r="I241" s="704"/>
      <c r="J241" s="704"/>
      <c r="K241" s="725">
        <v>4</v>
      </c>
      <c r="L241" s="704">
        <f t="shared" si="17"/>
        <v>202.4</v>
      </c>
      <c r="M241" s="873"/>
      <c r="N241" s="704"/>
    </row>
    <row r="242" spans="1:15">
      <c r="A242" s="703"/>
      <c r="B242" s="809"/>
      <c r="C242" s="809"/>
      <c r="D242" s="823"/>
      <c r="E242" s="823"/>
      <c r="F242" s="824"/>
      <c r="G242" s="1408"/>
      <c r="H242" s="704">
        <v>58.36</v>
      </c>
      <c r="I242" s="704"/>
      <c r="J242" s="704"/>
      <c r="K242" s="725">
        <v>2.5</v>
      </c>
      <c r="L242" s="704">
        <f t="shared" si="17"/>
        <v>145.9</v>
      </c>
      <c r="M242" s="873"/>
      <c r="N242" s="704"/>
    </row>
    <row r="243" spans="1:15">
      <c r="A243" s="703"/>
      <c r="B243" s="809"/>
      <c r="C243" s="809"/>
      <c r="D243" s="823"/>
      <c r="E243" s="823"/>
      <c r="F243" s="824"/>
      <c r="G243" s="1408"/>
      <c r="H243" s="704">
        <v>50.3</v>
      </c>
      <c r="I243" s="704"/>
      <c r="J243" s="704"/>
      <c r="K243" s="725">
        <v>2.5</v>
      </c>
      <c r="L243" s="724">
        <f t="shared" si="17"/>
        <v>125.75</v>
      </c>
      <c r="M243" s="873"/>
      <c r="N243" s="704"/>
    </row>
    <row r="244" spans="1:15">
      <c r="A244" s="734"/>
      <c r="B244" s="817"/>
      <c r="C244" s="817"/>
      <c r="D244" s="818"/>
      <c r="E244" s="818"/>
      <c r="F244" s="1407"/>
      <c r="G244" s="898"/>
      <c r="H244" s="706"/>
      <c r="I244" s="706"/>
      <c r="J244" s="706"/>
      <c r="K244" s="741"/>
      <c r="L244" s="706">
        <f>SUM(L239:L243)</f>
        <v>786.55</v>
      </c>
      <c r="M244" s="878"/>
      <c r="N244" s="706"/>
    </row>
    <row r="245" spans="1:15" ht="27.75" customHeight="1">
      <c r="A245" s="1478" t="s">
        <v>708</v>
      </c>
      <c r="B245" s="2429" t="s">
        <v>5187</v>
      </c>
      <c r="C245" s="2430"/>
      <c r="D245" s="2430"/>
      <c r="E245" s="2430"/>
      <c r="F245" s="2431"/>
      <c r="G245" s="1477"/>
      <c r="H245" s="1480"/>
      <c r="I245" s="1480"/>
      <c r="J245" s="1480"/>
      <c r="K245" s="1481"/>
      <c r="L245" s="1480"/>
      <c r="M245" s="1482"/>
      <c r="N245" s="1480"/>
    </row>
    <row r="246" spans="1:15">
      <c r="A246" s="703"/>
      <c r="B246" s="2426" t="s">
        <v>5185</v>
      </c>
      <c r="C246" s="2427"/>
      <c r="D246" s="2427"/>
      <c r="E246" s="2428"/>
      <c r="F246" s="962"/>
      <c r="G246" s="898"/>
      <c r="H246" s="704"/>
      <c r="I246" s="704"/>
      <c r="J246" s="704"/>
      <c r="K246" s="725"/>
      <c r="L246" s="704"/>
      <c r="M246" s="873"/>
      <c r="N246" s="704"/>
    </row>
    <row r="247" spans="1:15">
      <c r="A247" s="703"/>
      <c r="B247" s="817">
        <v>1</v>
      </c>
      <c r="C247" s="818" t="s">
        <v>5058</v>
      </c>
      <c r="D247" s="960"/>
      <c r="E247" s="961"/>
      <c r="F247" s="962"/>
      <c r="G247" s="898"/>
      <c r="H247" s="704">
        <v>0.5</v>
      </c>
      <c r="I247" s="704"/>
      <c r="J247" s="704">
        <v>0.8</v>
      </c>
      <c r="K247" s="725">
        <v>4</v>
      </c>
      <c r="L247" s="704">
        <v>3</v>
      </c>
      <c r="M247" s="873">
        <f>H247*J247*L247*K247</f>
        <v>4.8000000000000007</v>
      </c>
      <c r="N247" s="704" t="s">
        <v>2647</v>
      </c>
    </row>
    <row r="248" spans="1:15">
      <c r="A248" s="703"/>
      <c r="B248" s="817">
        <f>B247+1</f>
        <v>2</v>
      </c>
      <c r="C248" s="2349" t="s">
        <v>5186</v>
      </c>
      <c r="D248" s="2349"/>
      <c r="E248" s="2437"/>
      <c r="F248" s="843"/>
      <c r="G248" s="898"/>
      <c r="H248" s="704">
        <v>2.6</v>
      </c>
      <c r="I248" s="704"/>
      <c r="J248" s="704">
        <v>0.8</v>
      </c>
      <c r="K248" s="725">
        <v>0.08</v>
      </c>
      <c r="L248" s="704">
        <v>3</v>
      </c>
      <c r="M248" s="873">
        <f>L248*K248*J248*H248</f>
        <v>0.49920000000000003</v>
      </c>
      <c r="N248" s="704" t="s">
        <v>2646</v>
      </c>
    </row>
    <row r="249" spans="1:15">
      <c r="A249" s="703"/>
      <c r="B249" s="817"/>
      <c r="C249" s="817"/>
      <c r="D249" s="818"/>
      <c r="E249" s="818"/>
      <c r="F249" s="843"/>
      <c r="G249" s="898"/>
      <c r="H249" s="704"/>
      <c r="I249" s="704"/>
      <c r="J249" s="704"/>
      <c r="K249" s="725"/>
      <c r="L249" s="704"/>
      <c r="M249" s="873"/>
      <c r="N249" s="704"/>
    </row>
    <row r="250" spans="1:15" ht="25.5" customHeight="1">
      <c r="A250" s="1478" t="s">
        <v>711</v>
      </c>
      <c r="B250" s="2432" t="s">
        <v>4928</v>
      </c>
      <c r="C250" s="2433"/>
      <c r="D250" s="2433"/>
      <c r="E250" s="2433"/>
      <c r="F250" s="2434"/>
      <c r="G250" s="1479"/>
      <c r="H250" s="1480"/>
      <c r="I250" s="1480"/>
      <c r="J250" s="1480"/>
      <c r="K250" s="1481"/>
      <c r="L250" s="1480"/>
      <c r="M250" s="1482"/>
      <c r="N250" s="1480"/>
      <c r="O250" s="1483"/>
    </row>
    <row r="251" spans="1:15">
      <c r="A251" s="703"/>
      <c r="B251" s="830"/>
      <c r="C251" s="830">
        <v>1</v>
      </c>
      <c r="D251" s="2298" t="s">
        <v>4929</v>
      </c>
      <c r="E251" s="2298"/>
      <c r="F251" s="2298"/>
      <c r="G251" s="884"/>
      <c r="H251" s="704"/>
      <c r="I251" s="704"/>
      <c r="J251" s="704"/>
      <c r="K251" s="725"/>
      <c r="L251" s="704"/>
      <c r="M251" s="873">
        <v>1</v>
      </c>
      <c r="N251" s="704" t="s">
        <v>3513</v>
      </c>
    </row>
    <row r="252" spans="1:15">
      <c r="A252" s="1484"/>
      <c r="B252" s="1021"/>
      <c r="C252" s="1021"/>
      <c r="D252" s="1485"/>
      <c r="E252" s="1485"/>
      <c r="F252" s="1486"/>
      <c r="G252" s="1487"/>
      <c r="H252" s="1488"/>
      <c r="I252" s="1488"/>
      <c r="J252" s="1488"/>
      <c r="K252" s="1489"/>
      <c r="L252" s="1488"/>
      <c r="M252" s="1490"/>
      <c r="N252" s="1488"/>
    </row>
    <row r="253" spans="1:15">
      <c r="B253" s="817"/>
      <c r="C253" s="817"/>
      <c r="D253" s="839"/>
      <c r="E253" s="839"/>
      <c r="F253" s="839"/>
      <c r="G253" s="899"/>
    </row>
    <row r="254" spans="1:15">
      <c r="B254" s="817"/>
      <c r="C254" s="817"/>
      <c r="D254" s="839"/>
      <c r="E254" s="839"/>
      <c r="F254" s="839"/>
      <c r="G254" s="899"/>
    </row>
    <row r="255" spans="1:15">
      <c r="B255" s="817"/>
      <c r="C255" s="817"/>
      <c r="D255" s="839"/>
      <c r="E255" s="839"/>
      <c r="F255" s="839"/>
      <c r="G255" s="899"/>
    </row>
    <row r="256" spans="1:15">
      <c r="B256" s="817"/>
      <c r="C256" s="817"/>
      <c r="D256" s="839"/>
      <c r="E256" s="839"/>
      <c r="F256" s="839"/>
      <c r="G256" s="899"/>
    </row>
    <row r="257" spans="2:7">
      <c r="B257" s="817"/>
      <c r="C257" s="817"/>
      <c r="D257" s="839"/>
      <c r="E257" s="839"/>
      <c r="F257" s="839"/>
      <c r="G257" s="899"/>
    </row>
    <row r="258" spans="2:7">
      <c r="B258" s="817"/>
      <c r="C258" s="817"/>
      <c r="D258" s="839"/>
      <c r="E258" s="839"/>
      <c r="F258" s="839"/>
      <c r="G258" s="899"/>
    </row>
    <row r="259" spans="2:7">
      <c r="B259" s="817"/>
      <c r="C259" s="817"/>
      <c r="D259" s="839"/>
      <c r="E259" s="839"/>
      <c r="F259" s="839"/>
      <c r="G259" s="899"/>
    </row>
    <row r="260" spans="2:7">
      <c r="B260" s="817"/>
      <c r="C260" s="817"/>
      <c r="D260" s="839"/>
      <c r="E260" s="839"/>
      <c r="F260" s="839"/>
      <c r="G260" s="899"/>
    </row>
    <row r="261" spans="2:7">
      <c r="B261" s="817"/>
      <c r="C261" s="817"/>
      <c r="D261" s="839"/>
      <c r="E261" s="839"/>
      <c r="F261" s="839"/>
      <c r="G261" s="899"/>
    </row>
    <row r="262" spans="2:7">
      <c r="B262" s="817"/>
      <c r="C262" s="817"/>
      <c r="D262" s="839"/>
      <c r="E262" s="839"/>
      <c r="F262" s="839"/>
      <c r="G262" s="899"/>
    </row>
    <row r="263" spans="2:7">
      <c r="B263" s="817"/>
      <c r="C263" s="817"/>
      <c r="D263" s="839"/>
      <c r="E263" s="839"/>
      <c r="F263" s="839"/>
      <c r="G263" s="899"/>
    </row>
    <row r="264" spans="2:7">
      <c r="B264" s="817"/>
      <c r="C264" s="817"/>
      <c r="D264" s="839"/>
      <c r="E264" s="839"/>
      <c r="F264" s="839"/>
      <c r="G264" s="899"/>
    </row>
    <row r="265" spans="2:7">
      <c r="B265" s="817"/>
      <c r="C265" s="817"/>
      <c r="D265" s="839"/>
      <c r="E265" s="839"/>
      <c r="F265" s="839"/>
      <c r="G265" s="899"/>
    </row>
    <row r="266" spans="2:7">
      <c r="B266" s="817"/>
      <c r="C266" s="817"/>
      <c r="D266" s="839"/>
      <c r="E266" s="839"/>
      <c r="F266" s="839"/>
      <c r="G266" s="899"/>
    </row>
    <row r="267" spans="2:7">
      <c r="B267" s="817"/>
      <c r="C267" s="817"/>
      <c r="D267" s="839"/>
      <c r="E267" s="839"/>
      <c r="F267" s="839"/>
      <c r="G267" s="899"/>
    </row>
    <row r="268" spans="2:7">
      <c r="B268" s="817"/>
      <c r="C268" s="817"/>
      <c r="D268" s="839"/>
      <c r="E268" s="839"/>
      <c r="F268" s="839"/>
      <c r="G268" s="899"/>
    </row>
    <row r="269" spans="2:7">
      <c r="B269" s="817"/>
      <c r="C269" s="817"/>
      <c r="D269" s="839"/>
      <c r="E269" s="839"/>
      <c r="F269" s="839"/>
      <c r="G269" s="899"/>
    </row>
    <row r="270" spans="2:7">
      <c r="B270" s="817"/>
      <c r="C270" s="817"/>
      <c r="D270" s="839"/>
      <c r="E270" s="839"/>
      <c r="F270" s="839"/>
      <c r="G270" s="899"/>
    </row>
  </sheetData>
  <mergeCells count="121">
    <mergeCell ref="D141:F141"/>
    <mergeCell ref="D165:F165"/>
    <mergeCell ref="C167:F167"/>
    <mergeCell ref="D170:F170"/>
    <mergeCell ref="D171:F171"/>
    <mergeCell ref="B209:F209"/>
    <mergeCell ref="D211:F211"/>
    <mergeCell ref="D191:E191"/>
    <mergeCell ref="C144:F144"/>
    <mergeCell ref="C152:F152"/>
    <mergeCell ref="D153:F153"/>
    <mergeCell ref="D154:F154"/>
    <mergeCell ref="D155:F155"/>
    <mergeCell ref="C156:F156"/>
    <mergeCell ref="B166:F166"/>
    <mergeCell ref="C169:F169"/>
    <mergeCell ref="C192:F192"/>
    <mergeCell ref="D203:E204"/>
    <mergeCell ref="D193:E194"/>
    <mergeCell ref="D174:F175"/>
    <mergeCell ref="D185:F185"/>
    <mergeCell ref="D187:E187"/>
    <mergeCell ref="B246:E246"/>
    <mergeCell ref="B245:F245"/>
    <mergeCell ref="C227:F227"/>
    <mergeCell ref="B250:F250"/>
    <mergeCell ref="D251:F251"/>
    <mergeCell ref="D89:F89"/>
    <mergeCell ref="D102:F102"/>
    <mergeCell ref="D168:F168"/>
    <mergeCell ref="D108:E108"/>
    <mergeCell ref="D173:F173"/>
    <mergeCell ref="C184:F184"/>
    <mergeCell ref="C123:F123"/>
    <mergeCell ref="C248:E248"/>
    <mergeCell ref="C136:F136"/>
    <mergeCell ref="D137:F137"/>
    <mergeCell ref="D139:F139"/>
    <mergeCell ref="B128:F128"/>
    <mergeCell ref="C129:F129"/>
    <mergeCell ref="D134:F134"/>
    <mergeCell ref="C142:F142"/>
    <mergeCell ref="D143:F143"/>
    <mergeCell ref="D228:E228"/>
    <mergeCell ref="B210:F210"/>
    <mergeCell ref="D140:F140"/>
    <mergeCell ref="D64:F64"/>
    <mergeCell ref="C65:F65"/>
    <mergeCell ref="D106:F106"/>
    <mergeCell ref="D107:F107"/>
    <mergeCell ref="C115:F115"/>
    <mergeCell ref="C83:F83"/>
    <mergeCell ref="D90:F90"/>
    <mergeCell ref="C105:F105"/>
    <mergeCell ref="D109:F109"/>
    <mergeCell ref="D84:E84"/>
    <mergeCell ref="D112:E112"/>
    <mergeCell ref="D78:F78"/>
    <mergeCell ref="D135:F135"/>
    <mergeCell ref="D124:E125"/>
    <mergeCell ref="Q14:R14"/>
    <mergeCell ref="Q15:R15"/>
    <mergeCell ref="Q16:R16"/>
    <mergeCell ref="Q17:R17"/>
    <mergeCell ref="Q18:R18"/>
    <mergeCell ref="Q19:R19"/>
    <mergeCell ref="D19:F19"/>
    <mergeCell ref="C32:F32"/>
    <mergeCell ref="D33:F33"/>
    <mergeCell ref="C20:F20"/>
    <mergeCell ref="D27:F27"/>
    <mergeCell ref="C30:F30"/>
    <mergeCell ref="B31:F31"/>
    <mergeCell ref="B15:F15"/>
    <mergeCell ref="D18:F18"/>
    <mergeCell ref="D26:F26"/>
    <mergeCell ref="C28:F28"/>
    <mergeCell ref="C29:F29"/>
    <mergeCell ref="C24:E24"/>
    <mergeCell ref="B56:F56"/>
    <mergeCell ref="C58:F58"/>
    <mergeCell ref="D59:F59"/>
    <mergeCell ref="A1:N1"/>
    <mergeCell ref="A2:C2"/>
    <mergeCell ref="A3:C3"/>
    <mergeCell ref="A4:C4"/>
    <mergeCell ref="A5:C5"/>
    <mergeCell ref="A8:A10"/>
    <mergeCell ref="G8:G10"/>
    <mergeCell ref="B8:F10"/>
    <mergeCell ref="C17:F17"/>
    <mergeCell ref="D12:F12"/>
    <mergeCell ref="D13:F13"/>
    <mergeCell ref="B14:F14"/>
    <mergeCell ref="B16:F16"/>
    <mergeCell ref="H8:K8"/>
    <mergeCell ref="E4:F4"/>
    <mergeCell ref="M2:N2"/>
    <mergeCell ref="M3:N3"/>
    <mergeCell ref="M4:N4"/>
    <mergeCell ref="M5:N5"/>
    <mergeCell ref="M6:N6"/>
    <mergeCell ref="B11:F11"/>
    <mergeCell ref="M7:N7"/>
    <mergeCell ref="L8:L9"/>
    <mergeCell ref="N8:N10"/>
    <mergeCell ref="M8:M10"/>
    <mergeCell ref="D55:F55"/>
    <mergeCell ref="D41:F41"/>
    <mergeCell ref="C43:F43"/>
    <mergeCell ref="C44:F44"/>
    <mergeCell ref="D47:F47"/>
    <mergeCell ref="C45:F45"/>
    <mergeCell ref="D34:E34"/>
    <mergeCell ref="C39:F39"/>
    <mergeCell ref="D23:E23"/>
    <mergeCell ref="D38:E38"/>
    <mergeCell ref="C35:F35"/>
    <mergeCell ref="D42:F42"/>
    <mergeCell ref="C46:F46"/>
    <mergeCell ref="D51:F51"/>
  </mergeCells>
  <pageMargins left="0.7" right="0.7" top="0.75" bottom="0.75" header="0.3" footer="0.3"/>
  <pageSetup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102"/>
  <dimension ref="A1:G44"/>
  <sheetViews>
    <sheetView topLeftCell="A28" workbookViewId="0">
      <selection sqref="A1:G44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.33203125" customWidth="1"/>
    <col min="5" max="5" width="19.44140625" customWidth="1"/>
    <col min="6" max="6" width="14.33203125" customWidth="1"/>
    <col min="7" max="7" width="16.6640625" customWidth="1"/>
  </cols>
  <sheetData>
    <row r="1" spans="1:7">
      <c r="A1" s="50" t="s">
        <v>2323</v>
      </c>
    </row>
    <row r="3" spans="1:7" ht="40.200000000000003" customHeight="1">
      <c r="A3" s="6" t="s">
        <v>762</v>
      </c>
      <c r="B3" s="91" t="s">
        <v>763</v>
      </c>
      <c r="C3" s="91" t="s">
        <v>764</v>
      </c>
      <c r="D3" s="91" t="s">
        <v>765</v>
      </c>
      <c r="E3" s="91" t="s">
        <v>766</v>
      </c>
      <c r="F3" s="91" t="s">
        <v>767</v>
      </c>
      <c r="G3" s="7" t="s">
        <v>768</v>
      </c>
    </row>
    <row r="4" spans="1:7" ht="13.95" customHeight="1">
      <c r="A4" s="3" t="s">
        <v>671</v>
      </c>
      <c r="B4" s="96" t="s">
        <v>672</v>
      </c>
      <c r="C4" s="86"/>
      <c r="D4" s="86"/>
      <c r="E4" s="86"/>
      <c r="F4" s="86"/>
      <c r="G4" s="5"/>
    </row>
    <row r="5" spans="1:7" ht="13.65" customHeight="1">
      <c r="A5" s="5"/>
      <c r="B5" s="96" t="s">
        <v>1283</v>
      </c>
      <c r="C5" s="96" t="s">
        <v>674</v>
      </c>
      <c r="D5" s="96" t="s">
        <v>675</v>
      </c>
      <c r="E5" s="96" t="s">
        <v>828</v>
      </c>
      <c r="F5" s="86"/>
      <c r="G5" s="5"/>
    </row>
    <row r="6" spans="1:7" ht="13.65" customHeight="1">
      <c r="A6" s="5"/>
      <c r="B6" s="96" t="s">
        <v>1284</v>
      </c>
      <c r="C6" s="96" t="s">
        <v>681</v>
      </c>
      <c r="D6" s="96" t="s">
        <v>675</v>
      </c>
      <c r="E6" s="96" t="s">
        <v>1285</v>
      </c>
      <c r="F6" s="86"/>
      <c r="G6" s="5"/>
    </row>
    <row r="7" spans="1:7" ht="13.95" customHeight="1">
      <c r="A7" s="5"/>
      <c r="B7" s="96" t="s">
        <v>1286</v>
      </c>
      <c r="C7" s="96" t="s">
        <v>681</v>
      </c>
      <c r="D7" s="96" t="s">
        <v>675</v>
      </c>
      <c r="E7" s="96" t="s">
        <v>1287</v>
      </c>
      <c r="F7" s="86"/>
      <c r="G7" s="5"/>
    </row>
    <row r="8" spans="1:7" ht="13.65" customHeight="1">
      <c r="A8" s="5"/>
      <c r="B8" s="96" t="s">
        <v>1288</v>
      </c>
      <c r="C8" s="96" t="s">
        <v>684</v>
      </c>
      <c r="D8" s="96" t="s">
        <v>675</v>
      </c>
      <c r="E8" s="96" t="s">
        <v>907</v>
      </c>
      <c r="F8" s="86"/>
      <c r="G8" s="5"/>
    </row>
    <row r="9" spans="1:7" ht="13.65" customHeight="1">
      <c r="A9" s="5"/>
      <c r="B9" s="86"/>
      <c r="C9" s="86"/>
      <c r="D9" s="86"/>
      <c r="E9" s="96" t="s">
        <v>685</v>
      </c>
      <c r="F9" s="102"/>
      <c r="G9" s="5"/>
    </row>
    <row r="10" spans="1:7" ht="13.95" customHeight="1">
      <c r="A10" s="3" t="s">
        <v>686</v>
      </c>
      <c r="B10" s="96" t="s">
        <v>687</v>
      </c>
      <c r="C10" s="86"/>
      <c r="D10" s="86"/>
      <c r="E10" s="86"/>
      <c r="F10" s="86"/>
      <c r="G10" s="5"/>
    </row>
    <row r="11" spans="1:7" ht="13.65" customHeight="1">
      <c r="A11" s="5"/>
      <c r="B11" s="96" t="s">
        <v>1270</v>
      </c>
      <c r="C11" s="86"/>
      <c r="D11" s="101" t="s">
        <v>815</v>
      </c>
      <c r="E11" s="96" t="s">
        <v>794</v>
      </c>
      <c r="F11" s="86"/>
      <c r="G11" s="5"/>
    </row>
    <row r="12" spans="1:7" ht="13.65" customHeight="1">
      <c r="A12" s="5"/>
      <c r="B12" s="96" t="s">
        <v>1281</v>
      </c>
      <c r="C12" s="86"/>
      <c r="D12" s="96" t="s">
        <v>773</v>
      </c>
      <c r="E12" s="96" t="s">
        <v>851</v>
      </c>
      <c r="F12" s="86"/>
      <c r="G12" s="5"/>
    </row>
    <row r="13" spans="1:7" ht="13.95" customHeight="1">
      <c r="A13" s="5"/>
      <c r="B13" s="96" t="s">
        <v>1268</v>
      </c>
      <c r="C13" s="86"/>
      <c r="D13" s="96" t="s">
        <v>773</v>
      </c>
      <c r="E13" s="96" t="s">
        <v>804</v>
      </c>
      <c r="F13" s="86"/>
      <c r="G13" s="5"/>
    </row>
    <row r="14" spans="1:7" ht="23.4" customHeight="1">
      <c r="A14" s="5"/>
      <c r="B14" s="104" t="s">
        <v>1282</v>
      </c>
      <c r="C14" s="86"/>
      <c r="D14" s="104" t="s">
        <v>1277</v>
      </c>
      <c r="E14" s="104" t="s">
        <v>1278</v>
      </c>
      <c r="F14" s="86"/>
      <c r="G14" s="5"/>
    </row>
    <row r="15" spans="1:7" ht="13.65" customHeight="1">
      <c r="A15" s="5"/>
      <c r="B15" s="96" t="s">
        <v>1289</v>
      </c>
      <c r="C15" s="86"/>
      <c r="D15" s="96" t="s">
        <v>888</v>
      </c>
      <c r="E15" s="96" t="s">
        <v>802</v>
      </c>
      <c r="F15" s="86"/>
      <c r="G15" s="5"/>
    </row>
    <row r="16" spans="1:7" ht="13.65" customHeight="1">
      <c r="A16" s="5"/>
      <c r="B16" s="86"/>
      <c r="C16" s="86"/>
      <c r="D16" s="86"/>
      <c r="E16" s="96" t="s">
        <v>702</v>
      </c>
      <c r="F16" s="102"/>
      <c r="G16" s="5"/>
    </row>
    <row r="17" spans="1:7" ht="13.95" customHeight="1">
      <c r="A17" s="3" t="s">
        <v>703</v>
      </c>
      <c r="B17" s="96" t="s">
        <v>704</v>
      </c>
      <c r="C17" s="86"/>
      <c r="D17" s="86"/>
      <c r="E17" s="86"/>
      <c r="F17" s="86"/>
      <c r="G17" s="5"/>
    </row>
    <row r="18" spans="1:7" ht="13.65" customHeight="1">
      <c r="A18" s="5"/>
      <c r="B18" s="86"/>
      <c r="C18" s="86"/>
      <c r="D18" s="86"/>
      <c r="E18" s="96" t="s">
        <v>705</v>
      </c>
      <c r="F18" s="102"/>
      <c r="G18" s="5"/>
    </row>
    <row r="19" spans="1:7" ht="13.65" customHeight="1">
      <c r="A19" s="5"/>
      <c r="B19" s="86"/>
      <c r="C19" s="86"/>
      <c r="D19" s="86"/>
      <c r="E19" s="86"/>
      <c r="F19" s="86"/>
      <c r="G19" s="5"/>
    </row>
    <row r="20" spans="1:7" ht="13.95" customHeight="1">
      <c r="A20" s="3" t="s">
        <v>706</v>
      </c>
      <c r="B20" s="96" t="s">
        <v>707</v>
      </c>
      <c r="C20" s="102"/>
      <c r="D20" s="102"/>
      <c r="E20" s="102"/>
      <c r="F20" s="102"/>
      <c r="G20" s="5"/>
    </row>
    <row r="21" spans="1:7" ht="13.65" customHeight="1">
      <c r="A21" s="3" t="s">
        <v>708</v>
      </c>
      <c r="B21" s="92" t="s">
        <v>876</v>
      </c>
      <c r="C21" s="93"/>
      <c r="D21" s="93"/>
      <c r="E21" s="96" t="s">
        <v>710</v>
      </c>
      <c r="F21" s="102"/>
      <c r="G21" s="5"/>
    </row>
    <row r="22" spans="1:7" ht="13.95" customHeight="1">
      <c r="A22" s="3" t="s">
        <v>711</v>
      </c>
      <c r="B22" s="96" t="s">
        <v>712</v>
      </c>
      <c r="C22" s="102"/>
      <c r="D22" s="102"/>
      <c r="E22" s="102"/>
      <c r="F22" s="102"/>
      <c r="G22" s="5"/>
    </row>
    <row r="23" spans="1:7" ht="13.95" customHeight="1">
      <c r="A23" s="3"/>
      <c r="B23" s="26"/>
      <c r="C23" s="26"/>
      <c r="D23" s="26"/>
      <c r="E23" s="26"/>
      <c r="F23" s="26"/>
      <c r="G23" s="5"/>
    </row>
    <row r="24" spans="1:7" ht="13.95" customHeight="1">
      <c r="A24" s="55" t="s">
        <v>2324</v>
      </c>
      <c r="B24" s="26"/>
      <c r="C24" s="26"/>
      <c r="D24" s="26"/>
      <c r="E24" s="26"/>
      <c r="F24" s="26"/>
      <c r="G24" s="5"/>
    </row>
    <row r="25" spans="1:7" ht="13.95" customHeight="1">
      <c r="A25" s="50"/>
      <c r="B25" s="26"/>
      <c r="C25" s="26"/>
      <c r="D25" s="26"/>
      <c r="E25" s="26"/>
      <c r="F25" s="26"/>
      <c r="G25" s="5"/>
    </row>
    <row r="26" spans="1:7" ht="40.200000000000003" customHeight="1">
      <c r="A26" s="6" t="s">
        <v>762</v>
      </c>
      <c r="B26" s="6" t="s">
        <v>763</v>
      </c>
      <c r="C26" s="91" t="s">
        <v>764</v>
      </c>
      <c r="D26" s="91" t="s">
        <v>765</v>
      </c>
      <c r="E26" s="91" t="s">
        <v>766</v>
      </c>
      <c r="F26" s="108" t="s">
        <v>767</v>
      </c>
      <c r="G26" s="7"/>
    </row>
    <row r="27" spans="1:7" ht="13.65" customHeight="1">
      <c r="A27" s="3" t="s">
        <v>671</v>
      </c>
      <c r="B27" s="3" t="s">
        <v>672</v>
      </c>
      <c r="C27" s="86"/>
      <c r="D27" s="86"/>
      <c r="E27" s="86"/>
      <c r="F27" s="89"/>
      <c r="G27" s="5"/>
    </row>
    <row r="28" spans="1:7" ht="13.95" customHeight="1">
      <c r="A28" s="5"/>
      <c r="B28" s="3" t="s">
        <v>673</v>
      </c>
      <c r="C28" s="96" t="s">
        <v>674</v>
      </c>
      <c r="D28" s="96" t="s">
        <v>675</v>
      </c>
      <c r="E28" s="96" t="s">
        <v>867</v>
      </c>
      <c r="F28" s="89"/>
      <c r="G28" s="5"/>
    </row>
    <row r="29" spans="1:7" ht="13.65" customHeight="1">
      <c r="A29" s="5"/>
      <c r="B29" s="3" t="s">
        <v>871</v>
      </c>
      <c r="C29" s="96" t="s">
        <v>681</v>
      </c>
      <c r="D29" s="96" t="s">
        <v>675</v>
      </c>
      <c r="E29" s="96" t="s">
        <v>1290</v>
      </c>
      <c r="F29" s="89"/>
      <c r="G29" s="5"/>
    </row>
    <row r="30" spans="1:7" ht="13.65" customHeight="1">
      <c r="A30" s="5"/>
      <c r="B30" s="3" t="s">
        <v>751</v>
      </c>
      <c r="C30" s="96" t="s">
        <v>681</v>
      </c>
      <c r="D30" s="96" t="s">
        <v>675</v>
      </c>
      <c r="E30" s="96" t="s">
        <v>800</v>
      </c>
      <c r="F30" s="89"/>
      <c r="G30" s="5"/>
    </row>
    <row r="31" spans="1:7" ht="13.95" customHeight="1">
      <c r="A31" s="5"/>
      <c r="B31" s="3" t="s">
        <v>683</v>
      </c>
      <c r="C31" s="96" t="s">
        <v>684</v>
      </c>
      <c r="D31" s="96" t="s">
        <v>675</v>
      </c>
      <c r="E31" s="96" t="s">
        <v>679</v>
      </c>
      <c r="F31" s="89"/>
      <c r="G31" s="5"/>
    </row>
    <row r="32" spans="1:7" ht="13.65" customHeight="1">
      <c r="A32" s="5"/>
      <c r="B32" s="5"/>
      <c r="C32" s="86"/>
      <c r="D32" s="86"/>
      <c r="E32" s="96" t="s">
        <v>685</v>
      </c>
      <c r="F32" s="103"/>
      <c r="G32" s="5"/>
    </row>
    <row r="33" spans="1:7" ht="13.65" customHeight="1">
      <c r="A33" s="3" t="s">
        <v>686</v>
      </c>
      <c r="B33" s="3" t="s">
        <v>687</v>
      </c>
      <c r="C33" s="86"/>
      <c r="D33" s="86"/>
      <c r="E33" s="86"/>
      <c r="F33" s="89"/>
      <c r="G33" s="5"/>
    </row>
    <row r="34" spans="1:7" ht="13.95" customHeight="1">
      <c r="A34" s="5"/>
      <c r="B34" s="3" t="s">
        <v>1266</v>
      </c>
      <c r="C34" s="86"/>
      <c r="D34" s="101" t="s">
        <v>815</v>
      </c>
      <c r="E34" s="96" t="s">
        <v>737</v>
      </c>
      <c r="F34" s="89"/>
      <c r="G34" s="5"/>
    </row>
    <row r="35" spans="1:7" ht="13.65" customHeight="1">
      <c r="A35" s="5"/>
      <c r="B35" s="3" t="s">
        <v>1291</v>
      </c>
      <c r="C35" s="87"/>
      <c r="D35" s="96" t="s">
        <v>773</v>
      </c>
      <c r="E35" s="96" t="s">
        <v>952</v>
      </c>
      <c r="F35" s="89"/>
      <c r="G35" s="5"/>
    </row>
    <row r="36" spans="1:7" ht="13.65" customHeight="1">
      <c r="A36" s="5"/>
      <c r="B36" s="3" t="s">
        <v>1292</v>
      </c>
      <c r="C36" s="87"/>
      <c r="D36" s="96" t="s">
        <v>773</v>
      </c>
      <c r="E36" s="96" t="s">
        <v>1293</v>
      </c>
      <c r="F36" s="89"/>
      <c r="G36" s="5"/>
    </row>
    <row r="37" spans="1:7" ht="13.95" customHeight="1">
      <c r="A37" s="5"/>
      <c r="B37" s="5"/>
      <c r="C37" s="5"/>
      <c r="D37" s="86"/>
      <c r="E37" s="96" t="s">
        <v>702</v>
      </c>
      <c r="F37" s="103"/>
      <c r="G37" s="5"/>
    </row>
    <row r="38" spans="1:7" ht="13.65" customHeight="1">
      <c r="A38" s="3" t="s">
        <v>703</v>
      </c>
      <c r="B38" s="3" t="s">
        <v>704</v>
      </c>
      <c r="C38" s="5"/>
      <c r="D38" s="86"/>
      <c r="E38" s="86"/>
      <c r="F38" s="89"/>
      <c r="G38" s="5"/>
    </row>
    <row r="39" spans="1:7" ht="13.95" customHeight="1">
      <c r="A39" s="5"/>
      <c r="B39" s="5"/>
      <c r="C39" s="5"/>
      <c r="D39" s="86"/>
      <c r="E39" s="86"/>
      <c r="F39" s="89"/>
      <c r="G39" s="5"/>
    </row>
    <row r="40" spans="1:7" ht="13.65" customHeight="1">
      <c r="A40" s="5"/>
      <c r="B40" s="5"/>
      <c r="C40" s="5"/>
      <c r="D40" s="5"/>
      <c r="E40" s="96" t="s">
        <v>705</v>
      </c>
      <c r="F40" s="103"/>
      <c r="G40" s="5"/>
    </row>
    <row r="41" spans="1:7" ht="13.65" customHeight="1">
      <c r="A41" s="5"/>
      <c r="B41" s="5"/>
      <c r="C41" s="5"/>
      <c r="D41" s="5"/>
      <c r="E41" s="88"/>
      <c r="F41" s="89"/>
      <c r="G41" s="5"/>
    </row>
    <row r="42" spans="1:7" ht="13.95" customHeight="1">
      <c r="A42" s="3" t="s">
        <v>706</v>
      </c>
      <c r="B42" s="2474" t="s">
        <v>707</v>
      </c>
      <c r="C42" s="2474"/>
      <c r="D42" s="2474"/>
      <c r="E42" s="2474"/>
      <c r="F42" s="2474"/>
      <c r="G42" s="5"/>
    </row>
    <row r="43" spans="1:7" ht="13.65" customHeight="1">
      <c r="A43" s="3" t="s">
        <v>708</v>
      </c>
      <c r="B43" s="2471" t="s">
        <v>876</v>
      </c>
      <c r="C43" s="2471"/>
      <c r="D43" s="2471"/>
      <c r="E43" s="2472"/>
      <c r="F43" s="2472"/>
      <c r="G43" s="5"/>
    </row>
    <row r="44" spans="1:7" ht="13.95" customHeight="1">
      <c r="A44" s="3" t="s">
        <v>711</v>
      </c>
      <c r="B44" s="2473" t="s">
        <v>712</v>
      </c>
      <c r="C44" s="2473"/>
      <c r="D44" s="2473"/>
      <c r="E44" s="2473"/>
      <c r="F44" s="2473"/>
      <c r="G44" s="5"/>
    </row>
  </sheetData>
  <mergeCells count="4">
    <mergeCell ref="B44:F44"/>
    <mergeCell ref="B42:F42"/>
    <mergeCell ref="B43:D43"/>
    <mergeCell ref="E43:F43"/>
  </mergeCells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103"/>
  <dimension ref="A1:G43"/>
  <sheetViews>
    <sheetView workbookViewId="0">
      <selection activeCell="G43" sqref="A1:G43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.33203125" customWidth="1"/>
    <col min="5" max="5" width="14.6640625" customWidth="1"/>
    <col min="6" max="6" width="14.33203125" customWidth="1"/>
    <col min="7" max="7" width="16.6640625" customWidth="1"/>
  </cols>
  <sheetData>
    <row r="1" spans="1:7">
      <c r="A1" s="55" t="s">
        <v>2325</v>
      </c>
    </row>
    <row r="3" spans="1:7" ht="40.200000000000003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3.95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65" customHeight="1">
      <c r="A5" s="5"/>
      <c r="B5" s="3" t="s">
        <v>673</v>
      </c>
      <c r="C5" s="3" t="s">
        <v>674</v>
      </c>
      <c r="D5" s="12" t="s">
        <v>675</v>
      </c>
      <c r="E5" s="3" t="s">
        <v>1294</v>
      </c>
      <c r="F5" s="5"/>
      <c r="G5" s="5"/>
    </row>
    <row r="6" spans="1:7" ht="13.65" customHeight="1">
      <c r="A6" s="5"/>
      <c r="B6" s="3" t="s">
        <v>871</v>
      </c>
      <c r="C6" s="3" t="s">
        <v>681</v>
      </c>
      <c r="D6" s="12" t="s">
        <v>675</v>
      </c>
      <c r="E6" s="3" t="s">
        <v>1295</v>
      </c>
      <c r="F6" s="5"/>
      <c r="G6" s="5"/>
    </row>
    <row r="7" spans="1:7" ht="13.95" customHeight="1">
      <c r="A7" s="5"/>
      <c r="B7" s="3" t="s">
        <v>751</v>
      </c>
      <c r="C7" s="3" t="s">
        <v>681</v>
      </c>
      <c r="D7" s="12" t="s">
        <v>675</v>
      </c>
      <c r="E7" s="3" t="s">
        <v>1296</v>
      </c>
      <c r="F7" s="5"/>
      <c r="G7" s="5"/>
    </row>
    <row r="8" spans="1:7" ht="13.65" customHeight="1">
      <c r="A8" s="5"/>
      <c r="B8" s="3" t="s">
        <v>683</v>
      </c>
      <c r="C8" s="3" t="s">
        <v>684</v>
      </c>
      <c r="D8" s="12" t="s">
        <v>675</v>
      </c>
      <c r="E8" s="3" t="s">
        <v>1280</v>
      </c>
      <c r="F8" s="5"/>
      <c r="G8" s="5"/>
    </row>
    <row r="9" spans="1:7" ht="13.65" customHeight="1">
      <c r="A9" s="5"/>
      <c r="B9" s="5"/>
      <c r="C9" s="5"/>
      <c r="D9" s="5"/>
      <c r="E9" s="2474" t="s">
        <v>685</v>
      </c>
      <c r="F9" s="2474"/>
      <c r="G9" s="5"/>
    </row>
    <row r="10" spans="1:7" ht="13.95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65" customHeight="1">
      <c r="A11" s="5"/>
      <c r="B11" s="3" t="s">
        <v>1266</v>
      </c>
      <c r="C11" s="5"/>
      <c r="D11" s="14" t="s">
        <v>815</v>
      </c>
      <c r="E11" s="3" t="s">
        <v>800</v>
      </c>
      <c r="F11" s="5"/>
      <c r="G11" s="5"/>
    </row>
    <row r="12" spans="1:7" ht="13.65" customHeight="1">
      <c r="A12" s="5"/>
      <c r="B12" s="3" t="s">
        <v>1291</v>
      </c>
      <c r="C12" s="5"/>
      <c r="D12" s="12" t="s">
        <v>773</v>
      </c>
      <c r="E12" s="3" t="s">
        <v>952</v>
      </c>
      <c r="F12" s="5"/>
      <c r="G12" s="5"/>
    </row>
    <row r="13" spans="1:7" ht="13.95" customHeight="1">
      <c r="A13" s="5"/>
      <c r="B13" s="3" t="s">
        <v>1292</v>
      </c>
      <c r="C13" s="5"/>
      <c r="D13" s="12" t="s">
        <v>773</v>
      </c>
      <c r="E13" s="3" t="s">
        <v>1293</v>
      </c>
      <c r="F13" s="5"/>
      <c r="G13" s="5"/>
    </row>
    <row r="14" spans="1:7" ht="13.65" customHeight="1">
      <c r="A14" s="5"/>
      <c r="B14" s="5"/>
      <c r="C14" s="5"/>
      <c r="D14" s="5"/>
      <c r="E14" s="2474" t="s">
        <v>702</v>
      </c>
      <c r="F14" s="2474"/>
      <c r="G14" s="5"/>
    </row>
    <row r="15" spans="1:7" ht="13.95" customHeight="1">
      <c r="A15" s="3" t="s">
        <v>703</v>
      </c>
      <c r="B15" s="3" t="s">
        <v>704</v>
      </c>
      <c r="C15" s="5"/>
      <c r="D15" s="5"/>
      <c r="E15" s="5"/>
      <c r="F15" s="5"/>
      <c r="G15" s="5"/>
    </row>
    <row r="16" spans="1:7" ht="13.65" customHeight="1">
      <c r="A16" s="5"/>
      <c r="B16" s="5"/>
      <c r="C16" s="5"/>
      <c r="D16" s="5"/>
      <c r="E16" s="5"/>
      <c r="F16" s="5"/>
      <c r="G16" s="5"/>
    </row>
    <row r="17" spans="1:7" ht="13.65" customHeight="1">
      <c r="A17" s="5"/>
      <c r="B17" s="5"/>
      <c r="C17" s="5"/>
      <c r="D17" s="5"/>
      <c r="E17" s="2474" t="s">
        <v>705</v>
      </c>
      <c r="F17" s="2474"/>
      <c r="G17" s="5"/>
    </row>
    <row r="18" spans="1:7" ht="13.95" customHeight="1">
      <c r="A18" s="5"/>
      <c r="B18" s="5"/>
      <c r="C18" s="5"/>
      <c r="D18" s="5"/>
      <c r="E18" s="5"/>
      <c r="F18" s="5"/>
      <c r="G18" s="5"/>
    </row>
    <row r="19" spans="1:7" ht="13.65" customHeight="1">
      <c r="A19" s="3" t="s">
        <v>706</v>
      </c>
      <c r="B19" s="2474" t="s">
        <v>707</v>
      </c>
      <c r="C19" s="2474"/>
      <c r="D19" s="2474"/>
      <c r="E19" s="2474"/>
      <c r="F19" s="2474"/>
      <c r="G19" s="5"/>
    </row>
    <row r="20" spans="1:7" ht="13.65" customHeight="1">
      <c r="A20" s="3" t="s">
        <v>708</v>
      </c>
      <c r="B20" s="2471" t="s">
        <v>876</v>
      </c>
      <c r="C20" s="2471"/>
      <c r="D20" s="2471"/>
      <c r="E20" s="2472" t="s">
        <v>710</v>
      </c>
      <c r="F20" s="2472"/>
      <c r="G20" s="5"/>
    </row>
    <row r="21" spans="1:7" ht="13.95" customHeight="1">
      <c r="A21" s="3" t="s">
        <v>711</v>
      </c>
      <c r="B21" s="2473" t="s">
        <v>712</v>
      </c>
      <c r="C21" s="2473"/>
      <c r="D21" s="2473"/>
      <c r="E21" s="2473"/>
      <c r="F21" s="2473"/>
      <c r="G21" s="5"/>
    </row>
    <row r="22" spans="1:7" ht="13.95" customHeight="1">
      <c r="A22" s="3"/>
      <c r="B22" s="26"/>
      <c r="C22" s="26"/>
      <c r="D22" s="26"/>
      <c r="E22" s="26"/>
      <c r="F22" s="26"/>
      <c r="G22" s="5"/>
    </row>
    <row r="23" spans="1:7" ht="13.95" customHeight="1">
      <c r="A23" s="50" t="s">
        <v>2326</v>
      </c>
      <c r="B23" s="26"/>
      <c r="C23" s="26"/>
      <c r="D23" s="26"/>
      <c r="E23" s="26"/>
      <c r="F23" s="26"/>
      <c r="G23" s="5"/>
    </row>
    <row r="24" spans="1:7" ht="13.95" customHeight="1">
      <c r="A24" s="3"/>
      <c r="B24" s="26"/>
      <c r="C24" s="26"/>
      <c r="D24" s="26"/>
      <c r="E24" s="26"/>
      <c r="F24" s="26"/>
      <c r="G24" s="5"/>
    </row>
    <row r="25" spans="1:7" ht="40.200000000000003" customHeight="1">
      <c r="A25" s="6" t="s">
        <v>762</v>
      </c>
      <c r="B25" s="6" t="s">
        <v>763</v>
      </c>
      <c r="C25" s="6" t="s">
        <v>764</v>
      </c>
      <c r="D25" s="6" t="s">
        <v>765</v>
      </c>
      <c r="E25" s="6" t="s">
        <v>766</v>
      </c>
      <c r="F25" s="7" t="s">
        <v>767</v>
      </c>
      <c r="G25" s="7" t="s">
        <v>768</v>
      </c>
    </row>
    <row r="26" spans="1:7" ht="13.65" customHeight="1">
      <c r="A26" s="3" t="s">
        <v>671</v>
      </c>
      <c r="B26" s="3" t="s">
        <v>672</v>
      </c>
      <c r="C26" s="5"/>
      <c r="D26" s="5"/>
      <c r="E26" s="5"/>
      <c r="F26" s="5"/>
      <c r="G26" s="5"/>
    </row>
    <row r="27" spans="1:7" ht="13.95" customHeight="1">
      <c r="A27" s="5"/>
      <c r="B27" s="3" t="s">
        <v>673</v>
      </c>
      <c r="C27" s="3" t="s">
        <v>674</v>
      </c>
      <c r="D27" s="12" t="s">
        <v>675</v>
      </c>
      <c r="E27" s="3" t="s">
        <v>1294</v>
      </c>
      <c r="F27" s="5"/>
      <c r="G27" s="5"/>
    </row>
    <row r="28" spans="1:7" ht="13.65" customHeight="1">
      <c r="A28" s="5"/>
      <c r="B28" s="3" t="s">
        <v>871</v>
      </c>
      <c r="C28" s="3" t="s">
        <v>681</v>
      </c>
      <c r="D28" s="12" t="s">
        <v>675</v>
      </c>
      <c r="E28" s="3" t="s">
        <v>1295</v>
      </c>
      <c r="F28" s="5"/>
      <c r="G28" s="5"/>
    </row>
    <row r="29" spans="1:7" ht="13.65" customHeight="1">
      <c r="A29" s="5"/>
      <c r="B29" s="3" t="s">
        <v>751</v>
      </c>
      <c r="C29" s="3" t="s">
        <v>681</v>
      </c>
      <c r="D29" s="12" t="s">
        <v>675</v>
      </c>
      <c r="E29" s="3" t="s">
        <v>1296</v>
      </c>
      <c r="F29" s="5"/>
      <c r="G29" s="5"/>
    </row>
    <row r="30" spans="1:7" ht="13.95" customHeight="1">
      <c r="A30" s="5"/>
      <c r="B30" s="3" t="s">
        <v>683</v>
      </c>
      <c r="C30" s="3" t="s">
        <v>684</v>
      </c>
      <c r="D30" s="12" t="s">
        <v>675</v>
      </c>
      <c r="E30" s="3" t="s">
        <v>1280</v>
      </c>
      <c r="F30" s="5"/>
      <c r="G30" s="5"/>
    </row>
    <row r="31" spans="1:7" ht="13.65" customHeight="1">
      <c r="A31" s="5"/>
      <c r="B31" s="5"/>
      <c r="C31" s="5"/>
      <c r="D31" s="5"/>
      <c r="E31" s="2474" t="s">
        <v>685</v>
      </c>
      <c r="F31" s="2474"/>
      <c r="G31" s="5"/>
    </row>
    <row r="32" spans="1:7" ht="13.65" customHeight="1">
      <c r="A32" s="3" t="s">
        <v>686</v>
      </c>
      <c r="B32" s="3" t="s">
        <v>687</v>
      </c>
      <c r="C32" s="5"/>
      <c r="D32" s="5"/>
      <c r="E32" s="5"/>
      <c r="F32" s="5"/>
      <c r="G32" s="5"/>
    </row>
    <row r="33" spans="1:7" ht="13.95" customHeight="1">
      <c r="A33" s="5"/>
      <c r="B33" s="3" t="s">
        <v>1266</v>
      </c>
      <c r="C33" s="5"/>
      <c r="D33" s="14" t="s">
        <v>815</v>
      </c>
      <c r="E33" s="3" t="s">
        <v>737</v>
      </c>
      <c r="F33" s="5"/>
      <c r="G33" s="5"/>
    </row>
    <row r="34" spans="1:7" ht="23.4" customHeight="1">
      <c r="A34" s="5"/>
      <c r="B34" s="2" t="s">
        <v>1297</v>
      </c>
      <c r="C34" s="5"/>
      <c r="D34" s="12" t="s">
        <v>773</v>
      </c>
      <c r="E34" s="3" t="s">
        <v>952</v>
      </c>
      <c r="F34" s="5"/>
      <c r="G34" s="5"/>
    </row>
    <row r="35" spans="1:7" ht="13.65" customHeight="1">
      <c r="A35" s="5"/>
      <c r="B35" s="3" t="s">
        <v>1292</v>
      </c>
      <c r="C35" s="5"/>
      <c r="D35" s="12" t="s">
        <v>773</v>
      </c>
      <c r="E35" s="3" t="s">
        <v>879</v>
      </c>
      <c r="F35" s="5"/>
      <c r="G35" s="5"/>
    </row>
    <row r="36" spans="1:7" ht="13.65" customHeight="1">
      <c r="A36" s="5"/>
      <c r="B36" s="5"/>
      <c r="C36" s="5"/>
      <c r="D36" s="5"/>
      <c r="E36" s="2474" t="s">
        <v>702</v>
      </c>
      <c r="F36" s="2474"/>
      <c r="G36" s="5"/>
    </row>
    <row r="37" spans="1:7" ht="13.95" customHeight="1">
      <c r="A37" s="3" t="s">
        <v>703</v>
      </c>
      <c r="B37" s="3" t="s">
        <v>704</v>
      </c>
      <c r="C37" s="5"/>
      <c r="D37" s="5"/>
      <c r="E37" s="5"/>
      <c r="F37" s="5"/>
      <c r="G37" s="5"/>
    </row>
    <row r="38" spans="1:7" ht="13.65" customHeight="1">
      <c r="A38" s="5"/>
      <c r="B38" s="5"/>
      <c r="C38" s="5"/>
      <c r="D38" s="5"/>
      <c r="E38" s="5"/>
      <c r="F38" s="5"/>
      <c r="G38" s="5"/>
    </row>
    <row r="39" spans="1:7" ht="13.65" customHeight="1">
      <c r="A39" s="5"/>
      <c r="B39" s="5"/>
      <c r="C39" s="5"/>
      <c r="D39" s="5"/>
      <c r="E39" s="2474" t="s">
        <v>705</v>
      </c>
      <c r="F39" s="2474"/>
      <c r="G39" s="5"/>
    </row>
    <row r="40" spans="1:7" ht="13.95" customHeight="1">
      <c r="A40" s="5"/>
      <c r="B40" s="5"/>
      <c r="C40" s="5"/>
      <c r="D40" s="5"/>
      <c r="E40" s="5"/>
      <c r="F40" s="5"/>
      <c r="G40" s="5"/>
    </row>
    <row r="41" spans="1:7" ht="13.65" customHeight="1">
      <c r="A41" s="3" t="s">
        <v>706</v>
      </c>
      <c r="B41" s="2474" t="s">
        <v>707</v>
      </c>
      <c r="C41" s="2474"/>
      <c r="D41" s="2474"/>
      <c r="E41" s="2474"/>
      <c r="F41" s="2474"/>
      <c r="G41" s="5"/>
    </row>
    <row r="42" spans="1:7" ht="13.65" customHeight="1">
      <c r="A42" s="3" t="s">
        <v>708</v>
      </c>
      <c r="B42" s="2471" t="s">
        <v>876</v>
      </c>
      <c r="C42" s="2471"/>
      <c r="D42" s="2471"/>
      <c r="E42" s="2472" t="s">
        <v>710</v>
      </c>
      <c r="F42" s="2472"/>
      <c r="G42" s="5"/>
    </row>
    <row r="43" spans="1:7" ht="13.95" customHeight="1">
      <c r="A43" s="3" t="s">
        <v>711</v>
      </c>
      <c r="B43" s="2473" t="s">
        <v>712</v>
      </c>
      <c r="C43" s="2473"/>
      <c r="D43" s="2473"/>
      <c r="E43" s="2473"/>
      <c r="F43" s="2473"/>
      <c r="G43" s="5"/>
    </row>
  </sheetData>
  <mergeCells count="14">
    <mergeCell ref="E9:F9"/>
    <mergeCell ref="E14:F14"/>
    <mergeCell ref="E17:F17"/>
    <mergeCell ref="B19:F19"/>
    <mergeCell ref="B20:D20"/>
    <mergeCell ref="E20:F20"/>
    <mergeCell ref="B42:D42"/>
    <mergeCell ref="E42:F42"/>
    <mergeCell ref="B43:F43"/>
    <mergeCell ref="B21:F21"/>
    <mergeCell ref="E31:F31"/>
    <mergeCell ref="E36:F36"/>
    <mergeCell ref="E39:F39"/>
    <mergeCell ref="B41:F41"/>
  </mergeCells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104"/>
  <dimension ref="A1:G43"/>
  <sheetViews>
    <sheetView workbookViewId="0">
      <selection activeCell="G43" sqref="A1:G43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.33203125" customWidth="1"/>
    <col min="5" max="5" width="22.109375" customWidth="1"/>
    <col min="6" max="6" width="14.33203125" customWidth="1"/>
    <col min="7" max="7" width="16.6640625" customWidth="1"/>
  </cols>
  <sheetData>
    <row r="1" spans="1:7">
      <c r="A1" s="51" t="s">
        <v>2327</v>
      </c>
    </row>
    <row r="3" spans="1:7" ht="40.200000000000003" customHeight="1">
      <c r="A3" s="6" t="s">
        <v>762</v>
      </c>
      <c r="B3" s="91" t="s">
        <v>763</v>
      </c>
      <c r="C3" s="91" t="s">
        <v>764</v>
      </c>
      <c r="D3" s="91" t="s">
        <v>765</v>
      </c>
      <c r="E3" s="91" t="s">
        <v>766</v>
      </c>
      <c r="F3" s="91" t="s">
        <v>767</v>
      </c>
      <c r="G3" s="7" t="s">
        <v>768</v>
      </c>
    </row>
    <row r="4" spans="1:7" ht="13.95" customHeight="1">
      <c r="A4" s="3" t="s">
        <v>671</v>
      </c>
      <c r="B4" s="96" t="s">
        <v>672</v>
      </c>
      <c r="C4" s="86"/>
      <c r="D4" s="86"/>
      <c r="E4" s="86"/>
      <c r="F4" s="86"/>
      <c r="G4" s="5"/>
    </row>
    <row r="5" spans="1:7" ht="13.65" customHeight="1">
      <c r="A5" s="5"/>
      <c r="B5" s="96" t="s">
        <v>1283</v>
      </c>
      <c r="C5" s="96" t="s">
        <v>674</v>
      </c>
      <c r="D5" s="96" t="s">
        <v>675</v>
      </c>
      <c r="E5" s="96" t="s">
        <v>741</v>
      </c>
      <c r="F5" s="86"/>
      <c r="G5" s="5"/>
    </row>
    <row r="6" spans="1:7" ht="13.65" customHeight="1">
      <c r="A6" s="5"/>
      <c r="B6" s="96" t="s">
        <v>1284</v>
      </c>
      <c r="C6" s="96" t="s">
        <v>681</v>
      </c>
      <c r="D6" s="96" t="s">
        <v>675</v>
      </c>
      <c r="E6" s="96" t="s">
        <v>741</v>
      </c>
      <c r="F6" s="86"/>
      <c r="G6" s="5"/>
    </row>
    <row r="7" spans="1:7" ht="13.95" customHeight="1">
      <c r="A7" s="5"/>
      <c r="B7" s="96" t="s">
        <v>1286</v>
      </c>
      <c r="C7" s="96" t="s">
        <v>681</v>
      </c>
      <c r="D7" s="96" t="s">
        <v>675</v>
      </c>
      <c r="E7" s="96" t="s">
        <v>779</v>
      </c>
      <c r="F7" s="86"/>
      <c r="G7" s="5"/>
    </row>
    <row r="8" spans="1:7" ht="13.65" customHeight="1">
      <c r="A8" s="5"/>
      <c r="B8" s="96" t="s">
        <v>1288</v>
      </c>
      <c r="C8" s="96" t="s">
        <v>684</v>
      </c>
      <c r="D8" s="96" t="s">
        <v>675</v>
      </c>
      <c r="E8" s="96" t="s">
        <v>693</v>
      </c>
      <c r="F8" s="86"/>
      <c r="G8" s="5"/>
    </row>
    <row r="9" spans="1:7" ht="13.65" customHeight="1">
      <c r="A9" s="5"/>
      <c r="B9" s="86"/>
      <c r="C9" s="86"/>
      <c r="D9" s="86"/>
      <c r="E9" s="96" t="s">
        <v>685</v>
      </c>
      <c r="F9" s="102"/>
      <c r="G9" s="5"/>
    </row>
    <row r="10" spans="1:7" ht="13.95" customHeight="1">
      <c r="A10" s="3" t="s">
        <v>686</v>
      </c>
      <c r="B10" s="96" t="s">
        <v>687</v>
      </c>
      <c r="C10" s="86"/>
      <c r="D10" s="86"/>
      <c r="E10" s="86"/>
      <c r="F10" s="86"/>
      <c r="G10" s="5"/>
    </row>
    <row r="11" spans="1:7" ht="13.65" customHeight="1">
      <c r="A11" s="5"/>
      <c r="B11" s="96" t="s">
        <v>1298</v>
      </c>
      <c r="C11" s="86"/>
      <c r="D11" s="101" t="s">
        <v>815</v>
      </c>
      <c r="E11" s="96" t="s">
        <v>1034</v>
      </c>
      <c r="F11" s="86"/>
      <c r="G11" s="5"/>
    </row>
    <row r="12" spans="1:7" ht="13.65" customHeight="1">
      <c r="A12" s="5"/>
      <c r="B12" s="96" t="s">
        <v>1299</v>
      </c>
      <c r="C12" s="86"/>
      <c r="D12" s="101" t="s">
        <v>815</v>
      </c>
      <c r="E12" s="96" t="s">
        <v>772</v>
      </c>
      <c r="F12" s="86"/>
      <c r="G12" s="5"/>
    </row>
    <row r="13" spans="1:7" ht="13.95" customHeight="1">
      <c r="A13" s="5"/>
      <c r="B13" s="96" t="s">
        <v>1300</v>
      </c>
      <c r="C13" s="86"/>
      <c r="D13" s="96" t="s">
        <v>773</v>
      </c>
      <c r="E13" s="96" t="s">
        <v>746</v>
      </c>
      <c r="F13" s="86"/>
      <c r="G13" s="5"/>
    </row>
    <row r="14" spans="1:7" ht="13.65" customHeight="1">
      <c r="A14" s="5"/>
      <c r="B14" s="86"/>
      <c r="C14" s="86"/>
      <c r="D14" s="86"/>
      <c r="E14" s="96" t="s">
        <v>702</v>
      </c>
      <c r="F14" s="102"/>
      <c r="G14" s="5"/>
    </row>
    <row r="15" spans="1:7" ht="13.95" customHeight="1">
      <c r="A15" s="3" t="s">
        <v>703</v>
      </c>
      <c r="B15" s="96" t="s">
        <v>704</v>
      </c>
      <c r="C15" s="86"/>
      <c r="D15" s="86"/>
      <c r="E15" s="86"/>
      <c r="F15" s="86"/>
      <c r="G15" s="5"/>
    </row>
    <row r="16" spans="1:7" ht="13.65" customHeight="1">
      <c r="A16" s="5"/>
      <c r="B16" s="86"/>
      <c r="C16" s="86"/>
      <c r="D16" s="86"/>
      <c r="E16" s="86"/>
      <c r="F16" s="86"/>
      <c r="G16" s="5"/>
    </row>
    <row r="17" spans="1:7" ht="13.65" customHeight="1">
      <c r="A17" s="5"/>
      <c r="B17" s="86"/>
      <c r="C17" s="86"/>
      <c r="D17" s="86"/>
      <c r="E17" s="96" t="s">
        <v>705</v>
      </c>
      <c r="F17" s="102"/>
      <c r="G17" s="5"/>
    </row>
    <row r="18" spans="1:7" ht="13.95" customHeight="1">
      <c r="A18" s="5"/>
      <c r="B18" s="86"/>
      <c r="C18" s="86"/>
      <c r="D18" s="86"/>
      <c r="E18" s="86"/>
      <c r="F18" s="86"/>
      <c r="G18" s="5"/>
    </row>
    <row r="19" spans="1:7" ht="13.65" customHeight="1">
      <c r="A19" s="3" t="s">
        <v>706</v>
      </c>
      <c r="B19" s="96" t="s">
        <v>707</v>
      </c>
      <c r="C19" s="102"/>
      <c r="D19" s="102"/>
      <c r="E19" s="102"/>
      <c r="F19" s="102"/>
      <c r="G19" s="5"/>
    </row>
    <row r="20" spans="1:7" ht="13.65" customHeight="1">
      <c r="A20" s="3" t="s">
        <v>708</v>
      </c>
      <c r="B20" s="92" t="s">
        <v>876</v>
      </c>
      <c r="C20" s="93"/>
      <c r="D20" s="93"/>
      <c r="E20" s="96" t="s">
        <v>710</v>
      </c>
      <c r="F20" s="102"/>
      <c r="G20" s="5"/>
    </row>
    <row r="21" spans="1:7" ht="13.95" customHeight="1">
      <c r="A21" s="3" t="s">
        <v>711</v>
      </c>
      <c r="B21" s="96" t="s">
        <v>712</v>
      </c>
      <c r="C21" s="102"/>
      <c r="D21" s="102"/>
      <c r="E21" s="102"/>
      <c r="F21" s="102"/>
      <c r="G21" s="5"/>
    </row>
    <row r="22" spans="1:7" ht="13.95" customHeight="1">
      <c r="A22" s="3"/>
      <c r="B22" s="26"/>
      <c r="C22" s="26"/>
      <c r="D22" s="26"/>
      <c r="E22" s="26"/>
      <c r="F22" s="26"/>
      <c r="G22" s="5"/>
    </row>
    <row r="23" spans="1:7" ht="13.95" customHeight="1">
      <c r="A23" s="50" t="s">
        <v>2328</v>
      </c>
      <c r="B23" s="26"/>
      <c r="C23" s="26"/>
      <c r="D23" s="26"/>
      <c r="E23" s="26"/>
      <c r="F23" s="26"/>
      <c r="G23" s="5"/>
    </row>
    <row r="24" spans="1:7" ht="13.95" customHeight="1">
      <c r="A24" s="3"/>
      <c r="B24" s="26"/>
      <c r="C24" s="26"/>
      <c r="D24" s="26"/>
      <c r="E24" s="26"/>
      <c r="F24" s="26"/>
      <c r="G24" s="5"/>
    </row>
    <row r="25" spans="1:7" ht="40.200000000000003" customHeight="1">
      <c r="A25" s="6" t="s">
        <v>1003</v>
      </c>
      <c r="B25" s="6" t="s">
        <v>1004</v>
      </c>
      <c r="C25" s="91" t="s">
        <v>1005</v>
      </c>
      <c r="D25" s="91" t="s">
        <v>1006</v>
      </c>
      <c r="E25" s="91" t="s">
        <v>1007</v>
      </c>
      <c r="F25" s="91" t="s">
        <v>767</v>
      </c>
      <c r="G25" s="7" t="s">
        <v>768</v>
      </c>
    </row>
    <row r="26" spans="1:7" ht="13.65" customHeight="1">
      <c r="A26" s="3" t="s">
        <v>671</v>
      </c>
      <c r="B26" s="3" t="s">
        <v>672</v>
      </c>
      <c r="C26" s="86"/>
      <c r="D26" s="86"/>
      <c r="E26" s="86"/>
      <c r="F26" s="89"/>
      <c r="G26" s="87"/>
    </row>
    <row r="27" spans="1:7" ht="13.95" customHeight="1">
      <c r="A27" s="5"/>
      <c r="B27" s="3" t="s">
        <v>673</v>
      </c>
      <c r="C27" s="96" t="s">
        <v>674</v>
      </c>
      <c r="D27" s="96" t="s">
        <v>675</v>
      </c>
      <c r="E27" s="96" t="s">
        <v>741</v>
      </c>
      <c r="F27" s="89"/>
      <c r="G27" s="87"/>
    </row>
    <row r="28" spans="1:7" ht="13.65" customHeight="1">
      <c r="A28" s="5"/>
      <c r="B28" s="3" t="s">
        <v>871</v>
      </c>
      <c r="C28" s="96" t="s">
        <v>681</v>
      </c>
      <c r="D28" s="96" t="s">
        <v>675</v>
      </c>
      <c r="E28" s="96" t="s">
        <v>741</v>
      </c>
      <c r="F28" s="89"/>
      <c r="G28" s="87"/>
    </row>
    <row r="29" spans="1:7" ht="13.95" customHeight="1">
      <c r="A29" s="5"/>
      <c r="B29" s="3" t="s">
        <v>751</v>
      </c>
      <c r="C29" s="96" t="s">
        <v>681</v>
      </c>
      <c r="D29" s="96" t="s">
        <v>675</v>
      </c>
      <c r="E29" s="96" t="s">
        <v>779</v>
      </c>
      <c r="F29" s="89"/>
      <c r="G29" s="87"/>
    </row>
    <row r="30" spans="1:7" ht="13.65" customHeight="1">
      <c r="A30" s="5"/>
      <c r="B30" s="3" t="s">
        <v>683</v>
      </c>
      <c r="C30" s="96" t="s">
        <v>684</v>
      </c>
      <c r="D30" s="96" t="s">
        <v>675</v>
      </c>
      <c r="E30" s="96" t="s">
        <v>693</v>
      </c>
      <c r="F30" s="89"/>
      <c r="G30" s="87"/>
    </row>
    <row r="31" spans="1:7" ht="13.65" customHeight="1">
      <c r="A31" s="5"/>
      <c r="B31" s="5"/>
      <c r="C31" s="86"/>
      <c r="D31" s="86"/>
      <c r="E31" s="96" t="s">
        <v>685</v>
      </c>
      <c r="F31" s="103"/>
      <c r="G31" s="87"/>
    </row>
    <row r="32" spans="1:7" ht="13.95" customHeight="1">
      <c r="A32" s="3" t="s">
        <v>686</v>
      </c>
      <c r="B32" s="3" t="s">
        <v>687</v>
      </c>
      <c r="C32" s="86"/>
      <c r="D32" s="86"/>
      <c r="E32" s="86"/>
      <c r="F32" s="89"/>
      <c r="G32" s="87"/>
    </row>
    <row r="33" spans="1:7" ht="13.65" customHeight="1">
      <c r="A33" s="5"/>
      <c r="B33" s="3" t="s">
        <v>1301</v>
      </c>
      <c r="C33" s="86"/>
      <c r="D33" s="101" t="s">
        <v>815</v>
      </c>
      <c r="E33" s="96" t="s">
        <v>1034</v>
      </c>
      <c r="F33" s="89"/>
      <c r="G33" s="87"/>
    </row>
    <row r="34" spans="1:7" ht="13.65" customHeight="1">
      <c r="A34" s="5"/>
      <c r="B34" s="3" t="s">
        <v>1302</v>
      </c>
      <c r="C34" s="86"/>
      <c r="D34" s="101" t="s">
        <v>815</v>
      </c>
      <c r="E34" s="96" t="s">
        <v>1303</v>
      </c>
      <c r="F34" s="89"/>
      <c r="G34" s="87"/>
    </row>
    <row r="35" spans="1:7" ht="13.95" customHeight="1">
      <c r="A35" s="5"/>
      <c r="B35" s="3" t="s">
        <v>1304</v>
      </c>
      <c r="C35" s="86"/>
      <c r="D35" s="96" t="s">
        <v>773</v>
      </c>
      <c r="E35" s="96" t="s">
        <v>746</v>
      </c>
      <c r="F35" s="89"/>
      <c r="G35" s="87"/>
    </row>
    <row r="36" spans="1:7" ht="13.65" customHeight="1">
      <c r="A36" s="5"/>
      <c r="B36" s="5"/>
      <c r="C36" s="86"/>
      <c r="D36" s="86"/>
      <c r="E36" s="96" t="s">
        <v>702</v>
      </c>
      <c r="F36" s="103"/>
      <c r="G36" s="87"/>
    </row>
    <row r="37" spans="1:7" ht="13.65" customHeight="1">
      <c r="A37" s="3" t="s">
        <v>703</v>
      </c>
      <c r="B37" s="3" t="s">
        <v>704</v>
      </c>
      <c r="C37" s="87"/>
      <c r="D37" s="86"/>
      <c r="E37" s="86"/>
      <c r="F37" s="89"/>
      <c r="G37" s="87"/>
    </row>
    <row r="38" spans="1:7" ht="13.95" customHeight="1">
      <c r="A38" s="5"/>
      <c r="B38" s="5"/>
      <c r="C38" s="87"/>
      <c r="D38" s="87"/>
      <c r="E38" s="86"/>
      <c r="F38" s="89"/>
      <c r="G38" s="87"/>
    </row>
    <row r="39" spans="1:7" ht="13.65" customHeight="1">
      <c r="A39" s="5"/>
      <c r="B39" s="5"/>
      <c r="C39" s="87"/>
      <c r="D39" s="87"/>
      <c r="E39" s="96" t="s">
        <v>705</v>
      </c>
      <c r="F39" s="103"/>
      <c r="G39" s="87"/>
    </row>
    <row r="40" spans="1:7" ht="13.95" customHeight="1">
      <c r="A40" s="5"/>
      <c r="B40" s="5"/>
      <c r="C40" s="87"/>
      <c r="D40" s="87"/>
      <c r="E40" s="86"/>
      <c r="F40" s="89"/>
      <c r="G40" s="87"/>
    </row>
    <row r="41" spans="1:7" ht="13.65" customHeight="1">
      <c r="A41" s="3" t="s">
        <v>706</v>
      </c>
      <c r="B41" s="96" t="s">
        <v>707</v>
      </c>
      <c r="C41" s="102"/>
      <c r="D41" s="102"/>
      <c r="E41" s="102"/>
      <c r="F41" s="103"/>
      <c r="G41" s="87"/>
    </row>
    <row r="42" spans="1:7" ht="13.65" customHeight="1">
      <c r="A42" s="3" t="s">
        <v>708</v>
      </c>
      <c r="B42" s="92" t="s">
        <v>876</v>
      </c>
      <c r="C42" s="93"/>
      <c r="D42" s="94"/>
      <c r="E42" s="96" t="s">
        <v>710</v>
      </c>
      <c r="F42" s="103"/>
      <c r="G42" s="87"/>
    </row>
    <row r="43" spans="1:7" ht="13.95" customHeight="1">
      <c r="A43" s="3" t="s">
        <v>711</v>
      </c>
      <c r="B43" s="96" t="s">
        <v>712</v>
      </c>
      <c r="C43" s="102"/>
      <c r="D43" s="102"/>
      <c r="E43" s="102"/>
      <c r="F43" s="103"/>
      <c r="G43" s="87"/>
    </row>
  </sheetData>
  <pageMargins left="0.7" right="0.7" top="0.75" bottom="0.75" header="0.3" footer="0.3"/>
  <pageSetup paperSize="9" orientation="portrait" horizontalDpi="4294967293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105"/>
  <dimension ref="A1:G41"/>
  <sheetViews>
    <sheetView workbookViewId="0">
      <selection activeCell="G41" sqref="A1:G41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.33203125" customWidth="1"/>
    <col min="5" max="5" width="14.6640625" customWidth="1"/>
    <col min="6" max="6" width="14.33203125" customWidth="1"/>
    <col min="7" max="7" width="16.6640625" customWidth="1"/>
  </cols>
  <sheetData>
    <row r="1" spans="1:7">
      <c r="A1" s="50" t="s">
        <v>2329</v>
      </c>
    </row>
    <row r="3" spans="1:7" ht="40.200000000000003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3.95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65" customHeight="1">
      <c r="A5" s="5"/>
      <c r="B5" s="3" t="s">
        <v>673</v>
      </c>
      <c r="C5" s="3" t="s">
        <v>674</v>
      </c>
      <c r="D5" s="12" t="s">
        <v>675</v>
      </c>
      <c r="E5" s="3" t="s">
        <v>889</v>
      </c>
      <c r="F5" s="5"/>
      <c r="G5" s="5"/>
    </row>
    <row r="6" spans="1:7" ht="13.65" customHeight="1">
      <c r="A6" s="5"/>
      <c r="B6" s="3" t="s">
        <v>871</v>
      </c>
      <c r="C6" s="3" t="s">
        <v>681</v>
      </c>
      <c r="D6" s="12" t="s">
        <v>675</v>
      </c>
      <c r="E6" s="3" t="s">
        <v>889</v>
      </c>
      <c r="F6" s="5"/>
      <c r="G6" s="5"/>
    </row>
    <row r="7" spans="1:7" ht="13.95" customHeight="1">
      <c r="A7" s="5"/>
      <c r="B7" s="3" t="s">
        <v>751</v>
      </c>
      <c r="C7" s="3" t="s">
        <v>681</v>
      </c>
      <c r="D7" s="12" t="s">
        <v>675</v>
      </c>
      <c r="E7" s="3" t="s">
        <v>788</v>
      </c>
      <c r="F7" s="5"/>
      <c r="G7" s="5"/>
    </row>
    <row r="8" spans="1:7" ht="13.65" customHeight="1">
      <c r="A8" s="5"/>
      <c r="B8" s="3" t="s">
        <v>683</v>
      </c>
      <c r="C8" s="3" t="s">
        <v>684</v>
      </c>
      <c r="D8" s="12" t="s">
        <v>675</v>
      </c>
      <c r="E8" s="3" t="s">
        <v>891</v>
      </c>
      <c r="F8" s="5"/>
      <c r="G8" s="5"/>
    </row>
    <row r="9" spans="1:7" ht="13.65" customHeight="1">
      <c r="A9" s="5"/>
      <c r="B9" s="5"/>
      <c r="C9" s="5"/>
      <c r="D9" s="5"/>
      <c r="E9" s="2474" t="s">
        <v>685</v>
      </c>
      <c r="F9" s="2474"/>
      <c r="G9" s="5"/>
    </row>
    <row r="10" spans="1:7" ht="13.95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65" customHeight="1">
      <c r="A11" s="5"/>
      <c r="B11" s="3" t="s">
        <v>1305</v>
      </c>
      <c r="C11" s="5"/>
      <c r="D11" s="14" t="s">
        <v>815</v>
      </c>
      <c r="E11" s="3" t="s">
        <v>1034</v>
      </c>
      <c r="F11" s="5"/>
      <c r="G11" s="5"/>
    </row>
    <row r="12" spans="1:7" ht="13.65" customHeight="1">
      <c r="A12" s="5"/>
      <c r="B12" s="3" t="s">
        <v>1306</v>
      </c>
      <c r="C12" s="5"/>
      <c r="D12" s="14" t="s">
        <v>815</v>
      </c>
      <c r="E12" s="3" t="s">
        <v>1303</v>
      </c>
      <c r="F12" s="5"/>
      <c r="G12" s="5"/>
    </row>
    <row r="13" spans="1:7" ht="13.95" customHeight="1">
      <c r="A13" s="5"/>
      <c r="B13" s="5"/>
      <c r="C13" s="5"/>
      <c r="D13" s="5"/>
      <c r="E13" s="2474" t="s">
        <v>702</v>
      </c>
      <c r="F13" s="2474"/>
      <c r="G13" s="5"/>
    </row>
    <row r="14" spans="1:7" ht="13.65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3.95" customHeight="1">
      <c r="A15" s="5"/>
      <c r="B15" s="5"/>
      <c r="C15" s="5"/>
      <c r="D15" s="5"/>
      <c r="E15" s="5"/>
      <c r="F15" s="5"/>
      <c r="G15" s="5"/>
    </row>
    <row r="16" spans="1:7" ht="13.65" customHeight="1">
      <c r="A16" s="5"/>
      <c r="B16" s="5"/>
      <c r="C16" s="5"/>
      <c r="D16" s="5"/>
      <c r="E16" s="2474" t="s">
        <v>705</v>
      </c>
      <c r="F16" s="2474"/>
      <c r="G16" s="5"/>
    </row>
    <row r="17" spans="1:7" ht="13.65" customHeight="1">
      <c r="A17" s="5"/>
      <c r="B17" s="5"/>
      <c r="C17" s="5"/>
      <c r="D17" s="5"/>
      <c r="E17" s="5"/>
      <c r="F17" s="5"/>
      <c r="G17" s="5"/>
    </row>
    <row r="18" spans="1:7" ht="13.95" customHeight="1">
      <c r="A18" s="3" t="s">
        <v>706</v>
      </c>
      <c r="B18" s="2474" t="s">
        <v>707</v>
      </c>
      <c r="C18" s="2474"/>
      <c r="D18" s="2474"/>
      <c r="E18" s="2474"/>
      <c r="F18" s="2474"/>
      <c r="G18" s="5"/>
    </row>
    <row r="19" spans="1:7" ht="13.65" customHeight="1">
      <c r="A19" s="3" t="s">
        <v>708</v>
      </c>
      <c r="B19" s="2471" t="s">
        <v>876</v>
      </c>
      <c r="C19" s="2471"/>
      <c r="D19" s="2471"/>
      <c r="E19" s="2472" t="s">
        <v>710</v>
      </c>
      <c r="F19" s="2472"/>
      <c r="G19" s="5"/>
    </row>
    <row r="20" spans="1:7" ht="13.95" customHeight="1">
      <c r="A20" s="3" t="s">
        <v>711</v>
      </c>
      <c r="B20" s="2473" t="s">
        <v>712</v>
      </c>
      <c r="C20" s="2473"/>
      <c r="D20" s="2473"/>
      <c r="E20" s="2473"/>
      <c r="F20" s="2473"/>
      <c r="G20" s="5"/>
    </row>
    <row r="21" spans="1:7" ht="13.95" customHeight="1">
      <c r="A21" s="3"/>
      <c r="B21" s="26"/>
      <c r="C21" s="26"/>
      <c r="D21" s="26"/>
      <c r="E21" s="26"/>
      <c r="F21" s="26"/>
      <c r="G21" s="5"/>
    </row>
    <row r="22" spans="1:7" ht="13.95" customHeight="1">
      <c r="A22" s="50" t="s">
        <v>2330</v>
      </c>
      <c r="B22" s="26"/>
      <c r="C22" s="26"/>
      <c r="D22" s="26"/>
      <c r="E22" s="26"/>
      <c r="F22" s="26"/>
      <c r="G22" s="5"/>
    </row>
    <row r="23" spans="1:7" ht="13.95" customHeight="1">
      <c r="A23" s="3"/>
      <c r="B23" s="26"/>
      <c r="C23" s="26"/>
      <c r="D23" s="26"/>
      <c r="E23" s="26"/>
      <c r="F23" s="26"/>
      <c r="G23" s="5"/>
    </row>
    <row r="24" spans="1:7" ht="40.200000000000003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3.65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65" customHeight="1">
      <c r="A26" s="5"/>
      <c r="B26" s="3" t="s">
        <v>673</v>
      </c>
      <c r="C26" s="3" t="s">
        <v>674</v>
      </c>
      <c r="D26" s="12" t="s">
        <v>675</v>
      </c>
      <c r="E26" s="3" t="s">
        <v>740</v>
      </c>
      <c r="F26" s="5"/>
      <c r="G26" s="5"/>
    </row>
    <row r="27" spans="1:7" ht="13.95" customHeight="1">
      <c r="A27" s="5"/>
      <c r="B27" s="3" t="s">
        <v>871</v>
      </c>
      <c r="C27" s="3" t="s">
        <v>681</v>
      </c>
      <c r="D27" s="12" t="s">
        <v>675</v>
      </c>
      <c r="E27" s="3" t="s">
        <v>718</v>
      </c>
      <c r="F27" s="5"/>
      <c r="G27" s="5"/>
    </row>
    <row r="28" spans="1:7" ht="13.65" customHeight="1">
      <c r="A28" s="5"/>
      <c r="B28" s="3" t="s">
        <v>751</v>
      </c>
      <c r="C28" s="3" t="s">
        <v>681</v>
      </c>
      <c r="D28" s="12" t="s">
        <v>675</v>
      </c>
      <c r="E28" s="3" t="s">
        <v>851</v>
      </c>
      <c r="F28" s="5"/>
      <c r="G28" s="5"/>
    </row>
    <row r="29" spans="1:7" ht="13.65" customHeight="1">
      <c r="A29" s="5"/>
      <c r="B29" s="3" t="s">
        <v>683</v>
      </c>
      <c r="C29" s="3" t="s">
        <v>684</v>
      </c>
      <c r="D29" s="12" t="s">
        <v>675</v>
      </c>
      <c r="E29" s="3" t="s">
        <v>817</v>
      </c>
      <c r="F29" s="5"/>
      <c r="G29" s="5"/>
    </row>
    <row r="30" spans="1:7" ht="13.95" customHeight="1">
      <c r="A30" s="5"/>
      <c r="B30" s="5"/>
      <c r="C30" s="5"/>
      <c r="D30" s="5"/>
      <c r="E30" s="2474" t="s">
        <v>685</v>
      </c>
      <c r="F30" s="2474"/>
      <c r="G30" s="5"/>
    </row>
    <row r="31" spans="1:7" ht="13.65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95" customHeight="1">
      <c r="A32" s="5"/>
      <c r="B32" s="3" t="s">
        <v>1301</v>
      </c>
      <c r="C32" s="5"/>
      <c r="D32" s="14" t="s">
        <v>815</v>
      </c>
      <c r="E32" s="3" t="s">
        <v>1307</v>
      </c>
      <c r="F32" s="5"/>
      <c r="G32" s="5"/>
    </row>
    <row r="33" spans="1:7" ht="13.65" customHeight="1">
      <c r="A33" s="5"/>
      <c r="B33" s="3" t="s">
        <v>1308</v>
      </c>
      <c r="C33" s="5"/>
      <c r="D33" s="12" t="s">
        <v>773</v>
      </c>
      <c r="E33" s="3" t="s">
        <v>679</v>
      </c>
      <c r="F33" s="5"/>
      <c r="G33" s="5"/>
    </row>
    <row r="34" spans="1:7" ht="13.65" customHeight="1">
      <c r="A34" s="5"/>
      <c r="B34" s="5"/>
      <c r="C34" s="5"/>
      <c r="D34" s="5"/>
      <c r="E34" s="2474" t="s">
        <v>702</v>
      </c>
      <c r="F34" s="2474"/>
      <c r="G34" s="5"/>
    </row>
    <row r="35" spans="1:7" ht="13.95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3.65" customHeight="1">
      <c r="A36" s="5"/>
      <c r="B36" s="5"/>
      <c r="C36" s="5"/>
      <c r="D36" s="5"/>
      <c r="E36" s="5"/>
      <c r="F36" s="5"/>
      <c r="G36" s="5"/>
    </row>
    <row r="37" spans="1:7" ht="13.65" customHeight="1">
      <c r="A37" s="5"/>
      <c r="B37" s="5"/>
      <c r="C37" s="5"/>
      <c r="D37" s="5"/>
      <c r="E37" s="2474" t="s">
        <v>705</v>
      </c>
      <c r="F37" s="2474"/>
      <c r="G37" s="5"/>
    </row>
    <row r="38" spans="1:7" ht="13.95" customHeight="1">
      <c r="A38" s="5"/>
      <c r="B38" s="5"/>
      <c r="C38" s="5"/>
      <c r="D38" s="5"/>
      <c r="E38" s="5"/>
      <c r="F38" s="5"/>
      <c r="G38" s="5"/>
    </row>
    <row r="39" spans="1:7" ht="13.65" customHeight="1">
      <c r="A39" s="3" t="s">
        <v>706</v>
      </c>
      <c r="B39" s="2474" t="s">
        <v>707</v>
      </c>
      <c r="C39" s="2474"/>
      <c r="D39" s="2474"/>
      <c r="E39" s="2474"/>
      <c r="F39" s="2474"/>
      <c r="G39" s="5"/>
    </row>
    <row r="40" spans="1:7" ht="13.65" customHeight="1">
      <c r="A40" s="3" t="s">
        <v>708</v>
      </c>
      <c r="B40" s="2471" t="s">
        <v>876</v>
      </c>
      <c r="C40" s="2471"/>
      <c r="D40" s="2471"/>
      <c r="E40" s="2472" t="s">
        <v>710</v>
      </c>
      <c r="F40" s="2472"/>
      <c r="G40" s="5"/>
    </row>
    <row r="41" spans="1:7" ht="13.95" customHeight="1">
      <c r="A41" s="3" t="s">
        <v>711</v>
      </c>
      <c r="B41" s="2473" t="s">
        <v>712</v>
      </c>
      <c r="C41" s="2473"/>
      <c r="D41" s="2473"/>
      <c r="E41" s="2473"/>
      <c r="F41" s="2473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106"/>
  <dimension ref="A1:G41"/>
  <sheetViews>
    <sheetView workbookViewId="0">
      <selection activeCell="G41" sqref="A1:G41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.33203125" customWidth="1"/>
    <col min="5" max="5" width="14.6640625" customWidth="1"/>
    <col min="6" max="6" width="14.33203125" customWidth="1"/>
    <col min="7" max="7" width="16.6640625" customWidth="1"/>
  </cols>
  <sheetData>
    <row r="1" spans="1:7">
      <c r="A1" s="50" t="s">
        <v>2331</v>
      </c>
    </row>
    <row r="3" spans="1:7" ht="40.200000000000003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3.95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65" customHeight="1">
      <c r="A5" s="5"/>
      <c r="B5" s="3" t="s">
        <v>673</v>
      </c>
      <c r="C5" s="3" t="s">
        <v>674</v>
      </c>
      <c r="D5" s="12" t="s">
        <v>675</v>
      </c>
      <c r="E5" s="3" t="s">
        <v>679</v>
      </c>
      <c r="F5" s="5"/>
      <c r="G5" s="5"/>
    </row>
    <row r="6" spans="1:7" ht="13.65" customHeight="1">
      <c r="A6" s="5"/>
      <c r="B6" s="3" t="s">
        <v>871</v>
      </c>
      <c r="C6" s="3" t="s">
        <v>681</v>
      </c>
      <c r="D6" s="12" t="s">
        <v>675</v>
      </c>
      <c r="E6" s="3" t="s">
        <v>718</v>
      </c>
      <c r="F6" s="5"/>
      <c r="G6" s="5"/>
    </row>
    <row r="7" spans="1:7" ht="13.95" customHeight="1">
      <c r="A7" s="5"/>
      <c r="B7" s="3" t="s">
        <v>751</v>
      </c>
      <c r="C7" s="3" t="s">
        <v>681</v>
      </c>
      <c r="D7" s="12" t="s">
        <v>675</v>
      </c>
      <c r="E7" s="3" t="s">
        <v>851</v>
      </c>
      <c r="F7" s="5"/>
      <c r="G7" s="5"/>
    </row>
    <row r="8" spans="1:7" ht="13.65" customHeight="1">
      <c r="A8" s="5"/>
      <c r="B8" s="3" t="s">
        <v>683</v>
      </c>
      <c r="C8" s="3" t="s">
        <v>684</v>
      </c>
      <c r="D8" s="12" t="s">
        <v>675</v>
      </c>
      <c r="E8" s="3" t="s">
        <v>779</v>
      </c>
      <c r="F8" s="5"/>
      <c r="G8" s="5"/>
    </row>
    <row r="9" spans="1:7" ht="13.65" customHeight="1">
      <c r="A9" s="5"/>
      <c r="B9" s="5"/>
      <c r="C9" s="5"/>
      <c r="D9" s="5"/>
      <c r="E9" s="2474" t="s">
        <v>685</v>
      </c>
      <c r="F9" s="2474"/>
      <c r="G9" s="5"/>
    </row>
    <row r="10" spans="1:7" ht="13.95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23.4" customHeight="1">
      <c r="A11" s="5"/>
      <c r="B11" s="2" t="s">
        <v>1309</v>
      </c>
      <c r="C11" s="5"/>
      <c r="D11" s="21" t="s">
        <v>1310</v>
      </c>
      <c r="E11" s="2" t="s">
        <v>1311</v>
      </c>
      <c r="F11" s="5"/>
      <c r="G11" s="5"/>
    </row>
    <row r="12" spans="1:7" ht="12" customHeight="1">
      <c r="A12" s="5"/>
      <c r="B12" s="3" t="s">
        <v>1312</v>
      </c>
      <c r="C12" s="5"/>
      <c r="D12" s="12" t="s">
        <v>773</v>
      </c>
      <c r="E12" s="3" t="s">
        <v>746</v>
      </c>
      <c r="F12" s="5"/>
      <c r="G12" s="5"/>
    </row>
    <row r="13" spans="1:7" ht="13.65" customHeight="1">
      <c r="A13" s="5"/>
      <c r="B13" s="5"/>
      <c r="C13" s="5"/>
      <c r="D13" s="5"/>
      <c r="E13" s="2474" t="s">
        <v>702</v>
      </c>
      <c r="F13" s="2474"/>
      <c r="G13" s="5"/>
    </row>
    <row r="14" spans="1:7" ht="13.65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3.95" customHeight="1">
      <c r="A15" s="5"/>
      <c r="B15" s="5"/>
      <c r="C15" s="5"/>
      <c r="D15" s="5"/>
      <c r="E15" s="5"/>
      <c r="F15" s="5"/>
      <c r="G15" s="5"/>
    </row>
    <row r="16" spans="1:7" ht="13.65" customHeight="1">
      <c r="A16" s="5"/>
      <c r="B16" s="5"/>
      <c r="C16" s="5"/>
      <c r="D16" s="5"/>
      <c r="E16" s="2474" t="s">
        <v>705</v>
      </c>
      <c r="F16" s="2474"/>
      <c r="G16" s="5"/>
    </row>
    <row r="17" spans="1:7" ht="13.65" customHeight="1">
      <c r="A17" s="5"/>
      <c r="B17" s="5"/>
      <c r="C17" s="5"/>
      <c r="D17" s="5"/>
      <c r="E17" s="5"/>
      <c r="F17" s="5"/>
      <c r="G17" s="5"/>
    </row>
    <row r="18" spans="1:7" ht="13.95" customHeight="1">
      <c r="A18" s="3" t="s">
        <v>706</v>
      </c>
      <c r="B18" s="2474" t="s">
        <v>707</v>
      </c>
      <c r="C18" s="2474"/>
      <c r="D18" s="2474"/>
      <c r="E18" s="2474"/>
      <c r="F18" s="2474"/>
      <c r="G18" s="5"/>
    </row>
    <row r="19" spans="1:7" ht="13.65" customHeight="1">
      <c r="A19" s="3" t="s">
        <v>708</v>
      </c>
      <c r="B19" s="2471" t="s">
        <v>876</v>
      </c>
      <c r="C19" s="2471"/>
      <c r="D19" s="2471"/>
      <c r="E19" s="2472" t="s">
        <v>710</v>
      </c>
      <c r="F19" s="2472"/>
      <c r="G19" s="5"/>
    </row>
    <row r="20" spans="1:7" ht="13.95" customHeight="1">
      <c r="A20" s="3" t="s">
        <v>711</v>
      </c>
      <c r="B20" s="2473" t="s">
        <v>712</v>
      </c>
      <c r="C20" s="2473"/>
      <c r="D20" s="2473"/>
      <c r="E20" s="2473"/>
      <c r="F20" s="2473"/>
      <c r="G20" s="5"/>
    </row>
    <row r="21" spans="1:7" ht="13.95" customHeight="1">
      <c r="A21" s="3"/>
      <c r="B21" s="26"/>
      <c r="C21" s="26"/>
      <c r="D21" s="26"/>
      <c r="E21" s="26"/>
      <c r="F21" s="26"/>
      <c r="G21" s="5"/>
    </row>
    <row r="22" spans="1:7" ht="13.95" customHeight="1">
      <c r="A22" s="50" t="s">
        <v>2332</v>
      </c>
      <c r="B22" s="26"/>
      <c r="C22" s="26"/>
      <c r="D22" s="26"/>
      <c r="E22" s="26"/>
      <c r="F22" s="26"/>
      <c r="G22" s="5"/>
    </row>
    <row r="23" spans="1:7" ht="13.95" customHeight="1">
      <c r="A23" s="3"/>
      <c r="B23" s="26"/>
      <c r="C23" s="26"/>
      <c r="D23" s="26"/>
      <c r="E23" s="26"/>
      <c r="F23" s="26"/>
      <c r="G23" s="5"/>
    </row>
    <row r="24" spans="1:7" ht="40.200000000000003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3.65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65" customHeight="1">
      <c r="A26" s="5"/>
      <c r="B26" s="3" t="s">
        <v>673</v>
      </c>
      <c r="C26" s="3" t="s">
        <v>674</v>
      </c>
      <c r="D26" s="12" t="s">
        <v>675</v>
      </c>
      <c r="E26" s="3" t="s">
        <v>741</v>
      </c>
      <c r="F26" s="5"/>
      <c r="G26" s="5"/>
    </row>
    <row r="27" spans="1:7" ht="13.95" customHeight="1">
      <c r="A27" s="5"/>
      <c r="B27" s="3" t="s">
        <v>871</v>
      </c>
      <c r="C27" s="3" t="s">
        <v>681</v>
      </c>
      <c r="D27" s="12" t="s">
        <v>675</v>
      </c>
      <c r="E27" s="3" t="s">
        <v>679</v>
      </c>
      <c r="F27" s="5"/>
      <c r="G27" s="5"/>
    </row>
    <row r="28" spans="1:7" ht="13.65" customHeight="1">
      <c r="A28" s="5"/>
      <c r="B28" s="3" t="s">
        <v>751</v>
      </c>
      <c r="C28" s="3" t="s">
        <v>681</v>
      </c>
      <c r="D28" s="12" t="s">
        <v>675</v>
      </c>
      <c r="E28" s="3" t="s">
        <v>682</v>
      </c>
      <c r="F28" s="5"/>
      <c r="G28" s="5"/>
    </row>
    <row r="29" spans="1:7" ht="13.95" customHeight="1">
      <c r="A29" s="5"/>
      <c r="B29" s="3" t="s">
        <v>683</v>
      </c>
      <c r="C29" s="3" t="s">
        <v>684</v>
      </c>
      <c r="D29" s="12" t="s">
        <v>675</v>
      </c>
      <c r="E29" s="3" t="s">
        <v>693</v>
      </c>
      <c r="F29" s="5"/>
      <c r="G29" s="5"/>
    </row>
    <row r="30" spans="1:7" ht="13.65" customHeight="1">
      <c r="A30" s="5"/>
      <c r="B30" s="5"/>
      <c r="C30" s="5"/>
      <c r="D30" s="5"/>
      <c r="E30" s="2474" t="s">
        <v>685</v>
      </c>
      <c r="F30" s="2474"/>
      <c r="G30" s="5"/>
    </row>
    <row r="31" spans="1:7" ht="13.65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95" customHeight="1">
      <c r="A32" s="5"/>
      <c r="B32" s="3" t="s">
        <v>1270</v>
      </c>
      <c r="C32" s="5"/>
      <c r="D32" s="14" t="s">
        <v>815</v>
      </c>
      <c r="E32" s="3" t="s">
        <v>1313</v>
      </c>
      <c r="F32" s="5"/>
      <c r="G32" s="5"/>
    </row>
    <row r="33" spans="1:7" ht="13.65" customHeight="1">
      <c r="A33" s="5"/>
      <c r="B33" s="3" t="s">
        <v>1314</v>
      </c>
      <c r="C33" s="5"/>
      <c r="D33" s="12" t="s">
        <v>773</v>
      </c>
      <c r="E33" s="3" t="s">
        <v>741</v>
      </c>
      <c r="F33" s="5"/>
      <c r="G33" s="5"/>
    </row>
    <row r="34" spans="1:7" ht="13.65" customHeight="1">
      <c r="A34" s="5"/>
      <c r="B34" s="5"/>
      <c r="C34" s="5"/>
      <c r="D34" s="5"/>
      <c r="E34" s="2474" t="s">
        <v>702</v>
      </c>
      <c r="F34" s="2474"/>
      <c r="G34" s="5"/>
    </row>
    <row r="35" spans="1:7" ht="13.95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3.65" customHeight="1">
      <c r="A36" s="5"/>
      <c r="B36" s="5"/>
      <c r="C36" s="5"/>
      <c r="D36" s="5"/>
      <c r="E36" s="5"/>
      <c r="F36" s="5"/>
      <c r="G36" s="5"/>
    </row>
    <row r="37" spans="1:7" ht="13.65" customHeight="1">
      <c r="A37" s="5"/>
      <c r="B37" s="5"/>
      <c r="C37" s="5"/>
      <c r="D37" s="5"/>
      <c r="E37" s="2474" t="s">
        <v>705</v>
      </c>
      <c r="F37" s="2474"/>
      <c r="G37" s="5"/>
    </row>
    <row r="38" spans="1:7" ht="13.95" customHeight="1">
      <c r="A38" s="5"/>
      <c r="B38" s="5"/>
      <c r="C38" s="5"/>
      <c r="D38" s="5"/>
      <c r="E38" s="5"/>
      <c r="F38" s="5"/>
      <c r="G38" s="5"/>
    </row>
    <row r="39" spans="1:7" ht="13.65" customHeight="1">
      <c r="A39" s="3" t="s">
        <v>706</v>
      </c>
      <c r="B39" s="2474" t="s">
        <v>707</v>
      </c>
      <c r="C39" s="2474"/>
      <c r="D39" s="2474"/>
      <c r="E39" s="2474"/>
      <c r="F39" s="2474"/>
      <c r="G39" s="5"/>
    </row>
    <row r="40" spans="1:7" ht="13.95" customHeight="1">
      <c r="A40" s="3" t="s">
        <v>708</v>
      </c>
      <c r="B40" s="2471" t="s">
        <v>876</v>
      </c>
      <c r="C40" s="2471"/>
      <c r="D40" s="2471"/>
      <c r="E40" s="2472" t="s">
        <v>710</v>
      </c>
      <c r="F40" s="2472"/>
      <c r="G40" s="5"/>
    </row>
    <row r="41" spans="1:7" ht="13.65" customHeight="1">
      <c r="A41" s="3" t="s">
        <v>711</v>
      </c>
      <c r="B41" s="2473" t="s">
        <v>712</v>
      </c>
      <c r="C41" s="2473"/>
      <c r="D41" s="2473"/>
      <c r="E41" s="2473"/>
      <c r="F41" s="2473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107"/>
  <dimension ref="A1:G40"/>
  <sheetViews>
    <sheetView topLeftCell="A25" workbookViewId="0">
      <selection sqref="A1:G40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.33203125" customWidth="1"/>
    <col min="5" max="5" width="14.6640625" customWidth="1"/>
    <col min="6" max="6" width="14.33203125" customWidth="1"/>
    <col min="7" max="7" width="16.6640625" customWidth="1"/>
  </cols>
  <sheetData>
    <row r="1" spans="1:7">
      <c r="A1" s="50" t="s">
        <v>2333</v>
      </c>
    </row>
    <row r="3" spans="1:7" ht="40.200000000000003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3.95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65" customHeight="1">
      <c r="A5" s="5"/>
      <c r="B5" s="3" t="s">
        <v>673</v>
      </c>
      <c r="C5" s="3" t="s">
        <v>674</v>
      </c>
      <c r="D5" s="12" t="s">
        <v>675</v>
      </c>
      <c r="E5" s="3" t="s">
        <v>741</v>
      </c>
      <c r="F5" s="5"/>
      <c r="G5" s="5"/>
    </row>
    <row r="6" spans="1:7" ht="13.65" customHeight="1">
      <c r="A6" s="5"/>
      <c r="B6" s="3" t="s">
        <v>871</v>
      </c>
      <c r="C6" s="3" t="s">
        <v>681</v>
      </c>
      <c r="D6" s="12" t="s">
        <v>675</v>
      </c>
      <c r="E6" s="3" t="s">
        <v>679</v>
      </c>
      <c r="F6" s="5"/>
      <c r="G6" s="5"/>
    </row>
    <row r="7" spans="1:7" ht="13.95" customHeight="1">
      <c r="A7" s="5"/>
      <c r="B7" s="3" t="s">
        <v>751</v>
      </c>
      <c r="C7" s="3" t="s">
        <v>681</v>
      </c>
      <c r="D7" s="12" t="s">
        <v>675</v>
      </c>
      <c r="E7" s="3" t="s">
        <v>682</v>
      </c>
      <c r="F7" s="5"/>
      <c r="G7" s="5"/>
    </row>
    <row r="8" spans="1:7" ht="13.65" customHeight="1">
      <c r="A8" s="5"/>
      <c r="B8" s="3" t="s">
        <v>683</v>
      </c>
      <c r="C8" s="3" t="s">
        <v>684</v>
      </c>
      <c r="D8" s="12" t="s">
        <v>675</v>
      </c>
      <c r="E8" s="3" t="s">
        <v>693</v>
      </c>
      <c r="F8" s="5"/>
      <c r="G8" s="5"/>
    </row>
    <row r="9" spans="1:7" ht="13.65" customHeight="1">
      <c r="A9" s="5"/>
      <c r="B9" s="5"/>
      <c r="C9" s="5"/>
      <c r="D9" s="5"/>
      <c r="E9" s="2474" t="s">
        <v>685</v>
      </c>
      <c r="F9" s="2474"/>
      <c r="G9" s="5"/>
    </row>
    <row r="10" spans="1:7" ht="13.95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65" customHeight="1">
      <c r="A11" s="5"/>
      <c r="B11" s="3" t="s">
        <v>1270</v>
      </c>
      <c r="C11" s="5"/>
      <c r="D11" s="14" t="s">
        <v>815</v>
      </c>
      <c r="E11" s="3" t="s">
        <v>942</v>
      </c>
      <c r="F11" s="5"/>
      <c r="G11" s="5"/>
    </row>
    <row r="12" spans="1:7" ht="13.65" customHeight="1">
      <c r="A12" s="5"/>
      <c r="B12" s="3" t="s">
        <v>1314</v>
      </c>
      <c r="C12" s="5"/>
      <c r="D12" s="12" t="s">
        <v>773</v>
      </c>
      <c r="E12" s="3" t="s">
        <v>801</v>
      </c>
      <c r="F12" s="5"/>
      <c r="G12" s="5"/>
    </row>
    <row r="13" spans="1:7" ht="13.95" customHeight="1">
      <c r="A13" s="5"/>
      <c r="B13" s="5"/>
      <c r="C13" s="5"/>
      <c r="D13" s="5"/>
      <c r="E13" s="2474" t="s">
        <v>702</v>
      </c>
      <c r="F13" s="2474"/>
      <c r="G13" s="5"/>
    </row>
    <row r="14" spans="1:7" ht="13.65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3.95" customHeight="1">
      <c r="A15" s="5"/>
      <c r="B15" s="5"/>
      <c r="C15" s="5"/>
      <c r="D15" s="5"/>
      <c r="E15" s="5"/>
      <c r="F15" s="5"/>
      <c r="G15" s="5"/>
    </row>
    <row r="16" spans="1:7" ht="13.65" customHeight="1">
      <c r="A16" s="5"/>
      <c r="B16" s="5"/>
      <c r="C16" s="5"/>
      <c r="D16" s="5"/>
      <c r="E16" s="2474" t="s">
        <v>705</v>
      </c>
      <c r="F16" s="2474"/>
      <c r="G16" s="5"/>
    </row>
    <row r="17" spans="1:7" ht="13.65" customHeight="1">
      <c r="A17" s="5"/>
      <c r="B17" s="5"/>
      <c r="C17" s="5"/>
      <c r="D17" s="5"/>
      <c r="E17" s="5"/>
      <c r="F17" s="5"/>
      <c r="G17" s="5"/>
    </row>
    <row r="18" spans="1:7" ht="13.95" customHeight="1">
      <c r="A18" s="3" t="s">
        <v>706</v>
      </c>
      <c r="B18" s="2474" t="s">
        <v>707</v>
      </c>
      <c r="C18" s="2474"/>
      <c r="D18" s="2474"/>
      <c r="E18" s="2474"/>
      <c r="F18" s="2474"/>
      <c r="G18" s="5"/>
    </row>
    <row r="19" spans="1:7" ht="13.65" customHeight="1">
      <c r="A19" s="3" t="s">
        <v>708</v>
      </c>
      <c r="B19" s="2471" t="s">
        <v>876</v>
      </c>
      <c r="C19" s="2471"/>
      <c r="D19" s="2471"/>
      <c r="E19" s="2472" t="s">
        <v>710</v>
      </c>
      <c r="F19" s="2472"/>
      <c r="G19" s="5"/>
    </row>
    <row r="20" spans="1:7" ht="13.95" customHeight="1">
      <c r="A20" s="3" t="s">
        <v>711</v>
      </c>
      <c r="B20" s="2473" t="s">
        <v>712</v>
      </c>
      <c r="C20" s="2473"/>
      <c r="D20" s="2473"/>
      <c r="E20" s="2473"/>
      <c r="F20" s="2473"/>
      <c r="G20" s="5"/>
    </row>
    <row r="21" spans="1:7" ht="13.95" customHeight="1">
      <c r="A21" s="3"/>
      <c r="B21" s="26"/>
      <c r="C21" s="26"/>
      <c r="D21" s="26"/>
      <c r="E21" s="26"/>
      <c r="F21" s="26"/>
      <c r="G21" s="5"/>
    </row>
    <row r="22" spans="1:7" ht="13.95" customHeight="1">
      <c r="A22" s="50" t="s">
        <v>2334</v>
      </c>
      <c r="B22" s="26"/>
      <c r="C22" s="26"/>
      <c r="D22" s="26"/>
      <c r="E22" s="26"/>
      <c r="F22" s="26"/>
      <c r="G22" s="5"/>
    </row>
    <row r="23" spans="1:7" ht="13.95" customHeight="1">
      <c r="A23" s="3"/>
      <c r="B23" s="26"/>
      <c r="C23" s="26"/>
      <c r="D23" s="26"/>
      <c r="E23" s="26"/>
      <c r="F23" s="26"/>
      <c r="G23" s="5"/>
    </row>
    <row r="24" spans="1:7" ht="40.200000000000003" customHeight="1">
      <c r="A24" s="6" t="s">
        <v>762</v>
      </c>
      <c r="B24" s="91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3.95" customHeight="1">
      <c r="A25" s="3" t="s">
        <v>671</v>
      </c>
      <c r="B25" s="96" t="s">
        <v>672</v>
      </c>
      <c r="C25" s="5"/>
      <c r="D25" s="5"/>
      <c r="E25" s="5"/>
      <c r="F25" s="5"/>
      <c r="G25" s="5"/>
    </row>
    <row r="26" spans="1:7" ht="13.65" customHeight="1">
      <c r="A26" s="5"/>
      <c r="B26" s="96" t="s">
        <v>673</v>
      </c>
      <c r="C26" s="3" t="s">
        <v>674</v>
      </c>
      <c r="D26" s="12" t="s">
        <v>675</v>
      </c>
      <c r="E26" s="3" t="s">
        <v>740</v>
      </c>
      <c r="F26" s="5"/>
      <c r="G26" s="5"/>
    </row>
    <row r="27" spans="1:7" ht="13.65" customHeight="1">
      <c r="A27" s="5"/>
      <c r="B27" s="96" t="s">
        <v>871</v>
      </c>
      <c r="C27" s="3" t="s">
        <v>681</v>
      </c>
      <c r="D27" s="12" t="s">
        <v>675</v>
      </c>
      <c r="E27" s="3" t="s">
        <v>838</v>
      </c>
      <c r="F27" s="5"/>
      <c r="G27" s="5"/>
    </row>
    <row r="28" spans="1:7" ht="13.95" customHeight="1">
      <c r="A28" s="5"/>
      <c r="B28" s="96" t="s">
        <v>751</v>
      </c>
      <c r="C28" s="3" t="s">
        <v>681</v>
      </c>
      <c r="D28" s="12" t="s">
        <v>675</v>
      </c>
      <c r="E28" s="3" t="s">
        <v>795</v>
      </c>
      <c r="F28" s="5"/>
      <c r="G28" s="5"/>
    </row>
    <row r="29" spans="1:7" ht="13.65" customHeight="1">
      <c r="A29" s="5"/>
      <c r="B29" s="96" t="s">
        <v>683</v>
      </c>
      <c r="C29" s="3" t="s">
        <v>684</v>
      </c>
      <c r="D29" s="12" t="s">
        <v>675</v>
      </c>
      <c r="E29" s="3" t="s">
        <v>868</v>
      </c>
      <c r="F29" s="5"/>
      <c r="G29" s="5"/>
    </row>
    <row r="30" spans="1:7" ht="13.95" customHeight="1">
      <c r="A30" s="5"/>
      <c r="B30" s="86"/>
      <c r="C30" s="5"/>
      <c r="D30" s="5"/>
      <c r="E30" s="96" t="s">
        <v>685</v>
      </c>
      <c r="F30" s="97"/>
      <c r="G30" s="5"/>
    </row>
    <row r="31" spans="1:7" ht="13.65" customHeight="1">
      <c r="A31" s="3" t="s">
        <v>686</v>
      </c>
      <c r="B31" s="96" t="s">
        <v>687</v>
      </c>
      <c r="C31" s="5"/>
      <c r="D31" s="5"/>
      <c r="E31" s="5"/>
      <c r="F31" s="5"/>
      <c r="G31" s="5"/>
    </row>
    <row r="32" spans="1:7" ht="13.65" customHeight="1">
      <c r="A32" s="5"/>
      <c r="B32" s="96" t="s">
        <v>1266</v>
      </c>
      <c r="C32" s="5"/>
      <c r="D32" s="14" t="s">
        <v>815</v>
      </c>
      <c r="E32" s="3" t="s">
        <v>839</v>
      </c>
      <c r="F32" s="5"/>
      <c r="G32" s="5"/>
    </row>
    <row r="33" spans="1:7" ht="13.95" customHeight="1">
      <c r="A33" s="5"/>
      <c r="B33" s="96" t="s">
        <v>1314</v>
      </c>
      <c r="C33" s="5"/>
      <c r="D33" s="12" t="s">
        <v>773</v>
      </c>
      <c r="E33" s="3" t="s">
        <v>740</v>
      </c>
      <c r="F33" s="5"/>
      <c r="G33" s="5"/>
    </row>
    <row r="34" spans="1:7" ht="13.65" customHeight="1">
      <c r="A34" s="5"/>
      <c r="B34" s="86"/>
      <c r="C34" s="5"/>
      <c r="D34" s="5"/>
      <c r="E34" s="96" t="s">
        <v>702</v>
      </c>
      <c r="F34" s="97"/>
      <c r="G34" s="5"/>
    </row>
    <row r="35" spans="1:7" ht="13.65" customHeight="1">
      <c r="A35" s="3" t="s">
        <v>703</v>
      </c>
      <c r="B35" s="96" t="s">
        <v>704</v>
      </c>
      <c r="C35" s="5"/>
      <c r="D35" s="5"/>
      <c r="E35" s="5"/>
      <c r="F35" s="5"/>
      <c r="G35" s="5"/>
    </row>
    <row r="36" spans="1:7" ht="13.95" customHeight="1">
      <c r="A36" s="5"/>
      <c r="B36" s="86"/>
      <c r="C36" s="5"/>
      <c r="D36" s="5"/>
      <c r="E36" s="5"/>
      <c r="F36" s="5"/>
      <c r="G36" s="5"/>
    </row>
    <row r="37" spans="1:7" ht="13.65" customHeight="1">
      <c r="A37" s="5"/>
      <c r="B37" s="86"/>
      <c r="C37" s="5"/>
      <c r="D37" s="5"/>
      <c r="E37" s="96" t="s">
        <v>705</v>
      </c>
      <c r="F37" s="97"/>
      <c r="G37" s="5"/>
    </row>
    <row r="38" spans="1:7" ht="13.65" customHeight="1">
      <c r="A38" s="3" t="s">
        <v>706</v>
      </c>
      <c r="B38" s="96" t="s">
        <v>707</v>
      </c>
      <c r="C38" s="102"/>
      <c r="D38" s="102"/>
      <c r="E38" s="102"/>
      <c r="F38" s="97"/>
      <c r="G38" s="5"/>
    </row>
    <row r="39" spans="1:7" ht="13.95" customHeight="1">
      <c r="A39" s="3" t="s">
        <v>708</v>
      </c>
      <c r="B39" s="92" t="s">
        <v>876</v>
      </c>
      <c r="C39" s="93"/>
      <c r="D39" s="94"/>
      <c r="E39" s="96" t="s">
        <v>710</v>
      </c>
      <c r="F39" s="97"/>
      <c r="G39" s="5"/>
    </row>
    <row r="40" spans="1:7" ht="13.65" customHeight="1">
      <c r="A40" s="3" t="s">
        <v>711</v>
      </c>
      <c r="B40" s="96" t="s">
        <v>712</v>
      </c>
      <c r="C40" s="102"/>
      <c r="D40" s="102"/>
      <c r="E40" s="102"/>
      <c r="F40" s="97"/>
      <c r="G40" s="5"/>
    </row>
  </sheetData>
  <mergeCells count="7">
    <mergeCell ref="E13:F13"/>
    <mergeCell ref="E9:F9"/>
    <mergeCell ref="B19:D19"/>
    <mergeCell ref="E19:F19"/>
    <mergeCell ref="B20:F20"/>
    <mergeCell ref="E16:F16"/>
    <mergeCell ref="B18:F18"/>
  </mergeCells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108"/>
  <dimension ref="A1:G46"/>
  <sheetViews>
    <sheetView topLeftCell="A34" workbookViewId="0">
      <selection sqref="A1:G46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.33203125" customWidth="1"/>
    <col min="5" max="5" width="14.6640625" customWidth="1"/>
    <col min="6" max="6" width="14.33203125" customWidth="1"/>
    <col min="7" max="7" width="16.6640625" customWidth="1"/>
  </cols>
  <sheetData>
    <row r="1" spans="1:7">
      <c r="A1" s="50" t="s">
        <v>2335</v>
      </c>
    </row>
    <row r="3" spans="1:7" ht="40.200000000000003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3.95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65" customHeight="1">
      <c r="A5" s="5"/>
      <c r="B5" s="3" t="s">
        <v>673</v>
      </c>
      <c r="C5" s="3" t="s">
        <v>674</v>
      </c>
      <c r="D5" s="12" t="s">
        <v>675</v>
      </c>
      <c r="E5" s="3" t="s">
        <v>740</v>
      </c>
      <c r="F5" s="5"/>
      <c r="G5" s="5"/>
    </row>
    <row r="6" spans="1:7" ht="13.65" customHeight="1">
      <c r="A6" s="5"/>
      <c r="B6" s="3" t="s">
        <v>871</v>
      </c>
      <c r="C6" s="3" t="s">
        <v>681</v>
      </c>
      <c r="D6" s="12" t="s">
        <v>675</v>
      </c>
      <c r="E6" s="3" t="s">
        <v>838</v>
      </c>
      <c r="F6" s="5"/>
      <c r="G6" s="5"/>
    </row>
    <row r="7" spans="1:7" ht="13.95" customHeight="1">
      <c r="A7" s="5"/>
      <c r="B7" s="3" t="s">
        <v>751</v>
      </c>
      <c r="C7" s="3" t="s">
        <v>681</v>
      </c>
      <c r="D7" s="12" t="s">
        <v>675</v>
      </c>
      <c r="E7" s="3" t="s">
        <v>795</v>
      </c>
      <c r="F7" s="5"/>
      <c r="G7" s="5"/>
    </row>
    <row r="8" spans="1:7" ht="13.65" customHeight="1">
      <c r="A8" s="5"/>
      <c r="B8" s="3" t="s">
        <v>683</v>
      </c>
      <c r="C8" s="3" t="s">
        <v>684</v>
      </c>
      <c r="D8" s="12" t="s">
        <v>675</v>
      </c>
      <c r="E8" s="3" t="s">
        <v>868</v>
      </c>
      <c r="F8" s="5"/>
      <c r="G8" s="5"/>
    </row>
    <row r="9" spans="1:7" ht="13.95" customHeight="1">
      <c r="A9" s="5"/>
      <c r="B9" s="5"/>
      <c r="C9" s="5"/>
      <c r="D9" s="5"/>
      <c r="E9" s="2474" t="s">
        <v>685</v>
      </c>
      <c r="F9" s="2474"/>
      <c r="G9" s="5"/>
    </row>
    <row r="10" spans="1:7" ht="13.65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65" customHeight="1">
      <c r="A11" s="5"/>
      <c r="B11" s="3" t="s">
        <v>1315</v>
      </c>
      <c r="C11" s="5"/>
      <c r="D11" s="14" t="s">
        <v>815</v>
      </c>
      <c r="E11" s="3" t="s">
        <v>839</v>
      </c>
      <c r="F11" s="5"/>
      <c r="G11" s="5"/>
    </row>
    <row r="12" spans="1:7" ht="13.95" customHeight="1">
      <c r="A12" s="5"/>
      <c r="B12" s="3" t="s">
        <v>1316</v>
      </c>
      <c r="C12" s="5"/>
      <c r="D12" s="12" t="s">
        <v>773</v>
      </c>
      <c r="E12" s="3" t="s">
        <v>740</v>
      </c>
      <c r="F12" s="5"/>
      <c r="G12" s="5"/>
    </row>
    <row r="13" spans="1:7" ht="23.4" customHeight="1">
      <c r="A13" s="5"/>
      <c r="B13" s="2" t="s">
        <v>1317</v>
      </c>
      <c r="C13" s="5"/>
      <c r="D13" s="2" t="s">
        <v>1277</v>
      </c>
      <c r="E13" s="2" t="s">
        <v>1318</v>
      </c>
      <c r="F13" s="5"/>
      <c r="G13" s="5"/>
    </row>
    <row r="14" spans="1:7" ht="13.95" customHeight="1">
      <c r="A14" s="5"/>
      <c r="B14" s="3" t="s">
        <v>1268</v>
      </c>
      <c r="C14" s="5"/>
      <c r="D14" s="12" t="s">
        <v>773</v>
      </c>
      <c r="E14" s="3" t="s">
        <v>1319</v>
      </c>
      <c r="F14" s="5"/>
      <c r="G14" s="5"/>
    </row>
    <row r="15" spans="1:7" ht="13.65" customHeight="1">
      <c r="A15" s="5"/>
      <c r="B15" s="5"/>
      <c r="C15" s="5"/>
      <c r="D15" s="5"/>
      <c r="E15" s="5"/>
      <c r="F15" s="5"/>
      <c r="G15" s="5"/>
    </row>
    <row r="16" spans="1:7" ht="13.95" customHeight="1">
      <c r="A16" s="5"/>
      <c r="B16" s="5"/>
      <c r="C16" s="5"/>
      <c r="D16" s="5"/>
      <c r="E16" s="2474" t="s">
        <v>702</v>
      </c>
      <c r="F16" s="2474"/>
      <c r="G16" s="5"/>
    </row>
    <row r="17" spans="1:7" ht="13.65" customHeight="1">
      <c r="A17" s="3" t="s">
        <v>703</v>
      </c>
      <c r="B17" s="3" t="s">
        <v>704</v>
      </c>
      <c r="C17" s="5"/>
      <c r="D17" s="5"/>
      <c r="E17" s="5"/>
      <c r="F17" s="5"/>
      <c r="G17" s="5"/>
    </row>
    <row r="18" spans="1:7" ht="13.65" customHeight="1">
      <c r="A18" s="5"/>
      <c r="B18" s="5"/>
      <c r="C18" s="5"/>
      <c r="D18" s="5"/>
      <c r="E18" s="5"/>
      <c r="F18" s="5"/>
      <c r="G18" s="5"/>
    </row>
    <row r="19" spans="1:7" ht="13.95" customHeight="1">
      <c r="A19" s="5"/>
      <c r="B19" s="5"/>
      <c r="C19" s="5"/>
      <c r="D19" s="5"/>
      <c r="E19" s="2474" t="s">
        <v>705</v>
      </c>
      <c r="F19" s="2474"/>
      <c r="G19" s="5"/>
    </row>
    <row r="20" spans="1:7" ht="13.65" customHeight="1">
      <c r="A20" s="5"/>
      <c r="B20" s="5"/>
      <c r="C20" s="5"/>
      <c r="D20" s="5"/>
      <c r="E20" s="5"/>
      <c r="F20" s="5"/>
      <c r="G20" s="5"/>
    </row>
    <row r="21" spans="1:7" ht="13.65" customHeight="1">
      <c r="A21" s="3" t="s">
        <v>706</v>
      </c>
      <c r="B21" s="2474" t="s">
        <v>707</v>
      </c>
      <c r="C21" s="2474"/>
      <c r="D21" s="2474"/>
      <c r="E21" s="2474"/>
      <c r="F21" s="2474"/>
      <c r="G21" s="5"/>
    </row>
    <row r="22" spans="1:7" ht="13.95" customHeight="1">
      <c r="A22" s="3" t="s">
        <v>708</v>
      </c>
      <c r="B22" s="2471" t="s">
        <v>876</v>
      </c>
      <c r="C22" s="2471"/>
      <c r="D22" s="2471"/>
      <c r="E22" s="2472" t="s">
        <v>710</v>
      </c>
      <c r="F22" s="2472"/>
      <c r="G22" s="5"/>
    </row>
    <row r="23" spans="1:7" ht="13.65" customHeight="1">
      <c r="A23" s="3" t="s">
        <v>711</v>
      </c>
      <c r="B23" s="2473" t="s">
        <v>712</v>
      </c>
      <c r="C23" s="2473"/>
      <c r="D23" s="2473"/>
      <c r="E23" s="2473"/>
      <c r="F23" s="2473"/>
      <c r="G23" s="5"/>
    </row>
    <row r="24" spans="1:7" ht="13.65" customHeight="1">
      <c r="A24" s="3"/>
      <c r="B24" s="26"/>
      <c r="C24" s="26"/>
      <c r="D24" s="26"/>
      <c r="E24" s="26"/>
      <c r="F24" s="26"/>
      <c r="G24" s="5"/>
    </row>
    <row r="25" spans="1:7" ht="13.65" customHeight="1">
      <c r="A25" s="50" t="s">
        <v>2336</v>
      </c>
      <c r="B25" s="26"/>
      <c r="C25" s="26"/>
      <c r="D25" s="26"/>
      <c r="E25" s="26"/>
      <c r="F25" s="26"/>
      <c r="G25" s="5"/>
    </row>
    <row r="26" spans="1:7" ht="13.65" customHeight="1">
      <c r="A26" s="3"/>
      <c r="B26" s="26"/>
      <c r="C26" s="26"/>
      <c r="D26" s="26"/>
      <c r="E26" s="26"/>
      <c r="F26" s="26"/>
      <c r="G26" s="5"/>
    </row>
    <row r="27" spans="1:7" ht="40.200000000000003" customHeight="1">
      <c r="A27" s="6" t="s">
        <v>762</v>
      </c>
      <c r="B27" s="91" t="s">
        <v>763</v>
      </c>
      <c r="C27" s="6" t="s">
        <v>764</v>
      </c>
      <c r="D27" s="6" t="s">
        <v>765</v>
      </c>
      <c r="E27" s="6" t="s">
        <v>766</v>
      </c>
      <c r="F27" s="7" t="s">
        <v>767</v>
      </c>
      <c r="G27" s="7" t="s">
        <v>768</v>
      </c>
    </row>
    <row r="28" spans="1:7" ht="13.65" customHeight="1">
      <c r="A28" s="3" t="s">
        <v>671</v>
      </c>
      <c r="B28" s="96" t="s">
        <v>672</v>
      </c>
      <c r="C28" s="5"/>
      <c r="D28" s="5"/>
      <c r="E28" s="5"/>
      <c r="F28" s="5"/>
      <c r="G28" s="5"/>
    </row>
    <row r="29" spans="1:7" ht="13.95" customHeight="1">
      <c r="A29" s="5"/>
      <c r="B29" s="96" t="s">
        <v>673</v>
      </c>
      <c r="C29" s="3" t="s">
        <v>674</v>
      </c>
      <c r="D29" s="12" t="s">
        <v>675</v>
      </c>
      <c r="E29" s="3" t="s">
        <v>679</v>
      </c>
      <c r="F29" s="5"/>
      <c r="G29" s="5"/>
    </row>
    <row r="30" spans="1:7" ht="13.65" customHeight="1">
      <c r="A30" s="5"/>
      <c r="B30" s="96" t="s">
        <v>871</v>
      </c>
      <c r="C30" s="3" t="s">
        <v>681</v>
      </c>
      <c r="D30" s="12" t="s">
        <v>675</v>
      </c>
      <c r="E30" s="3" t="s">
        <v>870</v>
      </c>
      <c r="F30" s="5"/>
      <c r="G30" s="5"/>
    </row>
    <row r="31" spans="1:7" ht="13.65" customHeight="1">
      <c r="A31" s="5"/>
      <c r="B31" s="96" t="s">
        <v>751</v>
      </c>
      <c r="C31" s="3" t="s">
        <v>681</v>
      </c>
      <c r="D31" s="12" t="s">
        <v>675</v>
      </c>
      <c r="E31" s="3" t="s">
        <v>699</v>
      </c>
      <c r="F31" s="5"/>
      <c r="G31" s="5"/>
    </row>
    <row r="32" spans="1:7" ht="13.95" customHeight="1">
      <c r="A32" s="5"/>
      <c r="B32" s="96" t="s">
        <v>683</v>
      </c>
      <c r="C32" s="3" t="s">
        <v>684</v>
      </c>
      <c r="D32" s="12" t="s">
        <v>675</v>
      </c>
      <c r="E32" s="3" t="s">
        <v>779</v>
      </c>
      <c r="F32" s="5"/>
      <c r="G32" s="5"/>
    </row>
    <row r="33" spans="1:7" ht="13.65" customHeight="1">
      <c r="A33" s="5"/>
      <c r="B33" s="86"/>
      <c r="C33" s="5"/>
      <c r="D33" s="5"/>
      <c r="E33" s="96" t="s">
        <v>685</v>
      </c>
      <c r="F33" s="97"/>
      <c r="G33" s="5"/>
    </row>
    <row r="34" spans="1:7" ht="13.65" customHeight="1">
      <c r="A34" s="3" t="s">
        <v>686</v>
      </c>
      <c r="B34" s="96" t="s">
        <v>687</v>
      </c>
      <c r="C34" s="5"/>
      <c r="D34" s="5"/>
      <c r="E34" s="5"/>
      <c r="F34" s="5"/>
      <c r="G34" s="5"/>
    </row>
    <row r="35" spans="1:7" ht="23.4" customHeight="1">
      <c r="A35" s="5"/>
      <c r="B35" s="104" t="s">
        <v>1320</v>
      </c>
      <c r="C35" s="5"/>
      <c r="D35" s="22" t="s">
        <v>1321</v>
      </c>
      <c r="E35" s="2" t="s">
        <v>1322</v>
      </c>
      <c r="F35" s="5"/>
      <c r="G35" s="5"/>
    </row>
    <row r="36" spans="1:7" ht="23.4" customHeight="1">
      <c r="A36" s="5"/>
      <c r="B36" s="104" t="s">
        <v>1323</v>
      </c>
      <c r="C36" s="5"/>
      <c r="D36" s="2" t="s">
        <v>1324</v>
      </c>
      <c r="E36" s="3" t="s">
        <v>740</v>
      </c>
      <c r="F36" s="5"/>
      <c r="G36" s="5"/>
    </row>
    <row r="37" spans="1:7" ht="23.4" customHeight="1">
      <c r="A37" s="5"/>
      <c r="B37" s="115" t="s">
        <v>1325</v>
      </c>
      <c r="C37" s="5"/>
      <c r="D37" s="2" t="s">
        <v>1277</v>
      </c>
      <c r="E37" s="2" t="s">
        <v>1318</v>
      </c>
      <c r="F37" s="5"/>
      <c r="G37" s="5"/>
    </row>
    <row r="38" spans="1:7" ht="13.65" customHeight="1">
      <c r="A38" s="5"/>
      <c r="B38" s="96" t="s">
        <v>1268</v>
      </c>
      <c r="C38" s="5"/>
      <c r="D38" s="12" t="s">
        <v>773</v>
      </c>
      <c r="E38" s="3" t="s">
        <v>1319</v>
      </c>
      <c r="F38" s="5"/>
      <c r="G38" s="5"/>
    </row>
    <row r="39" spans="1:7" ht="13.95" customHeight="1">
      <c r="A39" s="5"/>
      <c r="B39" s="86"/>
      <c r="C39" s="5"/>
      <c r="D39" s="5"/>
      <c r="E39" s="5"/>
      <c r="F39" s="5"/>
      <c r="G39" s="5"/>
    </row>
    <row r="40" spans="1:7" ht="13.65" customHeight="1">
      <c r="A40" s="5"/>
      <c r="B40" s="86"/>
      <c r="C40" s="5"/>
      <c r="D40" s="5"/>
      <c r="E40" s="96" t="s">
        <v>702</v>
      </c>
      <c r="F40" s="97"/>
      <c r="G40" s="5"/>
    </row>
    <row r="41" spans="1:7" ht="13.65" customHeight="1">
      <c r="A41" s="3" t="s">
        <v>703</v>
      </c>
      <c r="B41" s="96" t="s">
        <v>704</v>
      </c>
      <c r="C41" s="5"/>
      <c r="D41" s="5"/>
      <c r="E41" s="5"/>
      <c r="F41" s="5"/>
      <c r="G41" s="5"/>
    </row>
    <row r="42" spans="1:7" ht="13.95" customHeight="1">
      <c r="A42" s="5"/>
      <c r="B42" s="86"/>
      <c r="C42" s="5"/>
      <c r="D42" s="5"/>
      <c r="E42" s="96" t="s">
        <v>705</v>
      </c>
      <c r="F42" s="97"/>
      <c r="G42" s="5"/>
    </row>
    <row r="43" spans="1:7" ht="13.65" customHeight="1">
      <c r="A43" s="5"/>
      <c r="B43" s="86"/>
      <c r="C43" s="5"/>
      <c r="D43" s="5"/>
      <c r="E43" s="5"/>
      <c r="F43" s="5"/>
      <c r="G43" s="5"/>
    </row>
    <row r="44" spans="1:7" ht="13.95" customHeight="1">
      <c r="A44" s="3" t="s">
        <v>706</v>
      </c>
      <c r="B44" s="96" t="s">
        <v>707</v>
      </c>
      <c r="C44" s="102"/>
      <c r="D44" s="102"/>
      <c r="E44" s="102"/>
      <c r="F44" s="97"/>
      <c r="G44" s="5"/>
    </row>
    <row r="45" spans="1:7" ht="13.65" customHeight="1">
      <c r="A45" s="3" t="s">
        <v>708</v>
      </c>
      <c r="B45" s="92" t="s">
        <v>876</v>
      </c>
      <c r="C45" s="93"/>
      <c r="D45" s="94"/>
      <c r="E45" s="96" t="s">
        <v>710</v>
      </c>
      <c r="F45" s="97"/>
      <c r="G45" s="5"/>
    </row>
    <row r="46" spans="1:7" ht="13.65" customHeight="1">
      <c r="A46" s="3" t="s">
        <v>711</v>
      </c>
      <c r="B46" s="96" t="s">
        <v>712</v>
      </c>
      <c r="C46" s="102"/>
      <c r="D46" s="102"/>
      <c r="E46" s="102"/>
      <c r="F46" s="97"/>
      <c r="G46" s="5"/>
    </row>
  </sheetData>
  <mergeCells count="7">
    <mergeCell ref="E9:F9"/>
    <mergeCell ref="B23:F23"/>
    <mergeCell ref="B21:F21"/>
    <mergeCell ref="B22:D22"/>
    <mergeCell ref="E22:F22"/>
    <mergeCell ref="E16:F16"/>
    <mergeCell ref="E19:F19"/>
  </mergeCells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109"/>
  <dimension ref="A1:G41"/>
  <sheetViews>
    <sheetView topLeftCell="A28" workbookViewId="0">
      <selection sqref="A1:G41"/>
    </sheetView>
  </sheetViews>
  <sheetFormatPr defaultRowHeight="14.4"/>
  <cols>
    <col min="1" max="1" width="5.33203125" customWidth="1"/>
    <col min="2" max="2" width="22.33203125" customWidth="1"/>
    <col min="3" max="3" width="4.109375" customWidth="1"/>
    <col min="4" max="4" width="11.33203125" customWidth="1"/>
    <col min="5" max="5" width="22.109375" customWidth="1"/>
    <col min="6" max="6" width="14.33203125" customWidth="1"/>
    <col min="7" max="7" width="16.6640625" customWidth="1"/>
  </cols>
  <sheetData>
    <row r="1" spans="1:7">
      <c r="A1" s="50" t="s">
        <v>2337</v>
      </c>
    </row>
    <row r="3" spans="1:7" ht="40.200000000000003" customHeight="1">
      <c r="A3" s="6" t="s">
        <v>762</v>
      </c>
      <c r="B3" s="6" t="s">
        <v>763</v>
      </c>
      <c r="C3" s="6" t="s">
        <v>764</v>
      </c>
      <c r="D3" s="91" t="s">
        <v>765</v>
      </c>
      <c r="E3" s="91" t="s">
        <v>766</v>
      </c>
      <c r="F3" s="7" t="s">
        <v>767</v>
      </c>
      <c r="G3" s="7" t="s">
        <v>768</v>
      </c>
    </row>
    <row r="4" spans="1:7" ht="13.95" customHeight="1">
      <c r="A4" s="3" t="s">
        <v>671</v>
      </c>
      <c r="B4" s="3" t="s">
        <v>672</v>
      </c>
      <c r="C4" s="5"/>
      <c r="D4" s="86"/>
      <c r="E4" s="86"/>
      <c r="F4" s="5"/>
      <c r="G4" s="5"/>
    </row>
    <row r="5" spans="1:7" ht="13.65" customHeight="1">
      <c r="A5" s="5"/>
      <c r="B5" s="3" t="s">
        <v>673</v>
      </c>
      <c r="C5" s="3" t="s">
        <v>674</v>
      </c>
      <c r="D5" s="96" t="s">
        <v>675</v>
      </c>
      <c r="E5" s="96" t="s">
        <v>870</v>
      </c>
      <c r="F5" s="5"/>
      <c r="G5" s="5"/>
    </row>
    <row r="6" spans="1:7" ht="13.65" customHeight="1">
      <c r="A6" s="5"/>
      <c r="B6" s="3" t="s">
        <v>871</v>
      </c>
      <c r="C6" s="3" t="s">
        <v>681</v>
      </c>
      <c r="D6" s="96" t="s">
        <v>675</v>
      </c>
      <c r="E6" s="96" t="s">
        <v>836</v>
      </c>
      <c r="F6" s="5"/>
      <c r="G6" s="5"/>
    </row>
    <row r="7" spans="1:7" ht="13.95" customHeight="1">
      <c r="A7" s="5"/>
      <c r="B7" s="3" t="s">
        <v>751</v>
      </c>
      <c r="C7" s="3" t="s">
        <v>681</v>
      </c>
      <c r="D7" s="96" t="s">
        <v>675</v>
      </c>
      <c r="E7" s="96" t="s">
        <v>733</v>
      </c>
      <c r="F7" s="5"/>
      <c r="G7" s="5"/>
    </row>
    <row r="8" spans="1:7" ht="13.65" customHeight="1">
      <c r="A8" s="5"/>
      <c r="B8" s="3" t="s">
        <v>683</v>
      </c>
      <c r="C8" s="3" t="s">
        <v>684</v>
      </c>
      <c r="D8" s="96" t="s">
        <v>675</v>
      </c>
      <c r="E8" s="96" t="s">
        <v>851</v>
      </c>
      <c r="F8" s="5"/>
      <c r="G8" s="5"/>
    </row>
    <row r="9" spans="1:7" ht="13.65" customHeight="1">
      <c r="A9" s="5"/>
      <c r="B9" s="5"/>
      <c r="C9" s="5"/>
      <c r="D9" s="86"/>
      <c r="E9" s="96" t="s">
        <v>685</v>
      </c>
      <c r="F9" s="97"/>
      <c r="G9" s="5"/>
    </row>
    <row r="10" spans="1:7" ht="13.95" customHeight="1">
      <c r="A10" s="3" t="s">
        <v>686</v>
      </c>
      <c r="B10" s="3" t="s">
        <v>687</v>
      </c>
      <c r="C10" s="5"/>
      <c r="D10" s="86"/>
      <c r="E10" s="86"/>
      <c r="F10" s="5"/>
      <c r="G10" s="5"/>
    </row>
    <row r="11" spans="1:7" ht="14.4" customHeight="1">
      <c r="A11" s="5"/>
      <c r="B11" s="3" t="s">
        <v>1270</v>
      </c>
      <c r="C11" s="5"/>
      <c r="D11" s="114" t="s">
        <v>1271</v>
      </c>
      <c r="E11" s="96" t="s">
        <v>730</v>
      </c>
      <c r="F11" s="5"/>
      <c r="G11" s="5"/>
    </row>
    <row r="12" spans="1:7" ht="12" customHeight="1">
      <c r="A12" s="5"/>
      <c r="B12" s="3" t="s">
        <v>1316</v>
      </c>
      <c r="C12" s="5"/>
      <c r="D12" s="96" t="s">
        <v>773</v>
      </c>
      <c r="E12" s="96" t="s">
        <v>741</v>
      </c>
      <c r="F12" s="5"/>
      <c r="G12" s="5"/>
    </row>
    <row r="13" spans="1:7" ht="12" customHeight="1">
      <c r="A13" s="5"/>
      <c r="B13" s="3" t="s">
        <v>1326</v>
      </c>
      <c r="C13" s="5"/>
      <c r="D13" s="96" t="s">
        <v>773</v>
      </c>
      <c r="E13" s="96" t="s">
        <v>740</v>
      </c>
      <c r="F13" s="5"/>
      <c r="G13" s="5"/>
    </row>
    <row r="14" spans="1:7" ht="13.65" customHeight="1">
      <c r="A14" s="5"/>
      <c r="B14" s="5"/>
      <c r="C14" s="5"/>
      <c r="D14" s="86"/>
      <c r="E14" s="96" t="s">
        <v>702</v>
      </c>
      <c r="F14" s="97"/>
      <c r="G14" s="5"/>
    </row>
    <row r="15" spans="1:7" ht="13.95" customHeight="1">
      <c r="A15" s="3" t="s">
        <v>703</v>
      </c>
      <c r="B15" s="3" t="s">
        <v>704</v>
      </c>
      <c r="C15" s="5"/>
      <c r="D15" s="87"/>
      <c r="E15" s="86"/>
      <c r="F15" s="5"/>
      <c r="G15" s="5"/>
    </row>
    <row r="16" spans="1:7" ht="13.65" customHeight="1">
      <c r="A16" s="5"/>
      <c r="B16" s="5"/>
      <c r="C16" s="5"/>
      <c r="D16" s="5"/>
      <c r="E16" s="96" t="s">
        <v>705</v>
      </c>
      <c r="F16" s="97"/>
      <c r="G16" s="5"/>
    </row>
    <row r="17" spans="1:7" ht="13.65" customHeight="1">
      <c r="A17" s="5"/>
      <c r="B17" s="5"/>
      <c r="C17" s="5"/>
      <c r="D17" s="5"/>
      <c r="E17" s="86"/>
      <c r="F17" s="5"/>
      <c r="G17" s="5"/>
    </row>
    <row r="18" spans="1:7" ht="13.95" customHeight="1">
      <c r="A18" s="3" t="s">
        <v>706</v>
      </c>
      <c r="B18" s="96" t="s">
        <v>707</v>
      </c>
      <c r="C18" s="102"/>
      <c r="D18" s="102"/>
      <c r="E18" s="102"/>
      <c r="F18" s="97"/>
      <c r="G18" s="5"/>
    </row>
    <row r="19" spans="1:7" ht="13.65" customHeight="1">
      <c r="A19" s="3" t="s">
        <v>708</v>
      </c>
      <c r="B19" s="92" t="s">
        <v>876</v>
      </c>
      <c r="C19" s="93"/>
      <c r="D19" s="94"/>
      <c r="E19" s="96" t="s">
        <v>710</v>
      </c>
      <c r="F19" s="97"/>
      <c r="G19" s="5"/>
    </row>
    <row r="20" spans="1:7" ht="13.95" customHeight="1">
      <c r="A20" s="3" t="s">
        <v>711</v>
      </c>
      <c r="B20" s="96" t="s">
        <v>712</v>
      </c>
      <c r="C20" s="102"/>
      <c r="D20" s="102"/>
      <c r="E20" s="102"/>
      <c r="F20" s="97"/>
      <c r="G20" s="5"/>
    </row>
    <row r="21" spans="1:7" ht="13.95" customHeight="1">
      <c r="A21" s="3"/>
      <c r="B21" s="26"/>
      <c r="C21" s="26"/>
      <c r="D21" s="26"/>
      <c r="E21" s="26"/>
      <c r="F21" s="26"/>
      <c r="G21" s="5"/>
    </row>
    <row r="22" spans="1:7" ht="13.95" customHeight="1">
      <c r="A22" s="50" t="s">
        <v>2338</v>
      </c>
      <c r="B22" s="26"/>
      <c r="C22" s="26"/>
      <c r="D22" s="26"/>
      <c r="E22" s="26"/>
      <c r="F22" s="26"/>
      <c r="G22" s="5"/>
    </row>
    <row r="23" spans="1:7" ht="13.95" customHeight="1">
      <c r="A23" s="3"/>
      <c r="B23" s="26"/>
      <c r="C23" s="26"/>
      <c r="D23" s="26"/>
      <c r="E23" s="26"/>
      <c r="F23" s="26"/>
      <c r="G23" s="5"/>
    </row>
    <row r="24" spans="1:7" ht="40.200000000000003" customHeight="1">
      <c r="A24" s="6" t="s">
        <v>762</v>
      </c>
      <c r="B24" s="91" t="s">
        <v>763</v>
      </c>
      <c r="C24" s="91" t="s">
        <v>764</v>
      </c>
      <c r="D24" s="91" t="s">
        <v>765</v>
      </c>
      <c r="E24" s="6" t="s">
        <v>766</v>
      </c>
      <c r="F24" s="91" t="s">
        <v>767</v>
      </c>
      <c r="G24" s="7" t="s">
        <v>768</v>
      </c>
    </row>
    <row r="25" spans="1:7" ht="13.65" customHeight="1">
      <c r="A25" s="3" t="s">
        <v>671</v>
      </c>
      <c r="B25" s="96" t="s">
        <v>672</v>
      </c>
      <c r="C25" s="86"/>
      <c r="D25" s="86"/>
      <c r="E25" s="5"/>
      <c r="F25" s="86"/>
      <c r="G25" s="5"/>
    </row>
    <row r="26" spans="1:7" ht="13.65" customHeight="1">
      <c r="A26" s="5"/>
      <c r="B26" s="96" t="s">
        <v>673</v>
      </c>
      <c r="C26" s="96" t="s">
        <v>674</v>
      </c>
      <c r="D26" s="96" t="s">
        <v>675</v>
      </c>
      <c r="E26" s="3" t="s">
        <v>794</v>
      </c>
      <c r="F26" s="86"/>
      <c r="G26" s="5"/>
    </row>
    <row r="27" spans="1:7" ht="13.95" customHeight="1">
      <c r="A27" s="5"/>
      <c r="B27" s="96" t="s">
        <v>871</v>
      </c>
      <c r="C27" s="96" t="s">
        <v>681</v>
      </c>
      <c r="D27" s="96" t="s">
        <v>675</v>
      </c>
      <c r="E27" s="3" t="s">
        <v>817</v>
      </c>
      <c r="F27" s="86"/>
      <c r="G27" s="5"/>
    </row>
    <row r="28" spans="1:7" ht="13.65" customHeight="1">
      <c r="A28" s="5"/>
      <c r="B28" s="96" t="s">
        <v>751</v>
      </c>
      <c r="C28" s="96" t="s">
        <v>681</v>
      </c>
      <c r="D28" s="96" t="s">
        <v>675</v>
      </c>
      <c r="E28" s="3" t="s">
        <v>868</v>
      </c>
      <c r="F28" s="86"/>
      <c r="G28" s="5"/>
    </row>
    <row r="29" spans="1:7" ht="13.65" customHeight="1">
      <c r="A29" s="5"/>
      <c r="B29" s="96" t="s">
        <v>683</v>
      </c>
      <c r="C29" s="96" t="s">
        <v>684</v>
      </c>
      <c r="D29" s="96" t="s">
        <v>675</v>
      </c>
      <c r="E29" s="3" t="s">
        <v>856</v>
      </c>
      <c r="F29" s="86"/>
      <c r="G29" s="5"/>
    </row>
    <row r="30" spans="1:7" ht="13.95" customHeight="1">
      <c r="A30" s="5"/>
      <c r="B30" s="86"/>
      <c r="C30" s="86"/>
      <c r="D30" s="86"/>
      <c r="E30" s="96" t="s">
        <v>685</v>
      </c>
      <c r="F30" s="102"/>
      <c r="G30" s="5"/>
    </row>
    <row r="31" spans="1:7" ht="13.65" customHeight="1">
      <c r="A31" s="3" t="s">
        <v>686</v>
      </c>
      <c r="B31" s="96" t="s">
        <v>687</v>
      </c>
      <c r="C31" s="86"/>
      <c r="D31" s="86"/>
      <c r="E31" s="5"/>
      <c r="F31" s="86"/>
      <c r="G31" s="5"/>
    </row>
    <row r="32" spans="1:7" ht="12.75" customHeight="1">
      <c r="A32" s="5"/>
      <c r="B32" s="92" t="s">
        <v>1327</v>
      </c>
      <c r="C32" s="86"/>
      <c r="D32" s="114" t="s">
        <v>1271</v>
      </c>
      <c r="E32" s="3" t="s">
        <v>676</v>
      </c>
      <c r="F32" s="86"/>
      <c r="G32" s="5"/>
    </row>
    <row r="33" spans="1:7" ht="12" customHeight="1">
      <c r="A33" s="5"/>
      <c r="B33" s="96" t="s">
        <v>1328</v>
      </c>
      <c r="C33" s="86"/>
      <c r="D33" s="96" t="s">
        <v>773</v>
      </c>
      <c r="E33" s="3" t="s">
        <v>801</v>
      </c>
      <c r="F33" s="86"/>
      <c r="G33" s="5"/>
    </row>
    <row r="34" spans="1:7" ht="13.65" customHeight="1">
      <c r="A34" s="5"/>
      <c r="B34" s="86"/>
      <c r="C34" s="86"/>
      <c r="D34" s="86"/>
      <c r="E34" s="96" t="s">
        <v>702</v>
      </c>
      <c r="F34" s="102"/>
      <c r="G34" s="5"/>
    </row>
    <row r="35" spans="1:7" ht="13.95" customHeight="1">
      <c r="A35" s="3" t="s">
        <v>703</v>
      </c>
      <c r="B35" s="96" t="s">
        <v>704</v>
      </c>
      <c r="C35" s="86"/>
      <c r="D35" s="86"/>
      <c r="E35" s="5"/>
      <c r="F35" s="86"/>
      <c r="G35" s="5"/>
    </row>
    <row r="36" spans="1:7" ht="13.65" customHeight="1">
      <c r="A36" s="5"/>
      <c r="B36" s="86"/>
      <c r="C36" s="86"/>
      <c r="D36" s="86"/>
      <c r="E36" s="5"/>
      <c r="F36" s="86"/>
      <c r="G36" s="5"/>
    </row>
    <row r="37" spans="1:7" ht="13.95" customHeight="1">
      <c r="A37" s="5"/>
      <c r="B37" s="86"/>
      <c r="C37" s="86"/>
      <c r="D37" s="86"/>
      <c r="E37" s="96" t="s">
        <v>705</v>
      </c>
      <c r="F37" s="102"/>
      <c r="G37" s="5"/>
    </row>
    <row r="38" spans="1:7" ht="13.65" customHeight="1">
      <c r="A38" s="5"/>
      <c r="B38" s="86"/>
      <c r="C38" s="86"/>
      <c r="D38" s="86"/>
      <c r="E38" s="5"/>
      <c r="F38" s="86"/>
      <c r="G38" s="5"/>
    </row>
    <row r="39" spans="1:7" ht="13.65" customHeight="1">
      <c r="A39" s="3" t="s">
        <v>706</v>
      </c>
      <c r="B39" s="96" t="s">
        <v>707</v>
      </c>
      <c r="C39" s="102"/>
      <c r="D39" s="102"/>
      <c r="E39" s="102"/>
      <c r="F39" s="102"/>
      <c r="G39" s="5"/>
    </row>
    <row r="40" spans="1:7" ht="13.95" customHeight="1">
      <c r="A40" s="3" t="s">
        <v>708</v>
      </c>
      <c r="B40" s="92" t="s">
        <v>876</v>
      </c>
      <c r="C40" s="93"/>
      <c r="D40" s="93"/>
      <c r="E40" s="96" t="s">
        <v>710</v>
      </c>
      <c r="F40" s="102"/>
      <c r="G40" s="5"/>
    </row>
    <row r="41" spans="1:7" ht="13.65" customHeight="1">
      <c r="A41" s="3" t="s">
        <v>711</v>
      </c>
      <c r="B41" s="96" t="s">
        <v>712</v>
      </c>
      <c r="C41" s="102"/>
      <c r="D41" s="102"/>
      <c r="E41" s="102"/>
      <c r="F41" s="102"/>
      <c r="G41" s="5"/>
    </row>
  </sheetData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110"/>
  <dimension ref="A1:G21"/>
  <sheetViews>
    <sheetView workbookViewId="0">
      <selection sqref="A1:G21"/>
    </sheetView>
  </sheetViews>
  <sheetFormatPr defaultRowHeight="14.4"/>
  <cols>
    <col min="1" max="1" width="5.33203125" customWidth="1"/>
    <col min="2" max="2" width="22.33203125" customWidth="1"/>
    <col min="3" max="3" width="8.88671875" customWidth="1"/>
    <col min="4" max="4" width="11" customWidth="1"/>
    <col min="5" max="5" width="14.6640625" customWidth="1"/>
    <col min="6" max="6" width="14.33203125" customWidth="1"/>
    <col min="7" max="7" width="16.6640625" customWidth="1"/>
  </cols>
  <sheetData>
    <row r="1" spans="1:7">
      <c r="A1" s="50" t="s">
        <v>2339</v>
      </c>
    </row>
    <row r="3" spans="1:7" ht="40.200000000000003" customHeight="1">
      <c r="A3" s="6" t="s">
        <v>762</v>
      </c>
      <c r="B3" s="6" t="s">
        <v>763</v>
      </c>
      <c r="C3" s="91" t="s">
        <v>764</v>
      </c>
      <c r="D3" s="91" t="s">
        <v>765</v>
      </c>
      <c r="E3" s="91" t="s">
        <v>766</v>
      </c>
      <c r="F3" s="7" t="s">
        <v>767</v>
      </c>
      <c r="G3" s="7" t="s">
        <v>768</v>
      </c>
    </row>
    <row r="4" spans="1:7" ht="13.95" customHeight="1">
      <c r="A4" s="3" t="s">
        <v>671</v>
      </c>
      <c r="B4" s="3" t="s">
        <v>672</v>
      </c>
      <c r="C4" s="86"/>
      <c r="D4" s="86"/>
      <c r="E4" s="86"/>
      <c r="F4" s="5"/>
      <c r="G4" s="5"/>
    </row>
    <row r="5" spans="1:7" ht="13.65" customHeight="1">
      <c r="A5" s="5"/>
      <c r="B5" s="3" t="s">
        <v>1283</v>
      </c>
      <c r="C5" s="96" t="s">
        <v>674</v>
      </c>
      <c r="D5" s="96" t="s">
        <v>675</v>
      </c>
      <c r="E5" s="96" t="s">
        <v>741</v>
      </c>
      <c r="F5" s="5"/>
      <c r="G5" s="5"/>
    </row>
    <row r="6" spans="1:7" ht="13.65" customHeight="1">
      <c r="A6" s="5"/>
      <c r="B6" s="3" t="s">
        <v>1284</v>
      </c>
      <c r="C6" s="96" t="s">
        <v>681</v>
      </c>
      <c r="D6" s="96" t="s">
        <v>675</v>
      </c>
      <c r="E6" s="96" t="s">
        <v>801</v>
      </c>
      <c r="F6" s="5"/>
      <c r="G6" s="5"/>
    </row>
    <row r="7" spans="1:7" ht="13.95" customHeight="1">
      <c r="A7" s="5"/>
      <c r="B7" s="3" t="s">
        <v>1286</v>
      </c>
      <c r="C7" s="96" t="s">
        <v>681</v>
      </c>
      <c r="D7" s="96" t="s">
        <v>675</v>
      </c>
      <c r="E7" s="96" t="s">
        <v>693</v>
      </c>
      <c r="F7" s="5"/>
      <c r="G7" s="5"/>
    </row>
    <row r="8" spans="1:7" ht="13.65" customHeight="1">
      <c r="A8" s="5"/>
      <c r="B8" s="3" t="s">
        <v>1288</v>
      </c>
      <c r="C8" s="96" t="s">
        <v>684</v>
      </c>
      <c r="D8" s="96" t="s">
        <v>675</v>
      </c>
      <c r="E8" s="96" t="s">
        <v>693</v>
      </c>
      <c r="F8" s="5"/>
      <c r="G8" s="5"/>
    </row>
    <row r="9" spans="1:7" ht="13.65" customHeight="1">
      <c r="A9" s="5"/>
      <c r="B9" s="5"/>
      <c r="C9" s="86"/>
      <c r="D9" s="86"/>
      <c r="E9" s="96" t="s">
        <v>685</v>
      </c>
      <c r="F9" s="97"/>
      <c r="G9" s="5"/>
    </row>
    <row r="10" spans="1:7" ht="13.95" customHeight="1">
      <c r="A10" s="3" t="s">
        <v>686</v>
      </c>
      <c r="B10" s="3" t="s">
        <v>687</v>
      </c>
      <c r="C10" s="86"/>
      <c r="D10" s="86"/>
      <c r="E10" s="86"/>
      <c r="F10" s="5"/>
      <c r="G10" s="5"/>
    </row>
    <row r="11" spans="1:7" ht="13.65" customHeight="1">
      <c r="A11" s="5"/>
      <c r="B11" s="3" t="s">
        <v>1329</v>
      </c>
      <c r="C11" s="86"/>
      <c r="D11" s="96" t="s">
        <v>961</v>
      </c>
      <c r="E11" s="96" t="s">
        <v>756</v>
      </c>
      <c r="F11" s="5"/>
      <c r="G11" s="5"/>
    </row>
    <row r="12" spans="1:7" ht="13.65" customHeight="1">
      <c r="A12" s="5"/>
      <c r="B12" s="3" t="s">
        <v>1330</v>
      </c>
      <c r="C12" s="86"/>
      <c r="D12" s="101" t="s">
        <v>815</v>
      </c>
      <c r="E12" s="96" t="s">
        <v>1034</v>
      </c>
      <c r="F12" s="5"/>
      <c r="G12" s="5"/>
    </row>
    <row r="13" spans="1:7" ht="13.95" customHeight="1">
      <c r="A13" s="5"/>
      <c r="B13" s="3" t="s">
        <v>1201</v>
      </c>
      <c r="C13" s="86"/>
      <c r="D13" s="96" t="s">
        <v>773</v>
      </c>
      <c r="E13" s="96" t="s">
        <v>788</v>
      </c>
      <c r="F13" s="5"/>
      <c r="G13" s="5"/>
    </row>
    <row r="14" spans="1:7" ht="13.65" customHeight="1">
      <c r="A14" s="5"/>
      <c r="B14" s="3" t="s">
        <v>1331</v>
      </c>
      <c r="C14" s="86"/>
      <c r="D14" s="101" t="s">
        <v>815</v>
      </c>
      <c r="E14" s="96" t="s">
        <v>852</v>
      </c>
      <c r="F14" s="5"/>
      <c r="G14" s="5"/>
    </row>
    <row r="15" spans="1:7" ht="13.95" customHeight="1">
      <c r="A15" s="5"/>
      <c r="B15" s="5"/>
      <c r="C15" s="86"/>
      <c r="D15" s="86"/>
      <c r="E15" s="86"/>
      <c r="F15" s="5"/>
      <c r="G15" s="5"/>
    </row>
    <row r="16" spans="1:7" ht="13.65" customHeight="1">
      <c r="A16" s="5"/>
      <c r="B16" s="5"/>
      <c r="C16" s="86"/>
      <c r="D16" s="86"/>
      <c r="E16" s="96" t="s">
        <v>702</v>
      </c>
      <c r="F16" s="97"/>
      <c r="G16" s="5"/>
    </row>
    <row r="17" spans="1:7" ht="13.65" customHeight="1">
      <c r="A17" s="3" t="s">
        <v>703</v>
      </c>
      <c r="B17" s="3" t="s">
        <v>704</v>
      </c>
      <c r="C17" s="86"/>
      <c r="D17" s="86"/>
      <c r="E17" s="86"/>
      <c r="F17" s="5"/>
      <c r="G17" s="5"/>
    </row>
    <row r="18" spans="1:7" ht="13.95" customHeight="1">
      <c r="A18" s="5"/>
      <c r="B18" s="5"/>
      <c r="C18" s="86"/>
      <c r="D18" s="86"/>
      <c r="E18" s="96" t="s">
        <v>705</v>
      </c>
      <c r="F18" s="97"/>
      <c r="G18" s="5"/>
    </row>
    <row r="19" spans="1:7" ht="13.65" customHeight="1">
      <c r="A19" s="3" t="s">
        <v>706</v>
      </c>
      <c r="B19" s="96" t="s">
        <v>707</v>
      </c>
      <c r="C19" s="102"/>
      <c r="D19" s="102"/>
      <c r="E19" s="102"/>
      <c r="F19" s="97"/>
      <c r="G19" s="5"/>
    </row>
    <row r="20" spans="1:7" ht="13.65" customHeight="1">
      <c r="A20" s="3" t="s">
        <v>708</v>
      </c>
      <c r="B20" s="2471" t="s">
        <v>876</v>
      </c>
      <c r="C20" s="2471"/>
      <c r="D20" s="2471"/>
      <c r="E20" s="2472" t="s">
        <v>710</v>
      </c>
      <c r="F20" s="2472"/>
      <c r="G20" s="5"/>
    </row>
    <row r="21" spans="1:7" ht="13.95" customHeight="1">
      <c r="A21" s="3" t="s">
        <v>711</v>
      </c>
      <c r="B21" s="2473" t="s">
        <v>712</v>
      </c>
      <c r="C21" s="2473"/>
      <c r="D21" s="2473"/>
      <c r="E21" s="2473"/>
      <c r="F21" s="2473"/>
      <c r="G21" s="5"/>
    </row>
  </sheetData>
  <mergeCells count="3">
    <mergeCell ref="B21:F21"/>
    <mergeCell ref="B20:D20"/>
    <mergeCell ref="E20:F20"/>
  </mergeCells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111">
    <tabColor rgb="FFFF0000"/>
  </sheetPr>
  <dimension ref="A1:G20"/>
  <sheetViews>
    <sheetView workbookViewId="0">
      <selection activeCell="G20" sqref="A1:G20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8.5546875" customWidth="1"/>
    <col min="5" max="5" width="27.44140625" customWidth="1"/>
    <col min="6" max="6" width="5" customWidth="1"/>
    <col min="7" max="7" width="6.88671875" customWidth="1"/>
  </cols>
  <sheetData>
    <row r="1" spans="1:7" ht="13.95" customHeight="1">
      <c r="A1" s="62" t="s">
        <v>2340</v>
      </c>
      <c r="B1" s="38"/>
      <c r="C1" s="38"/>
      <c r="D1" s="38"/>
      <c r="E1" s="38"/>
      <c r="F1" s="38"/>
      <c r="G1" s="38"/>
    </row>
    <row r="2" spans="1:7" ht="13.95" customHeight="1">
      <c r="A2" s="71"/>
      <c r="B2" s="38"/>
      <c r="C2" s="38"/>
      <c r="D2" s="38"/>
      <c r="E2" s="38"/>
      <c r="F2" s="38"/>
      <c r="G2" s="38"/>
    </row>
    <row r="3" spans="1:7" ht="13.95" customHeight="1">
      <c r="A3" s="116" t="s">
        <v>2341</v>
      </c>
      <c r="B3" s="100"/>
      <c r="C3" s="100"/>
      <c r="D3" s="100"/>
      <c r="E3" s="100"/>
      <c r="F3" s="100"/>
      <c r="G3" s="100"/>
    </row>
    <row r="4" spans="1:7" ht="35.1" customHeight="1">
      <c r="A4" s="6" t="s">
        <v>762</v>
      </c>
      <c r="B4" s="91" t="s">
        <v>763</v>
      </c>
      <c r="C4" s="6" t="s">
        <v>764</v>
      </c>
      <c r="D4" s="91" t="s">
        <v>765</v>
      </c>
      <c r="E4" s="91" t="s">
        <v>766</v>
      </c>
      <c r="F4" s="91" t="s">
        <v>767</v>
      </c>
      <c r="G4" s="109" t="s">
        <v>768</v>
      </c>
    </row>
    <row r="5" spans="1:7" ht="12" customHeight="1">
      <c r="A5" s="3" t="s">
        <v>671</v>
      </c>
      <c r="B5" s="96" t="s">
        <v>1332</v>
      </c>
      <c r="C5" s="5"/>
      <c r="D5" s="86"/>
      <c r="E5" s="86"/>
      <c r="F5" s="86"/>
      <c r="G5" s="107"/>
    </row>
    <row r="6" spans="1:7" ht="13.65" customHeight="1">
      <c r="A6" s="5"/>
      <c r="B6" s="96" t="s">
        <v>673</v>
      </c>
      <c r="C6" s="3" t="s">
        <v>674</v>
      </c>
      <c r="D6" s="96" t="s">
        <v>675</v>
      </c>
      <c r="E6" s="96" t="s">
        <v>1254</v>
      </c>
      <c r="F6" s="89"/>
      <c r="G6" s="107"/>
    </row>
    <row r="7" spans="1:7" ht="13.95" customHeight="1">
      <c r="A7" s="5"/>
      <c r="B7" s="96" t="s">
        <v>871</v>
      </c>
      <c r="C7" s="3" t="s">
        <v>678</v>
      </c>
      <c r="D7" s="96" t="s">
        <v>675</v>
      </c>
      <c r="E7" s="96" t="s">
        <v>1161</v>
      </c>
      <c r="F7" s="89"/>
      <c r="G7" s="107"/>
    </row>
    <row r="8" spans="1:7" ht="13.65" customHeight="1">
      <c r="A8" s="5"/>
      <c r="B8" s="96" t="s">
        <v>751</v>
      </c>
      <c r="C8" s="3" t="s">
        <v>681</v>
      </c>
      <c r="D8" s="96" t="s">
        <v>675</v>
      </c>
      <c r="E8" s="96" t="s">
        <v>1254</v>
      </c>
      <c r="F8" s="89"/>
      <c r="G8" s="107"/>
    </row>
    <row r="9" spans="1:7" ht="13.65" customHeight="1">
      <c r="A9" s="5"/>
      <c r="B9" s="96" t="s">
        <v>683</v>
      </c>
      <c r="C9" s="3" t="s">
        <v>684</v>
      </c>
      <c r="D9" s="96" t="s">
        <v>675</v>
      </c>
      <c r="E9" s="96" t="s">
        <v>852</v>
      </c>
      <c r="F9" s="89"/>
      <c r="G9" s="107"/>
    </row>
    <row r="10" spans="1:7" ht="12" customHeight="1">
      <c r="A10" s="5"/>
      <c r="B10" s="86"/>
      <c r="C10" s="5"/>
      <c r="D10" s="86"/>
      <c r="E10" s="96" t="s">
        <v>685</v>
      </c>
      <c r="F10" s="103"/>
      <c r="G10" s="107"/>
    </row>
    <row r="11" spans="1:7" ht="12" customHeight="1">
      <c r="A11" s="3" t="s">
        <v>686</v>
      </c>
      <c r="B11" s="96" t="s">
        <v>687</v>
      </c>
      <c r="C11" s="5"/>
      <c r="D11" s="86"/>
      <c r="E11" s="86"/>
      <c r="F11" s="89"/>
      <c r="G11" s="107"/>
    </row>
    <row r="12" spans="1:7" ht="13.95" customHeight="1">
      <c r="A12" s="5"/>
      <c r="B12" s="96" t="s">
        <v>1333</v>
      </c>
      <c r="C12" s="5"/>
      <c r="D12" s="96" t="s">
        <v>743</v>
      </c>
      <c r="E12" s="96" t="s">
        <v>719</v>
      </c>
      <c r="F12" s="89"/>
      <c r="G12" s="107"/>
    </row>
    <row r="13" spans="1:7" ht="12" customHeight="1">
      <c r="A13" s="5"/>
      <c r="B13" s="86"/>
      <c r="C13" s="5"/>
      <c r="D13" s="86"/>
      <c r="E13" s="96" t="s">
        <v>702</v>
      </c>
      <c r="F13" s="103"/>
      <c r="G13" s="107"/>
    </row>
    <row r="14" spans="1:7" ht="12" customHeight="1">
      <c r="A14" s="3" t="s">
        <v>703</v>
      </c>
      <c r="B14" s="96" t="s">
        <v>704</v>
      </c>
      <c r="C14" s="5"/>
      <c r="D14" s="86"/>
      <c r="E14" s="86"/>
      <c r="F14" s="89"/>
      <c r="G14" s="107"/>
    </row>
    <row r="15" spans="1:7" ht="12" customHeight="1">
      <c r="A15" s="5"/>
      <c r="B15" s="86"/>
      <c r="C15" s="5"/>
      <c r="D15" s="86"/>
      <c r="E15" s="86"/>
      <c r="F15" s="89"/>
      <c r="G15" s="107"/>
    </row>
    <row r="16" spans="1:7" ht="12" customHeight="1">
      <c r="A16" s="5"/>
      <c r="B16" s="86"/>
      <c r="C16" s="5"/>
      <c r="D16" s="86"/>
      <c r="E16" s="96" t="s">
        <v>705</v>
      </c>
      <c r="F16" s="103"/>
      <c r="G16" s="107"/>
    </row>
    <row r="17" spans="1:7" ht="12" customHeight="1">
      <c r="A17" s="5"/>
      <c r="B17" s="86"/>
      <c r="C17" s="5"/>
      <c r="D17" s="86"/>
      <c r="E17" s="86"/>
      <c r="F17" s="89"/>
      <c r="G17" s="107"/>
    </row>
    <row r="18" spans="1:7" ht="12" customHeight="1">
      <c r="A18" s="3" t="s">
        <v>706</v>
      </c>
      <c r="B18" s="96" t="s">
        <v>707</v>
      </c>
      <c r="C18" s="102"/>
      <c r="D18" s="102"/>
      <c r="E18" s="102"/>
      <c r="F18" s="103"/>
      <c r="G18" s="107"/>
    </row>
    <row r="19" spans="1:7" ht="12" customHeight="1">
      <c r="A19" s="3" t="s">
        <v>708</v>
      </c>
      <c r="B19" s="92" t="s">
        <v>876</v>
      </c>
      <c r="C19" s="93"/>
      <c r="D19" s="93"/>
      <c r="E19" s="96" t="s">
        <v>710</v>
      </c>
      <c r="F19" s="103"/>
      <c r="G19" s="107"/>
    </row>
    <row r="20" spans="1:7" ht="12" customHeight="1">
      <c r="A20" s="3" t="s">
        <v>711</v>
      </c>
      <c r="B20" s="96" t="s">
        <v>712</v>
      </c>
      <c r="C20" s="102"/>
      <c r="D20" s="102"/>
      <c r="E20" s="102"/>
      <c r="F20" s="103"/>
      <c r="G20" s="107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276"/>
  <sheetViews>
    <sheetView view="pageBreakPreview" topLeftCell="A211" zoomScale="85" zoomScaleSheetLayoutView="85" workbookViewId="0">
      <selection activeCell="F233" sqref="F233"/>
    </sheetView>
  </sheetViews>
  <sheetFormatPr defaultColWidth="9.109375" defaultRowHeight="14.4"/>
  <cols>
    <col min="1" max="1" width="9.109375" style="178"/>
    <col min="2" max="2" width="28.33203125" style="178" bestFit="1" customWidth="1"/>
    <col min="3" max="5" width="9.109375" style="178"/>
    <col min="6" max="6" width="16.109375" style="178" bestFit="1" customWidth="1"/>
    <col min="7" max="7" width="16.33203125" style="178" bestFit="1" customWidth="1"/>
    <col min="8" max="8" width="15.44140625" style="178" customWidth="1"/>
    <col min="9" max="16384" width="9.109375" style="178"/>
  </cols>
  <sheetData>
    <row r="1" spans="1:7" ht="21">
      <c r="A1" s="179" t="s">
        <v>3553</v>
      </c>
    </row>
    <row r="2" spans="1:7" ht="12" customHeight="1"/>
    <row r="3" spans="1:7" s="156" customFormat="1" ht="12">
      <c r="A3" s="155" t="s">
        <v>3521</v>
      </c>
      <c r="B3" s="155" t="s">
        <v>3541</v>
      </c>
      <c r="D3" s="157"/>
      <c r="E3" s="158"/>
      <c r="F3" s="159"/>
      <c r="G3" s="159"/>
    </row>
    <row r="4" spans="1:7" s="156" customFormat="1" ht="12">
      <c r="D4" s="157"/>
      <c r="E4" s="158"/>
      <c r="F4" s="159"/>
      <c r="G4" s="159"/>
    </row>
    <row r="5" spans="1:7" s="156" customFormat="1" ht="12">
      <c r="A5" s="160" t="s">
        <v>1003</v>
      </c>
      <c r="B5" s="160" t="s">
        <v>1004</v>
      </c>
      <c r="C5" s="161" t="s">
        <v>1005</v>
      </c>
      <c r="D5" s="162" t="s">
        <v>1006</v>
      </c>
      <c r="E5" s="163" t="s">
        <v>1007</v>
      </c>
      <c r="F5" s="164" t="s">
        <v>2637</v>
      </c>
      <c r="G5" s="165" t="s">
        <v>2638</v>
      </c>
    </row>
    <row r="6" spans="1:7" s="156" customFormat="1" ht="12">
      <c r="A6" s="166" t="s">
        <v>671</v>
      </c>
      <c r="B6" s="166" t="s">
        <v>672</v>
      </c>
      <c r="C6" s="167"/>
      <c r="D6" s="168"/>
      <c r="E6" s="169"/>
      <c r="F6" s="170"/>
      <c r="G6" s="171"/>
    </row>
    <row r="7" spans="1:7" s="156" customFormat="1" ht="12">
      <c r="A7" s="166"/>
      <c r="B7" s="166" t="s">
        <v>673</v>
      </c>
      <c r="C7" s="167" t="s">
        <v>674</v>
      </c>
      <c r="D7" s="168" t="s">
        <v>675</v>
      </c>
      <c r="E7" s="169">
        <v>0.3</v>
      </c>
      <c r="F7" s="171">
        <f>'[94]UPAD-BAHAN-ALAT'!$I$12</f>
        <v>96000</v>
      </c>
      <c r="G7" s="171">
        <f>F7*E7</f>
        <v>28800</v>
      </c>
    </row>
    <row r="8" spans="1:7" s="156" customFormat="1" ht="12">
      <c r="A8" s="166"/>
      <c r="B8" s="166" t="s">
        <v>683</v>
      </c>
      <c r="C8" s="167" t="s">
        <v>684</v>
      </c>
      <c r="D8" s="168" t="s">
        <v>675</v>
      </c>
      <c r="E8" s="169">
        <v>0.01</v>
      </c>
      <c r="F8" s="171">
        <f>'[94]UPAD-BAHAN-ALAT'!$I$14</f>
        <v>115000</v>
      </c>
      <c r="G8" s="171">
        <f>F8*E8</f>
        <v>1150</v>
      </c>
    </row>
    <row r="9" spans="1:7" s="156" customFormat="1" ht="12">
      <c r="A9" s="166"/>
      <c r="B9" s="166"/>
      <c r="C9" s="167"/>
      <c r="D9" s="168"/>
      <c r="E9" s="2467" t="s">
        <v>685</v>
      </c>
      <c r="F9" s="2467"/>
      <c r="G9" s="171">
        <f>SUM(G7:G8)</f>
        <v>29950</v>
      </c>
    </row>
    <row r="10" spans="1:7" s="156" customFormat="1" ht="12">
      <c r="A10" s="166" t="s">
        <v>686</v>
      </c>
      <c r="B10" s="166" t="s">
        <v>687</v>
      </c>
      <c r="C10" s="167"/>
      <c r="D10" s="168"/>
      <c r="E10" s="169"/>
      <c r="F10" s="170"/>
      <c r="G10" s="171"/>
    </row>
    <row r="11" spans="1:7" s="156" customFormat="1" ht="12">
      <c r="A11" s="166"/>
      <c r="B11" s="166" t="s">
        <v>3542</v>
      </c>
      <c r="C11" s="167"/>
      <c r="D11" s="168"/>
      <c r="E11" s="169">
        <v>1.2</v>
      </c>
      <c r="F11" s="170">
        <f>DUB!I69</f>
        <v>117810</v>
      </c>
      <c r="G11" s="171">
        <f>F11*E11</f>
        <v>141372</v>
      </c>
    </row>
    <row r="12" spans="1:7" s="156" customFormat="1" ht="12">
      <c r="A12" s="166"/>
      <c r="B12" s="166"/>
      <c r="C12" s="167"/>
      <c r="D12" s="168"/>
      <c r="E12" s="2470" t="s">
        <v>702</v>
      </c>
      <c r="F12" s="2470"/>
      <c r="G12" s="171">
        <f>SUM(G11)</f>
        <v>141372</v>
      </c>
    </row>
    <row r="13" spans="1:7" s="156" customFormat="1" ht="12" hidden="1">
      <c r="A13" s="166" t="s">
        <v>703</v>
      </c>
      <c r="B13" s="166" t="s">
        <v>704</v>
      </c>
      <c r="C13" s="167"/>
      <c r="D13" s="168"/>
      <c r="E13" s="172"/>
      <c r="F13" s="173"/>
      <c r="G13" s="171"/>
    </row>
    <row r="14" spans="1:7" s="156" customFormat="1" ht="12" hidden="1">
      <c r="A14" s="166"/>
      <c r="B14" s="166"/>
      <c r="C14" s="167"/>
      <c r="D14" s="168"/>
      <c r="E14" s="169"/>
      <c r="F14" s="170"/>
      <c r="G14" s="171"/>
    </row>
    <row r="15" spans="1:7" s="156" customFormat="1" ht="12" hidden="1">
      <c r="A15" s="166"/>
      <c r="B15" s="166"/>
      <c r="C15" s="167"/>
      <c r="D15" s="168"/>
      <c r="E15" s="2466" t="s">
        <v>705</v>
      </c>
      <c r="F15" s="2466"/>
      <c r="G15" s="171"/>
    </row>
    <row r="16" spans="1:7" s="156" customFormat="1" ht="12">
      <c r="A16" s="166" t="s">
        <v>706</v>
      </c>
      <c r="B16" s="2467" t="s">
        <v>707</v>
      </c>
      <c r="C16" s="2467"/>
      <c r="D16" s="2467"/>
      <c r="E16" s="2467"/>
      <c r="F16" s="2467"/>
      <c r="G16" s="171">
        <f>G9+G12+G15</f>
        <v>171322</v>
      </c>
    </row>
    <row r="17" spans="1:8" s="156" customFormat="1" ht="12">
      <c r="A17" s="166" t="s">
        <v>708</v>
      </c>
      <c r="B17" s="2469" t="s">
        <v>709</v>
      </c>
      <c r="C17" s="2469"/>
      <c r="D17" s="2469"/>
      <c r="E17" s="2468" t="s">
        <v>710</v>
      </c>
      <c r="F17" s="2468"/>
      <c r="G17" s="171">
        <f>G16*15%</f>
        <v>25698.3</v>
      </c>
    </row>
    <row r="18" spans="1:8" s="156" customFormat="1" ht="12">
      <c r="A18" s="166" t="s">
        <v>711</v>
      </c>
      <c r="B18" s="2466" t="s">
        <v>712</v>
      </c>
      <c r="C18" s="2466"/>
      <c r="D18" s="2466"/>
      <c r="E18" s="2466"/>
      <c r="F18" s="2466"/>
      <c r="G18" s="182">
        <f>ROUND(H18,2)</f>
        <v>197020.3</v>
      </c>
      <c r="H18" s="171">
        <f>SUM(G16:G17)</f>
        <v>197020.3</v>
      </c>
    </row>
    <row r="20" spans="1:8" s="156" customFormat="1" ht="12">
      <c r="A20" s="155" t="s">
        <v>3522</v>
      </c>
      <c r="B20" s="155" t="s">
        <v>3537</v>
      </c>
      <c r="D20" s="157"/>
      <c r="E20" s="158"/>
      <c r="F20" s="159"/>
      <c r="G20" s="159"/>
    </row>
    <row r="21" spans="1:8" s="156" customFormat="1" ht="12">
      <c r="D21" s="157"/>
      <c r="E21" s="158"/>
      <c r="F21" s="159"/>
      <c r="G21" s="159"/>
    </row>
    <row r="22" spans="1:8" s="156" customFormat="1" ht="12">
      <c r="A22" s="160" t="s">
        <v>1003</v>
      </c>
      <c r="B22" s="160" t="s">
        <v>1004</v>
      </c>
      <c r="C22" s="160" t="s">
        <v>1005</v>
      </c>
      <c r="D22" s="174" t="s">
        <v>1006</v>
      </c>
      <c r="E22" s="175" t="s">
        <v>1007</v>
      </c>
      <c r="F22" s="165" t="s">
        <v>2637</v>
      </c>
      <c r="G22" s="165" t="s">
        <v>2638</v>
      </c>
    </row>
    <row r="23" spans="1:8" s="156" customFormat="1" ht="12">
      <c r="A23" s="166" t="s">
        <v>671</v>
      </c>
      <c r="B23" s="166" t="s">
        <v>672</v>
      </c>
      <c r="C23" s="166"/>
      <c r="D23" s="176"/>
      <c r="E23" s="177"/>
      <c r="F23" s="171"/>
      <c r="G23" s="171"/>
    </row>
    <row r="24" spans="1:8" s="156" customFormat="1" ht="12">
      <c r="A24" s="166"/>
      <c r="B24" s="166" t="s">
        <v>673</v>
      </c>
      <c r="C24" s="166" t="s">
        <v>674</v>
      </c>
      <c r="D24" s="176" t="s">
        <v>675</v>
      </c>
      <c r="E24" s="177">
        <v>0.2</v>
      </c>
      <c r="F24" s="171">
        <f>'[94]UPAD-BAHAN-ALAT'!$I$12</f>
        <v>96000</v>
      </c>
      <c r="G24" s="171">
        <f>F24*E24</f>
        <v>19200</v>
      </c>
    </row>
    <row r="25" spans="1:8" s="156" customFormat="1" ht="12">
      <c r="A25" s="166"/>
      <c r="B25" s="166" t="s">
        <v>677</v>
      </c>
      <c r="C25" s="166" t="s">
        <v>678</v>
      </c>
      <c r="D25" s="176" t="s">
        <v>675</v>
      </c>
      <c r="E25" s="177">
        <v>0.1</v>
      </c>
      <c r="F25" s="171">
        <f>'[94]UPAD-BAHAN-ALAT'!$I$13</f>
        <v>115000</v>
      </c>
      <c r="G25" s="171">
        <f>F25*E25</f>
        <v>11500</v>
      </c>
    </row>
    <row r="26" spans="1:8" s="156" customFormat="1" ht="12">
      <c r="A26" s="166"/>
      <c r="B26" s="166" t="s">
        <v>751</v>
      </c>
      <c r="C26" s="166" t="s">
        <v>681</v>
      </c>
      <c r="D26" s="176" t="s">
        <v>675</v>
      </c>
      <c r="E26" s="177">
        <v>0.01</v>
      </c>
      <c r="F26" s="171">
        <f>'[94]UPAD-BAHAN-ALAT'!$I$15</f>
        <v>127500</v>
      </c>
      <c r="G26" s="171">
        <f>F26*E26</f>
        <v>1275</v>
      </c>
    </row>
    <row r="27" spans="1:8" s="156" customFormat="1" ht="12">
      <c r="A27" s="166"/>
      <c r="B27" s="166" t="s">
        <v>683</v>
      </c>
      <c r="C27" s="166" t="s">
        <v>684</v>
      </c>
      <c r="D27" s="176" t="s">
        <v>675</v>
      </c>
      <c r="E27" s="177">
        <v>1E-3</v>
      </c>
      <c r="F27" s="171">
        <f>'[94]UPAD-BAHAN-ALAT'!$I$14</f>
        <v>115000</v>
      </c>
      <c r="G27" s="171">
        <f>F27*E27</f>
        <v>115</v>
      </c>
    </row>
    <row r="28" spans="1:8" s="156" customFormat="1" ht="12">
      <c r="A28" s="166"/>
      <c r="B28" s="166"/>
      <c r="C28" s="166"/>
      <c r="D28" s="176"/>
      <c r="E28" s="2467" t="s">
        <v>685</v>
      </c>
      <c r="F28" s="2467"/>
      <c r="G28" s="171">
        <f>SUM(G24:G27)</f>
        <v>32090</v>
      </c>
    </row>
    <row r="29" spans="1:8" s="156" customFormat="1" ht="12">
      <c r="A29" s="166" t="s">
        <v>686</v>
      </c>
      <c r="B29" s="166" t="s">
        <v>687</v>
      </c>
      <c r="C29" s="166"/>
      <c r="D29" s="176"/>
      <c r="E29" s="177"/>
      <c r="F29" s="171"/>
      <c r="G29" s="171"/>
    </row>
    <row r="30" spans="1:8" s="156" customFormat="1" ht="12">
      <c r="A30" s="166"/>
      <c r="B30" s="166" t="s">
        <v>3538</v>
      </c>
      <c r="C30" s="166"/>
      <c r="D30" s="176" t="s">
        <v>3041</v>
      </c>
      <c r="E30" s="177">
        <v>5.04</v>
      </c>
      <c r="F30" s="171">
        <f>DUB!I241</f>
        <v>12285</v>
      </c>
      <c r="G30" s="171">
        <f>F30*E30</f>
        <v>61916.4</v>
      </c>
    </row>
    <row r="31" spans="1:8" s="156" customFormat="1" ht="12">
      <c r="A31" s="166"/>
      <c r="B31" s="166" t="s">
        <v>3567</v>
      </c>
      <c r="C31" s="166"/>
      <c r="D31" s="176" t="s">
        <v>690</v>
      </c>
      <c r="E31" s="177">
        <v>0.2</v>
      </c>
      <c r="F31" s="171">
        <f>DUB!I132</f>
        <v>38592</v>
      </c>
      <c r="G31" s="171">
        <f>F31*E31</f>
        <v>7718.4000000000005</v>
      </c>
    </row>
    <row r="32" spans="1:8" s="156" customFormat="1" ht="12">
      <c r="A32" s="166"/>
      <c r="B32" s="166"/>
      <c r="C32" s="166"/>
      <c r="D32" s="176"/>
      <c r="E32" s="2467" t="s">
        <v>702</v>
      </c>
      <c r="F32" s="2467"/>
      <c r="G32" s="171">
        <f>SUM(G30:G31)</f>
        <v>69634.8</v>
      </c>
    </row>
    <row r="33" spans="1:8" s="156" customFormat="1" ht="12" hidden="1">
      <c r="A33" s="166" t="s">
        <v>703</v>
      </c>
      <c r="B33" s="166" t="s">
        <v>704</v>
      </c>
      <c r="C33" s="166"/>
      <c r="D33" s="176"/>
      <c r="E33" s="177"/>
      <c r="F33" s="171"/>
      <c r="G33" s="171"/>
    </row>
    <row r="34" spans="1:8" s="156" customFormat="1" ht="12" hidden="1">
      <c r="A34" s="166"/>
      <c r="B34" s="166"/>
      <c r="C34" s="166"/>
      <c r="D34" s="176"/>
      <c r="E34" s="177"/>
      <c r="F34" s="171"/>
      <c r="G34" s="171"/>
    </row>
    <row r="35" spans="1:8" s="156" customFormat="1" ht="12" hidden="1">
      <c r="A35" s="166"/>
      <c r="B35" s="166"/>
      <c r="C35" s="166"/>
      <c r="D35" s="176"/>
      <c r="E35" s="2467" t="s">
        <v>705</v>
      </c>
      <c r="F35" s="2467"/>
      <c r="G35" s="171"/>
    </row>
    <row r="36" spans="1:8" s="156" customFormat="1" ht="12">
      <c r="A36" s="166"/>
      <c r="B36" s="166"/>
      <c r="C36" s="166"/>
      <c r="D36" s="176"/>
      <c r="E36" s="177"/>
      <c r="F36" s="171"/>
      <c r="G36" s="171"/>
    </row>
    <row r="37" spans="1:8" s="156" customFormat="1" ht="12">
      <c r="A37" s="166" t="s">
        <v>706</v>
      </c>
      <c r="B37" s="2467" t="s">
        <v>707</v>
      </c>
      <c r="C37" s="2467"/>
      <c r="D37" s="2467"/>
      <c r="E37" s="2467"/>
      <c r="F37" s="2467"/>
      <c r="G37" s="171">
        <f>G28+G32+G35</f>
        <v>101724.8</v>
      </c>
    </row>
    <row r="38" spans="1:8" s="156" customFormat="1" ht="12">
      <c r="A38" s="166" t="s">
        <v>708</v>
      </c>
      <c r="B38" s="2469" t="s">
        <v>876</v>
      </c>
      <c r="C38" s="2469"/>
      <c r="D38" s="2469"/>
      <c r="E38" s="2468" t="s">
        <v>710</v>
      </c>
      <c r="F38" s="2468"/>
      <c r="G38" s="171">
        <f>G37*15%</f>
        <v>15258.72</v>
      </c>
    </row>
    <row r="39" spans="1:8" s="156" customFormat="1" ht="12">
      <c r="A39" s="166" t="s">
        <v>711</v>
      </c>
      <c r="B39" s="2466" t="s">
        <v>712</v>
      </c>
      <c r="C39" s="2466"/>
      <c r="D39" s="2466"/>
      <c r="E39" s="2466"/>
      <c r="F39" s="2466"/>
      <c r="G39" s="182">
        <f>ROUND(H39,2)</f>
        <v>116983.52</v>
      </c>
      <c r="H39" s="171">
        <f>SUM(G37:G38)</f>
        <v>116983.52</v>
      </c>
    </row>
    <row r="41" spans="1:8" s="156" customFormat="1" ht="12">
      <c r="A41" s="155" t="s">
        <v>3523</v>
      </c>
      <c r="B41" s="155" t="s">
        <v>3539</v>
      </c>
      <c r="D41" s="157"/>
      <c r="E41" s="158"/>
      <c r="F41" s="159"/>
      <c r="G41" s="159"/>
    </row>
    <row r="42" spans="1:8" s="156" customFormat="1" ht="12">
      <c r="D42" s="157"/>
      <c r="E42" s="158"/>
      <c r="F42" s="159"/>
      <c r="G42" s="159"/>
    </row>
    <row r="43" spans="1:8" s="156" customFormat="1" ht="12">
      <c r="A43" s="160" t="s">
        <v>1003</v>
      </c>
      <c r="B43" s="160" t="s">
        <v>1004</v>
      </c>
      <c r="C43" s="160" t="s">
        <v>1005</v>
      </c>
      <c r="D43" s="174" t="s">
        <v>1006</v>
      </c>
      <c r="E43" s="175" t="s">
        <v>1007</v>
      </c>
      <c r="F43" s="165" t="s">
        <v>2637</v>
      </c>
      <c r="G43" s="165" t="s">
        <v>2638</v>
      </c>
    </row>
    <row r="44" spans="1:8" s="156" customFormat="1" ht="12">
      <c r="A44" s="166" t="s">
        <v>671</v>
      </c>
      <c r="B44" s="166" t="s">
        <v>672</v>
      </c>
      <c r="C44" s="166"/>
      <c r="D44" s="176"/>
      <c r="E44" s="177"/>
      <c r="F44" s="171"/>
      <c r="G44" s="171"/>
    </row>
    <row r="45" spans="1:8" s="156" customFormat="1" ht="12">
      <c r="A45" s="166"/>
      <c r="B45" s="166" t="s">
        <v>673</v>
      </c>
      <c r="C45" s="166" t="s">
        <v>674</v>
      </c>
      <c r="D45" s="176" t="s">
        <v>675</v>
      </c>
      <c r="E45" s="177">
        <v>0.25</v>
      </c>
      <c r="F45" s="171">
        <f>'[94]UPAD-BAHAN-ALAT'!$I$12</f>
        <v>96000</v>
      </c>
      <c r="G45" s="171">
        <f>F45*E45</f>
        <v>24000</v>
      </c>
    </row>
    <row r="46" spans="1:8" s="156" customFormat="1" ht="12">
      <c r="A46" s="166"/>
      <c r="B46" s="166" t="s">
        <v>677</v>
      </c>
      <c r="C46" s="166" t="s">
        <v>678</v>
      </c>
      <c r="D46" s="176" t="s">
        <v>675</v>
      </c>
      <c r="E46" s="177">
        <v>0.15</v>
      </c>
      <c r="F46" s="171">
        <f>'[94]UPAD-BAHAN-ALAT'!$I$13</f>
        <v>115000</v>
      </c>
      <c r="G46" s="171">
        <f>F46*E46</f>
        <v>17250</v>
      </c>
    </row>
    <row r="47" spans="1:8" s="156" customFormat="1" ht="12">
      <c r="A47" s="166"/>
      <c r="B47" s="166" t="s">
        <v>751</v>
      </c>
      <c r="C47" s="166" t="s">
        <v>681</v>
      </c>
      <c r="D47" s="176" t="s">
        <v>675</v>
      </c>
      <c r="E47" s="177">
        <v>1.4999999999999999E-2</v>
      </c>
      <c r="F47" s="171">
        <f>'[94]UPAD-BAHAN-ALAT'!$I$15</f>
        <v>127500</v>
      </c>
      <c r="G47" s="171">
        <f>F47*E47</f>
        <v>1912.5</v>
      </c>
    </row>
    <row r="48" spans="1:8" s="156" customFormat="1" ht="12">
      <c r="A48" s="166"/>
      <c r="B48" s="166" t="s">
        <v>683</v>
      </c>
      <c r="C48" s="166" t="s">
        <v>684</v>
      </c>
      <c r="D48" s="176" t="s">
        <v>675</v>
      </c>
      <c r="E48" s="177">
        <v>1.2999999999999999E-2</v>
      </c>
      <c r="F48" s="171">
        <f>'[94]UPAD-BAHAN-ALAT'!$I$14</f>
        <v>115000</v>
      </c>
      <c r="G48" s="171">
        <f>F48*E48</f>
        <v>1495</v>
      </c>
    </row>
    <row r="49" spans="1:8" s="156" customFormat="1" ht="12">
      <c r="A49" s="166"/>
      <c r="B49" s="166"/>
      <c r="C49" s="166"/>
      <c r="D49" s="176"/>
      <c r="E49" s="2467" t="s">
        <v>685</v>
      </c>
      <c r="F49" s="2467"/>
      <c r="G49" s="171">
        <f>SUM(G45:G48)</f>
        <v>44657.5</v>
      </c>
    </row>
    <row r="50" spans="1:8" s="156" customFormat="1" ht="12">
      <c r="A50" s="166" t="s">
        <v>686</v>
      </c>
      <c r="B50" s="166" t="s">
        <v>687</v>
      </c>
      <c r="C50" s="166"/>
      <c r="D50" s="176"/>
      <c r="E50" s="177"/>
      <c r="F50" s="171"/>
      <c r="G50" s="171"/>
    </row>
    <row r="51" spans="1:8" s="156" customFormat="1" ht="12">
      <c r="A51" s="166"/>
      <c r="B51" s="166" t="s">
        <v>3540</v>
      </c>
      <c r="C51" s="166"/>
      <c r="D51" s="176" t="s">
        <v>743</v>
      </c>
      <c r="E51" s="177">
        <v>1.1000000000000001</v>
      </c>
      <c r="F51" s="171">
        <f>DUB!I250</f>
        <v>28215</v>
      </c>
      <c r="G51" s="171">
        <f>F51*E51</f>
        <v>31036.500000000004</v>
      </c>
    </row>
    <row r="52" spans="1:8" s="156" customFormat="1" ht="12">
      <c r="A52" s="166"/>
      <c r="B52" s="166" t="s">
        <v>3567</v>
      </c>
      <c r="C52" s="166"/>
      <c r="D52" s="176" t="s">
        <v>690</v>
      </c>
      <c r="E52" s="177">
        <v>0.05</v>
      </c>
      <c r="F52" s="171">
        <f>DUB!I132</f>
        <v>38592</v>
      </c>
      <c r="G52" s="171">
        <f>F52*E52</f>
        <v>1929.6000000000001</v>
      </c>
    </row>
    <row r="53" spans="1:8" s="156" customFormat="1" ht="12">
      <c r="A53" s="166"/>
      <c r="B53" s="166"/>
      <c r="C53" s="166"/>
      <c r="D53" s="176"/>
      <c r="E53" s="2467" t="s">
        <v>702</v>
      </c>
      <c r="F53" s="2467"/>
      <c r="G53" s="171">
        <f>SUM(G51:G52)</f>
        <v>32966.100000000006</v>
      </c>
    </row>
    <row r="54" spans="1:8" s="156" customFormat="1" ht="12" hidden="1">
      <c r="A54" s="166" t="s">
        <v>703</v>
      </c>
      <c r="B54" s="166" t="s">
        <v>704</v>
      </c>
      <c r="C54" s="166"/>
      <c r="D54" s="176"/>
      <c r="E54" s="177"/>
      <c r="F54" s="171"/>
      <c r="G54" s="171"/>
    </row>
    <row r="55" spans="1:8" s="156" customFormat="1" ht="12" hidden="1">
      <c r="A55" s="166"/>
      <c r="B55" s="166"/>
      <c r="C55" s="166"/>
      <c r="D55" s="176"/>
      <c r="E55" s="177"/>
      <c r="F55" s="171"/>
      <c r="G55" s="171"/>
    </row>
    <row r="56" spans="1:8" s="156" customFormat="1" ht="12" hidden="1">
      <c r="A56" s="166"/>
      <c r="B56" s="166"/>
      <c r="C56" s="166"/>
      <c r="D56" s="176"/>
      <c r="E56" s="2467" t="s">
        <v>705</v>
      </c>
      <c r="F56" s="2467"/>
      <c r="G56" s="171"/>
    </row>
    <row r="57" spans="1:8" s="156" customFormat="1" ht="12">
      <c r="A57" s="166"/>
      <c r="B57" s="166"/>
      <c r="C57" s="166"/>
      <c r="D57" s="176"/>
      <c r="E57" s="177"/>
      <c r="F57" s="171"/>
      <c r="G57" s="171"/>
    </row>
    <row r="58" spans="1:8" s="156" customFormat="1" ht="12">
      <c r="A58" s="166" t="s">
        <v>706</v>
      </c>
      <c r="B58" s="2467" t="s">
        <v>707</v>
      </c>
      <c r="C58" s="2467"/>
      <c r="D58" s="2467"/>
      <c r="E58" s="2467"/>
      <c r="F58" s="2467"/>
      <c r="G58" s="171">
        <f>G49+G53+G56</f>
        <v>77623.600000000006</v>
      </c>
    </row>
    <row r="59" spans="1:8" s="156" customFormat="1" ht="12">
      <c r="A59" s="166" t="s">
        <v>708</v>
      </c>
      <c r="B59" s="2469" t="s">
        <v>876</v>
      </c>
      <c r="C59" s="2469"/>
      <c r="D59" s="2469"/>
      <c r="E59" s="2468" t="s">
        <v>710</v>
      </c>
      <c r="F59" s="2468"/>
      <c r="G59" s="171">
        <f>G58*15%</f>
        <v>11643.54</v>
      </c>
    </row>
    <row r="60" spans="1:8" s="156" customFormat="1" ht="12">
      <c r="A60" s="166" t="s">
        <v>711</v>
      </c>
      <c r="B60" s="2466" t="s">
        <v>712</v>
      </c>
      <c r="C60" s="2466"/>
      <c r="D60" s="2466"/>
      <c r="E60" s="2466"/>
      <c r="F60" s="2466"/>
      <c r="G60" s="182">
        <f>ROUND(H60,2)</f>
        <v>89267.14</v>
      </c>
      <c r="H60" s="171">
        <f>SUM(G58:G59)</f>
        <v>89267.140000000014</v>
      </c>
    </row>
    <row r="62" spans="1:8" s="121" customFormat="1" ht="12">
      <c r="A62" s="155" t="s">
        <v>3525</v>
      </c>
      <c r="B62" s="125" t="s">
        <v>3544</v>
      </c>
      <c r="D62" s="122"/>
      <c r="E62" s="123"/>
      <c r="F62" s="124"/>
      <c r="G62" s="124"/>
    </row>
    <row r="63" spans="1:8" s="121" customFormat="1" ht="12">
      <c r="D63" s="122"/>
      <c r="E63" s="123"/>
      <c r="F63" s="124"/>
      <c r="G63" s="124"/>
    </row>
    <row r="64" spans="1:8" s="121" customFormat="1" ht="12">
      <c r="A64" s="129" t="s">
        <v>1003</v>
      </c>
      <c r="B64" s="129" t="s">
        <v>1004</v>
      </c>
      <c r="C64" s="129" t="s">
        <v>1005</v>
      </c>
      <c r="D64" s="130" t="s">
        <v>1006</v>
      </c>
      <c r="E64" s="131" t="s">
        <v>1007</v>
      </c>
      <c r="F64" s="132" t="s">
        <v>2637</v>
      </c>
      <c r="G64" s="132" t="s">
        <v>2638</v>
      </c>
    </row>
    <row r="65" spans="1:7" s="121" customFormat="1" ht="12">
      <c r="A65" s="120" t="s">
        <v>671</v>
      </c>
      <c r="B65" s="154" t="s">
        <v>672</v>
      </c>
      <c r="C65" s="154"/>
      <c r="D65" s="120"/>
      <c r="E65" s="126"/>
      <c r="F65" s="127"/>
      <c r="G65" s="127"/>
    </row>
    <row r="66" spans="1:7" s="121" customFormat="1" ht="12">
      <c r="A66" s="154"/>
      <c r="B66" s="154" t="s">
        <v>673</v>
      </c>
      <c r="C66" s="154" t="s">
        <v>674</v>
      </c>
      <c r="D66" s="120" t="s">
        <v>675</v>
      </c>
      <c r="E66" s="126">
        <v>0.1</v>
      </c>
      <c r="F66" s="127">
        <f>DUB!$I$10</f>
        <v>150000</v>
      </c>
      <c r="G66" s="127">
        <f>F66*E66</f>
        <v>15000</v>
      </c>
    </row>
    <row r="67" spans="1:7" s="121" customFormat="1" ht="12">
      <c r="A67" s="154"/>
      <c r="B67" s="154" t="s">
        <v>871</v>
      </c>
      <c r="C67" s="154" t="s">
        <v>678</v>
      </c>
      <c r="D67" s="120" t="s">
        <v>675</v>
      </c>
      <c r="E67" s="126">
        <v>0.05</v>
      </c>
      <c r="F67" s="127">
        <f>DUB!$I$11</f>
        <v>187000</v>
      </c>
      <c r="G67" s="127">
        <f>F67*E67</f>
        <v>9350</v>
      </c>
    </row>
    <row r="68" spans="1:7" s="121" customFormat="1" ht="12">
      <c r="A68" s="154"/>
      <c r="B68" s="154" t="s">
        <v>751</v>
      </c>
      <c r="C68" s="154" t="s">
        <v>681</v>
      </c>
      <c r="D68" s="120" t="s">
        <v>675</v>
      </c>
      <c r="E68" s="126">
        <v>5.0000000000000001E-3</v>
      </c>
      <c r="F68" s="127">
        <f>DUB!$I$13</f>
        <v>240000</v>
      </c>
      <c r="G68" s="127">
        <f>F68*E68</f>
        <v>1200</v>
      </c>
    </row>
    <row r="69" spans="1:7" s="121" customFormat="1" ht="12">
      <c r="A69" s="154"/>
      <c r="B69" s="154" t="s">
        <v>683</v>
      </c>
      <c r="C69" s="154" t="s">
        <v>684</v>
      </c>
      <c r="D69" s="120" t="s">
        <v>675</v>
      </c>
      <c r="E69" s="126">
        <v>5.0000000000000001E-3</v>
      </c>
      <c r="F69" s="127">
        <f>DUB!$I$12</f>
        <v>225000</v>
      </c>
      <c r="G69" s="127">
        <f>F69*E69</f>
        <v>1125</v>
      </c>
    </row>
    <row r="70" spans="1:7" s="121" customFormat="1" ht="12">
      <c r="A70" s="154"/>
      <c r="B70" s="154"/>
      <c r="C70" s="154"/>
      <c r="D70" s="120"/>
      <c r="E70" s="2464" t="s">
        <v>685</v>
      </c>
      <c r="F70" s="2464"/>
      <c r="G70" s="127">
        <f>SUM(G66:G69)</f>
        <v>26675</v>
      </c>
    </row>
    <row r="71" spans="1:7" s="121" customFormat="1" ht="12">
      <c r="A71" s="120" t="s">
        <v>686</v>
      </c>
      <c r="B71" s="154" t="s">
        <v>687</v>
      </c>
      <c r="C71" s="154"/>
      <c r="D71" s="120"/>
      <c r="E71" s="126"/>
      <c r="F71" s="127"/>
      <c r="G71" s="127"/>
    </row>
    <row r="72" spans="1:7" s="121" customFormat="1" ht="12">
      <c r="A72" s="154"/>
      <c r="B72" s="154" t="s">
        <v>1193</v>
      </c>
      <c r="C72" s="154"/>
      <c r="D72" s="120" t="s">
        <v>888</v>
      </c>
      <c r="E72" s="126">
        <v>0.36399999999999999</v>
      </c>
      <c r="F72" s="127">
        <f>DUB!I281</f>
        <v>77373</v>
      </c>
      <c r="G72" s="127">
        <f>F72*E72</f>
        <v>28163.772000000001</v>
      </c>
    </row>
    <row r="73" spans="1:7" s="121" customFormat="1" ht="12">
      <c r="A73" s="154"/>
      <c r="B73" s="154" t="s">
        <v>1194</v>
      </c>
      <c r="C73" s="154"/>
      <c r="D73" s="120" t="s">
        <v>773</v>
      </c>
      <c r="E73" s="126">
        <v>0.11</v>
      </c>
      <c r="F73" s="127">
        <f>DUB!I129</f>
        <v>155400</v>
      </c>
      <c r="G73" s="127">
        <f>F73*E73</f>
        <v>17094</v>
      </c>
    </row>
    <row r="74" spans="1:7" s="121" customFormat="1" ht="12">
      <c r="A74" s="154"/>
      <c r="B74" s="154"/>
      <c r="C74" s="154"/>
      <c r="D74" s="120"/>
      <c r="E74" s="2465" t="s">
        <v>702</v>
      </c>
      <c r="F74" s="2465"/>
      <c r="G74" s="127">
        <f>SUM(G72:G73)</f>
        <v>45257.771999999997</v>
      </c>
    </row>
    <row r="75" spans="1:7" s="121" customFormat="1" ht="12" hidden="1">
      <c r="A75" s="120" t="s">
        <v>703</v>
      </c>
      <c r="B75" s="154" t="s">
        <v>704</v>
      </c>
      <c r="C75" s="154"/>
      <c r="D75" s="120"/>
      <c r="E75" s="152"/>
      <c r="F75" s="128"/>
      <c r="G75" s="127"/>
    </row>
    <row r="76" spans="1:7" s="121" customFormat="1" ht="12" hidden="1">
      <c r="A76" s="154"/>
      <c r="B76" s="154"/>
      <c r="C76" s="154"/>
      <c r="D76" s="120"/>
      <c r="E76" s="126"/>
      <c r="F76" s="127"/>
      <c r="G76" s="127"/>
    </row>
    <row r="77" spans="1:7" s="121" customFormat="1" ht="12" hidden="1">
      <c r="A77" s="154"/>
      <c r="B77" s="154"/>
      <c r="C77" s="154"/>
      <c r="D77" s="120"/>
      <c r="E77" s="2464" t="s">
        <v>705</v>
      </c>
      <c r="F77" s="2464"/>
      <c r="G77" s="127"/>
    </row>
    <row r="78" spans="1:7" s="121" customFormat="1" ht="12" hidden="1">
      <c r="A78" s="154"/>
      <c r="B78" s="154"/>
      <c r="C78" s="154"/>
      <c r="D78" s="120"/>
      <c r="E78" s="126"/>
      <c r="F78" s="127"/>
      <c r="G78" s="127"/>
    </row>
    <row r="79" spans="1:7" s="121" customFormat="1" ht="12">
      <c r="A79" s="120" t="s">
        <v>706</v>
      </c>
      <c r="B79" s="2464" t="s">
        <v>707</v>
      </c>
      <c r="C79" s="2464"/>
      <c r="D79" s="2464"/>
      <c r="E79" s="2464"/>
      <c r="F79" s="2464"/>
      <c r="G79" s="127">
        <f>G70+G74+G77</f>
        <v>71932.771999999997</v>
      </c>
    </row>
    <row r="80" spans="1:7" s="121" customFormat="1" ht="12">
      <c r="A80" s="120" t="s">
        <v>708</v>
      </c>
      <c r="B80" s="2461" t="s">
        <v>876</v>
      </c>
      <c r="C80" s="2461"/>
      <c r="D80" s="2461"/>
      <c r="E80" s="2462" t="s">
        <v>710</v>
      </c>
      <c r="F80" s="2462"/>
      <c r="G80" s="127">
        <f>G79*15%</f>
        <v>10789.915799999999</v>
      </c>
    </row>
    <row r="81" spans="1:8" s="121" customFormat="1" ht="12">
      <c r="A81" s="120" t="s">
        <v>711</v>
      </c>
      <c r="B81" s="2463" t="s">
        <v>712</v>
      </c>
      <c r="C81" s="2463"/>
      <c r="D81" s="2463"/>
      <c r="E81" s="2463"/>
      <c r="F81" s="2463"/>
      <c r="G81" s="182">
        <f>ROUND(H81,2)</f>
        <v>82722.69</v>
      </c>
      <c r="H81" s="127">
        <f>SUM(G79:G80)</f>
        <v>82722.6878</v>
      </c>
    </row>
    <row r="83" spans="1:8" s="121" customFormat="1" ht="12">
      <c r="A83" s="155" t="s">
        <v>3526</v>
      </c>
      <c r="B83" s="125" t="s">
        <v>3545</v>
      </c>
      <c r="D83" s="122"/>
      <c r="E83" s="123"/>
      <c r="F83" s="124"/>
      <c r="G83" s="124"/>
    </row>
    <row r="84" spans="1:8" s="121" customFormat="1" ht="12">
      <c r="D84" s="122"/>
      <c r="E84" s="123"/>
      <c r="F84" s="124"/>
      <c r="G84" s="124"/>
    </row>
    <row r="85" spans="1:8" s="121" customFormat="1" ht="12">
      <c r="A85" s="129" t="s">
        <v>1003</v>
      </c>
      <c r="B85" s="129" t="s">
        <v>1004</v>
      </c>
      <c r="C85" s="129" t="s">
        <v>1005</v>
      </c>
      <c r="D85" s="130" t="s">
        <v>1006</v>
      </c>
      <c r="E85" s="131" t="s">
        <v>1007</v>
      </c>
      <c r="F85" s="132" t="s">
        <v>2637</v>
      </c>
      <c r="G85" s="132" t="s">
        <v>2638</v>
      </c>
    </row>
    <row r="86" spans="1:8" s="121" customFormat="1" ht="12">
      <c r="A86" s="120" t="s">
        <v>671</v>
      </c>
      <c r="B86" s="154" t="s">
        <v>672</v>
      </c>
      <c r="C86" s="154"/>
      <c r="D86" s="120"/>
      <c r="E86" s="126"/>
      <c r="F86" s="127"/>
      <c r="G86" s="127"/>
    </row>
    <row r="87" spans="1:8" s="121" customFormat="1" ht="12">
      <c r="A87" s="154"/>
      <c r="B87" s="154" t="s">
        <v>673</v>
      </c>
      <c r="C87" s="154" t="s">
        <v>674</v>
      </c>
      <c r="D87" s="120" t="s">
        <v>675</v>
      </c>
      <c r="E87" s="126">
        <v>0.1</v>
      </c>
      <c r="F87" s="127">
        <f>DUB!$I$10</f>
        <v>150000</v>
      </c>
      <c r="G87" s="127">
        <f>F87*E87</f>
        <v>15000</v>
      </c>
    </row>
    <row r="88" spans="1:8" s="121" customFormat="1" ht="12">
      <c r="A88" s="154"/>
      <c r="B88" s="154" t="s">
        <v>871</v>
      </c>
      <c r="C88" s="154" t="s">
        <v>678</v>
      </c>
      <c r="D88" s="120" t="s">
        <v>675</v>
      </c>
      <c r="E88" s="126">
        <v>0.05</v>
      </c>
      <c r="F88" s="127">
        <f>DUB!$I$11</f>
        <v>187000</v>
      </c>
      <c r="G88" s="127">
        <f>F88*E88</f>
        <v>9350</v>
      </c>
    </row>
    <row r="89" spans="1:8" s="121" customFormat="1" ht="12">
      <c r="A89" s="154"/>
      <c r="B89" s="154" t="s">
        <v>751</v>
      </c>
      <c r="C89" s="154" t="s">
        <v>681</v>
      </c>
      <c r="D89" s="120" t="s">
        <v>675</v>
      </c>
      <c r="E89" s="126">
        <v>5.0000000000000001E-3</v>
      </c>
      <c r="F89" s="127">
        <f>DUB!$I$13</f>
        <v>240000</v>
      </c>
      <c r="G89" s="127">
        <f>F89*E89</f>
        <v>1200</v>
      </c>
    </row>
    <row r="90" spans="1:8" s="121" customFormat="1" ht="12">
      <c r="A90" s="154"/>
      <c r="B90" s="154" t="s">
        <v>683</v>
      </c>
      <c r="C90" s="154" t="s">
        <v>684</v>
      </c>
      <c r="D90" s="120" t="s">
        <v>675</v>
      </c>
      <c r="E90" s="126">
        <v>5.0000000000000001E-3</v>
      </c>
      <c r="F90" s="127">
        <f>DUB!$I$12</f>
        <v>225000</v>
      </c>
      <c r="G90" s="127">
        <f>F90*E90</f>
        <v>1125</v>
      </c>
    </row>
    <row r="91" spans="1:8" s="121" customFormat="1" ht="12">
      <c r="A91" s="154"/>
      <c r="B91" s="154"/>
      <c r="C91" s="154"/>
      <c r="D91" s="120"/>
      <c r="E91" s="2464" t="s">
        <v>685</v>
      </c>
      <c r="F91" s="2464"/>
      <c r="G91" s="127">
        <f>SUM(G87:G90)</f>
        <v>26675</v>
      </c>
    </row>
    <row r="92" spans="1:8" s="121" customFormat="1" ht="12">
      <c r="A92" s="120" t="s">
        <v>686</v>
      </c>
      <c r="B92" s="154" t="s">
        <v>687</v>
      </c>
      <c r="C92" s="154"/>
      <c r="D92" s="120"/>
      <c r="E92" s="126"/>
      <c r="F92" s="127"/>
      <c r="G92" s="127"/>
    </row>
    <row r="93" spans="1:8" s="121" customFormat="1" ht="12">
      <c r="A93" s="154"/>
      <c r="B93" s="154" t="s">
        <v>3552</v>
      </c>
      <c r="C93" s="154"/>
      <c r="D93" s="120" t="s">
        <v>888</v>
      </c>
      <c r="E93" s="126">
        <v>0.36399999999999999</v>
      </c>
      <c r="F93" s="127">
        <f>DUB!I304</f>
        <v>109242</v>
      </c>
      <c r="G93" s="127">
        <f>F93*E93</f>
        <v>39764.087999999996</v>
      </c>
    </row>
    <row r="94" spans="1:8" s="121" customFormat="1" ht="12">
      <c r="A94" s="154"/>
      <c r="B94" s="154" t="s">
        <v>1194</v>
      </c>
      <c r="C94" s="154"/>
      <c r="D94" s="120" t="s">
        <v>773</v>
      </c>
      <c r="E94" s="126">
        <v>0.11</v>
      </c>
      <c r="F94" s="127">
        <f>DUB!I129</f>
        <v>155400</v>
      </c>
      <c r="G94" s="127">
        <f>F94*E94</f>
        <v>17094</v>
      </c>
    </row>
    <row r="95" spans="1:8" s="121" customFormat="1" ht="12">
      <c r="A95" s="154"/>
      <c r="B95" s="154"/>
      <c r="C95" s="154"/>
      <c r="D95" s="120"/>
      <c r="E95" s="2465" t="s">
        <v>702</v>
      </c>
      <c r="F95" s="2465"/>
      <c r="G95" s="127">
        <f>SUM(G93:G94)</f>
        <v>56858.087999999996</v>
      </c>
    </row>
    <row r="96" spans="1:8" s="121" customFormat="1" ht="12" hidden="1">
      <c r="A96" s="120" t="s">
        <v>703</v>
      </c>
      <c r="B96" s="154" t="s">
        <v>704</v>
      </c>
      <c r="C96" s="154"/>
      <c r="D96" s="120"/>
      <c r="E96" s="152"/>
      <c r="F96" s="128"/>
      <c r="G96" s="127"/>
    </row>
    <row r="97" spans="1:8" s="121" customFormat="1" ht="12" hidden="1">
      <c r="A97" s="154"/>
      <c r="B97" s="154"/>
      <c r="C97" s="154"/>
      <c r="D97" s="120"/>
      <c r="E97" s="126"/>
      <c r="F97" s="127"/>
      <c r="G97" s="127"/>
    </row>
    <row r="98" spans="1:8" s="121" customFormat="1" ht="12" hidden="1">
      <c r="A98" s="154"/>
      <c r="B98" s="154"/>
      <c r="C98" s="154"/>
      <c r="D98" s="120"/>
      <c r="E98" s="2464" t="s">
        <v>705</v>
      </c>
      <c r="F98" s="2464"/>
      <c r="G98" s="127"/>
    </row>
    <row r="99" spans="1:8" s="121" customFormat="1" ht="12" hidden="1">
      <c r="A99" s="154"/>
      <c r="B99" s="154"/>
      <c r="C99" s="154"/>
      <c r="D99" s="120"/>
      <c r="E99" s="126"/>
      <c r="F99" s="127"/>
      <c r="G99" s="127"/>
    </row>
    <row r="100" spans="1:8" s="121" customFormat="1" ht="12">
      <c r="A100" s="120" t="s">
        <v>706</v>
      </c>
      <c r="B100" s="2464" t="s">
        <v>707</v>
      </c>
      <c r="C100" s="2464"/>
      <c r="D100" s="2464"/>
      <c r="E100" s="2464"/>
      <c r="F100" s="2464"/>
      <c r="G100" s="127">
        <f>G91+G95+G98</f>
        <v>83533.087999999989</v>
      </c>
    </row>
    <row r="101" spans="1:8" s="121" customFormat="1" ht="12">
      <c r="A101" s="120" t="s">
        <v>708</v>
      </c>
      <c r="B101" s="2461" t="s">
        <v>876</v>
      </c>
      <c r="C101" s="2461"/>
      <c r="D101" s="2461"/>
      <c r="E101" s="2462" t="s">
        <v>710</v>
      </c>
      <c r="F101" s="2462"/>
      <c r="G101" s="127">
        <f>G100*15%</f>
        <v>12529.963199999998</v>
      </c>
    </row>
    <row r="102" spans="1:8" s="121" customFormat="1" ht="12">
      <c r="A102" s="120" t="s">
        <v>711</v>
      </c>
      <c r="B102" s="2463" t="s">
        <v>712</v>
      </c>
      <c r="C102" s="2463"/>
      <c r="D102" s="2463"/>
      <c r="E102" s="2463"/>
      <c r="F102" s="2463"/>
      <c r="G102" s="182">
        <f>ROUND(H102,2)</f>
        <v>96063.05</v>
      </c>
      <c r="H102" s="127">
        <f>SUM(G100:G101)</f>
        <v>96063.051199999987</v>
      </c>
    </row>
    <row r="104" spans="1:8" s="121" customFormat="1" ht="12">
      <c r="A104" s="155" t="s">
        <v>3527</v>
      </c>
      <c r="B104" s="125" t="s">
        <v>3546</v>
      </c>
      <c r="D104" s="122"/>
      <c r="E104" s="123"/>
      <c r="F104" s="124"/>
      <c r="G104" s="124"/>
    </row>
    <row r="105" spans="1:8" s="121" customFormat="1" ht="12">
      <c r="D105" s="122"/>
      <c r="E105" s="123"/>
      <c r="F105" s="124"/>
      <c r="G105" s="124"/>
    </row>
    <row r="106" spans="1:8" s="121" customFormat="1" ht="12">
      <c r="A106" s="129" t="s">
        <v>1003</v>
      </c>
      <c r="B106" s="129" t="s">
        <v>1004</v>
      </c>
      <c r="C106" s="129" t="s">
        <v>1005</v>
      </c>
      <c r="D106" s="130" t="s">
        <v>1006</v>
      </c>
      <c r="E106" s="131" t="s">
        <v>1007</v>
      </c>
      <c r="F106" s="132" t="s">
        <v>2637</v>
      </c>
      <c r="G106" s="132" t="s">
        <v>2638</v>
      </c>
    </row>
    <row r="107" spans="1:8" s="121" customFormat="1" ht="12">
      <c r="A107" s="120" t="s">
        <v>671</v>
      </c>
      <c r="B107" s="154" t="s">
        <v>672</v>
      </c>
      <c r="C107" s="154"/>
      <c r="D107" s="120"/>
      <c r="E107" s="126"/>
      <c r="F107" s="127"/>
      <c r="G107" s="127"/>
    </row>
    <row r="108" spans="1:8" s="121" customFormat="1" ht="12">
      <c r="A108" s="154"/>
      <c r="B108" s="154" t="s">
        <v>673</v>
      </c>
      <c r="C108" s="154" t="s">
        <v>674</v>
      </c>
      <c r="D108" s="120" t="s">
        <v>675</v>
      </c>
      <c r="E108" s="126">
        <v>0.1</v>
      </c>
      <c r="F108" s="127">
        <f>DUB!$I$10</f>
        <v>150000</v>
      </c>
      <c r="G108" s="127">
        <f>F108*E108</f>
        <v>15000</v>
      </c>
    </row>
    <row r="109" spans="1:8" s="121" customFormat="1" ht="12">
      <c r="A109" s="154"/>
      <c r="B109" s="154" t="s">
        <v>871</v>
      </c>
      <c r="C109" s="154" t="s">
        <v>678</v>
      </c>
      <c r="D109" s="120" t="s">
        <v>675</v>
      </c>
      <c r="E109" s="126">
        <v>0.05</v>
      </c>
      <c r="F109" s="127">
        <f>DUB!$I$11</f>
        <v>187000</v>
      </c>
      <c r="G109" s="127">
        <f>F109*E109</f>
        <v>9350</v>
      </c>
    </row>
    <row r="110" spans="1:8" s="121" customFormat="1" ht="12">
      <c r="A110" s="154"/>
      <c r="B110" s="154" t="s">
        <v>751</v>
      </c>
      <c r="C110" s="154" t="s">
        <v>681</v>
      </c>
      <c r="D110" s="120" t="s">
        <v>675</v>
      </c>
      <c r="E110" s="126">
        <v>5.0000000000000001E-3</v>
      </c>
      <c r="F110" s="127">
        <f>DUB!$I$13</f>
        <v>240000</v>
      </c>
      <c r="G110" s="127">
        <f>F110*E110</f>
        <v>1200</v>
      </c>
    </row>
    <row r="111" spans="1:8" s="121" customFormat="1" ht="12">
      <c r="A111" s="154"/>
      <c r="B111" s="154" t="s">
        <v>683</v>
      </c>
      <c r="C111" s="154" t="s">
        <v>684</v>
      </c>
      <c r="D111" s="120" t="s">
        <v>675</v>
      </c>
      <c r="E111" s="126">
        <v>5.0000000000000001E-3</v>
      </c>
      <c r="F111" s="127">
        <f>DUB!$I$12</f>
        <v>225000</v>
      </c>
      <c r="G111" s="127">
        <f>F111*E111</f>
        <v>1125</v>
      </c>
    </row>
    <row r="112" spans="1:8" s="121" customFormat="1" ht="12">
      <c r="A112" s="154"/>
      <c r="B112" s="154"/>
      <c r="C112" s="154"/>
      <c r="D112" s="120"/>
      <c r="E112" s="2464" t="s">
        <v>685</v>
      </c>
      <c r="F112" s="2464"/>
      <c r="G112" s="127">
        <f>SUM(G108:G111)</f>
        <v>26675</v>
      </c>
    </row>
    <row r="113" spans="1:8" s="121" customFormat="1" ht="12">
      <c r="A113" s="120" t="s">
        <v>686</v>
      </c>
      <c r="B113" s="154" t="s">
        <v>687</v>
      </c>
      <c r="C113" s="154"/>
      <c r="D113" s="120"/>
      <c r="E113" s="126"/>
      <c r="F113" s="127"/>
      <c r="G113" s="127"/>
    </row>
    <row r="114" spans="1:8" s="121" customFormat="1" ht="12">
      <c r="A114" s="154"/>
      <c r="B114" s="154" t="s">
        <v>3547</v>
      </c>
      <c r="C114" s="154"/>
      <c r="D114" s="120" t="s">
        <v>888</v>
      </c>
      <c r="E114" s="126">
        <v>0.36399999999999999</v>
      </c>
      <c r="F114" s="127">
        <f>DUB!I92</f>
        <v>76464</v>
      </c>
      <c r="G114" s="127">
        <f>F114*E114</f>
        <v>27832.896000000001</v>
      </c>
    </row>
    <row r="115" spans="1:8" s="121" customFormat="1" ht="12">
      <c r="A115" s="154"/>
      <c r="B115" s="154" t="s">
        <v>1194</v>
      </c>
      <c r="C115" s="154"/>
      <c r="D115" s="120" t="s">
        <v>773</v>
      </c>
      <c r="E115" s="126">
        <v>0.11</v>
      </c>
      <c r="F115" s="127">
        <f>DUB!I129</f>
        <v>155400</v>
      </c>
      <c r="G115" s="127">
        <f>F115*E115</f>
        <v>17094</v>
      </c>
    </row>
    <row r="116" spans="1:8" s="121" customFormat="1" ht="12">
      <c r="A116" s="154"/>
      <c r="B116" s="154"/>
      <c r="C116" s="154"/>
      <c r="D116" s="120"/>
      <c r="E116" s="2465" t="s">
        <v>702</v>
      </c>
      <c r="F116" s="2465"/>
      <c r="G116" s="127">
        <f>SUM(G114:G115)</f>
        <v>44926.896000000001</v>
      </c>
    </row>
    <row r="117" spans="1:8" s="121" customFormat="1" ht="12" hidden="1">
      <c r="A117" s="120" t="s">
        <v>703</v>
      </c>
      <c r="B117" s="154" t="s">
        <v>704</v>
      </c>
      <c r="C117" s="154"/>
      <c r="D117" s="120"/>
      <c r="E117" s="152"/>
      <c r="F117" s="128"/>
      <c r="G117" s="127"/>
    </row>
    <row r="118" spans="1:8" s="121" customFormat="1" ht="12" hidden="1">
      <c r="A118" s="154"/>
      <c r="B118" s="154"/>
      <c r="C118" s="154"/>
      <c r="D118" s="120"/>
      <c r="E118" s="126"/>
      <c r="F118" s="127"/>
      <c r="G118" s="127"/>
    </row>
    <row r="119" spans="1:8" s="121" customFormat="1" ht="12" hidden="1">
      <c r="A119" s="154"/>
      <c r="B119" s="154"/>
      <c r="C119" s="154"/>
      <c r="D119" s="120"/>
      <c r="E119" s="2464" t="s">
        <v>705</v>
      </c>
      <c r="F119" s="2464"/>
      <c r="G119" s="127"/>
    </row>
    <row r="120" spans="1:8" s="121" customFormat="1" ht="12" hidden="1">
      <c r="A120" s="154"/>
      <c r="B120" s="154"/>
      <c r="C120" s="154"/>
      <c r="D120" s="120"/>
      <c r="E120" s="126"/>
      <c r="F120" s="127"/>
      <c r="G120" s="127"/>
    </row>
    <row r="121" spans="1:8" s="121" customFormat="1" ht="12">
      <c r="A121" s="120" t="s">
        <v>706</v>
      </c>
      <c r="B121" s="2464" t="s">
        <v>707</v>
      </c>
      <c r="C121" s="2464"/>
      <c r="D121" s="2464"/>
      <c r="E121" s="2464"/>
      <c r="F121" s="2464"/>
      <c r="G121" s="127">
        <f>G112+G116+G119</f>
        <v>71601.896000000008</v>
      </c>
    </row>
    <row r="122" spans="1:8" s="121" customFormat="1" ht="12">
      <c r="A122" s="120" t="s">
        <v>708</v>
      </c>
      <c r="B122" s="2461" t="s">
        <v>876</v>
      </c>
      <c r="C122" s="2461"/>
      <c r="D122" s="2461"/>
      <c r="E122" s="2462" t="s">
        <v>710</v>
      </c>
      <c r="F122" s="2462"/>
      <c r="G122" s="127">
        <f>G121*15%</f>
        <v>10740.2844</v>
      </c>
    </row>
    <row r="123" spans="1:8" s="121" customFormat="1" ht="12">
      <c r="A123" s="120" t="s">
        <v>711</v>
      </c>
      <c r="B123" s="2463" t="s">
        <v>712</v>
      </c>
      <c r="C123" s="2463"/>
      <c r="D123" s="2463"/>
      <c r="E123" s="2463"/>
      <c r="F123" s="2463"/>
      <c r="G123" s="182">
        <f>ROUND(H123,2)</f>
        <v>82342.179999999993</v>
      </c>
      <c r="H123" s="127">
        <f>SUM(G121:G122)</f>
        <v>82342.180400000012</v>
      </c>
    </row>
    <row r="124" spans="1:8" s="121" customFormat="1" ht="12">
      <c r="A124" s="141"/>
      <c r="B124" s="140"/>
      <c r="C124" s="140"/>
      <c r="D124" s="140"/>
      <c r="E124" s="140"/>
      <c r="F124" s="140"/>
      <c r="G124" s="134"/>
    </row>
    <row r="125" spans="1:8" s="121" customFormat="1" ht="12">
      <c r="A125" s="155" t="s">
        <v>3528</v>
      </c>
      <c r="B125" s="125" t="s">
        <v>3559</v>
      </c>
      <c r="D125" s="122"/>
      <c r="E125" s="123"/>
      <c r="F125" s="124"/>
      <c r="G125" s="124"/>
    </row>
    <row r="126" spans="1:8" s="121" customFormat="1" ht="12">
      <c r="D126" s="122"/>
      <c r="E126" s="123"/>
      <c r="F126" s="124"/>
      <c r="G126" s="124"/>
    </row>
    <row r="127" spans="1:8" s="121" customFormat="1" ht="12">
      <c r="A127" s="129" t="s">
        <v>1003</v>
      </c>
      <c r="B127" s="129" t="s">
        <v>1004</v>
      </c>
      <c r="C127" s="129" t="s">
        <v>1005</v>
      </c>
      <c r="D127" s="130" t="s">
        <v>1006</v>
      </c>
      <c r="E127" s="131" t="s">
        <v>1007</v>
      </c>
      <c r="F127" s="132" t="s">
        <v>2637</v>
      </c>
      <c r="G127" s="132" t="s">
        <v>2638</v>
      </c>
    </row>
    <row r="128" spans="1:8" s="121" customFormat="1" ht="12">
      <c r="A128" s="120" t="s">
        <v>671</v>
      </c>
      <c r="B128" s="154" t="s">
        <v>672</v>
      </c>
      <c r="C128" s="154"/>
      <c r="D128" s="120"/>
      <c r="E128" s="126"/>
      <c r="F128" s="127"/>
      <c r="G128" s="127"/>
    </row>
    <row r="129" spans="1:8" s="121" customFormat="1" ht="12">
      <c r="A129" s="154"/>
      <c r="B129" s="154" t="s">
        <v>673</v>
      </c>
      <c r="C129" s="154" t="s">
        <v>674</v>
      </c>
      <c r="D129" s="120" t="s">
        <v>675</v>
      </c>
      <c r="E129" s="126">
        <v>0.1</v>
      </c>
      <c r="F129" s="127">
        <f>DUB!$I$10</f>
        <v>150000</v>
      </c>
      <c r="G129" s="127">
        <f>F129*E129</f>
        <v>15000</v>
      </c>
    </row>
    <row r="130" spans="1:8" s="121" customFormat="1" ht="12">
      <c r="A130" s="154"/>
      <c r="B130" s="154" t="s">
        <v>871</v>
      </c>
      <c r="C130" s="154" t="s">
        <v>678</v>
      </c>
      <c r="D130" s="120" t="s">
        <v>675</v>
      </c>
      <c r="E130" s="126">
        <v>0.05</v>
      </c>
      <c r="F130" s="127">
        <f>DUB!$I$11</f>
        <v>187000</v>
      </c>
      <c r="G130" s="127">
        <f>F130*E130</f>
        <v>9350</v>
      </c>
    </row>
    <row r="131" spans="1:8" s="121" customFormat="1" ht="12">
      <c r="A131" s="154"/>
      <c r="B131" s="154" t="s">
        <v>751</v>
      </c>
      <c r="C131" s="154" t="s">
        <v>681</v>
      </c>
      <c r="D131" s="120" t="s">
        <v>675</v>
      </c>
      <c r="E131" s="126">
        <v>5.0000000000000001E-3</v>
      </c>
      <c r="F131" s="127">
        <f>DUB!$I$13</f>
        <v>240000</v>
      </c>
      <c r="G131" s="127">
        <f>F131*E131</f>
        <v>1200</v>
      </c>
    </row>
    <row r="132" spans="1:8" s="121" customFormat="1" ht="12">
      <c r="A132" s="154"/>
      <c r="B132" s="154" t="s">
        <v>683</v>
      </c>
      <c r="C132" s="154" t="s">
        <v>684</v>
      </c>
      <c r="D132" s="120" t="s">
        <v>675</v>
      </c>
      <c r="E132" s="126">
        <v>5.0000000000000001E-3</v>
      </c>
      <c r="F132" s="127">
        <f>DUB!$I$12</f>
        <v>225000</v>
      </c>
      <c r="G132" s="127">
        <f>F132*E132</f>
        <v>1125</v>
      </c>
    </row>
    <row r="133" spans="1:8" s="121" customFormat="1" ht="12">
      <c r="A133" s="154"/>
      <c r="B133" s="154"/>
      <c r="C133" s="154"/>
      <c r="D133" s="120"/>
      <c r="E133" s="2464" t="s">
        <v>685</v>
      </c>
      <c r="F133" s="2464"/>
      <c r="G133" s="127">
        <f>SUM(G129:G132)</f>
        <v>26675</v>
      </c>
    </row>
    <row r="134" spans="1:8" s="121" customFormat="1" ht="12">
      <c r="A134" s="120" t="s">
        <v>686</v>
      </c>
      <c r="B134" s="154" t="s">
        <v>687</v>
      </c>
      <c r="C134" s="154"/>
      <c r="D134" s="120"/>
      <c r="E134" s="126"/>
      <c r="F134" s="127"/>
      <c r="G134" s="127"/>
    </row>
    <row r="135" spans="1:8" s="121" customFormat="1" ht="12">
      <c r="A135" s="154"/>
      <c r="B135" s="154" t="s">
        <v>3566</v>
      </c>
      <c r="C135" s="154"/>
      <c r="D135" s="120" t="s">
        <v>888</v>
      </c>
      <c r="E135" s="126">
        <v>0.36399999999999999</v>
      </c>
      <c r="F135" s="127">
        <f>DUB!I94</f>
        <v>143750</v>
      </c>
      <c r="G135" s="127">
        <f>F135*E135</f>
        <v>52325</v>
      </c>
    </row>
    <row r="136" spans="1:8" s="121" customFormat="1" ht="12">
      <c r="A136" s="154"/>
      <c r="B136" s="154" t="s">
        <v>1194</v>
      </c>
      <c r="C136" s="154"/>
      <c r="D136" s="120" t="s">
        <v>773</v>
      </c>
      <c r="E136" s="126">
        <v>0.11</v>
      </c>
      <c r="F136" s="127">
        <f>DUB!I129</f>
        <v>155400</v>
      </c>
      <c r="G136" s="127">
        <f>F136*E136</f>
        <v>17094</v>
      </c>
    </row>
    <row r="137" spans="1:8" s="121" customFormat="1" ht="12">
      <c r="A137" s="154"/>
      <c r="B137" s="154"/>
      <c r="C137" s="154"/>
      <c r="D137" s="120"/>
      <c r="E137" s="2465" t="s">
        <v>702</v>
      </c>
      <c r="F137" s="2465"/>
      <c r="G137" s="127">
        <f>SUM(G135:G136)</f>
        <v>69419</v>
      </c>
    </row>
    <row r="138" spans="1:8" s="121" customFormat="1" ht="12" hidden="1">
      <c r="A138" s="120" t="s">
        <v>703</v>
      </c>
      <c r="B138" s="154" t="s">
        <v>704</v>
      </c>
      <c r="C138" s="154"/>
      <c r="D138" s="120"/>
      <c r="E138" s="152"/>
      <c r="F138" s="128"/>
      <c r="G138" s="127"/>
    </row>
    <row r="139" spans="1:8" s="121" customFormat="1" ht="12" hidden="1">
      <c r="A139" s="154"/>
      <c r="B139" s="154"/>
      <c r="C139" s="154"/>
      <c r="D139" s="120"/>
      <c r="E139" s="126"/>
      <c r="F139" s="127"/>
      <c r="G139" s="127"/>
    </row>
    <row r="140" spans="1:8" s="121" customFormat="1" ht="12" hidden="1">
      <c r="A140" s="154"/>
      <c r="B140" s="154"/>
      <c r="C140" s="154"/>
      <c r="D140" s="120"/>
      <c r="E140" s="2464" t="s">
        <v>705</v>
      </c>
      <c r="F140" s="2464"/>
      <c r="G140" s="127"/>
    </row>
    <row r="141" spans="1:8" s="121" customFormat="1" ht="12" hidden="1">
      <c r="A141" s="154"/>
      <c r="B141" s="154"/>
      <c r="C141" s="154"/>
      <c r="D141" s="120"/>
      <c r="E141" s="126"/>
      <c r="F141" s="127"/>
      <c r="G141" s="127"/>
    </row>
    <row r="142" spans="1:8" s="121" customFormat="1" ht="12">
      <c r="A142" s="120" t="s">
        <v>706</v>
      </c>
      <c r="B142" s="2464" t="s">
        <v>707</v>
      </c>
      <c r="C142" s="2464"/>
      <c r="D142" s="2464"/>
      <c r="E142" s="2464"/>
      <c r="F142" s="2464"/>
      <c r="G142" s="127">
        <f>G133+G137+G140</f>
        <v>96094</v>
      </c>
    </row>
    <row r="143" spans="1:8" s="121" customFormat="1" ht="12">
      <c r="A143" s="120" t="s">
        <v>708</v>
      </c>
      <c r="B143" s="2461" t="s">
        <v>876</v>
      </c>
      <c r="C143" s="2461"/>
      <c r="D143" s="2461"/>
      <c r="E143" s="2462" t="s">
        <v>710</v>
      </c>
      <c r="F143" s="2462"/>
      <c r="G143" s="127">
        <f>G142*15%</f>
        <v>14414.1</v>
      </c>
    </row>
    <row r="144" spans="1:8" s="121" customFormat="1" ht="12">
      <c r="A144" s="120" t="s">
        <v>711</v>
      </c>
      <c r="B144" s="2463" t="s">
        <v>712</v>
      </c>
      <c r="C144" s="2463"/>
      <c r="D144" s="2463"/>
      <c r="E144" s="2463"/>
      <c r="F144" s="2463"/>
      <c r="G144" s="182">
        <f>ROUND(H144,2)</f>
        <v>110508.1</v>
      </c>
      <c r="H144" s="127">
        <f>SUM(G142:G143)</f>
        <v>110508.1</v>
      </c>
    </row>
    <row r="146" spans="1:7" s="121" customFormat="1" ht="12">
      <c r="A146" s="155" t="s">
        <v>3529</v>
      </c>
      <c r="B146" s="133" t="s">
        <v>3548</v>
      </c>
      <c r="C146" s="140"/>
      <c r="D146" s="141"/>
      <c r="E146" s="142"/>
      <c r="F146" s="134"/>
      <c r="G146" s="134"/>
    </row>
    <row r="147" spans="1:7" s="121" customFormat="1" ht="12">
      <c r="A147" s="146"/>
      <c r="B147" s="146"/>
      <c r="C147" s="146"/>
      <c r="D147" s="147"/>
      <c r="E147" s="148"/>
      <c r="F147" s="149"/>
      <c r="G147" s="149"/>
    </row>
    <row r="148" spans="1:7" s="121" customFormat="1" ht="12">
      <c r="A148" s="129" t="s">
        <v>1003</v>
      </c>
      <c r="B148" s="129" t="s">
        <v>1004</v>
      </c>
      <c r="C148" s="129" t="s">
        <v>1005</v>
      </c>
      <c r="D148" s="130" t="s">
        <v>1006</v>
      </c>
      <c r="E148" s="131" t="s">
        <v>1007</v>
      </c>
      <c r="F148" s="132" t="s">
        <v>2637</v>
      </c>
      <c r="G148" s="132" t="s">
        <v>2638</v>
      </c>
    </row>
    <row r="149" spans="1:7" s="121" customFormat="1" ht="12">
      <c r="A149" s="154" t="s">
        <v>671</v>
      </c>
      <c r="B149" s="154" t="s">
        <v>672</v>
      </c>
      <c r="C149" s="154"/>
      <c r="D149" s="120"/>
      <c r="E149" s="126"/>
      <c r="F149" s="127"/>
      <c r="G149" s="127"/>
    </row>
    <row r="150" spans="1:7" s="121" customFormat="1" ht="12">
      <c r="A150" s="154"/>
      <c r="B150" s="154" t="s">
        <v>673</v>
      </c>
      <c r="C150" s="154" t="s">
        <v>674</v>
      </c>
      <c r="D150" s="120" t="s">
        <v>675</v>
      </c>
      <c r="E150" s="126">
        <v>8.4000000000000005E-2</v>
      </c>
      <c r="F150" s="127">
        <f>DUB!$I$10</f>
        <v>150000</v>
      </c>
      <c r="G150" s="127">
        <f>F150*E150</f>
        <v>12600</v>
      </c>
    </row>
    <row r="151" spans="1:7" s="121" customFormat="1" ht="12">
      <c r="A151" s="154"/>
      <c r="B151" s="154" t="s">
        <v>677</v>
      </c>
      <c r="C151" s="154" t="s">
        <v>678</v>
      </c>
      <c r="D151" s="120" t="s">
        <v>675</v>
      </c>
      <c r="E151" s="126">
        <v>0.125</v>
      </c>
      <c r="F151" s="127">
        <f>DUB!$I$11</f>
        <v>187000</v>
      </c>
      <c r="G151" s="127">
        <f>F151*E151</f>
        <v>23375</v>
      </c>
    </row>
    <row r="152" spans="1:7" s="121" customFormat="1" ht="12">
      <c r="A152" s="154"/>
      <c r="B152" s="154" t="s">
        <v>751</v>
      </c>
      <c r="C152" s="154" t="s">
        <v>681</v>
      </c>
      <c r="D152" s="120" t="s">
        <v>675</v>
      </c>
      <c r="E152" s="126">
        <v>1.2999999999999999E-2</v>
      </c>
      <c r="F152" s="127">
        <f>DUB!$I$13</f>
        <v>240000</v>
      </c>
      <c r="G152" s="127">
        <f>F152*E152</f>
        <v>3120</v>
      </c>
    </row>
    <row r="153" spans="1:7" s="121" customFormat="1" ht="12">
      <c r="A153" s="154"/>
      <c r="B153" s="154" t="s">
        <v>683</v>
      </c>
      <c r="C153" s="154" t="s">
        <v>684</v>
      </c>
      <c r="D153" s="120" t="s">
        <v>675</v>
      </c>
      <c r="E153" s="126">
        <v>4.0000000000000001E-3</v>
      </c>
      <c r="F153" s="127">
        <f>DUB!$I$12</f>
        <v>225000</v>
      </c>
      <c r="G153" s="127">
        <f>F153*E153</f>
        <v>900</v>
      </c>
    </row>
    <row r="154" spans="1:7" s="121" customFormat="1" ht="12">
      <c r="A154" s="154"/>
      <c r="B154" s="154"/>
      <c r="C154" s="154"/>
      <c r="D154" s="120"/>
      <c r="E154" s="2464" t="s">
        <v>685</v>
      </c>
      <c r="F154" s="2464"/>
      <c r="G154" s="127">
        <f>SUM(G150:G153)</f>
        <v>39995</v>
      </c>
    </row>
    <row r="155" spans="1:7" s="121" customFormat="1" ht="12">
      <c r="A155" s="154" t="s">
        <v>686</v>
      </c>
      <c r="B155" s="154" t="s">
        <v>687</v>
      </c>
      <c r="C155" s="154"/>
      <c r="D155" s="120"/>
      <c r="E155" s="126"/>
      <c r="F155" s="127"/>
      <c r="G155" s="127"/>
    </row>
    <row r="156" spans="1:7" s="121" customFormat="1" ht="12">
      <c r="A156" s="154"/>
      <c r="B156" s="154" t="s">
        <v>3549</v>
      </c>
      <c r="C156" s="154"/>
      <c r="D156" s="120" t="s">
        <v>715</v>
      </c>
      <c r="E156" s="126">
        <v>1.1000000000000001</v>
      </c>
      <c r="F156" s="127">
        <f>DUB!I266</f>
        <v>37485</v>
      </c>
      <c r="G156" s="127">
        <f>F156*E156</f>
        <v>41233.5</v>
      </c>
    </row>
    <row r="157" spans="1:7" s="121" customFormat="1" ht="12">
      <c r="A157" s="154"/>
      <c r="B157" s="154" t="s">
        <v>2655</v>
      </c>
      <c r="C157" s="154"/>
      <c r="D157" s="120" t="s">
        <v>743</v>
      </c>
      <c r="E157" s="126">
        <v>6</v>
      </c>
      <c r="F157" s="127">
        <f>DUB!$I$131</f>
        <v>531</v>
      </c>
      <c r="G157" s="127">
        <f>F157*E157</f>
        <v>3186</v>
      </c>
    </row>
    <row r="158" spans="1:7" s="121" customFormat="1" ht="12">
      <c r="A158" s="154"/>
      <c r="B158" s="154"/>
      <c r="C158" s="154"/>
      <c r="D158" s="120"/>
      <c r="E158" s="2465" t="s">
        <v>702</v>
      </c>
      <c r="F158" s="2465"/>
      <c r="G158" s="127">
        <f>SUM(G156:G157)</f>
        <v>44419.5</v>
      </c>
    </row>
    <row r="159" spans="1:7" s="121" customFormat="1" ht="12" hidden="1">
      <c r="A159" s="154" t="s">
        <v>703</v>
      </c>
      <c r="B159" s="154" t="s">
        <v>704</v>
      </c>
      <c r="C159" s="154"/>
      <c r="D159" s="120"/>
      <c r="E159" s="152"/>
      <c r="F159" s="128"/>
      <c r="G159" s="127"/>
    </row>
    <row r="160" spans="1:7" s="121" customFormat="1" ht="12" hidden="1">
      <c r="A160" s="154"/>
      <c r="B160" s="154"/>
      <c r="C160" s="154"/>
      <c r="D160" s="120"/>
      <c r="E160" s="126"/>
      <c r="F160" s="127"/>
      <c r="G160" s="127"/>
    </row>
    <row r="161" spans="1:8" s="121" customFormat="1" ht="12" hidden="1">
      <c r="A161" s="154"/>
      <c r="B161" s="154"/>
      <c r="C161" s="154"/>
      <c r="D161" s="120"/>
      <c r="E161" s="2464" t="s">
        <v>705</v>
      </c>
      <c r="F161" s="2464"/>
      <c r="G161" s="127"/>
    </row>
    <row r="162" spans="1:8" s="121" customFormat="1" ht="12" hidden="1">
      <c r="A162" s="154"/>
      <c r="B162" s="154"/>
      <c r="C162" s="154"/>
      <c r="D162" s="120"/>
      <c r="E162" s="126"/>
      <c r="F162" s="127"/>
      <c r="G162" s="127"/>
    </row>
    <row r="163" spans="1:8" s="121" customFormat="1" ht="12">
      <c r="A163" s="154" t="s">
        <v>706</v>
      </c>
      <c r="B163" s="2464" t="s">
        <v>707</v>
      </c>
      <c r="C163" s="2464"/>
      <c r="D163" s="2464"/>
      <c r="E163" s="2464"/>
      <c r="F163" s="2464"/>
      <c r="G163" s="127">
        <f>G154+G158+G161</f>
        <v>84414.5</v>
      </c>
    </row>
    <row r="164" spans="1:8" s="121" customFormat="1" ht="12">
      <c r="A164" s="154" t="s">
        <v>708</v>
      </c>
      <c r="B164" s="2461" t="s">
        <v>876</v>
      </c>
      <c r="C164" s="2461"/>
      <c r="D164" s="2461"/>
      <c r="E164" s="2462" t="s">
        <v>710</v>
      </c>
      <c r="F164" s="2462"/>
      <c r="G164" s="127">
        <f>G163*15%</f>
        <v>12662.174999999999</v>
      </c>
    </row>
    <row r="165" spans="1:8" s="121" customFormat="1" ht="12">
      <c r="A165" s="154" t="s">
        <v>711</v>
      </c>
      <c r="B165" s="2463" t="s">
        <v>712</v>
      </c>
      <c r="C165" s="2463"/>
      <c r="D165" s="2463"/>
      <c r="E165" s="2463"/>
      <c r="F165" s="2463"/>
      <c r="G165" s="182">
        <f>ROUND(H165,2)</f>
        <v>97076.68</v>
      </c>
      <c r="H165" s="127">
        <f>SUM(G163:G164)</f>
        <v>97076.675000000003</v>
      </c>
    </row>
    <row r="166" spans="1:8" s="121" customFormat="1" ht="12">
      <c r="D166" s="122"/>
      <c r="E166" s="123"/>
      <c r="F166" s="124"/>
      <c r="G166" s="124"/>
    </row>
    <row r="167" spans="1:8" s="121" customFormat="1" ht="12">
      <c r="A167" s="125" t="s">
        <v>3561</v>
      </c>
      <c r="B167" s="125" t="s">
        <v>3554</v>
      </c>
      <c r="D167" s="122"/>
      <c r="E167" s="123"/>
      <c r="F167" s="124"/>
      <c r="G167" s="124"/>
    </row>
    <row r="168" spans="1:8" s="121" customFormat="1" ht="12">
      <c r="A168" s="129" t="s">
        <v>1003</v>
      </c>
      <c r="B168" s="129" t="s">
        <v>1004</v>
      </c>
      <c r="C168" s="129" t="s">
        <v>1005</v>
      </c>
      <c r="D168" s="130" t="s">
        <v>1006</v>
      </c>
      <c r="E168" s="131" t="s">
        <v>1007</v>
      </c>
      <c r="F168" s="132" t="s">
        <v>2637</v>
      </c>
      <c r="G168" s="132" t="s">
        <v>2638</v>
      </c>
    </row>
    <row r="169" spans="1:8" s="121" customFormat="1" ht="12">
      <c r="A169" s="120" t="s">
        <v>671</v>
      </c>
      <c r="B169" s="154" t="s">
        <v>672</v>
      </c>
      <c r="C169" s="154"/>
      <c r="D169" s="120"/>
      <c r="E169" s="126"/>
      <c r="F169" s="127"/>
      <c r="G169" s="127"/>
    </row>
    <row r="170" spans="1:8" s="121" customFormat="1" ht="12">
      <c r="A170" s="154"/>
      <c r="B170" s="154" t="s">
        <v>673</v>
      </c>
      <c r="C170" s="154" t="s">
        <v>674</v>
      </c>
      <c r="D170" s="120" t="s">
        <v>675</v>
      </c>
      <c r="E170" s="126">
        <v>0.35</v>
      </c>
      <c r="F170" s="127">
        <f>DUB!$I$10</f>
        <v>150000</v>
      </c>
      <c r="G170" s="127">
        <f>F170*E170</f>
        <v>52500</v>
      </c>
    </row>
    <row r="171" spans="1:8" s="121" customFormat="1" ht="12">
      <c r="A171" s="154"/>
      <c r="B171" s="154" t="s">
        <v>816</v>
      </c>
      <c r="C171" s="154" t="s">
        <v>678</v>
      </c>
      <c r="D171" s="120" t="s">
        <v>675</v>
      </c>
      <c r="E171" s="126">
        <v>0.17499999999999999</v>
      </c>
      <c r="F171" s="127">
        <f>DUB!$I$11</f>
        <v>187000</v>
      </c>
      <c r="G171" s="127">
        <f>F171*E171</f>
        <v>32724.999999999996</v>
      </c>
    </row>
    <row r="172" spans="1:8" s="121" customFormat="1" ht="12">
      <c r="A172" s="154"/>
      <c r="B172" s="154" t="s">
        <v>751</v>
      </c>
      <c r="C172" s="154" t="s">
        <v>681</v>
      </c>
      <c r="D172" s="120" t="s">
        <v>675</v>
      </c>
      <c r="E172" s="126">
        <v>1.7000000000000001E-2</v>
      </c>
      <c r="F172" s="127">
        <f>DUB!$I$13</f>
        <v>240000</v>
      </c>
      <c r="G172" s="127">
        <f>F172*E172</f>
        <v>4080.0000000000005</v>
      </c>
    </row>
    <row r="173" spans="1:8" s="121" customFormat="1" ht="12">
      <c r="A173" s="154"/>
      <c r="B173" s="154" t="s">
        <v>683</v>
      </c>
      <c r="C173" s="154" t="s">
        <v>684</v>
      </c>
      <c r="D173" s="120" t="s">
        <v>675</v>
      </c>
      <c r="E173" s="126">
        <v>2E-3</v>
      </c>
      <c r="F173" s="127">
        <f>DUB!$I$12</f>
        <v>225000</v>
      </c>
      <c r="G173" s="127">
        <f>F173*E173</f>
        <v>450</v>
      </c>
    </row>
    <row r="174" spans="1:8" s="121" customFormat="1" ht="12">
      <c r="A174" s="154"/>
      <c r="B174" s="154"/>
      <c r="C174" s="154"/>
      <c r="D174" s="120"/>
      <c r="E174" s="2464" t="s">
        <v>685</v>
      </c>
      <c r="F174" s="2464"/>
      <c r="G174" s="127">
        <f>SUM(G170:G173)</f>
        <v>89755</v>
      </c>
    </row>
    <row r="175" spans="1:8" s="121" customFormat="1" ht="12">
      <c r="A175" s="120" t="s">
        <v>686</v>
      </c>
      <c r="B175" s="154" t="s">
        <v>687</v>
      </c>
      <c r="C175" s="154"/>
      <c r="D175" s="120"/>
      <c r="E175" s="126"/>
      <c r="F175" s="127"/>
      <c r="G175" s="127"/>
    </row>
    <row r="176" spans="1:8" s="121" customFormat="1" ht="12">
      <c r="A176" s="154"/>
      <c r="B176" s="154" t="s">
        <v>3555</v>
      </c>
      <c r="C176" s="154"/>
      <c r="D176" s="120" t="s">
        <v>853</v>
      </c>
      <c r="E176" s="126">
        <v>0.4</v>
      </c>
      <c r="F176" s="127">
        <v>260000</v>
      </c>
      <c r="G176" s="127">
        <f>F176*E176</f>
        <v>104000</v>
      </c>
    </row>
    <row r="177" spans="1:8" s="121" customFormat="1" ht="12">
      <c r="A177" s="154"/>
      <c r="B177" s="154" t="s">
        <v>1158</v>
      </c>
      <c r="C177" s="154"/>
      <c r="D177" s="120" t="s">
        <v>690</v>
      </c>
      <c r="E177" s="126">
        <v>0.25</v>
      </c>
      <c r="F177" s="127">
        <f>DUB!$I$88</f>
        <v>20934</v>
      </c>
      <c r="G177" s="127">
        <f>F177*E177</f>
        <v>5233.5</v>
      </c>
    </row>
    <row r="178" spans="1:8" s="121" customFormat="1" ht="12">
      <c r="A178" s="154"/>
      <c r="B178" s="154"/>
      <c r="C178" s="154"/>
      <c r="D178" s="120"/>
      <c r="E178" s="2464" t="s">
        <v>702</v>
      </c>
      <c r="F178" s="2464"/>
      <c r="G178" s="127">
        <f>SUM(G176:G177)</f>
        <v>109233.5</v>
      </c>
    </row>
    <row r="179" spans="1:8" s="121" customFormat="1" ht="12" hidden="1">
      <c r="A179" s="120" t="s">
        <v>703</v>
      </c>
      <c r="B179" s="154" t="s">
        <v>704</v>
      </c>
      <c r="C179" s="154"/>
      <c r="D179" s="120"/>
      <c r="E179" s="126"/>
      <c r="F179" s="127"/>
      <c r="G179" s="127"/>
    </row>
    <row r="180" spans="1:8" s="121" customFormat="1" ht="12" hidden="1">
      <c r="A180" s="154"/>
      <c r="B180" s="154"/>
      <c r="C180" s="154"/>
      <c r="D180" s="120"/>
      <c r="E180" s="126"/>
      <c r="F180" s="127"/>
      <c r="G180" s="127"/>
    </row>
    <row r="181" spans="1:8" s="121" customFormat="1" ht="12" hidden="1">
      <c r="A181" s="154"/>
      <c r="B181" s="154"/>
      <c r="C181" s="154"/>
      <c r="D181" s="120"/>
      <c r="E181" s="2464" t="s">
        <v>705</v>
      </c>
      <c r="F181" s="2464"/>
      <c r="G181" s="127"/>
    </row>
    <row r="182" spans="1:8" s="121" customFormat="1" ht="12">
      <c r="A182" s="120" t="s">
        <v>706</v>
      </c>
      <c r="B182" s="2464" t="s">
        <v>707</v>
      </c>
      <c r="C182" s="2464"/>
      <c r="D182" s="2464"/>
      <c r="E182" s="2464"/>
      <c r="F182" s="2464"/>
      <c r="G182" s="127">
        <f>G174+G178+G181</f>
        <v>198988.5</v>
      </c>
    </row>
    <row r="183" spans="1:8" s="121" customFormat="1" ht="12">
      <c r="A183" s="120" t="s">
        <v>708</v>
      </c>
      <c r="B183" s="2461" t="s">
        <v>876</v>
      </c>
      <c r="C183" s="2461"/>
      <c r="D183" s="2461"/>
      <c r="E183" s="2462" t="s">
        <v>710</v>
      </c>
      <c r="F183" s="2462"/>
      <c r="G183" s="127">
        <f>G182*15%</f>
        <v>29848.274999999998</v>
      </c>
    </row>
    <row r="184" spans="1:8" s="121" customFormat="1" ht="12">
      <c r="A184" s="120" t="s">
        <v>711</v>
      </c>
      <c r="B184" s="2463" t="s">
        <v>712</v>
      </c>
      <c r="C184" s="2463"/>
      <c r="D184" s="2463"/>
      <c r="E184" s="2463"/>
      <c r="F184" s="2463"/>
      <c r="G184" s="181">
        <f>ROUND(H184,2)</f>
        <v>228836.78</v>
      </c>
      <c r="H184" s="127">
        <f>SUM(G182:G183)</f>
        <v>228836.77499999999</v>
      </c>
    </row>
    <row r="185" spans="1:8" ht="6" customHeight="1"/>
    <row r="186" spans="1:8" s="156" customFormat="1" ht="12">
      <c r="A186" s="155" t="s">
        <v>3560</v>
      </c>
      <c r="B186" s="155" t="s">
        <v>3556</v>
      </c>
      <c r="D186" s="157"/>
      <c r="E186" s="158"/>
      <c r="F186" s="159"/>
      <c r="G186" s="159"/>
    </row>
    <row r="187" spans="1:8" s="156" customFormat="1" ht="12">
      <c r="A187" s="160" t="s">
        <v>1003</v>
      </c>
      <c r="B187" s="160" t="s">
        <v>1004</v>
      </c>
      <c r="C187" s="160" t="s">
        <v>1005</v>
      </c>
      <c r="D187" s="174" t="s">
        <v>1006</v>
      </c>
      <c r="E187" s="175" t="s">
        <v>1007</v>
      </c>
      <c r="F187" s="165" t="s">
        <v>2637</v>
      </c>
      <c r="G187" s="165" t="s">
        <v>2638</v>
      </c>
    </row>
    <row r="188" spans="1:8" s="156" customFormat="1" ht="12">
      <c r="A188" s="166" t="s">
        <v>671</v>
      </c>
      <c r="B188" s="166" t="s">
        <v>672</v>
      </c>
      <c r="C188" s="166"/>
      <c r="D188" s="176"/>
      <c r="E188" s="177"/>
      <c r="F188" s="171"/>
      <c r="G188" s="171"/>
    </row>
    <row r="189" spans="1:8" s="156" customFormat="1" ht="12">
      <c r="A189" s="166"/>
      <c r="B189" s="166" t="s">
        <v>673</v>
      </c>
      <c r="C189" s="166" t="s">
        <v>674</v>
      </c>
      <c r="D189" s="176" t="s">
        <v>675</v>
      </c>
      <c r="E189" s="177">
        <v>0.2</v>
      </c>
      <c r="F189" s="171">
        <f>'[94]UPAD-BAHAN-ALAT'!$I$12</f>
        <v>96000</v>
      </c>
      <c r="G189" s="171">
        <f>F189*E189</f>
        <v>19200</v>
      </c>
    </row>
    <row r="190" spans="1:8" s="156" customFormat="1" ht="12">
      <c r="A190" s="166"/>
      <c r="B190" s="166" t="s">
        <v>677</v>
      </c>
      <c r="C190" s="166" t="s">
        <v>678</v>
      </c>
      <c r="D190" s="176" t="s">
        <v>675</v>
      </c>
      <c r="E190" s="177">
        <v>0.1</v>
      </c>
      <c r="F190" s="171">
        <f>'[94]UPAD-BAHAN-ALAT'!$I$13</f>
        <v>115000</v>
      </c>
      <c r="G190" s="171">
        <f>F190*E190</f>
        <v>11500</v>
      </c>
    </row>
    <row r="191" spans="1:8" s="156" customFormat="1" ht="12">
      <c r="A191" s="166"/>
      <c r="B191" s="166" t="s">
        <v>751</v>
      </c>
      <c r="C191" s="166" t="s">
        <v>681</v>
      </c>
      <c r="D191" s="176" t="s">
        <v>675</v>
      </c>
      <c r="E191" s="177">
        <v>0.01</v>
      </c>
      <c r="F191" s="171">
        <f>'[94]UPAD-BAHAN-ALAT'!$I$15</f>
        <v>127500</v>
      </c>
      <c r="G191" s="171">
        <f>F191*E191</f>
        <v>1275</v>
      </c>
    </row>
    <row r="192" spans="1:8" s="156" customFormat="1" ht="12">
      <c r="A192" s="166"/>
      <c r="B192" s="166" t="s">
        <v>683</v>
      </c>
      <c r="C192" s="166" t="s">
        <v>684</v>
      </c>
      <c r="D192" s="176" t="s">
        <v>675</v>
      </c>
      <c r="E192" s="177">
        <v>1E-3</v>
      </c>
      <c r="F192" s="171">
        <f>'[94]UPAD-BAHAN-ALAT'!$I$14</f>
        <v>115000</v>
      </c>
      <c r="G192" s="171">
        <f>F192*E192</f>
        <v>115</v>
      </c>
    </row>
    <row r="193" spans="1:8" s="156" customFormat="1" ht="12">
      <c r="A193" s="166"/>
      <c r="B193" s="166"/>
      <c r="C193" s="166"/>
      <c r="D193" s="176"/>
      <c r="E193" s="2467" t="s">
        <v>685</v>
      </c>
      <c r="F193" s="2467"/>
      <c r="G193" s="171">
        <f>SUM(G189:G192)</f>
        <v>32090</v>
      </c>
    </row>
    <row r="194" spans="1:8" s="156" customFormat="1" ht="12">
      <c r="A194" s="166" t="s">
        <v>686</v>
      </c>
      <c r="B194" s="166" t="s">
        <v>687</v>
      </c>
      <c r="C194" s="166"/>
      <c r="D194" s="176"/>
      <c r="E194" s="177"/>
      <c r="F194" s="171"/>
      <c r="G194" s="171"/>
    </row>
    <row r="195" spans="1:8" s="156" customFormat="1" ht="12">
      <c r="A195" s="166"/>
      <c r="B195" s="166" t="s">
        <v>3558</v>
      </c>
      <c r="C195" s="166"/>
      <c r="D195" s="176" t="s">
        <v>2647</v>
      </c>
      <c r="E195" s="177">
        <v>1.02</v>
      </c>
      <c r="F195" s="171">
        <f>DUB!I265</f>
        <v>278460</v>
      </c>
      <c r="G195" s="171">
        <f>F195*E195</f>
        <v>284029.2</v>
      </c>
    </row>
    <row r="196" spans="1:8" s="156" customFormat="1" ht="12">
      <c r="A196" s="166"/>
      <c r="B196" s="166" t="s">
        <v>3557</v>
      </c>
      <c r="C196" s="166"/>
      <c r="D196" s="176" t="s">
        <v>690</v>
      </c>
      <c r="E196" s="177">
        <v>0.2</v>
      </c>
      <c r="F196" s="171">
        <f>DUB!I129</f>
        <v>155400</v>
      </c>
      <c r="G196" s="171">
        <f>F196*E196</f>
        <v>31080</v>
      </c>
    </row>
    <row r="197" spans="1:8" s="156" customFormat="1" ht="12">
      <c r="A197" s="166"/>
      <c r="B197" s="166"/>
      <c r="C197" s="166"/>
      <c r="D197" s="176"/>
      <c r="E197" s="2470" t="s">
        <v>702</v>
      </c>
      <c r="F197" s="2470"/>
      <c r="G197" s="171">
        <f>SUM(G195:G196)</f>
        <v>315109.2</v>
      </c>
    </row>
    <row r="198" spans="1:8" s="156" customFormat="1" ht="12" hidden="1">
      <c r="A198" s="166" t="s">
        <v>703</v>
      </c>
      <c r="B198" s="166" t="s">
        <v>704</v>
      </c>
      <c r="C198" s="166"/>
      <c r="D198" s="176"/>
      <c r="E198" s="189"/>
      <c r="F198" s="190"/>
      <c r="G198" s="171"/>
    </row>
    <row r="199" spans="1:8" s="156" customFormat="1" ht="12" hidden="1">
      <c r="A199" s="166"/>
      <c r="B199" s="166"/>
      <c r="C199" s="166"/>
      <c r="D199" s="176"/>
      <c r="E199" s="177"/>
      <c r="F199" s="171"/>
      <c r="G199" s="171"/>
    </row>
    <row r="200" spans="1:8" s="156" customFormat="1" ht="12" hidden="1">
      <c r="A200" s="166"/>
      <c r="B200" s="166"/>
      <c r="C200" s="166"/>
      <c r="D200" s="176"/>
      <c r="E200" s="2467" t="s">
        <v>705</v>
      </c>
      <c r="F200" s="2467"/>
      <c r="G200" s="171"/>
    </row>
    <row r="201" spans="1:8" s="156" customFormat="1" ht="12">
      <c r="A201" s="166" t="s">
        <v>706</v>
      </c>
      <c r="B201" s="2467" t="s">
        <v>707</v>
      </c>
      <c r="C201" s="2467"/>
      <c r="D201" s="2467"/>
      <c r="E201" s="2467"/>
      <c r="F201" s="2467"/>
      <c r="G201" s="171">
        <f>G193+G197+G200</f>
        <v>347199.2</v>
      </c>
    </row>
    <row r="202" spans="1:8" s="156" customFormat="1" ht="12">
      <c r="A202" s="166" t="s">
        <v>708</v>
      </c>
      <c r="B202" s="2469" t="s">
        <v>876</v>
      </c>
      <c r="C202" s="2469"/>
      <c r="D202" s="2469"/>
      <c r="E202" s="2468" t="s">
        <v>710</v>
      </c>
      <c r="F202" s="2468"/>
      <c r="G202" s="171">
        <f>G201*15%</f>
        <v>52079.88</v>
      </c>
    </row>
    <row r="203" spans="1:8" s="156" customFormat="1" ht="12">
      <c r="A203" s="166" t="s">
        <v>711</v>
      </c>
      <c r="B203" s="2466" t="s">
        <v>712</v>
      </c>
      <c r="C203" s="2466"/>
      <c r="D203" s="2466"/>
      <c r="E203" s="2466"/>
      <c r="F203" s="2466"/>
      <c r="G203" s="182">
        <f>ROUND(H203,2)</f>
        <v>399279.08</v>
      </c>
      <c r="H203" s="171">
        <f>SUM(G201:G202)</f>
        <v>399279.08</v>
      </c>
    </row>
    <row r="204" spans="1:8" s="156" customFormat="1" ht="5.25" customHeight="1">
      <c r="A204" s="184"/>
      <c r="B204" s="184"/>
      <c r="C204" s="184"/>
      <c r="D204" s="184"/>
      <c r="E204" s="184"/>
      <c r="F204" s="184"/>
      <c r="G204" s="185"/>
      <c r="H204" s="186"/>
    </row>
    <row r="205" spans="1:8" s="121" customFormat="1" ht="12">
      <c r="A205" s="125" t="s">
        <v>3530</v>
      </c>
      <c r="B205" s="125" t="s">
        <v>3562</v>
      </c>
      <c r="D205" s="122"/>
      <c r="E205" s="123"/>
      <c r="F205" s="124"/>
      <c r="G205" s="124"/>
    </row>
    <row r="206" spans="1:8" s="121" customFormat="1" ht="12">
      <c r="A206" s="129" t="s">
        <v>1003</v>
      </c>
      <c r="B206" s="129" t="s">
        <v>1004</v>
      </c>
      <c r="C206" s="129" t="s">
        <v>1005</v>
      </c>
      <c r="D206" s="130" t="s">
        <v>1006</v>
      </c>
      <c r="E206" s="131" t="s">
        <v>1007</v>
      </c>
      <c r="F206" s="132" t="s">
        <v>2637</v>
      </c>
      <c r="G206" s="132" t="s">
        <v>2638</v>
      </c>
    </row>
    <row r="207" spans="1:8" s="121" customFormat="1" ht="12">
      <c r="A207" s="154" t="s">
        <v>671</v>
      </c>
      <c r="B207" s="154" t="s">
        <v>672</v>
      </c>
      <c r="C207" s="154"/>
      <c r="D207" s="120"/>
      <c r="E207" s="126"/>
      <c r="F207" s="127"/>
      <c r="G207" s="127"/>
    </row>
    <row r="208" spans="1:8" s="121" customFormat="1" ht="12">
      <c r="A208" s="154"/>
      <c r="B208" s="154" t="s">
        <v>673</v>
      </c>
      <c r="C208" s="154" t="s">
        <v>674</v>
      </c>
      <c r="D208" s="120" t="s">
        <v>675</v>
      </c>
      <c r="E208" s="126">
        <v>0.12</v>
      </c>
      <c r="F208" s="127">
        <f>DUB!$I$10</f>
        <v>150000</v>
      </c>
      <c r="G208" s="127">
        <f>F208*E208</f>
        <v>18000</v>
      </c>
    </row>
    <row r="209" spans="1:8" s="121" customFormat="1" ht="12">
      <c r="A209" s="154"/>
      <c r="B209" s="154" t="s">
        <v>677</v>
      </c>
      <c r="C209" s="154" t="s">
        <v>678</v>
      </c>
      <c r="D209" s="120" t="s">
        <v>675</v>
      </c>
      <c r="E209" s="126">
        <v>0.12</v>
      </c>
      <c r="F209" s="127">
        <f>DUB!$I$11</f>
        <v>187000</v>
      </c>
      <c r="G209" s="127">
        <f>F209*E209</f>
        <v>22440</v>
      </c>
    </row>
    <row r="210" spans="1:8" s="121" customFormat="1" ht="12">
      <c r="A210" s="154"/>
      <c r="B210" s="154" t="s">
        <v>751</v>
      </c>
      <c r="C210" s="154" t="s">
        <v>681</v>
      </c>
      <c r="D210" s="120" t="s">
        <v>675</v>
      </c>
      <c r="E210" s="126">
        <v>1.2E-2</v>
      </c>
      <c r="F210" s="127">
        <f>DUB!$I$13</f>
        <v>240000</v>
      </c>
      <c r="G210" s="127">
        <f>F210*E210</f>
        <v>2880</v>
      </c>
    </row>
    <row r="211" spans="1:8" s="121" customFormat="1" ht="12">
      <c r="A211" s="154"/>
      <c r="B211" s="154" t="s">
        <v>683</v>
      </c>
      <c r="C211" s="154" t="s">
        <v>684</v>
      </c>
      <c r="D211" s="120" t="s">
        <v>675</v>
      </c>
      <c r="E211" s="126">
        <v>6.0000000000000001E-3</v>
      </c>
      <c r="F211" s="127">
        <f>DUB!$I$12</f>
        <v>225000</v>
      </c>
      <c r="G211" s="127">
        <f>F211*E211</f>
        <v>1350</v>
      </c>
    </row>
    <row r="212" spans="1:8" s="121" customFormat="1" ht="12">
      <c r="A212" s="154"/>
      <c r="B212" s="154"/>
      <c r="C212" s="154"/>
      <c r="D212" s="120"/>
      <c r="E212" s="2464" t="s">
        <v>685</v>
      </c>
      <c r="F212" s="2464"/>
      <c r="G212" s="127">
        <f>SUM(G208:G211)</f>
        <v>44670</v>
      </c>
    </row>
    <row r="213" spans="1:8" s="121" customFormat="1" ht="12">
      <c r="A213" s="154" t="s">
        <v>686</v>
      </c>
      <c r="B213" s="154" t="s">
        <v>687</v>
      </c>
      <c r="C213" s="154"/>
      <c r="D213" s="120"/>
      <c r="E213" s="126"/>
      <c r="F213" s="127"/>
      <c r="G213" s="127"/>
    </row>
    <row r="214" spans="1:8" s="121" customFormat="1" ht="12">
      <c r="A214" s="154"/>
      <c r="B214" s="154" t="s">
        <v>1305</v>
      </c>
      <c r="C214" s="154"/>
      <c r="D214" s="120" t="s">
        <v>2646</v>
      </c>
      <c r="E214" s="126">
        <v>1.6500000000000001E-2</v>
      </c>
      <c r="F214" s="127">
        <f>DUB!I84</f>
        <v>6961500</v>
      </c>
      <c r="G214" s="127">
        <f>F214*E214</f>
        <v>114864.75</v>
      </c>
    </row>
    <row r="215" spans="1:8" s="121" customFormat="1" ht="12">
      <c r="A215" s="154"/>
      <c r="B215" s="154" t="s">
        <v>734</v>
      </c>
      <c r="C215" s="154"/>
      <c r="D215" s="120" t="s">
        <v>773</v>
      </c>
      <c r="E215" s="126">
        <v>0.2</v>
      </c>
      <c r="F215" s="127">
        <f>DUB!$I$128</f>
        <v>20441.7</v>
      </c>
      <c r="G215" s="127">
        <f>F215*E215</f>
        <v>4088.34</v>
      </c>
    </row>
    <row r="216" spans="1:8" s="121" customFormat="1" ht="12">
      <c r="A216" s="154"/>
      <c r="B216" s="154"/>
      <c r="C216" s="154"/>
      <c r="D216" s="120"/>
      <c r="E216" s="2465" t="s">
        <v>702</v>
      </c>
      <c r="F216" s="2465"/>
      <c r="G216" s="127">
        <f>SUM(G214:G215)</f>
        <v>118953.09</v>
      </c>
    </row>
    <row r="217" spans="1:8" s="121" customFormat="1" ht="12" hidden="1">
      <c r="A217" s="154" t="s">
        <v>703</v>
      </c>
      <c r="B217" s="154" t="s">
        <v>704</v>
      </c>
      <c r="C217" s="154"/>
      <c r="D217" s="120"/>
      <c r="E217" s="152"/>
      <c r="F217" s="128"/>
      <c r="G217" s="127"/>
    </row>
    <row r="218" spans="1:8" s="121" customFormat="1" ht="12" hidden="1">
      <c r="A218" s="154"/>
      <c r="B218" s="154"/>
      <c r="C218" s="154"/>
      <c r="D218" s="120"/>
      <c r="E218" s="126"/>
      <c r="F218" s="127"/>
      <c r="G218" s="127"/>
    </row>
    <row r="219" spans="1:8" s="121" customFormat="1" ht="12" hidden="1">
      <c r="A219" s="154"/>
      <c r="B219" s="154"/>
      <c r="C219" s="154"/>
      <c r="D219" s="120"/>
      <c r="E219" s="2464" t="s">
        <v>705</v>
      </c>
      <c r="F219" s="2464"/>
      <c r="G219" s="127"/>
    </row>
    <row r="220" spans="1:8" s="121" customFormat="1" ht="12" hidden="1">
      <c r="A220" s="154"/>
      <c r="B220" s="154"/>
      <c r="C220" s="154"/>
      <c r="D220" s="120"/>
      <c r="E220" s="126"/>
      <c r="F220" s="127"/>
      <c r="G220" s="127"/>
    </row>
    <row r="221" spans="1:8" s="121" customFormat="1" ht="12">
      <c r="A221" s="154" t="s">
        <v>706</v>
      </c>
      <c r="B221" s="2464" t="s">
        <v>707</v>
      </c>
      <c r="C221" s="2464"/>
      <c r="D221" s="2464"/>
      <c r="E221" s="2464"/>
      <c r="F221" s="2464"/>
      <c r="G221" s="127">
        <f>G212+G216+G219</f>
        <v>163623.09</v>
      </c>
    </row>
    <row r="222" spans="1:8" s="121" customFormat="1" ht="12">
      <c r="A222" s="154" t="s">
        <v>708</v>
      </c>
      <c r="B222" s="2461" t="s">
        <v>876</v>
      </c>
      <c r="C222" s="2461"/>
      <c r="D222" s="2461"/>
      <c r="E222" s="2462" t="s">
        <v>710</v>
      </c>
      <c r="F222" s="2462"/>
      <c r="G222" s="127">
        <f>G221*15%</f>
        <v>24543.463499999998</v>
      </c>
    </row>
    <row r="223" spans="1:8" s="121" customFormat="1" ht="12">
      <c r="A223" s="154" t="s">
        <v>711</v>
      </c>
      <c r="B223" s="2463" t="s">
        <v>712</v>
      </c>
      <c r="C223" s="2463"/>
      <c r="D223" s="2463"/>
      <c r="E223" s="2463"/>
      <c r="F223" s="2463"/>
      <c r="G223" s="183">
        <f>ROUND(H223,2)</f>
        <v>188166.55</v>
      </c>
      <c r="H223" s="127">
        <f>SUM(G221:G222)</f>
        <v>188166.55349999998</v>
      </c>
    </row>
    <row r="224" spans="1:8" s="121" customFormat="1" ht="16.5" customHeight="1">
      <c r="A224" s="125" t="s">
        <v>3531</v>
      </c>
      <c r="B224" s="125" t="s">
        <v>3563</v>
      </c>
      <c r="D224" s="122"/>
      <c r="E224" s="123"/>
      <c r="F224" s="124"/>
      <c r="G224" s="124"/>
    </row>
    <row r="225" spans="1:7" s="121" customFormat="1" ht="12">
      <c r="A225" s="129" t="s">
        <v>1003</v>
      </c>
      <c r="B225" s="129" t="s">
        <v>1004</v>
      </c>
      <c r="C225" s="129" t="s">
        <v>1005</v>
      </c>
      <c r="D225" s="130" t="s">
        <v>1006</v>
      </c>
      <c r="E225" s="131" t="s">
        <v>1007</v>
      </c>
      <c r="F225" s="132" t="s">
        <v>2637</v>
      </c>
      <c r="G225" s="132" t="s">
        <v>2638</v>
      </c>
    </row>
    <row r="226" spans="1:7" s="121" customFormat="1" ht="12">
      <c r="A226" s="120" t="s">
        <v>671</v>
      </c>
      <c r="B226" s="154" t="s">
        <v>672</v>
      </c>
      <c r="C226" s="154"/>
      <c r="D226" s="120"/>
      <c r="E226" s="126"/>
      <c r="F226" s="127"/>
      <c r="G226" s="127"/>
    </row>
    <row r="227" spans="1:7" s="121" customFormat="1" ht="12">
      <c r="A227" s="154"/>
      <c r="B227" s="154" t="s">
        <v>673</v>
      </c>
      <c r="C227" s="154" t="s">
        <v>674</v>
      </c>
      <c r="D227" s="120" t="s">
        <v>675</v>
      </c>
      <c r="E227" s="126">
        <v>0.7</v>
      </c>
      <c r="F227" s="127">
        <f>DUB!$I$10</f>
        <v>150000</v>
      </c>
      <c r="G227" s="127">
        <f>F227*E227</f>
        <v>105000</v>
      </c>
    </row>
    <row r="228" spans="1:7" s="121" customFormat="1" ht="12">
      <c r="A228" s="154"/>
      <c r="B228" s="154" t="s">
        <v>816</v>
      </c>
      <c r="C228" s="154" t="s">
        <v>678</v>
      </c>
      <c r="D228" s="120" t="s">
        <v>675</v>
      </c>
      <c r="E228" s="126">
        <v>0.35</v>
      </c>
      <c r="F228" s="127">
        <f>DUB!$I$11</f>
        <v>187000</v>
      </c>
      <c r="G228" s="127">
        <f>F228*E228</f>
        <v>65449.999999999993</v>
      </c>
    </row>
    <row r="229" spans="1:7" s="121" customFormat="1" ht="12">
      <c r="A229" s="154"/>
      <c r="B229" s="154" t="s">
        <v>751</v>
      </c>
      <c r="C229" s="154" t="s">
        <v>681</v>
      </c>
      <c r="D229" s="120" t="s">
        <v>675</v>
      </c>
      <c r="E229" s="126">
        <v>3.5000000000000003E-2</v>
      </c>
      <c r="F229" s="127">
        <f>DUB!$I$13</f>
        <v>240000</v>
      </c>
      <c r="G229" s="127">
        <f>F229*E229</f>
        <v>8400</v>
      </c>
    </row>
    <row r="230" spans="1:7" s="121" customFormat="1" ht="12">
      <c r="A230" s="154"/>
      <c r="B230" s="154" t="s">
        <v>683</v>
      </c>
      <c r="C230" s="154" t="s">
        <v>684</v>
      </c>
      <c r="D230" s="120" t="s">
        <v>675</v>
      </c>
      <c r="E230" s="126">
        <v>3.5000000000000003E-2</v>
      </c>
      <c r="F230" s="127">
        <f>DUB!$I$12</f>
        <v>225000</v>
      </c>
      <c r="G230" s="127">
        <f>F230*E230</f>
        <v>7875.0000000000009</v>
      </c>
    </row>
    <row r="231" spans="1:7" s="121" customFormat="1" ht="12">
      <c r="A231" s="154"/>
      <c r="B231" s="154"/>
      <c r="C231" s="154"/>
      <c r="D231" s="120"/>
      <c r="E231" s="2464" t="s">
        <v>685</v>
      </c>
      <c r="F231" s="2464"/>
      <c r="G231" s="127">
        <f>SUM(G227:G230)</f>
        <v>186725</v>
      </c>
    </row>
    <row r="232" spans="1:7" s="121" customFormat="1" ht="12">
      <c r="A232" s="120" t="s">
        <v>686</v>
      </c>
      <c r="B232" s="154" t="s">
        <v>687</v>
      </c>
      <c r="C232" s="154"/>
      <c r="D232" s="120"/>
      <c r="E232" s="126"/>
      <c r="F232" s="127"/>
      <c r="G232" s="127"/>
    </row>
    <row r="233" spans="1:7" s="121" customFormat="1" ht="12">
      <c r="A233" s="154"/>
      <c r="B233" s="154" t="s">
        <v>1134</v>
      </c>
      <c r="C233" s="154"/>
      <c r="D233" s="120" t="s">
        <v>743</v>
      </c>
      <c r="E233" s="126">
        <v>20</v>
      </c>
      <c r="F233" s="127">
        <f>DUB!I184</f>
        <v>3744</v>
      </c>
      <c r="G233" s="127">
        <f>F233*E233</f>
        <v>74880</v>
      </c>
    </row>
    <row r="234" spans="1:7" s="121" customFormat="1" ht="12">
      <c r="A234" s="154"/>
      <c r="B234" s="154" t="s">
        <v>818</v>
      </c>
      <c r="C234" s="154"/>
      <c r="D234" s="120" t="s">
        <v>690</v>
      </c>
      <c r="E234" s="126">
        <v>10.4</v>
      </c>
      <c r="F234" s="127">
        <f>DUB!$I$65</f>
        <v>1575</v>
      </c>
      <c r="G234" s="127">
        <f>F234*E234</f>
        <v>16380</v>
      </c>
    </row>
    <row r="235" spans="1:7" s="121" customFormat="1" ht="12">
      <c r="A235" s="154"/>
      <c r="B235" s="154" t="s">
        <v>739</v>
      </c>
      <c r="C235" s="154"/>
      <c r="D235" s="120" t="s">
        <v>881</v>
      </c>
      <c r="E235" s="126">
        <v>4.4999999999999998E-2</v>
      </c>
      <c r="F235" s="127">
        <f>DUB!$I$59</f>
        <v>208463</v>
      </c>
      <c r="G235" s="127">
        <f>F235*E235</f>
        <v>9380.8349999999991</v>
      </c>
    </row>
    <row r="236" spans="1:7" s="121" customFormat="1" ht="12">
      <c r="A236" s="154"/>
      <c r="B236" s="154" t="s">
        <v>1100</v>
      </c>
      <c r="C236" s="154"/>
      <c r="D236" s="120" t="s">
        <v>690</v>
      </c>
      <c r="E236" s="126">
        <v>1.62</v>
      </c>
      <c r="F236" s="127">
        <f>DUB!$I$62/40</f>
        <v>2750</v>
      </c>
      <c r="G236" s="127">
        <f>F236*E236</f>
        <v>4455</v>
      </c>
    </row>
    <row r="237" spans="1:7" s="121" customFormat="1" ht="12">
      <c r="A237" s="154"/>
      <c r="B237" s="154"/>
      <c r="C237" s="154"/>
      <c r="D237" s="120"/>
      <c r="E237" s="2465" t="s">
        <v>702</v>
      </c>
      <c r="F237" s="2465"/>
      <c r="G237" s="127">
        <f>SUM(G233:G236)</f>
        <v>105095.83499999999</v>
      </c>
    </row>
    <row r="238" spans="1:7" s="121" customFormat="1" ht="12" hidden="1">
      <c r="A238" s="120" t="s">
        <v>703</v>
      </c>
      <c r="B238" s="154" t="s">
        <v>704</v>
      </c>
      <c r="C238" s="154"/>
      <c r="D238" s="120"/>
      <c r="E238" s="152"/>
      <c r="F238" s="128"/>
      <c r="G238" s="127"/>
    </row>
    <row r="239" spans="1:7" s="121" customFormat="1" ht="12" hidden="1">
      <c r="A239" s="154"/>
      <c r="B239" s="154"/>
      <c r="C239" s="154"/>
      <c r="D239" s="120"/>
      <c r="E239" s="126"/>
      <c r="F239" s="127"/>
      <c r="G239" s="127"/>
    </row>
    <row r="240" spans="1:7" s="121" customFormat="1" ht="12" hidden="1">
      <c r="A240" s="154"/>
      <c r="B240" s="154"/>
      <c r="C240" s="154"/>
      <c r="D240" s="120"/>
      <c r="E240" s="2464" t="s">
        <v>705</v>
      </c>
      <c r="F240" s="2464"/>
      <c r="G240" s="127"/>
    </row>
    <row r="241" spans="1:8" s="121" customFormat="1" ht="12">
      <c r="A241" s="120" t="s">
        <v>706</v>
      </c>
      <c r="B241" s="2464" t="s">
        <v>707</v>
      </c>
      <c r="C241" s="2464"/>
      <c r="D241" s="2464"/>
      <c r="E241" s="2464"/>
      <c r="F241" s="2464"/>
      <c r="G241" s="127">
        <f>G231+G237+G240</f>
        <v>291820.83499999996</v>
      </c>
    </row>
    <row r="242" spans="1:8" s="121" customFormat="1" ht="12">
      <c r="A242" s="120" t="s">
        <v>708</v>
      </c>
      <c r="B242" s="2461" t="s">
        <v>876</v>
      </c>
      <c r="C242" s="2461"/>
      <c r="D242" s="2461"/>
      <c r="E242" s="2462" t="s">
        <v>710</v>
      </c>
      <c r="F242" s="2462"/>
      <c r="G242" s="127">
        <f>G241*15%</f>
        <v>43773.12524999999</v>
      </c>
    </row>
    <row r="243" spans="1:8" s="121" customFormat="1" ht="12">
      <c r="A243" s="120" t="s">
        <v>711</v>
      </c>
      <c r="B243" s="2463" t="s">
        <v>712</v>
      </c>
      <c r="C243" s="2463"/>
      <c r="D243" s="2463"/>
      <c r="E243" s="2463"/>
      <c r="F243" s="2463"/>
      <c r="G243" s="183">
        <f>ROUND(H243,2)</f>
        <v>335593.96</v>
      </c>
      <c r="H243" s="127">
        <f>SUM(G241:G242)</f>
        <v>335593.96024999995</v>
      </c>
    </row>
    <row r="244" spans="1:8" s="121" customFormat="1" ht="12">
      <c r="A244" s="141"/>
      <c r="B244" s="140"/>
      <c r="C244" s="140"/>
      <c r="D244" s="140"/>
      <c r="E244" s="140"/>
      <c r="F244" s="140"/>
      <c r="G244" s="153"/>
      <c r="H244" s="134"/>
    </row>
    <row r="245" spans="1:8" s="121" customFormat="1" ht="12">
      <c r="A245" s="125" t="s">
        <v>3532</v>
      </c>
      <c r="B245" s="133" t="s">
        <v>3564</v>
      </c>
      <c r="C245" s="140"/>
      <c r="D245" s="141"/>
      <c r="E245" s="142"/>
      <c r="F245" s="134"/>
      <c r="G245" s="134"/>
    </row>
    <row r="246" spans="1:8" s="121" customFormat="1" ht="12">
      <c r="A246" s="146"/>
      <c r="B246" s="146"/>
      <c r="C246" s="146"/>
      <c r="D246" s="147"/>
      <c r="E246" s="148"/>
      <c r="F246" s="149"/>
      <c r="G246" s="149"/>
    </row>
    <row r="247" spans="1:8" s="121" customFormat="1" ht="12">
      <c r="A247" s="129" t="s">
        <v>1003</v>
      </c>
      <c r="B247" s="144" t="s">
        <v>1004</v>
      </c>
      <c r="C247" s="129" t="s">
        <v>1005</v>
      </c>
      <c r="D247" s="130" t="s">
        <v>1006</v>
      </c>
      <c r="E247" s="131" t="s">
        <v>1007</v>
      </c>
      <c r="F247" s="132" t="s">
        <v>2637</v>
      </c>
      <c r="G247" s="132" t="s">
        <v>2638</v>
      </c>
    </row>
    <row r="248" spans="1:8" s="121" customFormat="1" ht="12">
      <c r="A248" s="154" t="s">
        <v>671</v>
      </c>
      <c r="B248" s="119" t="s">
        <v>672</v>
      </c>
      <c r="C248" s="154"/>
      <c r="D248" s="120"/>
      <c r="E248" s="126"/>
      <c r="F248" s="127"/>
      <c r="G248" s="127"/>
    </row>
    <row r="249" spans="1:8" s="121" customFormat="1" ht="12">
      <c r="A249" s="154"/>
      <c r="B249" s="119" t="s">
        <v>673</v>
      </c>
      <c r="C249" s="154" t="s">
        <v>674</v>
      </c>
      <c r="D249" s="120" t="s">
        <v>675</v>
      </c>
      <c r="E249" s="126">
        <v>0.15</v>
      </c>
      <c r="F249" s="127">
        <f>DUB!$I$10</f>
        <v>150000</v>
      </c>
      <c r="G249" s="127">
        <f>F249*E249</f>
        <v>22500</v>
      </c>
    </row>
    <row r="250" spans="1:8" s="121" customFormat="1" ht="12">
      <c r="A250" s="154"/>
      <c r="B250" s="119" t="s">
        <v>871</v>
      </c>
      <c r="C250" s="154" t="s">
        <v>678</v>
      </c>
      <c r="D250" s="120" t="s">
        <v>675</v>
      </c>
      <c r="E250" s="126">
        <v>0.45</v>
      </c>
      <c r="F250" s="127">
        <f>DUB!$I$11</f>
        <v>187000</v>
      </c>
      <c r="G250" s="127">
        <f>F250*E250</f>
        <v>84150</v>
      </c>
    </row>
    <row r="251" spans="1:8" s="121" customFormat="1" ht="12">
      <c r="A251" s="154"/>
      <c r="B251" s="119" t="s">
        <v>751</v>
      </c>
      <c r="C251" s="154" t="s">
        <v>681</v>
      </c>
      <c r="D251" s="120" t="s">
        <v>675</v>
      </c>
      <c r="E251" s="126">
        <v>4.4999999999999998E-2</v>
      </c>
      <c r="F251" s="127">
        <f>DUB!$I$13</f>
        <v>240000</v>
      </c>
      <c r="G251" s="127">
        <f>F251*E251</f>
        <v>10800</v>
      </c>
    </row>
    <row r="252" spans="1:8" s="121" customFormat="1" ht="12">
      <c r="A252" s="154"/>
      <c r="B252" s="119" t="s">
        <v>683</v>
      </c>
      <c r="C252" s="154" t="s">
        <v>684</v>
      </c>
      <c r="D252" s="120" t="s">
        <v>675</v>
      </c>
      <c r="E252" s="126">
        <v>8.0000000000000002E-3</v>
      </c>
      <c r="F252" s="127">
        <f>DUB!$I$12</f>
        <v>225000</v>
      </c>
      <c r="G252" s="127">
        <f>F252*E252</f>
        <v>1800</v>
      </c>
    </row>
    <row r="253" spans="1:8" s="121" customFormat="1" ht="12">
      <c r="A253" s="154"/>
      <c r="B253" s="119"/>
      <c r="C253" s="154"/>
      <c r="D253" s="120"/>
      <c r="E253" s="187" t="s">
        <v>685</v>
      </c>
      <c r="F253" s="145"/>
      <c r="G253" s="127">
        <f>SUM(G249:G252)</f>
        <v>119250</v>
      </c>
    </row>
    <row r="254" spans="1:8" s="121" customFormat="1" ht="12">
      <c r="A254" s="154" t="s">
        <v>686</v>
      </c>
      <c r="B254" s="119" t="s">
        <v>687</v>
      </c>
      <c r="C254" s="154"/>
      <c r="D254" s="120"/>
      <c r="E254" s="126"/>
      <c r="F254" s="127"/>
      <c r="G254" s="127"/>
    </row>
    <row r="255" spans="1:8" s="121" customFormat="1" ht="12">
      <c r="A255" s="154"/>
      <c r="B255" s="119" t="s">
        <v>3565</v>
      </c>
      <c r="C255" s="154"/>
      <c r="D255" s="151" t="s">
        <v>2944</v>
      </c>
      <c r="E255" s="126">
        <v>5.6</v>
      </c>
      <c r="F255" s="127">
        <f>DUB!I161</f>
        <v>15174</v>
      </c>
      <c r="G255" s="127">
        <f>F255*E255</f>
        <v>84974.399999999994</v>
      </c>
    </row>
    <row r="256" spans="1:8" s="121" customFormat="1" ht="12">
      <c r="A256" s="154"/>
      <c r="B256" s="119" t="s">
        <v>3514</v>
      </c>
      <c r="C256" s="154"/>
      <c r="D256" s="120" t="s">
        <v>1423</v>
      </c>
      <c r="E256" s="126">
        <v>30</v>
      </c>
      <c r="F256" s="143">
        <f>DUB!I131</f>
        <v>531</v>
      </c>
      <c r="G256" s="127">
        <f>F256*E256</f>
        <v>15930</v>
      </c>
    </row>
    <row r="257" spans="1:8" s="121" customFormat="1" ht="12">
      <c r="A257" s="154"/>
      <c r="B257" s="119"/>
      <c r="C257" s="154"/>
      <c r="D257" s="120"/>
      <c r="E257" s="187" t="s">
        <v>702</v>
      </c>
      <c r="F257" s="145"/>
      <c r="G257" s="127">
        <f>SUM(G255:G256)</f>
        <v>100904.4</v>
      </c>
    </row>
    <row r="258" spans="1:8" s="121" customFormat="1" ht="12" hidden="1">
      <c r="A258" s="154" t="s">
        <v>703</v>
      </c>
      <c r="B258" s="119" t="s">
        <v>704</v>
      </c>
      <c r="C258" s="154"/>
      <c r="D258" s="120"/>
      <c r="E258" s="126"/>
      <c r="F258" s="127"/>
      <c r="G258" s="127"/>
    </row>
    <row r="259" spans="1:8" s="121" customFormat="1" ht="12" hidden="1">
      <c r="A259" s="154"/>
      <c r="B259" s="119"/>
      <c r="C259" s="154"/>
      <c r="D259" s="120"/>
      <c r="E259" s="126"/>
      <c r="F259" s="127"/>
      <c r="G259" s="127"/>
    </row>
    <row r="260" spans="1:8" s="121" customFormat="1" ht="12" hidden="1">
      <c r="A260" s="154"/>
      <c r="B260" s="119"/>
      <c r="C260" s="154"/>
      <c r="D260" s="120"/>
      <c r="E260" s="187" t="s">
        <v>705</v>
      </c>
      <c r="F260" s="145"/>
      <c r="G260" s="127"/>
    </row>
    <row r="261" spans="1:8" s="121" customFormat="1" ht="12">
      <c r="A261" s="154" t="s">
        <v>706</v>
      </c>
      <c r="B261" s="119" t="s">
        <v>707</v>
      </c>
      <c r="C261" s="136"/>
      <c r="D261" s="137"/>
      <c r="E261" s="135"/>
      <c r="F261" s="145"/>
      <c r="G261" s="127">
        <f>G253+G257+G260</f>
        <v>220154.4</v>
      </c>
    </row>
    <row r="262" spans="1:8" s="121" customFormat="1" ht="12">
      <c r="A262" s="154" t="s">
        <v>708</v>
      </c>
      <c r="B262" s="138" t="s">
        <v>876</v>
      </c>
      <c r="C262" s="139"/>
      <c r="D262" s="150"/>
      <c r="E262" s="187" t="s">
        <v>710</v>
      </c>
      <c r="F262" s="145"/>
      <c r="G262" s="127">
        <f>G261*15%</f>
        <v>33023.159999999996</v>
      </c>
    </row>
    <row r="263" spans="1:8" s="121" customFormat="1" ht="12">
      <c r="A263" s="154" t="s">
        <v>711</v>
      </c>
      <c r="B263" s="119" t="s">
        <v>712</v>
      </c>
      <c r="C263" s="136"/>
      <c r="D263" s="137"/>
      <c r="E263" s="135"/>
      <c r="F263" s="145"/>
      <c r="G263" s="183">
        <f>ROUND(H263,2)</f>
        <v>253177.56</v>
      </c>
      <c r="H263" s="127">
        <f>SUM(G261:G262)</f>
        <v>253177.56</v>
      </c>
    </row>
    <row r="265" spans="1:8" ht="11.25" customHeight="1">
      <c r="E265" s="188">
        <f>Rekap!C581</f>
        <v>0</v>
      </c>
      <c r="F265" s="180"/>
    </row>
    <row r="266" spans="1:8" ht="11.25" customHeight="1">
      <c r="E266" s="188" t="e">
        <f>Rekap!#REF!</f>
        <v>#REF!</v>
      </c>
      <c r="F266" s="180"/>
    </row>
    <row r="267" spans="1:8" ht="11.25" customHeight="1">
      <c r="E267" s="188" t="e">
        <f>Rekap!#REF!</f>
        <v>#REF!</v>
      </c>
      <c r="F267" s="180"/>
    </row>
    <row r="268" spans="1:8" ht="11.25" customHeight="1">
      <c r="E268" s="188" t="e">
        <f>Rekap!#REF!</f>
        <v>#REF!</v>
      </c>
      <c r="F268" s="180"/>
    </row>
    <row r="269" spans="1:8" ht="11.25" customHeight="1">
      <c r="E269" s="188" t="e">
        <f>Rekap!#REF!</f>
        <v>#REF!</v>
      </c>
      <c r="F269" s="180"/>
    </row>
    <row r="270" spans="1:8" ht="11.25" customHeight="1">
      <c r="E270" s="188" t="e">
        <f>Rekap!#REF!</f>
        <v>#REF!</v>
      </c>
      <c r="F270" s="180"/>
    </row>
    <row r="271" spans="1:8">
      <c r="E271" s="188"/>
      <c r="F271" s="180"/>
    </row>
    <row r="272" spans="1:8">
      <c r="E272" s="188"/>
      <c r="F272" s="180"/>
    </row>
    <row r="273" spans="5:6">
      <c r="E273" s="188"/>
      <c r="F273" s="180"/>
    </row>
    <row r="274" spans="5:6" ht="13.5" customHeight="1">
      <c r="E274" s="188" t="e">
        <f>Rekap!#REF!</f>
        <v>#REF!</v>
      </c>
      <c r="F274" s="180"/>
    </row>
    <row r="275" spans="5:6" ht="13.5" customHeight="1">
      <c r="E275" s="188" t="e">
        <f>Rekap!#REF!</f>
        <v>#REF!</v>
      </c>
      <c r="F275" s="180"/>
    </row>
    <row r="276" spans="5:6" ht="13.5" customHeight="1">
      <c r="E276" s="188" t="e">
        <f>Rekap!#REF!</f>
        <v>#REF!</v>
      </c>
      <c r="F276" s="180"/>
    </row>
  </sheetData>
  <mergeCells count="84">
    <mergeCell ref="B202:D202"/>
    <mergeCell ref="E202:F202"/>
    <mergeCell ref="B243:F243"/>
    <mergeCell ref="E231:F231"/>
    <mergeCell ref="E237:F237"/>
    <mergeCell ref="E240:F240"/>
    <mergeCell ref="B241:F241"/>
    <mergeCell ref="B242:D242"/>
    <mergeCell ref="E242:F242"/>
    <mergeCell ref="E80:F80"/>
    <mergeCell ref="E77:F77"/>
    <mergeCell ref="E197:F197"/>
    <mergeCell ref="E200:F200"/>
    <mergeCell ref="B201:F201"/>
    <mergeCell ref="E178:F178"/>
    <mergeCell ref="E174:F174"/>
    <mergeCell ref="B122:D122"/>
    <mergeCell ref="E122:F122"/>
    <mergeCell ref="B81:F81"/>
    <mergeCell ref="E91:F91"/>
    <mergeCell ref="E95:F95"/>
    <mergeCell ref="B102:F102"/>
    <mergeCell ref="B121:F121"/>
    <mergeCell ref="E119:F119"/>
    <mergeCell ref="B165:F165"/>
    <mergeCell ref="E49:F49"/>
    <mergeCell ref="E32:F32"/>
    <mergeCell ref="E35:F35"/>
    <mergeCell ref="B37:F37"/>
    <mergeCell ref="E9:F9"/>
    <mergeCell ref="E12:F12"/>
    <mergeCell ref="E15:F15"/>
    <mergeCell ref="B16:F16"/>
    <mergeCell ref="B17:D17"/>
    <mergeCell ref="E17:F17"/>
    <mergeCell ref="B18:F18"/>
    <mergeCell ref="E28:F28"/>
    <mergeCell ref="B38:D38"/>
    <mergeCell ref="E38:F38"/>
    <mergeCell ref="B39:F39"/>
    <mergeCell ref="E53:F53"/>
    <mergeCell ref="E56:F56"/>
    <mergeCell ref="E59:F59"/>
    <mergeCell ref="E112:F112"/>
    <mergeCell ref="E116:F116"/>
    <mergeCell ref="E98:F98"/>
    <mergeCell ref="B100:F100"/>
    <mergeCell ref="B101:D101"/>
    <mergeCell ref="E101:F101"/>
    <mergeCell ref="B58:F58"/>
    <mergeCell ref="B59:D59"/>
    <mergeCell ref="B79:F79"/>
    <mergeCell ref="B60:F60"/>
    <mergeCell ref="E70:F70"/>
    <mergeCell ref="E74:F74"/>
    <mergeCell ref="B80:D80"/>
    <mergeCell ref="B123:F123"/>
    <mergeCell ref="E154:F154"/>
    <mergeCell ref="E158:F158"/>
    <mergeCell ref="E161:F161"/>
    <mergeCell ref="B163:F163"/>
    <mergeCell ref="E133:F133"/>
    <mergeCell ref="E137:F137"/>
    <mergeCell ref="E140:F140"/>
    <mergeCell ref="B142:F142"/>
    <mergeCell ref="B143:D143"/>
    <mergeCell ref="E143:F143"/>
    <mergeCell ref="B144:F144"/>
    <mergeCell ref="B164:D164"/>
    <mergeCell ref="E164:F164"/>
    <mergeCell ref="B223:F223"/>
    <mergeCell ref="E212:F212"/>
    <mergeCell ref="E216:F216"/>
    <mergeCell ref="E219:F219"/>
    <mergeCell ref="B221:F221"/>
    <mergeCell ref="B222:D222"/>
    <mergeCell ref="E222:F222"/>
    <mergeCell ref="B203:F203"/>
    <mergeCell ref="B184:F184"/>
    <mergeCell ref="E193:F193"/>
    <mergeCell ref="E181:F181"/>
    <mergeCell ref="B182:F182"/>
    <mergeCell ref="B183:D183"/>
    <mergeCell ref="E183:F183"/>
  </mergeCells>
  <pageMargins left="0.70866141732283472" right="0.70866141732283472" top="0.74803149606299213" bottom="0.74803149606299213" header="0.31496062992125984" footer="0.31496062992125984"/>
  <pageSetup paperSize="5" scale="92" orientation="portrait" horizontalDpi="4294967292" r:id="rId1"/>
  <rowBreaks count="3" manualBreakCount="3">
    <brk id="82" max="6" man="1"/>
    <brk id="165" max="6" man="1"/>
    <brk id="244" max="6" man="1"/>
  </rowBreaks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112"/>
  <dimension ref="A1:G39"/>
  <sheetViews>
    <sheetView topLeftCell="A22" workbookViewId="0">
      <selection sqref="A1:G39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2342</v>
      </c>
    </row>
    <row r="3" spans="1:7" ht="34.950000000000003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1332</v>
      </c>
      <c r="C4" s="5"/>
      <c r="D4" s="5"/>
      <c r="E4" s="5"/>
      <c r="F4" s="5"/>
      <c r="G4" s="5"/>
    </row>
    <row r="5" spans="1:7" ht="13.95" customHeight="1">
      <c r="A5" s="5"/>
      <c r="B5" s="3" t="s">
        <v>673</v>
      </c>
      <c r="C5" s="3" t="s">
        <v>674</v>
      </c>
      <c r="D5" s="3" t="s">
        <v>675</v>
      </c>
      <c r="E5" s="3" t="s">
        <v>724</v>
      </c>
      <c r="F5" s="5"/>
      <c r="G5" s="5"/>
    </row>
    <row r="6" spans="1:7" ht="13.65" customHeight="1">
      <c r="A6" s="5"/>
      <c r="B6" s="3" t="s">
        <v>871</v>
      </c>
      <c r="C6" s="3" t="s">
        <v>678</v>
      </c>
      <c r="D6" s="3" t="s">
        <v>675</v>
      </c>
      <c r="E6" s="3" t="s">
        <v>1162</v>
      </c>
      <c r="F6" s="5"/>
      <c r="G6" s="5"/>
    </row>
    <row r="7" spans="1:7" ht="13.65" customHeight="1">
      <c r="A7" s="5"/>
      <c r="B7" s="3" t="s">
        <v>751</v>
      </c>
      <c r="C7" s="3" t="s">
        <v>681</v>
      </c>
      <c r="D7" s="3" t="s">
        <v>675</v>
      </c>
      <c r="E7" s="3" t="s">
        <v>753</v>
      </c>
      <c r="F7" s="5"/>
      <c r="G7" s="5"/>
    </row>
    <row r="8" spans="1:7" ht="13.95" customHeight="1">
      <c r="A8" s="5"/>
      <c r="B8" s="3" t="s">
        <v>683</v>
      </c>
      <c r="C8" s="3" t="s">
        <v>684</v>
      </c>
      <c r="D8" s="3" t="s">
        <v>675</v>
      </c>
      <c r="E8" s="3" t="s">
        <v>693</v>
      </c>
      <c r="F8" s="5"/>
      <c r="G8" s="5"/>
    </row>
    <row r="9" spans="1:7" ht="12" customHeight="1">
      <c r="A9" s="5"/>
      <c r="B9" s="5"/>
      <c r="C9" s="5"/>
      <c r="D9" s="5"/>
      <c r="E9" s="2474" t="s">
        <v>685</v>
      </c>
      <c r="F9" s="2474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65" customHeight="1">
      <c r="A11" s="5"/>
      <c r="B11" s="3" t="s">
        <v>1334</v>
      </c>
      <c r="C11" s="5"/>
      <c r="D11" s="3" t="s">
        <v>743</v>
      </c>
      <c r="E11" s="3" t="s">
        <v>719</v>
      </c>
      <c r="F11" s="5"/>
      <c r="G11" s="5"/>
    </row>
    <row r="12" spans="1:7" ht="12" customHeight="1">
      <c r="A12" s="5"/>
      <c r="B12" s="5"/>
      <c r="C12" s="5"/>
      <c r="D12" s="5"/>
      <c r="E12" s="2474" t="s">
        <v>702</v>
      </c>
      <c r="F12" s="2474"/>
      <c r="G12" s="5"/>
    </row>
    <row r="13" spans="1:7" ht="12" customHeight="1">
      <c r="A13" s="3" t="s">
        <v>703</v>
      </c>
      <c r="B13" s="3" t="s">
        <v>704</v>
      </c>
      <c r="C13" s="5"/>
      <c r="D13" s="5"/>
      <c r="E13" s="5"/>
      <c r="F13" s="5"/>
      <c r="G13" s="5"/>
    </row>
    <row r="14" spans="1:7" ht="12" customHeight="1">
      <c r="A14" s="5"/>
      <c r="B14" s="5"/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2474" t="s">
        <v>705</v>
      </c>
      <c r="F15" s="2474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3" t="s">
        <v>706</v>
      </c>
      <c r="B17" s="2474" t="s">
        <v>707</v>
      </c>
      <c r="C17" s="2474"/>
      <c r="D17" s="2474"/>
      <c r="E17" s="2474"/>
      <c r="F17" s="2474"/>
      <c r="G17" s="5"/>
    </row>
    <row r="18" spans="1:7" ht="12" customHeight="1">
      <c r="A18" s="3" t="s">
        <v>708</v>
      </c>
      <c r="B18" s="2471" t="s">
        <v>876</v>
      </c>
      <c r="C18" s="2471"/>
      <c r="D18" s="2471"/>
      <c r="E18" s="2472" t="s">
        <v>710</v>
      </c>
      <c r="F18" s="2472"/>
      <c r="G18" s="5"/>
    </row>
    <row r="19" spans="1:7" ht="12" customHeight="1">
      <c r="A19" s="3" t="s">
        <v>711</v>
      </c>
      <c r="B19" s="2473" t="s">
        <v>712</v>
      </c>
      <c r="C19" s="2473"/>
      <c r="D19" s="2473"/>
      <c r="E19" s="2473"/>
      <c r="F19" s="2473"/>
      <c r="G19" s="5"/>
    </row>
    <row r="20" spans="1:7" ht="12" customHeight="1">
      <c r="A20" s="3"/>
      <c r="B20" s="26"/>
      <c r="C20" s="26"/>
      <c r="D20" s="26"/>
      <c r="E20" s="26"/>
      <c r="F20" s="26"/>
      <c r="G20" s="5"/>
    </row>
    <row r="21" spans="1:7" ht="12" customHeight="1">
      <c r="A21" s="50" t="s">
        <v>2343</v>
      </c>
      <c r="B21" s="26"/>
      <c r="C21" s="26"/>
      <c r="D21" s="26"/>
      <c r="E21" s="26"/>
      <c r="F21" s="26"/>
      <c r="G21" s="5"/>
    </row>
    <row r="22" spans="1:7" ht="12" customHeight="1">
      <c r="A22" s="3"/>
      <c r="B22" s="26"/>
      <c r="C22" s="26"/>
      <c r="D22" s="26"/>
      <c r="E22" s="26"/>
      <c r="F22" s="26"/>
      <c r="G22" s="5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3" t="s">
        <v>671</v>
      </c>
      <c r="B24" s="3" t="s">
        <v>1332</v>
      </c>
      <c r="C24" s="5"/>
      <c r="D24" s="5"/>
      <c r="E24" s="5"/>
      <c r="F24" s="5"/>
      <c r="G24" s="5"/>
    </row>
    <row r="25" spans="1:7" ht="13.65" customHeight="1">
      <c r="A25" s="5"/>
      <c r="B25" s="3" t="s">
        <v>673</v>
      </c>
      <c r="C25" s="3" t="s">
        <v>674</v>
      </c>
      <c r="D25" s="3" t="s">
        <v>675</v>
      </c>
      <c r="E25" s="3" t="s">
        <v>693</v>
      </c>
      <c r="F25" s="5"/>
      <c r="G25" s="5"/>
    </row>
    <row r="26" spans="1:7" ht="13.95" customHeight="1">
      <c r="A26" s="5"/>
      <c r="B26" s="3" t="s">
        <v>871</v>
      </c>
      <c r="C26" s="3" t="s">
        <v>678</v>
      </c>
      <c r="D26" s="3" t="s">
        <v>675</v>
      </c>
      <c r="E26" s="3" t="s">
        <v>1162</v>
      </c>
      <c r="F26" s="5"/>
      <c r="G26" s="5"/>
    </row>
    <row r="27" spans="1:7" ht="13.65" customHeight="1">
      <c r="A27" s="5"/>
      <c r="B27" s="3" t="s">
        <v>751</v>
      </c>
      <c r="C27" s="3" t="s">
        <v>681</v>
      </c>
      <c r="D27" s="3" t="s">
        <v>675</v>
      </c>
      <c r="E27" s="3" t="s">
        <v>753</v>
      </c>
      <c r="F27" s="5"/>
      <c r="G27" s="5"/>
    </row>
    <row r="28" spans="1:7" ht="13.65" customHeight="1">
      <c r="A28" s="5"/>
      <c r="B28" s="3" t="s">
        <v>683</v>
      </c>
      <c r="C28" s="3" t="s">
        <v>684</v>
      </c>
      <c r="D28" s="3" t="s">
        <v>675</v>
      </c>
      <c r="E28" s="3" t="s">
        <v>852</v>
      </c>
      <c r="F28" s="5"/>
      <c r="G28" s="5"/>
    </row>
    <row r="29" spans="1:7" ht="12" customHeight="1">
      <c r="A29" s="5"/>
      <c r="B29" s="5"/>
      <c r="C29" s="5"/>
      <c r="D29" s="5"/>
      <c r="E29" s="2474" t="s">
        <v>685</v>
      </c>
      <c r="F29" s="2474"/>
      <c r="G29" s="5"/>
    </row>
    <row r="30" spans="1:7" ht="12" customHeight="1">
      <c r="A30" s="3" t="s">
        <v>686</v>
      </c>
      <c r="B30" s="3" t="s">
        <v>687</v>
      </c>
      <c r="C30" s="5"/>
      <c r="D30" s="5"/>
      <c r="E30" s="5"/>
      <c r="F30" s="5"/>
      <c r="G30" s="5"/>
    </row>
    <row r="31" spans="1:7" ht="13.95" customHeight="1">
      <c r="A31" s="5"/>
      <c r="B31" s="3" t="s">
        <v>1335</v>
      </c>
      <c r="C31" s="5"/>
      <c r="D31" s="3" t="s">
        <v>743</v>
      </c>
      <c r="E31" s="3" t="s">
        <v>719</v>
      </c>
      <c r="F31" s="5"/>
      <c r="G31" s="5"/>
    </row>
    <row r="32" spans="1:7" ht="12" customHeight="1">
      <c r="A32" s="5"/>
      <c r="B32" s="5"/>
      <c r="C32" s="5"/>
      <c r="D32" s="5"/>
      <c r="E32" s="2474" t="s">
        <v>702</v>
      </c>
      <c r="F32" s="2474"/>
      <c r="G32" s="5"/>
    </row>
    <row r="33" spans="1:7" ht="12" customHeight="1">
      <c r="A33" s="3" t="s">
        <v>703</v>
      </c>
      <c r="B33" s="3" t="s">
        <v>704</v>
      </c>
      <c r="C33" s="5"/>
      <c r="D33" s="5"/>
      <c r="E33" s="5"/>
      <c r="F33" s="5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5"/>
      <c r="B35" s="5"/>
      <c r="C35" s="5"/>
      <c r="D35" s="5"/>
      <c r="E35" s="2474" t="s">
        <v>705</v>
      </c>
      <c r="F35" s="2474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3" t="s">
        <v>706</v>
      </c>
      <c r="B37" s="2474" t="s">
        <v>707</v>
      </c>
      <c r="C37" s="2474"/>
      <c r="D37" s="2474"/>
      <c r="E37" s="2474"/>
      <c r="F37" s="2474"/>
      <c r="G37" s="5"/>
    </row>
    <row r="38" spans="1:7" ht="12" customHeight="1">
      <c r="A38" s="3" t="s">
        <v>708</v>
      </c>
      <c r="B38" s="2471" t="s">
        <v>876</v>
      </c>
      <c r="C38" s="2471"/>
      <c r="D38" s="2471"/>
      <c r="E38" s="2472" t="s">
        <v>710</v>
      </c>
      <c r="F38" s="2472"/>
      <c r="G38" s="5"/>
    </row>
    <row r="39" spans="1:7" ht="12" customHeight="1">
      <c r="A39" s="3" t="s">
        <v>711</v>
      </c>
      <c r="B39" s="2473" t="s">
        <v>712</v>
      </c>
      <c r="C39" s="2473"/>
      <c r="D39" s="2473"/>
      <c r="E39" s="2473"/>
      <c r="F39" s="2473"/>
      <c r="G39" s="5"/>
    </row>
  </sheetData>
  <mergeCells count="14">
    <mergeCell ref="E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E29:F29"/>
    <mergeCell ref="E32:F32"/>
    <mergeCell ref="E35:F35"/>
    <mergeCell ref="B37:F37"/>
  </mergeCells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113"/>
  <dimension ref="A1:G39"/>
  <sheetViews>
    <sheetView topLeftCell="A19" workbookViewId="0">
      <selection sqref="A1:G39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2344</v>
      </c>
    </row>
    <row r="3" spans="1:7" ht="34.950000000000003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1332</v>
      </c>
      <c r="C4" s="5"/>
      <c r="D4" s="5"/>
      <c r="E4" s="5"/>
      <c r="F4" s="5"/>
      <c r="G4" s="5"/>
    </row>
    <row r="5" spans="1:7" ht="13.95" customHeight="1">
      <c r="A5" s="5"/>
      <c r="B5" s="3" t="s">
        <v>673</v>
      </c>
      <c r="C5" s="3" t="s">
        <v>674</v>
      </c>
      <c r="D5" s="3" t="s">
        <v>675</v>
      </c>
      <c r="E5" s="3" t="s">
        <v>693</v>
      </c>
      <c r="F5" s="5"/>
      <c r="G5" s="5"/>
    </row>
    <row r="6" spans="1:7" ht="13.65" customHeight="1">
      <c r="A6" s="5"/>
      <c r="B6" s="3" t="s">
        <v>871</v>
      </c>
      <c r="C6" s="3" t="s">
        <v>678</v>
      </c>
      <c r="D6" s="3" t="s">
        <v>675</v>
      </c>
      <c r="E6" s="3" t="s">
        <v>1162</v>
      </c>
      <c r="F6" s="5"/>
      <c r="G6" s="5"/>
    </row>
    <row r="7" spans="1:7" ht="13.65" customHeight="1">
      <c r="A7" s="5"/>
      <c r="B7" s="3" t="s">
        <v>751</v>
      </c>
      <c r="C7" s="3" t="s">
        <v>681</v>
      </c>
      <c r="D7" s="3" t="s">
        <v>675</v>
      </c>
      <c r="E7" s="3" t="s">
        <v>753</v>
      </c>
      <c r="F7" s="5"/>
      <c r="G7" s="5"/>
    </row>
    <row r="8" spans="1:7" ht="13.95" customHeight="1">
      <c r="A8" s="5"/>
      <c r="B8" s="3" t="s">
        <v>683</v>
      </c>
      <c r="C8" s="3" t="s">
        <v>684</v>
      </c>
      <c r="D8" s="3" t="s">
        <v>675</v>
      </c>
      <c r="E8" s="3" t="s">
        <v>852</v>
      </c>
      <c r="F8" s="5"/>
      <c r="G8" s="5"/>
    </row>
    <row r="9" spans="1:7" ht="12" customHeight="1">
      <c r="A9" s="5"/>
      <c r="B9" s="5"/>
      <c r="C9" s="5"/>
      <c r="D9" s="5"/>
      <c r="E9" s="2474" t="s">
        <v>685</v>
      </c>
      <c r="F9" s="2474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65" customHeight="1">
      <c r="A11" s="5"/>
      <c r="B11" s="3" t="s">
        <v>1336</v>
      </c>
      <c r="C11" s="5"/>
      <c r="D11" s="3" t="s">
        <v>743</v>
      </c>
      <c r="E11" s="3" t="s">
        <v>719</v>
      </c>
      <c r="F11" s="5"/>
      <c r="G11" s="5"/>
    </row>
    <row r="12" spans="1:7" ht="12" customHeight="1">
      <c r="A12" s="5"/>
      <c r="B12" s="5"/>
      <c r="C12" s="5"/>
      <c r="D12" s="5"/>
      <c r="E12" s="2474" t="s">
        <v>702</v>
      </c>
      <c r="F12" s="2474"/>
      <c r="G12" s="5"/>
    </row>
    <row r="13" spans="1:7" ht="12" customHeight="1">
      <c r="A13" s="3" t="s">
        <v>703</v>
      </c>
      <c r="B13" s="3" t="s">
        <v>704</v>
      </c>
      <c r="C13" s="5"/>
      <c r="D13" s="5"/>
      <c r="E13" s="5"/>
      <c r="F13" s="5"/>
      <c r="G13" s="5"/>
    </row>
    <row r="14" spans="1:7" ht="12" customHeight="1">
      <c r="A14" s="5"/>
      <c r="B14" s="5"/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2474" t="s">
        <v>705</v>
      </c>
      <c r="F15" s="2474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3" t="s">
        <v>706</v>
      </c>
      <c r="B17" s="2474" t="s">
        <v>707</v>
      </c>
      <c r="C17" s="2474"/>
      <c r="D17" s="2474"/>
      <c r="E17" s="2474"/>
      <c r="F17" s="2474"/>
      <c r="G17" s="5"/>
    </row>
    <row r="18" spans="1:7" ht="12" customHeight="1">
      <c r="A18" s="3" t="s">
        <v>708</v>
      </c>
      <c r="B18" s="2471" t="s">
        <v>876</v>
      </c>
      <c r="C18" s="2471"/>
      <c r="D18" s="2471"/>
      <c r="E18" s="2472" t="s">
        <v>710</v>
      </c>
      <c r="F18" s="2472"/>
      <c r="G18" s="5"/>
    </row>
    <row r="19" spans="1:7" ht="12" customHeight="1">
      <c r="A19" s="3" t="s">
        <v>711</v>
      </c>
      <c r="B19" s="2473" t="s">
        <v>712</v>
      </c>
      <c r="C19" s="2473"/>
      <c r="D19" s="2473"/>
      <c r="E19" s="2473"/>
      <c r="F19" s="2473"/>
      <c r="G19" s="5"/>
    </row>
    <row r="20" spans="1:7" ht="12" customHeight="1">
      <c r="A20" s="3"/>
      <c r="B20" s="26"/>
      <c r="C20" s="26"/>
      <c r="D20" s="26"/>
      <c r="E20" s="26"/>
      <c r="F20" s="26"/>
      <c r="G20" s="5"/>
    </row>
    <row r="21" spans="1:7" ht="12" customHeight="1">
      <c r="A21" s="50" t="s">
        <v>2345</v>
      </c>
      <c r="B21" s="26"/>
      <c r="C21" s="26"/>
      <c r="D21" s="26"/>
      <c r="E21" s="26"/>
      <c r="F21" s="26"/>
      <c r="G21" s="5"/>
    </row>
    <row r="22" spans="1:7" ht="12" customHeight="1">
      <c r="A22" s="3"/>
      <c r="B22" s="26"/>
      <c r="C22" s="26"/>
      <c r="D22" s="26"/>
      <c r="E22" s="26"/>
      <c r="F22" s="26"/>
      <c r="G22" s="5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3" t="s">
        <v>671</v>
      </c>
      <c r="B24" s="3" t="s">
        <v>672</v>
      </c>
      <c r="C24" s="5"/>
      <c r="D24" s="5"/>
      <c r="E24" s="5"/>
      <c r="F24" s="5"/>
      <c r="G24" s="5"/>
    </row>
    <row r="25" spans="1:7" ht="13.65" customHeight="1">
      <c r="A25" s="5"/>
      <c r="B25" s="3" t="s">
        <v>673</v>
      </c>
      <c r="C25" s="3" t="s">
        <v>674</v>
      </c>
      <c r="D25" s="3" t="s">
        <v>675</v>
      </c>
      <c r="E25" s="3" t="s">
        <v>811</v>
      </c>
      <c r="F25" s="5"/>
      <c r="G25" s="5"/>
    </row>
    <row r="26" spans="1:7" ht="13.95" customHeight="1">
      <c r="A26" s="5"/>
      <c r="B26" s="3" t="s">
        <v>871</v>
      </c>
      <c r="C26" s="3" t="s">
        <v>678</v>
      </c>
      <c r="D26" s="3" t="s">
        <v>675</v>
      </c>
      <c r="E26" s="3" t="s">
        <v>752</v>
      </c>
      <c r="F26" s="5"/>
      <c r="G26" s="5"/>
    </row>
    <row r="27" spans="1:7" ht="13.65" customHeight="1">
      <c r="A27" s="5"/>
      <c r="B27" s="3" t="s">
        <v>751</v>
      </c>
      <c r="C27" s="3" t="s">
        <v>681</v>
      </c>
      <c r="D27" s="3" t="s">
        <v>675</v>
      </c>
      <c r="E27" s="3" t="s">
        <v>811</v>
      </c>
      <c r="F27" s="5"/>
      <c r="G27" s="5"/>
    </row>
    <row r="28" spans="1:7" ht="13.95" customHeight="1">
      <c r="A28" s="5"/>
      <c r="B28" s="3" t="s">
        <v>683</v>
      </c>
      <c r="C28" s="3" t="s">
        <v>684</v>
      </c>
      <c r="D28" s="3" t="s">
        <v>675</v>
      </c>
      <c r="E28" s="3" t="s">
        <v>1337</v>
      </c>
      <c r="F28" s="5"/>
      <c r="G28" s="5"/>
    </row>
    <row r="29" spans="1:7" ht="12" customHeight="1">
      <c r="A29" s="5"/>
      <c r="B29" s="5"/>
      <c r="C29" s="5"/>
      <c r="D29" s="5"/>
      <c r="E29" s="2474" t="s">
        <v>685</v>
      </c>
      <c r="F29" s="2474"/>
      <c r="G29" s="5"/>
    </row>
    <row r="30" spans="1:7" ht="11.85" customHeight="1">
      <c r="A30" s="3" t="s">
        <v>686</v>
      </c>
      <c r="B30" s="3" t="s">
        <v>687</v>
      </c>
      <c r="C30" s="5"/>
      <c r="D30" s="5"/>
      <c r="E30" s="5"/>
      <c r="F30" s="5"/>
      <c r="G30" s="5"/>
    </row>
    <row r="31" spans="1:7" ht="13.95" customHeight="1">
      <c r="A31" s="5"/>
      <c r="B31" s="3" t="s">
        <v>1338</v>
      </c>
      <c r="C31" s="5"/>
      <c r="D31" s="3" t="s">
        <v>743</v>
      </c>
      <c r="E31" s="3" t="s">
        <v>719</v>
      </c>
      <c r="F31" s="5"/>
      <c r="G31" s="5"/>
    </row>
    <row r="32" spans="1:7" ht="12" customHeight="1">
      <c r="A32" s="5"/>
      <c r="B32" s="5"/>
      <c r="C32" s="5"/>
      <c r="D32" s="5"/>
      <c r="E32" s="2474" t="s">
        <v>702</v>
      </c>
      <c r="F32" s="2474"/>
      <c r="G32" s="5"/>
    </row>
    <row r="33" spans="1:7" ht="12" customHeight="1">
      <c r="A33" s="3" t="s">
        <v>703</v>
      </c>
      <c r="B33" s="3" t="s">
        <v>704</v>
      </c>
      <c r="C33" s="5"/>
      <c r="D33" s="5"/>
      <c r="E33" s="5"/>
      <c r="F33" s="5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5"/>
      <c r="B35" s="5"/>
      <c r="C35" s="5"/>
      <c r="D35" s="5"/>
      <c r="E35" s="2474" t="s">
        <v>705</v>
      </c>
      <c r="F35" s="2474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3" t="s">
        <v>706</v>
      </c>
      <c r="B37" s="2474" t="s">
        <v>707</v>
      </c>
      <c r="C37" s="2474"/>
      <c r="D37" s="2474"/>
      <c r="E37" s="2474"/>
      <c r="F37" s="2474"/>
      <c r="G37" s="5"/>
    </row>
    <row r="38" spans="1:7" ht="12" customHeight="1">
      <c r="A38" s="3" t="s">
        <v>708</v>
      </c>
      <c r="B38" s="2471" t="s">
        <v>876</v>
      </c>
      <c r="C38" s="2471"/>
      <c r="D38" s="2471"/>
      <c r="E38" s="2472" t="s">
        <v>710</v>
      </c>
      <c r="F38" s="2472"/>
      <c r="G38" s="5"/>
    </row>
    <row r="39" spans="1:7" ht="12" customHeight="1">
      <c r="A39" s="3" t="s">
        <v>711</v>
      </c>
      <c r="B39" s="2473" t="s">
        <v>712</v>
      </c>
      <c r="C39" s="2473"/>
      <c r="D39" s="2473"/>
      <c r="E39" s="2473"/>
      <c r="F39" s="2473"/>
      <c r="G39" s="5"/>
    </row>
  </sheetData>
  <mergeCells count="14">
    <mergeCell ref="E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E29:F29"/>
    <mergeCell ref="E32:F32"/>
    <mergeCell ref="E35:F35"/>
    <mergeCell ref="B37:F37"/>
  </mergeCells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114"/>
  <dimension ref="A1:G39"/>
  <sheetViews>
    <sheetView topLeftCell="A34" workbookViewId="0">
      <selection sqref="A1:G39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2346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65" customHeight="1">
      <c r="A5" s="5"/>
      <c r="B5" s="3" t="s">
        <v>673</v>
      </c>
      <c r="C5" s="3" t="s">
        <v>674</v>
      </c>
      <c r="D5" s="3" t="s">
        <v>675</v>
      </c>
      <c r="E5" s="3" t="s">
        <v>724</v>
      </c>
      <c r="F5" s="5"/>
      <c r="G5" s="5"/>
    </row>
    <row r="6" spans="1:7" ht="13.95" customHeight="1">
      <c r="A6" s="5"/>
      <c r="B6" s="3" t="s">
        <v>871</v>
      </c>
      <c r="C6" s="3" t="s">
        <v>678</v>
      </c>
      <c r="D6" s="3" t="s">
        <v>675</v>
      </c>
      <c r="E6" s="3" t="s">
        <v>723</v>
      </c>
      <c r="F6" s="5"/>
      <c r="G6" s="5"/>
    </row>
    <row r="7" spans="1:7" ht="13.65" customHeight="1">
      <c r="A7" s="5"/>
      <c r="B7" s="3" t="s">
        <v>751</v>
      </c>
      <c r="C7" s="3" t="s">
        <v>681</v>
      </c>
      <c r="D7" s="3" t="s">
        <v>675</v>
      </c>
      <c r="E7" s="3" t="s">
        <v>779</v>
      </c>
      <c r="F7" s="5"/>
      <c r="G7" s="5"/>
    </row>
    <row r="8" spans="1:7" ht="13.65" customHeight="1">
      <c r="A8" s="5"/>
      <c r="B8" s="3" t="s">
        <v>683</v>
      </c>
      <c r="C8" s="3" t="s">
        <v>684</v>
      </c>
      <c r="D8" s="3" t="s">
        <v>675</v>
      </c>
      <c r="E8" s="3" t="s">
        <v>1339</v>
      </c>
      <c r="F8" s="5"/>
      <c r="G8" s="5"/>
    </row>
    <row r="9" spans="1:7" ht="12" customHeight="1">
      <c r="A9" s="5"/>
      <c r="B9" s="5"/>
      <c r="C9" s="5"/>
      <c r="D9" s="5"/>
      <c r="E9" s="2474" t="s">
        <v>685</v>
      </c>
      <c r="F9" s="2474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5" customHeight="1">
      <c r="A11" s="5"/>
      <c r="B11" s="3" t="s">
        <v>1340</v>
      </c>
      <c r="C11" s="5"/>
      <c r="D11" s="3" t="s">
        <v>743</v>
      </c>
      <c r="E11" s="3" t="s">
        <v>719</v>
      </c>
      <c r="F11" s="5"/>
      <c r="G11" s="5"/>
    </row>
    <row r="12" spans="1:7" ht="12" customHeight="1">
      <c r="A12" s="5"/>
      <c r="B12" s="5"/>
      <c r="C12" s="5"/>
      <c r="D12" s="5"/>
      <c r="E12" s="2474" t="s">
        <v>702</v>
      </c>
      <c r="F12" s="2474"/>
      <c r="G12" s="5"/>
    </row>
    <row r="13" spans="1:7" ht="12" customHeight="1">
      <c r="A13" s="3" t="s">
        <v>703</v>
      </c>
      <c r="B13" s="3" t="s">
        <v>704</v>
      </c>
      <c r="C13" s="5"/>
      <c r="D13" s="5"/>
      <c r="E13" s="5"/>
      <c r="F13" s="5"/>
      <c r="G13" s="5"/>
    </row>
    <row r="14" spans="1:7" ht="12" customHeight="1">
      <c r="A14" s="5"/>
      <c r="B14" s="5"/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2474" t="s">
        <v>705</v>
      </c>
      <c r="F15" s="2474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3" t="s">
        <v>706</v>
      </c>
      <c r="B17" s="2474" t="s">
        <v>707</v>
      </c>
      <c r="C17" s="2474"/>
      <c r="D17" s="2474"/>
      <c r="E17" s="2474"/>
      <c r="F17" s="2474"/>
      <c r="G17" s="5"/>
    </row>
    <row r="18" spans="1:7" ht="12" customHeight="1">
      <c r="A18" s="3" t="s">
        <v>708</v>
      </c>
      <c r="B18" s="2471" t="s">
        <v>876</v>
      </c>
      <c r="C18" s="2471"/>
      <c r="D18" s="2471"/>
      <c r="E18" s="2472" t="s">
        <v>710</v>
      </c>
      <c r="F18" s="2472"/>
      <c r="G18" s="5"/>
    </row>
    <row r="19" spans="1:7" ht="12" customHeight="1">
      <c r="A19" s="3" t="s">
        <v>711</v>
      </c>
      <c r="B19" s="2473" t="s">
        <v>712</v>
      </c>
      <c r="C19" s="2473"/>
      <c r="D19" s="2473"/>
      <c r="E19" s="2473"/>
      <c r="F19" s="2473"/>
      <c r="G19" s="5"/>
    </row>
    <row r="20" spans="1:7" ht="12" customHeight="1">
      <c r="A20" s="3"/>
      <c r="B20" s="26"/>
      <c r="C20" s="26"/>
      <c r="D20" s="26"/>
      <c r="E20" s="26"/>
      <c r="F20" s="26"/>
      <c r="G20" s="5"/>
    </row>
    <row r="21" spans="1:7" ht="12" customHeight="1">
      <c r="A21" s="50" t="s">
        <v>2347</v>
      </c>
      <c r="B21" s="26"/>
      <c r="C21" s="26"/>
      <c r="D21" s="26"/>
      <c r="E21" s="26"/>
      <c r="F21" s="26"/>
      <c r="G21" s="5"/>
    </row>
    <row r="22" spans="1:7" ht="12" customHeight="1">
      <c r="A22" s="3"/>
      <c r="B22" s="26"/>
      <c r="C22" s="26"/>
      <c r="D22" s="26"/>
      <c r="E22" s="26"/>
      <c r="F22" s="26"/>
      <c r="G22" s="5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3" t="s">
        <v>671</v>
      </c>
      <c r="B24" s="3" t="s">
        <v>672</v>
      </c>
      <c r="C24" s="5"/>
      <c r="D24" s="5"/>
      <c r="E24" s="5"/>
      <c r="F24" s="5"/>
      <c r="G24" s="5"/>
    </row>
    <row r="25" spans="1:7" ht="13.65" customHeight="1">
      <c r="A25" s="5"/>
      <c r="B25" s="3" t="s">
        <v>673</v>
      </c>
      <c r="C25" s="3" t="s">
        <v>674</v>
      </c>
      <c r="D25" s="3" t="s">
        <v>675</v>
      </c>
      <c r="E25" s="3" t="s">
        <v>723</v>
      </c>
      <c r="F25" s="5"/>
      <c r="G25" s="5"/>
    </row>
    <row r="26" spans="1:7" ht="13.65" customHeight="1">
      <c r="A26" s="5"/>
      <c r="B26" s="3" t="s">
        <v>871</v>
      </c>
      <c r="C26" s="3" t="s">
        <v>678</v>
      </c>
      <c r="D26" s="5"/>
      <c r="E26" s="3" t="s">
        <v>758</v>
      </c>
      <c r="F26" s="5"/>
      <c r="G26" s="5"/>
    </row>
    <row r="27" spans="1:7" ht="13.95" customHeight="1">
      <c r="A27" s="5"/>
      <c r="B27" s="3" t="s">
        <v>751</v>
      </c>
      <c r="C27" s="3" t="s">
        <v>681</v>
      </c>
      <c r="D27" s="5"/>
      <c r="E27" s="3" t="s">
        <v>728</v>
      </c>
      <c r="F27" s="5"/>
      <c r="G27" s="5"/>
    </row>
    <row r="28" spans="1:7" ht="13.65" customHeight="1">
      <c r="A28" s="5"/>
      <c r="B28" s="3" t="s">
        <v>683</v>
      </c>
      <c r="C28" s="3" t="s">
        <v>684</v>
      </c>
      <c r="D28" s="3" t="s">
        <v>675</v>
      </c>
      <c r="E28" s="3" t="s">
        <v>1339</v>
      </c>
      <c r="F28" s="5"/>
      <c r="G28" s="5"/>
    </row>
    <row r="29" spans="1:7" ht="12" customHeight="1">
      <c r="A29" s="5"/>
      <c r="B29" s="5"/>
      <c r="C29" s="5"/>
      <c r="D29" s="5"/>
      <c r="E29" s="2474" t="s">
        <v>685</v>
      </c>
      <c r="F29" s="2474"/>
      <c r="G29" s="5"/>
    </row>
    <row r="30" spans="1:7" ht="12" customHeight="1">
      <c r="A30" s="3" t="s">
        <v>686</v>
      </c>
      <c r="B30" s="3" t="s">
        <v>687</v>
      </c>
      <c r="C30" s="5"/>
      <c r="D30" s="5"/>
      <c r="E30" s="5"/>
      <c r="F30" s="5"/>
      <c r="G30" s="5"/>
    </row>
    <row r="31" spans="1:7" ht="13.65" customHeight="1">
      <c r="A31" s="5"/>
      <c r="B31" s="3" t="s">
        <v>1341</v>
      </c>
      <c r="C31" s="5"/>
      <c r="D31" s="3" t="s">
        <v>743</v>
      </c>
      <c r="E31" s="3" t="s">
        <v>719</v>
      </c>
      <c r="F31" s="5"/>
      <c r="G31" s="5"/>
    </row>
    <row r="32" spans="1:7" ht="12" customHeight="1">
      <c r="A32" s="5"/>
      <c r="B32" s="5"/>
      <c r="C32" s="5"/>
      <c r="D32" s="5"/>
      <c r="E32" s="2474" t="s">
        <v>702</v>
      </c>
      <c r="F32" s="2474"/>
      <c r="G32" s="5"/>
    </row>
    <row r="33" spans="1:7" ht="12" customHeight="1">
      <c r="A33" s="3" t="s">
        <v>703</v>
      </c>
      <c r="B33" s="3" t="s">
        <v>704</v>
      </c>
      <c r="C33" s="5"/>
      <c r="D33" s="5"/>
      <c r="E33" s="5"/>
      <c r="F33" s="5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5"/>
      <c r="B35" s="5"/>
      <c r="C35" s="5"/>
      <c r="D35" s="5"/>
      <c r="E35" s="2474" t="s">
        <v>705</v>
      </c>
      <c r="F35" s="2474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3" t="s">
        <v>706</v>
      </c>
      <c r="B37" s="2474" t="s">
        <v>707</v>
      </c>
      <c r="C37" s="2474"/>
      <c r="D37" s="2474"/>
      <c r="E37" s="2474"/>
      <c r="F37" s="2474"/>
      <c r="G37" s="5"/>
    </row>
    <row r="38" spans="1:7" ht="12" customHeight="1">
      <c r="A38" s="3" t="s">
        <v>708</v>
      </c>
      <c r="B38" s="2471" t="s">
        <v>876</v>
      </c>
      <c r="C38" s="2471"/>
      <c r="D38" s="2471"/>
      <c r="E38" s="2472" t="s">
        <v>710</v>
      </c>
      <c r="F38" s="2472"/>
      <c r="G38" s="5"/>
    </row>
    <row r="39" spans="1:7" ht="12" customHeight="1">
      <c r="A39" s="3" t="s">
        <v>711</v>
      </c>
      <c r="B39" s="2473" t="s">
        <v>712</v>
      </c>
      <c r="C39" s="2473"/>
      <c r="D39" s="2473"/>
      <c r="E39" s="2473"/>
      <c r="F39" s="2473"/>
      <c r="G39" s="5"/>
    </row>
  </sheetData>
  <mergeCells count="14">
    <mergeCell ref="E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E29:F29"/>
    <mergeCell ref="E32:F32"/>
    <mergeCell ref="E35:F35"/>
    <mergeCell ref="B37:F37"/>
  </mergeCells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115"/>
  <dimension ref="A1:G39"/>
  <sheetViews>
    <sheetView topLeftCell="A28" workbookViewId="0">
      <selection sqref="A1:G39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2348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65" customHeight="1">
      <c r="A5" s="5"/>
      <c r="B5" s="3" t="s">
        <v>673</v>
      </c>
      <c r="C5" s="3" t="s">
        <v>674</v>
      </c>
      <c r="D5" s="3" t="s">
        <v>675</v>
      </c>
      <c r="E5" s="3" t="s">
        <v>811</v>
      </c>
      <c r="F5" s="5"/>
      <c r="G5" s="5"/>
    </row>
    <row r="6" spans="1:7" ht="13.95" customHeight="1">
      <c r="A6" s="5"/>
      <c r="B6" s="3" t="s">
        <v>871</v>
      </c>
      <c r="C6" s="3" t="s">
        <v>678</v>
      </c>
      <c r="D6" s="5"/>
      <c r="E6" s="3" t="s">
        <v>752</v>
      </c>
      <c r="F6" s="5"/>
      <c r="G6" s="5"/>
    </row>
    <row r="7" spans="1:7" ht="13.65" customHeight="1">
      <c r="A7" s="5"/>
      <c r="B7" s="3" t="s">
        <v>751</v>
      </c>
      <c r="C7" s="3" t="s">
        <v>681</v>
      </c>
      <c r="D7" s="5"/>
      <c r="E7" s="3" t="s">
        <v>811</v>
      </c>
      <c r="F7" s="5"/>
      <c r="G7" s="5"/>
    </row>
    <row r="8" spans="1:7" ht="13.65" customHeight="1">
      <c r="A8" s="5"/>
      <c r="B8" s="3" t="s">
        <v>683</v>
      </c>
      <c r="C8" s="3" t="s">
        <v>684</v>
      </c>
      <c r="D8" s="3" t="s">
        <v>675</v>
      </c>
      <c r="E8" s="3" t="s">
        <v>868</v>
      </c>
      <c r="F8" s="5"/>
      <c r="G8" s="5"/>
    </row>
    <row r="9" spans="1:7" ht="12" customHeight="1">
      <c r="A9" s="5"/>
      <c r="B9" s="5"/>
      <c r="C9" s="5"/>
      <c r="D9" s="5"/>
      <c r="E9" s="2474" t="s">
        <v>685</v>
      </c>
      <c r="F9" s="2474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5" customHeight="1">
      <c r="A11" s="5"/>
      <c r="B11" s="4" t="s">
        <v>1342</v>
      </c>
      <c r="C11" s="5"/>
      <c r="D11" s="3" t="s">
        <v>743</v>
      </c>
      <c r="E11" s="3" t="s">
        <v>719</v>
      </c>
      <c r="F11" s="5"/>
      <c r="G11" s="5"/>
    </row>
    <row r="12" spans="1:7" ht="12" customHeight="1">
      <c r="A12" s="5"/>
      <c r="B12" s="5"/>
      <c r="C12" s="5"/>
      <c r="D12" s="5"/>
      <c r="E12" s="2474" t="s">
        <v>702</v>
      </c>
      <c r="F12" s="2474"/>
      <c r="G12" s="5"/>
    </row>
    <row r="13" spans="1:7" ht="12" customHeight="1">
      <c r="A13" s="3" t="s">
        <v>703</v>
      </c>
      <c r="B13" s="3" t="s">
        <v>704</v>
      </c>
      <c r="C13" s="5"/>
      <c r="D13" s="5"/>
      <c r="E13" s="5"/>
      <c r="F13" s="5"/>
      <c r="G13" s="5"/>
    </row>
    <row r="14" spans="1:7" ht="12" customHeight="1">
      <c r="A14" s="5"/>
      <c r="B14" s="5"/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2474" t="s">
        <v>705</v>
      </c>
      <c r="F15" s="2474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3" t="s">
        <v>706</v>
      </c>
      <c r="B17" s="2474" t="s">
        <v>707</v>
      </c>
      <c r="C17" s="2474"/>
      <c r="D17" s="2474"/>
      <c r="E17" s="2474"/>
      <c r="F17" s="2474"/>
      <c r="G17" s="5"/>
    </row>
    <row r="18" spans="1:7" ht="12" customHeight="1">
      <c r="A18" s="3" t="s">
        <v>708</v>
      </c>
      <c r="B18" s="2471" t="s">
        <v>876</v>
      </c>
      <c r="C18" s="2471"/>
      <c r="D18" s="2471"/>
      <c r="E18" s="2472" t="s">
        <v>710</v>
      </c>
      <c r="F18" s="2472"/>
      <c r="G18" s="5"/>
    </row>
    <row r="19" spans="1:7" ht="12" customHeight="1">
      <c r="A19" s="3" t="s">
        <v>711</v>
      </c>
      <c r="B19" s="2473" t="s">
        <v>712</v>
      </c>
      <c r="C19" s="2473"/>
      <c r="D19" s="2473"/>
      <c r="E19" s="2473"/>
      <c r="F19" s="2473"/>
      <c r="G19" s="5"/>
    </row>
    <row r="20" spans="1:7" ht="12" customHeight="1">
      <c r="A20" s="3"/>
      <c r="B20" s="26"/>
      <c r="C20" s="26"/>
      <c r="D20" s="26"/>
      <c r="E20" s="26"/>
      <c r="F20" s="26"/>
      <c r="G20" s="5"/>
    </row>
    <row r="21" spans="1:7" ht="12" customHeight="1">
      <c r="A21" s="50" t="s">
        <v>2349</v>
      </c>
      <c r="B21" s="26"/>
      <c r="C21" s="26"/>
      <c r="D21" s="26"/>
      <c r="E21" s="26"/>
      <c r="F21" s="26"/>
      <c r="G21" s="5"/>
    </row>
    <row r="22" spans="1:7" ht="12" customHeight="1">
      <c r="A22" s="3"/>
      <c r="B22" s="26"/>
      <c r="C22" s="26"/>
      <c r="D22" s="26"/>
      <c r="E22" s="26"/>
      <c r="F22" s="26"/>
      <c r="G22" s="5"/>
    </row>
    <row r="23" spans="1:7" ht="34.950000000000003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3" t="s">
        <v>671</v>
      </c>
      <c r="B24" s="3" t="s">
        <v>672</v>
      </c>
      <c r="C24" s="5"/>
      <c r="D24" s="5"/>
      <c r="E24" s="5"/>
      <c r="F24" s="5"/>
      <c r="G24" s="5"/>
    </row>
    <row r="25" spans="1:7" ht="13.95" customHeight="1">
      <c r="A25" s="5"/>
      <c r="B25" s="3" t="s">
        <v>673</v>
      </c>
      <c r="C25" s="3" t="s">
        <v>674</v>
      </c>
      <c r="D25" s="3" t="s">
        <v>675</v>
      </c>
      <c r="E25" s="3" t="s">
        <v>811</v>
      </c>
      <c r="F25" s="5"/>
      <c r="G25" s="5"/>
    </row>
    <row r="26" spans="1:7" ht="13.65" customHeight="1">
      <c r="A26" s="5"/>
      <c r="B26" s="3" t="s">
        <v>871</v>
      </c>
      <c r="C26" s="3" t="s">
        <v>678</v>
      </c>
      <c r="D26" s="5"/>
      <c r="E26" s="3" t="s">
        <v>752</v>
      </c>
      <c r="F26" s="5"/>
      <c r="G26" s="5"/>
    </row>
    <row r="27" spans="1:7" ht="13.65" customHeight="1">
      <c r="A27" s="5"/>
      <c r="B27" s="3" t="s">
        <v>751</v>
      </c>
      <c r="C27" s="3" t="s">
        <v>681</v>
      </c>
      <c r="D27" s="5"/>
      <c r="E27" s="3" t="s">
        <v>811</v>
      </c>
      <c r="F27" s="5"/>
      <c r="G27" s="5"/>
    </row>
    <row r="28" spans="1:7" ht="13.95" customHeight="1">
      <c r="A28" s="5"/>
      <c r="B28" s="3" t="s">
        <v>683</v>
      </c>
      <c r="C28" s="3" t="s">
        <v>684</v>
      </c>
      <c r="D28" s="3" t="s">
        <v>675</v>
      </c>
      <c r="E28" s="3" t="s">
        <v>868</v>
      </c>
      <c r="F28" s="5"/>
      <c r="G28" s="5"/>
    </row>
    <row r="29" spans="1:7" ht="12" customHeight="1">
      <c r="A29" s="5"/>
      <c r="B29" s="5"/>
      <c r="C29" s="5"/>
      <c r="D29" s="5"/>
      <c r="E29" s="2474" t="s">
        <v>685</v>
      </c>
      <c r="F29" s="2474"/>
      <c r="G29" s="5"/>
    </row>
    <row r="30" spans="1:7" ht="12" customHeight="1">
      <c r="A30" s="3" t="s">
        <v>686</v>
      </c>
      <c r="B30" s="3" t="s">
        <v>687</v>
      </c>
      <c r="C30" s="5"/>
      <c r="D30" s="5"/>
      <c r="E30" s="5"/>
      <c r="F30" s="5"/>
      <c r="G30" s="5"/>
    </row>
    <row r="31" spans="1:7" ht="13.65" customHeight="1">
      <c r="A31" s="5"/>
      <c r="B31" s="3" t="s">
        <v>1343</v>
      </c>
      <c r="C31" s="5"/>
      <c r="D31" s="3" t="s">
        <v>743</v>
      </c>
      <c r="E31" s="3" t="s">
        <v>719</v>
      </c>
      <c r="F31" s="5"/>
      <c r="G31" s="5"/>
    </row>
    <row r="32" spans="1:7" ht="12" customHeight="1">
      <c r="A32" s="5"/>
      <c r="B32" s="5"/>
      <c r="C32" s="5"/>
      <c r="D32" s="5"/>
      <c r="E32" s="2474" t="s">
        <v>702</v>
      </c>
      <c r="F32" s="2474"/>
      <c r="G32" s="5"/>
    </row>
    <row r="33" spans="1:7" ht="12" customHeight="1">
      <c r="A33" s="3" t="s">
        <v>703</v>
      </c>
      <c r="B33" s="3" t="s">
        <v>704</v>
      </c>
      <c r="C33" s="5"/>
      <c r="D33" s="5"/>
      <c r="E33" s="5"/>
      <c r="F33" s="5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5"/>
      <c r="B35" s="5"/>
      <c r="C35" s="5"/>
      <c r="D35" s="5"/>
      <c r="E35" s="2474" t="s">
        <v>705</v>
      </c>
      <c r="F35" s="2474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3" t="s">
        <v>706</v>
      </c>
      <c r="B37" s="2474" t="s">
        <v>707</v>
      </c>
      <c r="C37" s="2474"/>
      <c r="D37" s="2474"/>
      <c r="E37" s="2474"/>
      <c r="F37" s="2474"/>
      <c r="G37" s="5"/>
    </row>
    <row r="38" spans="1:7" ht="12" customHeight="1">
      <c r="A38" s="3" t="s">
        <v>708</v>
      </c>
      <c r="B38" s="2471" t="s">
        <v>876</v>
      </c>
      <c r="C38" s="2471"/>
      <c r="D38" s="2471"/>
      <c r="E38" s="2472" t="s">
        <v>710</v>
      </c>
      <c r="F38" s="2472"/>
      <c r="G38" s="5"/>
    </row>
    <row r="39" spans="1:7" ht="12" customHeight="1">
      <c r="A39" s="3" t="s">
        <v>711</v>
      </c>
      <c r="B39" s="2473" t="s">
        <v>712</v>
      </c>
      <c r="C39" s="2473"/>
      <c r="D39" s="2473"/>
      <c r="E39" s="2473"/>
      <c r="F39" s="2473"/>
      <c r="G39" s="5"/>
    </row>
  </sheetData>
  <mergeCells count="14">
    <mergeCell ref="E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E29:F29"/>
    <mergeCell ref="E32:F32"/>
    <mergeCell ref="E35:F35"/>
    <mergeCell ref="B37:F37"/>
  </mergeCells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116"/>
  <dimension ref="A1:G39"/>
  <sheetViews>
    <sheetView topLeftCell="A22" workbookViewId="0">
      <selection sqref="A1:G39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1" t="s">
        <v>2350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65" customHeight="1">
      <c r="A5" s="5"/>
      <c r="B5" s="3" t="s">
        <v>673</v>
      </c>
      <c r="C5" s="3" t="s">
        <v>674</v>
      </c>
      <c r="D5" s="3" t="s">
        <v>675</v>
      </c>
      <c r="E5" s="3" t="s">
        <v>753</v>
      </c>
      <c r="F5" s="5"/>
      <c r="G5" s="5"/>
    </row>
    <row r="6" spans="1:7" ht="13.95" customHeight="1">
      <c r="A6" s="5"/>
      <c r="B6" s="3" t="s">
        <v>871</v>
      </c>
      <c r="C6" s="3" t="s">
        <v>678</v>
      </c>
      <c r="D6" s="5"/>
      <c r="E6" s="3" t="s">
        <v>1344</v>
      </c>
      <c r="F6" s="5"/>
      <c r="G6" s="5"/>
    </row>
    <row r="7" spans="1:7" ht="13.65" customHeight="1">
      <c r="A7" s="5"/>
      <c r="B7" s="3" t="s">
        <v>751</v>
      </c>
      <c r="C7" s="3" t="s">
        <v>681</v>
      </c>
      <c r="D7" s="5"/>
      <c r="E7" s="3" t="s">
        <v>753</v>
      </c>
      <c r="F7" s="5"/>
      <c r="G7" s="5"/>
    </row>
    <row r="8" spans="1:7" ht="13.65" customHeight="1">
      <c r="A8" s="5"/>
      <c r="B8" s="3" t="s">
        <v>683</v>
      </c>
      <c r="C8" s="3" t="s">
        <v>684</v>
      </c>
      <c r="D8" s="3" t="s">
        <v>675</v>
      </c>
      <c r="E8" s="3" t="s">
        <v>852</v>
      </c>
      <c r="F8" s="5"/>
      <c r="G8" s="5"/>
    </row>
    <row r="9" spans="1:7" ht="12" customHeight="1">
      <c r="A9" s="5"/>
      <c r="B9" s="5"/>
      <c r="C9" s="5"/>
      <c r="D9" s="5"/>
      <c r="E9" s="2474" t="s">
        <v>685</v>
      </c>
      <c r="F9" s="2474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5" customHeight="1">
      <c r="A11" s="5"/>
      <c r="B11" s="4" t="s">
        <v>1345</v>
      </c>
      <c r="C11" s="5"/>
      <c r="D11" s="3" t="s">
        <v>1346</v>
      </c>
      <c r="E11" s="3" t="s">
        <v>719</v>
      </c>
      <c r="F11" s="5"/>
      <c r="G11" s="5"/>
    </row>
    <row r="12" spans="1:7" ht="12" customHeight="1">
      <c r="A12" s="5"/>
      <c r="B12" s="5"/>
      <c r="C12" s="5"/>
      <c r="D12" s="5"/>
      <c r="E12" s="2474" t="s">
        <v>702</v>
      </c>
      <c r="F12" s="2474"/>
      <c r="G12" s="5"/>
    </row>
    <row r="13" spans="1:7" ht="12" customHeight="1">
      <c r="A13" s="3" t="s">
        <v>703</v>
      </c>
      <c r="B13" s="3" t="s">
        <v>704</v>
      </c>
      <c r="C13" s="5"/>
      <c r="D13" s="5"/>
      <c r="E13" s="5"/>
      <c r="F13" s="5"/>
      <c r="G13" s="5"/>
    </row>
    <row r="14" spans="1:7" ht="12" customHeight="1">
      <c r="A14" s="5"/>
      <c r="B14" s="5"/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2474" t="s">
        <v>705</v>
      </c>
      <c r="F15" s="2474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3" t="s">
        <v>706</v>
      </c>
      <c r="B17" s="2474" t="s">
        <v>707</v>
      </c>
      <c r="C17" s="2474"/>
      <c r="D17" s="2474"/>
      <c r="E17" s="2474"/>
      <c r="F17" s="2474"/>
      <c r="G17" s="5"/>
    </row>
    <row r="18" spans="1:7" ht="12" customHeight="1">
      <c r="A18" s="3" t="s">
        <v>708</v>
      </c>
      <c r="B18" s="2471" t="s">
        <v>876</v>
      </c>
      <c r="C18" s="2471"/>
      <c r="D18" s="2471"/>
      <c r="E18" s="2472" t="s">
        <v>710</v>
      </c>
      <c r="F18" s="2472"/>
      <c r="G18" s="5"/>
    </row>
    <row r="19" spans="1:7" ht="12" customHeight="1">
      <c r="A19" s="3" t="s">
        <v>711</v>
      </c>
      <c r="B19" s="2473" t="s">
        <v>712</v>
      </c>
      <c r="C19" s="2473"/>
      <c r="D19" s="2473"/>
      <c r="E19" s="2473"/>
      <c r="F19" s="2473"/>
      <c r="G19" s="5"/>
    </row>
    <row r="20" spans="1:7" ht="12" customHeight="1">
      <c r="A20" s="3"/>
      <c r="B20" s="26"/>
      <c r="C20" s="26"/>
      <c r="D20" s="26"/>
      <c r="E20" s="26"/>
      <c r="F20" s="26"/>
      <c r="G20" s="5"/>
    </row>
    <row r="21" spans="1:7" ht="12" customHeight="1">
      <c r="A21" s="50" t="s">
        <v>2351</v>
      </c>
      <c r="B21" s="26"/>
      <c r="C21" s="26"/>
      <c r="D21" s="26"/>
      <c r="E21" s="26"/>
      <c r="F21" s="26"/>
      <c r="G21" s="5"/>
    </row>
    <row r="22" spans="1:7" ht="12" customHeight="1">
      <c r="A22" s="3"/>
      <c r="B22" s="26"/>
      <c r="C22" s="26"/>
      <c r="D22" s="26"/>
      <c r="E22" s="26"/>
      <c r="F22" s="26"/>
      <c r="G22" s="5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3" t="s">
        <v>671</v>
      </c>
      <c r="B24" s="3" t="s">
        <v>672</v>
      </c>
      <c r="C24" s="5"/>
      <c r="D24" s="5"/>
      <c r="E24" s="5"/>
      <c r="F24" s="5"/>
      <c r="G24" s="5"/>
    </row>
    <row r="25" spans="1:7" ht="13.65" customHeight="1">
      <c r="A25" s="5"/>
      <c r="B25" s="3" t="s">
        <v>673</v>
      </c>
      <c r="C25" s="3" t="s">
        <v>674</v>
      </c>
      <c r="D25" s="3" t="s">
        <v>675</v>
      </c>
      <c r="E25" s="3" t="s">
        <v>728</v>
      </c>
      <c r="F25" s="5"/>
      <c r="G25" s="5"/>
    </row>
    <row r="26" spans="1:7" ht="13.65" customHeight="1">
      <c r="A26" s="5"/>
      <c r="B26" s="3" t="s">
        <v>871</v>
      </c>
      <c r="C26" s="3" t="s">
        <v>678</v>
      </c>
      <c r="D26" s="5"/>
      <c r="E26" s="3" t="s">
        <v>1347</v>
      </c>
      <c r="F26" s="5"/>
      <c r="G26" s="5"/>
    </row>
    <row r="27" spans="1:7" ht="13.95" customHeight="1">
      <c r="A27" s="5"/>
      <c r="B27" s="3" t="s">
        <v>751</v>
      </c>
      <c r="C27" s="3" t="s">
        <v>681</v>
      </c>
      <c r="D27" s="5"/>
      <c r="E27" s="3" t="s">
        <v>728</v>
      </c>
      <c r="F27" s="5"/>
      <c r="G27" s="5"/>
    </row>
    <row r="28" spans="1:7" ht="13.65" customHeight="1">
      <c r="A28" s="5"/>
      <c r="B28" s="3" t="s">
        <v>683</v>
      </c>
      <c r="C28" s="3" t="s">
        <v>684</v>
      </c>
      <c r="D28" s="3" t="s">
        <v>675</v>
      </c>
      <c r="E28" s="3" t="s">
        <v>856</v>
      </c>
      <c r="F28" s="5"/>
      <c r="G28" s="5"/>
    </row>
    <row r="29" spans="1:7" ht="12" customHeight="1">
      <c r="A29" s="5"/>
      <c r="B29" s="5"/>
      <c r="C29" s="5"/>
      <c r="D29" s="5"/>
      <c r="E29" s="2474" t="s">
        <v>685</v>
      </c>
      <c r="F29" s="2474"/>
      <c r="G29" s="5"/>
    </row>
    <row r="30" spans="1:7" ht="12" customHeight="1">
      <c r="A30" s="3" t="s">
        <v>686</v>
      </c>
      <c r="B30" s="3" t="s">
        <v>687</v>
      </c>
      <c r="C30" s="5"/>
      <c r="D30" s="5"/>
      <c r="E30" s="5"/>
      <c r="F30" s="5"/>
      <c r="G30" s="5"/>
    </row>
    <row r="31" spans="1:7" ht="13.65" customHeight="1">
      <c r="A31" s="5"/>
      <c r="B31" s="3" t="s">
        <v>1348</v>
      </c>
      <c r="C31" s="5"/>
      <c r="D31" s="3" t="s">
        <v>743</v>
      </c>
      <c r="E31" s="3" t="s">
        <v>719</v>
      </c>
      <c r="F31" s="5"/>
      <c r="G31" s="5"/>
    </row>
    <row r="32" spans="1:7" ht="12" customHeight="1">
      <c r="A32" s="5"/>
      <c r="B32" s="5"/>
      <c r="C32" s="5"/>
      <c r="D32" s="5"/>
      <c r="E32" s="2474" t="s">
        <v>702</v>
      </c>
      <c r="F32" s="2474"/>
      <c r="G32" s="5"/>
    </row>
    <row r="33" spans="1:7" ht="12" customHeight="1">
      <c r="A33" s="3" t="s">
        <v>703</v>
      </c>
      <c r="B33" s="3" t="s">
        <v>704</v>
      </c>
      <c r="C33" s="5"/>
      <c r="D33" s="5"/>
      <c r="E33" s="5"/>
      <c r="F33" s="5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5"/>
      <c r="B35" s="5"/>
      <c r="C35" s="5"/>
      <c r="D35" s="5"/>
      <c r="E35" s="2474" t="s">
        <v>705</v>
      </c>
      <c r="F35" s="2474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3" t="s">
        <v>706</v>
      </c>
      <c r="B37" s="2474" t="s">
        <v>707</v>
      </c>
      <c r="C37" s="2474"/>
      <c r="D37" s="2474"/>
      <c r="E37" s="2474"/>
      <c r="F37" s="2474"/>
      <c r="G37" s="5"/>
    </row>
    <row r="38" spans="1:7" ht="12" customHeight="1">
      <c r="A38" s="3" t="s">
        <v>708</v>
      </c>
      <c r="B38" s="2471" t="s">
        <v>876</v>
      </c>
      <c r="C38" s="2471"/>
      <c r="D38" s="2471"/>
      <c r="E38" s="2472" t="s">
        <v>710</v>
      </c>
      <c r="F38" s="2472"/>
      <c r="G38" s="5"/>
    </row>
    <row r="39" spans="1:7" ht="12" customHeight="1">
      <c r="A39" s="3" t="s">
        <v>711</v>
      </c>
      <c r="B39" s="2473" t="s">
        <v>712</v>
      </c>
      <c r="C39" s="2473"/>
      <c r="D39" s="2473"/>
      <c r="E39" s="2473"/>
      <c r="F39" s="2473"/>
      <c r="G39" s="5"/>
    </row>
  </sheetData>
  <mergeCells count="14">
    <mergeCell ref="E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E29:F29"/>
    <mergeCell ref="E32:F32"/>
    <mergeCell ref="E35:F35"/>
    <mergeCell ref="B37:F37"/>
  </mergeCells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117"/>
  <dimension ref="A1:G39"/>
  <sheetViews>
    <sheetView topLeftCell="A22" workbookViewId="0">
      <selection sqref="A1:G39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2352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65" customHeight="1">
      <c r="A5" s="5"/>
      <c r="B5" s="3" t="s">
        <v>673</v>
      </c>
      <c r="C5" s="3" t="s">
        <v>674</v>
      </c>
      <c r="D5" s="3" t="s">
        <v>675</v>
      </c>
      <c r="E5" s="3" t="s">
        <v>753</v>
      </c>
      <c r="F5" s="5"/>
      <c r="G5" s="5"/>
    </row>
    <row r="6" spans="1:7" ht="13.95" customHeight="1">
      <c r="A6" s="5"/>
      <c r="B6" s="3" t="s">
        <v>871</v>
      </c>
      <c r="C6" s="3" t="s">
        <v>678</v>
      </c>
      <c r="D6" s="5"/>
      <c r="E6" s="3" t="s">
        <v>1344</v>
      </c>
      <c r="F6" s="5"/>
      <c r="G6" s="5"/>
    </row>
    <row r="7" spans="1:7" ht="13.65" customHeight="1">
      <c r="A7" s="5"/>
      <c r="B7" s="3" t="s">
        <v>751</v>
      </c>
      <c r="C7" s="3" t="s">
        <v>681</v>
      </c>
      <c r="D7" s="5"/>
      <c r="E7" s="3" t="s">
        <v>753</v>
      </c>
      <c r="F7" s="5"/>
      <c r="G7" s="5"/>
    </row>
    <row r="8" spans="1:7" ht="13.65" customHeight="1">
      <c r="A8" s="5"/>
      <c r="B8" s="3" t="s">
        <v>683</v>
      </c>
      <c r="C8" s="3" t="s">
        <v>684</v>
      </c>
      <c r="D8" s="3" t="s">
        <v>675</v>
      </c>
      <c r="E8" s="3" t="s">
        <v>852</v>
      </c>
      <c r="F8" s="5"/>
      <c r="G8" s="5"/>
    </row>
    <row r="9" spans="1:7" ht="12" customHeight="1">
      <c r="A9" s="5"/>
      <c r="B9" s="5"/>
      <c r="C9" s="5"/>
      <c r="D9" s="5"/>
      <c r="E9" s="2474" t="s">
        <v>685</v>
      </c>
      <c r="F9" s="2474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5" customHeight="1">
      <c r="A11" s="5"/>
      <c r="B11" s="4" t="s">
        <v>1349</v>
      </c>
      <c r="C11" s="5"/>
      <c r="D11" s="3" t="s">
        <v>743</v>
      </c>
      <c r="E11" s="3" t="s">
        <v>719</v>
      </c>
      <c r="F11" s="5"/>
      <c r="G11" s="5"/>
    </row>
    <row r="12" spans="1:7" ht="12" customHeight="1">
      <c r="A12" s="5"/>
      <c r="B12" s="5"/>
      <c r="C12" s="5"/>
      <c r="D12" s="5"/>
      <c r="E12" s="2474" t="s">
        <v>702</v>
      </c>
      <c r="F12" s="2474"/>
      <c r="G12" s="5"/>
    </row>
    <row r="13" spans="1:7" ht="12" customHeight="1">
      <c r="A13" s="3" t="s">
        <v>703</v>
      </c>
      <c r="B13" s="3" t="s">
        <v>704</v>
      </c>
      <c r="C13" s="5"/>
      <c r="D13" s="5"/>
      <c r="E13" s="5"/>
      <c r="F13" s="5"/>
      <c r="G13" s="5"/>
    </row>
    <row r="14" spans="1:7" ht="12" customHeight="1">
      <c r="A14" s="5"/>
      <c r="B14" s="5"/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2474" t="s">
        <v>705</v>
      </c>
      <c r="F15" s="2474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3" t="s">
        <v>706</v>
      </c>
      <c r="B17" s="2474" t="s">
        <v>707</v>
      </c>
      <c r="C17" s="2474"/>
      <c r="D17" s="2474"/>
      <c r="E17" s="2474"/>
      <c r="F17" s="2474"/>
      <c r="G17" s="5"/>
    </row>
    <row r="18" spans="1:7" ht="12" customHeight="1">
      <c r="A18" s="3" t="s">
        <v>708</v>
      </c>
      <c r="B18" s="2471" t="s">
        <v>876</v>
      </c>
      <c r="C18" s="2471"/>
      <c r="D18" s="2471"/>
      <c r="E18" s="2472" t="s">
        <v>710</v>
      </c>
      <c r="F18" s="2472"/>
      <c r="G18" s="5"/>
    </row>
    <row r="19" spans="1:7" ht="12" customHeight="1">
      <c r="A19" s="3" t="s">
        <v>711</v>
      </c>
      <c r="B19" s="2473" t="s">
        <v>712</v>
      </c>
      <c r="C19" s="2473"/>
      <c r="D19" s="2473"/>
      <c r="E19" s="2473"/>
      <c r="F19" s="2473"/>
      <c r="G19" s="5"/>
    </row>
    <row r="20" spans="1:7" ht="12" customHeight="1">
      <c r="A20" s="3"/>
      <c r="B20" s="26"/>
      <c r="C20" s="26"/>
      <c r="D20" s="26"/>
      <c r="E20" s="26"/>
      <c r="F20" s="26"/>
      <c r="G20" s="5"/>
    </row>
    <row r="21" spans="1:7" ht="12" customHeight="1">
      <c r="A21" s="50" t="s">
        <v>2353</v>
      </c>
      <c r="B21" s="26"/>
      <c r="C21" s="26"/>
      <c r="D21" s="26"/>
      <c r="E21" s="26"/>
      <c r="F21" s="26"/>
      <c r="G21" s="5"/>
    </row>
    <row r="22" spans="1:7" ht="12" customHeight="1">
      <c r="A22" s="3"/>
      <c r="B22" s="26"/>
      <c r="C22" s="26"/>
      <c r="D22" s="26"/>
      <c r="E22" s="26"/>
      <c r="F22" s="26"/>
      <c r="G22" s="5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3" t="s">
        <v>671</v>
      </c>
      <c r="B24" s="3" t="s">
        <v>672</v>
      </c>
      <c r="C24" s="5"/>
      <c r="D24" s="5"/>
      <c r="E24" s="5"/>
      <c r="F24" s="5"/>
      <c r="G24" s="5"/>
    </row>
    <row r="25" spans="1:7" ht="13.65" customHeight="1">
      <c r="A25" s="5"/>
      <c r="B25" s="3" t="s">
        <v>673</v>
      </c>
      <c r="C25" s="3" t="s">
        <v>674</v>
      </c>
      <c r="D25" s="3" t="s">
        <v>675</v>
      </c>
      <c r="E25" s="3" t="s">
        <v>724</v>
      </c>
      <c r="F25" s="5"/>
      <c r="G25" s="5"/>
    </row>
    <row r="26" spans="1:7" ht="13.65" customHeight="1">
      <c r="A26" s="5"/>
      <c r="B26" s="3" t="s">
        <v>871</v>
      </c>
      <c r="C26" s="3" t="s">
        <v>678</v>
      </c>
      <c r="D26" s="5"/>
      <c r="E26" s="3" t="s">
        <v>1261</v>
      </c>
      <c r="F26" s="5"/>
      <c r="G26" s="5"/>
    </row>
    <row r="27" spans="1:7" ht="13.95" customHeight="1">
      <c r="A27" s="5"/>
      <c r="B27" s="3" t="s">
        <v>751</v>
      </c>
      <c r="C27" s="3" t="s">
        <v>681</v>
      </c>
      <c r="D27" s="5"/>
      <c r="E27" s="3" t="s">
        <v>724</v>
      </c>
      <c r="F27" s="5"/>
      <c r="G27" s="5"/>
    </row>
    <row r="28" spans="1:7" ht="13.65" customHeight="1">
      <c r="A28" s="5"/>
      <c r="B28" s="3" t="s">
        <v>683</v>
      </c>
      <c r="C28" s="3" t="s">
        <v>684</v>
      </c>
      <c r="D28" s="3" t="s">
        <v>675</v>
      </c>
      <c r="E28" s="3" t="s">
        <v>693</v>
      </c>
      <c r="F28" s="5"/>
      <c r="G28" s="5"/>
    </row>
    <row r="29" spans="1:7" ht="12" customHeight="1">
      <c r="A29" s="5"/>
      <c r="B29" s="5"/>
      <c r="C29" s="5"/>
      <c r="D29" s="5"/>
      <c r="E29" s="2474" t="s">
        <v>685</v>
      </c>
      <c r="F29" s="2474"/>
      <c r="G29" s="5"/>
    </row>
    <row r="30" spans="1:7" ht="12" customHeight="1">
      <c r="A30" s="3" t="s">
        <v>686</v>
      </c>
      <c r="B30" s="3" t="s">
        <v>687</v>
      </c>
      <c r="C30" s="5"/>
      <c r="D30" s="5"/>
      <c r="E30" s="5"/>
      <c r="F30" s="5"/>
      <c r="G30" s="5"/>
    </row>
    <row r="31" spans="1:7" ht="13.65" customHeight="1">
      <c r="A31" s="5"/>
      <c r="B31" s="4" t="s">
        <v>1350</v>
      </c>
      <c r="C31" s="5"/>
      <c r="D31" s="3" t="s">
        <v>743</v>
      </c>
      <c r="E31" s="3" t="s">
        <v>719</v>
      </c>
      <c r="F31" s="5"/>
      <c r="G31" s="5"/>
    </row>
    <row r="32" spans="1:7" ht="12" customHeight="1">
      <c r="A32" s="5"/>
      <c r="B32" s="5"/>
      <c r="C32" s="5"/>
      <c r="D32" s="5"/>
      <c r="E32" s="2474" t="s">
        <v>702</v>
      </c>
      <c r="F32" s="2474"/>
      <c r="G32" s="5"/>
    </row>
    <row r="33" spans="1:7" ht="12" customHeight="1">
      <c r="A33" s="3" t="s">
        <v>703</v>
      </c>
      <c r="B33" s="3" t="s">
        <v>704</v>
      </c>
      <c r="C33" s="5"/>
      <c r="D33" s="5"/>
      <c r="E33" s="5"/>
      <c r="F33" s="5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5"/>
      <c r="B35" s="5"/>
      <c r="C35" s="5"/>
      <c r="D35" s="5"/>
      <c r="E35" s="2474" t="s">
        <v>705</v>
      </c>
      <c r="F35" s="2474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3" t="s">
        <v>706</v>
      </c>
      <c r="B37" s="2474" t="s">
        <v>707</v>
      </c>
      <c r="C37" s="2474"/>
      <c r="D37" s="2474"/>
      <c r="E37" s="2474"/>
      <c r="F37" s="2474"/>
      <c r="G37" s="5"/>
    </row>
    <row r="38" spans="1:7" ht="12" customHeight="1">
      <c r="A38" s="3" t="s">
        <v>708</v>
      </c>
      <c r="B38" s="2471" t="s">
        <v>876</v>
      </c>
      <c r="C38" s="2471"/>
      <c r="D38" s="2471"/>
      <c r="E38" s="2472" t="s">
        <v>710</v>
      </c>
      <c r="F38" s="2472"/>
      <c r="G38" s="5"/>
    </row>
    <row r="39" spans="1:7" ht="12" customHeight="1">
      <c r="A39" s="3" t="s">
        <v>711</v>
      </c>
      <c r="B39" s="2473" t="s">
        <v>712</v>
      </c>
      <c r="C39" s="2473"/>
      <c r="D39" s="2473"/>
      <c r="E39" s="2473"/>
      <c r="F39" s="2473"/>
      <c r="G39" s="5"/>
    </row>
  </sheetData>
  <mergeCells count="14">
    <mergeCell ref="E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E29:F29"/>
    <mergeCell ref="E32:F32"/>
    <mergeCell ref="E35:F35"/>
    <mergeCell ref="B37:F37"/>
  </mergeCells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118"/>
  <dimension ref="A1:G39"/>
  <sheetViews>
    <sheetView workbookViewId="0">
      <selection activeCell="B52" sqref="B52:B53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2354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65" customHeight="1">
      <c r="A5" s="5"/>
      <c r="B5" s="3" t="s">
        <v>673</v>
      </c>
      <c r="C5" s="3" t="s">
        <v>674</v>
      </c>
      <c r="D5" s="3" t="s">
        <v>675</v>
      </c>
      <c r="E5" s="3" t="s">
        <v>1254</v>
      </c>
      <c r="F5" s="5"/>
      <c r="G5" s="5"/>
    </row>
    <row r="6" spans="1:7" ht="13.95" customHeight="1">
      <c r="A6" s="5"/>
      <c r="B6" s="3" t="s">
        <v>871</v>
      </c>
      <c r="C6" s="3" t="s">
        <v>678</v>
      </c>
      <c r="D6" s="5"/>
      <c r="E6" s="3" t="s">
        <v>1351</v>
      </c>
      <c r="F6" s="5"/>
      <c r="G6" s="5"/>
    </row>
    <row r="7" spans="1:7" ht="13.65" customHeight="1">
      <c r="A7" s="5"/>
      <c r="B7" s="3" t="s">
        <v>751</v>
      </c>
      <c r="C7" s="3" t="s">
        <v>681</v>
      </c>
      <c r="D7" s="5"/>
      <c r="E7" s="3" t="s">
        <v>1254</v>
      </c>
      <c r="F7" s="5"/>
      <c r="G7" s="5"/>
    </row>
    <row r="8" spans="1:7" ht="13.65" customHeight="1">
      <c r="A8" s="5"/>
      <c r="B8" s="3" t="s">
        <v>683</v>
      </c>
      <c r="C8" s="3" t="s">
        <v>684</v>
      </c>
      <c r="D8" s="3" t="s">
        <v>675</v>
      </c>
      <c r="E8" s="3" t="s">
        <v>852</v>
      </c>
      <c r="F8" s="5"/>
      <c r="G8" s="5"/>
    </row>
    <row r="9" spans="1:7" ht="12" customHeight="1">
      <c r="A9" s="5"/>
      <c r="B9" s="5"/>
      <c r="C9" s="5"/>
      <c r="D9" s="5"/>
      <c r="E9" s="2474" t="s">
        <v>685</v>
      </c>
      <c r="F9" s="2474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5" customHeight="1">
      <c r="A11" s="5"/>
      <c r="B11" s="3" t="s">
        <v>1352</v>
      </c>
      <c r="C11" s="5"/>
      <c r="D11" s="3" t="s">
        <v>1353</v>
      </c>
      <c r="E11" s="3" t="s">
        <v>719</v>
      </c>
      <c r="F11" s="5"/>
      <c r="G11" s="5"/>
    </row>
    <row r="12" spans="1:7" ht="12" customHeight="1">
      <c r="A12" s="5"/>
      <c r="B12" s="5"/>
      <c r="C12" s="5"/>
      <c r="D12" s="5"/>
      <c r="E12" s="2474" t="s">
        <v>702</v>
      </c>
      <c r="F12" s="2474"/>
      <c r="G12" s="5"/>
    </row>
    <row r="13" spans="1:7" ht="12" customHeight="1">
      <c r="A13" s="3" t="s">
        <v>703</v>
      </c>
      <c r="B13" s="3" t="s">
        <v>704</v>
      </c>
      <c r="C13" s="5"/>
      <c r="D13" s="5"/>
      <c r="E13" s="5"/>
      <c r="F13" s="5"/>
      <c r="G13" s="5"/>
    </row>
    <row r="14" spans="1:7" ht="12" customHeight="1">
      <c r="A14" s="5"/>
      <c r="B14" s="5"/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2474" t="s">
        <v>705</v>
      </c>
      <c r="F15" s="2474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3" t="s">
        <v>706</v>
      </c>
      <c r="B17" s="2474" t="s">
        <v>707</v>
      </c>
      <c r="C17" s="2474"/>
      <c r="D17" s="2474"/>
      <c r="E17" s="2474"/>
      <c r="F17" s="2474"/>
      <c r="G17" s="5"/>
    </row>
    <row r="18" spans="1:7" ht="12" customHeight="1">
      <c r="A18" s="3" t="s">
        <v>708</v>
      </c>
      <c r="B18" s="2471" t="s">
        <v>876</v>
      </c>
      <c r="C18" s="2471"/>
      <c r="D18" s="2471"/>
      <c r="E18" s="2472" t="s">
        <v>710</v>
      </c>
      <c r="F18" s="2472"/>
      <c r="G18" s="5"/>
    </row>
    <row r="19" spans="1:7" ht="12" customHeight="1">
      <c r="A19" s="3" t="s">
        <v>711</v>
      </c>
      <c r="B19" s="2473" t="s">
        <v>712</v>
      </c>
      <c r="C19" s="2473"/>
      <c r="D19" s="2473"/>
      <c r="E19" s="2473"/>
      <c r="F19" s="2473"/>
      <c r="G19" s="5"/>
    </row>
    <row r="20" spans="1:7" ht="12" customHeight="1">
      <c r="A20" s="3"/>
      <c r="B20" s="26"/>
      <c r="C20" s="26"/>
      <c r="D20" s="26"/>
      <c r="E20" s="26"/>
      <c r="F20" s="26"/>
      <c r="G20" s="5"/>
    </row>
    <row r="21" spans="1:7" ht="12" customHeight="1">
      <c r="A21" s="50" t="s">
        <v>2355</v>
      </c>
      <c r="B21" s="26"/>
      <c r="C21" s="26"/>
      <c r="D21" s="26"/>
      <c r="E21" s="26"/>
      <c r="F21" s="26"/>
      <c r="G21" s="5"/>
    </row>
    <row r="22" spans="1:7" ht="12" customHeight="1">
      <c r="A22" s="3"/>
      <c r="B22" s="26"/>
      <c r="C22" s="26"/>
      <c r="D22" s="26"/>
      <c r="E22" s="26"/>
      <c r="F22" s="26"/>
      <c r="G22" s="5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3" t="s">
        <v>671</v>
      </c>
      <c r="B24" s="3" t="s">
        <v>672</v>
      </c>
      <c r="C24" s="5"/>
      <c r="D24" s="5"/>
      <c r="E24" s="5"/>
      <c r="F24" s="5"/>
      <c r="G24" s="5"/>
    </row>
    <row r="25" spans="1:7" ht="13.65" customHeight="1">
      <c r="A25" s="5"/>
      <c r="B25" s="3" t="s">
        <v>673</v>
      </c>
      <c r="C25" s="3" t="s">
        <v>674</v>
      </c>
      <c r="D25" s="3" t="s">
        <v>675</v>
      </c>
      <c r="E25" s="3" t="s">
        <v>794</v>
      </c>
      <c r="F25" s="5"/>
      <c r="G25" s="5"/>
    </row>
    <row r="26" spans="1:7" ht="13.65" customHeight="1">
      <c r="A26" s="5"/>
      <c r="B26" s="3" t="s">
        <v>871</v>
      </c>
      <c r="C26" s="3" t="s">
        <v>678</v>
      </c>
      <c r="D26" s="5"/>
      <c r="E26" s="3" t="s">
        <v>1112</v>
      </c>
      <c r="F26" s="5"/>
      <c r="G26" s="5"/>
    </row>
    <row r="27" spans="1:7" ht="13.95" customHeight="1">
      <c r="A27" s="5"/>
      <c r="B27" s="3" t="s">
        <v>751</v>
      </c>
      <c r="C27" s="3" t="s">
        <v>681</v>
      </c>
      <c r="D27" s="5"/>
      <c r="E27" s="3" t="s">
        <v>794</v>
      </c>
      <c r="F27" s="5"/>
      <c r="G27" s="5"/>
    </row>
    <row r="28" spans="1:7" ht="13.65" customHeight="1">
      <c r="A28" s="5"/>
      <c r="B28" s="3" t="s">
        <v>683</v>
      </c>
      <c r="C28" s="3" t="s">
        <v>684</v>
      </c>
      <c r="D28" s="3" t="s">
        <v>675</v>
      </c>
      <c r="E28" s="3" t="s">
        <v>1354</v>
      </c>
      <c r="F28" s="5"/>
      <c r="G28" s="5"/>
    </row>
    <row r="29" spans="1:7" ht="12" customHeight="1">
      <c r="A29" s="5"/>
      <c r="B29" s="5"/>
      <c r="C29" s="5"/>
      <c r="D29" s="5"/>
      <c r="E29" s="2474" t="s">
        <v>685</v>
      </c>
      <c r="F29" s="2474"/>
      <c r="G29" s="5"/>
    </row>
    <row r="30" spans="1:7" ht="12" customHeight="1">
      <c r="A30" s="3" t="s">
        <v>686</v>
      </c>
      <c r="B30" s="3" t="s">
        <v>687</v>
      </c>
      <c r="C30" s="5"/>
      <c r="D30" s="5"/>
      <c r="E30" s="5"/>
      <c r="F30" s="5"/>
      <c r="G30" s="5"/>
    </row>
    <row r="31" spans="1:7" ht="13.65" customHeight="1">
      <c r="A31" s="5"/>
      <c r="B31" s="3" t="s">
        <v>1355</v>
      </c>
      <c r="C31" s="5"/>
      <c r="D31" s="3" t="s">
        <v>1353</v>
      </c>
      <c r="E31" s="3" t="s">
        <v>719</v>
      </c>
      <c r="F31" s="5"/>
      <c r="G31" s="5"/>
    </row>
    <row r="32" spans="1:7" ht="12" customHeight="1">
      <c r="A32" s="5"/>
      <c r="B32" s="5"/>
      <c r="C32" s="5"/>
      <c r="D32" s="5"/>
      <c r="E32" s="2474" t="s">
        <v>702</v>
      </c>
      <c r="F32" s="2474"/>
      <c r="G32" s="5"/>
    </row>
    <row r="33" spans="1:7" ht="12" customHeight="1">
      <c r="A33" s="3" t="s">
        <v>703</v>
      </c>
      <c r="B33" s="3" t="s">
        <v>704</v>
      </c>
      <c r="C33" s="5"/>
      <c r="D33" s="5"/>
      <c r="E33" s="5"/>
      <c r="F33" s="5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5"/>
      <c r="B35" s="5"/>
      <c r="C35" s="5"/>
      <c r="D35" s="5"/>
      <c r="E35" s="2474" t="s">
        <v>705</v>
      </c>
      <c r="F35" s="2474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3" t="s">
        <v>706</v>
      </c>
      <c r="B37" s="2474" t="s">
        <v>707</v>
      </c>
      <c r="C37" s="2474"/>
      <c r="D37" s="2474"/>
      <c r="E37" s="2474"/>
      <c r="F37" s="2474"/>
      <c r="G37" s="5"/>
    </row>
    <row r="38" spans="1:7" ht="12" customHeight="1">
      <c r="A38" s="3" t="s">
        <v>708</v>
      </c>
      <c r="B38" s="2471" t="s">
        <v>876</v>
      </c>
      <c r="C38" s="2471"/>
      <c r="D38" s="2471"/>
      <c r="E38" s="2472" t="s">
        <v>710</v>
      </c>
      <c r="F38" s="2472"/>
      <c r="G38" s="5"/>
    </row>
    <row r="39" spans="1:7" ht="12" customHeight="1">
      <c r="A39" s="3" t="s">
        <v>711</v>
      </c>
      <c r="B39" s="2473" t="s">
        <v>712</v>
      </c>
      <c r="C39" s="2473"/>
      <c r="D39" s="2473"/>
      <c r="E39" s="2473"/>
      <c r="F39" s="2473"/>
      <c r="G39" s="5"/>
    </row>
  </sheetData>
  <mergeCells count="14">
    <mergeCell ref="E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E29:F29"/>
    <mergeCell ref="E32:F32"/>
    <mergeCell ref="E35:F35"/>
    <mergeCell ref="B37:F37"/>
  </mergeCells>
  <pageMargins left="0.7" right="0.7" top="0.75" bottom="0.75" header="0.3" footer="0.3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119"/>
  <dimension ref="A1:G41"/>
  <sheetViews>
    <sheetView topLeftCell="A22" workbookViewId="0">
      <selection sqref="A1:G41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2356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65" customHeight="1">
      <c r="A5" s="5"/>
      <c r="B5" s="3" t="s">
        <v>673</v>
      </c>
      <c r="C5" s="3" t="s">
        <v>674</v>
      </c>
      <c r="D5" s="3" t="s">
        <v>675</v>
      </c>
      <c r="E5" s="3" t="s">
        <v>811</v>
      </c>
      <c r="F5" s="5"/>
      <c r="G5" s="5"/>
    </row>
    <row r="6" spans="1:7" ht="13.95" customHeight="1">
      <c r="A6" s="5"/>
      <c r="B6" s="3" t="s">
        <v>871</v>
      </c>
      <c r="C6" s="3" t="s">
        <v>678</v>
      </c>
      <c r="D6" s="5"/>
      <c r="E6" s="3" t="s">
        <v>752</v>
      </c>
      <c r="F6" s="5"/>
      <c r="G6" s="5"/>
    </row>
    <row r="7" spans="1:7" ht="13.65" customHeight="1">
      <c r="A7" s="5"/>
      <c r="B7" s="3" t="s">
        <v>751</v>
      </c>
      <c r="C7" s="3" t="s">
        <v>681</v>
      </c>
      <c r="D7" s="5"/>
      <c r="E7" s="3" t="s">
        <v>811</v>
      </c>
      <c r="F7" s="5"/>
      <c r="G7" s="5"/>
    </row>
    <row r="8" spans="1:7" ht="13.65" customHeight="1">
      <c r="A8" s="5"/>
      <c r="B8" s="3" t="s">
        <v>683</v>
      </c>
      <c r="C8" s="3" t="s">
        <v>684</v>
      </c>
      <c r="D8" s="3" t="s">
        <v>675</v>
      </c>
      <c r="E8" s="3" t="s">
        <v>1337</v>
      </c>
      <c r="F8" s="5"/>
      <c r="G8" s="5"/>
    </row>
    <row r="9" spans="1:7" ht="12" customHeight="1">
      <c r="A9" s="5"/>
      <c r="B9" s="5"/>
      <c r="C9" s="5"/>
      <c r="D9" s="5"/>
      <c r="E9" s="2474" t="s">
        <v>685</v>
      </c>
      <c r="F9" s="2474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5" customHeight="1">
      <c r="A11" s="5"/>
      <c r="B11" s="3" t="s">
        <v>1356</v>
      </c>
      <c r="C11" s="5"/>
      <c r="D11" s="3" t="s">
        <v>961</v>
      </c>
      <c r="E11" s="3" t="s">
        <v>930</v>
      </c>
      <c r="F11" s="5"/>
      <c r="G11" s="5"/>
    </row>
    <row r="12" spans="1:7" ht="13.65" customHeight="1">
      <c r="A12" s="5"/>
      <c r="B12" s="3" t="s">
        <v>1357</v>
      </c>
      <c r="C12" s="5"/>
      <c r="D12" s="3" t="s">
        <v>690</v>
      </c>
      <c r="E12" s="3" t="s">
        <v>753</v>
      </c>
      <c r="F12" s="5"/>
      <c r="G12" s="5"/>
    </row>
    <row r="13" spans="1:7" ht="12" customHeight="1">
      <c r="A13" s="5"/>
      <c r="B13" s="5"/>
      <c r="C13" s="5"/>
      <c r="D13" s="5"/>
      <c r="E13" s="2474" t="s">
        <v>702</v>
      </c>
      <c r="F13" s="2474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2474" t="s">
        <v>705</v>
      </c>
      <c r="F16" s="2474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2474" t="s">
        <v>707</v>
      </c>
      <c r="C18" s="2474"/>
      <c r="D18" s="2474"/>
      <c r="E18" s="2474"/>
      <c r="F18" s="2474"/>
      <c r="G18" s="5"/>
    </row>
    <row r="19" spans="1:7" ht="12" customHeight="1">
      <c r="A19" s="3" t="s">
        <v>708</v>
      </c>
      <c r="B19" s="2471" t="s">
        <v>876</v>
      </c>
      <c r="C19" s="2471"/>
      <c r="D19" s="2471"/>
      <c r="E19" s="2472" t="s">
        <v>710</v>
      </c>
      <c r="F19" s="2472"/>
      <c r="G19" s="5"/>
    </row>
    <row r="20" spans="1:7" ht="12" customHeight="1">
      <c r="A20" s="3" t="s">
        <v>711</v>
      </c>
      <c r="B20" s="2473" t="s">
        <v>712</v>
      </c>
      <c r="C20" s="2473"/>
      <c r="D20" s="2473"/>
      <c r="E20" s="2473"/>
      <c r="F20" s="2473"/>
      <c r="G20" s="5"/>
    </row>
    <row r="21" spans="1:7" ht="12" customHeight="1">
      <c r="A21" s="3"/>
      <c r="B21" s="26"/>
      <c r="C21" s="26"/>
      <c r="D21" s="26"/>
      <c r="E21" s="26"/>
      <c r="F21" s="26"/>
      <c r="G21" s="5"/>
    </row>
    <row r="22" spans="1:7" ht="12" customHeight="1">
      <c r="A22" s="50" t="s">
        <v>2357</v>
      </c>
      <c r="B22" s="26"/>
      <c r="C22" s="26"/>
      <c r="D22" s="26"/>
      <c r="E22" s="26"/>
      <c r="F22" s="26"/>
      <c r="G22" s="5"/>
    </row>
    <row r="23" spans="1:7" ht="12" customHeight="1">
      <c r="A23" s="3"/>
      <c r="B23" s="26"/>
      <c r="C23" s="26"/>
      <c r="D23" s="26"/>
      <c r="E23" s="26"/>
      <c r="F23" s="26"/>
      <c r="G23" s="5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65" customHeight="1">
      <c r="A26" s="5"/>
      <c r="B26" s="3" t="s">
        <v>673</v>
      </c>
      <c r="C26" s="3" t="s">
        <v>674</v>
      </c>
      <c r="D26" s="3" t="s">
        <v>675</v>
      </c>
      <c r="E26" s="3" t="s">
        <v>811</v>
      </c>
      <c r="F26" s="5"/>
      <c r="G26" s="5"/>
    </row>
    <row r="27" spans="1:7" ht="13.95" customHeight="1">
      <c r="A27" s="5"/>
      <c r="B27" s="3" t="s">
        <v>871</v>
      </c>
      <c r="C27" s="3" t="s">
        <v>678</v>
      </c>
      <c r="D27" s="3" t="s">
        <v>675</v>
      </c>
      <c r="E27" s="3" t="s">
        <v>752</v>
      </c>
      <c r="F27" s="5"/>
      <c r="G27" s="5"/>
    </row>
    <row r="28" spans="1:7" ht="13.65" customHeight="1">
      <c r="A28" s="5"/>
      <c r="B28" s="3" t="s">
        <v>751</v>
      </c>
      <c r="C28" s="3" t="s">
        <v>681</v>
      </c>
      <c r="D28" s="3" t="s">
        <v>675</v>
      </c>
      <c r="E28" s="3" t="s">
        <v>811</v>
      </c>
      <c r="F28" s="5"/>
      <c r="G28" s="5"/>
    </row>
    <row r="29" spans="1:7" ht="13.65" customHeight="1">
      <c r="A29" s="5"/>
      <c r="B29" s="3" t="s">
        <v>683</v>
      </c>
      <c r="C29" s="3" t="s">
        <v>684</v>
      </c>
      <c r="D29" s="3" t="s">
        <v>675</v>
      </c>
      <c r="E29" s="3" t="s">
        <v>1337</v>
      </c>
      <c r="F29" s="5"/>
      <c r="G29" s="5"/>
    </row>
    <row r="30" spans="1:7" ht="12" customHeight="1">
      <c r="A30" s="5"/>
      <c r="B30" s="5"/>
      <c r="C30" s="5"/>
      <c r="D30" s="5"/>
      <c r="E30" s="2474" t="s">
        <v>685</v>
      </c>
      <c r="F30" s="2474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95" customHeight="1">
      <c r="A32" s="5"/>
      <c r="B32" s="3" t="s">
        <v>1358</v>
      </c>
      <c r="C32" s="5"/>
      <c r="D32" s="3" t="s">
        <v>961</v>
      </c>
      <c r="E32" s="3" t="s">
        <v>930</v>
      </c>
      <c r="F32" s="5"/>
      <c r="G32" s="5"/>
    </row>
    <row r="33" spans="1:7" ht="13.65" customHeight="1">
      <c r="A33" s="5"/>
      <c r="B33" s="3" t="s">
        <v>1357</v>
      </c>
      <c r="C33" s="5"/>
      <c r="D33" s="3" t="s">
        <v>690</v>
      </c>
      <c r="E33" s="3" t="s">
        <v>753</v>
      </c>
      <c r="F33" s="5"/>
      <c r="G33" s="5"/>
    </row>
    <row r="34" spans="1:7" ht="12" customHeight="1">
      <c r="A34" s="5"/>
      <c r="B34" s="5"/>
      <c r="C34" s="5"/>
      <c r="D34" s="5"/>
      <c r="E34" s="2474" t="s">
        <v>702</v>
      </c>
      <c r="F34" s="2474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2474" t="s">
        <v>705</v>
      </c>
      <c r="F37" s="2474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2474" t="s">
        <v>707</v>
      </c>
      <c r="C39" s="2474"/>
      <c r="D39" s="2474"/>
      <c r="E39" s="2474"/>
      <c r="F39" s="2474"/>
      <c r="G39" s="5"/>
    </row>
    <row r="40" spans="1:7" ht="12" customHeight="1">
      <c r="A40" s="3" t="s">
        <v>708</v>
      </c>
      <c r="B40" s="2471" t="s">
        <v>876</v>
      </c>
      <c r="C40" s="2471"/>
      <c r="D40" s="2471"/>
      <c r="E40" s="2472" t="s">
        <v>710</v>
      </c>
      <c r="F40" s="2472"/>
      <c r="G40" s="5"/>
    </row>
    <row r="41" spans="1:7" ht="12" customHeight="1">
      <c r="A41" s="3" t="s">
        <v>711</v>
      </c>
      <c r="B41" s="2473" t="s">
        <v>712</v>
      </c>
      <c r="C41" s="2473"/>
      <c r="D41" s="2473"/>
      <c r="E41" s="2473"/>
      <c r="F41" s="2473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120"/>
  <dimension ref="A1:G41"/>
  <sheetViews>
    <sheetView topLeftCell="A22" workbookViewId="0">
      <selection sqref="A1:G41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2358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65" customHeight="1">
      <c r="A5" s="5"/>
      <c r="B5" s="3" t="s">
        <v>673</v>
      </c>
      <c r="C5" s="3" t="s">
        <v>674</v>
      </c>
      <c r="D5" s="3" t="s">
        <v>675</v>
      </c>
      <c r="E5" s="3" t="s">
        <v>1155</v>
      </c>
      <c r="F5" s="5"/>
      <c r="G5" s="5"/>
    </row>
    <row r="6" spans="1:7" ht="13.95" customHeight="1">
      <c r="A6" s="5"/>
      <c r="B6" s="3" t="s">
        <v>871</v>
      </c>
      <c r="C6" s="3" t="s">
        <v>678</v>
      </c>
      <c r="D6" s="3" t="s">
        <v>675</v>
      </c>
      <c r="E6" s="3" t="s">
        <v>1154</v>
      </c>
      <c r="F6" s="5"/>
      <c r="G6" s="5"/>
    </row>
    <row r="7" spans="1:7" ht="13.65" customHeight="1">
      <c r="A7" s="5"/>
      <c r="B7" s="3" t="s">
        <v>751</v>
      </c>
      <c r="C7" s="3" t="s">
        <v>681</v>
      </c>
      <c r="D7" s="3" t="s">
        <v>675</v>
      </c>
      <c r="E7" s="3" t="s">
        <v>1155</v>
      </c>
      <c r="F7" s="5"/>
      <c r="G7" s="5"/>
    </row>
    <row r="8" spans="1:7" ht="13.65" customHeight="1">
      <c r="A8" s="5"/>
      <c r="B8" s="3" t="s">
        <v>683</v>
      </c>
      <c r="C8" s="3" t="s">
        <v>684</v>
      </c>
      <c r="D8" s="3" t="s">
        <v>675</v>
      </c>
      <c r="E8" s="3" t="s">
        <v>1359</v>
      </c>
      <c r="F8" s="5"/>
      <c r="G8" s="5"/>
    </row>
    <row r="9" spans="1:7" ht="12" customHeight="1">
      <c r="A9" s="5"/>
      <c r="B9" s="5"/>
      <c r="C9" s="5"/>
      <c r="D9" s="5"/>
      <c r="E9" s="2474" t="s">
        <v>685</v>
      </c>
      <c r="F9" s="2474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5" customHeight="1">
      <c r="A11" s="5"/>
      <c r="B11" s="3" t="s">
        <v>1360</v>
      </c>
      <c r="C11" s="5"/>
      <c r="D11" s="3" t="s">
        <v>961</v>
      </c>
      <c r="E11" s="3" t="s">
        <v>930</v>
      </c>
      <c r="F11" s="5"/>
      <c r="G11" s="5"/>
    </row>
    <row r="12" spans="1:7" ht="13.65" customHeight="1">
      <c r="A12" s="5"/>
      <c r="B12" s="3" t="s">
        <v>1357</v>
      </c>
      <c r="C12" s="5"/>
      <c r="D12" s="3" t="s">
        <v>690</v>
      </c>
      <c r="E12" s="3" t="s">
        <v>1256</v>
      </c>
      <c r="F12" s="5"/>
      <c r="G12" s="5"/>
    </row>
    <row r="13" spans="1:7" ht="12" customHeight="1">
      <c r="A13" s="5"/>
      <c r="B13" s="5"/>
      <c r="C13" s="5"/>
      <c r="D13" s="5"/>
      <c r="E13" s="2474" t="s">
        <v>702</v>
      </c>
      <c r="F13" s="2474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2474" t="s">
        <v>705</v>
      </c>
      <c r="F16" s="2474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2474" t="s">
        <v>707</v>
      </c>
      <c r="C18" s="2474"/>
      <c r="D18" s="2474"/>
      <c r="E18" s="2474"/>
      <c r="F18" s="2474"/>
      <c r="G18" s="5"/>
    </row>
    <row r="19" spans="1:7" ht="12" customHeight="1">
      <c r="A19" s="3" t="s">
        <v>708</v>
      </c>
      <c r="B19" s="2471" t="s">
        <v>876</v>
      </c>
      <c r="C19" s="2471"/>
      <c r="D19" s="2471"/>
      <c r="E19" s="2472" t="s">
        <v>710</v>
      </c>
      <c r="F19" s="2472"/>
      <c r="G19" s="5"/>
    </row>
    <row r="20" spans="1:7" ht="12" customHeight="1">
      <c r="A20" s="3" t="s">
        <v>711</v>
      </c>
      <c r="B20" s="2473" t="s">
        <v>712</v>
      </c>
      <c r="C20" s="2473"/>
      <c r="D20" s="2473"/>
      <c r="E20" s="2473"/>
      <c r="F20" s="2473"/>
      <c r="G20" s="5"/>
    </row>
    <row r="21" spans="1:7" ht="12" customHeight="1">
      <c r="A21" s="3"/>
      <c r="B21" s="26"/>
      <c r="C21" s="26"/>
      <c r="D21" s="26"/>
      <c r="E21" s="26"/>
      <c r="F21" s="26"/>
      <c r="G21" s="5"/>
    </row>
    <row r="22" spans="1:7" ht="12" customHeight="1">
      <c r="A22" s="50" t="s">
        <v>2359</v>
      </c>
      <c r="B22" s="26"/>
      <c r="C22" s="26"/>
      <c r="D22" s="26"/>
      <c r="E22" s="26"/>
      <c r="F22" s="26"/>
      <c r="G22" s="5"/>
    </row>
    <row r="23" spans="1:7" ht="12" customHeight="1">
      <c r="A23" s="3"/>
      <c r="B23" s="26"/>
      <c r="C23" s="26"/>
      <c r="D23" s="26"/>
      <c r="E23" s="26"/>
      <c r="F23" s="26"/>
      <c r="G23" s="5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65" customHeight="1">
      <c r="A26" s="5"/>
      <c r="B26" s="3" t="s">
        <v>673</v>
      </c>
      <c r="C26" s="3" t="s">
        <v>674</v>
      </c>
      <c r="D26" s="3" t="s">
        <v>675</v>
      </c>
      <c r="E26" s="3" t="s">
        <v>794</v>
      </c>
      <c r="F26" s="5"/>
      <c r="G26" s="5"/>
    </row>
    <row r="27" spans="1:7" ht="13.65" customHeight="1">
      <c r="A27" s="5"/>
      <c r="B27" s="3" t="s">
        <v>871</v>
      </c>
      <c r="C27" s="3" t="s">
        <v>678</v>
      </c>
      <c r="D27" s="3" t="s">
        <v>675</v>
      </c>
      <c r="E27" s="3" t="s">
        <v>1112</v>
      </c>
      <c r="F27" s="5"/>
      <c r="G27" s="5"/>
    </row>
    <row r="28" spans="1:7" ht="13.95" customHeight="1">
      <c r="A28" s="5"/>
      <c r="B28" s="3" t="s">
        <v>751</v>
      </c>
      <c r="C28" s="3" t="s">
        <v>681</v>
      </c>
      <c r="D28" s="3" t="s">
        <v>675</v>
      </c>
      <c r="E28" s="3" t="s">
        <v>794</v>
      </c>
      <c r="F28" s="5"/>
      <c r="G28" s="5"/>
    </row>
    <row r="29" spans="1:7" ht="13.65" customHeight="1">
      <c r="A29" s="5"/>
      <c r="B29" s="3" t="s">
        <v>683</v>
      </c>
      <c r="C29" s="3" t="s">
        <v>684</v>
      </c>
      <c r="D29" s="3" t="s">
        <v>675</v>
      </c>
      <c r="E29" s="3" t="s">
        <v>1354</v>
      </c>
      <c r="F29" s="5"/>
      <c r="G29" s="5"/>
    </row>
    <row r="30" spans="1:7" ht="12" customHeight="1">
      <c r="A30" s="5"/>
      <c r="B30" s="5"/>
      <c r="C30" s="5"/>
      <c r="D30" s="5"/>
      <c r="E30" s="2474" t="s">
        <v>685</v>
      </c>
      <c r="F30" s="2474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65" customHeight="1">
      <c r="A32" s="5"/>
      <c r="B32" s="3" t="s">
        <v>1361</v>
      </c>
      <c r="C32" s="5"/>
      <c r="D32" s="3" t="s">
        <v>961</v>
      </c>
      <c r="E32" s="3" t="s">
        <v>930</v>
      </c>
      <c r="F32" s="5"/>
      <c r="G32" s="5"/>
    </row>
    <row r="33" spans="1:7" ht="13.95" customHeight="1">
      <c r="A33" s="5"/>
      <c r="B33" s="3" t="s">
        <v>1357</v>
      </c>
      <c r="C33" s="5"/>
      <c r="D33" s="3" t="s">
        <v>690</v>
      </c>
      <c r="E33" s="3" t="s">
        <v>1256</v>
      </c>
      <c r="F33" s="5"/>
      <c r="G33" s="5"/>
    </row>
    <row r="34" spans="1:7" ht="12" customHeight="1">
      <c r="A34" s="5"/>
      <c r="B34" s="5"/>
      <c r="C34" s="5"/>
      <c r="D34" s="5"/>
      <c r="E34" s="2474" t="s">
        <v>702</v>
      </c>
      <c r="F34" s="2474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2474" t="s">
        <v>705</v>
      </c>
      <c r="F37" s="2474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2474" t="s">
        <v>707</v>
      </c>
      <c r="C39" s="2474"/>
      <c r="D39" s="2474"/>
      <c r="E39" s="2474"/>
      <c r="F39" s="2474"/>
      <c r="G39" s="5"/>
    </row>
    <row r="40" spans="1:7" ht="12" customHeight="1">
      <c r="A40" s="3" t="s">
        <v>708</v>
      </c>
      <c r="B40" s="2471" t="s">
        <v>876</v>
      </c>
      <c r="C40" s="2471"/>
      <c r="D40" s="2471"/>
      <c r="E40" s="2472" t="s">
        <v>710</v>
      </c>
      <c r="F40" s="2472"/>
      <c r="G40" s="5"/>
    </row>
    <row r="41" spans="1:7" ht="12" customHeight="1">
      <c r="A41" s="3" t="s">
        <v>711</v>
      </c>
      <c r="B41" s="2473" t="s">
        <v>712</v>
      </c>
      <c r="C41" s="2473"/>
      <c r="D41" s="2473"/>
      <c r="E41" s="2473"/>
      <c r="F41" s="2473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121"/>
  <dimension ref="A1:G39"/>
  <sheetViews>
    <sheetView topLeftCell="A22" workbookViewId="0">
      <selection sqref="A1:G39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2360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65" customHeight="1">
      <c r="A5" s="5"/>
      <c r="B5" s="3" t="s">
        <v>673</v>
      </c>
      <c r="C5" s="3" t="s">
        <v>674</v>
      </c>
      <c r="D5" s="3" t="s">
        <v>675</v>
      </c>
      <c r="E5" s="3" t="s">
        <v>811</v>
      </c>
      <c r="F5" s="5"/>
      <c r="G5" s="5"/>
    </row>
    <row r="6" spans="1:7" ht="13.95" customHeight="1">
      <c r="A6" s="5"/>
      <c r="B6" s="3" t="s">
        <v>871</v>
      </c>
      <c r="C6" s="3" t="s">
        <v>678</v>
      </c>
      <c r="D6" s="3" t="s">
        <v>675</v>
      </c>
      <c r="E6" s="3" t="s">
        <v>752</v>
      </c>
      <c r="F6" s="5"/>
      <c r="G6" s="5"/>
    </row>
    <row r="7" spans="1:7" ht="13.65" customHeight="1">
      <c r="A7" s="5"/>
      <c r="B7" s="3" t="s">
        <v>751</v>
      </c>
      <c r="C7" s="3" t="s">
        <v>681</v>
      </c>
      <c r="D7" s="3" t="s">
        <v>675</v>
      </c>
      <c r="E7" s="3" t="s">
        <v>811</v>
      </c>
      <c r="F7" s="5"/>
      <c r="G7" s="5"/>
    </row>
    <row r="8" spans="1:7" ht="13.65" customHeight="1">
      <c r="A8" s="5"/>
      <c r="B8" s="3" t="s">
        <v>683</v>
      </c>
      <c r="C8" s="3" t="s">
        <v>684</v>
      </c>
      <c r="D8" s="3" t="s">
        <v>675</v>
      </c>
      <c r="E8" s="3" t="s">
        <v>868</v>
      </c>
      <c r="F8" s="5"/>
      <c r="G8" s="5"/>
    </row>
    <row r="9" spans="1:7" ht="12" customHeight="1">
      <c r="A9" s="5"/>
      <c r="B9" s="5"/>
      <c r="C9" s="5"/>
      <c r="D9" s="5"/>
      <c r="E9" s="2474" t="s">
        <v>685</v>
      </c>
      <c r="F9" s="2474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5" customHeight="1">
      <c r="A11" s="5"/>
      <c r="B11" s="3" t="s">
        <v>1362</v>
      </c>
      <c r="C11" s="5"/>
      <c r="D11" s="3" t="s">
        <v>961</v>
      </c>
      <c r="E11" s="3" t="s">
        <v>930</v>
      </c>
      <c r="F11" s="5"/>
      <c r="G11" s="5"/>
    </row>
    <row r="12" spans="1:7" ht="12" customHeight="1">
      <c r="A12" s="5"/>
      <c r="B12" s="5"/>
      <c r="C12" s="5"/>
      <c r="D12" s="5"/>
      <c r="E12" s="2474" t="s">
        <v>702</v>
      </c>
      <c r="F12" s="2474"/>
      <c r="G12" s="5"/>
    </row>
    <row r="13" spans="1:7" ht="12" customHeight="1">
      <c r="A13" s="3" t="s">
        <v>703</v>
      </c>
      <c r="B13" s="3" t="s">
        <v>704</v>
      </c>
      <c r="C13" s="5"/>
      <c r="D13" s="5"/>
      <c r="E13" s="5"/>
      <c r="F13" s="5"/>
      <c r="G13" s="5"/>
    </row>
    <row r="14" spans="1:7" ht="12" customHeight="1">
      <c r="A14" s="5"/>
      <c r="B14" s="5"/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2474" t="s">
        <v>705</v>
      </c>
      <c r="F15" s="2474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3" t="s">
        <v>706</v>
      </c>
      <c r="B17" s="2474" t="s">
        <v>707</v>
      </c>
      <c r="C17" s="2474"/>
      <c r="D17" s="2474"/>
      <c r="E17" s="2474"/>
      <c r="F17" s="2474"/>
      <c r="G17" s="5"/>
    </row>
    <row r="18" spans="1:7" ht="12" customHeight="1">
      <c r="A18" s="3" t="s">
        <v>708</v>
      </c>
      <c r="B18" s="2471" t="s">
        <v>876</v>
      </c>
      <c r="C18" s="2471"/>
      <c r="D18" s="2471"/>
      <c r="E18" s="2472" t="s">
        <v>710</v>
      </c>
      <c r="F18" s="2472"/>
      <c r="G18" s="5"/>
    </row>
    <row r="19" spans="1:7" ht="12" customHeight="1">
      <c r="A19" s="3" t="s">
        <v>711</v>
      </c>
      <c r="B19" s="2473" t="s">
        <v>712</v>
      </c>
      <c r="C19" s="2473"/>
      <c r="D19" s="2473"/>
      <c r="E19" s="2473"/>
      <c r="F19" s="2473"/>
      <c r="G19" s="5"/>
    </row>
    <row r="20" spans="1:7" ht="12" customHeight="1">
      <c r="A20" s="3"/>
      <c r="B20" s="26"/>
      <c r="C20" s="26"/>
      <c r="D20" s="26"/>
      <c r="E20" s="26"/>
      <c r="F20" s="26"/>
      <c r="G20" s="5"/>
    </row>
    <row r="21" spans="1:7" ht="12" customHeight="1">
      <c r="A21" s="50" t="s">
        <v>2361</v>
      </c>
      <c r="B21" s="26"/>
      <c r="C21" s="26"/>
      <c r="D21" s="26"/>
      <c r="E21" s="26"/>
      <c r="F21" s="26"/>
      <c r="G21" s="5"/>
    </row>
    <row r="22" spans="1:7" ht="12" customHeight="1">
      <c r="A22" s="3"/>
      <c r="B22" s="26"/>
      <c r="C22" s="26"/>
      <c r="D22" s="26"/>
      <c r="E22" s="26"/>
      <c r="F22" s="26"/>
      <c r="G22" s="5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3" t="s">
        <v>671</v>
      </c>
      <c r="B24" s="3" t="s">
        <v>672</v>
      </c>
      <c r="C24" s="5"/>
      <c r="D24" s="5"/>
      <c r="E24" s="5"/>
      <c r="F24" s="5"/>
      <c r="G24" s="5"/>
    </row>
    <row r="25" spans="1:7" ht="13.65" customHeight="1">
      <c r="A25" s="5"/>
      <c r="B25" s="3" t="s">
        <v>673</v>
      </c>
      <c r="C25" s="3" t="s">
        <v>674</v>
      </c>
      <c r="D25" s="3" t="s">
        <v>675</v>
      </c>
      <c r="E25" s="3" t="s">
        <v>1155</v>
      </c>
      <c r="F25" s="5"/>
      <c r="G25" s="5"/>
    </row>
    <row r="26" spans="1:7" ht="13.65" customHeight="1">
      <c r="A26" s="5"/>
      <c r="B26" s="3" t="s">
        <v>871</v>
      </c>
      <c r="C26" s="3" t="s">
        <v>678</v>
      </c>
      <c r="D26" s="3" t="s">
        <v>675</v>
      </c>
      <c r="E26" s="3" t="s">
        <v>1154</v>
      </c>
      <c r="F26" s="5"/>
      <c r="G26" s="5"/>
    </row>
    <row r="27" spans="1:7" ht="13.95" customHeight="1">
      <c r="A27" s="5"/>
      <c r="B27" s="3" t="s">
        <v>751</v>
      </c>
      <c r="C27" s="3" t="s">
        <v>681</v>
      </c>
      <c r="D27" s="3" t="s">
        <v>675</v>
      </c>
      <c r="E27" s="3" t="s">
        <v>1155</v>
      </c>
      <c r="F27" s="5"/>
      <c r="G27" s="5"/>
    </row>
    <row r="28" spans="1:7" ht="13.65" customHeight="1">
      <c r="A28" s="5"/>
      <c r="B28" s="3" t="s">
        <v>683</v>
      </c>
      <c r="C28" s="3" t="s">
        <v>684</v>
      </c>
      <c r="D28" s="3" t="s">
        <v>675</v>
      </c>
      <c r="E28" s="3" t="s">
        <v>695</v>
      </c>
      <c r="F28" s="5"/>
      <c r="G28" s="5"/>
    </row>
    <row r="29" spans="1:7" ht="12" customHeight="1">
      <c r="A29" s="5"/>
      <c r="B29" s="5"/>
      <c r="C29" s="5"/>
      <c r="D29" s="5"/>
      <c r="E29" s="2474" t="s">
        <v>685</v>
      </c>
      <c r="F29" s="2474"/>
      <c r="G29" s="5"/>
    </row>
    <row r="30" spans="1:7" ht="12" customHeight="1">
      <c r="A30" s="3" t="s">
        <v>686</v>
      </c>
      <c r="B30" s="3" t="s">
        <v>687</v>
      </c>
      <c r="C30" s="5"/>
      <c r="D30" s="5"/>
      <c r="E30" s="5"/>
      <c r="F30" s="5"/>
      <c r="G30" s="5"/>
    </row>
    <row r="31" spans="1:7" ht="13.65" customHeight="1">
      <c r="A31" s="5"/>
      <c r="B31" s="3" t="s">
        <v>1363</v>
      </c>
      <c r="C31" s="5"/>
      <c r="D31" s="3" t="s">
        <v>961</v>
      </c>
      <c r="E31" s="3" t="s">
        <v>930</v>
      </c>
      <c r="F31" s="5"/>
      <c r="G31" s="5"/>
    </row>
    <row r="32" spans="1:7" ht="12" customHeight="1">
      <c r="A32" s="5"/>
      <c r="B32" s="5"/>
      <c r="C32" s="5"/>
      <c r="D32" s="5"/>
      <c r="E32" s="2474" t="s">
        <v>702</v>
      </c>
      <c r="F32" s="2474"/>
      <c r="G32" s="5"/>
    </row>
    <row r="33" spans="1:7" ht="12" customHeight="1">
      <c r="A33" s="3" t="s">
        <v>703</v>
      </c>
      <c r="B33" s="3" t="s">
        <v>704</v>
      </c>
      <c r="C33" s="5"/>
      <c r="D33" s="5"/>
      <c r="E33" s="5"/>
      <c r="F33" s="5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5"/>
      <c r="B35" s="5"/>
      <c r="C35" s="5"/>
      <c r="D35" s="5"/>
      <c r="E35" s="2474" t="s">
        <v>705</v>
      </c>
      <c r="F35" s="2474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3" t="s">
        <v>706</v>
      </c>
      <c r="B37" s="2474" t="s">
        <v>707</v>
      </c>
      <c r="C37" s="2474"/>
      <c r="D37" s="2474"/>
      <c r="E37" s="2474"/>
      <c r="F37" s="2474"/>
      <c r="G37" s="5"/>
    </row>
    <row r="38" spans="1:7" ht="12" customHeight="1">
      <c r="A38" s="3" t="s">
        <v>708</v>
      </c>
      <c r="B38" s="2471" t="s">
        <v>876</v>
      </c>
      <c r="C38" s="2471"/>
      <c r="D38" s="2471"/>
      <c r="E38" s="2472" t="s">
        <v>710</v>
      </c>
      <c r="F38" s="2472"/>
      <c r="G38" s="5"/>
    </row>
    <row r="39" spans="1:7" ht="12" customHeight="1">
      <c r="A39" s="3" t="s">
        <v>711</v>
      </c>
      <c r="B39" s="2473" t="s">
        <v>712</v>
      </c>
      <c r="C39" s="2473"/>
      <c r="D39" s="2473"/>
      <c r="E39" s="2473"/>
      <c r="F39" s="2473"/>
      <c r="G39" s="5"/>
    </row>
  </sheetData>
  <mergeCells count="14">
    <mergeCell ref="E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E29:F29"/>
    <mergeCell ref="E32:F32"/>
    <mergeCell ref="E35:F35"/>
    <mergeCell ref="B37:F37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5"/>
  <dimension ref="A1:G41"/>
  <sheetViews>
    <sheetView topLeftCell="A25" workbookViewId="0">
      <selection sqref="A1:G41"/>
    </sheetView>
  </sheetViews>
  <sheetFormatPr defaultRowHeight="14.4"/>
  <cols>
    <col min="1" max="1" width="5.33203125" customWidth="1"/>
    <col min="2" max="2" width="24.44140625" customWidth="1"/>
    <col min="3" max="3" width="7" customWidth="1"/>
    <col min="4" max="4" width="10.88671875" customWidth="1"/>
    <col min="5" max="5" width="14.33203125" customWidth="1"/>
    <col min="6" max="6" width="13.88671875" customWidth="1"/>
    <col min="7" max="7" width="16" customWidth="1"/>
  </cols>
  <sheetData>
    <row r="1" spans="1:7">
      <c r="A1" s="52" t="s">
        <v>2129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65" customHeight="1">
      <c r="A5" s="5"/>
      <c r="B5" s="3" t="s">
        <v>673</v>
      </c>
      <c r="C5" s="3" t="s">
        <v>674</v>
      </c>
      <c r="D5" s="12" t="s">
        <v>675</v>
      </c>
      <c r="E5" s="3" t="s">
        <v>775</v>
      </c>
      <c r="F5" s="5"/>
      <c r="G5" s="5"/>
    </row>
    <row r="6" spans="1:7" ht="23.4" customHeight="1">
      <c r="A6" s="5"/>
      <c r="B6" s="2" t="s">
        <v>965</v>
      </c>
      <c r="C6" s="2" t="s">
        <v>943</v>
      </c>
      <c r="D6" s="2" t="s">
        <v>944</v>
      </c>
      <c r="E6" s="3" t="s">
        <v>775</v>
      </c>
      <c r="F6" s="5"/>
      <c r="G6" s="5"/>
    </row>
    <row r="7" spans="1:7" ht="13.95" customHeight="1">
      <c r="A7" s="5"/>
      <c r="B7" s="3" t="s">
        <v>751</v>
      </c>
      <c r="C7" s="3" t="s">
        <v>681</v>
      </c>
      <c r="D7" s="12" t="s">
        <v>675</v>
      </c>
      <c r="E7" s="3" t="s">
        <v>741</v>
      </c>
      <c r="F7" s="5"/>
      <c r="G7" s="5"/>
    </row>
    <row r="8" spans="1:7" ht="13.65" customHeight="1">
      <c r="A8" s="5"/>
      <c r="B8" s="3" t="s">
        <v>683</v>
      </c>
      <c r="C8" s="3" t="s">
        <v>684</v>
      </c>
      <c r="D8" s="12" t="s">
        <v>675</v>
      </c>
      <c r="E8" s="3" t="s">
        <v>801</v>
      </c>
      <c r="F8" s="5"/>
      <c r="G8" s="5"/>
    </row>
    <row r="9" spans="1:7" ht="12" customHeight="1">
      <c r="A9" s="5"/>
      <c r="B9" s="5"/>
      <c r="C9" s="5"/>
      <c r="D9" s="5"/>
      <c r="E9" s="2474" t="s">
        <v>685</v>
      </c>
      <c r="F9" s="2474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23.4" customHeight="1">
      <c r="A11" s="5"/>
      <c r="B11" s="2" t="s">
        <v>966</v>
      </c>
      <c r="C11" s="5"/>
      <c r="D11" s="12" t="s">
        <v>961</v>
      </c>
      <c r="E11" s="3" t="s">
        <v>775</v>
      </c>
      <c r="F11" s="5"/>
      <c r="G11" s="5"/>
    </row>
    <row r="12" spans="1:7" ht="13.65" customHeight="1">
      <c r="A12" s="5"/>
      <c r="B12" s="5"/>
      <c r="C12" s="5"/>
      <c r="D12" s="5"/>
      <c r="E12" s="2474" t="s">
        <v>702</v>
      </c>
      <c r="F12" s="2474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12" customHeight="1">
      <c r="A14" s="5"/>
      <c r="B14" s="5"/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2474" t="s">
        <v>705</v>
      </c>
      <c r="F15" s="2474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2474" t="s">
        <v>707</v>
      </c>
      <c r="C17" s="2474"/>
      <c r="D17" s="2474"/>
      <c r="E17" s="2474"/>
      <c r="F17" s="2474"/>
      <c r="G17" s="5"/>
    </row>
    <row r="18" spans="1:7" ht="12" customHeight="1">
      <c r="A18" s="12" t="s">
        <v>708</v>
      </c>
      <c r="B18" s="2471" t="s">
        <v>876</v>
      </c>
      <c r="C18" s="2471"/>
      <c r="D18" s="2471"/>
      <c r="E18" s="2472" t="s">
        <v>710</v>
      </c>
      <c r="F18" s="2472"/>
      <c r="G18" s="5"/>
    </row>
    <row r="19" spans="1:7" ht="12" customHeight="1">
      <c r="A19" s="12" t="s">
        <v>711</v>
      </c>
      <c r="B19" s="2473" t="s">
        <v>712</v>
      </c>
      <c r="C19" s="2473"/>
      <c r="D19" s="2473"/>
      <c r="E19" s="2473"/>
      <c r="F19" s="2473"/>
      <c r="G19" s="5"/>
    </row>
    <row r="20" spans="1:7" ht="12" customHeight="1">
      <c r="A20" s="12"/>
      <c r="B20" s="26"/>
      <c r="C20" s="26"/>
      <c r="D20" s="26"/>
      <c r="E20" s="26"/>
      <c r="F20" s="26"/>
      <c r="G20" s="5"/>
    </row>
    <row r="21" spans="1:7" ht="12" customHeight="1">
      <c r="A21" s="50" t="s">
        <v>2130</v>
      </c>
      <c r="B21" s="26"/>
      <c r="C21" s="26"/>
      <c r="D21" s="26"/>
      <c r="E21" s="26"/>
      <c r="F21" s="26"/>
      <c r="G21" s="5"/>
    </row>
    <row r="22" spans="1:7" ht="12" customHeight="1">
      <c r="A22" s="12"/>
      <c r="B22" s="26"/>
      <c r="C22" s="26"/>
      <c r="D22" s="26"/>
      <c r="E22" s="26"/>
      <c r="F22" s="26"/>
      <c r="G22" s="5"/>
    </row>
    <row r="23" spans="1:7" ht="34.950000000000003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3.95" customHeight="1">
      <c r="A25" s="5"/>
      <c r="B25" s="3" t="s">
        <v>673</v>
      </c>
      <c r="C25" s="3" t="s">
        <v>674</v>
      </c>
      <c r="D25" s="12" t="s">
        <v>675</v>
      </c>
      <c r="E25" s="3" t="s">
        <v>907</v>
      </c>
      <c r="F25" s="5"/>
      <c r="G25" s="5"/>
    </row>
    <row r="26" spans="1:7" ht="23.4" customHeight="1">
      <c r="A26" s="5"/>
      <c r="B26" s="2" t="s">
        <v>965</v>
      </c>
      <c r="C26" s="2" t="s">
        <v>943</v>
      </c>
      <c r="D26" s="2" t="s">
        <v>944</v>
      </c>
      <c r="E26" s="3" t="s">
        <v>907</v>
      </c>
      <c r="F26" s="5"/>
      <c r="G26" s="5"/>
    </row>
    <row r="27" spans="1:7" ht="13.65" customHeight="1">
      <c r="A27" s="5"/>
      <c r="B27" s="3" t="s">
        <v>751</v>
      </c>
      <c r="C27" s="3" t="s">
        <v>681</v>
      </c>
      <c r="D27" s="12" t="s">
        <v>675</v>
      </c>
      <c r="E27" s="3" t="s">
        <v>967</v>
      </c>
      <c r="F27" s="5"/>
      <c r="G27" s="5"/>
    </row>
    <row r="28" spans="1:7" ht="13.65" customHeight="1">
      <c r="A28" s="5"/>
      <c r="B28" s="3" t="s">
        <v>683</v>
      </c>
      <c r="C28" s="3" t="s">
        <v>684</v>
      </c>
      <c r="D28" s="12" t="s">
        <v>675</v>
      </c>
      <c r="E28" s="3" t="s">
        <v>968</v>
      </c>
      <c r="F28" s="5"/>
      <c r="G28" s="5"/>
    </row>
    <row r="29" spans="1:7" ht="12" customHeight="1">
      <c r="A29" s="5"/>
      <c r="B29" s="5"/>
      <c r="C29" s="5"/>
      <c r="D29" s="5"/>
      <c r="E29" s="2474" t="s">
        <v>685</v>
      </c>
      <c r="F29" s="2474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95" customHeight="1">
      <c r="A31" s="5"/>
      <c r="B31" s="3" t="s">
        <v>969</v>
      </c>
      <c r="C31" s="5"/>
      <c r="D31" s="12" t="s">
        <v>853</v>
      </c>
      <c r="E31" s="3" t="s">
        <v>737</v>
      </c>
      <c r="F31" s="5"/>
      <c r="G31" s="5"/>
    </row>
    <row r="32" spans="1:7" ht="13.65" customHeight="1">
      <c r="A32" s="5"/>
      <c r="B32" s="3" t="s">
        <v>970</v>
      </c>
      <c r="C32" s="5"/>
      <c r="D32" s="3" t="s">
        <v>971</v>
      </c>
      <c r="E32" s="3" t="s">
        <v>720</v>
      </c>
      <c r="F32" s="5"/>
      <c r="G32" s="5"/>
    </row>
    <row r="33" spans="1:7" ht="13.65" customHeight="1">
      <c r="A33" s="5"/>
      <c r="B33" s="3" t="s">
        <v>972</v>
      </c>
      <c r="C33" s="5"/>
      <c r="D33" s="3" t="s">
        <v>973</v>
      </c>
      <c r="E33" s="3" t="s">
        <v>699</v>
      </c>
      <c r="F33" s="5"/>
      <c r="G33" s="5"/>
    </row>
    <row r="34" spans="1:7" ht="13.95" customHeight="1">
      <c r="A34" s="5"/>
      <c r="B34" s="5"/>
      <c r="C34" s="5"/>
      <c r="D34" s="5"/>
      <c r="E34" s="2474" t="s">
        <v>702</v>
      </c>
      <c r="F34" s="2474"/>
      <c r="G34" s="5"/>
    </row>
    <row r="35" spans="1:7" ht="12" customHeight="1">
      <c r="A35" s="12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2474" t="s">
        <v>705</v>
      </c>
      <c r="F37" s="2474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2474" t="s">
        <v>707</v>
      </c>
      <c r="C39" s="2474"/>
      <c r="D39" s="2474"/>
      <c r="E39" s="2474"/>
      <c r="F39" s="2474"/>
      <c r="G39" s="5"/>
    </row>
    <row r="40" spans="1:7" ht="12" customHeight="1">
      <c r="A40" s="12" t="s">
        <v>708</v>
      </c>
      <c r="B40" s="2471" t="s">
        <v>876</v>
      </c>
      <c r="C40" s="2471"/>
      <c r="D40" s="2471"/>
      <c r="E40" s="2472" t="s">
        <v>710</v>
      </c>
      <c r="F40" s="2472"/>
      <c r="G40" s="5"/>
    </row>
    <row r="41" spans="1:7" ht="12" customHeight="1">
      <c r="A41" s="12" t="s">
        <v>711</v>
      </c>
      <c r="B41" s="2473" t="s">
        <v>712</v>
      </c>
      <c r="C41" s="2473"/>
      <c r="D41" s="2473"/>
      <c r="E41" s="2473"/>
      <c r="F41" s="2473"/>
      <c r="G41" s="5"/>
    </row>
  </sheetData>
  <mergeCells count="14">
    <mergeCell ref="E9:F9"/>
    <mergeCell ref="E12:F12"/>
    <mergeCell ref="E15:F15"/>
    <mergeCell ref="B17:F17"/>
    <mergeCell ref="B18:D18"/>
    <mergeCell ref="E18:F18"/>
    <mergeCell ref="B40:D40"/>
    <mergeCell ref="E40:F40"/>
    <mergeCell ref="B41:F41"/>
    <mergeCell ref="B19:F19"/>
    <mergeCell ref="E29:F29"/>
    <mergeCell ref="E34:F34"/>
    <mergeCell ref="E37:F37"/>
    <mergeCell ref="B39:F39"/>
  </mergeCells>
  <pageMargins left="0.7" right="0.7" top="0.75" bottom="0.75" header="0.3" footer="0.3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122"/>
  <dimension ref="A1:G42"/>
  <sheetViews>
    <sheetView topLeftCell="A19" workbookViewId="0">
      <selection sqref="A1:G42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2362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65" customHeight="1">
      <c r="A5" s="5"/>
      <c r="B5" s="3" t="s">
        <v>673</v>
      </c>
      <c r="C5" s="3" t="s">
        <v>674</v>
      </c>
      <c r="D5" s="3" t="s">
        <v>675</v>
      </c>
      <c r="E5" s="3" t="s">
        <v>811</v>
      </c>
      <c r="F5" s="5"/>
      <c r="G5" s="5"/>
    </row>
    <row r="6" spans="1:7" ht="13.95" customHeight="1">
      <c r="A6" s="5"/>
      <c r="B6" s="3" t="s">
        <v>871</v>
      </c>
      <c r="C6" s="3" t="s">
        <v>678</v>
      </c>
      <c r="D6" s="3" t="s">
        <v>675</v>
      </c>
      <c r="E6" s="3" t="s">
        <v>752</v>
      </c>
      <c r="F6" s="5"/>
      <c r="G6" s="5"/>
    </row>
    <row r="7" spans="1:7" ht="13.65" customHeight="1">
      <c r="A7" s="5"/>
      <c r="B7" s="3" t="s">
        <v>751</v>
      </c>
      <c r="C7" s="3" t="s">
        <v>681</v>
      </c>
      <c r="D7" s="3" t="s">
        <v>675</v>
      </c>
      <c r="E7" s="3" t="s">
        <v>811</v>
      </c>
      <c r="F7" s="5"/>
      <c r="G7" s="5"/>
    </row>
    <row r="8" spans="1:7" ht="13.65" customHeight="1">
      <c r="A8" s="5"/>
      <c r="B8" s="3" t="s">
        <v>683</v>
      </c>
      <c r="C8" s="3" t="s">
        <v>684</v>
      </c>
      <c r="D8" s="3" t="s">
        <v>675</v>
      </c>
      <c r="E8" s="3" t="s">
        <v>868</v>
      </c>
      <c r="F8" s="5"/>
      <c r="G8" s="5"/>
    </row>
    <row r="9" spans="1:7" ht="12" customHeight="1">
      <c r="A9" s="5"/>
      <c r="B9" s="5"/>
      <c r="C9" s="5"/>
      <c r="D9" s="5"/>
      <c r="E9" s="2474" t="s">
        <v>685</v>
      </c>
      <c r="F9" s="2474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23.4" customHeight="1">
      <c r="A11" s="5"/>
      <c r="B11" s="3" t="s">
        <v>1364</v>
      </c>
      <c r="C11" s="5"/>
      <c r="D11" s="3" t="s">
        <v>961</v>
      </c>
      <c r="E11" s="3" t="s">
        <v>930</v>
      </c>
      <c r="F11" s="5"/>
      <c r="G11" s="5"/>
    </row>
    <row r="12" spans="1:7" ht="12" customHeight="1">
      <c r="A12" s="5"/>
      <c r="B12" s="5"/>
      <c r="C12" s="5"/>
      <c r="D12" s="5"/>
      <c r="E12" s="2473" t="s">
        <v>702</v>
      </c>
      <c r="F12" s="2473"/>
      <c r="G12" s="5"/>
    </row>
    <row r="13" spans="1:7" ht="12" customHeight="1">
      <c r="A13" s="5"/>
      <c r="B13" s="5"/>
      <c r="C13" s="5"/>
      <c r="D13" s="5"/>
      <c r="E13" s="2481"/>
      <c r="F13" s="2481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2474" t="s">
        <v>705</v>
      </c>
      <c r="F16" s="2474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2474" t="s">
        <v>707</v>
      </c>
      <c r="C18" s="2474"/>
      <c r="D18" s="2474"/>
      <c r="E18" s="2474"/>
      <c r="F18" s="2474"/>
      <c r="G18" s="5"/>
    </row>
    <row r="19" spans="1:7" ht="12" customHeight="1">
      <c r="A19" s="3" t="s">
        <v>708</v>
      </c>
      <c r="B19" s="2471" t="s">
        <v>876</v>
      </c>
      <c r="C19" s="2471"/>
      <c r="D19" s="2471"/>
      <c r="E19" s="2472" t="s">
        <v>710</v>
      </c>
      <c r="F19" s="2472"/>
      <c r="G19" s="5"/>
    </row>
    <row r="20" spans="1:7" ht="12" customHeight="1">
      <c r="A20" s="3" t="s">
        <v>711</v>
      </c>
      <c r="B20" s="2473" t="s">
        <v>712</v>
      </c>
      <c r="C20" s="2473"/>
      <c r="D20" s="2473"/>
      <c r="E20" s="2473"/>
      <c r="F20" s="2473"/>
      <c r="G20" s="5"/>
    </row>
    <row r="21" spans="1:7" ht="12" customHeight="1">
      <c r="A21" s="3"/>
      <c r="B21" s="26"/>
      <c r="C21" s="26"/>
      <c r="D21" s="26"/>
      <c r="E21" s="26"/>
      <c r="F21" s="26"/>
      <c r="G21" s="5"/>
    </row>
    <row r="22" spans="1:7" ht="12" customHeight="1">
      <c r="A22" s="50" t="s">
        <v>2363</v>
      </c>
      <c r="B22" s="26"/>
      <c r="C22" s="26"/>
      <c r="D22" s="26"/>
      <c r="E22" s="26"/>
      <c r="F22" s="26"/>
      <c r="G22" s="5"/>
    </row>
    <row r="23" spans="1:7" ht="12" customHeight="1">
      <c r="A23" s="3"/>
      <c r="B23" s="26"/>
      <c r="C23" s="26"/>
      <c r="D23" s="26"/>
      <c r="E23" s="26"/>
      <c r="F23" s="26"/>
      <c r="G23" s="5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65" customHeight="1">
      <c r="A26" s="5"/>
      <c r="B26" s="3" t="s">
        <v>673</v>
      </c>
      <c r="C26" s="3" t="s">
        <v>674</v>
      </c>
      <c r="D26" s="3" t="s">
        <v>675</v>
      </c>
      <c r="E26" s="3" t="s">
        <v>817</v>
      </c>
      <c r="F26" s="5"/>
      <c r="G26" s="5"/>
    </row>
    <row r="27" spans="1:7" ht="13.95" customHeight="1">
      <c r="A27" s="5"/>
      <c r="B27" s="3" t="s">
        <v>871</v>
      </c>
      <c r="C27" s="3" t="s">
        <v>678</v>
      </c>
      <c r="D27" s="3" t="s">
        <v>675</v>
      </c>
      <c r="E27" s="3" t="s">
        <v>752</v>
      </c>
      <c r="F27" s="5"/>
      <c r="G27" s="5"/>
    </row>
    <row r="28" spans="1:7" ht="13.65" customHeight="1">
      <c r="A28" s="5"/>
      <c r="B28" s="3" t="s">
        <v>751</v>
      </c>
      <c r="C28" s="3" t="s">
        <v>681</v>
      </c>
      <c r="D28" s="3" t="s">
        <v>675</v>
      </c>
      <c r="E28" s="3" t="s">
        <v>811</v>
      </c>
      <c r="F28" s="5"/>
      <c r="G28" s="5"/>
    </row>
    <row r="29" spans="1:7" ht="13.65" customHeight="1">
      <c r="A29" s="5"/>
      <c r="B29" s="3" t="s">
        <v>683</v>
      </c>
      <c r="C29" s="3" t="s">
        <v>684</v>
      </c>
      <c r="D29" s="3" t="s">
        <v>675</v>
      </c>
      <c r="E29" s="3" t="s">
        <v>783</v>
      </c>
      <c r="F29" s="5"/>
      <c r="G29" s="5"/>
    </row>
    <row r="30" spans="1:7" ht="12" customHeight="1">
      <c r="A30" s="5"/>
      <c r="B30" s="5"/>
      <c r="C30" s="5"/>
      <c r="D30" s="5"/>
      <c r="E30" s="2474" t="s">
        <v>685</v>
      </c>
      <c r="F30" s="2474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95" customHeight="1">
      <c r="A32" s="5"/>
      <c r="B32" s="3" t="s">
        <v>1365</v>
      </c>
      <c r="C32" s="5"/>
      <c r="D32" s="3" t="s">
        <v>961</v>
      </c>
      <c r="E32" s="3" t="s">
        <v>930</v>
      </c>
      <c r="F32" s="5"/>
      <c r="G32" s="5"/>
    </row>
    <row r="33" spans="1:7" ht="13.65" customHeight="1">
      <c r="A33" s="5"/>
      <c r="B33" s="4" t="s">
        <v>972</v>
      </c>
      <c r="C33" s="5"/>
      <c r="D33" s="3" t="s">
        <v>690</v>
      </c>
      <c r="E33" s="3" t="s">
        <v>753</v>
      </c>
      <c r="F33" s="5"/>
      <c r="G33" s="5"/>
    </row>
    <row r="34" spans="1:7" ht="12" customHeight="1">
      <c r="A34" s="5"/>
      <c r="B34" s="5"/>
      <c r="C34" s="5"/>
      <c r="D34" s="5"/>
      <c r="E34" s="2473" t="s">
        <v>702</v>
      </c>
      <c r="F34" s="2473"/>
      <c r="G34" s="5"/>
    </row>
    <row r="35" spans="1:7" ht="12" customHeight="1">
      <c r="A35" s="5"/>
      <c r="B35" s="5"/>
      <c r="C35" s="5"/>
      <c r="D35" s="5"/>
      <c r="E35" s="2481"/>
      <c r="F35" s="2481"/>
      <c r="G35" s="5"/>
    </row>
    <row r="36" spans="1:7" ht="12" customHeight="1">
      <c r="A36" s="3" t="s">
        <v>703</v>
      </c>
      <c r="B36" s="3" t="s">
        <v>704</v>
      </c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2474" t="s">
        <v>705</v>
      </c>
      <c r="F38" s="2474"/>
      <c r="G38" s="5"/>
    </row>
    <row r="39" spans="1:7" ht="12" customHeight="1">
      <c r="A39" s="5"/>
      <c r="B39" s="5"/>
      <c r="C39" s="5"/>
      <c r="D39" s="5"/>
      <c r="E39" s="5"/>
      <c r="F39" s="5"/>
      <c r="G39" s="5"/>
    </row>
    <row r="40" spans="1:7" ht="12" customHeight="1">
      <c r="A40" s="3" t="s">
        <v>706</v>
      </c>
      <c r="B40" s="2474" t="s">
        <v>707</v>
      </c>
      <c r="C40" s="2474"/>
      <c r="D40" s="2474"/>
      <c r="E40" s="2474"/>
      <c r="F40" s="2474"/>
      <c r="G40" s="5"/>
    </row>
    <row r="41" spans="1:7" ht="12" customHeight="1">
      <c r="A41" s="3" t="s">
        <v>708</v>
      </c>
      <c r="B41" s="2471" t="s">
        <v>876</v>
      </c>
      <c r="C41" s="2471"/>
      <c r="D41" s="2471"/>
      <c r="E41" s="2472" t="s">
        <v>710</v>
      </c>
      <c r="F41" s="2472"/>
      <c r="G41" s="5"/>
    </row>
    <row r="42" spans="1:7" ht="12" customHeight="1">
      <c r="A42" s="3" t="s">
        <v>711</v>
      </c>
      <c r="B42" s="2473" t="s">
        <v>712</v>
      </c>
      <c r="C42" s="2473"/>
      <c r="D42" s="2473"/>
      <c r="E42" s="2473"/>
      <c r="F42" s="2473"/>
      <c r="G42" s="5"/>
    </row>
  </sheetData>
  <mergeCells count="16">
    <mergeCell ref="E9:F9"/>
    <mergeCell ref="E12:F12"/>
    <mergeCell ref="E13:F13"/>
    <mergeCell ref="E16:F16"/>
    <mergeCell ref="B18:F18"/>
    <mergeCell ref="B19:D19"/>
    <mergeCell ref="E19:F19"/>
    <mergeCell ref="B20:F20"/>
    <mergeCell ref="E30:F30"/>
    <mergeCell ref="E34:F34"/>
    <mergeCell ref="B42:F42"/>
    <mergeCell ref="E35:F35"/>
    <mergeCell ref="E38:F38"/>
    <mergeCell ref="B40:F40"/>
    <mergeCell ref="B41:D41"/>
    <mergeCell ref="E41:F41"/>
  </mergeCells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123">
    <tabColor rgb="FFFF0000"/>
  </sheetPr>
  <dimension ref="A1:G36"/>
  <sheetViews>
    <sheetView topLeftCell="A28" workbookViewId="0">
      <selection sqref="A1:G36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3" t="s">
        <v>2364</v>
      </c>
    </row>
    <row r="2" spans="1:7">
      <c r="A2" s="51" t="s">
        <v>2365</v>
      </c>
    </row>
    <row r="3" spans="1:7">
      <c r="A3" s="51"/>
    </row>
    <row r="4" spans="1:7" ht="34.950000000000003" customHeight="1">
      <c r="A4" s="6" t="s">
        <v>762</v>
      </c>
      <c r="B4" s="6" t="s">
        <v>763</v>
      </c>
      <c r="C4" s="6" t="s">
        <v>764</v>
      </c>
      <c r="D4" s="6" t="s">
        <v>765</v>
      </c>
      <c r="E4" s="6" t="s">
        <v>766</v>
      </c>
      <c r="F4" s="7" t="s">
        <v>767</v>
      </c>
      <c r="G4" s="7" t="s">
        <v>768</v>
      </c>
    </row>
    <row r="5" spans="1:7" ht="12" customHeight="1">
      <c r="A5" s="3" t="s">
        <v>671</v>
      </c>
      <c r="B5" s="3" t="s">
        <v>672</v>
      </c>
      <c r="C5" s="5"/>
      <c r="D5" s="5"/>
      <c r="E5" s="5"/>
      <c r="F5" s="5"/>
      <c r="G5" s="5"/>
    </row>
    <row r="6" spans="1:7" ht="13.95" customHeight="1">
      <c r="A6" s="5"/>
      <c r="B6" s="3" t="s">
        <v>673</v>
      </c>
      <c r="C6" s="3" t="s">
        <v>674</v>
      </c>
      <c r="D6" s="3" t="s">
        <v>675</v>
      </c>
      <c r="E6" s="3" t="s">
        <v>752</v>
      </c>
      <c r="F6" s="5"/>
      <c r="G6" s="5"/>
    </row>
    <row r="7" spans="1:7" ht="13.65" customHeight="1">
      <c r="A7" s="5"/>
      <c r="B7" s="3" t="s">
        <v>683</v>
      </c>
      <c r="C7" s="3" t="s">
        <v>684</v>
      </c>
      <c r="D7" s="3" t="s">
        <v>675</v>
      </c>
      <c r="E7" s="3" t="s">
        <v>852</v>
      </c>
      <c r="F7" s="5"/>
      <c r="G7" s="5"/>
    </row>
    <row r="8" spans="1:7" ht="12" customHeight="1">
      <c r="A8" s="5"/>
      <c r="B8" s="5"/>
      <c r="C8" s="5"/>
      <c r="D8" s="5"/>
      <c r="E8" s="2474" t="s">
        <v>685</v>
      </c>
      <c r="F8" s="2474"/>
      <c r="G8" s="5"/>
    </row>
    <row r="9" spans="1:7" ht="12" customHeight="1">
      <c r="A9" s="3" t="s">
        <v>686</v>
      </c>
      <c r="B9" s="3" t="s">
        <v>687</v>
      </c>
      <c r="C9" s="5"/>
      <c r="D9" s="5"/>
      <c r="E9" s="5"/>
      <c r="F9" s="5"/>
      <c r="G9" s="5"/>
    </row>
    <row r="10" spans="1:7" ht="13.95" customHeight="1">
      <c r="A10" s="5"/>
      <c r="B10" s="3" t="s">
        <v>1366</v>
      </c>
      <c r="C10" s="5"/>
      <c r="D10" s="3" t="s">
        <v>690</v>
      </c>
      <c r="E10" s="3" t="s">
        <v>801</v>
      </c>
      <c r="F10" s="5"/>
      <c r="G10" s="5"/>
    </row>
    <row r="11" spans="1:7" ht="12" customHeight="1">
      <c r="A11" s="5"/>
      <c r="B11" s="5"/>
      <c r="C11" s="5"/>
      <c r="D11" s="5"/>
      <c r="E11" s="2474" t="s">
        <v>702</v>
      </c>
      <c r="F11" s="2474"/>
      <c r="G11" s="5"/>
    </row>
    <row r="12" spans="1:7" ht="12" customHeight="1">
      <c r="A12" s="3" t="s">
        <v>703</v>
      </c>
      <c r="B12" s="3" t="s">
        <v>704</v>
      </c>
      <c r="C12" s="5"/>
      <c r="D12" s="5"/>
      <c r="E12" s="5"/>
      <c r="F12" s="5"/>
      <c r="G12" s="5"/>
    </row>
    <row r="13" spans="1:7" ht="11.85" customHeight="1">
      <c r="A13" s="5"/>
      <c r="B13" s="5"/>
      <c r="C13" s="5"/>
      <c r="D13" s="5"/>
      <c r="E13" s="5"/>
      <c r="F13" s="5"/>
      <c r="G13" s="5"/>
    </row>
    <row r="14" spans="1:7" ht="12" customHeight="1">
      <c r="A14" s="5"/>
      <c r="B14" s="5"/>
      <c r="C14" s="5"/>
      <c r="D14" s="5"/>
      <c r="E14" s="2474" t="s">
        <v>705</v>
      </c>
      <c r="F14" s="2474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3" t="s">
        <v>706</v>
      </c>
      <c r="B16" s="2474" t="s">
        <v>707</v>
      </c>
      <c r="C16" s="2474"/>
      <c r="D16" s="2474"/>
      <c r="E16" s="2474"/>
      <c r="F16" s="2474"/>
      <c r="G16" s="5"/>
    </row>
    <row r="17" spans="1:7" ht="12" customHeight="1">
      <c r="A17" s="3" t="s">
        <v>708</v>
      </c>
      <c r="B17" s="2471" t="s">
        <v>876</v>
      </c>
      <c r="C17" s="2471"/>
      <c r="D17" s="2471"/>
      <c r="E17" s="2472" t="s">
        <v>710</v>
      </c>
      <c r="F17" s="2472"/>
      <c r="G17" s="5"/>
    </row>
    <row r="18" spans="1:7" ht="12.15" customHeight="1">
      <c r="A18" s="3" t="s">
        <v>711</v>
      </c>
      <c r="B18" s="2473" t="s">
        <v>712</v>
      </c>
      <c r="C18" s="2473"/>
      <c r="D18" s="2473"/>
      <c r="E18" s="2473"/>
      <c r="F18" s="2473"/>
      <c r="G18" s="5"/>
    </row>
    <row r="19" spans="1:7" ht="12.15" customHeight="1">
      <c r="A19" s="3"/>
      <c r="B19" s="26"/>
      <c r="C19" s="26"/>
      <c r="D19" s="26"/>
      <c r="E19" s="26"/>
      <c r="F19" s="26"/>
      <c r="G19" s="5"/>
    </row>
    <row r="20" spans="1:7" ht="12.15" customHeight="1">
      <c r="A20" s="50" t="s">
        <v>2366</v>
      </c>
      <c r="B20" s="26"/>
      <c r="C20" s="26"/>
      <c r="D20" s="26"/>
      <c r="E20" s="26"/>
      <c r="F20" s="26"/>
      <c r="G20" s="5"/>
    </row>
    <row r="21" spans="1:7" ht="12.15" customHeight="1">
      <c r="A21" s="3"/>
      <c r="B21" s="26"/>
      <c r="C21" s="26"/>
      <c r="D21" s="26"/>
      <c r="E21" s="26"/>
      <c r="F21" s="26"/>
      <c r="G21" s="5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3" t="s">
        <v>671</v>
      </c>
      <c r="B23" s="3" t="s">
        <v>672</v>
      </c>
      <c r="C23" s="5"/>
      <c r="D23" s="5"/>
      <c r="E23" s="5"/>
      <c r="F23" s="5"/>
      <c r="G23" s="5"/>
    </row>
    <row r="24" spans="1:7" ht="13.65" customHeight="1">
      <c r="A24" s="5"/>
      <c r="B24" s="3" t="s">
        <v>673</v>
      </c>
      <c r="C24" s="3" t="s">
        <v>674</v>
      </c>
      <c r="D24" s="3" t="s">
        <v>675</v>
      </c>
      <c r="E24" s="3" t="s">
        <v>752</v>
      </c>
      <c r="F24" s="5"/>
      <c r="G24" s="5"/>
    </row>
    <row r="25" spans="1:7" ht="13.95" customHeight="1">
      <c r="A25" s="5"/>
      <c r="B25" s="3" t="s">
        <v>683</v>
      </c>
      <c r="C25" s="3" t="s">
        <v>684</v>
      </c>
      <c r="D25" s="3" t="s">
        <v>675</v>
      </c>
      <c r="E25" s="3" t="s">
        <v>852</v>
      </c>
      <c r="F25" s="5"/>
      <c r="G25" s="5"/>
    </row>
    <row r="26" spans="1:7" ht="12" customHeight="1">
      <c r="A26" s="5"/>
      <c r="B26" s="5"/>
      <c r="C26" s="5"/>
      <c r="D26" s="5"/>
      <c r="E26" s="2474" t="s">
        <v>685</v>
      </c>
      <c r="F26" s="2474"/>
      <c r="G26" s="5"/>
    </row>
    <row r="27" spans="1:7" ht="12" customHeight="1">
      <c r="A27" s="3" t="s">
        <v>686</v>
      </c>
      <c r="B27" s="3" t="s">
        <v>687</v>
      </c>
      <c r="C27" s="5"/>
      <c r="D27" s="5"/>
      <c r="E27" s="5"/>
      <c r="F27" s="5"/>
      <c r="G27" s="5"/>
    </row>
    <row r="28" spans="1:7" ht="13.65" customHeight="1">
      <c r="A28" s="5"/>
      <c r="B28" s="3" t="s">
        <v>1367</v>
      </c>
      <c r="C28" s="5"/>
      <c r="D28" s="3" t="s">
        <v>690</v>
      </c>
      <c r="E28" s="3" t="s">
        <v>801</v>
      </c>
      <c r="F28" s="5"/>
      <c r="G28" s="5"/>
    </row>
    <row r="29" spans="1:7" ht="12" customHeight="1">
      <c r="A29" s="5"/>
      <c r="B29" s="5"/>
      <c r="C29" s="5"/>
      <c r="D29" s="5"/>
      <c r="E29" s="2474" t="s">
        <v>702</v>
      </c>
      <c r="F29" s="2474"/>
      <c r="G29" s="5"/>
    </row>
    <row r="30" spans="1:7" ht="12" customHeight="1">
      <c r="A30" s="3" t="s">
        <v>703</v>
      </c>
      <c r="B30" s="3" t="s">
        <v>704</v>
      </c>
      <c r="C30" s="5"/>
      <c r="D30" s="5"/>
      <c r="E30" s="5"/>
      <c r="F30" s="5"/>
      <c r="G30" s="5"/>
    </row>
    <row r="31" spans="1:7" ht="12" customHeight="1">
      <c r="A31" s="5"/>
      <c r="B31" s="5"/>
      <c r="C31" s="5"/>
      <c r="D31" s="5"/>
      <c r="E31" s="5"/>
      <c r="F31" s="5"/>
      <c r="G31" s="5"/>
    </row>
    <row r="32" spans="1:7" ht="12" customHeight="1">
      <c r="A32" s="5"/>
      <c r="B32" s="5"/>
      <c r="C32" s="5"/>
      <c r="D32" s="5"/>
      <c r="E32" s="2474" t="s">
        <v>705</v>
      </c>
      <c r="F32" s="2474"/>
      <c r="G32" s="5"/>
    </row>
    <row r="33" spans="1:7" ht="12" customHeight="1">
      <c r="A33" s="5"/>
      <c r="B33" s="5"/>
      <c r="C33" s="5"/>
      <c r="D33" s="5"/>
      <c r="E33" s="5"/>
      <c r="F33" s="5"/>
      <c r="G33" s="5"/>
    </row>
    <row r="34" spans="1:7" ht="12" customHeight="1">
      <c r="A34" s="3" t="s">
        <v>706</v>
      </c>
      <c r="B34" s="2474" t="s">
        <v>707</v>
      </c>
      <c r="C34" s="2474"/>
      <c r="D34" s="2474"/>
      <c r="E34" s="2474"/>
      <c r="F34" s="2474"/>
      <c r="G34" s="5"/>
    </row>
    <row r="35" spans="1:7" ht="12" customHeight="1">
      <c r="A35" s="3" t="s">
        <v>708</v>
      </c>
      <c r="B35" s="2471" t="s">
        <v>876</v>
      </c>
      <c r="C35" s="2471"/>
      <c r="D35" s="2471"/>
      <c r="E35" s="2472" t="s">
        <v>710</v>
      </c>
      <c r="F35" s="2472"/>
      <c r="G35" s="5"/>
    </row>
    <row r="36" spans="1:7" ht="12" customHeight="1">
      <c r="A36" s="3" t="s">
        <v>711</v>
      </c>
      <c r="B36" s="2473" t="s">
        <v>712</v>
      </c>
      <c r="C36" s="2473"/>
      <c r="D36" s="2473"/>
      <c r="E36" s="2473"/>
      <c r="F36" s="2473"/>
      <c r="G36" s="5"/>
    </row>
  </sheetData>
  <mergeCells count="14">
    <mergeCell ref="E8:F8"/>
    <mergeCell ref="E11:F11"/>
    <mergeCell ref="E14:F14"/>
    <mergeCell ref="B16:F16"/>
    <mergeCell ref="B17:D17"/>
    <mergeCell ref="E17:F17"/>
    <mergeCell ref="B35:D35"/>
    <mergeCell ref="E35:F35"/>
    <mergeCell ref="B36:F36"/>
    <mergeCell ref="B18:F18"/>
    <mergeCell ref="E26:F26"/>
    <mergeCell ref="E29:F29"/>
    <mergeCell ref="E32:F32"/>
    <mergeCell ref="B34:F34"/>
  </mergeCells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124"/>
  <dimension ref="A1:G43"/>
  <sheetViews>
    <sheetView workbookViewId="0">
      <selection sqref="A1:G43"/>
    </sheetView>
  </sheetViews>
  <sheetFormatPr defaultRowHeight="14.4"/>
  <cols>
    <col min="1" max="1" width="5.33203125" customWidth="1"/>
    <col min="2" max="2" width="9.88671875" customWidth="1"/>
    <col min="3" max="3" width="7" customWidth="1"/>
    <col min="4" max="4" width="9.33203125" customWidth="1"/>
    <col min="5" max="5" width="21.44140625" customWidth="1"/>
    <col min="6" max="6" width="13.109375" customWidth="1"/>
    <col min="7" max="7" width="17.5546875" customWidth="1"/>
  </cols>
  <sheetData>
    <row r="1" spans="1:7">
      <c r="A1" s="50" t="s">
        <v>2367</v>
      </c>
    </row>
    <row r="3" spans="1:7" ht="35.1" customHeight="1">
      <c r="A3" s="91" t="s">
        <v>762</v>
      </c>
      <c r="B3" s="91" t="s">
        <v>763</v>
      </c>
      <c r="C3" s="6" t="s">
        <v>764</v>
      </c>
      <c r="D3" s="91" t="s">
        <v>765</v>
      </c>
      <c r="E3" s="91" t="s">
        <v>766</v>
      </c>
      <c r="F3" s="91" t="s">
        <v>767</v>
      </c>
      <c r="G3" s="7" t="s">
        <v>768</v>
      </c>
    </row>
    <row r="4" spans="1:7" ht="12" customHeight="1">
      <c r="A4" s="96" t="s">
        <v>671</v>
      </c>
      <c r="B4" s="96" t="s">
        <v>672</v>
      </c>
      <c r="C4" s="5"/>
      <c r="D4" s="86"/>
      <c r="E4" s="86"/>
      <c r="F4" s="87"/>
      <c r="G4" s="5"/>
    </row>
    <row r="5" spans="1:7" ht="13.65" customHeight="1">
      <c r="A5" s="86"/>
      <c r="B5" s="96" t="s">
        <v>673</v>
      </c>
      <c r="C5" s="3" t="s">
        <v>674</v>
      </c>
      <c r="D5" s="96" t="s">
        <v>675</v>
      </c>
      <c r="E5" s="96" t="s">
        <v>752</v>
      </c>
      <c r="F5" s="87"/>
      <c r="G5" s="5"/>
    </row>
    <row r="6" spans="1:7" ht="13.95" customHeight="1">
      <c r="A6" s="86"/>
      <c r="B6" s="96" t="s">
        <v>683</v>
      </c>
      <c r="C6" s="3" t="s">
        <v>684</v>
      </c>
      <c r="D6" s="96" t="s">
        <v>675</v>
      </c>
      <c r="E6" s="96" t="s">
        <v>868</v>
      </c>
      <c r="F6" s="87"/>
      <c r="G6" s="5"/>
    </row>
    <row r="7" spans="1:7" ht="12" customHeight="1">
      <c r="A7" s="86"/>
      <c r="B7" s="86"/>
      <c r="C7" s="5"/>
      <c r="D7" s="86"/>
      <c r="E7" s="96" t="s">
        <v>685</v>
      </c>
      <c r="F7" s="97"/>
      <c r="G7" s="5"/>
    </row>
    <row r="8" spans="1:7" ht="12" customHeight="1">
      <c r="A8" s="96" t="s">
        <v>686</v>
      </c>
      <c r="B8" s="96" t="s">
        <v>687</v>
      </c>
      <c r="C8" s="5"/>
      <c r="D8" s="86"/>
      <c r="E8" s="86"/>
      <c r="F8" s="87"/>
      <c r="G8" s="5"/>
    </row>
    <row r="9" spans="1:7" ht="13.65" customHeight="1">
      <c r="A9" s="86"/>
      <c r="B9" s="96" t="s">
        <v>1367</v>
      </c>
      <c r="C9" s="5"/>
      <c r="D9" s="96" t="s">
        <v>690</v>
      </c>
      <c r="E9" s="96" t="s">
        <v>801</v>
      </c>
      <c r="F9" s="87"/>
      <c r="G9" s="5"/>
    </row>
    <row r="10" spans="1:7" ht="12" customHeight="1">
      <c r="A10" s="86"/>
      <c r="B10" s="86"/>
      <c r="C10" s="5"/>
      <c r="D10" s="86"/>
      <c r="E10" s="96" t="s">
        <v>702</v>
      </c>
      <c r="F10" s="97"/>
      <c r="G10" s="5"/>
    </row>
    <row r="11" spans="1:7" ht="12" customHeight="1">
      <c r="A11" s="96" t="s">
        <v>703</v>
      </c>
      <c r="B11" s="96" t="s">
        <v>704</v>
      </c>
      <c r="C11" s="5"/>
      <c r="D11" s="86"/>
      <c r="E11" s="86"/>
      <c r="F11" s="87"/>
      <c r="G11" s="5"/>
    </row>
    <row r="12" spans="1:7" ht="12" customHeight="1">
      <c r="A12" s="86"/>
      <c r="B12" s="86"/>
      <c r="C12" s="5"/>
      <c r="D12" s="86"/>
      <c r="E12" s="86"/>
      <c r="F12" s="87"/>
      <c r="G12" s="5"/>
    </row>
    <row r="13" spans="1:7" ht="12" customHeight="1">
      <c r="A13" s="86"/>
      <c r="B13" s="86"/>
      <c r="C13" s="5"/>
      <c r="D13" s="86"/>
      <c r="E13" s="96" t="s">
        <v>705</v>
      </c>
      <c r="F13" s="97"/>
      <c r="G13" s="5"/>
    </row>
    <row r="14" spans="1:7" ht="12" customHeight="1">
      <c r="A14" s="86"/>
      <c r="B14" s="86"/>
      <c r="C14" s="5"/>
      <c r="D14" s="86"/>
      <c r="E14" s="86"/>
      <c r="F14" s="87"/>
      <c r="G14" s="5"/>
    </row>
    <row r="15" spans="1:7" ht="12" customHeight="1">
      <c r="A15" s="96" t="s">
        <v>706</v>
      </c>
      <c r="B15" s="96" t="s">
        <v>707</v>
      </c>
      <c r="C15" s="102"/>
      <c r="D15" s="102"/>
      <c r="E15" s="102"/>
      <c r="F15" s="97"/>
      <c r="G15" s="5"/>
    </row>
    <row r="16" spans="1:7" ht="12" customHeight="1">
      <c r="A16" s="96" t="s">
        <v>708</v>
      </c>
      <c r="B16" s="92" t="s">
        <v>876</v>
      </c>
      <c r="C16" s="93"/>
      <c r="D16" s="94"/>
      <c r="E16" s="96" t="s">
        <v>710</v>
      </c>
      <c r="F16" s="97"/>
      <c r="G16" s="5"/>
    </row>
    <row r="17" spans="1:7" ht="12" customHeight="1">
      <c r="A17" s="96" t="s">
        <v>711</v>
      </c>
      <c r="B17" s="96" t="s">
        <v>712</v>
      </c>
      <c r="C17" s="102"/>
      <c r="D17" s="102"/>
      <c r="E17" s="102"/>
      <c r="F17" s="97"/>
      <c r="G17" s="5"/>
    </row>
    <row r="18" spans="1:7" ht="12" customHeight="1">
      <c r="A18" s="3"/>
      <c r="B18" s="26"/>
      <c r="C18" s="26"/>
      <c r="D18" s="26"/>
      <c r="E18" s="26"/>
      <c r="F18" s="26"/>
      <c r="G18" s="5"/>
    </row>
    <row r="19" spans="1:7" ht="12" customHeight="1">
      <c r="A19" s="50" t="s">
        <v>2368</v>
      </c>
      <c r="B19" s="3"/>
      <c r="C19" s="26"/>
      <c r="D19" s="26"/>
      <c r="E19" s="26"/>
      <c r="F19" s="26"/>
      <c r="G19" s="5"/>
    </row>
    <row r="20" spans="1:7" ht="12" customHeight="1">
      <c r="A20" s="3"/>
      <c r="B20" s="3"/>
      <c r="C20" s="26"/>
      <c r="D20" s="26"/>
      <c r="E20" s="26"/>
      <c r="F20" s="26"/>
      <c r="G20" s="5"/>
    </row>
    <row r="21" spans="1:7" ht="34.950000000000003" customHeight="1">
      <c r="A21" s="6" t="s">
        <v>762</v>
      </c>
      <c r="B21" s="91" t="s">
        <v>763</v>
      </c>
      <c r="C21" s="91" t="s">
        <v>764</v>
      </c>
      <c r="D21" s="91" t="s">
        <v>765</v>
      </c>
      <c r="E21" s="91" t="s">
        <v>766</v>
      </c>
      <c r="F21" s="91" t="s">
        <v>767</v>
      </c>
      <c r="G21" s="7" t="s">
        <v>768</v>
      </c>
    </row>
    <row r="22" spans="1:7" ht="12" customHeight="1">
      <c r="A22" s="3" t="s">
        <v>671</v>
      </c>
      <c r="B22" s="96" t="s">
        <v>672</v>
      </c>
      <c r="C22" s="86"/>
      <c r="D22" s="86"/>
      <c r="E22" s="86"/>
      <c r="F22" s="86"/>
      <c r="G22" s="5"/>
    </row>
    <row r="23" spans="1:7" ht="13.95" customHeight="1">
      <c r="A23" s="5"/>
      <c r="B23" s="96" t="s">
        <v>673</v>
      </c>
      <c r="C23" s="96" t="s">
        <v>674</v>
      </c>
      <c r="D23" s="96" t="s">
        <v>675</v>
      </c>
      <c r="E23" s="96" t="s">
        <v>1256</v>
      </c>
      <c r="F23" s="86"/>
      <c r="G23" s="5"/>
    </row>
    <row r="24" spans="1:7" ht="13.65" customHeight="1">
      <c r="A24" s="5"/>
      <c r="B24" s="96" t="s">
        <v>1368</v>
      </c>
      <c r="C24" s="96" t="s">
        <v>678</v>
      </c>
      <c r="D24" s="96" t="s">
        <v>675</v>
      </c>
      <c r="E24" s="96" t="s">
        <v>695</v>
      </c>
      <c r="F24" s="86"/>
      <c r="G24" s="5"/>
    </row>
    <row r="25" spans="1:7" ht="13.95" customHeight="1">
      <c r="A25" s="5"/>
      <c r="B25" s="96" t="s">
        <v>751</v>
      </c>
      <c r="C25" s="96" t="s">
        <v>681</v>
      </c>
      <c r="D25" s="96" t="s">
        <v>675</v>
      </c>
      <c r="E25" s="96" t="s">
        <v>891</v>
      </c>
      <c r="F25" s="86"/>
      <c r="G25" s="5"/>
    </row>
    <row r="26" spans="1:7" ht="13.65" customHeight="1">
      <c r="A26" s="5"/>
      <c r="B26" s="96" t="s">
        <v>683</v>
      </c>
      <c r="C26" s="96" t="s">
        <v>684</v>
      </c>
      <c r="D26" s="96" t="s">
        <v>675</v>
      </c>
      <c r="E26" s="96" t="s">
        <v>852</v>
      </c>
      <c r="F26" s="86"/>
      <c r="G26" s="5"/>
    </row>
    <row r="27" spans="1:7" ht="12" customHeight="1">
      <c r="A27" s="5"/>
      <c r="B27" s="86"/>
      <c r="C27" s="86"/>
      <c r="D27" s="86"/>
      <c r="E27" s="96" t="s">
        <v>685</v>
      </c>
      <c r="F27" s="102"/>
      <c r="G27" s="5"/>
    </row>
    <row r="28" spans="1:7" ht="12" customHeight="1">
      <c r="A28" s="3" t="s">
        <v>686</v>
      </c>
      <c r="B28" s="96" t="s">
        <v>687</v>
      </c>
      <c r="C28" s="88"/>
      <c r="D28" s="86"/>
      <c r="E28" s="86"/>
      <c r="F28" s="86"/>
      <c r="G28" s="5"/>
    </row>
    <row r="29" spans="1:7" ht="13.65" customHeight="1">
      <c r="A29" s="5"/>
      <c r="B29" s="96" t="s">
        <v>1369</v>
      </c>
      <c r="C29" s="88"/>
      <c r="D29" s="96" t="s">
        <v>690</v>
      </c>
      <c r="E29" s="96" t="s">
        <v>758</v>
      </c>
      <c r="F29" s="86"/>
      <c r="G29" s="5"/>
    </row>
    <row r="30" spans="1:7" ht="13.95" customHeight="1">
      <c r="A30" s="5"/>
      <c r="B30" s="96" t="s">
        <v>1370</v>
      </c>
      <c r="C30" s="88"/>
      <c r="D30" s="96" t="s">
        <v>690</v>
      </c>
      <c r="E30" s="96" t="s">
        <v>752</v>
      </c>
      <c r="F30" s="86"/>
      <c r="G30" s="5"/>
    </row>
    <row r="31" spans="1:7" ht="13.65" customHeight="1">
      <c r="A31" s="5"/>
      <c r="B31" s="96" t="s">
        <v>1371</v>
      </c>
      <c r="C31" s="88"/>
      <c r="D31" s="96" t="s">
        <v>690</v>
      </c>
      <c r="E31" s="96" t="s">
        <v>1154</v>
      </c>
      <c r="F31" s="86"/>
      <c r="G31" s="5"/>
    </row>
    <row r="32" spans="1:7" ht="13.65" customHeight="1">
      <c r="A32" s="5"/>
      <c r="B32" s="96" t="s">
        <v>1372</v>
      </c>
      <c r="C32" s="88"/>
      <c r="D32" s="96" t="s">
        <v>690</v>
      </c>
      <c r="E32" s="96" t="s">
        <v>1113</v>
      </c>
      <c r="F32" s="86"/>
      <c r="G32" s="5"/>
    </row>
    <row r="33" spans="1:7" ht="13.95" customHeight="1">
      <c r="A33" s="5"/>
      <c r="B33" s="111" t="s">
        <v>1373</v>
      </c>
      <c r="C33" s="88"/>
      <c r="D33" s="96" t="s">
        <v>743</v>
      </c>
      <c r="E33" s="96" t="s">
        <v>724</v>
      </c>
      <c r="F33" s="86"/>
      <c r="G33" s="5"/>
    </row>
    <row r="34" spans="1:7" ht="13.65" customHeight="1">
      <c r="A34" s="5"/>
      <c r="B34" s="111" t="s">
        <v>1374</v>
      </c>
      <c r="C34" s="88"/>
      <c r="D34" s="96" t="s">
        <v>690</v>
      </c>
      <c r="E34" s="96" t="s">
        <v>761</v>
      </c>
      <c r="F34" s="86"/>
      <c r="G34" s="5"/>
    </row>
    <row r="35" spans="1:7" ht="13.65" customHeight="1">
      <c r="A35" s="5"/>
      <c r="B35" s="111" t="s">
        <v>1375</v>
      </c>
      <c r="C35" s="88"/>
      <c r="D35" s="96" t="s">
        <v>715</v>
      </c>
      <c r="E35" s="96" t="s">
        <v>1347</v>
      </c>
      <c r="F35" s="86"/>
      <c r="G35" s="5"/>
    </row>
    <row r="36" spans="1:7" ht="12" customHeight="1">
      <c r="A36" s="5"/>
      <c r="B36" s="86"/>
      <c r="C36" s="88"/>
      <c r="D36" s="86"/>
      <c r="E36" s="96" t="s">
        <v>702</v>
      </c>
      <c r="F36" s="102"/>
      <c r="G36" s="5"/>
    </row>
    <row r="37" spans="1:7" ht="12" customHeight="1">
      <c r="A37" s="3" t="s">
        <v>703</v>
      </c>
      <c r="B37" s="96" t="s">
        <v>704</v>
      </c>
      <c r="C37" s="88"/>
      <c r="D37" s="86"/>
      <c r="E37" s="86"/>
      <c r="F37" s="86"/>
      <c r="G37" s="5"/>
    </row>
    <row r="38" spans="1:7" ht="12" customHeight="1">
      <c r="A38" s="5"/>
      <c r="B38" s="86"/>
      <c r="C38" s="88"/>
      <c r="D38" s="86"/>
      <c r="E38" s="86"/>
      <c r="F38" s="86"/>
      <c r="G38" s="5"/>
    </row>
    <row r="39" spans="1:7" ht="12" customHeight="1">
      <c r="A39" s="5"/>
      <c r="B39" s="86"/>
      <c r="C39" s="5"/>
      <c r="D39" s="5"/>
      <c r="E39" s="96" t="s">
        <v>705</v>
      </c>
      <c r="F39" s="97"/>
      <c r="G39" s="5"/>
    </row>
    <row r="40" spans="1:7" ht="12" customHeight="1">
      <c r="A40" s="5"/>
      <c r="B40" s="86"/>
      <c r="C40" s="5"/>
      <c r="D40" s="5"/>
      <c r="E40" s="5"/>
      <c r="F40" s="5"/>
      <c r="G40" s="5"/>
    </row>
    <row r="41" spans="1:7" ht="12" customHeight="1">
      <c r="A41" s="3" t="s">
        <v>706</v>
      </c>
      <c r="B41" s="96" t="s">
        <v>707</v>
      </c>
      <c r="C41" s="102"/>
      <c r="D41" s="102"/>
      <c r="E41" s="102"/>
      <c r="F41" s="97"/>
      <c r="G41" s="5"/>
    </row>
    <row r="42" spans="1:7" ht="12" customHeight="1">
      <c r="A42" s="3" t="s">
        <v>708</v>
      </c>
      <c r="B42" s="92" t="s">
        <v>876</v>
      </c>
      <c r="C42" s="93"/>
      <c r="D42" s="94"/>
      <c r="E42" s="96" t="s">
        <v>710</v>
      </c>
      <c r="F42" s="97"/>
      <c r="G42" s="5"/>
    </row>
    <row r="43" spans="1:7" ht="12.15" customHeight="1">
      <c r="A43" s="3" t="s">
        <v>711</v>
      </c>
      <c r="B43" s="96" t="s">
        <v>712</v>
      </c>
      <c r="C43" s="102"/>
      <c r="D43" s="102"/>
      <c r="E43" s="102"/>
      <c r="F43" s="97"/>
      <c r="G43" s="5"/>
    </row>
  </sheetData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125"/>
  <dimension ref="A1:G45"/>
  <sheetViews>
    <sheetView topLeftCell="A25" workbookViewId="0">
      <selection sqref="A1:G45"/>
    </sheetView>
  </sheetViews>
  <sheetFormatPr defaultRowHeight="14.4"/>
  <cols>
    <col min="1" max="1" width="5.33203125" customWidth="1"/>
    <col min="2" max="2" width="21.5546875" customWidth="1"/>
    <col min="3" max="3" width="7" customWidth="1"/>
    <col min="4" max="4" width="4" customWidth="1"/>
    <col min="5" max="5" width="23.88671875" customWidth="1"/>
    <col min="6" max="6" width="13.109375" customWidth="1"/>
    <col min="7" max="7" width="16" customWidth="1"/>
  </cols>
  <sheetData>
    <row r="1" spans="1:7">
      <c r="A1" s="55" t="s">
        <v>2369</v>
      </c>
    </row>
    <row r="3" spans="1:7" ht="34.950000000000003" customHeight="1">
      <c r="A3" s="6" t="s">
        <v>762</v>
      </c>
      <c r="B3" s="91" t="s">
        <v>763</v>
      </c>
      <c r="C3" s="91" t="s">
        <v>764</v>
      </c>
      <c r="D3" s="91" t="s">
        <v>765</v>
      </c>
      <c r="E3" s="91" t="s">
        <v>766</v>
      </c>
      <c r="F3" s="91" t="s">
        <v>767</v>
      </c>
      <c r="G3" s="7" t="s">
        <v>768</v>
      </c>
    </row>
    <row r="4" spans="1:7" ht="12" customHeight="1">
      <c r="A4" s="3" t="s">
        <v>671</v>
      </c>
      <c r="B4" s="96" t="s">
        <v>672</v>
      </c>
      <c r="C4" s="86"/>
      <c r="D4" s="86"/>
      <c r="E4" s="86"/>
      <c r="F4" s="86"/>
      <c r="G4" s="5"/>
    </row>
    <row r="5" spans="1:7" ht="13.95" customHeight="1">
      <c r="A5" s="5"/>
      <c r="B5" s="96" t="s">
        <v>673</v>
      </c>
      <c r="C5" s="96" t="s">
        <v>674</v>
      </c>
      <c r="D5" s="96" t="s">
        <v>675</v>
      </c>
      <c r="E5" s="96" t="s">
        <v>1256</v>
      </c>
      <c r="F5" s="86"/>
      <c r="G5" s="5"/>
    </row>
    <row r="6" spans="1:7" ht="13.65" customHeight="1">
      <c r="A6" s="5"/>
      <c r="B6" s="96" t="s">
        <v>1368</v>
      </c>
      <c r="C6" s="96" t="s">
        <v>678</v>
      </c>
      <c r="D6" s="96" t="s">
        <v>675</v>
      </c>
      <c r="E6" s="96" t="s">
        <v>847</v>
      </c>
      <c r="F6" s="86"/>
      <c r="G6" s="5"/>
    </row>
    <row r="7" spans="1:7" ht="13.65" customHeight="1">
      <c r="A7" s="5"/>
      <c r="B7" s="96" t="s">
        <v>751</v>
      </c>
      <c r="C7" s="96" t="s">
        <v>681</v>
      </c>
      <c r="D7" s="96" t="s">
        <v>675</v>
      </c>
      <c r="E7" s="96" t="s">
        <v>783</v>
      </c>
      <c r="F7" s="86"/>
      <c r="G7" s="5"/>
    </row>
    <row r="8" spans="1:7" ht="13.95" customHeight="1">
      <c r="A8" s="5"/>
      <c r="B8" s="96" t="s">
        <v>683</v>
      </c>
      <c r="C8" s="96" t="s">
        <v>684</v>
      </c>
      <c r="D8" s="96" t="s">
        <v>675</v>
      </c>
      <c r="E8" s="96" t="s">
        <v>852</v>
      </c>
      <c r="F8" s="86"/>
      <c r="G8" s="5"/>
    </row>
    <row r="9" spans="1:7" ht="12" customHeight="1">
      <c r="A9" s="5"/>
      <c r="B9" s="86"/>
      <c r="C9" s="105"/>
      <c r="D9" s="86"/>
      <c r="E9" s="96" t="s">
        <v>685</v>
      </c>
      <c r="F9" s="102"/>
      <c r="G9" s="5"/>
    </row>
    <row r="10" spans="1:7" ht="12" customHeight="1">
      <c r="A10" s="3" t="s">
        <v>686</v>
      </c>
      <c r="B10" s="96" t="s">
        <v>687</v>
      </c>
      <c r="C10" s="105"/>
      <c r="D10" s="86"/>
      <c r="E10" s="86"/>
      <c r="F10" s="86"/>
      <c r="G10" s="5"/>
    </row>
    <row r="11" spans="1:7" ht="13.65" customHeight="1">
      <c r="A11" s="5"/>
      <c r="B11" s="96" t="s">
        <v>1369</v>
      </c>
      <c r="C11" s="105"/>
      <c r="D11" s="96" t="s">
        <v>690</v>
      </c>
      <c r="E11" s="96" t="s">
        <v>758</v>
      </c>
      <c r="F11" s="86"/>
      <c r="G11" s="5"/>
    </row>
    <row r="12" spans="1:7" ht="13.65" customHeight="1">
      <c r="A12" s="5"/>
      <c r="B12" s="96" t="s">
        <v>1370</v>
      </c>
      <c r="C12" s="105"/>
      <c r="D12" s="96" t="s">
        <v>690</v>
      </c>
      <c r="E12" s="96" t="s">
        <v>752</v>
      </c>
      <c r="F12" s="86"/>
      <c r="G12" s="5"/>
    </row>
    <row r="13" spans="1:7" ht="13.95" customHeight="1">
      <c r="A13" s="5"/>
      <c r="B13" s="96" t="s">
        <v>1371</v>
      </c>
      <c r="C13" s="105"/>
      <c r="D13" s="96" t="s">
        <v>690</v>
      </c>
      <c r="E13" s="96" t="s">
        <v>1154</v>
      </c>
      <c r="F13" s="86"/>
      <c r="G13" s="5"/>
    </row>
    <row r="14" spans="1:7" ht="13.65" customHeight="1">
      <c r="A14" s="5"/>
      <c r="B14" s="96" t="s">
        <v>1372</v>
      </c>
      <c r="C14" s="105"/>
      <c r="D14" s="96" t="s">
        <v>690</v>
      </c>
      <c r="E14" s="96" t="s">
        <v>1133</v>
      </c>
      <c r="F14" s="86"/>
      <c r="G14" s="5"/>
    </row>
    <row r="15" spans="1:7" ht="13.65" customHeight="1">
      <c r="A15" s="5"/>
      <c r="B15" s="111" t="s">
        <v>1373</v>
      </c>
      <c r="C15" s="105"/>
      <c r="D15" s="96" t="s">
        <v>743</v>
      </c>
      <c r="E15" s="96" t="s">
        <v>724</v>
      </c>
      <c r="F15" s="86"/>
      <c r="G15" s="5"/>
    </row>
    <row r="16" spans="1:7" ht="13.95" customHeight="1">
      <c r="A16" s="5"/>
      <c r="B16" s="111" t="s">
        <v>1374</v>
      </c>
      <c r="C16" s="105"/>
      <c r="D16" s="96" t="s">
        <v>690</v>
      </c>
      <c r="E16" s="96" t="s">
        <v>761</v>
      </c>
      <c r="F16" s="86"/>
      <c r="G16" s="5"/>
    </row>
    <row r="17" spans="1:7" ht="13.65" customHeight="1">
      <c r="A17" s="5"/>
      <c r="B17" s="111" t="s">
        <v>1375</v>
      </c>
      <c r="C17" s="105"/>
      <c r="D17" s="96" t="s">
        <v>715</v>
      </c>
      <c r="E17" s="96" t="s">
        <v>1347</v>
      </c>
      <c r="F17" s="89"/>
      <c r="G17" s="5"/>
    </row>
    <row r="18" spans="1:7" ht="12" customHeight="1">
      <c r="A18" s="5"/>
      <c r="B18" s="86"/>
      <c r="C18" s="105"/>
      <c r="D18" s="86"/>
      <c r="E18" s="96" t="s">
        <v>702</v>
      </c>
      <c r="F18" s="103"/>
      <c r="G18" s="5"/>
    </row>
    <row r="19" spans="1:7" ht="12" customHeight="1">
      <c r="A19" s="3" t="s">
        <v>703</v>
      </c>
      <c r="B19" s="96" t="s">
        <v>704</v>
      </c>
      <c r="C19" s="105"/>
      <c r="D19" s="86"/>
      <c r="E19" s="86"/>
      <c r="F19" s="89"/>
      <c r="G19" s="5"/>
    </row>
    <row r="20" spans="1:7" ht="12" customHeight="1">
      <c r="A20" s="5"/>
      <c r="B20" s="86"/>
      <c r="C20" s="105"/>
      <c r="D20" s="86"/>
      <c r="E20" s="86"/>
      <c r="F20" s="89"/>
      <c r="G20" s="5"/>
    </row>
    <row r="21" spans="1:7" ht="12" customHeight="1">
      <c r="A21" s="5"/>
      <c r="B21" s="86"/>
      <c r="C21" s="105"/>
      <c r="D21" s="86"/>
      <c r="E21" s="96" t="s">
        <v>705</v>
      </c>
      <c r="F21" s="103"/>
      <c r="G21" s="5"/>
    </row>
    <row r="22" spans="1:7" ht="12" customHeight="1">
      <c r="A22" s="5"/>
      <c r="B22" s="86"/>
      <c r="C22" s="105"/>
      <c r="D22" s="86"/>
      <c r="E22" s="86"/>
      <c r="F22" s="89"/>
      <c r="G22" s="5"/>
    </row>
    <row r="23" spans="1:7" ht="12" customHeight="1">
      <c r="A23" s="3" t="s">
        <v>706</v>
      </c>
      <c r="B23" s="96" t="s">
        <v>707</v>
      </c>
      <c r="C23" s="106"/>
      <c r="D23" s="102"/>
      <c r="E23" s="102"/>
      <c r="F23" s="103"/>
      <c r="G23" s="5"/>
    </row>
    <row r="24" spans="1:7" ht="12" customHeight="1">
      <c r="A24" s="3" t="s">
        <v>708</v>
      </c>
      <c r="B24" s="92" t="s">
        <v>876</v>
      </c>
      <c r="C24" s="93"/>
      <c r="D24" s="93"/>
      <c r="E24" s="96" t="s">
        <v>710</v>
      </c>
      <c r="F24" s="103"/>
      <c r="G24" s="5"/>
    </row>
    <row r="25" spans="1:7" ht="12" customHeight="1">
      <c r="A25" s="3" t="s">
        <v>711</v>
      </c>
      <c r="B25" s="96" t="s">
        <v>712</v>
      </c>
      <c r="C25" s="102"/>
      <c r="D25" s="102"/>
      <c r="E25" s="102"/>
      <c r="F25" s="103"/>
      <c r="G25" s="5"/>
    </row>
    <row r="26" spans="1:7" ht="12" customHeight="1">
      <c r="A26" s="98"/>
      <c r="B26" s="98"/>
      <c r="C26" s="98"/>
      <c r="D26" s="98"/>
      <c r="E26" s="98"/>
      <c r="F26" s="98"/>
      <c r="G26" s="99"/>
    </row>
    <row r="27" spans="1:7" ht="12" customHeight="1">
      <c r="A27" s="50" t="s">
        <v>2370</v>
      </c>
      <c r="B27" s="38"/>
      <c r="C27" s="38"/>
      <c r="D27" s="38"/>
      <c r="E27" s="38"/>
      <c r="F27" s="38"/>
      <c r="G27" s="37"/>
    </row>
    <row r="28" spans="1:7" ht="12" customHeight="1">
      <c r="A28" s="100"/>
      <c r="B28" s="100"/>
      <c r="C28" s="100"/>
      <c r="D28" s="100"/>
      <c r="E28" s="100"/>
      <c r="F28" s="100"/>
      <c r="G28" s="95"/>
    </row>
    <row r="29" spans="1:7" ht="35.1" customHeight="1">
      <c r="A29" s="91" t="s">
        <v>762</v>
      </c>
      <c r="B29" s="91" t="s">
        <v>763</v>
      </c>
      <c r="C29" s="6" t="s">
        <v>764</v>
      </c>
      <c r="D29" s="91" t="s">
        <v>765</v>
      </c>
      <c r="E29" s="91" t="s">
        <v>766</v>
      </c>
      <c r="F29" s="108" t="s">
        <v>767</v>
      </c>
      <c r="G29" s="7" t="s">
        <v>768</v>
      </c>
    </row>
    <row r="30" spans="1:7" ht="12" customHeight="1">
      <c r="A30" s="96" t="s">
        <v>671</v>
      </c>
      <c r="B30" s="96" t="s">
        <v>672</v>
      </c>
      <c r="C30" s="5"/>
      <c r="D30" s="86"/>
      <c r="E30" s="86"/>
      <c r="F30" s="89"/>
      <c r="G30" s="87"/>
    </row>
    <row r="31" spans="1:7" ht="13.65" customHeight="1">
      <c r="A31" s="86"/>
      <c r="B31" s="96" t="s">
        <v>673</v>
      </c>
      <c r="C31" s="3" t="s">
        <v>674</v>
      </c>
      <c r="D31" s="96" t="s">
        <v>675</v>
      </c>
      <c r="E31" s="96" t="s">
        <v>1258</v>
      </c>
      <c r="F31" s="89"/>
      <c r="G31" s="87"/>
    </row>
    <row r="32" spans="1:7" ht="13.95" customHeight="1">
      <c r="A32" s="86"/>
      <c r="B32" s="96" t="s">
        <v>1368</v>
      </c>
      <c r="C32" s="3" t="s">
        <v>678</v>
      </c>
      <c r="D32" s="96" t="s">
        <v>675</v>
      </c>
      <c r="E32" s="96" t="s">
        <v>1376</v>
      </c>
      <c r="F32" s="89"/>
      <c r="G32" s="87"/>
    </row>
    <row r="33" spans="1:7" ht="13.65" customHeight="1">
      <c r="A33" s="86"/>
      <c r="B33" s="96" t="s">
        <v>751</v>
      </c>
      <c r="C33" s="3" t="s">
        <v>681</v>
      </c>
      <c r="D33" s="96" t="s">
        <v>675</v>
      </c>
      <c r="E33" s="96" t="s">
        <v>1376</v>
      </c>
      <c r="F33" s="89"/>
      <c r="G33" s="87"/>
    </row>
    <row r="34" spans="1:7" ht="13.65" customHeight="1">
      <c r="A34" s="86"/>
      <c r="B34" s="96" t="s">
        <v>683</v>
      </c>
      <c r="C34" s="3" t="s">
        <v>684</v>
      </c>
      <c r="D34" s="96" t="s">
        <v>675</v>
      </c>
      <c r="E34" s="96" t="s">
        <v>852</v>
      </c>
      <c r="F34" s="89"/>
      <c r="G34" s="87"/>
    </row>
    <row r="35" spans="1:7" ht="12" customHeight="1">
      <c r="A35" s="86"/>
      <c r="B35" s="86"/>
      <c r="C35" s="5"/>
      <c r="D35" s="86"/>
      <c r="E35" s="96" t="s">
        <v>685</v>
      </c>
      <c r="F35" s="103"/>
      <c r="G35" s="87"/>
    </row>
    <row r="36" spans="1:7" ht="12" customHeight="1">
      <c r="A36" s="96" t="s">
        <v>686</v>
      </c>
      <c r="B36" s="96" t="s">
        <v>687</v>
      </c>
      <c r="C36" s="5"/>
      <c r="D36" s="86"/>
      <c r="E36" s="86"/>
      <c r="F36" s="89"/>
      <c r="G36" s="87"/>
    </row>
    <row r="37" spans="1:7" ht="13.95" customHeight="1">
      <c r="A37" s="86"/>
      <c r="B37" s="96" t="s">
        <v>1377</v>
      </c>
      <c r="C37" s="5"/>
      <c r="D37" s="96" t="s">
        <v>896</v>
      </c>
      <c r="E37" s="96" t="s">
        <v>1129</v>
      </c>
      <c r="F37" s="89"/>
      <c r="G37" s="87"/>
    </row>
    <row r="38" spans="1:7" ht="12" customHeight="1">
      <c r="A38" s="86"/>
      <c r="B38" s="86"/>
      <c r="C38" s="5"/>
      <c r="D38" s="86"/>
      <c r="E38" s="96" t="s">
        <v>702</v>
      </c>
      <c r="F38" s="103"/>
      <c r="G38" s="87"/>
    </row>
    <row r="39" spans="1:7" ht="12" customHeight="1">
      <c r="A39" s="96" t="s">
        <v>703</v>
      </c>
      <c r="B39" s="96" t="s">
        <v>704</v>
      </c>
      <c r="C39" s="5"/>
      <c r="D39" s="86"/>
      <c r="E39" s="86"/>
      <c r="F39" s="89"/>
      <c r="G39" s="87"/>
    </row>
    <row r="40" spans="1:7" ht="12" customHeight="1">
      <c r="A40" s="86"/>
      <c r="B40" s="86"/>
      <c r="C40" s="5"/>
      <c r="D40" s="86"/>
      <c r="E40" s="86"/>
      <c r="F40" s="89"/>
      <c r="G40" s="87"/>
    </row>
    <row r="41" spans="1:7" ht="12" customHeight="1">
      <c r="A41" s="86"/>
      <c r="B41" s="86"/>
      <c r="C41" s="5"/>
      <c r="D41" s="86"/>
      <c r="E41" s="96" t="s">
        <v>705</v>
      </c>
      <c r="F41" s="103"/>
      <c r="G41" s="87"/>
    </row>
    <row r="42" spans="1:7" ht="12" customHeight="1">
      <c r="A42" s="86"/>
      <c r="B42" s="86"/>
      <c r="C42" s="5"/>
      <c r="D42" s="86"/>
      <c r="E42" s="86"/>
      <c r="F42" s="89"/>
      <c r="G42" s="87"/>
    </row>
    <row r="43" spans="1:7" ht="12" customHeight="1">
      <c r="A43" s="96" t="s">
        <v>706</v>
      </c>
      <c r="B43" s="96" t="s">
        <v>707</v>
      </c>
      <c r="C43" s="102"/>
      <c r="D43" s="102"/>
      <c r="E43" s="102"/>
      <c r="F43" s="103"/>
      <c r="G43" s="87"/>
    </row>
    <row r="44" spans="1:7" ht="12" customHeight="1">
      <c r="A44" s="96" t="s">
        <v>708</v>
      </c>
      <c r="B44" s="92" t="s">
        <v>876</v>
      </c>
      <c r="C44" s="93"/>
      <c r="D44" s="93"/>
      <c r="E44" s="96" t="s">
        <v>710</v>
      </c>
      <c r="F44" s="103"/>
      <c r="G44" s="87"/>
    </row>
    <row r="45" spans="1:7" ht="12" customHeight="1">
      <c r="A45" s="96" t="s">
        <v>711</v>
      </c>
      <c r="B45" s="96" t="s">
        <v>712</v>
      </c>
      <c r="C45" s="102"/>
      <c r="D45" s="102"/>
      <c r="E45" s="102"/>
      <c r="F45" s="103"/>
      <c r="G45" s="87"/>
    </row>
  </sheetData>
  <pageMargins left="0.7" right="0.7" top="0.75" bottom="0.75" header="0.3" footer="0.3"/>
  <pageSetup orientation="portrait" horizontalDpi="360" verticalDpi="360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126"/>
  <dimension ref="A1:G39"/>
  <sheetViews>
    <sheetView topLeftCell="A22" workbookViewId="0">
      <selection activeCell="G39" sqref="A1:G39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2371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65" customHeight="1">
      <c r="A5" s="5"/>
      <c r="B5" s="3" t="s">
        <v>673</v>
      </c>
      <c r="C5" s="3" t="s">
        <v>674</v>
      </c>
      <c r="D5" s="3" t="s">
        <v>675</v>
      </c>
      <c r="E5" s="3" t="s">
        <v>1258</v>
      </c>
      <c r="F5" s="5"/>
      <c r="G5" s="5"/>
    </row>
    <row r="6" spans="1:7" ht="13.95" customHeight="1">
      <c r="A6" s="5"/>
      <c r="B6" s="3" t="s">
        <v>1368</v>
      </c>
      <c r="C6" s="3" t="s">
        <v>678</v>
      </c>
      <c r="D6" s="3" t="s">
        <v>675</v>
      </c>
      <c r="E6" s="3" t="s">
        <v>1254</v>
      </c>
      <c r="F6" s="5"/>
      <c r="G6" s="5"/>
    </row>
    <row r="7" spans="1:7" ht="13.65" customHeight="1">
      <c r="A7" s="5"/>
      <c r="B7" s="3" t="s">
        <v>751</v>
      </c>
      <c r="C7" s="3" t="s">
        <v>681</v>
      </c>
      <c r="D7" s="3" t="s">
        <v>675</v>
      </c>
      <c r="E7" s="3" t="s">
        <v>1044</v>
      </c>
      <c r="F7" s="5"/>
      <c r="G7" s="5"/>
    </row>
    <row r="8" spans="1:7" ht="13.65" customHeight="1">
      <c r="A8" s="5"/>
      <c r="B8" s="3" t="s">
        <v>683</v>
      </c>
      <c r="C8" s="3" t="s">
        <v>684</v>
      </c>
      <c r="D8" s="3" t="s">
        <v>675</v>
      </c>
      <c r="E8" s="3" t="s">
        <v>852</v>
      </c>
      <c r="F8" s="5"/>
      <c r="G8" s="5"/>
    </row>
    <row r="9" spans="1:7" ht="12" customHeight="1">
      <c r="A9" s="5"/>
      <c r="B9" s="5"/>
      <c r="C9" s="5"/>
      <c r="D9" s="5"/>
      <c r="E9" s="2474" t="s">
        <v>685</v>
      </c>
      <c r="F9" s="2474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5" customHeight="1">
      <c r="A11" s="5"/>
      <c r="B11" s="3" t="s">
        <v>1378</v>
      </c>
      <c r="C11" s="5"/>
      <c r="D11" s="3" t="s">
        <v>896</v>
      </c>
      <c r="E11" s="3" t="s">
        <v>752</v>
      </c>
      <c r="F11" s="5"/>
      <c r="G11" s="5"/>
    </row>
    <row r="12" spans="1:7" ht="13.65" customHeight="1">
      <c r="A12" s="5"/>
      <c r="B12" s="3" t="s">
        <v>1379</v>
      </c>
      <c r="C12" s="5"/>
      <c r="D12" s="3" t="s">
        <v>896</v>
      </c>
      <c r="E12" s="3" t="s">
        <v>1380</v>
      </c>
      <c r="F12" s="5"/>
      <c r="G12" s="5"/>
    </row>
    <row r="13" spans="1:7" ht="13.95" customHeight="1">
      <c r="A13" s="5"/>
      <c r="B13" s="3" t="s">
        <v>1375</v>
      </c>
      <c r="C13" s="5"/>
      <c r="D13" s="3" t="s">
        <v>715</v>
      </c>
      <c r="E13" s="3" t="s">
        <v>757</v>
      </c>
      <c r="F13" s="5"/>
      <c r="G13" s="5"/>
    </row>
    <row r="14" spans="1:7" ht="12" customHeight="1">
      <c r="A14" s="5"/>
      <c r="B14" s="5"/>
      <c r="C14" s="5"/>
      <c r="D14" s="5"/>
      <c r="E14" s="2474" t="s">
        <v>702</v>
      </c>
      <c r="F14" s="2474"/>
      <c r="G14" s="5"/>
    </row>
    <row r="15" spans="1:7" ht="12" customHeight="1">
      <c r="A15" s="3" t="s">
        <v>703</v>
      </c>
      <c r="B15" s="3" t="s">
        <v>704</v>
      </c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2474" t="s">
        <v>705</v>
      </c>
      <c r="F17" s="2474"/>
      <c r="G17" s="5"/>
    </row>
    <row r="18" spans="1:7" ht="12" customHeight="1">
      <c r="A18" s="5"/>
      <c r="B18" s="5"/>
      <c r="C18" s="5"/>
      <c r="D18" s="5"/>
      <c r="E18" s="5"/>
      <c r="F18" s="5"/>
      <c r="G18" s="5"/>
    </row>
    <row r="19" spans="1:7" ht="12" customHeight="1">
      <c r="A19" s="3" t="s">
        <v>706</v>
      </c>
      <c r="B19" s="2474" t="s">
        <v>707</v>
      </c>
      <c r="C19" s="2474"/>
      <c r="D19" s="2474"/>
      <c r="E19" s="2474"/>
      <c r="F19" s="2474"/>
      <c r="G19" s="5"/>
    </row>
    <row r="20" spans="1:7" ht="12" customHeight="1">
      <c r="A20" s="3" t="s">
        <v>708</v>
      </c>
      <c r="B20" s="2471" t="s">
        <v>876</v>
      </c>
      <c r="C20" s="2471"/>
      <c r="D20" s="2471"/>
      <c r="E20" s="2472" t="s">
        <v>710</v>
      </c>
      <c r="F20" s="2472"/>
      <c r="G20" s="5"/>
    </row>
    <row r="21" spans="1:7" ht="12" customHeight="1">
      <c r="A21" s="3" t="s">
        <v>711</v>
      </c>
      <c r="B21" s="2473" t="s">
        <v>712</v>
      </c>
      <c r="C21" s="2473"/>
      <c r="D21" s="2473"/>
      <c r="E21" s="2473"/>
      <c r="F21" s="2473"/>
      <c r="G21" s="5"/>
    </row>
    <row r="22" spans="1:7" ht="12" customHeight="1">
      <c r="A22" s="3"/>
      <c r="B22" s="26"/>
      <c r="C22" s="26"/>
      <c r="D22" s="26"/>
      <c r="E22" s="26"/>
      <c r="F22" s="26"/>
      <c r="G22" s="5"/>
    </row>
    <row r="23" spans="1:7" ht="12" customHeight="1">
      <c r="A23" s="50" t="s">
        <v>2372</v>
      </c>
      <c r="B23" s="26"/>
      <c r="C23" s="26"/>
      <c r="D23" s="26"/>
      <c r="E23" s="26"/>
      <c r="F23" s="26"/>
      <c r="G23" s="5"/>
    </row>
    <row r="24" spans="1:7" ht="12" customHeight="1">
      <c r="A24" s="3"/>
      <c r="B24" s="26"/>
      <c r="C24" s="26"/>
      <c r="D24" s="26"/>
      <c r="E24" s="26"/>
      <c r="F24" s="26"/>
      <c r="G24" s="5"/>
    </row>
    <row r="25" spans="1:7" ht="35.1" customHeight="1">
      <c r="A25" s="6" t="s">
        <v>762</v>
      </c>
      <c r="B25" s="6" t="s">
        <v>763</v>
      </c>
      <c r="C25" s="6" t="s">
        <v>764</v>
      </c>
      <c r="D25" s="6" t="s">
        <v>765</v>
      </c>
      <c r="E25" s="6" t="s">
        <v>766</v>
      </c>
      <c r="F25" s="7" t="s">
        <v>767</v>
      </c>
      <c r="G25" s="7" t="s">
        <v>768</v>
      </c>
    </row>
    <row r="26" spans="1:7" ht="12" customHeight="1">
      <c r="A26" s="3" t="s">
        <v>671</v>
      </c>
      <c r="B26" s="3" t="s">
        <v>672</v>
      </c>
      <c r="C26" s="5"/>
      <c r="D26" s="5"/>
      <c r="E26" s="5"/>
      <c r="F26" s="5"/>
      <c r="G26" s="5"/>
    </row>
    <row r="27" spans="1:7" ht="13.65" customHeight="1">
      <c r="A27" s="5"/>
      <c r="B27" s="3" t="s">
        <v>673</v>
      </c>
      <c r="C27" s="3" t="s">
        <v>674</v>
      </c>
      <c r="D27" s="3" t="s">
        <v>675</v>
      </c>
      <c r="E27" s="3" t="s">
        <v>723</v>
      </c>
      <c r="F27" s="5"/>
      <c r="G27" s="5"/>
    </row>
    <row r="28" spans="1:7" ht="13.65" customHeight="1">
      <c r="A28" s="5"/>
      <c r="B28" s="3" t="s">
        <v>683</v>
      </c>
      <c r="C28" s="3" t="s">
        <v>684</v>
      </c>
      <c r="D28" s="3" t="s">
        <v>675</v>
      </c>
      <c r="E28" s="3" t="s">
        <v>891</v>
      </c>
      <c r="F28" s="5"/>
      <c r="G28" s="5"/>
    </row>
    <row r="29" spans="1:7" ht="12" customHeight="1">
      <c r="A29" s="5"/>
      <c r="B29" s="5"/>
      <c r="C29" s="5"/>
      <c r="D29" s="5"/>
      <c r="E29" s="2474" t="s">
        <v>685</v>
      </c>
      <c r="F29" s="2474"/>
      <c r="G29" s="5"/>
    </row>
    <row r="30" spans="1:7" ht="12" customHeight="1">
      <c r="A30" s="3" t="s">
        <v>686</v>
      </c>
      <c r="B30" s="3" t="s">
        <v>687</v>
      </c>
      <c r="C30" s="5"/>
      <c r="D30" s="5"/>
      <c r="E30" s="5"/>
      <c r="F30" s="5"/>
      <c r="G30" s="5"/>
    </row>
    <row r="31" spans="1:7" ht="13.95" customHeight="1">
      <c r="A31" s="5"/>
      <c r="B31" s="3" t="s">
        <v>1381</v>
      </c>
      <c r="C31" s="5"/>
      <c r="D31" s="3" t="s">
        <v>896</v>
      </c>
      <c r="E31" s="3" t="s">
        <v>1133</v>
      </c>
      <c r="F31" s="5"/>
      <c r="G31" s="5"/>
    </row>
    <row r="32" spans="1:7" ht="12" customHeight="1">
      <c r="A32" s="5"/>
      <c r="B32" s="5"/>
      <c r="C32" s="5"/>
      <c r="D32" s="5"/>
      <c r="E32" s="2474" t="s">
        <v>702</v>
      </c>
      <c r="F32" s="2474"/>
      <c r="G32" s="5"/>
    </row>
    <row r="33" spans="1:7" ht="12" customHeight="1">
      <c r="A33" s="3" t="s">
        <v>703</v>
      </c>
      <c r="B33" s="3" t="s">
        <v>704</v>
      </c>
      <c r="C33" s="5"/>
      <c r="D33" s="5"/>
      <c r="E33" s="5"/>
      <c r="F33" s="5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5"/>
      <c r="B35" s="5"/>
      <c r="C35" s="5"/>
      <c r="D35" s="5"/>
      <c r="E35" s="2474" t="s">
        <v>705</v>
      </c>
      <c r="F35" s="2474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3" t="s">
        <v>706</v>
      </c>
      <c r="B37" s="2474" t="s">
        <v>707</v>
      </c>
      <c r="C37" s="2474"/>
      <c r="D37" s="2474"/>
      <c r="E37" s="2474"/>
      <c r="F37" s="2474"/>
      <c r="G37" s="5"/>
    </row>
    <row r="38" spans="1:7" ht="12" customHeight="1">
      <c r="A38" s="3" t="s">
        <v>708</v>
      </c>
      <c r="B38" s="2471" t="s">
        <v>876</v>
      </c>
      <c r="C38" s="2471"/>
      <c r="D38" s="2471"/>
      <c r="E38" s="2472" t="s">
        <v>710</v>
      </c>
      <c r="F38" s="2472"/>
      <c r="G38" s="5"/>
    </row>
    <row r="39" spans="1:7" ht="12" customHeight="1">
      <c r="A39" s="3" t="s">
        <v>711</v>
      </c>
      <c r="B39" s="2473" t="s">
        <v>712</v>
      </c>
      <c r="C39" s="2473"/>
      <c r="D39" s="2473"/>
      <c r="E39" s="2473"/>
      <c r="F39" s="2473"/>
      <c r="G39" s="5"/>
    </row>
  </sheetData>
  <mergeCells count="14">
    <mergeCell ref="E9:F9"/>
    <mergeCell ref="E14:F14"/>
    <mergeCell ref="E17:F17"/>
    <mergeCell ref="B19:F19"/>
    <mergeCell ref="B20:D20"/>
    <mergeCell ref="E20:F20"/>
    <mergeCell ref="B38:D38"/>
    <mergeCell ref="E38:F38"/>
    <mergeCell ref="B39:F39"/>
    <mergeCell ref="B21:F21"/>
    <mergeCell ref="E29:F29"/>
    <mergeCell ref="E32:F32"/>
    <mergeCell ref="E35:F35"/>
    <mergeCell ref="B37:F37"/>
  </mergeCells>
  <pageMargins left="0.7" right="0.7" top="0.75" bottom="0.75" header="0.3" footer="0.3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127"/>
  <dimension ref="A1:G43"/>
  <sheetViews>
    <sheetView workbookViewId="0">
      <selection activeCell="G43" sqref="A1:G43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2373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65" customHeight="1">
      <c r="A5" s="5"/>
      <c r="B5" s="3" t="s">
        <v>673</v>
      </c>
      <c r="C5" s="3" t="s">
        <v>674</v>
      </c>
      <c r="D5" s="3" t="s">
        <v>675</v>
      </c>
      <c r="E5" s="3" t="s">
        <v>1382</v>
      </c>
      <c r="F5" s="5"/>
      <c r="G5" s="5"/>
    </row>
    <row r="6" spans="1:7" ht="13.95" customHeight="1">
      <c r="A6" s="5"/>
      <c r="B6" s="3" t="s">
        <v>1368</v>
      </c>
      <c r="C6" s="3" t="s">
        <v>678</v>
      </c>
      <c r="D6" s="3" t="s">
        <v>675</v>
      </c>
      <c r="E6" s="3" t="s">
        <v>1382</v>
      </c>
      <c r="F6" s="5"/>
      <c r="G6" s="5"/>
    </row>
    <row r="7" spans="1:7" ht="13.65" customHeight="1">
      <c r="A7" s="5"/>
      <c r="B7" s="3" t="s">
        <v>751</v>
      </c>
      <c r="C7" s="3" t="s">
        <v>681</v>
      </c>
      <c r="D7" s="3" t="s">
        <v>675</v>
      </c>
      <c r="E7" s="3" t="s">
        <v>1044</v>
      </c>
      <c r="F7" s="5"/>
      <c r="G7" s="5"/>
    </row>
    <row r="8" spans="1:7" ht="13.65" customHeight="1">
      <c r="A8" s="5"/>
      <c r="B8" s="3" t="s">
        <v>683</v>
      </c>
      <c r="C8" s="3" t="s">
        <v>684</v>
      </c>
      <c r="D8" s="3" t="s">
        <v>675</v>
      </c>
      <c r="E8" s="3" t="s">
        <v>852</v>
      </c>
      <c r="F8" s="5"/>
      <c r="G8" s="5"/>
    </row>
    <row r="9" spans="1:7" ht="12" customHeight="1">
      <c r="A9" s="5"/>
      <c r="B9" s="5"/>
      <c r="C9" s="5"/>
      <c r="D9" s="5"/>
      <c r="E9" s="2474" t="s">
        <v>685</v>
      </c>
      <c r="F9" s="2474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5" customHeight="1">
      <c r="A11" s="5"/>
      <c r="B11" s="3" t="s">
        <v>1383</v>
      </c>
      <c r="C11" s="5"/>
      <c r="D11" s="3" t="s">
        <v>896</v>
      </c>
      <c r="E11" s="3" t="s">
        <v>752</v>
      </c>
      <c r="F11" s="5"/>
      <c r="G11" s="5"/>
    </row>
    <row r="12" spans="1:7" ht="13.65" customHeight="1">
      <c r="A12" s="5"/>
      <c r="B12" s="3" t="s">
        <v>1384</v>
      </c>
      <c r="C12" s="5"/>
      <c r="D12" s="3" t="s">
        <v>690</v>
      </c>
      <c r="E12" s="3" t="s">
        <v>753</v>
      </c>
      <c r="F12" s="5"/>
      <c r="G12" s="5"/>
    </row>
    <row r="13" spans="1:7" ht="13.95" customHeight="1">
      <c r="A13" s="5"/>
      <c r="B13" s="3" t="s">
        <v>1375</v>
      </c>
      <c r="C13" s="5"/>
      <c r="D13" s="3" t="s">
        <v>715</v>
      </c>
      <c r="E13" s="3" t="s">
        <v>723</v>
      </c>
      <c r="F13" s="5"/>
      <c r="G13" s="5"/>
    </row>
    <row r="14" spans="1:7" ht="12" customHeight="1">
      <c r="A14" s="5"/>
      <c r="B14" s="5"/>
      <c r="C14" s="5"/>
      <c r="D14" s="5"/>
      <c r="E14" s="2474" t="s">
        <v>702</v>
      </c>
      <c r="F14" s="2474"/>
      <c r="G14" s="5"/>
    </row>
    <row r="15" spans="1:7" ht="12" customHeight="1">
      <c r="A15" s="3" t="s">
        <v>703</v>
      </c>
      <c r="B15" s="3" t="s">
        <v>704</v>
      </c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2474" t="s">
        <v>705</v>
      </c>
      <c r="F17" s="2474"/>
      <c r="G17" s="5"/>
    </row>
    <row r="18" spans="1:7" ht="12" customHeight="1">
      <c r="A18" s="5"/>
      <c r="B18" s="5"/>
      <c r="C18" s="5"/>
      <c r="D18" s="5"/>
      <c r="E18" s="5"/>
      <c r="F18" s="5"/>
      <c r="G18" s="5"/>
    </row>
    <row r="19" spans="1:7" ht="12" customHeight="1">
      <c r="A19" s="3" t="s">
        <v>706</v>
      </c>
      <c r="B19" s="2474" t="s">
        <v>707</v>
      </c>
      <c r="C19" s="2474"/>
      <c r="D19" s="2474"/>
      <c r="E19" s="2474"/>
      <c r="F19" s="2474"/>
      <c r="G19" s="5"/>
    </row>
    <row r="20" spans="1:7" ht="12" customHeight="1">
      <c r="A20" s="3" t="s">
        <v>708</v>
      </c>
      <c r="B20" s="2471" t="s">
        <v>876</v>
      </c>
      <c r="C20" s="2471"/>
      <c r="D20" s="2471"/>
      <c r="E20" s="2472" t="s">
        <v>710</v>
      </c>
      <c r="F20" s="2472"/>
      <c r="G20" s="5"/>
    </row>
    <row r="21" spans="1:7" ht="12" customHeight="1">
      <c r="A21" s="3" t="s">
        <v>711</v>
      </c>
      <c r="B21" s="2473" t="s">
        <v>712</v>
      </c>
      <c r="C21" s="2473"/>
      <c r="D21" s="2473"/>
      <c r="E21" s="2473"/>
      <c r="F21" s="2473"/>
      <c r="G21" s="5"/>
    </row>
    <row r="22" spans="1:7" ht="12" customHeight="1">
      <c r="A22" s="3"/>
      <c r="B22" s="26"/>
      <c r="C22" s="26"/>
      <c r="D22" s="26"/>
      <c r="E22" s="26"/>
      <c r="F22" s="26"/>
      <c r="G22" s="5"/>
    </row>
    <row r="23" spans="1:7" ht="12" customHeight="1">
      <c r="A23" s="55" t="s">
        <v>2374</v>
      </c>
      <c r="B23" s="26"/>
      <c r="C23" s="26"/>
      <c r="D23" s="26"/>
      <c r="E23" s="26"/>
      <c r="F23" s="26"/>
      <c r="G23" s="5"/>
    </row>
    <row r="24" spans="1:7" ht="12" customHeight="1">
      <c r="A24" s="3"/>
      <c r="B24" s="26"/>
      <c r="C24" s="26"/>
      <c r="D24" s="26"/>
      <c r="E24" s="26"/>
      <c r="F24" s="26"/>
      <c r="G24" s="5"/>
    </row>
    <row r="25" spans="1:7" ht="35.1" customHeight="1">
      <c r="A25" s="6" t="s">
        <v>762</v>
      </c>
      <c r="B25" s="6" t="s">
        <v>763</v>
      </c>
      <c r="C25" s="6" t="s">
        <v>764</v>
      </c>
      <c r="D25" s="6" t="s">
        <v>765</v>
      </c>
      <c r="E25" s="6" t="s">
        <v>766</v>
      </c>
      <c r="F25" s="7" t="s">
        <v>767</v>
      </c>
      <c r="G25" s="7" t="s">
        <v>768</v>
      </c>
    </row>
    <row r="26" spans="1:7" ht="12" customHeight="1">
      <c r="A26" s="3" t="s">
        <v>671</v>
      </c>
      <c r="B26" s="3" t="s">
        <v>672</v>
      </c>
      <c r="C26" s="5"/>
      <c r="D26" s="5"/>
      <c r="E26" s="5"/>
      <c r="F26" s="5"/>
      <c r="G26" s="5"/>
    </row>
    <row r="27" spans="1:7" ht="13.65" customHeight="1">
      <c r="A27" s="5"/>
      <c r="B27" s="3" t="s">
        <v>673</v>
      </c>
      <c r="C27" s="3" t="s">
        <v>674</v>
      </c>
      <c r="D27" s="3" t="s">
        <v>675</v>
      </c>
      <c r="E27" s="3" t="s">
        <v>728</v>
      </c>
      <c r="F27" s="5"/>
      <c r="G27" s="5"/>
    </row>
    <row r="28" spans="1:7" ht="13.95" customHeight="1">
      <c r="A28" s="5"/>
      <c r="B28" s="3" t="s">
        <v>1368</v>
      </c>
      <c r="C28" s="3" t="s">
        <v>678</v>
      </c>
      <c r="D28" s="3" t="s">
        <v>675</v>
      </c>
      <c r="E28" s="3" t="s">
        <v>1376</v>
      </c>
      <c r="F28" s="5"/>
      <c r="G28" s="5"/>
    </row>
    <row r="29" spans="1:7" ht="13.65" customHeight="1">
      <c r="A29" s="5"/>
      <c r="B29" s="3" t="s">
        <v>751</v>
      </c>
      <c r="C29" s="3" t="s">
        <v>681</v>
      </c>
      <c r="D29" s="3" t="s">
        <v>675</v>
      </c>
      <c r="E29" s="3" t="s">
        <v>1385</v>
      </c>
      <c r="F29" s="5"/>
      <c r="G29" s="5"/>
    </row>
    <row r="30" spans="1:7" ht="13.65" customHeight="1">
      <c r="A30" s="5"/>
      <c r="B30" s="3" t="s">
        <v>683</v>
      </c>
      <c r="C30" s="3" t="s">
        <v>684</v>
      </c>
      <c r="D30" s="3" t="s">
        <v>675</v>
      </c>
      <c r="E30" s="3" t="s">
        <v>852</v>
      </c>
      <c r="F30" s="5"/>
      <c r="G30" s="5"/>
    </row>
    <row r="31" spans="1:7" ht="12" customHeight="1">
      <c r="A31" s="5"/>
      <c r="B31" s="5"/>
      <c r="C31" s="5"/>
      <c r="D31" s="5"/>
      <c r="E31" s="2474" t="s">
        <v>685</v>
      </c>
      <c r="F31" s="2474"/>
      <c r="G31" s="5"/>
    </row>
    <row r="32" spans="1:7" ht="12" customHeight="1">
      <c r="A32" s="3" t="s">
        <v>686</v>
      </c>
      <c r="B32" s="3" t="s">
        <v>687</v>
      </c>
      <c r="C32" s="5"/>
      <c r="D32" s="5"/>
      <c r="E32" s="5"/>
      <c r="F32" s="5"/>
      <c r="G32" s="5"/>
    </row>
    <row r="33" spans="1:7" ht="13.95" customHeight="1">
      <c r="A33" s="5"/>
      <c r="B33" s="3" t="s">
        <v>1370</v>
      </c>
      <c r="C33" s="5"/>
      <c r="D33" s="3" t="s">
        <v>690</v>
      </c>
      <c r="E33" s="3" t="s">
        <v>723</v>
      </c>
      <c r="F33" s="5"/>
      <c r="G33" s="5"/>
    </row>
    <row r="34" spans="1:7" ht="13.65" customHeight="1">
      <c r="A34" s="5"/>
      <c r="B34" s="3" t="s">
        <v>1371</v>
      </c>
      <c r="C34" s="5"/>
      <c r="D34" s="3" t="s">
        <v>690</v>
      </c>
      <c r="E34" s="3" t="s">
        <v>723</v>
      </c>
      <c r="F34" s="5"/>
      <c r="G34" s="5"/>
    </row>
    <row r="35" spans="1:7" ht="13.65" customHeight="1">
      <c r="A35" s="5"/>
      <c r="B35" s="3" t="s">
        <v>1372</v>
      </c>
      <c r="C35" s="5"/>
      <c r="D35" s="3" t="s">
        <v>690</v>
      </c>
      <c r="E35" s="3" t="s">
        <v>1113</v>
      </c>
      <c r="F35" s="5"/>
      <c r="G35" s="5"/>
    </row>
    <row r="36" spans="1:7" ht="12" customHeight="1">
      <c r="A36" s="5"/>
      <c r="B36" s="5"/>
      <c r="C36" s="5"/>
      <c r="D36" s="5"/>
      <c r="E36" s="2474" t="s">
        <v>702</v>
      </c>
      <c r="F36" s="2474"/>
      <c r="G36" s="5"/>
    </row>
    <row r="37" spans="1:7" ht="12" customHeight="1">
      <c r="A37" s="3" t="s">
        <v>703</v>
      </c>
      <c r="B37" s="3" t="s">
        <v>704</v>
      </c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5"/>
      <c r="B39" s="5"/>
      <c r="C39" s="5"/>
      <c r="D39" s="5"/>
      <c r="E39" s="2474" t="s">
        <v>705</v>
      </c>
      <c r="F39" s="2474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3" t="s">
        <v>706</v>
      </c>
      <c r="B41" s="2474" t="s">
        <v>707</v>
      </c>
      <c r="C41" s="2474"/>
      <c r="D41" s="2474"/>
      <c r="E41" s="2474"/>
      <c r="F41" s="2474"/>
      <c r="G41" s="5"/>
    </row>
    <row r="42" spans="1:7" ht="12" customHeight="1">
      <c r="A42" s="3" t="s">
        <v>708</v>
      </c>
      <c r="B42" s="2471" t="s">
        <v>876</v>
      </c>
      <c r="C42" s="2471"/>
      <c r="D42" s="2471"/>
      <c r="E42" s="2472" t="s">
        <v>710</v>
      </c>
      <c r="F42" s="2472"/>
      <c r="G42" s="5"/>
    </row>
    <row r="43" spans="1:7" ht="12" customHeight="1">
      <c r="A43" s="3" t="s">
        <v>711</v>
      </c>
      <c r="B43" s="2473" t="s">
        <v>712</v>
      </c>
      <c r="C43" s="2473"/>
      <c r="D43" s="2473"/>
      <c r="E43" s="2473"/>
      <c r="F43" s="2473"/>
      <c r="G43" s="5"/>
    </row>
  </sheetData>
  <mergeCells count="14">
    <mergeCell ref="E9:F9"/>
    <mergeCell ref="E14:F14"/>
    <mergeCell ref="E17:F17"/>
    <mergeCell ref="B19:F19"/>
    <mergeCell ref="B20:D20"/>
    <mergeCell ref="E20:F20"/>
    <mergeCell ref="B42:D42"/>
    <mergeCell ref="E42:F42"/>
    <mergeCell ref="B43:F43"/>
    <mergeCell ref="B21:F21"/>
    <mergeCell ref="E31:F31"/>
    <mergeCell ref="E36:F36"/>
    <mergeCell ref="E39:F39"/>
    <mergeCell ref="B41:F41"/>
  </mergeCells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128"/>
  <dimension ref="A1:G40"/>
  <sheetViews>
    <sheetView topLeftCell="A13" workbookViewId="0">
      <selection activeCell="G40" sqref="A1:G40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2375</v>
      </c>
    </row>
    <row r="3" spans="1:7" ht="34.950000000000003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95" customHeight="1">
      <c r="A5" s="5"/>
      <c r="B5" s="3" t="s">
        <v>673</v>
      </c>
      <c r="C5" s="3" t="s">
        <v>674</v>
      </c>
      <c r="D5" s="3" t="s">
        <v>675</v>
      </c>
      <c r="E5" s="3" t="s">
        <v>839</v>
      </c>
      <c r="F5" s="5"/>
      <c r="G5" s="5"/>
    </row>
    <row r="6" spans="1:7" ht="13.65" customHeight="1">
      <c r="A6" s="5"/>
      <c r="B6" s="3" t="s">
        <v>1368</v>
      </c>
      <c r="C6" s="3" t="s">
        <v>678</v>
      </c>
      <c r="D6" s="3" t="s">
        <v>675</v>
      </c>
      <c r="E6" s="3" t="s">
        <v>781</v>
      </c>
      <c r="F6" s="5"/>
      <c r="G6" s="5"/>
    </row>
    <row r="7" spans="1:7" ht="13.65" customHeight="1">
      <c r="A7" s="5"/>
      <c r="B7" s="3" t="s">
        <v>751</v>
      </c>
      <c r="C7" s="3" t="s">
        <v>681</v>
      </c>
      <c r="D7" s="3" t="s">
        <v>675</v>
      </c>
      <c r="E7" s="3" t="s">
        <v>976</v>
      </c>
      <c r="F7" s="5"/>
      <c r="G7" s="5"/>
    </row>
    <row r="8" spans="1:7" ht="13.95" customHeight="1">
      <c r="A8" s="5"/>
      <c r="B8" s="3" t="s">
        <v>683</v>
      </c>
      <c r="C8" s="3" t="s">
        <v>684</v>
      </c>
      <c r="D8" s="3" t="s">
        <v>675</v>
      </c>
      <c r="E8" s="3" t="s">
        <v>852</v>
      </c>
      <c r="F8" s="5"/>
      <c r="G8" s="5"/>
    </row>
    <row r="9" spans="1:7" ht="12" customHeight="1">
      <c r="A9" s="5"/>
      <c r="B9" s="5"/>
      <c r="C9" s="5"/>
      <c r="D9" s="5"/>
      <c r="E9" s="2474" t="s">
        <v>685</v>
      </c>
      <c r="F9" s="2474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65" customHeight="1">
      <c r="A11" s="5"/>
      <c r="B11" s="3" t="s">
        <v>1371</v>
      </c>
      <c r="C11" s="5"/>
      <c r="D11" s="3" t="s">
        <v>690</v>
      </c>
      <c r="E11" s="3" t="s">
        <v>726</v>
      </c>
      <c r="F11" s="5"/>
      <c r="G11" s="5"/>
    </row>
    <row r="12" spans="1:7" ht="13.65" customHeight="1">
      <c r="A12" s="5"/>
      <c r="B12" s="3" t="s">
        <v>1372</v>
      </c>
      <c r="C12" s="5"/>
      <c r="D12" s="3" t="s">
        <v>690</v>
      </c>
      <c r="E12" s="3" t="s">
        <v>1130</v>
      </c>
      <c r="F12" s="5"/>
      <c r="G12" s="5"/>
    </row>
    <row r="13" spans="1:7" ht="12" customHeight="1">
      <c r="A13" s="5"/>
      <c r="B13" s="5"/>
      <c r="C13" s="5"/>
      <c r="D13" s="5"/>
      <c r="E13" s="2474" t="s">
        <v>702</v>
      </c>
      <c r="F13" s="2474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2474" t="s">
        <v>705</v>
      </c>
      <c r="F16" s="2474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2474" t="s">
        <v>707</v>
      </c>
      <c r="C18" s="2474"/>
      <c r="D18" s="2474"/>
      <c r="E18" s="2474"/>
      <c r="F18" s="2474"/>
      <c r="G18" s="5"/>
    </row>
    <row r="19" spans="1:7" ht="12" customHeight="1">
      <c r="A19" s="3" t="s">
        <v>708</v>
      </c>
      <c r="B19" s="2471" t="s">
        <v>876</v>
      </c>
      <c r="C19" s="2471"/>
      <c r="D19" s="2471"/>
      <c r="E19" s="2472" t="s">
        <v>710</v>
      </c>
      <c r="F19" s="2472"/>
      <c r="G19" s="5"/>
    </row>
    <row r="20" spans="1:7" ht="12" customHeight="1">
      <c r="A20" s="3" t="s">
        <v>711</v>
      </c>
      <c r="B20" s="2473" t="s">
        <v>712</v>
      </c>
      <c r="C20" s="2473"/>
      <c r="D20" s="2473"/>
      <c r="E20" s="2473"/>
      <c r="F20" s="2473"/>
      <c r="G20" s="5"/>
    </row>
    <row r="21" spans="1:7" ht="12" customHeight="1">
      <c r="A21" s="3"/>
      <c r="B21" s="26"/>
      <c r="C21" s="26"/>
      <c r="D21" s="26"/>
      <c r="E21" s="26"/>
      <c r="F21" s="26"/>
      <c r="G21" s="5"/>
    </row>
    <row r="22" spans="1:7" ht="12" customHeight="1">
      <c r="A22" s="50" t="s">
        <v>2376</v>
      </c>
      <c r="B22" s="26"/>
      <c r="C22" s="26"/>
      <c r="D22" s="26"/>
      <c r="E22" s="26"/>
      <c r="F22" s="26"/>
      <c r="G22" s="5"/>
    </row>
    <row r="23" spans="1:7" ht="12" customHeight="1">
      <c r="A23" s="3"/>
      <c r="B23" s="26"/>
      <c r="C23" s="26"/>
      <c r="D23" s="26"/>
      <c r="E23" s="26"/>
      <c r="F23" s="26"/>
      <c r="G23" s="5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65" customHeight="1">
      <c r="A26" s="5"/>
      <c r="B26" s="3" t="s">
        <v>673</v>
      </c>
      <c r="C26" s="3" t="s">
        <v>674</v>
      </c>
      <c r="D26" s="3" t="s">
        <v>675</v>
      </c>
      <c r="E26" s="3" t="s">
        <v>839</v>
      </c>
      <c r="F26" s="5"/>
      <c r="G26" s="5"/>
    </row>
    <row r="27" spans="1:7" ht="13.95" customHeight="1">
      <c r="A27" s="5"/>
      <c r="B27" s="3" t="s">
        <v>1368</v>
      </c>
      <c r="C27" s="3" t="s">
        <v>678</v>
      </c>
      <c r="D27" s="3" t="s">
        <v>675</v>
      </c>
      <c r="E27" s="3" t="s">
        <v>781</v>
      </c>
      <c r="F27" s="5"/>
      <c r="G27" s="5"/>
    </row>
    <row r="28" spans="1:7" ht="13.65" customHeight="1">
      <c r="A28" s="5"/>
      <c r="B28" s="3" t="s">
        <v>751</v>
      </c>
      <c r="C28" s="3" t="s">
        <v>681</v>
      </c>
      <c r="D28" s="3" t="s">
        <v>675</v>
      </c>
      <c r="E28" s="3" t="s">
        <v>976</v>
      </c>
      <c r="F28" s="5"/>
      <c r="G28" s="5"/>
    </row>
    <row r="29" spans="1:7" ht="13.95" customHeight="1">
      <c r="A29" s="5"/>
      <c r="B29" s="3" t="s">
        <v>683</v>
      </c>
      <c r="C29" s="3" t="s">
        <v>684</v>
      </c>
      <c r="D29" s="3" t="s">
        <v>675</v>
      </c>
      <c r="E29" s="3" t="s">
        <v>852</v>
      </c>
      <c r="F29" s="5"/>
      <c r="G29" s="5"/>
    </row>
    <row r="30" spans="1:7" ht="12" customHeight="1">
      <c r="A30" s="5"/>
      <c r="B30" s="5"/>
      <c r="C30" s="5"/>
      <c r="D30" s="5"/>
      <c r="E30" s="2474" t="s">
        <v>685</v>
      </c>
      <c r="F30" s="2474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65" customHeight="1">
      <c r="A32" s="5"/>
      <c r="B32" s="3" t="s">
        <v>1386</v>
      </c>
      <c r="C32" s="5"/>
      <c r="D32" s="3" t="s">
        <v>690</v>
      </c>
      <c r="E32" s="3" t="s">
        <v>723</v>
      </c>
      <c r="F32" s="5"/>
      <c r="G32" s="5"/>
    </row>
    <row r="33" spans="1:7" ht="12" customHeight="1">
      <c r="A33" s="5"/>
      <c r="B33" s="5"/>
      <c r="C33" s="5"/>
      <c r="D33" s="5"/>
      <c r="E33" s="2474" t="s">
        <v>702</v>
      </c>
      <c r="F33" s="2474"/>
      <c r="G33" s="5"/>
    </row>
    <row r="34" spans="1:7" ht="12" customHeight="1">
      <c r="A34" s="3" t="s">
        <v>703</v>
      </c>
      <c r="B34" s="3" t="s">
        <v>704</v>
      </c>
      <c r="C34" s="5"/>
      <c r="D34" s="5"/>
      <c r="E34" s="5"/>
      <c r="F34" s="5"/>
      <c r="G34" s="5"/>
    </row>
    <row r="35" spans="1:7" ht="12" customHeight="1">
      <c r="A35" s="5"/>
      <c r="B35" s="5"/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2474" t="s">
        <v>705</v>
      </c>
      <c r="F36" s="2474"/>
      <c r="G36" s="5"/>
    </row>
    <row r="37" spans="1:7" ht="12" customHeight="1">
      <c r="A37" s="5"/>
      <c r="B37" s="5"/>
      <c r="C37" s="5"/>
      <c r="D37" s="5"/>
      <c r="E37" s="5"/>
      <c r="F37" s="5"/>
      <c r="G37" s="5"/>
    </row>
    <row r="38" spans="1:7" ht="12" customHeight="1">
      <c r="A38" s="3" t="s">
        <v>706</v>
      </c>
      <c r="B38" s="2474" t="s">
        <v>707</v>
      </c>
      <c r="C38" s="2474"/>
      <c r="D38" s="2474"/>
      <c r="E38" s="2474"/>
      <c r="F38" s="2474"/>
      <c r="G38" s="5"/>
    </row>
    <row r="39" spans="1:7" ht="12" customHeight="1">
      <c r="A39" s="3" t="s">
        <v>708</v>
      </c>
      <c r="B39" s="2471" t="s">
        <v>876</v>
      </c>
      <c r="C39" s="2471"/>
      <c r="D39" s="2471"/>
      <c r="E39" s="2472" t="s">
        <v>710</v>
      </c>
      <c r="F39" s="2472"/>
      <c r="G39" s="5"/>
    </row>
    <row r="40" spans="1:7" ht="12" customHeight="1">
      <c r="A40" s="3" t="s">
        <v>711</v>
      </c>
      <c r="B40" s="2473" t="s">
        <v>712</v>
      </c>
      <c r="C40" s="2473"/>
      <c r="D40" s="2473"/>
      <c r="E40" s="2473"/>
      <c r="F40" s="2473"/>
      <c r="G40" s="5"/>
    </row>
  </sheetData>
  <mergeCells count="14">
    <mergeCell ref="E9:F9"/>
    <mergeCell ref="E13:F13"/>
    <mergeCell ref="E16:F16"/>
    <mergeCell ref="B18:F18"/>
    <mergeCell ref="B19:D19"/>
    <mergeCell ref="E19:F19"/>
    <mergeCell ref="B39:D39"/>
    <mergeCell ref="E39:F39"/>
    <mergeCell ref="B40:F40"/>
    <mergeCell ref="B20:F20"/>
    <mergeCell ref="E30:F30"/>
    <mergeCell ref="E33:F33"/>
    <mergeCell ref="E36:F36"/>
    <mergeCell ref="B38:F38"/>
  </mergeCells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129"/>
  <dimension ref="A1:G43"/>
  <sheetViews>
    <sheetView topLeftCell="A19" workbookViewId="0">
      <selection sqref="A1:G43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2377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65" customHeight="1">
      <c r="A5" s="5"/>
      <c r="B5" s="3" t="s">
        <v>673</v>
      </c>
      <c r="C5" s="3" t="s">
        <v>674</v>
      </c>
      <c r="D5" s="3" t="s">
        <v>675</v>
      </c>
      <c r="E5" s="3" t="s">
        <v>752</v>
      </c>
      <c r="F5" s="5"/>
      <c r="G5" s="5"/>
    </row>
    <row r="6" spans="1:7" ht="13.95" customHeight="1">
      <c r="A6" s="5"/>
      <c r="B6" s="3" t="s">
        <v>1368</v>
      </c>
      <c r="C6" s="3" t="s">
        <v>678</v>
      </c>
      <c r="D6" s="3" t="s">
        <v>675</v>
      </c>
      <c r="E6" s="3" t="s">
        <v>856</v>
      </c>
      <c r="F6" s="5"/>
      <c r="G6" s="5"/>
    </row>
    <row r="7" spans="1:7" ht="13.65" customHeight="1">
      <c r="A7" s="5"/>
      <c r="B7" s="3" t="s">
        <v>751</v>
      </c>
      <c r="C7" s="3" t="s">
        <v>681</v>
      </c>
      <c r="D7" s="3" t="s">
        <v>675</v>
      </c>
      <c r="E7" s="3" t="s">
        <v>1387</v>
      </c>
      <c r="F7" s="5"/>
      <c r="G7" s="5"/>
    </row>
    <row r="8" spans="1:7" ht="13.65" customHeight="1">
      <c r="A8" s="5"/>
      <c r="B8" s="3" t="s">
        <v>683</v>
      </c>
      <c r="C8" s="3" t="s">
        <v>684</v>
      </c>
      <c r="D8" s="3" t="s">
        <v>675</v>
      </c>
      <c r="E8" s="3" t="s">
        <v>1388</v>
      </c>
      <c r="F8" s="5"/>
      <c r="G8" s="5"/>
    </row>
    <row r="9" spans="1:7" ht="12" customHeight="1">
      <c r="A9" s="5"/>
      <c r="B9" s="5"/>
      <c r="C9" s="5"/>
      <c r="D9" s="5"/>
      <c r="E9" s="2474" t="s">
        <v>685</v>
      </c>
      <c r="F9" s="2474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5" customHeight="1">
      <c r="A11" s="5"/>
      <c r="B11" s="3" t="s">
        <v>1389</v>
      </c>
      <c r="C11" s="5"/>
      <c r="D11" s="3" t="s">
        <v>690</v>
      </c>
      <c r="E11" s="3" t="s">
        <v>752</v>
      </c>
      <c r="F11" s="5"/>
      <c r="G11" s="5"/>
    </row>
    <row r="12" spans="1:7" ht="13.65" customHeight="1">
      <c r="A12" s="5"/>
      <c r="B12" s="3" t="s">
        <v>1375</v>
      </c>
      <c r="C12" s="5"/>
      <c r="D12" s="3" t="s">
        <v>715</v>
      </c>
      <c r="E12" s="3" t="s">
        <v>723</v>
      </c>
      <c r="F12" s="5"/>
      <c r="G12" s="5"/>
    </row>
    <row r="13" spans="1:7" ht="13.95" customHeight="1">
      <c r="A13" s="5"/>
      <c r="B13" s="3" t="s">
        <v>1390</v>
      </c>
      <c r="C13" s="5"/>
      <c r="D13" s="3" t="s">
        <v>1391</v>
      </c>
      <c r="E13" s="3" t="s">
        <v>1112</v>
      </c>
      <c r="F13" s="5"/>
      <c r="G13" s="5"/>
    </row>
    <row r="14" spans="1:7" ht="12" customHeight="1">
      <c r="A14" s="5"/>
      <c r="B14" s="5"/>
      <c r="C14" s="5"/>
      <c r="D14" s="5"/>
      <c r="E14" s="2474" t="s">
        <v>702</v>
      </c>
      <c r="F14" s="2474"/>
      <c r="G14" s="5"/>
    </row>
    <row r="15" spans="1:7" ht="12" customHeight="1">
      <c r="A15" s="3" t="s">
        <v>703</v>
      </c>
      <c r="B15" s="3" t="s">
        <v>704</v>
      </c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2474" t="s">
        <v>705</v>
      </c>
      <c r="F17" s="2474"/>
      <c r="G17" s="5"/>
    </row>
    <row r="18" spans="1:7" ht="12" customHeight="1">
      <c r="A18" s="5"/>
      <c r="B18" s="5"/>
      <c r="C18" s="5"/>
      <c r="D18" s="5"/>
      <c r="E18" s="5"/>
      <c r="F18" s="5"/>
      <c r="G18" s="5"/>
    </row>
    <row r="19" spans="1:7" ht="12" customHeight="1">
      <c r="A19" s="3" t="s">
        <v>706</v>
      </c>
      <c r="B19" s="2474" t="s">
        <v>707</v>
      </c>
      <c r="C19" s="2474"/>
      <c r="D19" s="2474"/>
      <c r="E19" s="2474"/>
      <c r="F19" s="2474"/>
      <c r="G19" s="5"/>
    </row>
    <row r="20" spans="1:7" ht="12" customHeight="1">
      <c r="A20" s="3" t="s">
        <v>708</v>
      </c>
      <c r="B20" s="2471" t="s">
        <v>876</v>
      </c>
      <c r="C20" s="2471"/>
      <c r="D20" s="2471"/>
      <c r="E20" s="2472" t="s">
        <v>710</v>
      </c>
      <c r="F20" s="2472"/>
      <c r="G20" s="5"/>
    </row>
    <row r="21" spans="1:7" ht="12" customHeight="1">
      <c r="A21" s="3" t="s">
        <v>711</v>
      </c>
      <c r="B21" s="2473" t="s">
        <v>712</v>
      </c>
      <c r="C21" s="2473"/>
      <c r="D21" s="2473"/>
      <c r="E21" s="2473"/>
      <c r="F21" s="2473"/>
      <c r="G21" s="5"/>
    </row>
    <row r="22" spans="1:7" ht="12" customHeight="1">
      <c r="A22" s="3"/>
      <c r="B22" s="26"/>
      <c r="C22" s="26"/>
      <c r="D22" s="26"/>
      <c r="E22" s="26"/>
      <c r="F22" s="26"/>
      <c r="G22" s="5"/>
    </row>
    <row r="23" spans="1:7" ht="12" customHeight="1">
      <c r="A23" s="50" t="s">
        <v>2378</v>
      </c>
      <c r="B23" s="26"/>
      <c r="C23" s="26"/>
      <c r="D23" s="26"/>
      <c r="E23" s="26"/>
      <c r="F23" s="26"/>
      <c r="G23" s="5"/>
    </row>
    <row r="24" spans="1:7" ht="12" customHeight="1">
      <c r="A24" s="3"/>
      <c r="B24" s="26"/>
      <c r="C24" s="26"/>
      <c r="D24" s="26"/>
      <c r="E24" s="26"/>
      <c r="F24" s="26"/>
      <c r="G24" s="5"/>
    </row>
    <row r="25" spans="1:7" ht="34.950000000000003" customHeight="1">
      <c r="A25" s="6" t="s">
        <v>762</v>
      </c>
      <c r="B25" s="6" t="s">
        <v>763</v>
      </c>
      <c r="C25" s="6" t="s">
        <v>764</v>
      </c>
      <c r="D25" s="6" t="s">
        <v>765</v>
      </c>
      <c r="E25" s="6" t="s">
        <v>766</v>
      </c>
      <c r="F25" s="7" t="s">
        <v>767</v>
      </c>
      <c r="G25" s="7" t="s">
        <v>768</v>
      </c>
    </row>
    <row r="26" spans="1:7" ht="12" customHeight="1">
      <c r="A26" s="3" t="s">
        <v>671</v>
      </c>
      <c r="B26" s="3" t="s">
        <v>672</v>
      </c>
      <c r="C26" s="5"/>
      <c r="D26" s="5"/>
      <c r="E26" s="5"/>
      <c r="F26" s="5"/>
      <c r="G26" s="5"/>
    </row>
    <row r="27" spans="1:7" ht="13.95" customHeight="1">
      <c r="A27" s="5"/>
      <c r="B27" s="3" t="s">
        <v>673</v>
      </c>
      <c r="C27" s="3" t="s">
        <v>674</v>
      </c>
      <c r="D27" s="3" t="s">
        <v>675</v>
      </c>
      <c r="E27" s="3" t="s">
        <v>1258</v>
      </c>
      <c r="F27" s="5"/>
      <c r="G27" s="5"/>
    </row>
    <row r="28" spans="1:7" ht="13.65" customHeight="1">
      <c r="A28" s="5"/>
      <c r="B28" s="3" t="s">
        <v>1368</v>
      </c>
      <c r="C28" s="3" t="s">
        <v>678</v>
      </c>
      <c r="D28" s="3" t="s">
        <v>675</v>
      </c>
      <c r="E28" s="3" t="s">
        <v>693</v>
      </c>
      <c r="F28" s="5"/>
      <c r="G28" s="5"/>
    </row>
    <row r="29" spans="1:7" ht="13.65" customHeight="1">
      <c r="A29" s="5"/>
      <c r="B29" s="3" t="s">
        <v>751</v>
      </c>
      <c r="C29" s="3" t="s">
        <v>681</v>
      </c>
      <c r="D29" s="3" t="s">
        <v>675</v>
      </c>
      <c r="E29" s="3" t="s">
        <v>1339</v>
      </c>
      <c r="F29" s="5"/>
      <c r="G29" s="5"/>
    </row>
    <row r="30" spans="1:7" ht="13.95" customHeight="1">
      <c r="A30" s="5"/>
      <c r="B30" s="3" t="s">
        <v>683</v>
      </c>
      <c r="C30" s="3" t="s">
        <v>684</v>
      </c>
      <c r="D30" s="3" t="s">
        <v>675</v>
      </c>
      <c r="E30" s="3" t="s">
        <v>1388</v>
      </c>
      <c r="F30" s="5"/>
      <c r="G30" s="5"/>
    </row>
    <row r="31" spans="1:7" ht="12" customHeight="1">
      <c r="A31" s="5"/>
      <c r="B31" s="5"/>
      <c r="C31" s="5"/>
      <c r="D31" s="5"/>
      <c r="E31" s="2474" t="s">
        <v>685</v>
      </c>
      <c r="F31" s="2474"/>
      <c r="G31" s="5"/>
    </row>
    <row r="32" spans="1:7" ht="12" customHeight="1">
      <c r="A32" s="3" t="s">
        <v>686</v>
      </c>
      <c r="B32" s="3" t="s">
        <v>687</v>
      </c>
      <c r="C32" s="5"/>
      <c r="D32" s="5"/>
      <c r="E32" s="5"/>
      <c r="F32" s="5"/>
      <c r="G32" s="5"/>
    </row>
    <row r="33" spans="1:7" ht="13.65" customHeight="1">
      <c r="A33" s="5"/>
      <c r="B33" s="3" t="s">
        <v>1389</v>
      </c>
      <c r="C33" s="5"/>
      <c r="D33" s="3" t="s">
        <v>690</v>
      </c>
      <c r="E33" s="3" t="s">
        <v>770</v>
      </c>
      <c r="F33" s="5"/>
      <c r="G33" s="5"/>
    </row>
    <row r="34" spans="1:7" ht="13.65" customHeight="1">
      <c r="A34" s="5"/>
      <c r="B34" s="3" t="s">
        <v>1375</v>
      </c>
      <c r="C34" s="5"/>
      <c r="D34" s="3" t="s">
        <v>715</v>
      </c>
      <c r="E34" s="3" t="s">
        <v>758</v>
      </c>
      <c r="F34" s="5"/>
      <c r="G34" s="5"/>
    </row>
    <row r="35" spans="1:7" ht="13.95" customHeight="1">
      <c r="A35" s="5"/>
      <c r="B35" s="3" t="s">
        <v>1390</v>
      </c>
      <c r="C35" s="5"/>
      <c r="D35" s="3" t="s">
        <v>1391</v>
      </c>
      <c r="E35" s="3" t="s">
        <v>1112</v>
      </c>
      <c r="F35" s="5"/>
      <c r="G35" s="5"/>
    </row>
    <row r="36" spans="1:7" ht="12" customHeight="1">
      <c r="A36" s="5"/>
      <c r="B36" s="5"/>
      <c r="C36" s="5"/>
      <c r="D36" s="5"/>
      <c r="E36" s="2474" t="s">
        <v>702</v>
      </c>
      <c r="F36" s="2474"/>
      <c r="G36" s="5"/>
    </row>
    <row r="37" spans="1:7" ht="12" customHeight="1">
      <c r="A37" s="3" t="s">
        <v>703</v>
      </c>
      <c r="B37" s="3" t="s">
        <v>704</v>
      </c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5"/>
      <c r="B39" s="5"/>
      <c r="C39" s="5"/>
      <c r="D39" s="5"/>
      <c r="E39" s="2474" t="s">
        <v>705</v>
      </c>
      <c r="F39" s="2474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3" t="s">
        <v>706</v>
      </c>
      <c r="B41" s="2474" t="s">
        <v>707</v>
      </c>
      <c r="C41" s="2474"/>
      <c r="D41" s="2474"/>
      <c r="E41" s="2474"/>
      <c r="F41" s="2474"/>
      <c r="G41" s="5"/>
    </row>
    <row r="42" spans="1:7" ht="12" customHeight="1">
      <c r="A42" s="3" t="s">
        <v>708</v>
      </c>
      <c r="B42" s="2471" t="s">
        <v>876</v>
      </c>
      <c r="C42" s="2471"/>
      <c r="D42" s="2471"/>
      <c r="E42" s="2472" t="s">
        <v>710</v>
      </c>
      <c r="F42" s="2472"/>
      <c r="G42" s="5"/>
    </row>
    <row r="43" spans="1:7" ht="12" customHeight="1">
      <c r="A43" s="3" t="s">
        <v>711</v>
      </c>
      <c r="B43" s="2473" t="s">
        <v>712</v>
      </c>
      <c r="C43" s="2473"/>
      <c r="D43" s="2473"/>
      <c r="E43" s="2473"/>
      <c r="F43" s="2473"/>
      <c r="G43" s="5"/>
    </row>
  </sheetData>
  <mergeCells count="14">
    <mergeCell ref="E9:F9"/>
    <mergeCell ref="E14:F14"/>
    <mergeCell ref="E17:F17"/>
    <mergeCell ref="B19:F19"/>
    <mergeCell ref="B20:D20"/>
    <mergeCell ref="E20:F20"/>
    <mergeCell ref="B42:D42"/>
    <mergeCell ref="E42:F42"/>
    <mergeCell ref="B43:F43"/>
    <mergeCell ref="B21:F21"/>
    <mergeCell ref="E31:F31"/>
    <mergeCell ref="E36:F36"/>
    <mergeCell ref="E39:F39"/>
    <mergeCell ref="B41:F41"/>
  </mergeCells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130"/>
  <dimension ref="A1:G41"/>
  <sheetViews>
    <sheetView workbookViewId="0">
      <selection activeCell="G41" sqref="A1:G41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2379</v>
      </c>
    </row>
    <row r="3" spans="1:7" ht="34.950000000000003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95" customHeight="1">
      <c r="A5" s="5"/>
      <c r="B5" s="3" t="s">
        <v>673</v>
      </c>
      <c r="C5" s="3" t="s">
        <v>674</v>
      </c>
      <c r="D5" s="3" t="s">
        <v>675</v>
      </c>
      <c r="E5" s="3" t="s">
        <v>728</v>
      </c>
      <c r="F5" s="5"/>
      <c r="G5" s="5"/>
    </row>
    <row r="6" spans="1:7" ht="13.65" customHeight="1">
      <c r="A6" s="5"/>
      <c r="B6" s="3" t="s">
        <v>1368</v>
      </c>
      <c r="C6" s="3" t="s">
        <v>678</v>
      </c>
      <c r="D6" s="3" t="s">
        <v>675</v>
      </c>
      <c r="E6" s="3" t="s">
        <v>1347</v>
      </c>
      <c r="F6" s="5"/>
      <c r="G6" s="5"/>
    </row>
    <row r="7" spans="1:7" ht="13.65" customHeight="1">
      <c r="A7" s="5"/>
      <c r="B7" s="3" t="s">
        <v>751</v>
      </c>
      <c r="C7" s="3" t="s">
        <v>681</v>
      </c>
      <c r="D7" s="3" t="s">
        <v>675</v>
      </c>
      <c r="E7" s="3" t="s">
        <v>728</v>
      </c>
      <c r="F7" s="5"/>
      <c r="G7" s="5"/>
    </row>
    <row r="8" spans="1:7" ht="13.95" customHeight="1">
      <c r="A8" s="5"/>
      <c r="B8" s="3" t="s">
        <v>683</v>
      </c>
      <c r="C8" s="3" t="s">
        <v>684</v>
      </c>
      <c r="D8" s="3" t="s">
        <v>675</v>
      </c>
      <c r="E8" s="3" t="s">
        <v>1388</v>
      </c>
      <c r="F8" s="5"/>
      <c r="G8" s="5"/>
    </row>
    <row r="9" spans="1:7" ht="12" customHeight="1">
      <c r="A9" s="5"/>
      <c r="B9" s="5"/>
      <c r="C9" s="5"/>
      <c r="D9" s="5"/>
      <c r="E9" s="2474" t="s">
        <v>685</v>
      </c>
      <c r="F9" s="2474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5" customHeight="1">
      <c r="A11" s="5"/>
      <c r="B11" s="4" t="s">
        <v>1392</v>
      </c>
      <c r="C11" s="5"/>
      <c r="D11" s="13" t="s">
        <v>1393</v>
      </c>
      <c r="E11" s="3" t="s">
        <v>1234</v>
      </c>
      <c r="F11" s="5"/>
      <c r="G11" s="5"/>
    </row>
    <row r="12" spans="1:7" ht="13.65" customHeight="1">
      <c r="A12" s="5"/>
      <c r="B12" s="3" t="s">
        <v>1158</v>
      </c>
      <c r="C12" s="5"/>
      <c r="D12" s="3" t="s">
        <v>690</v>
      </c>
      <c r="E12" s="3" t="s">
        <v>758</v>
      </c>
      <c r="F12" s="5"/>
      <c r="G12" s="5"/>
    </row>
    <row r="13" spans="1:7" ht="12" customHeight="1">
      <c r="A13" s="5"/>
      <c r="B13" s="5"/>
      <c r="C13" s="5"/>
      <c r="D13" s="5"/>
      <c r="E13" s="2474" t="s">
        <v>702</v>
      </c>
      <c r="F13" s="2474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2474" t="s">
        <v>705</v>
      </c>
      <c r="F16" s="2474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2474" t="s">
        <v>707</v>
      </c>
      <c r="C18" s="2474"/>
      <c r="D18" s="2474"/>
      <c r="E18" s="2474"/>
      <c r="F18" s="2474"/>
      <c r="G18" s="5"/>
    </row>
    <row r="19" spans="1:7" ht="12" customHeight="1">
      <c r="A19" s="3" t="s">
        <v>708</v>
      </c>
      <c r="B19" s="2471" t="s">
        <v>876</v>
      </c>
      <c r="C19" s="2471"/>
      <c r="D19" s="2471"/>
      <c r="E19" s="2472" t="s">
        <v>710</v>
      </c>
      <c r="F19" s="2472"/>
      <c r="G19" s="5"/>
    </row>
    <row r="20" spans="1:7" ht="12" customHeight="1">
      <c r="A20" s="3" t="s">
        <v>711</v>
      </c>
      <c r="B20" s="2473" t="s">
        <v>712</v>
      </c>
      <c r="C20" s="2473"/>
      <c r="D20" s="2473"/>
      <c r="E20" s="2473"/>
      <c r="F20" s="2473"/>
      <c r="G20" s="5"/>
    </row>
    <row r="21" spans="1:7" ht="12" customHeight="1">
      <c r="A21" s="3"/>
      <c r="B21" s="26"/>
      <c r="C21" s="26"/>
      <c r="D21" s="26"/>
      <c r="E21" s="26"/>
      <c r="F21" s="26"/>
      <c r="G21" s="5"/>
    </row>
    <row r="22" spans="1:7" ht="12" customHeight="1">
      <c r="A22" s="50" t="s">
        <v>2380</v>
      </c>
      <c r="B22" s="26"/>
      <c r="C22" s="26"/>
      <c r="D22" s="26"/>
      <c r="E22" s="26"/>
      <c r="F22" s="26"/>
      <c r="G22" s="5"/>
    </row>
    <row r="23" spans="1:7" ht="12" customHeight="1">
      <c r="A23" s="3"/>
      <c r="B23" s="26"/>
      <c r="C23" s="26"/>
      <c r="D23" s="26"/>
      <c r="E23" s="26"/>
      <c r="F23" s="26"/>
      <c r="G23" s="5"/>
    </row>
    <row r="24" spans="1:7" ht="34.950000000000003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95" customHeight="1">
      <c r="A26" s="5"/>
      <c r="B26" s="3" t="s">
        <v>673</v>
      </c>
      <c r="C26" s="3" t="s">
        <v>674</v>
      </c>
      <c r="D26" s="3" t="s">
        <v>675</v>
      </c>
      <c r="E26" s="3" t="s">
        <v>728</v>
      </c>
      <c r="F26" s="5"/>
      <c r="G26" s="5"/>
    </row>
    <row r="27" spans="1:7" ht="13.65" customHeight="1">
      <c r="A27" s="5"/>
      <c r="B27" s="3" t="s">
        <v>1368</v>
      </c>
      <c r="C27" s="3" t="s">
        <v>678</v>
      </c>
      <c r="D27" s="3" t="s">
        <v>675</v>
      </c>
      <c r="E27" s="3" t="s">
        <v>1347</v>
      </c>
      <c r="F27" s="5"/>
      <c r="G27" s="5"/>
    </row>
    <row r="28" spans="1:7" ht="13.65" customHeight="1">
      <c r="A28" s="5"/>
      <c r="B28" s="3" t="s">
        <v>751</v>
      </c>
      <c r="C28" s="3" t="s">
        <v>681</v>
      </c>
      <c r="D28" s="3" t="s">
        <v>675</v>
      </c>
      <c r="E28" s="3" t="s">
        <v>728</v>
      </c>
      <c r="F28" s="5"/>
      <c r="G28" s="5"/>
    </row>
    <row r="29" spans="1:7" ht="13.95" customHeight="1">
      <c r="A29" s="5"/>
      <c r="B29" s="3" t="s">
        <v>683</v>
      </c>
      <c r="C29" s="3" t="s">
        <v>684</v>
      </c>
      <c r="D29" s="3" t="s">
        <v>675</v>
      </c>
      <c r="E29" s="3" t="s">
        <v>1388</v>
      </c>
      <c r="F29" s="5"/>
      <c r="G29" s="5"/>
    </row>
    <row r="30" spans="1:7" ht="12" customHeight="1">
      <c r="A30" s="5"/>
      <c r="B30" s="5"/>
      <c r="C30" s="5"/>
      <c r="D30" s="5"/>
      <c r="E30" s="2474" t="s">
        <v>685</v>
      </c>
      <c r="F30" s="2474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65" customHeight="1">
      <c r="A32" s="5"/>
      <c r="B32" s="3" t="s">
        <v>1394</v>
      </c>
      <c r="C32" s="5"/>
      <c r="D32" s="3" t="s">
        <v>690</v>
      </c>
      <c r="E32" s="3" t="s">
        <v>723</v>
      </c>
      <c r="F32" s="5"/>
      <c r="G32" s="5"/>
    </row>
    <row r="33" spans="1:7" ht="13.65" customHeight="1">
      <c r="A33" s="5"/>
      <c r="B33" s="3" t="s">
        <v>1395</v>
      </c>
      <c r="C33" s="5"/>
      <c r="D33" s="3" t="s">
        <v>743</v>
      </c>
      <c r="E33" s="3" t="s">
        <v>724</v>
      </c>
      <c r="F33" s="5"/>
      <c r="G33" s="5"/>
    </row>
    <row r="34" spans="1:7" ht="12" customHeight="1">
      <c r="A34" s="5"/>
      <c r="B34" s="5"/>
      <c r="C34" s="5"/>
      <c r="D34" s="5"/>
      <c r="E34" s="2474" t="s">
        <v>702</v>
      </c>
      <c r="F34" s="2474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2474" t="s">
        <v>705</v>
      </c>
      <c r="F37" s="2474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2474" t="s">
        <v>707</v>
      </c>
      <c r="C39" s="2474"/>
      <c r="D39" s="2474"/>
      <c r="E39" s="2474"/>
      <c r="F39" s="2474"/>
      <c r="G39" s="5"/>
    </row>
    <row r="40" spans="1:7" ht="12" customHeight="1">
      <c r="A40" s="3" t="s">
        <v>708</v>
      </c>
      <c r="B40" s="2471" t="s">
        <v>876</v>
      </c>
      <c r="C40" s="2471"/>
      <c r="D40" s="2471"/>
      <c r="E40" s="2472" t="s">
        <v>710</v>
      </c>
      <c r="F40" s="2472"/>
      <c r="G40" s="5"/>
    </row>
    <row r="41" spans="1:7" ht="12.15" customHeight="1">
      <c r="A41" s="3" t="s">
        <v>711</v>
      </c>
      <c r="B41" s="2473" t="s">
        <v>712</v>
      </c>
      <c r="C41" s="2473"/>
      <c r="D41" s="2473"/>
      <c r="E41" s="2473"/>
      <c r="F41" s="2473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131"/>
  <dimension ref="A1:G46"/>
  <sheetViews>
    <sheetView workbookViewId="0">
      <selection activeCell="G46" sqref="A1:G46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2381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65" customHeight="1">
      <c r="A5" s="5"/>
      <c r="B5" s="3" t="s">
        <v>673</v>
      </c>
      <c r="C5" s="3" t="s">
        <v>674</v>
      </c>
      <c r="D5" s="3" t="s">
        <v>675</v>
      </c>
      <c r="E5" s="3" t="s">
        <v>1112</v>
      </c>
      <c r="F5" s="5"/>
      <c r="G5" s="5"/>
    </row>
    <row r="6" spans="1:7" ht="13.95" customHeight="1">
      <c r="A6" s="5"/>
      <c r="B6" s="3" t="s">
        <v>1368</v>
      </c>
      <c r="C6" s="3" t="s">
        <v>678</v>
      </c>
      <c r="D6" s="3" t="s">
        <v>675</v>
      </c>
      <c r="E6" s="3" t="s">
        <v>1085</v>
      </c>
      <c r="F6" s="5"/>
      <c r="G6" s="5"/>
    </row>
    <row r="7" spans="1:7" ht="13.65" customHeight="1">
      <c r="A7" s="5"/>
      <c r="B7" s="3" t="s">
        <v>751</v>
      </c>
      <c r="C7" s="3" t="s">
        <v>678</v>
      </c>
      <c r="D7" s="3" t="s">
        <v>675</v>
      </c>
      <c r="E7" s="3" t="s">
        <v>1396</v>
      </c>
      <c r="F7" s="5"/>
      <c r="G7" s="5"/>
    </row>
    <row r="8" spans="1:7" ht="13.65" customHeight="1">
      <c r="A8" s="5"/>
      <c r="B8" s="3" t="s">
        <v>683</v>
      </c>
      <c r="C8" s="3" t="s">
        <v>684</v>
      </c>
      <c r="D8" s="3" t="s">
        <v>675</v>
      </c>
      <c r="E8" s="3" t="s">
        <v>1203</v>
      </c>
      <c r="F8" s="5"/>
      <c r="G8" s="5"/>
    </row>
    <row r="9" spans="1:7" ht="12" customHeight="1">
      <c r="A9" s="5"/>
      <c r="B9" s="5"/>
      <c r="C9" s="5"/>
      <c r="D9" s="5"/>
      <c r="E9" s="2474" t="s">
        <v>685</v>
      </c>
      <c r="F9" s="2474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5" customHeight="1">
      <c r="A11" s="5"/>
      <c r="B11" s="3" t="s">
        <v>1394</v>
      </c>
      <c r="C11" s="5"/>
      <c r="D11" s="3" t="s">
        <v>690</v>
      </c>
      <c r="E11" s="3" t="s">
        <v>723</v>
      </c>
      <c r="F11" s="5"/>
      <c r="G11" s="5"/>
    </row>
    <row r="12" spans="1:7" ht="13.65" customHeight="1">
      <c r="A12" s="5"/>
      <c r="B12" s="3" t="s">
        <v>1374</v>
      </c>
      <c r="C12" s="5"/>
      <c r="D12" s="3" t="s">
        <v>896</v>
      </c>
      <c r="E12" s="3" t="s">
        <v>724</v>
      </c>
      <c r="F12" s="5"/>
      <c r="G12" s="5"/>
    </row>
    <row r="13" spans="1:7" ht="13.95" customHeight="1">
      <c r="A13" s="5"/>
      <c r="B13" s="3" t="s">
        <v>1395</v>
      </c>
      <c r="C13" s="5"/>
      <c r="D13" s="3" t="s">
        <v>743</v>
      </c>
      <c r="E13" s="3" t="s">
        <v>724</v>
      </c>
      <c r="F13" s="5"/>
      <c r="G13" s="5"/>
    </row>
    <row r="14" spans="1:7" ht="13.65" customHeight="1">
      <c r="A14" s="5"/>
      <c r="B14" s="3" t="s">
        <v>1397</v>
      </c>
      <c r="C14" s="5"/>
      <c r="D14" s="23" t="s">
        <v>815</v>
      </c>
      <c r="E14" s="3" t="s">
        <v>784</v>
      </c>
      <c r="F14" s="5"/>
      <c r="G14" s="5"/>
    </row>
    <row r="15" spans="1:7" ht="12" customHeight="1">
      <c r="A15" s="5"/>
      <c r="B15" s="5"/>
      <c r="C15" s="5"/>
      <c r="D15" s="5"/>
      <c r="E15" s="2474" t="s">
        <v>702</v>
      </c>
      <c r="F15" s="2474"/>
      <c r="G15" s="5"/>
    </row>
    <row r="16" spans="1:7" ht="12" customHeight="1">
      <c r="A16" s="3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2474" t="s">
        <v>705</v>
      </c>
      <c r="F18" s="2474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3" t="s">
        <v>706</v>
      </c>
      <c r="B20" s="2474" t="s">
        <v>707</v>
      </c>
      <c r="C20" s="2474"/>
      <c r="D20" s="2474"/>
      <c r="E20" s="2474"/>
      <c r="F20" s="2474"/>
      <c r="G20" s="5"/>
    </row>
    <row r="21" spans="1:7" ht="12" customHeight="1">
      <c r="A21" s="3" t="s">
        <v>708</v>
      </c>
      <c r="B21" s="2471" t="s">
        <v>876</v>
      </c>
      <c r="C21" s="2471"/>
      <c r="D21" s="2471"/>
      <c r="E21" s="2472" t="s">
        <v>710</v>
      </c>
      <c r="F21" s="2472"/>
      <c r="G21" s="5"/>
    </row>
    <row r="22" spans="1:7" ht="12" customHeight="1">
      <c r="A22" s="3" t="s">
        <v>711</v>
      </c>
      <c r="B22" s="2473" t="s">
        <v>712</v>
      </c>
      <c r="C22" s="2473"/>
      <c r="D22" s="2473"/>
      <c r="E22" s="2473"/>
      <c r="F22" s="2473"/>
      <c r="G22" s="5"/>
    </row>
    <row r="23" spans="1:7" ht="12" customHeight="1">
      <c r="A23" s="3"/>
      <c r="B23" s="26"/>
      <c r="C23" s="26"/>
      <c r="D23" s="26"/>
      <c r="E23" s="26"/>
      <c r="F23" s="26"/>
      <c r="G23" s="5"/>
    </row>
    <row r="24" spans="1:7" ht="12" customHeight="1">
      <c r="A24" s="50" t="s">
        <v>2382</v>
      </c>
      <c r="B24" s="26"/>
      <c r="C24" s="26"/>
      <c r="D24" s="26"/>
      <c r="E24" s="26"/>
      <c r="F24" s="26"/>
      <c r="G24" s="5"/>
    </row>
    <row r="25" spans="1:7" ht="12" customHeight="1">
      <c r="A25" s="3"/>
      <c r="B25" s="26"/>
      <c r="C25" s="26"/>
      <c r="D25" s="26"/>
      <c r="E25" s="26"/>
      <c r="F25" s="26"/>
      <c r="G25" s="5"/>
    </row>
    <row r="26" spans="1:7" ht="34.950000000000003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3" t="s">
        <v>671</v>
      </c>
      <c r="B27" s="3" t="s">
        <v>672</v>
      </c>
      <c r="C27" s="5"/>
      <c r="D27" s="5"/>
      <c r="E27" s="5"/>
      <c r="F27" s="5"/>
      <c r="G27" s="5"/>
    </row>
    <row r="28" spans="1:7" ht="13.95" customHeight="1">
      <c r="A28" s="5"/>
      <c r="B28" s="3" t="s">
        <v>673</v>
      </c>
      <c r="C28" s="3" t="s">
        <v>674</v>
      </c>
      <c r="D28" s="3" t="s">
        <v>675</v>
      </c>
      <c r="E28" s="3" t="s">
        <v>1112</v>
      </c>
      <c r="F28" s="5"/>
      <c r="G28" s="5"/>
    </row>
    <row r="29" spans="1:7" ht="13.65" customHeight="1">
      <c r="A29" s="5"/>
      <c r="B29" s="3" t="s">
        <v>1368</v>
      </c>
      <c r="C29" s="3" t="s">
        <v>678</v>
      </c>
      <c r="D29" s="3" t="s">
        <v>675</v>
      </c>
      <c r="E29" s="3" t="s">
        <v>1112</v>
      </c>
      <c r="F29" s="5"/>
      <c r="G29" s="5"/>
    </row>
    <row r="30" spans="1:7" ht="13.95" customHeight="1">
      <c r="A30" s="5"/>
      <c r="B30" s="3" t="s">
        <v>751</v>
      </c>
      <c r="C30" s="3" t="s">
        <v>681</v>
      </c>
      <c r="D30" s="3" t="s">
        <v>675</v>
      </c>
      <c r="E30" s="3" t="s">
        <v>794</v>
      </c>
      <c r="F30" s="5"/>
      <c r="G30" s="5"/>
    </row>
    <row r="31" spans="1:7" ht="13.65" customHeight="1">
      <c r="A31" s="5"/>
      <c r="B31" s="3" t="s">
        <v>683</v>
      </c>
      <c r="C31" s="3" t="s">
        <v>684</v>
      </c>
      <c r="D31" s="3" t="s">
        <v>675</v>
      </c>
      <c r="E31" s="3" t="s">
        <v>1354</v>
      </c>
      <c r="F31" s="5"/>
      <c r="G31" s="5"/>
    </row>
    <row r="32" spans="1:7" ht="12" customHeight="1">
      <c r="A32" s="5"/>
      <c r="B32" s="5"/>
      <c r="C32" s="5"/>
      <c r="D32" s="5"/>
      <c r="E32" s="2474" t="s">
        <v>685</v>
      </c>
      <c r="F32" s="2474"/>
      <c r="G32" s="5"/>
    </row>
    <row r="33" spans="1:7" ht="12" customHeight="1">
      <c r="A33" s="3" t="s">
        <v>686</v>
      </c>
      <c r="B33" s="3" t="s">
        <v>687</v>
      </c>
      <c r="C33" s="5"/>
      <c r="D33" s="5"/>
      <c r="E33" s="5"/>
      <c r="F33" s="5"/>
      <c r="G33" s="5"/>
    </row>
    <row r="34" spans="1:7" ht="13.65" customHeight="1">
      <c r="A34" s="5"/>
      <c r="B34" s="3" t="s">
        <v>1398</v>
      </c>
      <c r="C34" s="5"/>
      <c r="D34" s="3" t="s">
        <v>690</v>
      </c>
      <c r="E34" s="3" t="s">
        <v>723</v>
      </c>
      <c r="F34" s="5"/>
      <c r="G34" s="5"/>
    </row>
    <row r="35" spans="1:7" ht="13.95" customHeight="1">
      <c r="A35" s="5"/>
      <c r="B35" s="3" t="s">
        <v>1399</v>
      </c>
      <c r="C35" s="5"/>
      <c r="D35" s="3" t="s">
        <v>690</v>
      </c>
      <c r="E35" s="3" t="s">
        <v>723</v>
      </c>
      <c r="F35" s="5"/>
      <c r="G35" s="5"/>
    </row>
    <row r="36" spans="1:7" ht="13.65" customHeight="1">
      <c r="A36" s="5"/>
      <c r="B36" s="3" t="s">
        <v>1400</v>
      </c>
      <c r="C36" s="5"/>
      <c r="D36" s="3" t="s">
        <v>690</v>
      </c>
      <c r="E36" s="3" t="s">
        <v>774</v>
      </c>
      <c r="F36" s="5"/>
      <c r="G36" s="5"/>
    </row>
    <row r="37" spans="1:7" ht="13.65" customHeight="1">
      <c r="A37" s="5"/>
      <c r="B37" s="3" t="s">
        <v>1395</v>
      </c>
      <c r="C37" s="5"/>
      <c r="D37" s="3" t="s">
        <v>743</v>
      </c>
      <c r="E37" s="3" t="s">
        <v>724</v>
      </c>
      <c r="F37" s="5"/>
      <c r="G37" s="5"/>
    </row>
    <row r="38" spans="1:7" ht="13.95" customHeight="1">
      <c r="A38" s="5"/>
      <c r="B38" s="3" t="s">
        <v>1374</v>
      </c>
      <c r="C38" s="5"/>
      <c r="D38" s="3" t="s">
        <v>896</v>
      </c>
      <c r="E38" s="3" t="s">
        <v>724</v>
      </c>
      <c r="F38" s="5"/>
      <c r="G38" s="5"/>
    </row>
    <row r="39" spans="1:7" ht="12" customHeight="1">
      <c r="A39" s="5"/>
      <c r="B39" s="5"/>
      <c r="C39" s="5"/>
      <c r="D39" s="5"/>
      <c r="E39" s="2474" t="s">
        <v>702</v>
      </c>
      <c r="F39" s="2474"/>
      <c r="G39" s="5"/>
    </row>
    <row r="40" spans="1:7" ht="12" customHeight="1">
      <c r="A40" s="3" t="s">
        <v>703</v>
      </c>
      <c r="B40" s="3" t="s">
        <v>704</v>
      </c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5"/>
      <c r="F41" s="5"/>
      <c r="G41" s="5"/>
    </row>
    <row r="42" spans="1:7" ht="12" customHeight="1">
      <c r="A42" s="5"/>
      <c r="B42" s="5"/>
      <c r="C42" s="5"/>
      <c r="D42" s="5"/>
      <c r="E42" s="2474" t="s">
        <v>705</v>
      </c>
      <c r="F42" s="2474"/>
      <c r="G42" s="5"/>
    </row>
    <row r="43" spans="1:7" ht="12" customHeight="1">
      <c r="A43" s="5"/>
      <c r="B43" s="5"/>
      <c r="C43" s="5"/>
      <c r="D43" s="5"/>
      <c r="E43" s="5"/>
      <c r="F43" s="5"/>
      <c r="G43" s="5"/>
    </row>
    <row r="44" spans="1:7" ht="12" customHeight="1">
      <c r="A44" s="3" t="s">
        <v>706</v>
      </c>
      <c r="B44" s="2474" t="s">
        <v>707</v>
      </c>
      <c r="C44" s="2474"/>
      <c r="D44" s="2474"/>
      <c r="E44" s="2474"/>
      <c r="F44" s="2474"/>
      <c r="G44" s="5"/>
    </row>
    <row r="45" spans="1:7" ht="12" customHeight="1">
      <c r="A45" s="3" t="s">
        <v>708</v>
      </c>
      <c r="B45" s="2471" t="s">
        <v>876</v>
      </c>
      <c r="C45" s="2471"/>
      <c r="D45" s="2471"/>
      <c r="E45" s="2472" t="s">
        <v>710</v>
      </c>
      <c r="F45" s="2472"/>
      <c r="G45" s="5"/>
    </row>
    <row r="46" spans="1:7" ht="12" customHeight="1">
      <c r="A46" s="3" t="s">
        <v>711</v>
      </c>
      <c r="B46" s="2473" t="s">
        <v>712</v>
      </c>
      <c r="C46" s="2473"/>
      <c r="D46" s="2473"/>
      <c r="E46" s="2473"/>
      <c r="F46" s="2473"/>
      <c r="G46" s="5"/>
    </row>
  </sheetData>
  <mergeCells count="14">
    <mergeCell ref="E9:F9"/>
    <mergeCell ref="E15:F15"/>
    <mergeCell ref="E18:F18"/>
    <mergeCell ref="B20:F20"/>
    <mergeCell ref="B21:D21"/>
    <mergeCell ref="E21:F21"/>
    <mergeCell ref="B45:D45"/>
    <mergeCell ref="E45:F45"/>
    <mergeCell ref="B46:F46"/>
    <mergeCell ref="B22:F22"/>
    <mergeCell ref="E32:F32"/>
    <mergeCell ref="E39:F39"/>
    <mergeCell ref="E42:F42"/>
    <mergeCell ref="B44:F44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6"/>
  <dimension ref="A1:G42"/>
  <sheetViews>
    <sheetView workbookViewId="0">
      <selection sqref="A1:G42"/>
    </sheetView>
  </sheetViews>
  <sheetFormatPr defaultRowHeight="14.4"/>
  <cols>
    <col min="1" max="1" width="5.33203125" customWidth="1"/>
    <col min="2" max="2" width="25.33203125" customWidth="1"/>
    <col min="3" max="3" width="7" customWidth="1"/>
    <col min="4" max="4" width="10.88671875" customWidth="1"/>
    <col min="5" max="5" width="15.44140625" customWidth="1"/>
    <col min="6" max="6" width="13.88671875" customWidth="1"/>
    <col min="7" max="7" width="16" customWidth="1"/>
  </cols>
  <sheetData>
    <row r="1" spans="1:7">
      <c r="A1" s="50" t="s">
        <v>2131</v>
      </c>
    </row>
    <row r="3" spans="1:7" ht="35.1" customHeight="1">
      <c r="A3" s="6" t="s">
        <v>762</v>
      </c>
      <c r="B3" s="6" t="s">
        <v>763</v>
      </c>
      <c r="C3" s="91" t="s">
        <v>764</v>
      </c>
      <c r="D3" s="91" t="s">
        <v>765</v>
      </c>
      <c r="E3" s="91" t="s">
        <v>766</v>
      </c>
      <c r="F3" s="91" t="s">
        <v>767</v>
      </c>
      <c r="G3" s="109" t="s">
        <v>768</v>
      </c>
    </row>
    <row r="4" spans="1:7" ht="12" customHeight="1">
      <c r="A4" s="12" t="s">
        <v>671</v>
      </c>
      <c r="B4" s="3" t="s">
        <v>672</v>
      </c>
      <c r="C4" s="86"/>
      <c r="D4" s="86"/>
      <c r="E4" s="86"/>
      <c r="F4" s="5"/>
      <c r="G4" s="5"/>
    </row>
    <row r="5" spans="1:7" ht="13.65" customHeight="1">
      <c r="A5" s="5"/>
      <c r="B5" s="3" t="s">
        <v>673</v>
      </c>
      <c r="C5" s="96" t="s">
        <v>674</v>
      </c>
      <c r="D5" s="96" t="s">
        <v>675</v>
      </c>
      <c r="E5" s="96" t="s">
        <v>829</v>
      </c>
      <c r="F5" s="5"/>
      <c r="G5" s="5"/>
    </row>
    <row r="6" spans="1:7" ht="23.4" customHeight="1">
      <c r="A6" s="5"/>
      <c r="B6" s="2" t="s">
        <v>974</v>
      </c>
      <c r="C6" s="104" t="s">
        <v>943</v>
      </c>
      <c r="D6" s="104" t="s">
        <v>944</v>
      </c>
      <c r="E6" s="96" t="s">
        <v>829</v>
      </c>
      <c r="F6" s="5"/>
      <c r="G6" s="5"/>
    </row>
    <row r="7" spans="1:7" ht="13.95" customHeight="1">
      <c r="A7" s="5"/>
      <c r="B7" s="3" t="s">
        <v>751</v>
      </c>
      <c r="C7" s="96" t="s">
        <v>681</v>
      </c>
      <c r="D7" s="96" t="s">
        <v>675</v>
      </c>
      <c r="E7" s="96" t="s">
        <v>975</v>
      </c>
      <c r="F7" s="5"/>
      <c r="G7" s="5"/>
    </row>
    <row r="8" spans="1:7" ht="13.65" customHeight="1">
      <c r="A8" s="5"/>
      <c r="B8" s="3" t="s">
        <v>683</v>
      </c>
      <c r="C8" s="96" t="s">
        <v>684</v>
      </c>
      <c r="D8" s="96" t="s">
        <v>675</v>
      </c>
      <c r="E8" s="96" t="s">
        <v>976</v>
      </c>
      <c r="F8" s="5"/>
      <c r="G8" s="5"/>
    </row>
    <row r="9" spans="1:7" ht="12" customHeight="1">
      <c r="A9" s="5"/>
      <c r="B9" s="5"/>
      <c r="C9" s="86"/>
      <c r="D9" s="86"/>
      <c r="E9" s="96" t="s">
        <v>685</v>
      </c>
      <c r="F9" s="97"/>
      <c r="G9" s="5"/>
    </row>
    <row r="10" spans="1:7" ht="12" customHeight="1">
      <c r="A10" s="12" t="s">
        <v>686</v>
      </c>
      <c r="B10" s="3" t="s">
        <v>687</v>
      </c>
      <c r="C10" s="86"/>
      <c r="D10" s="86"/>
      <c r="E10" s="86"/>
      <c r="F10" s="5"/>
      <c r="G10" s="5"/>
    </row>
    <row r="11" spans="1:7" ht="13.65" customHeight="1">
      <c r="A11" s="5"/>
      <c r="B11" s="3" t="s">
        <v>969</v>
      </c>
      <c r="C11" s="87"/>
      <c r="D11" s="96" t="s">
        <v>853</v>
      </c>
      <c r="E11" s="96" t="s">
        <v>977</v>
      </c>
      <c r="F11" s="5"/>
      <c r="G11" s="5"/>
    </row>
    <row r="12" spans="1:7" ht="13.95" customHeight="1">
      <c r="A12" s="5"/>
      <c r="B12" s="3" t="s">
        <v>978</v>
      </c>
      <c r="C12" s="87"/>
      <c r="D12" s="96" t="s">
        <v>853</v>
      </c>
      <c r="E12" s="96" t="s">
        <v>979</v>
      </c>
      <c r="F12" s="5"/>
      <c r="G12" s="5"/>
    </row>
    <row r="13" spans="1:7" ht="13.65" customHeight="1">
      <c r="A13" s="5"/>
      <c r="B13" s="5"/>
      <c r="C13" s="87"/>
      <c r="D13" s="86"/>
      <c r="E13" s="96" t="s">
        <v>702</v>
      </c>
      <c r="F13" s="97"/>
      <c r="G13" s="5"/>
    </row>
    <row r="14" spans="1:7" ht="12" customHeight="1">
      <c r="A14" s="12" t="s">
        <v>703</v>
      </c>
      <c r="B14" s="3" t="s">
        <v>704</v>
      </c>
      <c r="C14" s="87"/>
      <c r="D14" s="87"/>
      <c r="E14" s="86"/>
      <c r="F14" s="5"/>
      <c r="G14" s="5"/>
    </row>
    <row r="15" spans="1:7" ht="12" customHeight="1">
      <c r="A15" s="5"/>
      <c r="B15" s="5"/>
      <c r="C15" s="87"/>
      <c r="D15" s="87"/>
      <c r="E15" s="86"/>
      <c r="F15" s="5"/>
      <c r="G15" s="5"/>
    </row>
    <row r="16" spans="1:7" ht="18" customHeight="1">
      <c r="A16" s="5"/>
      <c r="B16" s="5"/>
      <c r="C16" s="87"/>
      <c r="D16" s="87"/>
      <c r="E16" s="96" t="s">
        <v>705</v>
      </c>
      <c r="F16" s="97"/>
      <c r="G16" s="5"/>
    </row>
    <row r="17" spans="1:7" ht="12" customHeight="1">
      <c r="A17" s="5"/>
      <c r="B17" s="5"/>
      <c r="C17" s="87"/>
      <c r="D17" s="87"/>
      <c r="E17" s="86"/>
      <c r="F17" s="5"/>
      <c r="G17" s="5"/>
    </row>
    <row r="18" spans="1:7" ht="12" customHeight="1">
      <c r="A18" s="12" t="s">
        <v>706</v>
      </c>
      <c r="B18" s="96" t="s">
        <v>707</v>
      </c>
      <c r="C18" s="102"/>
      <c r="D18" s="102"/>
      <c r="E18" s="102"/>
      <c r="F18" s="97"/>
      <c r="G18" s="5"/>
    </row>
    <row r="19" spans="1:7" ht="12" customHeight="1">
      <c r="A19" s="12" t="s">
        <v>708</v>
      </c>
      <c r="B19" s="92" t="s">
        <v>876</v>
      </c>
      <c r="C19" s="93"/>
      <c r="D19" s="94"/>
      <c r="E19" s="96" t="s">
        <v>710</v>
      </c>
      <c r="F19" s="97"/>
      <c r="G19" s="5"/>
    </row>
    <row r="20" spans="1:7" ht="12" customHeight="1">
      <c r="A20" s="12" t="s">
        <v>711</v>
      </c>
      <c r="B20" s="2473" t="s">
        <v>712</v>
      </c>
      <c r="C20" s="2473"/>
      <c r="D20" s="2473"/>
      <c r="E20" s="2473"/>
      <c r="F20" s="2473"/>
      <c r="G20" s="5"/>
    </row>
    <row r="21" spans="1:7" ht="12" customHeight="1">
      <c r="A21" s="12"/>
      <c r="B21" s="26"/>
      <c r="C21" s="26"/>
      <c r="D21" s="26"/>
      <c r="E21" s="26"/>
      <c r="F21" s="26"/>
      <c r="G21" s="5"/>
    </row>
    <row r="22" spans="1:7" ht="12" customHeight="1">
      <c r="A22" s="50" t="s">
        <v>2132</v>
      </c>
      <c r="B22" s="26"/>
      <c r="C22" s="26"/>
      <c r="D22" s="26"/>
      <c r="E22" s="26"/>
      <c r="F22" s="26"/>
      <c r="G22" s="5"/>
    </row>
    <row r="23" spans="1:7" ht="12" customHeight="1">
      <c r="A23" s="12"/>
      <c r="B23" s="26"/>
      <c r="C23" s="26"/>
      <c r="D23" s="26"/>
      <c r="E23" s="26"/>
      <c r="F23" s="26"/>
      <c r="G23" s="5"/>
    </row>
    <row r="24" spans="1:7" ht="35.1" customHeight="1">
      <c r="A24" s="6" t="s">
        <v>762</v>
      </c>
      <c r="B24" s="91" t="s">
        <v>763</v>
      </c>
      <c r="C24" s="91" t="s">
        <v>764</v>
      </c>
      <c r="D24" s="91" t="s">
        <v>765</v>
      </c>
      <c r="E24" s="91" t="s">
        <v>766</v>
      </c>
      <c r="F24" s="91" t="s">
        <v>767</v>
      </c>
      <c r="G24" s="7" t="s">
        <v>768</v>
      </c>
    </row>
    <row r="25" spans="1:7" ht="12" customHeight="1">
      <c r="A25" s="12" t="s">
        <v>671</v>
      </c>
      <c r="B25" s="96" t="s">
        <v>672</v>
      </c>
      <c r="C25" s="86"/>
      <c r="D25" s="86"/>
      <c r="E25" s="86"/>
      <c r="F25" s="86"/>
      <c r="G25" s="5"/>
    </row>
    <row r="26" spans="1:7" ht="13.65" customHeight="1">
      <c r="A26" s="5"/>
      <c r="B26" s="96" t="s">
        <v>673</v>
      </c>
      <c r="C26" s="96" t="s">
        <v>674</v>
      </c>
      <c r="D26" s="96" t="s">
        <v>675</v>
      </c>
      <c r="E26" s="96" t="s">
        <v>829</v>
      </c>
      <c r="F26" s="86"/>
      <c r="G26" s="5"/>
    </row>
    <row r="27" spans="1:7" ht="23.4" customHeight="1">
      <c r="A27" s="5"/>
      <c r="B27" s="104" t="s">
        <v>980</v>
      </c>
      <c r="C27" s="104" t="s">
        <v>943</v>
      </c>
      <c r="D27" s="104" t="s">
        <v>944</v>
      </c>
      <c r="E27" s="96" t="s">
        <v>829</v>
      </c>
      <c r="F27" s="86"/>
      <c r="G27" s="5"/>
    </row>
    <row r="28" spans="1:7" ht="13.95" customHeight="1">
      <c r="A28" s="5"/>
      <c r="B28" s="96" t="s">
        <v>751</v>
      </c>
      <c r="C28" s="96" t="s">
        <v>681</v>
      </c>
      <c r="D28" s="96" t="s">
        <v>675</v>
      </c>
      <c r="E28" s="96" t="s">
        <v>695</v>
      </c>
      <c r="F28" s="86"/>
      <c r="G28" s="5"/>
    </row>
    <row r="29" spans="1:7" ht="13.65" customHeight="1">
      <c r="A29" s="5"/>
      <c r="B29" s="96" t="s">
        <v>683</v>
      </c>
      <c r="C29" s="96" t="s">
        <v>684</v>
      </c>
      <c r="D29" s="96" t="s">
        <v>675</v>
      </c>
      <c r="E29" s="96" t="s">
        <v>693</v>
      </c>
      <c r="F29" s="86"/>
      <c r="G29" s="5"/>
    </row>
    <row r="30" spans="1:7" ht="12" customHeight="1">
      <c r="A30" s="5"/>
      <c r="B30" s="86"/>
      <c r="C30" s="86"/>
      <c r="D30" s="86"/>
      <c r="E30" s="96" t="s">
        <v>685</v>
      </c>
      <c r="F30" s="102"/>
      <c r="G30" s="5"/>
    </row>
    <row r="31" spans="1:7" ht="12" customHeight="1">
      <c r="A31" s="12" t="s">
        <v>686</v>
      </c>
      <c r="B31" s="96" t="s">
        <v>687</v>
      </c>
      <c r="C31" s="86"/>
      <c r="D31" s="86"/>
      <c r="E31" s="86"/>
      <c r="F31" s="86"/>
      <c r="G31" s="5"/>
    </row>
    <row r="32" spans="1:7" ht="13.65" customHeight="1">
      <c r="A32" s="5"/>
      <c r="B32" s="96" t="s">
        <v>981</v>
      </c>
      <c r="C32" s="86"/>
      <c r="D32" s="96" t="s">
        <v>853</v>
      </c>
      <c r="E32" s="96" t="s">
        <v>977</v>
      </c>
      <c r="F32" s="86"/>
      <c r="G32" s="5"/>
    </row>
    <row r="33" spans="1:7" ht="13.95" customHeight="1">
      <c r="A33" s="5"/>
      <c r="B33" s="96" t="s">
        <v>982</v>
      </c>
      <c r="C33" s="86"/>
      <c r="D33" s="96" t="s">
        <v>853</v>
      </c>
      <c r="E33" s="96" t="s">
        <v>880</v>
      </c>
      <c r="F33" s="86"/>
      <c r="G33" s="5"/>
    </row>
    <row r="34" spans="1:7" ht="13.65" customHeight="1">
      <c r="A34" s="5"/>
      <c r="B34" s="96" t="s">
        <v>972</v>
      </c>
      <c r="C34" s="86"/>
      <c r="D34" s="96" t="s">
        <v>973</v>
      </c>
      <c r="E34" s="96" t="s">
        <v>878</v>
      </c>
      <c r="F34" s="86"/>
      <c r="G34" s="5"/>
    </row>
    <row r="35" spans="1:7" ht="13.65" customHeight="1">
      <c r="A35" s="5"/>
      <c r="B35" s="86"/>
      <c r="C35" s="86"/>
      <c r="D35" s="86"/>
      <c r="E35" s="96" t="s">
        <v>702</v>
      </c>
      <c r="F35" s="102"/>
      <c r="G35" s="5"/>
    </row>
    <row r="36" spans="1:7" ht="12" customHeight="1">
      <c r="A36" s="12" t="s">
        <v>703</v>
      </c>
      <c r="B36" s="96" t="s">
        <v>704</v>
      </c>
      <c r="C36" s="86"/>
      <c r="D36" s="86"/>
      <c r="E36" s="86"/>
      <c r="F36" s="86"/>
      <c r="G36" s="5"/>
    </row>
    <row r="37" spans="1:7" ht="12" customHeight="1">
      <c r="A37" s="5"/>
      <c r="B37" s="86"/>
      <c r="C37" s="86"/>
      <c r="D37" s="86"/>
      <c r="E37" s="86"/>
      <c r="F37" s="86"/>
      <c r="G37" s="5"/>
    </row>
    <row r="38" spans="1:7" ht="12" customHeight="1">
      <c r="A38" s="5"/>
      <c r="B38" s="86"/>
      <c r="C38" s="86"/>
      <c r="D38" s="86"/>
      <c r="E38" s="96" t="s">
        <v>705</v>
      </c>
      <c r="F38" s="102"/>
      <c r="G38" s="5"/>
    </row>
    <row r="39" spans="1:7" ht="12" customHeight="1">
      <c r="A39" s="5"/>
      <c r="B39" s="86"/>
      <c r="C39" s="86"/>
      <c r="D39" s="86"/>
      <c r="E39" s="86"/>
      <c r="F39" s="86"/>
      <c r="G39" s="5"/>
    </row>
    <row r="40" spans="1:7" ht="12" customHeight="1">
      <c r="A40" s="12" t="s">
        <v>706</v>
      </c>
      <c r="B40" s="96" t="s">
        <v>707</v>
      </c>
      <c r="C40" s="102"/>
      <c r="D40" s="102"/>
      <c r="E40" s="102"/>
      <c r="F40" s="102"/>
      <c r="G40" s="5"/>
    </row>
    <row r="41" spans="1:7" ht="12" customHeight="1">
      <c r="A41" s="12" t="s">
        <v>708</v>
      </c>
      <c r="B41" s="92" t="s">
        <v>876</v>
      </c>
      <c r="C41" s="93"/>
      <c r="D41" s="93"/>
      <c r="E41" s="96" t="s">
        <v>710</v>
      </c>
      <c r="F41" s="102"/>
      <c r="G41" s="5"/>
    </row>
    <row r="42" spans="1:7" ht="12" customHeight="1">
      <c r="A42" s="12" t="s">
        <v>711</v>
      </c>
      <c r="B42" s="96" t="s">
        <v>712</v>
      </c>
      <c r="C42" s="102"/>
      <c r="D42" s="102"/>
      <c r="E42" s="102"/>
      <c r="F42" s="97"/>
      <c r="G42" s="5"/>
    </row>
  </sheetData>
  <mergeCells count="1">
    <mergeCell ref="B20:F20"/>
  </mergeCells>
  <pageMargins left="0.7" right="0.7" top="0.75" bottom="0.75" header="0.3" footer="0.3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132"/>
  <dimension ref="A1:G45"/>
  <sheetViews>
    <sheetView workbookViewId="0">
      <selection activeCell="G45" sqref="A1:G45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5" t="s">
        <v>2383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65" customHeight="1">
      <c r="A5" s="5"/>
      <c r="B5" s="3" t="s">
        <v>673</v>
      </c>
      <c r="C5" s="3" t="s">
        <v>674</v>
      </c>
      <c r="D5" s="3" t="s">
        <v>675</v>
      </c>
      <c r="E5" s="3" t="s">
        <v>1254</v>
      </c>
      <c r="F5" s="5"/>
      <c r="G5" s="5"/>
    </row>
    <row r="6" spans="1:7" ht="13.95" customHeight="1">
      <c r="A6" s="5"/>
      <c r="B6" s="3" t="s">
        <v>1368</v>
      </c>
      <c r="C6" s="3" t="s">
        <v>678</v>
      </c>
      <c r="D6" s="3" t="s">
        <v>675</v>
      </c>
      <c r="E6" s="3" t="s">
        <v>1254</v>
      </c>
      <c r="F6" s="5"/>
      <c r="G6" s="5"/>
    </row>
    <row r="7" spans="1:7" ht="13.65" customHeight="1">
      <c r="A7" s="5"/>
      <c r="B7" s="3" t="s">
        <v>751</v>
      </c>
      <c r="C7" s="3" t="s">
        <v>681</v>
      </c>
      <c r="D7" s="3" t="s">
        <v>675</v>
      </c>
      <c r="E7" s="3" t="s">
        <v>788</v>
      </c>
      <c r="F7" s="5"/>
      <c r="G7" s="5"/>
    </row>
    <row r="8" spans="1:7" ht="13.65" customHeight="1">
      <c r="A8" s="5"/>
      <c r="B8" s="3" t="s">
        <v>683</v>
      </c>
      <c r="C8" s="3" t="s">
        <v>684</v>
      </c>
      <c r="D8" s="3" t="s">
        <v>675</v>
      </c>
      <c r="E8" s="3" t="s">
        <v>852</v>
      </c>
      <c r="F8" s="5"/>
      <c r="G8" s="5"/>
    </row>
    <row r="9" spans="1:7" ht="12" customHeight="1">
      <c r="A9" s="5"/>
      <c r="B9" s="5"/>
      <c r="C9" s="5"/>
      <c r="D9" s="5"/>
      <c r="E9" s="2474" t="s">
        <v>685</v>
      </c>
      <c r="F9" s="2474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5" customHeight="1">
      <c r="A11" s="5"/>
      <c r="B11" s="3" t="s">
        <v>1400</v>
      </c>
      <c r="C11" s="5"/>
      <c r="D11" s="3" t="s">
        <v>690</v>
      </c>
      <c r="E11" s="3" t="s">
        <v>770</v>
      </c>
      <c r="F11" s="5"/>
      <c r="G11" s="5"/>
    </row>
    <row r="12" spans="1:7" ht="13.65" customHeight="1">
      <c r="A12" s="5"/>
      <c r="B12" s="3" t="s">
        <v>1395</v>
      </c>
      <c r="C12" s="5"/>
      <c r="D12" s="3" t="s">
        <v>743</v>
      </c>
      <c r="E12" s="3" t="s">
        <v>724</v>
      </c>
      <c r="F12" s="5"/>
      <c r="G12" s="5"/>
    </row>
    <row r="13" spans="1:7" ht="13.65" customHeight="1">
      <c r="A13" s="5"/>
      <c r="B13" s="3" t="s">
        <v>1374</v>
      </c>
      <c r="C13" s="5"/>
      <c r="D13" s="3" t="s">
        <v>896</v>
      </c>
      <c r="E13" s="3" t="s">
        <v>724</v>
      </c>
      <c r="F13" s="5"/>
      <c r="G13" s="5"/>
    </row>
    <row r="14" spans="1:7" ht="12" customHeight="1">
      <c r="A14" s="5"/>
      <c r="B14" s="5"/>
      <c r="C14" s="5"/>
      <c r="D14" s="5"/>
      <c r="E14" s="2474" t="s">
        <v>702</v>
      </c>
      <c r="F14" s="2474"/>
      <c r="G14" s="5"/>
    </row>
    <row r="15" spans="1:7" ht="12" customHeight="1">
      <c r="A15" s="3" t="s">
        <v>703</v>
      </c>
      <c r="B15" s="3" t="s">
        <v>704</v>
      </c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2474" t="s">
        <v>705</v>
      </c>
      <c r="F17" s="2474"/>
      <c r="G17" s="5"/>
    </row>
    <row r="18" spans="1:7" ht="12" customHeight="1">
      <c r="A18" s="5"/>
      <c r="B18" s="5"/>
      <c r="C18" s="5"/>
      <c r="D18" s="5"/>
      <c r="E18" s="5"/>
      <c r="F18" s="5"/>
      <c r="G18" s="5"/>
    </row>
    <row r="19" spans="1:7" ht="12" customHeight="1">
      <c r="A19" s="3" t="s">
        <v>706</v>
      </c>
      <c r="B19" s="2474" t="s">
        <v>707</v>
      </c>
      <c r="C19" s="2474"/>
      <c r="D19" s="2474"/>
      <c r="E19" s="2474"/>
      <c r="F19" s="2474"/>
      <c r="G19" s="5"/>
    </row>
    <row r="20" spans="1:7" ht="12" customHeight="1">
      <c r="A20" s="3" t="s">
        <v>708</v>
      </c>
      <c r="B20" s="2471" t="s">
        <v>876</v>
      </c>
      <c r="C20" s="2471"/>
      <c r="D20" s="2471"/>
      <c r="E20" s="2472" t="s">
        <v>710</v>
      </c>
      <c r="F20" s="2472"/>
      <c r="G20" s="5"/>
    </row>
    <row r="21" spans="1:7" ht="12.15" customHeight="1">
      <c r="A21" s="3" t="s">
        <v>711</v>
      </c>
      <c r="B21" s="2473" t="s">
        <v>712</v>
      </c>
      <c r="C21" s="2473"/>
      <c r="D21" s="2473"/>
      <c r="E21" s="2473"/>
      <c r="F21" s="2473"/>
      <c r="G21" s="5"/>
    </row>
    <row r="22" spans="1:7" ht="12.15" customHeight="1">
      <c r="A22" s="3"/>
      <c r="B22" s="26"/>
      <c r="C22" s="26"/>
      <c r="D22" s="26"/>
      <c r="E22" s="26"/>
      <c r="F22" s="26"/>
      <c r="G22" s="5"/>
    </row>
    <row r="23" spans="1:7" ht="12.15" customHeight="1">
      <c r="A23" s="50" t="s">
        <v>2384</v>
      </c>
      <c r="B23" s="26"/>
      <c r="C23" s="26"/>
      <c r="D23" s="26"/>
      <c r="E23" s="26"/>
      <c r="F23" s="26"/>
      <c r="G23" s="5"/>
    </row>
    <row r="24" spans="1:7" ht="12.15" customHeight="1">
      <c r="A24" s="3"/>
      <c r="B24" s="26"/>
      <c r="C24" s="26"/>
      <c r="D24" s="26"/>
      <c r="E24" s="26"/>
      <c r="F24" s="26"/>
      <c r="G24" s="5"/>
    </row>
    <row r="25" spans="1:7" ht="35.1" customHeight="1">
      <c r="A25" s="6" t="s">
        <v>762</v>
      </c>
      <c r="B25" s="6" t="s">
        <v>763</v>
      </c>
      <c r="C25" s="6" t="s">
        <v>764</v>
      </c>
      <c r="D25" s="6" t="s">
        <v>765</v>
      </c>
      <c r="E25" s="6" t="s">
        <v>766</v>
      </c>
      <c r="F25" s="7" t="s">
        <v>767</v>
      </c>
      <c r="G25" s="7" t="s">
        <v>768</v>
      </c>
    </row>
    <row r="26" spans="1:7" ht="12" customHeight="1">
      <c r="A26" s="3" t="s">
        <v>671</v>
      </c>
      <c r="B26" s="3" t="s">
        <v>672</v>
      </c>
      <c r="C26" s="5"/>
      <c r="D26" s="5"/>
      <c r="E26" s="5"/>
      <c r="F26" s="5"/>
      <c r="G26" s="5"/>
    </row>
    <row r="27" spans="1:7" ht="13.65" customHeight="1">
      <c r="A27" s="5"/>
      <c r="B27" s="3" t="s">
        <v>673</v>
      </c>
      <c r="C27" s="3" t="s">
        <v>674</v>
      </c>
      <c r="D27" s="3" t="s">
        <v>675</v>
      </c>
      <c r="E27" s="3" t="s">
        <v>1209</v>
      </c>
      <c r="F27" s="5"/>
      <c r="G27" s="5"/>
    </row>
    <row r="28" spans="1:7" ht="13.95" customHeight="1">
      <c r="A28" s="5"/>
      <c r="B28" s="3" t="s">
        <v>1368</v>
      </c>
      <c r="C28" s="3" t="s">
        <v>678</v>
      </c>
      <c r="D28" s="3" t="s">
        <v>675</v>
      </c>
      <c r="E28" s="3" t="s">
        <v>1221</v>
      </c>
      <c r="F28" s="5"/>
      <c r="G28" s="5"/>
    </row>
    <row r="29" spans="1:7" ht="13.65" customHeight="1">
      <c r="A29" s="5"/>
      <c r="B29" s="3" t="s">
        <v>751</v>
      </c>
      <c r="C29" s="3" t="s">
        <v>681</v>
      </c>
      <c r="D29" s="3" t="s">
        <v>675</v>
      </c>
      <c r="E29" s="3" t="s">
        <v>774</v>
      </c>
      <c r="F29" s="5"/>
      <c r="G29" s="5"/>
    </row>
    <row r="30" spans="1:7" ht="13.95" customHeight="1">
      <c r="A30" s="5"/>
      <c r="B30" s="3" t="s">
        <v>683</v>
      </c>
      <c r="C30" s="3" t="s">
        <v>684</v>
      </c>
      <c r="D30" s="3" t="s">
        <v>675</v>
      </c>
      <c r="E30" s="3" t="s">
        <v>728</v>
      </c>
      <c r="F30" s="5"/>
      <c r="G30" s="5"/>
    </row>
    <row r="31" spans="1:7" ht="12" customHeight="1">
      <c r="A31" s="5"/>
      <c r="B31" s="5"/>
      <c r="C31" s="5"/>
      <c r="D31" s="5"/>
      <c r="E31" s="2474" t="s">
        <v>685</v>
      </c>
      <c r="F31" s="2474"/>
      <c r="G31" s="5"/>
    </row>
    <row r="32" spans="1:7" ht="12" customHeight="1">
      <c r="A32" s="3" t="s">
        <v>686</v>
      </c>
      <c r="B32" s="3" t="s">
        <v>687</v>
      </c>
      <c r="C32" s="5"/>
      <c r="D32" s="5"/>
      <c r="E32" s="5"/>
      <c r="F32" s="5"/>
      <c r="G32" s="5"/>
    </row>
    <row r="33" spans="1:7" ht="13.65" customHeight="1">
      <c r="A33" s="5"/>
      <c r="B33" s="3" t="s">
        <v>1371</v>
      </c>
      <c r="C33" s="5"/>
      <c r="D33" s="3" t="s">
        <v>690</v>
      </c>
      <c r="E33" s="3" t="s">
        <v>1401</v>
      </c>
      <c r="F33" s="5"/>
      <c r="G33" s="5"/>
    </row>
    <row r="34" spans="1:7" ht="13.65" customHeight="1">
      <c r="A34" s="5"/>
      <c r="B34" s="3" t="s">
        <v>1402</v>
      </c>
      <c r="C34" s="5"/>
      <c r="D34" s="3" t="s">
        <v>690</v>
      </c>
      <c r="E34" s="3" t="s">
        <v>1154</v>
      </c>
      <c r="F34" s="5"/>
      <c r="G34" s="5"/>
    </row>
    <row r="35" spans="1:7" ht="13.95" customHeight="1">
      <c r="A35" s="5"/>
      <c r="B35" s="3" t="s">
        <v>1372</v>
      </c>
      <c r="C35" s="5"/>
      <c r="D35" s="3" t="s">
        <v>690</v>
      </c>
      <c r="E35" s="3" t="s">
        <v>774</v>
      </c>
      <c r="F35" s="5"/>
      <c r="G35" s="5"/>
    </row>
    <row r="36" spans="1:7" ht="13.65" customHeight="1">
      <c r="A36" s="5"/>
      <c r="B36" s="3" t="s">
        <v>1395</v>
      </c>
      <c r="C36" s="5"/>
      <c r="D36" s="3" t="s">
        <v>743</v>
      </c>
      <c r="E36" s="3" t="s">
        <v>724</v>
      </c>
      <c r="F36" s="5"/>
      <c r="G36" s="5"/>
    </row>
    <row r="37" spans="1:7" ht="13.65" customHeight="1">
      <c r="A37" s="5"/>
      <c r="B37" s="3" t="s">
        <v>1374</v>
      </c>
      <c r="C37" s="5"/>
      <c r="D37" s="3" t="s">
        <v>896</v>
      </c>
      <c r="E37" s="3" t="s">
        <v>724</v>
      </c>
      <c r="F37" s="5"/>
      <c r="G37" s="5"/>
    </row>
    <row r="38" spans="1:7" ht="12" customHeight="1">
      <c r="A38" s="5"/>
      <c r="B38" s="5"/>
      <c r="C38" s="5"/>
      <c r="D38" s="5"/>
      <c r="E38" s="2474" t="s">
        <v>702</v>
      </c>
      <c r="F38" s="2474"/>
      <c r="G38" s="5"/>
    </row>
    <row r="39" spans="1:7" ht="12" customHeight="1">
      <c r="A39" s="3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2474" t="s">
        <v>705</v>
      </c>
      <c r="F41" s="2474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3" t="s">
        <v>706</v>
      </c>
      <c r="B43" s="2474" t="s">
        <v>707</v>
      </c>
      <c r="C43" s="2474"/>
      <c r="D43" s="2474"/>
      <c r="E43" s="2474"/>
      <c r="F43" s="2474"/>
      <c r="G43" s="5"/>
    </row>
    <row r="44" spans="1:7" ht="12" customHeight="1">
      <c r="A44" s="3" t="s">
        <v>708</v>
      </c>
      <c r="B44" s="2471" t="s">
        <v>876</v>
      </c>
      <c r="C44" s="2471"/>
      <c r="D44" s="2471"/>
      <c r="E44" s="2472" t="s">
        <v>710</v>
      </c>
      <c r="F44" s="2472"/>
      <c r="G44" s="5"/>
    </row>
    <row r="45" spans="1:7" ht="12" customHeight="1">
      <c r="A45" s="3" t="s">
        <v>711</v>
      </c>
      <c r="B45" s="2473" t="s">
        <v>712</v>
      </c>
      <c r="C45" s="2473"/>
      <c r="D45" s="2473"/>
      <c r="E45" s="2473"/>
      <c r="F45" s="2473"/>
      <c r="G45" s="5"/>
    </row>
  </sheetData>
  <mergeCells count="14">
    <mergeCell ref="E9:F9"/>
    <mergeCell ref="E14:F14"/>
    <mergeCell ref="E17:F17"/>
    <mergeCell ref="B19:F19"/>
    <mergeCell ref="B20:D20"/>
    <mergeCell ref="E20:F20"/>
    <mergeCell ref="B44:D44"/>
    <mergeCell ref="E44:F44"/>
    <mergeCell ref="B45:F45"/>
    <mergeCell ref="B21:F21"/>
    <mergeCell ref="E31:F31"/>
    <mergeCell ref="E38:F38"/>
    <mergeCell ref="E41:F41"/>
    <mergeCell ref="B43:F43"/>
  </mergeCells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133"/>
  <dimension ref="A1:G21"/>
  <sheetViews>
    <sheetView workbookViewId="0">
      <selection activeCell="G21" sqref="A1:G21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5" t="s">
        <v>2385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65" customHeight="1">
      <c r="A5" s="5"/>
      <c r="B5" s="3" t="s">
        <v>673</v>
      </c>
      <c r="C5" s="3" t="s">
        <v>674</v>
      </c>
      <c r="D5" s="3" t="s">
        <v>675</v>
      </c>
      <c r="E5" s="3" t="s">
        <v>1209</v>
      </c>
      <c r="F5" s="5"/>
      <c r="G5" s="5"/>
    </row>
    <row r="6" spans="1:7" ht="13.95" customHeight="1">
      <c r="A6" s="5"/>
      <c r="B6" s="3" t="s">
        <v>1368</v>
      </c>
      <c r="C6" s="3" t="s">
        <v>678</v>
      </c>
      <c r="D6" s="3" t="s">
        <v>675</v>
      </c>
      <c r="E6" s="3" t="s">
        <v>1132</v>
      </c>
      <c r="F6" s="5"/>
      <c r="G6" s="5"/>
    </row>
    <row r="7" spans="1:7" ht="13.65" customHeight="1">
      <c r="A7" s="5"/>
      <c r="B7" s="3" t="s">
        <v>751</v>
      </c>
      <c r="C7" s="3" t="s">
        <v>681</v>
      </c>
      <c r="D7" s="3" t="s">
        <v>675</v>
      </c>
      <c r="E7" s="3" t="s">
        <v>1256</v>
      </c>
      <c r="F7" s="5"/>
      <c r="G7" s="5"/>
    </row>
    <row r="8" spans="1:7" ht="13.65" customHeight="1">
      <c r="A8" s="5"/>
      <c r="B8" s="3" t="s">
        <v>683</v>
      </c>
      <c r="C8" s="3" t="s">
        <v>684</v>
      </c>
      <c r="D8" s="3" t="s">
        <v>675</v>
      </c>
      <c r="E8" s="3" t="s">
        <v>728</v>
      </c>
      <c r="F8" s="5"/>
      <c r="G8" s="5"/>
    </row>
    <row r="9" spans="1:7" ht="12" customHeight="1">
      <c r="A9" s="5"/>
      <c r="B9" s="5"/>
      <c r="C9" s="5"/>
      <c r="D9" s="5"/>
      <c r="E9" s="2474" t="s">
        <v>685</v>
      </c>
      <c r="F9" s="2474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5" customHeight="1">
      <c r="A11" s="5"/>
      <c r="B11" s="3" t="s">
        <v>1371</v>
      </c>
      <c r="C11" s="5"/>
      <c r="D11" s="3" t="s">
        <v>690</v>
      </c>
      <c r="E11" s="3" t="s">
        <v>770</v>
      </c>
      <c r="F11" s="5"/>
      <c r="G11" s="5"/>
    </row>
    <row r="12" spans="1:7" ht="13.65" customHeight="1">
      <c r="A12" s="5"/>
      <c r="B12" s="3" t="s">
        <v>1374</v>
      </c>
      <c r="C12" s="5"/>
      <c r="D12" s="3" t="s">
        <v>896</v>
      </c>
      <c r="E12" s="3" t="s">
        <v>724</v>
      </c>
      <c r="F12" s="5"/>
      <c r="G12" s="5"/>
    </row>
    <row r="13" spans="1:7" ht="12" customHeight="1">
      <c r="A13" s="5"/>
      <c r="B13" s="5"/>
      <c r="C13" s="5"/>
      <c r="D13" s="5"/>
      <c r="E13" s="2474" t="s">
        <v>702</v>
      </c>
      <c r="F13" s="2474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2474" t="s">
        <v>705</v>
      </c>
      <c r="F16" s="2474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2474" t="s">
        <v>707</v>
      </c>
      <c r="C18" s="2474"/>
      <c r="D18" s="2474"/>
      <c r="E18" s="2474"/>
      <c r="F18" s="2474"/>
      <c r="G18" s="5"/>
    </row>
    <row r="19" spans="1:7" ht="12" customHeight="1">
      <c r="A19" s="3" t="s">
        <v>708</v>
      </c>
      <c r="B19" s="2471" t="s">
        <v>876</v>
      </c>
      <c r="C19" s="2471"/>
      <c r="D19" s="2471"/>
      <c r="E19" s="2472" t="s">
        <v>710</v>
      </c>
      <c r="F19" s="2472"/>
      <c r="G19" s="5"/>
    </row>
    <row r="20" spans="1:7" ht="12" customHeight="1">
      <c r="A20" s="3" t="s">
        <v>711</v>
      </c>
      <c r="B20" s="2473" t="s">
        <v>712</v>
      </c>
      <c r="C20" s="2473"/>
      <c r="D20" s="2473"/>
      <c r="E20" s="2473"/>
      <c r="F20" s="2473"/>
      <c r="G20" s="5"/>
    </row>
    <row r="21" spans="1:7" ht="12" customHeight="1">
      <c r="A21" s="3"/>
      <c r="B21" s="26"/>
      <c r="C21" s="26"/>
      <c r="D21" s="26"/>
      <c r="E21" s="26"/>
      <c r="F21" s="26"/>
      <c r="G21" s="5"/>
    </row>
  </sheetData>
  <mergeCells count="7">
    <mergeCell ref="B20:F20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134">
    <tabColor rgb="FFFF0000"/>
  </sheetPr>
  <dimension ref="A1:G22"/>
  <sheetViews>
    <sheetView workbookViewId="0">
      <selection sqref="A1:G22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 ht="12" customHeight="1">
      <c r="A1" s="53" t="s">
        <v>2386</v>
      </c>
      <c r="B1" s="38"/>
      <c r="C1" s="38"/>
      <c r="D1" s="38"/>
      <c r="E1" s="38"/>
      <c r="F1" s="38"/>
      <c r="G1" s="37"/>
    </row>
    <row r="2" spans="1:7" ht="12" customHeight="1">
      <c r="A2" s="71"/>
      <c r="B2" s="38"/>
      <c r="C2" s="38"/>
      <c r="D2" s="38"/>
      <c r="E2" s="38"/>
      <c r="F2" s="38"/>
      <c r="G2" s="37"/>
    </row>
    <row r="3" spans="1:7" ht="12" customHeight="1">
      <c r="A3" s="50" t="s">
        <v>2387</v>
      </c>
      <c r="B3" s="38"/>
      <c r="C3" s="38"/>
      <c r="D3" s="38"/>
      <c r="E3" s="38"/>
      <c r="F3" s="38"/>
      <c r="G3" s="37"/>
    </row>
    <row r="4" spans="1:7" ht="12" customHeight="1">
      <c r="A4" s="100"/>
      <c r="B4" s="100"/>
      <c r="C4" s="100"/>
      <c r="D4" s="100"/>
      <c r="E4" s="100"/>
      <c r="F4" s="100"/>
      <c r="G4" s="95"/>
    </row>
    <row r="5" spans="1:7" ht="35.1" customHeight="1">
      <c r="A5" s="6" t="s">
        <v>762</v>
      </c>
      <c r="B5" s="6" t="s">
        <v>763</v>
      </c>
      <c r="C5" s="6" t="s">
        <v>764</v>
      </c>
      <c r="D5" s="6" t="s">
        <v>765</v>
      </c>
      <c r="E5" s="6" t="s">
        <v>766</v>
      </c>
      <c r="F5" s="7" t="s">
        <v>767</v>
      </c>
      <c r="G5" s="7" t="s">
        <v>768</v>
      </c>
    </row>
    <row r="6" spans="1:7" ht="12" customHeight="1">
      <c r="A6" s="12" t="s">
        <v>671</v>
      </c>
      <c r="B6" s="3" t="s">
        <v>672</v>
      </c>
      <c r="C6" s="5"/>
      <c r="D6" s="5"/>
      <c r="E6" s="5"/>
      <c r="F6" s="5"/>
      <c r="G6" s="5"/>
    </row>
    <row r="7" spans="1:7" ht="13.65" customHeight="1">
      <c r="A7" s="5"/>
      <c r="B7" s="3" t="s">
        <v>673</v>
      </c>
      <c r="C7" s="3" t="s">
        <v>674</v>
      </c>
      <c r="D7" s="12" t="s">
        <v>675</v>
      </c>
      <c r="E7" s="3" t="s">
        <v>1403</v>
      </c>
      <c r="F7" s="5"/>
      <c r="G7" s="5"/>
    </row>
    <row r="8" spans="1:7" ht="13.95" customHeight="1">
      <c r="A8" s="5"/>
      <c r="B8" s="3" t="s">
        <v>731</v>
      </c>
      <c r="C8" s="3" t="s">
        <v>678</v>
      </c>
      <c r="D8" s="5"/>
      <c r="E8" s="3" t="s">
        <v>930</v>
      </c>
      <c r="F8" s="5"/>
      <c r="G8" s="5"/>
    </row>
    <row r="9" spans="1:7" ht="13.65" customHeight="1">
      <c r="A9" s="5"/>
      <c r="B9" s="3" t="s">
        <v>751</v>
      </c>
      <c r="C9" s="3" t="s">
        <v>681</v>
      </c>
      <c r="D9" s="5"/>
      <c r="E9" s="3" t="s">
        <v>724</v>
      </c>
      <c r="F9" s="5"/>
      <c r="G9" s="5"/>
    </row>
    <row r="10" spans="1:7" ht="13.65" customHeight="1">
      <c r="A10" s="5"/>
      <c r="B10" s="3" t="s">
        <v>683</v>
      </c>
      <c r="C10" s="3" t="s">
        <v>684</v>
      </c>
      <c r="D10" s="12" t="s">
        <v>675</v>
      </c>
      <c r="E10" s="3" t="s">
        <v>1382</v>
      </c>
      <c r="F10" s="5"/>
      <c r="G10" s="5"/>
    </row>
    <row r="11" spans="1:7" ht="12" customHeight="1">
      <c r="A11" s="5"/>
      <c r="B11" s="5"/>
      <c r="C11" s="5"/>
      <c r="D11" s="5"/>
      <c r="E11" s="2474" t="s">
        <v>685</v>
      </c>
      <c r="F11" s="2474"/>
      <c r="G11" s="5"/>
    </row>
    <row r="12" spans="1:7" ht="12" customHeight="1">
      <c r="A12" s="12" t="s">
        <v>686</v>
      </c>
      <c r="B12" s="3" t="s">
        <v>687</v>
      </c>
      <c r="C12" s="5"/>
      <c r="D12" s="5"/>
      <c r="E12" s="5"/>
      <c r="F12" s="5"/>
      <c r="G12" s="5"/>
    </row>
    <row r="13" spans="1:7" ht="13.95" customHeight="1">
      <c r="A13" s="5"/>
      <c r="B13" s="3" t="s">
        <v>1404</v>
      </c>
      <c r="C13" s="5"/>
      <c r="D13" s="12" t="s">
        <v>1405</v>
      </c>
      <c r="E13" s="3" t="s">
        <v>719</v>
      </c>
      <c r="F13" s="5"/>
      <c r="G13" s="5"/>
    </row>
    <row r="14" spans="1:7" ht="13.65" customHeight="1">
      <c r="A14" s="5"/>
      <c r="B14" s="3" t="s">
        <v>1406</v>
      </c>
      <c r="C14" s="5"/>
      <c r="D14" s="12" t="s">
        <v>1011</v>
      </c>
      <c r="E14" s="3" t="s">
        <v>1407</v>
      </c>
      <c r="F14" s="5"/>
      <c r="G14" s="5"/>
    </row>
    <row r="15" spans="1:7" ht="12" customHeight="1">
      <c r="A15" s="5"/>
      <c r="B15" s="5"/>
      <c r="C15" s="5"/>
      <c r="D15" s="5"/>
      <c r="E15" s="2474" t="s">
        <v>702</v>
      </c>
      <c r="F15" s="2474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2474" t="s">
        <v>705</v>
      </c>
      <c r="F18" s="2474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2474" t="s">
        <v>707</v>
      </c>
      <c r="C20" s="2474"/>
      <c r="D20" s="2474"/>
      <c r="E20" s="2474"/>
      <c r="F20" s="2474"/>
      <c r="G20" s="5"/>
    </row>
    <row r="21" spans="1:7" ht="12" customHeight="1">
      <c r="A21" s="12" t="s">
        <v>708</v>
      </c>
      <c r="B21" s="2471" t="s">
        <v>876</v>
      </c>
      <c r="C21" s="2471"/>
      <c r="D21" s="2471"/>
      <c r="E21" s="2472" t="s">
        <v>710</v>
      </c>
      <c r="F21" s="2472"/>
      <c r="G21" s="5"/>
    </row>
    <row r="22" spans="1:7" ht="12" customHeight="1">
      <c r="A22" s="12" t="s">
        <v>711</v>
      </c>
      <c r="B22" s="2473" t="s">
        <v>712</v>
      </c>
      <c r="C22" s="2473"/>
      <c r="D22" s="2473"/>
      <c r="E22" s="2473"/>
      <c r="F22" s="2473"/>
      <c r="G22" s="5"/>
    </row>
  </sheetData>
  <mergeCells count="7">
    <mergeCell ref="B22:F22"/>
    <mergeCell ref="E11:F11"/>
    <mergeCell ref="E15:F15"/>
    <mergeCell ref="E18:F18"/>
    <mergeCell ref="B20:F20"/>
    <mergeCell ref="B21:D21"/>
    <mergeCell ref="E21:F21"/>
  </mergeCells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135"/>
  <dimension ref="A1:G44"/>
  <sheetViews>
    <sheetView topLeftCell="A25" workbookViewId="0">
      <selection activeCell="G44" sqref="A1:G44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2388</v>
      </c>
    </row>
    <row r="3" spans="1:7" ht="50.25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5"/>
      <c r="B4" s="3" t="s">
        <v>672</v>
      </c>
      <c r="C4" s="5"/>
      <c r="D4" s="5"/>
      <c r="E4" s="5"/>
      <c r="F4" s="5"/>
      <c r="G4" s="5"/>
    </row>
    <row r="5" spans="1:7" ht="13.95" customHeight="1">
      <c r="A5" s="5"/>
      <c r="B5" s="3" t="s">
        <v>673</v>
      </c>
      <c r="C5" s="3" t="s">
        <v>674</v>
      </c>
      <c r="D5" s="12" t="s">
        <v>675</v>
      </c>
      <c r="E5" s="3" t="s">
        <v>719</v>
      </c>
      <c r="F5" s="5"/>
      <c r="G5" s="5"/>
    </row>
    <row r="6" spans="1:7" ht="13.65" customHeight="1">
      <c r="A6" s="5"/>
      <c r="B6" s="3" t="s">
        <v>731</v>
      </c>
      <c r="C6" s="3" t="s">
        <v>678</v>
      </c>
      <c r="D6" s="5"/>
      <c r="E6" s="3" t="s">
        <v>750</v>
      </c>
      <c r="F6" s="5"/>
      <c r="G6" s="5"/>
    </row>
    <row r="7" spans="1:7" ht="13.65" customHeight="1">
      <c r="A7" s="5"/>
      <c r="B7" s="3" t="s">
        <v>751</v>
      </c>
      <c r="C7" s="3" t="s">
        <v>681</v>
      </c>
      <c r="D7" s="5"/>
      <c r="E7" s="3" t="s">
        <v>752</v>
      </c>
      <c r="F7" s="5"/>
      <c r="G7" s="5"/>
    </row>
    <row r="8" spans="1:7" ht="13.95" customHeight="1">
      <c r="A8" s="5"/>
      <c r="B8" s="3" t="s">
        <v>683</v>
      </c>
      <c r="C8" s="3" t="s">
        <v>684</v>
      </c>
      <c r="D8" s="12" t="s">
        <v>675</v>
      </c>
      <c r="E8" s="3" t="s">
        <v>1382</v>
      </c>
      <c r="F8" s="5"/>
      <c r="G8" s="5"/>
    </row>
    <row r="9" spans="1:7" ht="12" customHeight="1">
      <c r="A9" s="5"/>
      <c r="B9" s="5"/>
      <c r="C9" s="5"/>
      <c r="D9" s="5"/>
      <c r="E9" s="2474" t="s">
        <v>685</v>
      </c>
      <c r="F9" s="2474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65" customHeight="1">
      <c r="A11" s="5"/>
      <c r="B11" s="3" t="s">
        <v>1408</v>
      </c>
      <c r="C11" s="5"/>
      <c r="D11" s="12" t="s">
        <v>1405</v>
      </c>
      <c r="E11" s="3" t="s">
        <v>719</v>
      </c>
      <c r="F11" s="5"/>
      <c r="G11" s="5"/>
    </row>
    <row r="12" spans="1:7" ht="13.95" customHeight="1">
      <c r="A12" s="5"/>
      <c r="B12" s="3" t="s">
        <v>738</v>
      </c>
      <c r="C12" s="5"/>
      <c r="D12" s="12" t="s">
        <v>690</v>
      </c>
      <c r="E12" s="3" t="s">
        <v>1230</v>
      </c>
      <c r="F12" s="5"/>
      <c r="G12" s="5"/>
    </row>
    <row r="13" spans="1:7" ht="13.65" customHeight="1">
      <c r="A13" s="5"/>
      <c r="B13" s="3" t="s">
        <v>739</v>
      </c>
      <c r="C13" s="5"/>
      <c r="D13" s="12" t="s">
        <v>881</v>
      </c>
      <c r="E13" s="3" t="s">
        <v>724</v>
      </c>
      <c r="F13" s="5"/>
      <c r="G13" s="5"/>
    </row>
    <row r="14" spans="1:7" ht="12" customHeight="1">
      <c r="A14" s="5"/>
      <c r="B14" s="5"/>
      <c r="C14" s="5"/>
      <c r="D14" s="5"/>
      <c r="E14" s="2474" t="s">
        <v>702</v>
      </c>
      <c r="F14" s="2474"/>
      <c r="G14" s="5"/>
    </row>
    <row r="15" spans="1:7" ht="12" customHeight="1">
      <c r="A15" s="12" t="s">
        <v>703</v>
      </c>
      <c r="B15" s="3" t="s">
        <v>704</v>
      </c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2474" t="s">
        <v>705</v>
      </c>
      <c r="F17" s="2474"/>
      <c r="G17" s="5"/>
    </row>
    <row r="18" spans="1:7" ht="12" customHeight="1">
      <c r="A18" s="5"/>
      <c r="B18" s="5"/>
      <c r="C18" s="5"/>
      <c r="D18" s="5"/>
      <c r="E18" s="5"/>
      <c r="F18" s="5"/>
      <c r="G18" s="5"/>
    </row>
    <row r="19" spans="1:7" ht="12" customHeight="1">
      <c r="A19" s="12" t="s">
        <v>706</v>
      </c>
      <c r="B19" s="2474" t="s">
        <v>707</v>
      </c>
      <c r="C19" s="2474"/>
      <c r="D19" s="2474"/>
      <c r="E19" s="2474"/>
      <c r="F19" s="2474"/>
      <c r="G19" s="5"/>
    </row>
    <row r="20" spans="1:7" ht="12" customHeight="1">
      <c r="A20" s="12" t="s">
        <v>708</v>
      </c>
      <c r="B20" s="2471" t="s">
        <v>876</v>
      </c>
      <c r="C20" s="2471"/>
      <c r="D20" s="2471"/>
      <c r="E20" s="2472" t="s">
        <v>710</v>
      </c>
      <c r="F20" s="2472"/>
      <c r="G20" s="5"/>
    </row>
    <row r="21" spans="1:7" ht="12" customHeight="1">
      <c r="A21" s="12" t="s">
        <v>711</v>
      </c>
      <c r="B21" s="2473" t="s">
        <v>712</v>
      </c>
      <c r="C21" s="2473"/>
      <c r="D21" s="2473"/>
      <c r="E21" s="2473"/>
      <c r="F21" s="2473"/>
      <c r="G21" s="5"/>
    </row>
    <row r="22" spans="1:7" ht="12" customHeight="1">
      <c r="A22" s="12"/>
      <c r="B22" s="26"/>
      <c r="C22" s="26"/>
      <c r="D22" s="26"/>
      <c r="E22" s="26"/>
      <c r="F22" s="26"/>
      <c r="G22" s="5"/>
    </row>
    <row r="23" spans="1:7" ht="12" customHeight="1">
      <c r="A23" s="55" t="s">
        <v>2389</v>
      </c>
      <c r="B23" s="26"/>
      <c r="C23" s="26"/>
      <c r="D23" s="26"/>
      <c r="E23" s="26"/>
      <c r="F23" s="26"/>
      <c r="G23" s="5"/>
    </row>
    <row r="24" spans="1:7" ht="12" customHeight="1">
      <c r="A24" s="12"/>
      <c r="B24" s="26"/>
      <c r="C24" s="26"/>
      <c r="D24" s="26"/>
      <c r="E24" s="26"/>
      <c r="F24" s="26"/>
      <c r="G24" s="5"/>
    </row>
    <row r="25" spans="1:7" ht="34.950000000000003" customHeight="1">
      <c r="A25" s="6" t="s">
        <v>762</v>
      </c>
      <c r="B25" s="6" t="s">
        <v>763</v>
      </c>
      <c r="C25" s="6" t="s">
        <v>764</v>
      </c>
      <c r="D25" s="6" t="s">
        <v>765</v>
      </c>
      <c r="E25" s="6" t="s">
        <v>766</v>
      </c>
      <c r="F25" s="7" t="s">
        <v>767</v>
      </c>
      <c r="G25" s="7" t="s">
        <v>768</v>
      </c>
    </row>
    <row r="26" spans="1:7" ht="12" customHeight="1">
      <c r="A26" s="12" t="s">
        <v>671</v>
      </c>
      <c r="B26" s="3" t="s">
        <v>672</v>
      </c>
      <c r="C26" s="5"/>
      <c r="D26" s="5"/>
      <c r="E26" s="5"/>
      <c r="F26" s="5"/>
      <c r="G26" s="5"/>
    </row>
    <row r="27" spans="1:7" ht="13.95" customHeight="1">
      <c r="A27" s="5"/>
      <c r="B27" s="3" t="s">
        <v>673</v>
      </c>
      <c r="C27" s="3" t="s">
        <v>674</v>
      </c>
      <c r="D27" s="12" t="s">
        <v>675</v>
      </c>
      <c r="E27" s="3" t="s">
        <v>719</v>
      </c>
      <c r="F27" s="5"/>
      <c r="G27" s="5"/>
    </row>
    <row r="28" spans="1:7" ht="13.65" customHeight="1">
      <c r="A28" s="5"/>
      <c r="B28" s="3" t="s">
        <v>731</v>
      </c>
      <c r="C28" s="3" t="s">
        <v>678</v>
      </c>
      <c r="D28" s="5"/>
      <c r="E28" s="3" t="s">
        <v>750</v>
      </c>
      <c r="F28" s="5"/>
      <c r="G28" s="5"/>
    </row>
    <row r="29" spans="1:7" ht="13.95" customHeight="1">
      <c r="A29" s="5"/>
      <c r="B29" s="3" t="s">
        <v>751</v>
      </c>
      <c r="C29" s="3" t="s">
        <v>681</v>
      </c>
      <c r="D29" s="5"/>
      <c r="E29" s="3" t="s">
        <v>752</v>
      </c>
      <c r="F29" s="5"/>
      <c r="G29" s="5"/>
    </row>
    <row r="30" spans="1:7" ht="13.65" customHeight="1">
      <c r="A30" s="5"/>
      <c r="B30" s="3" t="s">
        <v>683</v>
      </c>
      <c r="C30" s="3" t="s">
        <v>684</v>
      </c>
      <c r="D30" s="12" t="s">
        <v>675</v>
      </c>
      <c r="E30" s="3" t="s">
        <v>753</v>
      </c>
      <c r="F30" s="5"/>
      <c r="G30" s="5"/>
    </row>
    <row r="31" spans="1:7" ht="12" customHeight="1">
      <c r="A31" s="5"/>
      <c r="B31" s="5"/>
      <c r="C31" s="5"/>
      <c r="D31" s="5"/>
      <c r="E31" s="2474" t="s">
        <v>685</v>
      </c>
      <c r="F31" s="2474"/>
      <c r="G31" s="5"/>
    </row>
    <row r="32" spans="1:7" ht="12" customHeight="1">
      <c r="A32" s="12" t="s">
        <v>686</v>
      </c>
      <c r="B32" s="3" t="s">
        <v>687</v>
      </c>
      <c r="C32" s="5"/>
      <c r="D32" s="5"/>
      <c r="E32" s="5"/>
      <c r="F32" s="5"/>
      <c r="G32" s="5"/>
    </row>
    <row r="33" spans="1:7" ht="13.65" customHeight="1">
      <c r="A33" s="5"/>
      <c r="B33" s="3" t="s">
        <v>1408</v>
      </c>
      <c r="C33" s="5"/>
      <c r="D33" s="12" t="s">
        <v>1405</v>
      </c>
      <c r="E33" s="3" t="s">
        <v>719</v>
      </c>
      <c r="F33" s="5"/>
      <c r="G33" s="5"/>
    </row>
    <row r="34" spans="1:7" ht="13.95" customHeight="1">
      <c r="A34" s="5"/>
      <c r="B34" s="3" t="s">
        <v>738</v>
      </c>
      <c r="C34" s="5"/>
      <c r="D34" s="12" t="s">
        <v>690</v>
      </c>
      <c r="E34" s="3" t="s">
        <v>1230</v>
      </c>
      <c r="F34" s="5"/>
      <c r="G34" s="5"/>
    </row>
    <row r="35" spans="1:7" ht="13.65" customHeight="1">
      <c r="A35" s="5"/>
      <c r="B35" s="3" t="s">
        <v>739</v>
      </c>
      <c r="C35" s="5"/>
      <c r="D35" s="12" t="s">
        <v>881</v>
      </c>
      <c r="E35" s="3" t="s">
        <v>724</v>
      </c>
      <c r="F35" s="5"/>
      <c r="G35" s="5"/>
    </row>
    <row r="36" spans="1:7" ht="13.65" customHeight="1">
      <c r="A36" s="5"/>
      <c r="B36" s="3" t="s">
        <v>742</v>
      </c>
      <c r="C36" s="5"/>
      <c r="D36" s="12" t="s">
        <v>743</v>
      </c>
      <c r="E36" s="3" t="s">
        <v>1409</v>
      </c>
      <c r="F36" s="5"/>
      <c r="G36" s="5"/>
    </row>
    <row r="37" spans="1:7" ht="12" customHeight="1">
      <c r="A37" s="5"/>
      <c r="B37" s="5"/>
      <c r="C37" s="5"/>
      <c r="D37" s="5"/>
      <c r="E37" s="2474" t="s">
        <v>702</v>
      </c>
      <c r="F37" s="2474"/>
      <c r="G37" s="5"/>
    </row>
    <row r="38" spans="1:7" ht="12" customHeight="1">
      <c r="A38" s="12" t="s">
        <v>703</v>
      </c>
      <c r="B38" s="3" t="s">
        <v>704</v>
      </c>
      <c r="C38" s="5"/>
      <c r="D38" s="5"/>
      <c r="E38" s="5"/>
      <c r="F38" s="5"/>
      <c r="G38" s="5"/>
    </row>
    <row r="39" spans="1:7" ht="12" customHeight="1">
      <c r="A39" s="5"/>
      <c r="B39" s="5"/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2474" t="s">
        <v>705</v>
      </c>
      <c r="F40" s="2474"/>
      <c r="G40" s="5"/>
    </row>
    <row r="41" spans="1:7" ht="12" customHeight="1">
      <c r="A41" s="5"/>
      <c r="B41" s="5"/>
      <c r="C41" s="5"/>
      <c r="D41" s="5"/>
      <c r="E41" s="5"/>
      <c r="F41" s="5"/>
      <c r="G41" s="5"/>
    </row>
    <row r="42" spans="1:7" ht="12" customHeight="1">
      <c r="A42" s="12" t="s">
        <v>706</v>
      </c>
      <c r="B42" s="2474" t="s">
        <v>707</v>
      </c>
      <c r="C42" s="2474"/>
      <c r="D42" s="2474"/>
      <c r="E42" s="2474"/>
      <c r="F42" s="2474"/>
      <c r="G42" s="5"/>
    </row>
    <row r="43" spans="1:7" ht="12" customHeight="1">
      <c r="A43" s="12" t="s">
        <v>708</v>
      </c>
      <c r="B43" s="2471" t="s">
        <v>876</v>
      </c>
      <c r="C43" s="2471"/>
      <c r="D43" s="2471"/>
      <c r="E43" s="2472" t="s">
        <v>710</v>
      </c>
      <c r="F43" s="2472"/>
      <c r="G43" s="5"/>
    </row>
    <row r="44" spans="1:7" ht="12" customHeight="1">
      <c r="A44" s="12" t="s">
        <v>711</v>
      </c>
      <c r="B44" s="2473" t="s">
        <v>712</v>
      </c>
      <c r="C44" s="2473"/>
      <c r="D44" s="2473"/>
      <c r="E44" s="2473"/>
      <c r="F44" s="2473"/>
      <c r="G44" s="5"/>
    </row>
  </sheetData>
  <mergeCells count="14">
    <mergeCell ref="E9:F9"/>
    <mergeCell ref="E14:F14"/>
    <mergeCell ref="E17:F17"/>
    <mergeCell ref="B19:F19"/>
    <mergeCell ref="B20:D20"/>
    <mergeCell ref="E20:F20"/>
    <mergeCell ref="B43:D43"/>
    <mergeCell ref="E43:F43"/>
    <mergeCell ref="B44:F44"/>
    <mergeCell ref="B21:F21"/>
    <mergeCell ref="E31:F31"/>
    <mergeCell ref="E37:F37"/>
    <mergeCell ref="E40:F40"/>
    <mergeCell ref="B42:F42"/>
  </mergeCells>
  <pageMargins left="0.7" right="0.7" top="0.75" bottom="0.75" header="0.3" footer="0.3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136"/>
  <dimension ref="A1:G45"/>
  <sheetViews>
    <sheetView topLeftCell="A13" workbookViewId="0">
      <selection activeCell="G45" sqref="A1:G45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6" t="s">
        <v>2390</v>
      </c>
    </row>
    <row r="3" spans="1:7" ht="34.950000000000003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5" customHeight="1">
      <c r="A5" s="5"/>
      <c r="B5" s="3" t="s">
        <v>673</v>
      </c>
      <c r="C5" s="3" t="s">
        <v>674</v>
      </c>
      <c r="D5" s="12" t="s">
        <v>675</v>
      </c>
      <c r="E5" s="3" t="s">
        <v>719</v>
      </c>
      <c r="F5" s="5"/>
      <c r="G5" s="5"/>
    </row>
    <row r="6" spans="1:7" ht="13.65" customHeight="1">
      <c r="A6" s="5"/>
      <c r="B6" s="3" t="s">
        <v>731</v>
      </c>
      <c r="C6" s="3" t="s">
        <v>678</v>
      </c>
      <c r="D6" s="5"/>
      <c r="E6" s="3" t="s">
        <v>719</v>
      </c>
      <c r="F6" s="5"/>
      <c r="G6" s="5"/>
    </row>
    <row r="7" spans="1:7" ht="13.65" customHeight="1">
      <c r="A7" s="5"/>
      <c r="B7" s="3" t="s">
        <v>751</v>
      </c>
      <c r="C7" s="3" t="s">
        <v>681</v>
      </c>
      <c r="D7" s="5"/>
      <c r="E7" s="3" t="s">
        <v>723</v>
      </c>
      <c r="F7" s="5"/>
      <c r="G7" s="5"/>
    </row>
    <row r="8" spans="1:7" ht="13.95" customHeight="1">
      <c r="A8" s="5"/>
      <c r="B8" s="3" t="s">
        <v>683</v>
      </c>
      <c r="C8" s="3" t="s">
        <v>684</v>
      </c>
      <c r="D8" s="12" t="s">
        <v>675</v>
      </c>
      <c r="E8" s="3" t="s">
        <v>753</v>
      </c>
      <c r="F8" s="5"/>
      <c r="G8" s="5"/>
    </row>
    <row r="9" spans="1:7" ht="12" customHeight="1">
      <c r="A9" s="5"/>
      <c r="B9" s="5"/>
      <c r="C9" s="5"/>
      <c r="D9" s="5"/>
      <c r="E9" s="2474" t="s">
        <v>685</v>
      </c>
      <c r="F9" s="2474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65" customHeight="1">
      <c r="A11" s="5"/>
      <c r="B11" s="3" t="s">
        <v>1410</v>
      </c>
      <c r="C11" s="5"/>
      <c r="D11" s="12" t="s">
        <v>1405</v>
      </c>
      <c r="E11" s="3" t="s">
        <v>719</v>
      </c>
      <c r="F11" s="5"/>
      <c r="G11" s="5"/>
    </row>
    <row r="12" spans="1:7" ht="13.95" customHeight="1">
      <c r="A12" s="5"/>
      <c r="B12" s="3" t="s">
        <v>738</v>
      </c>
      <c r="C12" s="5"/>
      <c r="D12" s="12" t="s">
        <v>690</v>
      </c>
      <c r="E12" s="3" t="s">
        <v>1230</v>
      </c>
      <c r="F12" s="5"/>
      <c r="G12" s="5"/>
    </row>
    <row r="13" spans="1:7" ht="13.65" customHeight="1">
      <c r="A13" s="5"/>
      <c r="B13" s="3" t="s">
        <v>739</v>
      </c>
      <c r="C13" s="5"/>
      <c r="D13" s="12" t="s">
        <v>881</v>
      </c>
      <c r="E13" s="3" t="s">
        <v>724</v>
      </c>
      <c r="F13" s="5"/>
      <c r="G13" s="5"/>
    </row>
    <row r="14" spans="1:7" ht="13.65" customHeight="1">
      <c r="A14" s="5"/>
      <c r="B14" s="3" t="s">
        <v>1406</v>
      </c>
      <c r="C14" s="5"/>
      <c r="D14" s="12" t="s">
        <v>1411</v>
      </c>
      <c r="E14" s="3" t="s">
        <v>1245</v>
      </c>
      <c r="F14" s="5"/>
      <c r="G14" s="5"/>
    </row>
    <row r="15" spans="1:7" ht="12" customHeight="1">
      <c r="A15" s="5"/>
      <c r="B15" s="5"/>
      <c r="C15" s="5"/>
      <c r="D15" s="5"/>
      <c r="E15" s="2474" t="s">
        <v>702</v>
      </c>
      <c r="F15" s="2474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2474" t="s">
        <v>705</v>
      </c>
      <c r="F18" s="2474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2474" t="s">
        <v>707</v>
      </c>
      <c r="C20" s="2474"/>
      <c r="D20" s="2474"/>
      <c r="E20" s="2474"/>
      <c r="F20" s="2474"/>
      <c r="G20" s="5"/>
    </row>
    <row r="21" spans="1:7" ht="12" customHeight="1">
      <c r="A21" s="12" t="s">
        <v>708</v>
      </c>
      <c r="B21" s="2471" t="s">
        <v>876</v>
      </c>
      <c r="C21" s="2471"/>
      <c r="D21" s="2471"/>
      <c r="E21" s="2472" t="s">
        <v>710</v>
      </c>
      <c r="F21" s="2472"/>
      <c r="G21" s="5"/>
    </row>
    <row r="22" spans="1:7" ht="12" customHeight="1">
      <c r="A22" s="12" t="s">
        <v>711</v>
      </c>
      <c r="B22" s="2473" t="s">
        <v>712</v>
      </c>
      <c r="C22" s="2473"/>
      <c r="D22" s="2473"/>
      <c r="E22" s="2473"/>
      <c r="F22" s="2473"/>
      <c r="G22" s="5"/>
    </row>
    <row r="23" spans="1:7" ht="12" customHeight="1">
      <c r="A23" s="12"/>
      <c r="B23" s="26"/>
      <c r="C23" s="26"/>
      <c r="D23" s="26"/>
      <c r="E23" s="26"/>
      <c r="F23" s="26"/>
      <c r="G23" s="5"/>
    </row>
    <row r="24" spans="1:7" ht="12" customHeight="1">
      <c r="A24" s="50" t="s">
        <v>2391</v>
      </c>
      <c r="B24" s="26"/>
      <c r="C24" s="26"/>
      <c r="D24" s="26"/>
      <c r="E24" s="26"/>
      <c r="F24" s="26"/>
      <c r="G24" s="5"/>
    </row>
    <row r="25" spans="1:7" ht="12" customHeight="1">
      <c r="A25" s="12"/>
      <c r="B25" s="26"/>
      <c r="C25" s="26"/>
      <c r="D25" s="26"/>
      <c r="E25" s="26"/>
      <c r="F25" s="26"/>
      <c r="G25" s="5"/>
    </row>
    <row r="26" spans="1:7" ht="34.950000000000003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95" customHeight="1">
      <c r="A28" s="5"/>
      <c r="B28" s="3" t="s">
        <v>673</v>
      </c>
      <c r="C28" s="3" t="s">
        <v>674</v>
      </c>
      <c r="D28" s="12" t="s">
        <v>675</v>
      </c>
      <c r="E28" s="3" t="s">
        <v>1234</v>
      </c>
      <c r="F28" s="5"/>
      <c r="G28" s="5"/>
    </row>
    <row r="29" spans="1:7" ht="13.65" customHeight="1">
      <c r="A29" s="5"/>
      <c r="B29" s="3" t="s">
        <v>731</v>
      </c>
      <c r="C29" s="3" t="s">
        <v>678</v>
      </c>
      <c r="D29" s="5"/>
      <c r="E29" s="3" t="s">
        <v>1412</v>
      </c>
      <c r="F29" s="5"/>
      <c r="G29" s="5"/>
    </row>
    <row r="30" spans="1:7" ht="13.65" customHeight="1">
      <c r="A30" s="5"/>
      <c r="B30" s="3" t="s">
        <v>751</v>
      </c>
      <c r="C30" s="3" t="s">
        <v>681</v>
      </c>
      <c r="D30" s="5"/>
      <c r="E30" s="3" t="s">
        <v>752</v>
      </c>
      <c r="F30" s="5"/>
      <c r="G30" s="5"/>
    </row>
    <row r="31" spans="1:7" ht="13.95" customHeight="1">
      <c r="A31" s="5"/>
      <c r="B31" s="3" t="s">
        <v>683</v>
      </c>
      <c r="C31" s="3" t="s">
        <v>684</v>
      </c>
      <c r="D31" s="12" t="s">
        <v>675</v>
      </c>
      <c r="E31" s="3" t="s">
        <v>1254</v>
      </c>
      <c r="F31" s="5"/>
      <c r="G31" s="5"/>
    </row>
    <row r="32" spans="1:7" ht="12" customHeight="1">
      <c r="A32" s="5"/>
      <c r="B32" s="5"/>
      <c r="C32" s="5"/>
      <c r="D32" s="5"/>
      <c r="E32" s="2474" t="s">
        <v>685</v>
      </c>
      <c r="F32" s="2474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65" customHeight="1">
      <c r="A34" s="5"/>
      <c r="B34" s="3" t="s">
        <v>1413</v>
      </c>
      <c r="C34" s="5"/>
      <c r="D34" s="12" t="s">
        <v>1405</v>
      </c>
      <c r="E34" s="3" t="s">
        <v>1234</v>
      </c>
      <c r="F34" s="5"/>
      <c r="G34" s="5"/>
    </row>
    <row r="35" spans="1:7" ht="13.65" customHeight="1">
      <c r="A35" s="5"/>
      <c r="B35" s="3" t="s">
        <v>738</v>
      </c>
      <c r="C35" s="5"/>
      <c r="D35" s="12" t="s">
        <v>690</v>
      </c>
      <c r="E35" s="3" t="s">
        <v>1230</v>
      </c>
      <c r="F35" s="5"/>
      <c r="G35" s="5"/>
    </row>
    <row r="36" spans="1:7" ht="13.95" customHeight="1">
      <c r="A36" s="5"/>
      <c r="B36" s="3" t="s">
        <v>739</v>
      </c>
      <c r="C36" s="5"/>
      <c r="D36" s="12" t="s">
        <v>881</v>
      </c>
      <c r="E36" s="3" t="s">
        <v>724</v>
      </c>
      <c r="F36" s="5"/>
      <c r="G36" s="5"/>
    </row>
    <row r="37" spans="1:7" ht="13.65" customHeight="1">
      <c r="A37" s="5"/>
      <c r="B37" s="3" t="s">
        <v>1406</v>
      </c>
      <c r="C37" s="5"/>
      <c r="D37" s="12" t="s">
        <v>1411</v>
      </c>
      <c r="E37" s="3" t="s">
        <v>1208</v>
      </c>
      <c r="F37" s="5"/>
      <c r="G37" s="5"/>
    </row>
    <row r="38" spans="1:7" ht="12" customHeight="1">
      <c r="A38" s="5"/>
      <c r="B38" s="5"/>
      <c r="C38" s="5"/>
      <c r="D38" s="5"/>
      <c r="E38" s="2474" t="s">
        <v>702</v>
      </c>
      <c r="F38" s="2474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2474" t="s">
        <v>705</v>
      </c>
      <c r="F41" s="2474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2474" t="s">
        <v>707</v>
      </c>
      <c r="C43" s="2474"/>
      <c r="D43" s="2474"/>
      <c r="E43" s="2474"/>
      <c r="F43" s="2474"/>
      <c r="G43" s="5"/>
    </row>
    <row r="44" spans="1:7" ht="12" customHeight="1">
      <c r="A44" s="12" t="s">
        <v>708</v>
      </c>
      <c r="B44" s="2471" t="s">
        <v>876</v>
      </c>
      <c r="C44" s="2471"/>
      <c r="D44" s="2471"/>
      <c r="E44" s="2472" t="s">
        <v>710</v>
      </c>
      <c r="F44" s="2472"/>
      <c r="G44" s="5"/>
    </row>
    <row r="45" spans="1:7" ht="12" customHeight="1">
      <c r="A45" s="12" t="s">
        <v>711</v>
      </c>
      <c r="B45" s="2473" t="s">
        <v>712</v>
      </c>
      <c r="C45" s="2473"/>
      <c r="D45" s="2473"/>
      <c r="E45" s="2473"/>
      <c r="F45" s="2473"/>
      <c r="G45" s="5"/>
    </row>
  </sheetData>
  <mergeCells count="14">
    <mergeCell ref="E9:F9"/>
    <mergeCell ref="E15:F15"/>
    <mergeCell ref="E18:F18"/>
    <mergeCell ref="B20:F20"/>
    <mergeCell ref="B21:D21"/>
    <mergeCell ref="E21:F21"/>
    <mergeCell ref="B44:D44"/>
    <mergeCell ref="E44:F44"/>
    <mergeCell ref="B45:F45"/>
    <mergeCell ref="B22:F22"/>
    <mergeCell ref="E32:F32"/>
    <mergeCell ref="E38:F38"/>
    <mergeCell ref="E41:F41"/>
    <mergeCell ref="B43:F43"/>
  </mergeCells>
  <pageMargins left="0.7" right="0.7" top="0.75" bottom="0.75" header="0.3" footer="0.3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137"/>
  <dimension ref="A1:G41"/>
  <sheetViews>
    <sheetView workbookViewId="0">
      <selection activeCell="G41" sqref="A1:G41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5" t="s">
        <v>2392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65" customHeight="1">
      <c r="A5" s="5"/>
      <c r="B5" s="3" t="s">
        <v>673</v>
      </c>
      <c r="C5" s="3" t="s">
        <v>674</v>
      </c>
      <c r="D5" s="12" t="s">
        <v>675</v>
      </c>
      <c r="E5" s="3" t="s">
        <v>817</v>
      </c>
      <c r="F5" s="5"/>
      <c r="G5" s="5"/>
    </row>
    <row r="6" spans="1:7" ht="13.95" customHeight="1">
      <c r="A6" s="5"/>
      <c r="B6" s="3" t="s">
        <v>731</v>
      </c>
      <c r="C6" s="3" t="s">
        <v>678</v>
      </c>
      <c r="D6" s="5"/>
      <c r="E6" s="3" t="s">
        <v>1149</v>
      </c>
      <c r="F6" s="5"/>
      <c r="G6" s="5"/>
    </row>
    <row r="7" spans="1:7" ht="13.65" customHeight="1">
      <c r="A7" s="5"/>
      <c r="B7" s="3" t="s">
        <v>751</v>
      </c>
      <c r="C7" s="3" t="s">
        <v>681</v>
      </c>
      <c r="D7" s="5"/>
      <c r="E7" s="3" t="s">
        <v>817</v>
      </c>
      <c r="F7" s="5"/>
      <c r="G7" s="5"/>
    </row>
    <row r="8" spans="1:7" ht="13.65" customHeight="1">
      <c r="A8" s="5"/>
      <c r="B8" s="3" t="s">
        <v>683</v>
      </c>
      <c r="C8" s="3" t="s">
        <v>684</v>
      </c>
      <c r="D8" s="12" t="s">
        <v>675</v>
      </c>
      <c r="E8" s="3" t="s">
        <v>852</v>
      </c>
      <c r="F8" s="5"/>
      <c r="G8" s="5"/>
    </row>
    <row r="9" spans="1:7" ht="12" customHeight="1">
      <c r="A9" s="5"/>
      <c r="B9" s="5"/>
      <c r="C9" s="5"/>
      <c r="D9" s="5"/>
      <c r="E9" s="2474" t="s">
        <v>685</v>
      </c>
      <c r="F9" s="2474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95" customHeight="1">
      <c r="A11" s="5"/>
      <c r="B11" s="3" t="s">
        <v>1414</v>
      </c>
      <c r="C11" s="5"/>
      <c r="D11" s="12" t="s">
        <v>1405</v>
      </c>
      <c r="E11" s="3" t="s">
        <v>719</v>
      </c>
      <c r="F11" s="5"/>
      <c r="G11" s="5"/>
    </row>
    <row r="12" spans="1:7" ht="13.65" customHeight="1">
      <c r="A12" s="5"/>
      <c r="B12" s="3" t="s">
        <v>1406</v>
      </c>
      <c r="C12" s="5"/>
      <c r="D12" s="12" t="s">
        <v>1411</v>
      </c>
      <c r="E12" s="3" t="s">
        <v>1415</v>
      </c>
      <c r="F12" s="5"/>
      <c r="G12" s="5"/>
    </row>
    <row r="13" spans="1:7" ht="12" customHeight="1">
      <c r="A13" s="5"/>
      <c r="B13" s="5"/>
      <c r="C13" s="5"/>
      <c r="D13" s="5"/>
      <c r="E13" s="2474" t="s">
        <v>702</v>
      </c>
      <c r="F13" s="2474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2474" t="s">
        <v>705</v>
      </c>
      <c r="F16" s="2474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12" t="s">
        <v>706</v>
      </c>
      <c r="B18" s="2474" t="s">
        <v>707</v>
      </c>
      <c r="C18" s="2474"/>
      <c r="D18" s="2474"/>
      <c r="E18" s="2474"/>
      <c r="F18" s="2474"/>
      <c r="G18" s="5"/>
    </row>
    <row r="19" spans="1:7" ht="12" customHeight="1">
      <c r="A19" s="12" t="s">
        <v>708</v>
      </c>
      <c r="B19" s="2471" t="s">
        <v>876</v>
      </c>
      <c r="C19" s="2471"/>
      <c r="D19" s="2471"/>
      <c r="E19" s="2472" t="s">
        <v>710</v>
      </c>
      <c r="F19" s="2472"/>
      <c r="G19" s="5"/>
    </row>
    <row r="20" spans="1:7" ht="12" customHeight="1">
      <c r="A20" s="12" t="s">
        <v>711</v>
      </c>
      <c r="B20" s="2473" t="s">
        <v>712</v>
      </c>
      <c r="C20" s="2473"/>
      <c r="D20" s="2473"/>
      <c r="E20" s="2473"/>
      <c r="F20" s="2473"/>
      <c r="G20" s="5"/>
    </row>
    <row r="21" spans="1:7" ht="12" customHeight="1">
      <c r="A21" s="12"/>
      <c r="B21" s="26"/>
      <c r="C21" s="26"/>
      <c r="D21" s="26"/>
      <c r="E21" s="26"/>
      <c r="F21" s="26"/>
      <c r="G21" s="5"/>
    </row>
    <row r="22" spans="1:7" ht="12" customHeight="1">
      <c r="A22" s="50" t="s">
        <v>2393</v>
      </c>
      <c r="B22" s="26"/>
      <c r="C22" s="26"/>
      <c r="D22" s="26"/>
      <c r="E22" s="26"/>
      <c r="F22" s="26"/>
      <c r="G22" s="5"/>
    </row>
    <row r="23" spans="1:7" ht="12" customHeight="1">
      <c r="A23" s="12"/>
      <c r="B23" s="26"/>
      <c r="C23" s="26"/>
      <c r="D23" s="26"/>
      <c r="E23" s="26"/>
      <c r="F23" s="26"/>
      <c r="G23" s="5"/>
    </row>
    <row r="24" spans="1:7" ht="34.950000000000003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3.95" customHeight="1">
      <c r="A26" s="5"/>
      <c r="B26" s="3" t="s">
        <v>673</v>
      </c>
      <c r="C26" s="3" t="s">
        <v>674</v>
      </c>
      <c r="D26" s="12" t="s">
        <v>675</v>
      </c>
      <c r="E26" s="3" t="s">
        <v>754</v>
      </c>
      <c r="F26" s="5"/>
      <c r="G26" s="5"/>
    </row>
    <row r="27" spans="1:7" ht="13.65" customHeight="1">
      <c r="A27" s="5"/>
      <c r="B27" s="3" t="s">
        <v>731</v>
      </c>
      <c r="C27" s="3" t="s">
        <v>678</v>
      </c>
      <c r="D27" s="5"/>
      <c r="E27" s="3" t="s">
        <v>1416</v>
      </c>
      <c r="F27" s="5"/>
      <c r="G27" s="5"/>
    </row>
    <row r="28" spans="1:7" ht="13.65" customHeight="1">
      <c r="A28" s="5"/>
      <c r="B28" s="3" t="s">
        <v>751</v>
      </c>
      <c r="C28" s="3" t="s">
        <v>681</v>
      </c>
      <c r="D28" s="5"/>
      <c r="E28" s="3" t="s">
        <v>753</v>
      </c>
      <c r="F28" s="5"/>
      <c r="G28" s="5"/>
    </row>
    <row r="29" spans="1:7" ht="13.95" customHeight="1">
      <c r="A29" s="5"/>
      <c r="B29" s="3" t="s">
        <v>683</v>
      </c>
      <c r="C29" s="3" t="s">
        <v>684</v>
      </c>
      <c r="D29" s="12" t="s">
        <v>675</v>
      </c>
      <c r="E29" s="3" t="s">
        <v>1166</v>
      </c>
      <c r="F29" s="5"/>
      <c r="G29" s="5"/>
    </row>
    <row r="30" spans="1:7" ht="12" customHeight="1">
      <c r="A30" s="5"/>
      <c r="B30" s="5"/>
      <c r="C30" s="5"/>
      <c r="D30" s="5"/>
      <c r="E30" s="2474" t="s">
        <v>685</v>
      </c>
      <c r="F30" s="2474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65" customHeight="1">
      <c r="A32" s="5"/>
      <c r="B32" s="3" t="s">
        <v>1417</v>
      </c>
      <c r="C32" s="5"/>
      <c r="D32" s="12" t="s">
        <v>1405</v>
      </c>
      <c r="E32" s="3" t="s">
        <v>719</v>
      </c>
      <c r="F32" s="5"/>
      <c r="G32" s="5"/>
    </row>
    <row r="33" spans="1:7" ht="13.65" customHeight="1">
      <c r="A33" s="5"/>
      <c r="B33" s="3" t="s">
        <v>1406</v>
      </c>
      <c r="C33" s="5"/>
      <c r="D33" s="12" t="s">
        <v>1011</v>
      </c>
      <c r="E33" s="3" t="s">
        <v>1418</v>
      </c>
      <c r="F33" s="5"/>
      <c r="G33" s="5"/>
    </row>
    <row r="34" spans="1:7" ht="12" customHeight="1">
      <c r="A34" s="5"/>
      <c r="B34" s="5"/>
      <c r="C34" s="5"/>
      <c r="D34" s="5"/>
      <c r="E34" s="2474" t="s">
        <v>702</v>
      </c>
      <c r="F34" s="2474"/>
      <c r="G34" s="5"/>
    </row>
    <row r="35" spans="1:7" ht="12" customHeight="1">
      <c r="A35" s="12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2474" t="s">
        <v>705</v>
      </c>
      <c r="F37" s="2474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2474" t="s">
        <v>707</v>
      </c>
      <c r="C39" s="2474"/>
      <c r="D39" s="2474"/>
      <c r="E39" s="2474"/>
      <c r="F39" s="2474"/>
      <c r="G39" s="5"/>
    </row>
    <row r="40" spans="1:7" ht="12" customHeight="1">
      <c r="A40" s="12" t="s">
        <v>708</v>
      </c>
      <c r="B40" s="2471" t="s">
        <v>876</v>
      </c>
      <c r="C40" s="2471"/>
      <c r="D40" s="2471"/>
      <c r="E40" s="2472" t="s">
        <v>710</v>
      </c>
      <c r="F40" s="2472"/>
      <c r="G40" s="5"/>
    </row>
    <row r="41" spans="1:7" ht="12.15" customHeight="1">
      <c r="A41" s="12" t="s">
        <v>711</v>
      </c>
      <c r="B41" s="2473" t="s">
        <v>712</v>
      </c>
      <c r="C41" s="2473"/>
      <c r="D41" s="2473"/>
      <c r="E41" s="2473"/>
      <c r="F41" s="2473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138"/>
  <dimension ref="A1:G44"/>
  <sheetViews>
    <sheetView workbookViewId="0">
      <selection activeCell="G44" sqref="A1:G44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2394</v>
      </c>
    </row>
    <row r="3" spans="1:7" ht="34.950000000000003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5" customHeight="1">
      <c r="A5" s="5"/>
      <c r="B5" s="3" t="s">
        <v>673</v>
      </c>
      <c r="C5" s="3" t="s">
        <v>674</v>
      </c>
      <c r="D5" s="12" t="s">
        <v>675</v>
      </c>
      <c r="E5" s="3" t="s">
        <v>1230</v>
      </c>
      <c r="F5" s="5"/>
      <c r="G5" s="5"/>
    </row>
    <row r="6" spans="1:7" ht="13.65" customHeight="1">
      <c r="A6" s="5"/>
      <c r="B6" s="3" t="s">
        <v>731</v>
      </c>
      <c r="C6" s="3" t="s">
        <v>678</v>
      </c>
      <c r="D6" s="5"/>
      <c r="E6" s="3" t="s">
        <v>754</v>
      </c>
      <c r="F6" s="5"/>
      <c r="G6" s="5"/>
    </row>
    <row r="7" spans="1:7" ht="13.65" customHeight="1">
      <c r="A7" s="5"/>
      <c r="B7" s="3" t="s">
        <v>751</v>
      </c>
      <c r="C7" s="3" t="s">
        <v>681</v>
      </c>
      <c r="D7" s="5"/>
      <c r="E7" s="3" t="s">
        <v>770</v>
      </c>
      <c r="F7" s="5"/>
      <c r="G7" s="5"/>
    </row>
    <row r="8" spans="1:7" ht="13.95" customHeight="1">
      <c r="A8" s="5"/>
      <c r="B8" s="3" t="s">
        <v>683</v>
      </c>
      <c r="C8" s="3" t="s">
        <v>684</v>
      </c>
      <c r="D8" s="12" t="s">
        <v>675</v>
      </c>
      <c r="E8" s="3" t="s">
        <v>761</v>
      </c>
      <c r="F8" s="5"/>
      <c r="G8" s="5"/>
    </row>
    <row r="9" spans="1:7" ht="12" customHeight="1">
      <c r="A9" s="5"/>
      <c r="B9" s="5"/>
      <c r="C9" s="5"/>
      <c r="D9" s="5"/>
      <c r="E9" s="2474" t="s">
        <v>685</v>
      </c>
      <c r="F9" s="2474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65" customHeight="1">
      <c r="A11" s="5"/>
      <c r="B11" s="3" t="s">
        <v>742</v>
      </c>
      <c r="C11" s="5"/>
      <c r="D11" s="12" t="s">
        <v>881</v>
      </c>
      <c r="E11" s="3" t="s">
        <v>1419</v>
      </c>
      <c r="F11" s="5"/>
      <c r="G11" s="5"/>
    </row>
    <row r="12" spans="1:7" ht="13.95" customHeight="1">
      <c r="A12" s="5"/>
      <c r="B12" s="3" t="s">
        <v>1420</v>
      </c>
      <c r="C12" s="5"/>
      <c r="D12" s="12" t="s">
        <v>690</v>
      </c>
      <c r="E12" s="3" t="s">
        <v>1421</v>
      </c>
      <c r="F12" s="5"/>
      <c r="G12" s="5"/>
    </row>
    <row r="13" spans="1:7" ht="13.65" customHeight="1">
      <c r="A13" s="5"/>
      <c r="B13" s="3" t="s">
        <v>739</v>
      </c>
      <c r="C13" s="5"/>
      <c r="D13" s="12" t="s">
        <v>881</v>
      </c>
      <c r="E13" s="3" t="s">
        <v>770</v>
      </c>
      <c r="F13" s="5"/>
      <c r="G13" s="5"/>
    </row>
    <row r="14" spans="1:7" ht="13.65" customHeight="1">
      <c r="A14" s="5"/>
      <c r="B14" s="3" t="s">
        <v>1422</v>
      </c>
      <c r="C14" s="5"/>
      <c r="D14" s="12" t="s">
        <v>1423</v>
      </c>
      <c r="E14" s="3" t="s">
        <v>1424</v>
      </c>
      <c r="F14" s="5"/>
      <c r="G14" s="5"/>
    </row>
    <row r="15" spans="1:7" ht="13.95" customHeight="1">
      <c r="A15" s="5"/>
      <c r="B15" s="3" t="s">
        <v>1100</v>
      </c>
      <c r="C15" s="5"/>
      <c r="D15" s="12" t="s">
        <v>690</v>
      </c>
      <c r="E15" s="3" t="s">
        <v>1230</v>
      </c>
      <c r="F15" s="5"/>
      <c r="G15" s="5"/>
    </row>
    <row r="16" spans="1:7" ht="12" customHeight="1">
      <c r="A16" s="5"/>
      <c r="B16" s="5"/>
      <c r="C16" s="5"/>
      <c r="D16" s="5"/>
      <c r="E16" s="2474" t="s">
        <v>702</v>
      </c>
      <c r="F16" s="2474"/>
      <c r="G16" s="5"/>
    </row>
    <row r="17" spans="1:7" ht="12" customHeight="1">
      <c r="A17" s="12" t="s">
        <v>703</v>
      </c>
      <c r="B17" s="3" t="s">
        <v>704</v>
      </c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5"/>
      <c r="F18" s="5"/>
      <c r="G18" s="5"/>
    </row>
    <row r="19" spans="1:7" ht="12" customHeight="1">
      <c r="A19" s="5"/>
      <c r="B19" s="5"/>
      <c r="C19" s="5"/>
      <c r="D19" s="5"/>
      <c r="E19" s="2474" t="s">
        <v>705</v>
      </c>
      <c r="F19" s="2474"/>
      <c r="G19" s="5"/>
    </row>
    <row r="20" spans="1:7" ht="12" customHeight="1">
      <c r="A20" s="5"/>
      <c r="B20" s="5"/>
      <c r="C20" s="5"/>
      <c r="D20" s="5"/>
      <c r="E20" s="5"/>
      <c r="F20" s="5"/>
      <c r="G20" s="5"/>
    </row>
    <row r="21" spans="1:7" ht="12" customHeight="1">
      <c r="A21" s="12" t="s">
        <v>706</v>
      </c>
      <c r="B21" s="2474" t="s">
        <v>707</v>
      </c>
      <c r="C21" s="2474"/>
      <c r="D21" s="2474"/>
      <c r="E21" s="2474"/>
      <c r="F21" s="2474"/>
      <c r="G21" s="5"/>
    </row>
    <row r="22" spans="1:7" ht="12" customHeight="1">
      <c r="A22" s="12" t="s">
        <v>708</v>
      </c>
      <c r="B22" s="2471" t="s">
        <v>876</v>
      </c>
      <c r="C22" s="2471"/>
      <c r="D22" s="2471"/>
      <c r="E22" s="2472" t="s">
        <v>710</v>
      </c>
      <c r="F22" s="2472"/>
      <c r="G22" s="5"/>
    </row>
    <row r="23" spans="1:7" ht="12" customHeight="1">
      <c r="A23" s="12" t="s">
        <v>711</v>
      </c>
      <c r="B23" s="2473" t="s">
        <v>712</v>
      </c>
      <c r="C23" s="2473"/>
      <c r="D23" s="2473"/>
      <c r="E23" s="2473"/>
      <c r="F23" s="2473"/>
      <c r="G23" s="5"/>
    </row>
    <row r="24" spans="1:7" ht="12" customHeight="1">
      <c r="A24" s="12"/>
      <c r="B24" s="26"/>
      <c r="C24" s="26"/>
      <c r="D24" s="26"/>
      <c r="E24" s="26"/>
      <c r="F24" s="26"/>
      <c r="G24" s="5"/>
    </row>
    <row r="25" spans="1:7" ht="12" customHeight="1">
      <c r="A25" s="50" t="s">
        <v>2395</v>
      </c>
      <c r="B25" s="26"/>
      <c r="C25" s="26"/>
      <c r="D25" s="26"/>
      <c r="E25" s="26"/>
      <c r="F25" s="26"/>
      <c r="G25" s="5"/>
    </row>
    <row r="26" spans="1:7" ht="12" customHeight="1">
      <c r="A26" s="12"/>
      <c r="B26" s="26"/>
      <c r="C26" s="26"/>
      <c r="D26" s="26"/>
      <c r="E26" s="26"/>
      <c r="F26" s="26"/>
      <c r="G26" s="5"/>
    </row>
    <row r="27" spans="1:7" ht="35.1" customHeight="1">
      <c r="A27" s="6" t="s">
        <v>762</v>
      </c>
      <c r="B27" s="6" t="s">
        <v>763</v>
      </c>
      <c r="C27" s="6" t="s">
        <v>764</v>
      </c>
      <c r="D27" s="6" t="s">
        <v>765</v>
      </c>
      <c r="E27" s="6" t="s">
        <v>766</v>
      </c>
      <c r="F27" s="7" t="s">
        <v>767</v>
      </c>
      <c r="G27" s="7" t="s">
        <v>768</v>
      </c>
    </row>
    <row r="28" spans="1:7" ht="12" customHeight="1">
      <c r="A28" s="12" t="s">
        <v>671</v>
      </c>
      <c r="B28" s="3" t="s">
        <v>672</v>
      </c>
      <c r="C28" s="5"/>
      <c r="D28" s="5"/>
      <c r="E28" s="5"/>
      <c r="F28" s="5"/>
      <c r="G28" s="5"/>
    </row>
    <row r="29" spans="1:7" ht="13.65" customHeight="1">
      <c r="A29" s="5"/>
      <c r="B29" s="3" t="s">
        <v>673</v>
      </c>
      <c r="C29" s="3" t="s">
        <v>674</v>
      </c>
      <c r="D29" s="12" t="s">
        <v>675</v>
      </c>
      <c r="E29" s="3" t="s">
        <v>754</v>
      </c>
      <c r="F29" s="5"/>
      <c r="G29" s="5"/>
    </row>
    <row r="30" spans="1:7" ht="13.65" customHeight="1">
      <c r="A30" s="5"/>
      <c r="B30" s="3" t="s">
        <v>731</v>
      </c>
      <c r="C30" s="3" t="s">
        <v>678</v>
      </c>
      <c r="D30" s="5"/>
      <c r="E30" s="3" t="s">
        <v>1416</v>
      </c>
      <c r="F30" s="5"/>
      <c r="G30" s="5"/>
    </row>
    <row r="31" spans="1:7" ht="13.95" customHeight="1">
      <c r="A31" s="5"/>
      <c r="B31" s="3" t="s">
        <v>751</v>
      </c>
      <c r="C31" s="3" t="s">
        <v>681</v>
      </c>
      <c r="D31" s="5"/>
      <c r="E31" s="3" t="s">
        <v>753</v>
      </c>
      <c r="F31" s="5"/>
      <c r="G31" s="5"/>
    </row>
    <row r="32" spans="1:7" ht="13.65" customHeight="1">
      <c r="A32" s="5"/>
      <c r="B32" s="3" t="s">
        <v>683</v>
      </c>
      <c r="C32" s="3" t="s">
        <v>684</v>
      </c>
      <c r="D32" s="12" t="s">
        <v>675</v>
      </c>
      <c r="E32" s="3" t="s">
        <v>1166</v>
      </c>
      <c r="F32" s="5"/>
      <c r="G32" s="5"/>
    </row>
    <row r="33" spans="1:7" ht="12" customHeight="1">
      <c r="A33" s="5"/>
      <c r="B33" s="5"/>
      <c r="C33" s="5"/>
      <c r="D33" s="5"/>
      <c r="E33" s="2474" t="s">
        <v>685</v>
      </c>
      <c r="F33" s="2474"/>
      <c r="G33" s="5"/>
    </row>
    <row r="34" spans="1:7" ht="12" customHeight="1">
      <c r="A34" s="12" t="s">
        <v>686</v>
      </c>
      <c r="B34" s="3" t="s">
        <v>687</v>
      </c>
      <c r="C34" s="5"/>
      <c r="D34" s="5"/>
      <c r="E34" s="5"/>
      <c r="F34" s="5"/>
      <c r="G34" s="5"/>
    </row>
    <row r="35" spans="1:7" ht="13.65" customHeight="1">
      <c r="A35" s="5"/>
      <c r="B35" s="3" t="s">
        <v>1417</v>
      </c>
      <c r="C35" s="5"/>
      <c r="D35" s="12" t="s">
        <v>1405</v>
      </c>
      <c r="E35" s="3" t="s">
        <v>719</v>
      </c>
      <c r="F35" s="5"/>
      <c r="G35" s="5"/>
    </row>
    <row r="36" spans="1:7" ht="13.95" customHeight="1">
      <c r="A36" s="5"/>
      <c r="B36" s="3" t="s">
        <v>1406</v>
      </c>
      <c r="C36" s="5"/>
      <c r="D36" s="12" t="s">
        <v>1011</v>
      </c>
      <c r="E36" s="3" t="s">
        <v>1418</v>
      </c>
      <c r="F36" s="5"/>
      <c r="G36" s="5"/>
    </row>
    <row r="37" spans="1:7" ht="12" customHeight="1">
      <c r="A37" s="5"/>
      <c r="B37" s="5"/>
      <c r="C37" s="5"/>
      <c r="D37" s="5"/>
      <c r="E37" s="2474" t="s">
        <v>702</v>
      </c>
      <c r="F37" s="2474"/>
      <c r="G37" s="5"/>
    </row>
    <row r="38" spans="1:7" ht="12" customHeight="1">
      <c r="A38" s="12" t="s">
        <v>703</v>
      </c>
      <c r="B38" s="3" t="s">
        <v>704</v>
      </c>
      <c r="C38" s="5"/>
      <c r="D38" s="5"/>
      <c r="E38" s="5"/>
      <c r="F38" s="5"/>
      <c r="G38" s="5"/>
    </row>
    <row r="39" spans="1:7" ht="12" customHeight="1">
      <c r="A39" s="5"/>
      <c r="B39" s="5"/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2474" t="s">
        <v>705</v>
      </c>
      <c r="F40" s="2474"/>
      <c r="G40" s="5"/>
    </row>
    <row r="41" spans="1:7" ht="12" customHeight="1">
      <c r="A41" s="5"/>
      <c r="B41" s="5"/>
      <c r="C41" s="5"/>
      <c r="D41" s="5"/>
      <c r="E41" s="5"/>
      <c r="F41" s="5"/>
      <c r="G41" s="5"/>
    </row>
    <row r="42" spans="1:7" ht="12" customHeight="1">
      <c r="A42" s="12" t="s">
        <v>706</v>
      </c>
      <c r="B42" s="2474" t="s">
        <v>707</v>
      </c>
      <c r="C42" s="2474"/>
      <c r="D42" s="2474"/>
      <c r="E42" s="2474"/>
      <c r="F42" s="2474"/>
      <c r="G42" s="5"/>
    </row>
    <row r="43" spans="1:7" ht="12" customHeight="1">
      <c r="A43" s="12" t="s">
        <v>708</v>
      </c>
      <c r="B43" s="2471" t="s">
        <v>876</v>
      </c>
      <c r="C43" s="2471"/>
      <c r="D43" s="2471"/>
      <c r="E43" s="2472" t="s">
        <v>710</v>
      </c>
      <c r="F43" s="2472"/>
      <c r="G43" s="5"/>
    </row>
    <row r="44" spans="1:7" ht="12" customHeight="1">
      <c r="A44" s="12" t="s">
        <v>711</v>
      </c>
      <c r="B44" s="2473" t="s">
        <v>712</v>
      </c>
      <c r="C44" s="2473"/>
      <c r="D44" s="2473"/>
      <c r="E44" s="2473"/>
      <c r="F44" s="2473"/>
      <c r="G44" s="5"/>
    </row>
  </sheetData>
  <mergeCells count="14">
    <mergeCell ref="E9:F9"/>
    <mergeCell ref="E16:F16"/>
    <mergeCell ref="E19:F19"/>
    <mergeCell ref="B21:F21"/>
    <mergeCell ref="B22:D22"/>
    <mergeCell ref="E22:F22"/>
    <mergeCell ref="B43:D43"/>
    <mergeCell ref="E43:F43"/>
    <mergeCell ref="B44:F44"/>
    <mergeCell ref="B23:F23"/>
    <mergeCell ref="E33:F33"/>
    <mergeCell ref="E37:F37"/>
    <mergeCell ref="E40:F40"/>
    <mergeCell ref="B42:F42"/>
  </mergeCells>
  <pageMargins left="0.7" right="0.7" top="0.75" bottom="0.75" header="0.3" footer="0.3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139"/>
  <dimension ref="A1:G44"/>
  <sheetViews>
    <sheetView workbookViewId="0">
      <selection activeCell="G44" sqref="A1:G44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2396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65" customHeight="1">
      <c r="A5" s="5"/>
      <c r="B5" s="3" t="s">
        <v>673</v>
      </c>
      <c r="C5" s="3" t="s">
        <v>674</v>
      </c>
      <c r="D5" s="12" t="s">
        <v>675</v>
      </c>
      <c r="E5" s="15" t="s">
        <v>1425</v>
      </c>
      <c r="F5" s="5"/>
      <c r="G5" s="5"/>
    </row>
    <row r="6" spans="1:7" ht="13.95" customHeight="1">
      <c r="A6" s="5"/>
      <c r="B6" s="3" t="s">
        <v>731</v>
      </c>
      <c r="C6" s="3" t="s">
        <v>678</v>
      </c>
      <c r="D6" s="5"/>
      <c r="E6" s="3" t="s">
        <v>717</v>
      </c>
      <c r="F6" s="5"/>
      <c r="G6" s="5"/>
    </row>
    <row r="7" spans="1:7" ht="13.65" customHeight="1">
      <c r="A7" s="5"/>
      <c r="B7" s="3" t="s">
        <v>751</v>
      </c>
      <c r="C7" s="3" t="s">
        <v>681</v>
      </c>
      <c r="D7" s="5"/>
      <c r="E7" s="3" t="s">
        <v>795</v>
      </c>
      <c r="F7" s="5"/>
      <c r="G7" s="5"/>
    </row>
    <row r="8" spans="1:7" ht="13.65" customHeight="1">
      <c r="A8" s="5"/>
      <c r="B8" s="3" t="s">
        <v>683</v>
      </c>
      <c r="C8" s="3" t="s">
        <v>684</v>
      </c>
      <c r="D8" s="12" t="s">
        <v>675</v>
      </c>
      <c r="E8" s="3" t="s">
        <v>811</v>
      </c>
      <c r="F8" s="5"/>
      <c r="G8" s="5"/>
    </row>
    <row r="9" spans="1:7" ht="12" customHeight="1">
      <c r="A9" s="5"/>
      <c r="B9" s="5"/>
      <c r="C9" s="5"/>
      <c r="D9" s="5"/>
      <c r="E9" s="2474" t="s">
        <v>685</v>
      </c>
      <c r="F9" s="2474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95" customHeight="1">
      <c r="A11" s="5"/>
      <c r="B11" s="3" t="s">
        <v>1426</v>
      </c>
      <c r="C11" s="5"/>
      <c r="D11" s="12" t="s">
        <v>1405</v>
      </c>
      <c r="E11" s="3" t="s">
        <v>719</v>
      </c>
      <c r="F11" s="5"/>
      <c r="G11" s="5"/>
    </row>
    <row r="12" spans="1:7" ht="13.65" customHeight="1">
      <c r="A12" s="5"/>
      <c r="B12" s="3" t="s">
        <v>1406</v>
      </c>
      <c r="C12" s="5"/>
      <c r="D12" s="12" t="s">
        <v>1411</v>
      </c>
      <c r="E12" s="3" t="s">
        <v>1208</v>
      </c>
      <c r="F12" s="5"/>
      <c r="G12" s="5"/>
    </row>
    <row r="13" spans="1:7" ht="12" customHeight="1">
      <c r="A13" s="5"/>
      <c r="B13" s="5"/>
      <c r="C13" s="5"/>
      <c r="D13" s="5"/>
      <c r="E13" s="2474" t="s">
        <v>702</v>
      </c>
      <c r="F13" s="2474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2474" t="s">
        <v>705</v>
      </c>
      <c r="F16" s="2474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12" t="s">
        <v>706</v>
      </c>
      <c r="B18" s="2474" t="s">
        <v>707</v>
      </c>
      <c r="C18" s="2474"/>
      <c r="D18" s="2474"/>
      <c r="E18" s="2474"/>
      <c r="F18" s="2474"/>
      <c r="G18" s="5"/>
    </row>
    <row r="19" spans="1:7" ht="12" customHeight="1">
      <c r="A19" s="12" t="s">
        <v>708</v>
      </c>
      <c r="B19" s="2471" t="s">
        <v>876</v>
      </c>
      <c r="C19" s="2471"/>
      <c r="D19" s="2471"/>
      <c r="E19" s="2472" t="s">
        <v>710</v>
      </c>
      <c r="F19" s="2472"/>
      <c r="G19" s="5"/>
    </row>
    <row r="20" spans="1:7" ht="12" customHeight="1">
      <c r="A20" s="12" t="s">
        <v>711</v>
      </c>
      <c r="B20" s="2473" t="s">
        <v>712</v>
      </c>
      <c r="C20" s="2473"/>
      <c r="D20" s="2473"/>
      <c r="E20" s="2473"/>
      <c r="F20" s="2473"/>
      <c r="G20" s="5"/>
    </row>
    <row r="21" spans="1:7" ht="12" customHeight="1">
      <c r="A21" s="12"/>
      <c r="B21" s="26"/>
      <c r="C21" s="26"/>
      <c r="D21" s="26"/>
      <c r="E21" s="26"/>
      <c r="F21" s="26"/>
      <c r="G21" s="5"/>
    </row>
    <row r="22" spans="1:7" ht="12" customHeight="1">
      <c r="A22" s="50" t="s">
        <v>2397</v>
      </c>
      <c r="B22" s="26"/>
      <c r="C22" s="26"/>
      <c r="D22" s="26"/>
      <c r="E22" s="26"/>
      <c r="F22" s="26"/>
      <c r="G22" s="5"/>
    </row>
    <row r="23" spans="1:7" ht="12" customHeight="1">
      <c r="A23" s="12"/>
      <c r="B23" s="26"/>
      <c r="C23" s="26"/>
      <c r="D23" s="26"/>
      <c r="E23" s="26"/>
      <c r="F23" s="26"/>
      <c r="G23" s="5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3.65" customHeight="1">
      <c r="A26" s="5"/>
      <c r="B26" s="3" t="s">
        <v>673</v>
      </c>
      <c r="C26" s="3" t="s">
        <v>674</v>
      </c>
      <c r="D26" s="12" t="s">
        <v>675</v>
      </c>
      <c r="E26" s="3" t="s">
        <v>1247</v>
      </c>
      <c r="F26" s="5"/>
      <c r="G26" s="5"/>
    </row>
    <row r="27" spans="1:7" ht="13.65" customHeight="1">
      <c r="A27" s="5"/>
      <c r="B27" s="3" t="s">
        <v>731</v>
      </c>
      <c r="C27" s="3" t="s">
        <v>678</v>
      </c>
      <c r="D27" s="5"/>
      <c r="E27" s="3" t="s">
        <v>1416</v>
      </c>
      <c r="F27" s="5"/>
      <c r="G27" s="5"/>
    </row>
    <row r="28" spans="1:7" ht="13.95" customHeight="1">
      <c r="A28" s="5"/>
      <c r="B28" s="3" t="s">
        <v>751</v>
      </c>
      <c r="C28" s="3" t="s">
        <v>681</v>
      </c>
      <c r="D28" s="5"/>
      <c r="E28" s="3" t="s">
        <v>753</v>
      </c>
      <c r="F28" s="5"/>
      <c r="G28" s="5"/>
    </row>
    <row r="29" spans="1:7" ht="13.65" customHeight="1">
      <c r="A29" s="5"/>
      <c r="B29" s="3" t="s">
        <v>683</v>
      </c>
      <c r="C29" s="3" t="s">
        <v>684</v>
      </c>
      <c r="D29" s="12" t="s">
        <v>675</v>
      </c>
      <c r="E29" s="3" t="s">
        <v>865</v>
      </c>
      <c r="F29" s="5"/>
      <c r="G29" s="5"/>
    </row>
    <row r="30" spans="1:7" ht="12" customHeight="1">
      <c r="A30" s="5"/>
      <c r="B30" s="5"/>
      <c r="C30" s="5"/>
      <c r="D30" s="5"/>
      <c r="E30" s="2474" t="s">
        <v>685</v>
      </c>
      <c r="F30" s="2474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95" customHeight="1">
      <c r="A32" s="5"/>
      <c r="B32" s="3" t="s">
        <v>1427</v>
      </c>
      <c r="C32" s="5"/>
      <c r="D32" s="12" t="s">
        <v>881</v>
      </c>
      <c r="E32" s="3" t="s">
        <v>1166</v>
      </c>
      <c r="F32" s="5"/>
      <c r="G32" s="5"/>
    </row>
    <row r="33" spans="1:7" ht="13.65" customHeight="1">
      <c r="A33" s="5"/>
      <c r="B33" s="3" t="s">
        <v>1428</v>
      </c>
      <c r="C33" s="5"/>
      <c r="D33" s="12" t="s">
        <v>690</v>
      </c>
      <c r="E33" s="3" t="s">
        <v>1429</v>
      </c>
      <c r="F33" s="5"/>
      <c r="G33" s="5"/>
    </row>
    <row r="34" spans="1:7" ht="13.65" customHeight="1">
      <c r="A34" s="5"/>
      <c r="B34" s="3" t="s">
        <v>1430</v>
      </c>
      <c r="C34" s="5"/>
      <c r="D34" s="12" t="s">
        <v>1264</v>
      </c>
      <c r="E34" s="3" t="s">
        <v>1211</v>
      </c>
      <c r="F34" s="5"/>
      <c r="G34" s="5"/>
    </row>
    <row r="35" spans="1:7" ht="13.95" customHeight="1">
      <c r="A35" s="5"/>
      <c r="B35" s="3" t="s">
        <v>1431</v>
      </c>
      <c r="C35" s="5"/>
      <c r="D35" s="12" t="s">
        <v>743</v>
      </c>
      <c r="E35" s="3" t="s">
        <v>1432</v>
      </c>
      <c r="F35" s="5"/>
      <c r="G35" s="5"/>
    </row>
    <row r="36" spans="1:7" ht="13.65" customHeight="1">
      <c r="A36" s="5"/>
      <c r="B36" s="3" t="s">
        <v>1406</v>
      </c>
      <c r="C36" s="5"/>
      <c r="D36" s="12" t="s">
        <v>1411</v>
      </c>
      <c r="E36" s="3" t="s">
        <v>1096</v>
      </c>
      <c r="F36" s="5"/>
      <c r="G36" s="5"/>
    </row>
    <row r="37" spans="1:7" ht="12" customHeight="1">
      <c r="A37" s="5"/>
      <c r="B37" s="5"/>
      <c r="C37" s="5"/>
      <c r="D37" s="5"/>
      <c r="E37" s="2474" t="s">
        <v>702</v>
      </c>
      <c r="F37" s="2474"/>
      <c r="G37" s="5"/>
    </row>
    <row r="38" spans="1:7" ht="12" customHeight="1">
      <c r="A38" s="12" t="s">
        <v>703</v>
      </c>
      <c r="B38" s="3" t="s">
        <v>704</v>
      </c>
      <c r="C38" s="5"/>
      <c r="D38" s="5"/>
      <c r="E38" s="5"/>
      <c r="F38" s="5"/>
      <c r="G38" s="5"/>
    </row>
    <row r="39" spans="1:7" ht="12" customHeight="1">
      <c r="A39" s="5"/>
      <c r="B39" s="5"/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2474" t="s">
        <v>705</v>
      </c>
      <c r="F40" s="2474"/>
      <c r="G40" s="5"/>
    </row>
    <row r="41" spans="1:7" ht="12" customHeight="1">
      <c r="A41" s="5"/>
      <c r="B41" s="5"/>
      <c r="C41" s="5"/>
      <c r="D41" s="5"/>
      <c r="E41" s="5"/>
      <c r="F41" s="5"/>
      <c r="G41" s="5"/>
    </row>
    <row r="42" spans="1:7" ht="12" customHeight="1">
      <c r="A42" s="12" t="s">
        <v>706</v>
      </c>
      <c r="B42" s="2474" t="s">
        <v>707</v>
      </c>
      <c r="C42" s="2474"/>
      <c r="D42" s="2474"/>
      <c r="E42" s="2474"/>
      <c r="F42" s="2474"/>
      <c r="G42" s="5"/>
    </row>
    <row r="43" spans="1:7" ht="12" customHeight="1">
      <c r="A43" s="12" t="s">
        <v>708</v>
      </c>
      <c r="B43" s="2471" t="s">
        <v>876</v>
      </c>
      <c r="C43" s="2471"/>
      <c r="D43" s="2471"/>
      <c r="E43" s="2472" t="s">
        <v>710</v>
      </c>
      <c r="F43" s="2472"/>
      <c r="G43" s="5"/>
    </row>
    <row r="44" spans="1:7" ht="12" customHeight="1">
      <c r="A44" s="12" t="s">
        <v>711</v>
      </c>
      <c r="B44" s="2473" t="s">
        <v>712</v>
      </c>
      <c r="C44" s="2473"/>
      <c r="D44" s="2473"/>
      <c r="E44" s="2473"/>
      <c r="F44" s="2473"/>
      <c r="G44" s="5"/>
    </row>
  </sheetData>
  <mergeCells count="14">
    <mergeCell ref="E9:F9"/>
    <mergeCell ref="E13:F13"/>
    <mergeCell ref="E16:F16"/>
    <mergeCell ref="B18:F18"/>
    <mergeCell ref="B19:D19"/>
    <mergeCell ref="E19:F19"/>
    <mergeCell ref="B43:D43"/>
    <mergeCell ref="E43:F43"/>
    <mergeCell ref="B44:F44"/>
    <mergeCell ref="B20:F20"/>
    <mergeCell ref="E30:F30"/>
    <mergeCell ref="E37:F37"/>
    <mergeCell ref="E40:F40"/>
    <mergeCell ref="B42:F42"/>
  </mergeCells>
  <pageMargins left="0.7" right="0.7" top="0.75" bottom="0.75" header="0.3" footer="0.3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140"/>
  <dimension ref="A1:G43"/>
  <sheetViews>
    <sheetView workbookViewId="0">
      <selection activeCell="B27" sqref="B27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5" t="s">
        <v>2398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65" customHeight="1">
      <c r="A5" s="5"/>
      <c r="B5" s="3" t="s">
        <v>673</v>
      </c>
      <c r="C5" s="3" t="s">
        <v>674</v>
      </c>
      <c r="D5" s="12" t="s">
        <v>675</v>
      </c>
      <c r="E5" s="3" t="s">
        <v>761</v>
      </c>
      <c r="F5" s="5"/>
      <c r="G5" s="5"/>
    </row>
    <row r="6" spans="1:7" ht="13.95" customHeight="1">
      <c r="A6" s="5"/>
      <c r="B6" s="3" t="s">
        <v>731</v>
      </c>
      <c r="C6" s="3" t="s">
        <v>678</v>
      </c>
      <c r="D6" s="5"/>
      <c r="E6" s="3" t="s">
        <v>770</v>
      </c>
      <c r="F6" s="5"/>
      <c r="G6" s="5"/>
    </row>
    <row r="7" spans="1:7" ht="13.65" customHeight="1">
      <c r="A7" s="5"/>
      <c r="B7" s="3" t="s">
        <v>751</v>
      </c>
      <c r="C7" s="3" t="s">
        <v>681</v>
      </c>
      <c r="D7" s="5"/>
      <c r="E7" s="3" t="s">
        <v>761</v>
      </c>
      <c r="F7" s="5"/>
      <c r="G7" s="5"/>
    </row>
    <row r="8" spans="1:7" ht="13.65" customHeight="1">
      <c r="A8" s="5"/>
      <c r="B8" s="3" t="s">
        <v>683</v>
      </c>
      <c r="C8" s="3" t="s">
        <v>684</v>
      </c>
      <c r="D8" s="12" t="s">
        <v>675</v>
      </c>
      <c r="E8" s="3" t="s">
        <v>811</v>
      </c>
      <c r="F8" s="5"/>
      <c r="G8" s="5"/>
    </row>
    <row r="9" spans="1:7" ht="12" customHeight="1">
      <c r="A9" s="5"/>
      <c r="B9" s="5"/>
      <c r="C9" s="5"/>
      <c r="D9" s="5"/>
      <c r="E9" s="2474" t="s">
        <v>685</v>
      </c>
      <c r="F9" s="2474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95" customHeight="1">
      <c r="A11" s="5"/>
      <c r="B11" s="3" t="s">
        <v>1433</v>
      </c>
      <c r="C11" s="5"/>
      <c r="D11" s="12" t="s">
        <v>1405</v>
      </c>
      <c r="E11" s="3" t="s">
        <v>719</v>
      </c>
      <c r="F11" s="5"/>
      <c r="G11" s="5"/>
    </row>
    <row r="12" spans="1:7" ht="13.65" customHeight="1">
      <c r="A12" s="5"/>
      <c r="B12" s="4" t="s">
        <v>1434</v>
      </c>
      <c r="C12" s="5"/>
      <c r="D12" s="12" t="s">
        <v>743</v>
      </c>
      <c r="E12" s="3" t="s">
        <v>719</v>
      </c>
      <c r="F12" s="5"/>
      <c r="G12" s="5"/>
    </row>
    <row r="13" spans="1:7" ht="12" customHeight="1">
      <c r="A13" s="5"/>
      <c r="B13" s="5"/>
      <c r="C13" s="5"/>
      <c r="D13" s="5"/>
      <c r="E13" s="2474" t="s">
        <v>702</v>
      </c>
      <c r="F13" s="2474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2474" t="s">
        <v>705</v>
      </c>
      <c r="F16" s="2474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12" t="s">
        <v>706</v>
      </c>
      <c r="B18" s="2474" t="s">
        <v>707</v>
      </c>
      <c r="C18" s="2474"/>
      <c r="D18" s="2474"/>
      <c r="E18" s="2474"/>
      <c r="F18" s="2474"/>
      <c r="G18" s="5"/>
    </row>
    <row r="19" spans="1:7" ht="12" customHeight="1">
      <c r="A19" s="12" t="s">
        <v>708</v>
      </c>
      <c r="B19" s="2471" t="s">
        <v>876</v>
      </c>
      <c r="C19" s="2471"/>
      <c r="D19" s="2471"/>
      <c r="E19" s="2472" t="s">
        <v>710</v>
      </c>
      <c r="F19" s="2472"/>
      <c r="G19" s="5"/>
    </row>
    <row r="20" spans="1:7" ht="12" customHeight="1">
      <c r="A20" s="12" t="s">
        <v>711</v>
      </c>
      <c r="B20" s="2473" t="s">
        <v>712</v>
      </c>
      <c r="C20" s="2473"/>
      <c r="D20" s="2473"/>
      <c r="E20" s="2473"/>
      <c r="F20" s="2473"/>
      <c r="G20" s="5"/>
    </row>
    <row r="21" spans="1:7" ht="12" customHeight="1">
      <c r="A21" s="12"/>
      <c r="B21" s="26"/>
      <c r="C21" s="26"/>
      <c r="D21" s="26"/>
      <c r="E21" s="26"/>
      <c r="F21" s="26"/>
      <c r="G21" s="5"/>
    </row>
    <row r="22" spans="1:7" ht="12" customHeight="1">
      <c r="A22" s="50" t="s">
        <v>2399</v>
      </c>
      <c r="B22" s="26"/>
      <c r="C22" s="26"/>
      <c r="D22" s="26"/>
      <c r="E22" s="26"/>
      <c r="F22" s="26"/>
      <c r="G22" s="5"/>
    </row>
    <row r="23" spans="1:7" ht="12" customHeight="1">
      <c r="A23" s="12"/>
      <c r="B23" s="26"/>
      <c r="C23" s="26"/>
      <c r="D23" s="26"/>
      <c r="E23" s="26"/>
      <c r="F23" s="26"/>
      <c r="G23" s="5"/>
    </row>
    <row r="24" spans="1:7" ht="34.950000000000003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3.95" customHeight="1">
      <c r="A26" s="5"/>
      <c r="B26" s="3" t="s">
        <v>673</v>
      </c>
      <c r="C26" s="3" t="s">
        <v>674</v>
      </c>
      <c r="D26" s="12" t="s">
        <v>675</v>
      </c>
      <c r="E26" s="3" t="s">
        <v>753</v>
      </c>
      <c r="F26" s="5"/>
      <c r="G26" s="5"/>
    </row>
    <row r="27" spans="1:7" ht="13.65" customHeight="1">
      <c r="A27" s="5"/>
      <c r="B27" s="3" t="s">
        <v>731</v>
      </c>
      <c r="C27" s="3" t="s">
        <v>678</v>
      </c>
      <c r="D27" s="5"/>
      <c r="E27" s="3" t="s">
        <v>1162</v>
      </c>
      <c r="F27" s="5"/>
      <c r="G27" s="5"/>
    </row>
    <row r="28" spans="1:7" ht="13.95" customHeight="1">
      <c r="A28" s="5"/>
      <c r="B28" s="3" t="s">
        <v>751</v>
      </c>
      <c r="C28" s="3" t="s">
        <v>681</v>
      </c>
      <c r="D28" s="5"/>
      <c r="E28" s="3" t="s">
        <v>753</v>
      </c>
      <c r="F28" s="5"/>
      <c r="G28" s="5"/>
    </row>
    <row r="29" spans="1:7" ht="13.65" customHeight="1">
      <c r="A29" s="5"/>
      <c r="B29" s="3" t="s">
        <v>683</v>
      </c>
      <c r="C29" s="3" t="s">
        <v>684</v>
      </c>
      <c r="D29" s="12" t="s">
        <v>675</v>
      </c>
      <c r="E29" s="3" t="s">
        <v>794</v>
      </c>
      <c r="F29" s="5"/>
      <c r="G29" s="5"/>
    </row>
    <row r="30" spans="1:7" ht="12" customHeight="1">
      <c r="A30" s="5"/>
      <c r="B30" s="5"/>
      <c r="C30" s="5"/>
      <c r="D30" s="5"/>
      <c r="E30" s="2474" t="s">
        <v>685</v>
      </c>
      <c r="F30" s="2474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65" customHeight="1">
      <c r="A32" s="5"/>
      <c r="B32" s="3" t="s">
        <v>1433</v>
      </c>
      <c r="C32" s="5"/>
      <c r="D32" s="12" t="s">
        <v>1405</v>
      </c>
      <c r="E32" s="3" t="s">
        <v>719</v>
      </c>
      <c r="F32" s="5"/>
      <c r="G32" s="5"/>
    </row>
    <row r="33" spans="1:7" ht="13.95" customHeight="1">
      <c r="A33" s="5"/>
      <c r="B33" s="4" t="s">
        <v>1434</v>
      </c>
      <c r="C33" s="5"/>
      <c r="D33" s="12" t="s">
        <v>743</v>
      </c>
      <c r="E33" s="3" t="s">
        <v>719</v>
      </c>
      <c r="F33" s="5"/>
      <c r="G33" s="5"/>
    </row>
    <row r="34" spans="1:7" ht="13.65" customHeight="1">
      <c r="A34" s="5"/>
      <c r="B34" s="3" t="s">
        <v>689</v>
      </c>
      <c r="C34" s="5"/>
      <c r="D34" s="12" t="s">
        <v>690</v>
      </c>
      <c r="E34" s="3" t="s">
        <v>1415</v>
      </c>
      <c r="F34" s="5"/>
      <c r="G34" s="5"/>
    </row>
    <row r="35" spans="1:7" ht="13.65" customHeight="1">
      <c r="A35" s="5"/>
      <c r="B35" s="3" t="s">
        <v>739</v>
      </c>
      <c r="C35" s="5"/>
      <c r="D35" s="12" t="s">
        <v>881</v>
      </c>
      <c r="E35" s="3" t="s">
        <v>753</v>
      </c>
      <c r="F35" s="5"/>
      <c r="G35" s="5"/>
    </row>
    <row r="36" spans="1:7" ht="12" customHeight="1">
      <c r="A36" s="5"/>
      <c r="B36" s="5"/>
      <c r="C36" s="5"/>
      <c r="D36" s="5"/>
      <c r="E36" s="2474" t="s">
        <v>702</v>
      </c>
      <c r="F36" s="2474"/>
      <c r="G36" s="5"/>
    </row>
    <row r="37" spans="1:7" ht="12" customHeight="1">
      <c r="A37" s="12" t="s">
        <v>703</v>
      </c>
      <c r="B37" s="3" t="s">
        <v>704</v>
      </c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5"/>
      <c r="B39" s="5"/>
      <c r="C39" s="5"/>
      <c r="D39" s="5"/>
      <c r="E39" s="2474" t="s">
        <v>705</v>
      </c>
      <c r="F39" s="2474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12" t="s">
        <v>706</v>
      </c>
      <c r="B41" s="2474" t="s">
        <v>707</v>
      </c>
      <c r="C41" s="2474"/>
      <c r="D41" s="2474"/>
      <c r="E41" s="2474"/>
      <c r="F41" s="2474"/>
      <c r="G41" s="5"/>
    </row>
    <row r="42" spans="1:7" ht="12" customHeight="1">
      <c r="A42" s="12" t="s">
        <v>708</v>
      </c>
      <c r="B42" s="2471" t="s">
        <v>876</v>
      </c>
      <c r="C42" s="2471"/>
      <c r="D42" s="2471"/>
      <c r="E42" s="2472" t="s">
        <v>710</v>
      </c>
      <c r="F42" s="2472"/>
      <c r="G42" s="5"/>
    </row>
    <row r="43" spans="1:7" ht="12" customHeight="1">
      <c r="A43" s="12" t="s">
        <v>711</v>
      </c>
      <c r="B43" s="2473" t="s">
        <v>712</v>
      </c>
      <c r="C43" s="2473"/>
      <c r="D43" s="2473"/>
      <c r="E43" s="2473"/>
      <c r="F43" s="2473"/>
      <c r="G43" s="5"/>
    </row>
  </sheetData>
  <mergeCells count="14">
    <mergeCell ref="E9:F9"/>
    <mergeCell ref="E13:F13"/>
    <mergeCell ref="E16:F16"/>
    <mergeCell ref="B18:F18"/>
    <mergeCell ref="B19:D19"/>
    <mergeCell ref="E19:F19"/>
    <mergeCell ref="B42:D42"/>
    <mergeCell ref="E42:F42"/>
    <mergeCell ref="B43:F43"/>
    <mergeCell ref="B20:F20"/>
    <mergeCell ref="E30:F30"/>
    <mergeCell ref="E36:F36"/>
    <mergeCell ref="E39:F39"/>
    <mergeCell ref="B41:F41"/>
  </mergeCells>
  <pageMargins left="0.7" right="0.7" top="0.75" bottom="0.75" header="0.3" footer="0.3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141"/>
  <dimension ref="A1:G44"/>
  <sheetViews>
    <sheetView topLeftCell="A25" workbookViewId="0">
      <selection activeCell="G44" sqref="A1:G44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2400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65" customHeight="1">
      <c r="A5" s="5"/>
      <c r="B5" s="3" t="s">
        <v>673</v>
      </c>
      <c r="C5" s="3" t="s">
        <v>674</v>
      </c>
      <c r="D5" s="12" t="s">
        <v>675</v>
      </c>
      <c r="E5" s="3" t="s">
        <v>724</v>
      </c>
      <c r="F5" s="5"/>
      <c r="G5" s="5"/>
    </row>
    <row r="6" spans="1:7" ht="13.95" customHeight="1">
      <c r="A6" s="5"/>
      <c r="B6" s="3" t="s">
        <v>731</v>
      </c>
      <c r="C6" s="3" t="s">
        <v>678</v>
      </c>
      <c r="D6" s="5"/>
      <c r="E6" s="3" t="s">
        <v>723</v>
      </c>
      <c r="F6" s="5"/>
      <c r="G6" s="5"/>
    </row>
    <row r="7" spans="1:7" ht="13.65" customHeight="1">
      <c r="A7" s="5"/>
      <c r="B7" s="3" t="s">
        <v>751</v>
      </c>
      <c r="C7" s="3" t="s">
        <v>681</v>
      </c>
      <c r="D7" s="5"/>
      <c r="E7" s="3" t="s">
        <v>724</v>
      </c>
      <c r="F7" s="5"/>
      <c r="G7" s="5"/>
    </row>
    <row r="8" spans="1:7" ht="13.65" customHeight="1">
      <c r="A8" s="5"/>
      <c r="B8" s="3" t="s">
        <v>683</v>
      </c>
      <c r="C8" s="3" t="s">
        <v>684</v>
      </c>
      <c r="D8" s="12" t="s">
        <v>675</v>
      </c>
      <c r="E8" s="3" t="s">
        <v>693</v>
      </c>
      <c r="F8" s="5"/>
      <c r="G8" s="5"/>
    </row>
    <row r="9" spans="1:7" ht="12" customHeight="1">
      <c r="A9" s="5"/>
      <c r="B9" s="5"/>
      <c r="C9" s="5"/>
      <c r="D9" s="5"/>
      <c r="E9" s="2474" t="s">
        <v>685</v>
      </c>
      <c r="F9" s="2474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95" customHeight="1">
      <c r="A11" s="5"/>
      <c r="B11" s="4" t="s">
        <v>1435</v>
      </c>
      <c r="C11" s="5"/>
      <c r="D11" s="12" t="s">
        <v>1405</v>
      </c>
      <c r="E11" s="3" t="s">
        <v>719</v>
      </c>
      <c r="F11" s="5"/>
      <c r="G11" s="5"/>
    </row>
    <row r="12" spans="1:7" ht="12" customHeight="1">
      <c r="A12" s="5"/>
      <c r="B12" s="5"/>
      <c r="C12" s="5"/>
      <c r="D12" s="5"/>
      <c r="E12" s="2474" t="s">
        <v>702</v>
      </c>
      <c r="F12" s="2474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12" customHeight="1">
      <c r="A14" s="5"/>
      <c r="B14" s="5"/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2474" t="s">
        <v>705</v>
      </c>
      <c r="F15" s="2474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2474" t="s">
        <v>707</v>
      </c>
      <c r="C17" s="2474"/>
      <c r="D17" s="2474"/>
      <c r="E17" s="2474"/>
      <c r="F17" s="2474"/>
      <c r="G17" s="5"/>
    </row>
    <row r="18" spans="1:7" ht="12" customHeight="1">
      <c r="A18" s="12" t="s">
        <v>708</v>
      </c>
      <c r="B18" s="2471" t="s">
        <v>876</v>
      </c>
      <c r="C18" s="2471"/>
      <c r="D18" s="2471"/>
      <c r="E18" s="2472" t="s">
        <v>710</v>
      </c>
      <c r="F18" s="2472"/>
      <c r="G18" s="5"/>
    </row>
    <row r="19" spans="1:7" ht="12" customHeight="1">
      <c r="A19" s="12" t="s">
        <v>711</v>
      </c>
      <c r="B19" s="2473" t="s">
        <v>712</v>
      </c>
      <c r="C19" s="2473"/>
      <c r="D19" s="2473"/>
      <c r="E19" s="2473"/>
      <c r="F19" s="2473"/>
      <c r="G19" s="5"/>
    </row>
    <row r="20" spans="1:7" ht="12" customHeight="1">
      <c r="A20" s="12"/>
      <c r="B20" s="26"/>
      <c r="C20" s="26"/>
      <c r="D20" s="26"/>
      <c r="E20" s="26"/>
      <c r="F20" s="26"/>
      <c r="G20" s="5"/>
    </row>
    <row r="21" spans="1:7" ht="12" customHeight="1">
      <c r="A21" s="50" t="s">
        <v>2401</v>
      </c>
      <c r="B21" s="26"/>
      <c r="C21" s="26"/>
      <c r="D21" s="26"/>
      <c r="E21" s="26"/>
      <c r="F21" s="26"/>
      <c r="G21" s="5"/>
    </row>
    <row r="22" spans="1:7" ht="12" customHeight="1">
      <c r="A22" s="12"/>
      <c r="B22" s="26"/>
      <c r="C22" s="26"/>
      <c r="D22" s="26"/>
      <c r="E22" s="26"/>
      <c r="F22" s="26"/>
      <c r="G22" s="5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3.65" customHeight="1">
      <c r="A25" s="5"/>
      <c r="B25" s="3" t="s">
        <v>673</v>
      </c>
      <c r="C25" s="3" t="s">
        <v>674</v>
      </c>
      <c r="D25" s="12" t="s">
        <v>675</v>
      </c>
      <c r="E25" s="3" t="s">
        <v>1436</v>
      </c>
      <c r="F25" s="5"/>
      <c r="G25" s="5"/>
    </row>
    <row r="26" spans="1:7" ht="13.65" customHeight="1">
      <c r="A26" s="5"/>
      <c r="B26" s="3" t="s">
        <v>731</v>
      </c>
      <c r="C26" s="3" t="s">
        <v>678</v>
      </c>
      <c r="D26" s="5"/>
      <c r="E26" s="3" t="s">
        <v>1437</v>
      </c>
      <c r="F26" s="5"/>
      <c r="G26" s="5"/>
    </row>
    <row r="27" spans="1:7" ht="13.95" customHeight="1">
      <c r="A27" s="5"/>
      <c r="B27" s="3" t="s">
        <v>751</v>
      </c>
      <c r="C27" s="3" t="s">
        <v>681</v>
      </c>
      <c r="D27" s="5"/>
      <c r="E27" s="3" t="s">
        <v>697</v>
      </c>
      <c r="F27" s="5"/>
      <c r="G27" s="5"/>
    </row>
    <row r="28" spans="1:7" ht="13.65" customHeight="1">
      <c r="A28" s="5"/>
      <c r="B28" s="3" t="s">
        <v>683</v>
      </c>
      <c r="C28" s="3" t="s">
        <v>684</v>
      </c>
      <c r="D28" s="12" t="s">
        <v>675</v>
      </c>
      <c r="E28" s="3" t="s">
        <v>942</v>
      </c>
      <c r="F28" s="5"/>
      <c r="G28" s="5"/>
    </row>
    <row r="29" spans="1:7" ht="12" customHeight="1">
      <c r="A29" s="5"/>
      <c r="B29" s="5"/>
      <c r="C29" s="5"/>
      <c r="D29" s="5"/>
      <c r="E29" s="2474" t="s">
        <v>685</v>
      </c>
      <c r="F29" s="2474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95" customHeight="1">
      <c r="A31" s="5"/>
      <c r="B31" s="3" t="s">
        <v>742</v>
      </c>
      <c r="C31" s="5"/>
      <c r="D31" s="12" t="s">
        <v>1423</v>
      </c>
      <c r="E31" s="3" t="s">
        <v>1438</v>
      </c>
      <c r="F31" s="5"/>
      <c r="G31" s="5"/>
    </row>
    <row r="32" spans="1:7" ht="13.65" customHeight="1">
      <c r="A32" s="5"/>
      <c r="B32" s="3" t="s">
        <v>689</v>
      </c>
      <c r="C32" s="5"/>
      <c r="D32" s="12" t="s">
        <v>690</v>
      </c>
      <c r="E32" s="3" t="s">
        <v>1439</v>
      </c>
      <c r="F32" s="5"/>
      <c r="G32" s="5"/>
    </row>
    <row r="33" spans="1:7" ht="13.65" customHeight="1">
      <c r="A33" s="5"/>
      <c r="B33" s="3" t="s">
        <v>739</v>
      </c>
      <c r="C33" s="5"/>
      <c r="D33" s="12" t="s">
        <v>881</v>
      </c>
      <c r="E33" s="3" t="s">
        <v>1256</v>
      </c>
      <c r="F33" s="5"/>
      <c r="G33" s="5"/>
    </row>
    <row r="34" spans="1:7" ht="13.95" customHeight="1">
      <c r="A34" s="5"/>
      <c r="B34" s="3" t="s">
        <v>691</v>
      </c>
      <c r="C34" s="5"/>
      <c r="D34" s="12" t="s">
        <v>881</v>
      </c>
      <c r="E34" s="3" t="s">
        <v>1254</v>
      </c>
      <c r="F34" s="5"/>
      <c r="G34" s="5"/>
    </row>
    <row r="35" spans="1:7" ht="13.65" customHeight="1">
      <c r="A35" s="5"/>
      <c r="B35" s="3" t="s">
        <v>833</v>
      </c>
      <c r="C35" s="5"/>
      <c r="D35" s="12" t="s">
        <v>881</v>
      </c>
      <c r="E35" s="3" t="s">
        <v>1256</v>
      </c>
      <c r="F35" s="5"/>
      <c r="G35" s="5"/>
    </row>
    <row r="36" spans="1:7" ht="13.65" customHeight="1">
      <c r="A36" s="5"/>
      <c r="B36" s="3" t="s">
        <v>1428</v>
      </c>
      <c r="C36" s="5"/>
      <c r="D36" s="12" t="s">
        <v>690</v>
      </c>
      <c r="E36" s="3" t="s">
        <v>1440</v>
      </c>
      <c r="F36" s="5"/>
      <c r="G36" s="5"/>
    </row>
    <row r="37" spans="1:7" ht="12" customHeight="1">
      <c r="A37" s="5"/>
      <c r="B37" s="5"/>
      <c r="C37" s="5"/>
      <c r="D37" s="5"/>
      <c r="E37" s="2474" t="s">
        <v>702</v>
      </c>
      <c r="F37" s="2474"/>
      <c r="G37" s="5"/>
    </row>
    <row r="38" spans="1:7" ht="12" customHeight="1">
      <c r="A38" s="12" t="s">
        <v>703</v>
      </c>
      <c r="B38" s="3" t="s">
        <v>704</v>
      </c>
      <c r="C38" s="5"/>
      <c r="D38" s="5"/>
      <c r="E38" s="5"/>
      <c r="F38" s="5"/>
      <c r="G38" s="5"/>
    </row>
    <row r="39" spans="1:7" ht="12" customHeight="1">
      <c r="A39" s="5"/>
      <c r="B39" s="5"/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2474" t="s">
        <v>705</v>
      </c>
      <c r="F40" s="2474"/>
      <c r="G40" s="5"/>
    </row>
    <row r="41" spans="1:7" ht="12" customHeight="1">
      <c r="A41" s="5"/>
      <c r="B41" s="5"/>
      <c r="C41" s="5"/>
      <c r="D41" s="5"/>
      <c r="E41" s="5"/>
      <c r="F41" s="5"/>
      <c r="G41" s="5"/>
    </row>
    <row r="42" spans="1:7" ht="12" customHeight="1">
      <c r="A42" s="12" t="s">
        <v>706</v>
      </c>
      <c r="B42" s="2474" t="s">
        <v>707</v>
      </c>
      <c r="C42" s="2474"/>
      <c r="D42" s="2474"/>
      <c r="E42" s="2474"/>
      <c r="F42" s="2474"/>
      <c r="G42" s="5"/>
    </row>
    <row r="43" spans="1:7" ht="12" customHeight="1">
      <c r="A43" s="12" t="s">
        <v>708</v>
      </c>
      <c r="B43" s="2471" t="s">
        <v>876</v>
      </c>
      <c r="C43" s="2471"/>
      <c r="D43" s="2471"/>
      <c r="E43" s="2472" t="s">
        <v>710</v>
      </c>
      <c r="F43" s="2472"/>
      <c r="G43" s="5"/>
    </row>
    <row r="44" spans="1:7" ht="12" customHeight="1">
      <c r="A44" s="12" t="s">
        <v>711</v>
      </c>
      <c r="B44" s="2473" t="s">
        <v>712</v>
      </c>
      <c r="C44" s="2473"/>
      <c r="D44" s="2473"/>
      <c r="E44" s="2473"/>
      <c r="F44" s="2473"/>
      <c r="G44" s="5"/>
    </row>
  </sheetData>
  <mergeCells count="14">
    <mergeCell ref="E9:F9"/>
    <mergeCell ref="E12:F12"/>
    <mergeCell ref="E15:F15"/>
    <mergeCell ref="B17:F17"/>
    <mergeCell ref="B18:D18"/>
    <mergeCell ref="E18:F18"/>
    <mergeCell ref="B43:D43"/>
    <mergeCell ref="E43:F43"/>
    <mergeCell ref="B44:F44"/>
    <mergeCell ref="B19:F19"/>
    <mergeCell ref="E29:F29"/>
    <mergeCell ref="E37:F37"/>
    <mergeCell ref="E40:F40"/>
    <mergeCell ref="B42:F42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7"/>
  <dimension ref="A1:G40"/>
  <sheetViews>
    <sheetView topLeftCell="A28" workbookViewId="0">
      <selection sqref="A1:G40"/>
    </sheetView>
  </sheetViews>
  <sheetFormatPr defaultRowHeight="14.4"/>
  <cols>
    <col min="1" max="1" width="5.33203125" customWidth="1"/>
    <col min="2" max="2" width="24.44140625" customWidth="1"/>
    <col min="3" max="3" width="7" customWidth="1"/>
    <col min="4" max="4" width="10.88671875" customWidth="1"/>
    <col min="5" max="5" width="14.33203125" customWidth="1"/>
    <col min="6" max="6" width="13.88671875" customWidth="1"/>
    <col min="7" max="7" width="16" customWidth="1"/>
  </cols>
  <sheetData>
    <row r="1" spans="1:7">
      <c r="A1" s="55" t="s">
        <v>2133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65" customHeight="1">
      <c r="A5" s="5"/>
      <c r="B5" s="3" t="s">
        <v>673</v>
      </c>
      <c r="C5" s="3" t="s">
        <v>674</v>
      </c>
      <c r="D5" s="12" t="s">
        <v>675</v>
      </c>
      <c r="E5" s="3" t="s">
        <v>845</v>
      </c>
      <c r="F5" s="5"/>
      <c r="G5" s="5"/>
    </row>
    <row r="6" spans="1:7" ht="13.95" customHeight="1">
      <c r="A6" s="5"/>
      <c r="B6" s="3" t="s">
        <v>782</v>
      </c>
      <c r="C6" s="3" t="s">
        <v>681</v>
      </c>
      <c r="D6" s="12" t="s">
        <v>675</v>
      </c>
      <c r="E6" s="3" t="s">
        <v>845</v>
      </c>
      <c r="F6" s="5"/>
      <c r="G6" s="5"/>
    </row>
    <row r="7" spans="1:7" ht="13.65" customHeight="1">
      <c r="A7" s="5"/>
      <c r="B7" s="3" t="s">
        <v>751</v>
      </c>
      <c r="C7" s="3" t="s">
        <v>681</v>
      </c>
      <c r="D7" s="12" t="s">
        <v>675</v>
      </c>
      <c r="E7" s="3" t="s">
        <v>846</v>
      </c>
      <c r="F7" s="5"/>
      <c r="G7" s="5"/>
    </row>
    <row r="8" spans="1:7" ht="13.65" customHeight="1">
      <c r="A8" s="5"/>
      <c r="B8" s="3" t="s">
        <v>683</v>
      </c>
      <c r="C8" s="3" t="s">
        <v>684</v>
      </c>
      <c r="D8" s="12" t="s">
        <v>675</v>
      </c>
      <c r="E8" s="3" t="s">
        <v>865</v>
      </c>
      <c r="F8" s="5"/>
      <c r="G8" s="5"/>
    </row>
    <row r="9" spans="1:7" ht="12" customHeight="1">
      <c r="A9" s="5"/>
      <c r="B9" s="5"/>
      <c r="C9" s="5"/>
      <c r="D9" s="5"/>
      <c r="E9" s="2474" t="s">
        <v>685</v>
      </c>
      <c r="F9" s="2474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23.4" customHeight="1">
      <c r="A11" s="5"/>
      <c r="B11" s="16" t="s">
        <v>983</v>
      </c>
      <c r="C11" s="5"/>
      <c r="D11" s="12" t="s">
        <v>984</v>
      </c>
      <c r="E11" s="3" t="s">
        <v>775</v>
      </c>
      <c r="F11" s="5"/>
      <c r="G11" s="5"/>
    </row>
    <row r="12" spans="1:7" ht="13.95" customHeight="1">
      <c r="A12" s="5"/>
      <c r="B12" s="5"/>
      <c r="C12" s="5"/>
      <c r="D12" s="5"/>
      <c r="E12" s="2474" t="s">
        <v>702</v>
      </c>
      <c r="F12" s="2474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12" customHeight="1">
      <c r="A14" s="5"/>
      <c r="B14" s="5"/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2474" t="s">
        <v>705</v>
      </c>
      <c r="F15" s="2474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2474" t="s">
        <v>707</v>
      </c>
      <c r="C17" s="2474"/>
      <c r="D17" s="2474"/>
      <c r="E17" s="2474"/>
      <c r="F17" s="2474"/>
      <c r="G17" s="5"/>
    </row>
    <row r="18" spans="1:7" ht="12" customHeight="1">
      <c r="A18" s="12" t="s">
        <v>708</v>
      </c>
      <c r="B18" s="2471" t="s">
        <v>876</v>
      </c>
      <c r="C18" s="2471"/>
      <c r="D18" s="2471"/>
      <c r="E18" s="2472" t="s">
        <v>710</v>
      </c>
      <c r="F18" s="2472"/>
      <c r="G18" s="5"/>
    </row>
    <row r="19" spans="1:7" ht="12" customHeight="1">
      <c r="A19" s="12" t="s">
        <v>711</v>
      </c>
      <c r="B19" s="2473" t="s">
        <v>712</v>
      </c>
      <c r="C19" s="2473"/>
      <c r="D19" s="2473"/>
      <c r="E19" s="2473"/>
      <c r="F19" s="2473"/>
      <c r="G19" s="5"/>
    </row>
    <row r="20" spans="1:7" ht="12" customHeight="1">
      <c r="A20" s="12"/>
      <c r="B20" s="26"/>
      <c r="C20" s="26"/>
      <c r="D20" s="26"/>
      <c r="E20" s="26"/>
      <c r="F20" s="26"/>
      <c r="G20" s="5"/>
    </row>
    <row r="21" spans="1:7" ht="12" customHeight="1">
      <c r="A21" s="50" t="s">
        <v>2134</v>
      </c>
      <c r="B21" s="26"/>
      <c r="C21" s="26"/>
      <c r="D21" s="26"/>
      <c r="E21" s="26"/>
      <c r="F21" s="26"/>
      <c r="G21" s="5"/>
    </row>
    <row r="22" spans="1:7" ht="12" customHeight="1">
      <c r="A22" s="12"/>
      <c r="B22" s="26"/>
      <c r="C22" s="26"/>
      <c r="D22" s="26"/>
      <c r="E22" s="26"/>
      <c r="F22" s="26"/>
      <c r="G22" s="5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3.65" customHeight="1">
      <c r="A25" s="5"/>
      <c r="B25" s="3" t="s">
        <v>673</v>
      </c>
      <c r="C25" s="3" t="s">
        <v>674</v>
      </c>
      <c r="D25" s="12" t="s">
        <v>675</v>
      </c>
      <c r="E25" s="3" t="s">
        <v>985</v>
      </c>
      <c r="F25" s="5"/>
      <c r="G25" s="5"/>
    </row>
    <row r="26" spans="1:7" ht="13.65" customHeight="1">
      <c r="A26" s="5"/>
      <c r="B26" s="3" t="s">
        <v>986</v>
      </c>
      <c r="C26" s="3" t="s">
        <v>681</v>
      </c>
      <c r="D26" s="12" t="s">
        <v>675</v>
      </c>
      <c r="E26" s="3">
        <v>1.67</v>
      </c>
      <c r="F26" s="5"/>
      <c r="G26" s="5"/>
    </row>
    <row r="27" spans="1:7" ht="13.95" customHeight="1">
      <c r="A27" s="5"/>
      <c r="B27" s="3" t="s">
        <v>751</v>
      </c>
      <c r="C27" s="3" t="s">
        <v>681</v>
      </c>
      <c r="D27" s="12" t="s">
        <v>675</v>
      </c>
      <c r="E27" s="3" t="s">
        <v>987</v>
      </c>
      <c r="F27" s="5"/>
      <c r="G27" s="5"/>
    </row>
    <row r="28" spans="1:7" ht="13.65" customHeight="1">
      <c r="A28" s="5"/>
      <c r="B28" s="3" t="s">
        <v>683</v>
      </c>
      <c r="C28" s="3" t="s">
        <v>684</v>
      </c>
      <c r="D28" s="12" t="s">
        <v>675</v>
      </c>
      <c r="E28" s="3" t="s">
        <v>840</v>
      </c>
      <c r="F28" s="5"/>
      <c r="G28" s="5"/>
    </row>
    <row r="29" spans="1:7" ht="12" customHeight="1">
      <c r="A29" s="5"/>
      <c r="B29" s="5"/>
      <c r="C29" s="5"/>
      <c r="D29" s="5"/>
      <c r="E29" s="2474" t="s">
        <v>685</v>
      </c>
      <c r="F29" s="2474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65" customHeight="1">
      <c r="A31" s="5"/>
      <c r="B31" s="3" t="s">
        <v>736</v>
      </c>
      <c r="C31" s="5"/>
      <c r="D31" s="12" t="s">
        <v>773</v>
      </c>
      <c r="E31" s="3" t="s">
        <v>988</v>
      </c>
      <c r="F31" s="5"/>
      <c r="G31" s="5"/>
    </row>
    <row r="32" spans="1:7" ht="13.95" customHeight="1">
      <c r="A32" s="5"/>
      <c r="B32" s="3" t="s">
        <v>958</v>
      </c>
      <c r="C32" s="5"/>
      <c r="D32" s="12" t="s">
        <v>959</v>
      </c>
      <c r="E32" s="3" t="s">
        <v>989</v>
      </c>
      <c r="F32" s="5"/>
      <c r="G32" s="5"/>
    </row>
    <row r="33" spans="1:7" ht="13.65" customHeight="1">
      <c r="A33" s="5"/>
      <c r="B33" s="5"/>
      <c r="C33" s="5"/>
      <c r="D33" s="5"/>
      <c r="E33" s="2474" t="s">
        <v>702</v>
      </c>
      <c r="F33" s="2474"/>
      <c r="G33" s="5"/>
    </row>
    <row r="34" spans="1:7" ht="12" customHeight="1">
      <c r="A34" s="12" t="s">
        <v>703</v>
      </c>
      <c r="B34" s="3" t="s">
        <v>704</v>
      </c>
      <c r="C34" s="5"/>
      <c r="D34" s="5"/>
      <c r="E34" s="5"/>
      <c r="F34" s="5"/>
      <c r="G34" s="5"/>
    </row>
    <row r="35" spans="1:7" ht="12" customHeight="1">
      <c r="A35" s="5"/>
      <c r="B35" s="5"/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2474" t="s">
        <v>705</v>
      </c>
      <c r="F36" s="2474"/>
      <c r="G36" s="5"/>
    </row>
    <row r="37" spans="1:7" ht="12" customHeight="1">
      <c r="A37" s="5"/>
      <c r="B37" s="5"/>
      <c r="C37" s="5"/>
      <c r="D37" s="5"/>
      <c r="E37" s="5"/>
      <c r="F37" s="5"/>
      <c r="G37" s="5"/>
    </row>
    <row r="38" spans="1:7" ht="12" customHeight="1">
      <c r="A38" s="12" t="s">
        <v>706</v>
      </c>
      <c r="B38" s="2474" t="s">
        <v>707</v>
      </c>
      <c r="C38" s="2474"/>
      <c r="D38" s="2474"/>
      <c r="E38" s="2474"/>
      <c r="F38" s="2474"/>
      <c r="G38" s="5"/>
    </row>
    <row r="39" spans="1:7" ht="12" customHeight="1">
      <c r="A39" s="12" t="s">
        <v>708</v>
      </c>
      <c r="B39" s="2471" t="s">
        <v>876</v>
      </c>
      <c r="C39" s="2471"/>
      <c r="D39" s="2471"/>
      <c r="E39" s="2472" t="s">
        <v>710</v>
      </c>
      <c r="F39" s="2472"/>
      <c r="G39" s="5"/>
    </row>
    <row r="40" spans="1:7" ht="12" customHeight="1">
      <c r="A40" s="12" t="s">
        <v>711</v>
      </c>
      <c r="B40" s="2473" t="s">
        <v>712</v>
      </c>
      <c r="C40" s="2473"/>
      <c r="D40" s="2473"/>
      <c r="E40" s="2473"/>
      <c r="F40" s="2473"/>
      <c r="G40" s="5"/>
    </row>
  </sheetData>
  <mergeCells count="14">
    <mergeCell ref="E9:F9"/>
    <mergeCell ref="E12:F12"/>
    <mergeCell ref="E15:F15"/>
    <mergeCell ref="B17:F17"/>
    <mergeCell ref="B18:D18"/>
    <mergeCell ref="E18:F18"/>
    <mergeCell ref="B39:D39"/>
    <mergeCell ref="E39:F39"/>
    <mergeCell ref="B40:F40"/>
    <mergeCell ref="B19:F19"/>
    <mergeCell ref="E29:F29"/>
    <mergeCell ref="E33:F33"/>
    <mergeCell ref="E36:F36"/>
    <mergeCell ref="B38:F38"/>
  </mergeCells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142"/>
  <dimension ref="A1:G49"/>
  <sheetViews>
    <sheetView topLeftCell="A28" workbookViewId="0">
      <selection activeCell="G49" sqref="A1:G49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2402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65" customHeight="1">
      <c r="A5" s="5"/>
      <c r="B5" s="3" t="s">
        <v>673</v>
      </c>
      <c r="C5" s="3" t="s">
        <v>674</v>
      </c>
      <c r="D5" s="12" t="s">
        <v>675</v>
      </c>
      <c r="E5" s="15" t="s">
        <v>1441</v>
      </c>
      <c r="F5" s="5"/>
      <c r="G5" s="5"/>
    </row>
    <row r="6" spans="1:7" ht="13.95" customHeight="1">
      <c r="A6" s="5"/>
      <c r="B6" s="3" t="s">
        <v>731</v>
      </c>
      <c r="C6" s="3" t="s">
        <v>678</v>
      </c>
      <c r="D6" s="5"/>
      <c r="E6" s="3" t="s">
        <v>1442</v>
      </c>
      <c r="F6" s="5"/>
      <c r="G6" s="5"/>
    </row>
    <row r="7" spans="1:7" ht="13.65" customHeight="1">
      <c r="A7" s="5"/>
      <c r="B7" s="3" t="s">
        <v>751</v>
      </c>
      <c r="C7" s="3" t="s">
        <v>681</v>
      </c>
      <c r="D7" s="5"/>
      <c r="E7" s="3" t="s">
        <v>942</v>
      </c>
      <c r="F7" s="5"/>
      <c r="G7" s="5"/>
    </row>
    <row r="8" spans="1:7" ht="13.65" customHeight="1">
      <c r="A8" s="5"/>
      <c r="B8" s="3" t="s">
        <v>683</v>
      </c>
      <c r="C8" s="3" t="s">
        <v>684</v>
      </c>
      <c r="D8" s="12" t="s">
        <v>675</v>
      </c>
      <c r="E8" s="3" t="s">
        <v>1044</v>
      </c>
      <c r="F8" s="5"/>
      <c r="G8" s="5"/>
    </row>
    <row r="9" spans="1:7" ht="12" customHeight="1">
      <c r="A9" s="5"/>
      <c r="B9" s="5"/>
      <c r="C9" s="5"/>
      <c r="D9" s="5"/>
      <c r="E9" s="2474" t="s">
        <v>685</v>
      </c>
      <c r="F9" s="2474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95" customHeight="1">
      <c r="A11" s="5"/>
      <c r="B11" s="3" t="s">
        <v>742</v>
      </c>
      <c r="C11" s="5"/>
      <c r="D11" s="12" t="s">
        <v>1423</v>
      </c>
      <c r="E11" s="3" t="s">
        <v>1443</v>
      </c>
      <c r="F11" s="5"/>
      <c r="G11" s="5"/>
    </row>
    <row r="12" spans="1:7" ht="13.65" customHeight="1">
      <c r="A12" s="5"/>
      <c r="B12" s="3" t="s">
        <v>689</v>
      </c>
      <c r="C12" s="5"/>
      <c r="D12" s="12" t="s">
        <v>690</v>
      </c>
      <c r="E12" s="3" t="s">
        <v>1444</v>
      </c>
      <c r="F12" s="5"/>
      <c r="G12" s="5"/>
    </row>
    <row r="13" spans="1:7" ht="13.65" customHeight="1">
      <c r="A13" s="5"/>
      <c r="B13" s="3" t="s">
        <v>739</v>
      </c>
      <c r="C13" s="5"/>
      <c r="D13" s="12" t="s">
        <v>881</v>
      </c>
      <c r="E13" s="3" t="s">
        <v>1102</v>
      </c>
      <c r="F13" s="5"/>
      <c r="G13" s="5"/>
    </row>
    <row r="14" spans="1:7" ht="13.95" customHeight="1">
      <c r="A14" s="5"/>
      <c r="B14" s="3" t="s">
        <v>691</v>
      </c>
      <c r="C14" s="5"/>
      <c r="D14" s="12" t="s">
        <v>881</v>
      </c>
      <c r="E14" s="3" t="s">
        <v>1114</v>
      </c>
      <c r="F14" s="5"/>
      <c r="G14" s="5"/>
    </row>
    <row r="15" spans="1:7" ht="13.65" customHeight="1">
      <c r="A15" s="5"/>
      <c r="B15" s="3" t="s">
        <v>833</v>
      </c>
      <c r="C15" s="5"/>
      <c r="D15" s="12" t="s">
        <v>881</v>
      </c>
      <c r="E15" s="3" t="s">
        <v>728</v>
      </c>
      <c r="F15" s="5"/>
      <c r="G15" s="5"/>
    </row>
    <row r="16" spans="1:7" ht="13.95" customHeight="1">
      <c r="A16" s="5"/>
      <c r="B16" s="3" t="s">
        <v>1428</v>
      </c>
      <c r="C16" s="5"/>
      <c r="D16" s="12" t="s">
        <v>690</v>
      </c>
      <c r="E16" s="3" t="s">
        <v>1445</v>
      </c>
      <c r="F16" s="5"/>
      <c r="G16" s="5"/>
    </row>
    <row r="17" spans="1:7" ht="11.85" customHeight="1">
      <c r="A17" s="5"/>
      <c r="B17" s="5"/>
      <c r="C17" s="5"/>
      <c r="D17" s="5"/>
      <c r="E17" s="2474" t="s">
        <v>702</v>
      </c>
      <c r="F17" s="2474"/>
      <c r="G17" s="5"/>
    </row>
    <row r="18" spans="1:7" ht="12" customHeight="1">
      <c r="A18" s="12" t="s">
        <v>703</v>
      </c>
      <c r="B18" s="3" t="s">
        <v>704</v>
      </c>
      <c r="C18" s="5"/>
      <c r="D18" s="5"/>
      <c r="E18" s="5"/>
      <c r="F18" s="5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5"/>
      <c r="B20" s="5"/>
      <c r="C20" s="5"/>
      <c r="D20" s="5"/>
      <c r="E20" s="2474" t="s">
        <v>705</v>
      </c>
      <c r="F20" s="2474"/>
      <c r="G20" s="5"/>
    </row>
    <row r="21" spans="1:7" ht="12" customHeight="1">
      <c r="A21" s="5"/>
      <c r="B21" s="5"/>
      <c r="C21" s="5"/>
      <c r="D21" s="5"/>
      <c r="E21" s="5"/>
      <c r="F21" s="5"/>
      <c r="G21" s="5"/>
    </row>
    <row r="22" spans="1:7" ht="12" customHeight="1">
      <c r="A22" s="12" t="s">
        <v>706</v>
      </c>
      <c r="B22" s="2474" t="s">
        <v>707</v>
      </c>
      <c r="C22" s="2474"/>
      <c r="D22" s="2474"/>
      <c r="E22" s="2474"/>
      <c r="F22" s="2474"/>
      <c r="G22" s="5"/>
    </row>
    <row r="23" spans="1:7" ht="12" customHeight="1">
      <c r="A23" s="12" t="s">
        <v>708</v>
      </c>
      <c r="B23" s="2471" t="s">
        <v>876</v>
      </c>
      <c r="C23" s="2471"/>
      <c r="D23" s="2471"/>
      <c r="E23" s="2472" t="s">
        <v>710</v>
      </c>
      <c r="F23" s="2472"/>
      <c r="G23" s="5"/>
    </row>
    <row r="24" spans="1:7" ht="12.15" customHeight="1">
      <c r="A24" s="12" t="s">
        <v>711</v>
      </c>
      <c r="B24" s="2473" t="s">
        <v>712</v>
      </c>
      <c r="C24" s="2473"/>
      <c r="D24" s="2473"/>
      <c r="E24" s="2473"/>
      <c r="F24" s="2473"/>
      <c r="G24" s="5"/>
    </row>
    <row r="25" spans="1:7" ht="12.15" customHeight="1">
      <c r="A25" s="12"/>
      <c r="B25" s="26"/>
      <c r="C25" s="26"/>
      <c r="D25" s="26"/>
      <c r="E25" s="26"/>
      <c r="F25" s="26"/>
      <c r="G25" s="5"/>
    </row>
    <row r="26" spans="1:7" ht="12.15" customHeight="1">
      <c r="A26" s="50" t="s">
        <v>2403</v>
      </c>
      <c r="B26" s="26"/>
      <c r="C26" s="26"/>
      <c r="D26" s="26"/>
      <c r="E26" s="26"/>
      <c r="F26" s="26"/>
      <c r="G26" s="5"/>
    </row>
    <row r="27" spans="1:7" ht="12.15" customHeight="1">
      <c r="A27" s="12"/>
      <c r="B27" s="26"/>
      <c r="C27" s="26"/>
      <c r="D27" s="26"/>
      <c r="E27" s="26"/>
      <c r="F27" s="26"/>
      <c r="G27" s="5"/>
    </row>
    <row r="28" spans="1:7" ht="34.950000000000003" customHeight="1">
      <c r="A28" s="6" t="s">
        <v>762</v>
      </c>
      <c r="B28" s="6" t="s">
        <v>763</v>
      </c>
      <c r="C28" s="6" t="s">
        <v>764</v>
      </c>
      <c r="D28" s="6" t="s">
        <v>765</v>
      </c>
      <c r="E28" s="6" t="s">
        <v>766</v>
      </c>
      <c r="F28" s="7" t="s">
        <v>767</v>
      </c>
      <c r="G28" s="7" t="s">
        <v>768</v>
      </c>
    </row>
    <row r="29" spans="1:7" ht="12" customHeight="1">
      <c r="A29" s="12" t="s">
        <v>671</v>
      </c>
      <c r="B29" s="3" t="s">
        <v>672</v>
      </c>
      <c r="C29" s="5"/>
      <c r="D29" s="5"/>
      <c r="E29" s="5"/>
      <c r="F29" s="5"/>
      <c r="G29" s="5"/>
    </row>
    <row r="30" spans="1:7" ht="13.95" customHeight="1">
      <c r="A30" s="5"/>
      <c r="B30" s="3" t="s">
        <v>673</v>
      </c>
      <c r="C30" s="3" t="s">
        <v>674</v>
      </c>
      <c r="D30" s="12" t="s">
        <v>675</v>
      </c>
      <c r="E30" s="15" t="s">
        <v>1441</v>
      </c>
      <c r="F30" s="5"/>
      <c r="G30" s="5"/>
    </row>
    <row r="31" spans="1:7" ht="13.65" customHeight="1">
      <c r="A31" s="5"/>
      <c r="B31" s="3" t="s">
        <v>731</v>
      </c>
      <c r="C31" s="3" t="s">
        <v>678</v>
      </c>
      <c r="D31" s="5"/>
      <c r="E31" s="3" t="s">
        <v>1442</v>
      </c>
      <c r="F31" s="5"/>
      <c r="G31" s="5"/>
    </row>
    <row r="32" spans="1:7" ht="13.65" customHeight="1">
      <c r="A32" s="5"/>
      <c r="B32" s="3" t="s">
        <v>751</v>
      </c>
      <c r="C32" s="3" t="s">
        <v>681</v>
      </c>
      <c r="D32" s="5"/>
      <c r="E32" s="3" t="s">
        <v>942</v>
      </c>
      <c r="F32" s="5"/>
      <c r="G32" s="5"/>
    </row>
    <row r="33" spans="1:7" ht="13.95" customHeight="1">
      <c r="A33" s="5"/>
      <c r="B33" s="3" t="s">
        <v>683</v>
      </c>
      <c r="C33" s="3" t="s">
        <v>684</v>
      </c>
      <c r="D33" s="12" t="s">
        <v>675</v>
      </c>
      <c r="E33" s="3" t="s">
        <v>1044</v>
      </c>
      <c r="F33" s="5"/>
      <c r="G33" s="5"/>
    </row>
    <row r="34" spans="1:7" ht="12" customHeight="1">
      <c r="A34" s="5"/>
      <c r="B34" s="5"/>
      <c r="C34" s="5"/>
      <c r="D34" s="5"/>
      <c r="E34" s="2474" t="s">
        <v>685</v>
      </c>
      <c r="F34" s="2474"/>
      <c r="G34" s="5"/>
    </row>
    <row r="35" spans="1:7" ht="12" customHeight="1">
      <c r="A35" s="12" t="s">
        <v>686</v>
      </c>
      <c r="B35" s="3" t="s">
        <v>687</v>
      </c>
      <c r="C35" s="5"/>
      <c r="D35" s="5"/>
      <c r="E35" s="5"/>
      <c r="F35" s="5"/>
      <c r="G35" s="5"/>
    </row>
    <row r="36" spans="1:7" ht="13.65" customHeight="1">
      <c r="A36" s="5"/>
      <c r="B36" s="3" t="s">
        <v>742</v>
      </c>
      <c r="C36" s="5"/>
      <c r="D36" s="12" t="s">
        <v>1423</v>
      </c>
      <c r="E36" s="3" t="s">
        <v>1446</v>
      </c>
      <c r="F36" s="5"/>
      <c r="G36" s="5"/>
    </row>
    <row r="37" spans="1:7" ht="13.65" customHeight="1">
      <c r="A37" s="5"/>
      <c r="B37" s="3" t="s">
        <v>689</v>
      </c>
      <c r="C37" s="5"/>
      <c r="D37" s="12" t="s">
        <v>690</v>
      </c>
      <c r="E37" s="3" t="s">
        <v>1447</v>
      </c>
      <c r="F37" s="5"/>
      <c r="G37" s="5"/>
    </row>
    <row r="38" spans="1:7" ht="13.95" customHeight="1">
      <c r="A38" s="5"/>
      <c r="B38" s="3" t="s">
        <v>739</v>
      </c>
      <c r="C38" s="5"/>
      <c r="D38" s="12" t="s">
        <v>881</v>
      </c>
      <c r="E38" s="3" t="s">
        <v>1448</v>
      </c>
      <c r="F38" s="5"/>
      <c r="G38" s="5"/>
    </row>
    <row r="39" spans="1:7" ht="13.65" customHeight="1">
      <c r="A39" s="5"/>
      <c r="B39" s="3" t="s">
        <v>691</v>
      </c>
      <c r="C39" s="5"/>
      <c r="D39" s="12" t="s">
        <v>881</v>
      </c>
      <c r="E39" s="3" t="s">
        <v>726</v>
      </c>
      <c r="F39" s="5"/>
      <c r="G39" s="5"/>
    </row>
    <row r="40" spans="1:7" ht="13.65" customHeight="1">
      <c r="A40" s="5"/>
      <c r="B40" s="3" t="s">
        <v>833</v>
      </c>
      <c r="C40" s="5"/>
      <c r="D40" s="12" t="s">
        <v>881</v>
      </c>
      <c r="E40" s="3" t="s">
        <v>863</v>
      </c>
      <c r="F40" s="5"/>
      <c r="G40" s="5"/>
    </row>
    <row r="41" spans="1:7" ht="13.95" customHeight="1">
      <c r="A41" s="5"/>
      <c r="B41" s="3" t="s">
        <v>1428</v>
      </c>
      <c r="C41" s="5"/>
      <c r="D41" s="12" t="s">
        <v>690</v>
      </c>
      <c r="E41" s="3" t="s">
        <v>1449</v>
      </c>
      <c r="F41" s="5"/>
      <c r="G41" s="5"/>
    </row>
    <row r="42" spans="1:7" ht="12" customHeight="1">
      <c r="A42" s="5"/>
      <c r="B42" s="5"/>
      <c r="C42" s="5"/>
      <c r="D42" s="5"/>
      <c r="E42" s="2474" t="s">
        <v>702</v>
      </c>
      <c r="F42" s="2474"/>
      <c r="G42" s="5"/>
    </row>
    <row r="43" spans="1:7" ht="12" customHeight="1">
      <c r="A43" s="12" t="s">
        <v>703</v>
      </c>
      <c r="B43" s="3" t="s">
        <v>704</v>
      </c>
      <c r="C43" s="5"/>
      <c r="D43" s="5"/>
      <c r="E43" s="5"/>
      <c r="F43" s="5"/>
      <c r="G43" s="5"/>
    </row>
    <row r="44" spans="1:7" ht="12" customHeight="1">
      <c r="A44" s="5"/>
      <c r="B44" s="5"/>
      <c r="C44" s="5"/>
      <c r="D44" s="5"/>
      <c r="E44" s="5"/>
      <c r="F44" s="5"/>
      <c r="G44" s="5"/>
    </row>
    <row r="45" spans="1:7" ht="12" customHeight="1">
      <c r="A45" s="5"/>
      <c r="B45" s="5"/>
      <c r="C45" s="5"/>
      <c r="D45" s="5"/>
      <c r="E45" s="2474" t="s">
        <v>705</v>
      </c>
      <c r="F45" s="2474"/>
      <c r="G45" s="5"/>
    </row>
    <row r="46" spans="1:7" ht="12" customHeight="1">
      <c r="A46" s="5"/>
      <c r="B46" s="5"/>
      <c r="C46" s="5"/>
      <c r="D46" s="5"/>
      <c r="E46" s="5"/>
      <c r="F46" s="5"/>
      <c r="G46" s="5"/>
    </row>
    <row r="47" spans="1:7" ht="12" customHeight="1">
      <c r="A47" s="12" t="s">
        <v>706</v>
      </c>
      <c r="B47" s="2474" t="s">
        <v>707</v>
      </c>
      <c r="C47" s="2474"/>
      <c r="D47" s="2474"/>
      <c r="E47" s="2474"/>
      <c r="F47" s="2474"/>
      <c r="G47" s="5"/>
    </row>
    <row r="48" spans="1:7" ht="12" customHeight="1">
      <c r="A48" s="12" t="s">
        <v>708</v>
      </c>
      <c r="B48" s="2471" t="s">
        <v>876</v>
      </c>
      <c r="C48" s="2471"/>
      <c r="D48" s="2471"/>
      <c r="E48" s="2472" t="s">
        <v>710</v>
      </c>
      <c r="F48" s="2472"/>
      <c r="G48" s="5"/>
    </row>
    <row r="49" spans="1:7" ht="12" customHeight="1">
      <c r="A49" s="12" t="s">
        <v>711</v>
      </c>
      <c r="B49" s="2473" t="s">
        <v>712</v>
      </c>
      <c r="C49" s="2473"/>
      <c r="D49" s="2473"/>
      <c r="E49" s="2473"/>
      <c r="F49" s="2473"/>
      <c r="G49" s="5"/>
    </row>
  </sheetData>
  <mergeCells count="14">
    <mergeCell ref="E9:F9"/>
    <mergeCell ref="E17:F17"/>
    <mergeCell ref="E20:F20"/>
    <mergeCell ref="B22:F22"/>
    <mergeCell ref="B23:D23"/>
    <mergeCell ref="E23:F23"/>
    <mergeCell ref="B48:D48"/>
    <mergeCell ref="E48:F48"/>
    <mergeCell ref="B49:F49"/>
    <mergeCell ref="B24:F24"/>
    <mergeCell ref="E34:F34"/>
    <mergeCell ref="E42:F42"/>
    <mergeCell ref="E45:F45"/>
    <mergeCell ref="B47:F47"/>
  </mergeCells>
  <pageMargins left="0.7" right="0.7" top="0.75" bottom="0.75" header="0.3" footer="0.3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143"/>
  <dimension ref="A1:G41"/>
  <sheetViews>
    <sheetView topLeftCell="A7" workbookViewId="0">
      <selection activeCell="G41" sqref="A1:G41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2404</v>
      </c>
    </row>
    <row r="3" spans="1:7" ht="34.950000000000003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5" customHeight="1">
      <c r="A5" s="5"/>
      <c r="B5" s="3" t="s">
        <v>673</v>
      </c>
      <c r="C5" s="3" t="s">
        <v>674</v>
      </c>
      <c r="D5" s="12" t="s">
        <v>675</v>
      </c>
      <c r="E5" s="3" t="s">
        <v>1450</v>
      </c>
      <c r="F5" s="5"/>
      <c r="G5" s="5"/>
    </row>
    <row r="6" spans="1:7" ht="13.65" customHeight="1">
      <c r="A6" s="5"/>
      <c r="B6" s="3" t="s">
        <v>731</v>
      </c>
      <c r="C6" s="3" t="s">
        <v>678</v>
      </c>
      <c r="D6" s="5"/>
      <c r="E6" s="3" t="s">
        <v>1114</v>
      </c>
      <c r="F6" s="5"/>
      <c r="G6" s="5"/>
    </row>
    <row r="7" spans="1:7" ht="13.65" customHeight="1">
      <c r="A7" s="5"/>
      <c r="B7" s="3" t="s">
        <v>751</v>
      </c>
      <c r="C7" s="3" t="s">
        <v>681</v>
      </c>
      <c r="D7" s="5"/>
      <c r="E7" s="3" t="s">
        <v>695</v>
      </c>
      <c r="F7" s="5"/>
      <c r="G7" s="5"/>
    </row>
    <row r="8" spans="1:7" ht="13.95" customHeight="1">
      <c r="A8" s="5"/>
      <c r="B8" s="3" t="s">
        <v>683</v>
      </c>
      <c r="C8" s="3" t="s">
        <v>684</v>
      </c>
      <c r="D8" s="12" t="s">
        <v>675</v>
      </c>
      <c r="E8" s="3" t="s">
        <v>1069</v>
      </c>
      <c r="F8" s="5"/>
      <c r="G8" s="5"/>
    </row>
    <row r="9" spans="1:7" ht="12" customHeight="1">
      <c r="A9" s="5"/>
      <c r="B9" s="5"/>
      <c r="C9" s="5"/>
      <c r="D9" s="5"/>
      <c r="E9" s="2474" t="s">
        <v>685</v>
      </c>
      <c r="F9" s="2474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65" customHeight="1">
      <c r="A11" s="5"/>
      <c r="B11" s="3" t="s">
        <v>1451</v>
      </c>
      <c r="C11" s="5"/>
      <c r="D11" s="12" t="s">
        <v>1452</v>
      </c>
      <c r="E11" s="3" t="s">
        <v>1234</v>
      </c>
      <c r="F11" s="5"/>
      <c r="G11" s="5"/>
    </row>
    <row r="12" spans="1:7" ht="13.65" customHeight="1">
      <c r="A12" s="5"/>
      <c r="B12" s="3" t="s">
        <v>1406</v>
      </c>
      <c r="C12" s="5"/>
      <c r="D12" s="12" t="s">
        <v>1011</v>
      </c>
      <c r="E12" s="3" t="s">
        <v>1453</v>
      </c>
      <c r="F12" s="5"/>
      <c r="G12" s="5"/>
    </row>
    <row r="13" spans="1:7" ht="12" customHeight="1">
      <c r="A13" s="5"/>
      <c r="B13" s="5"/>
      <c r="C13" s="5"/>
      <c r="D13" s="5"/>
      <c r="E13" s="2474" t="s">
        <v>702</v>
      </c>
      <c r="F13" s="2474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2474" t="s">
        <v>705</v>
      </c>
      <c r="F16" s="2474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12" t="s">
        <v>706</v>
      </c>
      <c r="B18" s="2474" t="s">
        <v>707</v>
      </c>
      <c r="C18" s="2474"/>
      <c r="D18" s="2474"/>
      <c r="E18" s="2474"/>
      <c r="F18" s="2474"/>
      <c r="G18" s="5"/>
    </row>
    <row r="19" spans="1:7" ht="12" customHeight="1">
      <c r="A19" s="12" t="s">
        <v>708</v>
      </c>
      <c r="B19" s="2471" t="s">
        <v>876</v>
      </c>
      <c r="C19" s="2471"/>
      <c r="D19" s="2471"/>
      <c r="E19" s="2472" t="s">
        <v>710</v>
      </c>
      <c r="F19" s="2472"/>
      <c r="G19" s="5"/>
    </row>
    <row r="20" spans="1:7" ht="12" customHeight="1">
      <c r="A20" s="12" t="s">
        <v>711</v>
      </c>
      <c r="B20" s="2473" t="s">
        <v>712</v>
      </c>
      <c r="C20" s="2473"/>
      <c r="D20" s="2473"/>
      <c r="E20" s="2473"/>
      <c r="F20" s="2473"/>
      <c r="G20" s="5"/>
    </row>
    <row r="21" spans="1:7" ht="12" customHeight="1">
      <c r="A21" s="12"/>
      <c r="B21" s="26"/>
      <c r="C21" s="26"/>
      <c r="D21" s="26"/>
      <c r="E21" s="26"/>
      <c r="F21" s="26"/>
      <c r="G21" s="5"/>
    </row>
    <row r="22" spans="1:7" ht="12" customHeight="1">
      <c r="A22" s="50" t="s">
        <v>2405</v>
      </c>
      <c r="B22" s="26"/>
      <c r="C22" s="26"/>
      <c r="D22" s="26"/>
      <c r="E22" s="26"/>
      <c r="F22" s="26"/>
      <c r="G22" s="5"/>
    </row>
    <row r="23" spans="1:7" ht="12" customHeight="1">
      <c r="A23" s="12"/>
      <c r="B23" s="26"/>
      <c r="C23" s="26"/>
      <c r="D23" s="26"/>
      <c r="E23" s="26"/>
      <c r="F23" s="26"/>
      <c r="G23" s="5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1332</v>
      </c>
      <c r="C25" s="5"/>
      <c r="D25" s="5"/>
      <c r="E25" s="5"/>
      <c r="F25" s="5"/>
      <c r="G25" s="5"/>
    </row>
    <row r="26" spans="1:7" ht="13.65" customHeight="1">
      <c r="A26" s="5"/>
      <c r="B26" s="3" t="s">
        <v>673</v>
      </c>
      <c r="C26" s="3" t="s">
        <v>674</v>
      </c>
      <c r="D26" s="12" t="s">
        <v>675</v>
      </c>
      <c r="E26" s="3" t="s">
        <v>724</v>
      </c>
      <c r="F26" s="5"/>
      <c r="G26" s="5"/>
    </row>
    <row r="27" spans="1:7" ht="13.95" customHeight="1">
      <c r="A27" s="5"/>
      <c r="B27" s="3" t="s">
        <v>731</v>
      </c>
      <c r="C27" s="3" t="s">
        <v>678</v>
      </c>
      <c r="D27" s="5"/>
      <c r="E27" s="15" t="s">
        <v>1454</v>
      </c>
      <c r="F27" s="5"/>
      <c r="G27" s="5"/>
    </row>
    <row r="28" spans="1:7" ht="13.65" customHeight="1">
      <c r="A28" s="5"/>
      <c r="B28" s="3" t="s">
        <v>751</v>
      </c>
      <c r="C28" s="3" t="s">
        <v>681</v>
      </c>
      <c r="D28" s="5"/>
      <c r="E28" s="3" t="s">
        <v>1258</v>
      </c>
      <c r="F28" s="5"/>
      <c r="G28" s="5"/>
    </row>
    <row r="29" spans="1:7" ht="13.95" customHeight="1">
      <c r="A29" s="5"/>
      <c r="B29" s="3" t="s">
        <v>683</v>
      </c>
      <c r="C29" s="3" t="s">
        <v>684</v>
      </c>
      <c r="D29" s="12" t="s">
        <v>675</v>
      </c>
      <c r="E29" s="3" t="s">
        <v>693</v>
      </c>
      <c r="F29" s="5"/>
      <c r="G29" s="5"/>
    </row>
    <row r="30" spans="1:7" ht="12" customHeight="1">
      <c r="A30" s="5"/>
      <c r="B30" s="5"/>
      <c r="C30" s="5"/>
      <c r="D30" s="5"/>
      <c r="E30" s="2474" t="s">
        <v>685</v>
      </c>
      <c r="F30" s="2474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65" customHeight="1">
      <c r="A32" s="5"/>
      <c r="B32" s="3" t="s">
        <v>1455</v>
      </c>
      <c r="C32" s="5"/>
      <c r="D32" s="12" t="s">
        <v>1452</v>
      </c>
      <c r="E32" s="3" t="s">
        <v>719</v>
      </c>
      <c r="F32" s="5"/>
      <c r="G32" s="5"/>
    </row>
    <row r="33" spans="1:7" ht="13.65" customHeight="1">
      <c r="A33" s="5"/>
      <c r="B33" s="3" t="s">
        <v>1456</v>
      </c>
      <c r="C33" s="5"/>
      <c r="D33" s="3" t="s">
        <v>866</v>
      </c>
      <c r="E33" s="3" t="s">
        <v>794</v>
      </c>
      <c r="F33" s="5"/>
      <c r="G33" s="5"/>
    </row>
    <row r="34" spans="1:7" ht="12" customHeight="1">
      <c r="A34" s="5"/>
      <c r="B34" s="5"/>
      <c r="C34" s="5"/>
      <c r="D34" s="5"/>
      <c r="E34" s="2474" t="s">
        <v>702</v>
      </c>
      <c r="F34" s="2474"/>
      <c r="G34" s="5"/>
    </row>
    <row r="35" spans="1:7" ht="12" customHeight="1">
      <c r="A35" s="12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2474" t="s">
        <v>705</v>
      </c>
      <c r="F37" s="2474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2474" t="s">
        <v>707</v>
      </c>
      <c r="C39" s="2474"/>
      <c r="D39" s="2474"/>
      <c r="E39" s="2474"/>
      <c r="F39" s="2474"/>
      <c r="G39" s="5"/>
    </row>
    <row r="40" spans="1:7" ht="12" customHeight="1">
      <c r="A40" s="12" t="s">
        <v>708</v>
      </c>
      <c r="B40" s="2471" t="s">
        <v>876</v>
      </c>
      <c r="C40" s="2471"/>
      <c r="D40" s="2471"/>
      <c r="E40" s="2472" t="s">
        <v>710</v>
      </c>
      <c r="F40" s="2472"/>
      <c r="G40" s="5"/>
    </row>
    <row r="41" spans="1:7" ht="12" customHeight="1">
      <c r="A41" s="12" t="s">
        <v>711</v>
      </c>
      <c r="B41" s="2473" t="s">
        <v>712</v>
      </c>
      <c r="C41" s="2473"/>
      <c r="D41" s="2473"/>
      <c r="E41" s="2473"/>
      <c r="F41" s="2473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144"/>
  <dimension ref="A1:G41"/>
  <sheetViews>
    <sheetView topLeftCell="A13" workbookViewId="0">
      <selection activeCell="G41" sqref="A1:G41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2406</v>
      </c>
    </row>
    <row r="3" spans="1:7" ht="34.950000000000003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5" customHeight="1">
      <c r="A5" s="5"/>
      <c r="B5" s="3" t="s">
        <v>673</v>
      </c>
      <c r="C5" s="3" t="s">
        <v>674</v>
      </c>
      <c r="D5" s="12" t="s">
        <v>675</v>
      </c>
      <c r="E5" s="3" t="s">
        <v>1450</v>
      </c>
      <c r="F5" s="5"/>
      <c r="G5" s="5"/>
    </row>
    <row r="6" spans="1:7" ht="13.65" customHeight="1">
      <c r="A6" s="5"/>
      <c r="B6" s="3" t="s">
        <v>731</v>
      </c>
      <c r="C6" s="3" t="s">
        <v>678</v>
      </c>
      <c r="D6" s="5"/>
      <c r="E6" s="3" t="s">
        <v>1114</v>
      </c>
      <c r="F6" s="5"/>
      <c r="G6" s="5"/>
    </row>
    <row r="7" spans="1:7" ht="13.65" customHeight="1">
      <c r="A7" s="5"/>
      <c r="B7" s="3" t="s">
        <v>751</v>
      </c>
      <c r="C7" s="3" t="s">
        <v>681</v>
      </c>
      <c r="D7" s="5"/>
      <c r="E7" s="3" t="s">
        <v>695</v>
      </c>
      <c r="F7" s="5"/>
      <c r="G7" s="5"/>
    </row>
    <row r="8" spans="1:7" ht="13.95" customHeight="1">
      <c r="A8" s="5"/>
      <c r="B8" s="3" t="s">
        <v>683</v>
      </c>
      <c r="C8" s="3" t="s">
        <v>684</v>
      </c>
      <c r="D8" s="12" t="s">
        <v>675</v>
      </c>
      <c r="E8" s="3" t="s">
        <v>1069</v>
      </c>
      <c r="F8" s="5"/>
      <c r="G8" s="5"/>
    </row>
    <row r="9" spans="1:7" ht="12" customHeight="1">
      <c r="A9" s="5"/>
      <c r="B9" s="5"/>
      <c r="C9" s="5"/>
      <c r="D9" s="5"/>
      <c r="E9" s="2474" t="s">
        <v>685</v>
      </c>
      <c r="F9" s="2474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65" customHeight="1">
      <c r="A11" s="5"/>
      <c r="B11" s="3" t="s">
        <v>1457</v>
      </c>
      <c r="C11" s="5"/>
      <c r="D11" s="12" t="s">
        <v>1452</v>
      </c>
      <c r="E11" s="3" t="s">
        <v>1234</v>
      </c>
      <c r="F11" s="5"/>
      <c r="G11" s="5"/>
    </row>
    <row r="12" spans="1:7" ht="13.95" customHeight="1">
      <c r="A12" s="5"/>
      <c r="B12" s="3" t="s">
        <v>1406</v>
      </c>
      <c r="C12" s="5"/>
      <c r="D12" s="12" t="s">
        <v>1411</v>
      </c>
      <c r="E12" s="3" t="s">
        <v>1458</v>
      </c>
      <c r="F12" s="5"/>
      <c r="G12" s="5"/>
    </row>
    <row r="13" spans="1:7" ht="12" customHeight="1">
      <c r="A13" s="5"/>
      <c r="B13" s="5"/>
      <c r="C13" s="5"/>
      <c r="D13" s="5"/>
      <c r="E13" s="2474" t="s">
        <v>702</v>
      </c>
      <c r="F13" s="2474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2474" t="s">
        <v>705</v>
      </c>
      <c r="F16" s="2474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1.85" customHeight="1">
      <c r="A18" s="12" t="s">
        <v>706</v>
      </c>
      <c r="B18" s="2474" t="s">
        <v>707</v>
      </c>
      <c r="C18" s="2474"/>
      <c r="D18" s="2474"/>
      <c r="E18" s="2474"/>
      <c r="F18" s="2474"/>
      <c r="G18" s="5"/>
    </row>
    <row r="19" spans="1:7" ht="12" customHeight="1">
      <c r="A19" s="12" t="s">
        <v>708</v>
      </c>
      <c r="B19" s="2471" t="s">
        <v>876</v>
      </c>
      <c r="C19" s="2471"/>
      <c r="D19" s="2471"/>
      <c r="E19" s="2472" t="s">
        <v>710</v>
      </c>
      <c r="F19" s="2472"/>
      <c r="G19" s="5"/>
    </row>
    <row r="20" spans="1:7" ht="12.15" customHeight="1">
      <c r="A20" s="12" t="s">
        <v>711</v>
      </c>
      <c r="B20" s="2473" t="s">
        <v>712</v>
      </c>
      <c r="C20" s="2473"/>
      <c r="D20" s="2473"/>
      <c r="E20" s="2473"/>
      <c r="F20" s="2473"/>
      <c r="G20" s="5"/>
    </row>
    <row r="21" spans="1:7" ht="12.15" customHeight="1">
      <c r="A21" s="12"/>
      <c r="B21" s="26"/>
      <c r="C21" s="26"/>
      <c r="D21" s="26"/>
      <c r="E21" s="26"/>
      <c r="F21" s="26"/>
      <c r="G21" s="5"/>
    </row>
    <row r="22" spans="1:7" ht="12.15" customHeight="1">
      <c r="A22" s="50" t="s">
        <v>2407</v>
      </c>
      <c r="B22" s="26"/>
      <c r="C22" s="26"/>
      <c r="D22" s="26"/>
      <c r="E22" s="26"/>
      <c r="F22" s="26"/>
      <c r="G22" s="5"/>
    </row>
    <row r="23" spans="1:7" ht="12.15" customHeight="1">
      <c r="A23" s="12"/>
      <c r="B23" s="26"/>
      <c r="C23" s="26"/>
      <c r="D23" s="26"/>
      <c r="E23" s="26"/>
      <c r="F23" s="26"/>
      <c r="G23" s="5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3.65" customHeight="1">
      <c r="A26" s="5"/>
      <c r="B26" s="3" t="s">
        <v>673</v>
      </c>
      <c r="C26" s="3" t="s">
        <v>674</v>
      </c>
      <c r="D26" s="12" t="s">
        <v>675</v>
      </c>
      <c r="E26" s="3" t="s">
        <v>1450</v>
      </c>
      <c r="F26" s="5"/>
      <c r="G26" s="5"/>
    </row>
    <row r="27" spans="1:7" ht="13.65" customHeight="1">
      <c r="A27" s="5"/>
      <c r="B27" s="3" t="s">
        <v>731</v>
      </c>
      <c r="C27" s="3" t="s">
        <v>678</v>
      </c>
      <c r="D27" s="5"/>
      <c r="E27" s="3" t="s">
        <v>1114</v>
      </c>
      <c r="F27" s="5"/>
      <c r="G27" s="5"/>
    </row>
    <row r="28" spans="1:7" ht="13.95" customHeight="1">
      <c r="A28" s="5"/>
      <c r="B28" s="3" t="s">
        <v>751</v>
      </c>
      <c r="C28" s="3" t="s">
        <v>681</v>
      </c>
      <c r="D28" s="5"/>
      <c r="E28" s="3" t="s">
        <v>695</v>
      </c>
      <c r="F28" s="5"/>
      <c r="G28" s="5"/>
    </row>
    <row r="29" spans="1:7" ht="13.65" customHeight="1">
      <c r="A29" s="5"/>
      <c r="B29" s="3" t="s">
        <v>683</v>
      </c>
      <c r="C29" s="3" t="s">
        <v>684</v>
      </c>
      <c r="D29" s="12" t="s">
        <v>675</v>
      </c>
      <c r="E29" s="3" t="s">
        <v>1069</v>
      </c>
      <c r="F29" s="5"/>
      <c r="G29" s="5"/>
    </row>
    <row r="30" spans="1:7" ht="12" customHeight="1">
      <c r="A30" s="5"/>
      <c r="B30" s="5"/>
      <c r="C30" s="5"/>
      <c r="D30" s="5"/>
      <c r="E30" s="2474" t="s">
        <v>685</v>
      </c>
      <c r="F30" s="2474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65" customHeight="1">
      <c r="A32" s="5"/>
      <c r="B32" s="3" t="s">
        <v>1459</v>
      </c>
      <c r="C32" s="5"/>
      <c r="D32" s="12" t="s">
        <v>1452</v>
      </c>
      <c r="E32" s="3" t="s">
        <v>1234</v>
      </c>
      <c r="F32" s="5"/>
      <c r="G32" s="5"/>
    </row>
    <row r="33" spans="1:7" ht="13.95" customHeight="1">
      <c r="A33" s="5"/>
      <c r="B33" s="3" t="s">
        <v>1406</v>
      </c>
      <c r="C33" s="5"/>
      <c r="D33" s="12" t="s">
        <v>1411</v>
      </c>
      <c r="E33" s="3" t="s">
        <v>1458</v>
      </c>
      <c r="F33" s="5"/>
      <c r="G33" s="5"/>
    </row>
    <row r="34" spans="1:7" ht="12" customHeight="1">
      <c r="A34" s="5"/>
      <c r="B34" s="5"/>
      <c r="C34" s="5"/>
      <c r="D34" s="5"/>
      <c r="E34" s="2474" t="s">
        <v>702</v>
      </c>
      <c r="F34" s="2474"/>
      <c r="G34" s="5"/>
    </row>
    <row r="35" spans="1:7" ht="12" customHeight="1">
      <c r="A35" s="12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2474" t="s">
        <v>705</v>
      </c>
      <c r="F37" s="2474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2474" t="s">
        <v>707</v>
      </c>
      <c r="C39" s="2474"/>
      <c r="D39" s="2474"/>
      <c r="E39" s="2474"/>
      <c r="F39" s="2474"/>
      <c r="G39" s="5"/>
    </row>
    <row r="40" spans="1:7" ht="12" customHeight="1">
      <c r="A40" s="12" t="s">
        <v>708</v>
      </c>
      <c r="B40" s="2471" t="s">
        <v>876</v>
      </c>
      <c r="C40" s="2471"/>
      <c r="D40" s="2471"/>
      <c r="E40" s="2472" t="s">
        <v>710</v>
      </c>
      <c r="F40" s="2472"/>
      <c r="G40" s="5"/>
    </row>
    <row r="41" spans="1:7" ht="12" customHeight="1">
      <c r="A41" s="12" t="s">
        <v>711</v>
      </c>
      <c r="B41" s="2473" t="s">
        <v>712</v>
      </c>
      <c r="C41" s="2473"/>
      <c r="D41" s="2473"/>
      <c r="E41" s="2473"/>
      <c r="F41" s="2473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145"/>
  <dimension ref="A1:G41"/>
  <sheetViews>
    <sheetView workbookViewId="0">
      <selection activeCell="B27" sqref="B27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2408</v>
      </c>
    </row>
    <row r="3" spans="1:7" ht="34.950000000000003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5" customHeight="1">
      <c r="A5" s="5"/>
      <c r="B5" s="3" t="s">
        <v>673</v>
      </c>
      <c r="C5" s="3" t="s">
        <v>674</v>
      </c>
      <c r="D5" s="12" t="s">
        <v>675</v>
      </c>
      <c r="E5" s="3" t="s">
        <v>1460</v>
      </c>
      <c r="F5" s="5"/>
      <c r="G5" s="5"/>
    </row>
    <row r="6" spans="1:7" ht="13.65" customHeight="1">
      <c r="A6" s="5"/>
      <c r="B6" s="3" t="s">
        <v>731</v>
      </c>
      <c r="C6" s="3" t="s">
        <v>678</v>
      </c>
      <c r="D6" s="5"/>
      <c r="E6" s="3" t="s">
        <v>1130</v>
      </c>
      <c r="F6" s="5"/>
      <c r="G6" s="5"/>
    </row>
    <row r="7" spans="1:7" ht="13.65" customHeight="1">
      <c r="A7" s="5"/>
      <c r="B7" s="3" t="s">
        <v>751</v>
      </c>
      <c r="C7" s="3" t="s">
        <v>681</v>
      </c>
      <c r="D7" s="5"/>
      <c r="E7" s="3" t="s">
        <v>865</v>
      </c>
      <c r="F7" s="5"/>
      <c r="G7" s="5"/>
    </row>
    <row r="8" spans="1:7" ht="13.95" customHeight="1">
      <c r="A8" s="5"/>
      <c r="B8" s="3" t="s">
        <v>683</v>
      </c>
      <c r="C8" s="3" t="s">
        <v>684</v>
      </c>
      <c r="D8" s="12" t="s">
        <v>675</v>
      </c>
      <c r="E8" s="3" t="s">
        <v>693</v>
      </c>
      <c r="F8" s="5"/>
      <c r="G8" s="5"/>
    </row>
    <row r="9" spans="1:7" ht="12" customHeight="1">
      <c r="A9" s="5"/>
      <c r="B9" s="5"/>
      <c r="C9" s="5"/>
      <c r="D9" s="5"/>
      <c r="E9" s="2474" t="s">
        <v>685</v>
      </c>
      <c r="F9" s="2474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65" customHeight="1">
      <c r="A11" s="5"/>
      <c r="B11" s="3" t="s">
        <v>1461</v>
      </c>
      <c r="C11" s="5"/>
      <c r="D11" s="12" t="s">
        <v>1452</v>
      </c>
      <c r="E11" s="3" t="s">
        <v>1234</v>
      </c>
      <c r="F11" s="5"/>
      <c r="G11" s="5"/>
    </row>
    <row r="12" spans="1:7" ht="13.95" customHeight="1">
      <c r="A12" s="5"/>
      <c r="B12" s="3" t="s">
        <v>1406</v>
      </c>
      <c r="C12" s="5"/>
      <c r="D12" s="12" t="s">
        <v>1411</v>
      </c>
      <c r="E12" s="3" t="s">
        <v>1458</v>
      </c>
      <c r="F12" s="5"/>
      <c r="G12" s="5"/>
    </row>
    <row r="13" spans="1:7" ht="12" customHeight="1">
      <c r="A13" s="5"/>
      <c r="B13" s="5"/>
      <c r="C13" s="5"/>
      <c r="D13" s="5"/>
      <c r="E13" s="2474" t="s">
        <v>702</v>
      </c>
      <c r="F13" s="2474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2474" t="s">
        <v>705</v>
      </c>
      <c r="F16" s="2474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1.85" customHeight="1">
      <c r="A18" s="12" t="s">
        <v>706</v>
      </c>
      <c r="B18" s="2474" t="s">
        <v>707</v>
      </c>
      <c r="C18" s="2474"/>
      <c r="D18" s="2474"/>
      <c r="E18" s="2474"/>
      <c r="F18" s="2474"/>
      <c r="G18" s="5"/>
    </row>
    <row r="19" spans="1:7" ht="12" customHeight="1">
      <c r="A19" s="12" t="s">
        <v>708</v>
      </c>
      <c r="B19" s="2471" t="s">
        <v>876</v>
      </c>
      <c r="C19" s="2471"/>
      <c r="D19" s="2471"/>
      <c r="E19" s="2472" t="s">
        <v>710</v>
      </c>
      <c r="F19" s="2472"/>
      <c r="G19" s="5"/>
    </row>
    <row r="20" spans="1:7" ht="12.15" customHeight="1">
      <c r="A20" s="12" t="s">
        <v>711</v>
      </c>
      <c r="B20" s="2473" t="s">
        <v>712</v>
      </c>
      <c r="C20" s="2473"/>
      <c r="D20" s="2473"/>
      <c r="E20" s="2473"/>
      <c r="F20" s="2473"/>
      <c r="G20" s="5"/>
    </row>
    <row r="21" spans="1:7" ht="12.15" customHeight="1">
      <c r="A21" s="12"/>
      <c r="B21" s="26"/>
      <c r="C21" s="26"/>
      <c r="D21" s="26"/>
      <c r="E21" s="26"/>
      <c r="F21" s="26"/>
      <c r="G21" s="5"/>
    </row>
    <row r="22" spans="1:7" ht="12.15" customHeight="1">
      <c r="A22" s="50" t="s">
        <v>2409</v>
      </c>
      <c r="B22" s="26"/>
      <c r="C22" s="26"/>
      <c r="D22" s="26"/>
      <c r="E22" s="26"/>
      <c r="F22" s="26"/>
      <c r="G22" s="5"/>
    </row>
    <row r="23" spans="1:7" ht="12.15" customHeight="1">
      <c r="A23" s="12"/>
      <c r="B23" s="26"/>
      <c r="C23" s="26"/>
      <c r="D23" s="26"/>
      <c r="E23" s="26"/>
      <c r="F23" s="26"/>
      <c r="G23" s="5"/>
    </row>
    <row r="24" spans="1:7" ht="34.950000000000003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3.95" customHeight="1">
      <c r="A26" s="5"/>
      <c r="B26" s="3" t="s">
        <v>673</v>
      </c>
      <c r="C26" s="3" t="s">
        <v>674</v>
      </c>
      <c r="D26" s="12" t="s">
        <v>675</v>
      </c>
      <c r="E26" s="3" t="s">
        <v>807</v>
      </c>
      <c r="F26" s="5"/>
      <c r="G26" s="5"/>
    </row>
    <row r="27" spans="1:7" ht="13.65" customHeight="1">
      <c r="A27" s="5"/>
      <c r="B27" s="3" t="s">
        <v>731</v>
      </c>
      <c r="C27" s="3" t="s">
        <v>678</v>
      </c>
      <c r="D27" s="5"/>
      <c r="E27" s="3" t="s">
        <v>1085</v>
      </c>
      <c r="F27" s="5"/>
      <c r="G27" s="5"/>
    </row>
    <row r="28" spans="1:7" ht="13.95" customHeight="1">
      <c r="A28" s="5"/>
      <c r="B28" s="3" t="s">
        <v>751</v>
      </c>
      <c r="C28" s="3" t="s">
        <v>681</v>
      </c>
      <c r="D28" s="5"/>
      <c r="E28" s="3" t="s">
        <v>1065</v>
      </c>
      <c r="F28" s="5"/>
      <c r="G28" s="5"/>
    </row>
    <row r="29" spans="1:7" ht="13.65" customHeight="1">
      <c r="A29" s="5"/>
      <c r="B29" s="3" t="s">
        <v>683</v>
      </c>
      <c r="C29" s="3" t="s">
        <v>684</v>
      </c>
      <c r="D29" s="12" t="s">
        <v>675</v>
      </c>
      <c r="E29" s="3" t="s">
        <v>730</v>
      </c>
      <c r="F29" s="5"/>
      <c r="G29" s="5"/>
    </row>
    <row r="30" spans="1:7" ht="12" customHeight="1">
      <c r="A30" s="5"/>
      <c r="B30" s="5"/>
      <c r="C30" s="5"/>
      <c r="D30" s="5"/>
      <c r="E30" s="2474" t="s">
        <v>685</v>
      </c>
      <c r="F30" s="2474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65" customHeight="1">
      <c r="A32" s="5"/>
      <c r="B32" s="3" t="s">
        <v>1462</v>
      </c>
      <c r="C32" s="5"/>
      <c r="D32" s="12" t="s">
        <v>1452</v>
      </c>
      <c r="E32" s="3" t="s">
        <v>1234</v>
      </c>
      <c r="F32" s="5"/>
      <c r="G32" s="5"/>
    </row>
    <row r="33" spans="1:7" ht="13.95" customHeight="1">
      <c r="A33" s="5"/>
      <c r="B33" s="3" t="s">
        <v>1406</v>
      </c>
      <c r="C33" s="5"/>
      <c r="D33" s="12" t="s">
        <v>1411</v>
      </c>
      <c r="E33" s="3" t="s">
        <v>1458</v>
      </c>
      <c r="F33" s="5"/>
      <c r="G33" s="5"/>
    </row>
    <row r="34" spans="1:7" ht="12" customHeight="1">
      <c r="A34" s="5"/>
      <c r="B34" s="5"/>
      <c r="C34" s="5"/>
      <c r="D34" s="5"/>
      <c r="E34" s="2474" t="s">
        <v>702</v>
      </c>
      <c r="F34" s="2474"/>
      <c r="G34" s="5"/>
    </row>
    <row r="35" spans="1:7" ht="12" customHeight="1">
      <c r="A35" s="12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2474" t="s">
        <v>705</v>
      </c>
      <c r="F37" s="2474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2474" t="s">
        <v>707</v>
      </c>
      <c r="C39" s="2474"/>
      <c r="D39" s="2474"/>
      <c r="E39" s="2474"/>
      <c r="F39" s="2474"/>
      <c r="G39" s="5"/>
    </row>
    <row r="40" spans="1:7" ht="12" customHeight="1">
      <c r="A40" s="12" t="s">
        <v>708</v>
      </c>
      <c r="B40" s="2471" t="s">
        <v>876</v>
      </c>
      <c r="C40" s="2471"/>
      <c r="D40" s="2471"/>
      <c r="E40" s="2472" t="s">
        <v>710</v>
      </c>
      <c r="F40" s="2472"/>
      <c r="G40" s="5"/>
    </row>
    <row r="41" spans="1:7" ht="12" customHeight="1">
      <c r="A41" s="12" t="s">
        <v>711</v>
      </c>
      <c r="B41" s="2473" t="s">
        <v>712</v>
      </c>
      <c r="C41" s="2473"/>
      <c r="D41" s="2473"/>
      <c r="E41" s="2473"/>
      <c r="F41" s="2473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146"/>
  <dimension ref="A1:G41"/>
  <sheetViews>
    <sheetView workbookViewId="0">
      <selection activeCell="G41" sqref="A1:G41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2410</v>
      </c>
    </row>
    <row r="3" spans="1:7" ht="34.950000000000003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5" customHeight="1">
      <c r="A5" s="5"/>
      <c r="B5" s="3" t="s">
        <v>673</v>
      </c>
      <c r="C5" s="3" t="s">
        <v>674</v>
      </c>
      <c r="D5" s="12" t="s">
        <v>675</v>
      </c>
      <c r="E5" s="3" t="s">
        <v>807</v>
      </c>
      <c r="F5" s="5"/>
      <c r="G5" s="5"/>
    </row>
    <row r="6" spans="1:7" ht="13.65" customHeight="1">
      <c r="A6" s="5"/>
      <c r="B6" s="3" t="s">
        <v>731</v>
      </c>
      <c r="C6" s="3" t="s">
        <v>678</v>
      </c>
      <c r="D6" s="5"/>
      <c r="E6" s="3" t="s">
        <v>1085</v>
      </c>
      <c r="F6" s="5"/>
      <c r="G6" s="5"/>
    </row>
    <row r="7" spans="1:7" ht="13.65" customHeight="1">
      <c r="A7" s="5"/>
      <c r="B7" s="3" t="s">
        <v>751</v>
      </c>
      <c r="C7" s="3" t="s">
        <v>681</v>
      </c>
      <c r="D7" s="5"/>
      <c r="E7" s="3" t="s">
        <v>1065</v>
      </c>
      <c r="F7" s="5"/>
      <c r="G7" s="5"/>
    </row>
    <row r="8" spans="1:7" ht="13.95" customHeight="1">
      <c r="A8" s="5"/>
      <c r="B8" s="3" t="s">
        <v>683</v>
      </c>
      <c r="C8" s="3" t="s">
        <v>684</v>
      </c>
      <c r="D8" s="12" t="s">
        <v>675</v>
      </c>
      <c r="E8" s="3" t="s">
        <v>730</v>
      </c>
      <c r="F8" s="5"/>
      <c r="G8" s="5"/>
    </row>
    <row r="9" spans="1:7" ht="12" customHeight="1">
      <c r="A9" s="5"/>
      <c r="B9" s="5"/>
      <c r="C9" s="5"/>
      <c r="D9" s="5"/>
      <c r="E9" s="2474" t="s">
        <v>685</v>
      </c>
      <c r="F9" s="2474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65" customHeight="1">
      <c r="A11" s="5"/>
      <c r="B11" s="3" t="s">
        <v>1463</v>
      </c>
      <c r="C11" s="5"/>
      <c r="D11" s="12" t="s">
        <v>1452</v>
      </c>
      <c r="E11" s="3" t="s">
        <v>1234</v>
      </c>
      <c r="F11" s="5"/>
      <c r="G11" s="5"/>
    </row>
    <row r="12" spans="1:7" ht="13.95" customHeight="1">
      <c r="A12" s="5"/>
      <c r="B12" s="3" t="s">
        <v>1406</v>
      </c>
      <c r="C12" s="5"/>
      <c r="D12" s="12" t="s">
        <v>1411</v>
      </c>
      <c r="E12" s="3" t="s">
        <v>1458</v>
      </c>
      <c r="F12" s="5"/>
      <c r="G12" s="5"/>
    </row>
    <row r="13" spans="1:7" ht="12" customHeight="1">
      <c r="A13" s="5"/>
      <c r="B13" s="5"/>
      <c r="C13" s="5"/>
      <c r="D13" s="5"/>
      <c r="E13" s="2474" t="s">
        <v>702</v>
      </c>
      <c r="F13" s="2474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2474" t="s">
        <v>705</v>
      </c>
      <c r="F16" s="2474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1.85" customHeight="1">
      <c r="A18" s="12" t="s">
        <v>706</v>
      </c>
      <c r="B18" s="2474" t="s">
        <v>707</v>
      </c>
      <c r="C18" s="2474"/>
      <c r="D18" s="2474"/>
      <c r="E18" s="2474"/>
      <c r="F18" s="2474"/>
      <c r="G18" s="5"/>
    </row>
    <row r="19" spans="1:7" ht="12" customHeight="1">
      <c r="A19" s="12" t="s">
        <v>708</v>
      </c>
      <c r="B19" s="2471" t="s">
        <v>876</v>
      </c>
      <c r="C19" s="2471"/>
      <c r="D19" s="2471"/>
      <c r="E19" s="2472" t="s">
        <v>710</v>
      </c>
      <c r="F19" s="2472"/>
      <c r="G19" s="5"/>
    </row>
    <row r="20" spans="1:7" ht="12.15" customHeight="1">
      <c r="A20" s="12" t="s">
        <v>711</v>
      </c>
      <c r="B20" s="2473" t="s">
        <v>712</v>
      </c>
      <c r="C20" s="2473"/>
      <c r="D20" s="2473"/>
      <c r="E20" s="2473"/>
      <c r="F20" s="2473"/>
      <c r="G20" s="5"/>
    </row>
    <row r="21" spans="1:7" ht="12.15" customHeight="1">
      <c r="A21" s="12"/>
      <c r="B21" s="26"/>
      <c r="C21" s="26"/>
      <c r="D21" s="26"/>
      <c r="E21" s="26"/>
      <c r="F21" s="26"/>
      <c r="G21" s="5"/>
    </row>
    <row r="22" spans="1:7" ht="12.15" customHeight="1">
      <c r="A22" s="50" t="s">
        <v>2411</v>
      </c>
      <c r="B22" s="26"/>
      <c r="C22" s="26"/>
      <c r="D22" s="26"/>
      <c r="E22" s="26"/>
      <c r="F22" s="26"/>
      <c r="G22" s="5"/>
    </row>
    <row r="23" spans="1:7" ht="12.15" customHeight="1">
      <c r="A23" s="12"/>
      <c r="B23" s="26"/>
      <c r="C23" s="26"/>
      <c r="D23" s="26"/>
      <c r="E23" s="26"/>
      <c r="F23" s="26"/>
      <c r="G23" s="5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3.65" customHeight="1">
      <c r="A26" s="5"/>
      <c r="B26" s="3" t="s">
        <v>673</v>
      </c>
      <c r="C26" s="3" t="s">
        <v>674</v>
      </c>
      <c r="D26" s="12" t="s">
        <v>675</v>
      </c>
      <c r="E26" s="3" t="s">
        <v>772</v>
      </c>
      <c r="F26" s="5"/>
      <c r="G26" s="5"/>
    </row>
    <row r="27" spans="1:7" ht="13.65" customHeight="1">
      <c r="A27" s="5"/>
      <c r="B27" s="3" t="s">
        <v>731</v>
      </c>
      <c r="C27" s="3" t="s">
        <v>678</v>
      </c>
      <c r="D27" s="5"/>
      <c r="E27" s="3" t="s">
        <v>1254</v>
      </c>
      <c r="F27" s="5"/>
      <c r="G27" s="5"/>
    </row>
    <row r="28" spans="1:7" ht="13.95" customHeight="1">
      <c r="A28" s="5"/>
      <c r="B28" s="3" t="s">
        <v>751</v>
      </c>
      <c r="C28" s="3" t="s">
        <v>681</v>
      </c>
      <c r="D28" s="5"/>
      <c r="E28" s="3" t="s">
        <v>891</v>
      </c>
      <c r="F28" s="5"/>
      <c r="G28" s="5"/>
    </row>
    <row r="29" spans="1:7" ht="13.65" customHeight="1">
      <c r="A29" s="5"/>
      <c r="B29" s="3" t="s">
        <v>683</v>
      </c>
      <c r="C29" s="3" t="s">
        <v>684</v>
      </c>
      <c r="D29" s="12" t="s">
        <v>675</v>
      </c>
      <c r="E29" s="3" t="s">
        <v>784</v>
      </c>
      <c r="F29" s="5"/>
      <c r="G29" s="5"/>
    </row>
    <row r="30" spans="1:7" ht="12" customHeight="1">
      <c r="A30" s="5"/>
      <c r="B30" s="5"/>
      <c r="C30" s="5"/>
      <c r="D30" s="5"/>
      <c r="E30" s="2474" t="s">
        <v>685</v>
      </c>
      <c r="F30" s="2474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65" customHeight="1">
      <c r="A32" s="5"/>
      <c r="B32" s="3" t="s">
        <v>1464</v>
      </c>
      <c r="C32" s="5"/>
      <c r="D32" s="12" t="s">
        <v>1452</v>
      </c>
      <c r="E32" s="3" t="s">
        <v>1234</v>
      </c>
      <c r="F32" s="5"/>
      <c r="G32" s="5"/>
    </row>
    <row r="33" spans="1:7" ht="13.95" customHeight="1">
      <c r="A33" s="5"/>
      <c r="B33" s="3" t="s">
        <v>1406</v>
      </c>
      <c r="C33" s="5"/>
      <c r="D33" s="12" t="s">
        <v>1411</v>
      </c>
      <c r="E33" s="3" t="s">
        <v>1458</v>
      </c>
      <c r="F33" s="5"/>
      <c r="G33" s="5"/>
    </row>
    <row r="34" spans="1:7" ht="12" customHeight="1">
      <c r="A34" s="5"/>
      <c r="B34" s="5"/>
      <c r="C34" s="5"/>
      <c r="D34" s="5"/>
      <c r="E34" s="2474" t="s">
        <v>702</v>
      </c>
      <c r="F34" s="2474"/>
      <c r="G34" s="5"/>
    </row>
    <row r="35" spans="1:7" ht="12" customHeight="1">
      <c r="A35" s="12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2474" t="s">
        <v>705</v>
      </c>
      <c r="F37" s="2474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2474" t="s">
        <v>707</v>
      </c>
      <c r="C39" s="2474"/>
      <c r="D39" s="2474"/>
      <c r="E39" s="2474"/>
      <c r="F39" s="2474"/>
      <c r="G39" s="5"/>
    </row>
    <row r="40" spans="1:7" ht="12" customHeight="1">
      <c r="A40" s="12" t="s">
        <v>708</v>
      </c>
      <c r="B40" s="2471" t="s">
        <v>876</v>
      </c>
      <c r="C40" s="2471"/>
      <c r="D40" s="2471"/>
      <c r="E40" s="2472" t="s">
        <v>710</v>
      </c>
      <c r="F40" s="2472"/>
      <c r="G40" s="5"/>
    </row>
    <row r="41" spans="1:7" ht="12" customHeight="1">
      <c r="A41" s="12" t="s">
        <v>711</v>
      </c>
      <c r="B41" s="2473" t="s">
        <v>712</v>
      </c>
      <c r="C41" s="2473"/>
      <c r="D41" s="2473"/>
      <c r="E41" s="2473"/>
      <c r="F41" s="2473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147"/>
  <dimension ref="A1:G41"/>
  <sheetViews>
    <sheetView topLeftCell="A28" workbookViewId="0">
      <selection activeCell="G41" sqref="A1:G41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2412</v>
      </c>
    </row>
    <row r="3" spans="1:7" ht="34.950000000000003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5" customHeight="1">
      <c r="A5" s="5"/>
      <c r="B5" s="3" t="s">
        <v>673</v>
      </c>
      <c r="C5" s="3" t="s">
        <v>674</v>
      </c>
      <c r="D5" s="12" t="s">
        <v>675</v>
      </c>
      <c r="E5" s="3" t="s">
        <v>772</v>
      </c>
      <c r="F5" s="5"/>
      <c r="G5" s="5"/>
    </row>
    <row r="6" spans="1:7" ht="13.65" customHeight="1">
      <c r="A6" s="5"/>
      <c r="B6" s="3" t="s">
        <v>731</v>
      </c>
      <c r="C6" s="3" t="s">
        <v>678</v>
      </c>
      <c r="D6" s="5"/>
      <c r="E6" s="3" t="s">
        <v>1254</v>
      </c>
      <c r="F6" s="5"/>
      <c r="G6" s="5"/>
    </row>
    <row r="7" spans="1:7" ht="13.65" customHeight="1">
      <c r="A7" s="5"/>
      <c r="B7" s="3" t="s">
        <v>751</v>
      </c>
      <c r="C7" s="3" t="s">
        <v>681</v>
      </c>
      <c r="D7" s="5"/>
      <c r="E7" s="3" t="s">
        <v>891</v>
      </c>
      <c r="F7" s="5"/>
      <c r="G7" s="5"/>
    </row>
    <row r="8" spans="1:7" ht="13.95" customHeight="1">
      <c r="A8" s="5"/>
      <c r="B8" s="3" t="s">
        <v>683</v>
      </c>
      <c r="C8" s="3" t="s">
        <v>684</v>
      </c>
      <c r="D8" s="12" t="s">
        <v>675</v>
      </c>
      <c r="E8" s="3" t="s">
        <v>784</v>
      </c>
      <c r="F8" s="5"/>
      <c r="G8" s="5"/>
    </row>
    <row r="9" spans="1:7" ht="12" customHeight="1">
      <c r="A9" s="5"/>
      <c r="B9" s="5"/>
      <c r="C9" s="5"/>
      <c r="D9" s="5"/>
      <c r="E9" s="2474" t="s">
        <v>685</v>
      </c>
      <c r="F9" s="2474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65" customHeight="1">
      <c r="A11" s="5"/>
      <c r="B11" s="3" t="s">
        <v>1464</v>
      </c>
      <c r="C11" s="5"/>
      <c r="D11" s="12" t="s">
        <v>1452</v>
      </c>
      <c r="E11" s="3" t="s">
        <v>1234</v>
      </c>
      <c r="F11" s="5"/>
      <c r="G11" s="5"/>
    </row>
    <row r="12" spans="1:7" ht="13.95" customHeight="1">
      <c r="A12" s="5"/>
      <c r="B12" s="3" t="s">
        <v>1406</v>
      </c>
      <c r="C12" s="5"/>
      <c r="D12" s="12" t="s">
        <v>1411</v>
      </c>
      <c r="E12" s="3" t="s">
        <v>1458</v>
      </c>
      <c r="F12" s="5"/>
      <c r="G12" s="5"/>
    </row>
    <row r="13" spans="1:7" ht="12" customHeight="1">
      <c r="A13" s="5"/>
      <c r="B13" s="5"/>
      <c r="C13" s="5"/>
      <c r="D13" s="5"/>
      <c r="E13" s="2474" t="s">
        <v>702</v>
      </c>
      <c r="F13" s="2474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2474" t="s">
        <v>705</v>
      </c>
      <c r="F16" s="2474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1.85" customHeight="1">
      <c r="A18" s="12" t="s">
        <v>706</v>
      </c>
      <c r="B18" s="2474" t="s">
        <v>707</v>
      </c>
      <c r="C18" s="2474"/>
      <c r="D18" s="2474"/>
      <c r="E18" s="2474"/>
      <c r="F18" s="2474"/>
      <c r="G18" s="5"/>
    </row>
    <row r="19" spans="1:7" ht="12" customHeight="1">
      <c r="A19" s="12" t="s">
        <v>708</v>
      </c>
      <c r="B19" s="2471" t="s">
        <v>876</v>
      </c>
      <c r="C19" s="2471"/>
      <c r="D19" s="2471"/>
      <c r="E19" s="2472" t="s">
        <v>710</v>
      </c>
      <c r="F19" s="2472"/>
      <c r="G19" s="5"/>
    </row>
    <row r="20" spans="1:7" ht="12.15" customHeight="1">
      <c r="A20" s="12" t="s">
        <v>711</v>
      </c>
      <c r="B20" s="2473" t="s">
        <v>712</v>
      </c>
      <c r="C20" s="2473"/>
      <c r="D20" s="2473"/>
      <c r="E20" s="2473"/>
      <c r="F20" s="2473"/>
      <c r="G20" s="5"/>
    </row>
    <row r="21" spans="1:7" ht="12.15" customHeight="1">
      <c r="A21" s="12"/>
      <c r="B21" s="26"/>
      <c r="C21" s="26"/>
      <c r="D21" s="26"/>
      <c r="E21" s="26"/>
      <c r="F21" s="26"/>
      <c r="G21" s="5"/>
    </row>
    <row r="22" spans="1:7" ht="12.15" customHeight="1">
      <c r="A22" s="50" t="s">
        <v>2413</v>
      </c>
      <c r="B22" s="26"/>
      <c r="C22" s="26"/>
      <c r="D22" s="26"/>
      <c r="E22" s="26"/>
      <c r="F22" s="26"/>
      <c r="G22" s="5"/>
    </row>
    <row r="23" spans="1:7" ht="12.15" customHeight="1">
      <c r="A23" s="12"/>
      <c r="B23" s="26"/>
      <c r="C23" s="26"/>
      <c r="D23" s="26"/>
      <c r="E23" s="26"/>
      <c r="F23" s="26"/>
      <c r="G23" s="5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3.65" customHeight="1">
      <c r="A26" s="5"/>
      <c r="B26" s="3" t="s">
        <v>673</v>
      </c>
      <c r="C26" s="3" t="s">
        <v>674</v>
      </c>
      <c r="D26" s="12" t="s">
        <v>675</v>
      </c>
      <c r="E26" s="3" t="s">
        <v>772</v>
      </c>
      <c r="F26" s="5"/>
      <c r="G26" s="5"/>
    </row>
    <row r="27" spans="1:7" ht="13.65" customHeight="1">
      <c r="A27" s="5"/>
      <c r="B27" s="3" t="s">
        <v>731</v>
      </c>
      <c r="C27" s="3" t="s">
        <v>678</v>
      </c>
      <c r="D27" s="5"/>
      <c r="E27" s="3" t="s">
        <v>1254</v>
      </c>
      <c r="F27" s="5"/>
      <c r="G27" s="5"/>
    </row>
    <row r="28" spans="1:7" ht="13.95" customHeight="1">
      <c r="A28" s="5"/>
      <c r="B28" s="3" t="s">
        <v>751</v>
      </c>
      <c r="C28" s="3" t="s">
        <v>681</v>
      </c>
      <c r="D28" s="5"/>
      <c r="E28" s="3" t="s">
        <v>891</v>
      </c>
      <c r="F28" s="5"/>
      <c r="G28" s="5"/>
    </row>
    <row r="29" spans="1:7" ht="13.65" customHeight="1">
      <c r="A29" s="5"/>
      <c r="B29" s="3" t="s">
        <v>683</v>
      </c>
      <c r="C29" s="3" t="s">
        <v>684</v>
      </c>
      <c r="D29" s="12" t="s">
        <v>675</v>
      </c>
      <c r="E29" s="3" t="s">
        <v>784</v>
      </c>
      <c r="F29" s="5"/>
      <c r="G29" s="5"/>
    </row>
    <row r="30" spans="1:7" ht="12" customHeight="1">
      <c r="A30" s="5"/>
      <c r="B30" s="5"/>
      <c r="C30" s="5"/>
      <c r="D30" s="5"/>
      <c r="E30" s="2474" t="s">
        <v>685</v>
      </c>
      <c r="F30" s="2474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65" customHeight="1">
      <c r="A32" s="5"/>
      <c r="B32" s="3" t="s">
        <v>1465</v>
      </c>
      <c r="C32" s="5"/>
      <c r="D32" s="12" t="s">
        <v>1452</v>
      </c>
      <c r="E32" s="3" t="s">
        <v>1234</v>
      </c>
      <c r="F32" s="5"/>
      <c r="G32" s="5"/>
    </row>
    <row r="33" spans="1:7" ht="13.95" customHeight="1">
      <c r="A33" s="5"/>
      <c r="B33" s="3" t="s">
        <v>1406</v>
      </c>
      <c r="C33" s="5"/>
      <c r="D33" s="12" t="s">
        <v>1411</v>
      </c>
      <c r="E33" s="3" t="s">
        <v>1458</v>
      </c>
      <c r="F33" s="5"/>
      <c r="G33" s="5"/>
    </row>
    <row r="34" spans="1:7" ht="12" customHeight="1">
      <c r="A34" s="5"/>
      <c r="B34" s="5"/>
      <c r="C34" s="5"/>
      <c r="D34" s="5"/>
      <c r="E34" s="2474" t="s">
        <v>702</v>
      </c>
      <c r="F34" s="2474"/>
      <c r="G34" s="5"/>
    </row>
    <row r="35" spans="1:7" ht="12" customHeight="1">
      <c r="A35" s="12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2474" t="s">
        <v>705</v>
      </c>
      <c r="F37" s="2474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2474" t="s">
        <v>707</v>
      </c>
      <c r="C39" s="2474"/>
      <c r="D39" s="2474"/>
      <c r="E39" s="2474"/>
      <c r="F39" s="2474"/>
      <c r="G39" s="5"/>
    </row>
    <row r="40" spans="1:7" ht="12" customHeight="1">
      <c r="A40" s="12" t="s">
        <v>708</v>
      </c>
      <c r="B40" s="2471" t="s">
        <v>876</v>
      </c>
      <c r="C40" s="2471"/>
      <c r="D40" s="2471"/>
      <c r="E40" s="2472" t="s">
        <v>710</v>
      </c>
      <c r="F40" s="2472"/>
      <c r="G40" s="5"/>
    </row>
    <row r="41" spans="1:7" ht="12" customHeight="1">
      <c r="A41" s="12" t="s">
        <v>711</v>
      </c>
      <c r="B41" s="2473" t="s">
        <v>712</v>
      </c>
      <c r="C41" s="2473"/>
      <c r="D41" s="2473"/>
      <c r="E41" s="2473"/>
      <c r="F41" s="2473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148"/>
  <dimension ref="A1:G41"/>
  <sheetViews>
    <sheetView topLeftCell="A19" workbookViewId="0">
      <selection activeCell="G41" sqref="A1:G41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2414</v>
      </c>
    </row>
    <row r="3" spans="1:7" ht="34.950000000000003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5" customHeight="1">
      <c r="A5" s="5"/>
      <c r="B5" s="3" t="s">
        <v>673</v>
      </c>
      <c r="C5" s="3" t="s">
        <v>674</v>
      </c>
      <c r="D5" s="12" t="s">
        <v>675</v>
      </c>
      <c r="E5" s="3" t="s">
        <v>1450</v>
      </c>
      <c r="F5" s="5"/>
      <c r="G5" s="5"/>
    </row>
    <row r="6" spans="1:7" ht="13.65" customHeight="1">
      <c r="A6" s="5"/>
      <c r="B6" s="3" t="s">
        <v>731</v>
      </c>
      <c r="C6" s="3" t="s">
        <v>678</v>
      </c>
      <c r="D6" s="5"/>
      <c r="E6" s="3" t="s">
        <v>1114</v>
      </c>
      <c r="F6" s="5"/>
      <c r="G6" s="5"/>
    </row>
    <row r="7" spans="1:7" ht="13.65" customHeight="1">
      <c r="A7" s="5"/>
      <c r="B7" s="3" t="s">
        <v>751</v>
      </c>
      <c r="C7" s="3" t="s">
        <v>681</v>
      </c>
      <c r="D7" s="5"/>
      <c r="E7" s="3" t="s">
        <v>695</v>
      </c>
      <c r="F7" s="5"/>
      <c r="G7" s="5"/>
    </row>
    <row r="8" spans="1:7" ht="13.95" customHeight="1">
      <c r="A8" s="5"/>
      <c r="B8" s="3" t="s">
        <v>683</v>
      </c>
      <c r="C8" s="3" t="s">
        <v>684</v>
      </c>
      <c r="D8" s="12" t="s">
        <v>675</v>
      </c>
      <c r="E8" s="3" t="s">
        <v>852</v>
      </c>
      <c r="F8" s="5"/>
      <c r="G8" s="5"/>
    </row>
    <row r="9" spans="1:7" ht="12" customHeight="1">
      <c r="A9" s="5"/>
      <c r="B9" s="5"/>
      <c r="C9" s="5"/>
      <c r="D9" s="5"/>
      <c r="E9" s="2474" t="s">
        <v>685</v>
      </c>
      <c r="F9" s="2474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65" customHeight="1">
      <c r="A11" s="5"/>
      <c r="B11" s="3" t="s">
        <v>1466</v>
      </c>
      <c r="C11" s="5"/>
      <c r="D11" s="12" t="s">
        <v>1452</v>
      </c>
      <c r="E11" s="3" t="s">
        <v>1234</v>
      </c>
      <c r="F11" s="5"/>
      <c r="G11" s="5"/>
    </row>
    <row r="12" spans="1:7" ht="13.95" customHeight="1">
      <c r="A12" s="5"/>
      <c r="B12" s="3" t="s">
        <v>1406</v>
      </c>
      <c r="C12" s="5"/>
      <c r="D12" s="12" t="s">
        <v>1411</v>
      </c>
      <c r="E12" s="3" t="s">
        <v>1458</v>
      </c>
      <c r="F12" s="5"/>
      <c r="G12" s="5"/>
    </row>
    <row r="13" spans="1:7" ht="12" customHeight="1">
      <c r="A13" s="5"/>
      <c r="B13" s="5"/>
      <c r="C13" s="5"/>
      <c r="D13" s="5"/>
      <c r="E13" s="2474" t="s">
        <v>702</v>
      </c>
      <c r="F13" s="2474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2474" t="s">
        <v>705</v>
      </c>
      <c r="F16" s="2474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1.85" customHeight="1">
      <c r="A18" s="12" t="s">
        <v>706</v>
      </c>
      <c r="B18" s="2474" t="s">
        <v>707</v>
      </c>
      <c r="C18" s="2474"/>
      <c r="D18" s="2474"/>
      <c r="E18" s="2474"/>
      <c r="F18" s="2474"/>
      <c r="G18" s="5"/>
    </row>
    <row r="19" spans="1:7" ht="12" customHeight="1">
      <c r="A19" s="12" t="s">
        <v>708</v>
      </c>
      <c r="B19" s="2471" t="s">
        <v>876</v>
      </c>
      <c r="C19" s="2471"/>
      <c r="D19" s="2471"/>
      <c r="E19" s="2472" t="s">
        <v>710</v>
      </c>
      <c r="F19" s="2472"/>
      <c r="G19" s="5"/>
    </row>
    <row r="20" spans="1:7" ht="12.15" customHeight="1">
      <c r="A20" s="12" t="s">
        <v>711</v>
      </c>
      <c r="B20" s="2473" t="s">
        <v>712</v>
      </c>
      <c r="C20" s="2473"/>
      <c r="D20" s="2473"/>
      <c r="E20" s="2473"/>
      <c r="F20" s="2473"/>
      <c r="G20" s="5"/>
    </row>
    <row r="21" spans="1:7" ht="12.15" customHeight="1">
      <c r="A21" s="12"/>
      <c r="B21" s="26"/>
      <c r="C21" s="26"/>
      <c r="D21" s="26"/>
      <c r="E21" s="26"/>
      <c r="F21" s="26"/>
      <c r="G21" s="5"/>
    </row>
    <row r="22" spans="1:7" ht="12.15" customHeight="1">
      <c r="A22" s="50" t="s">
        <v>2415</v>
      </c>
      <c r="B22" s="26"/>
      <c r="C22" s="26"/>
      <c r="D22" s="26"/>
      <c r="E22" s="26"/>
      <c r="F22" s="26"/>
      <c r="G22" s="5"/>
    </row>
    <row r="23" spans="1:7" ht="12.15" customHeight="1">
      <c r="A23" s="12"/>
      <c r="B23" s="26"/>
      <c r="C23" s="26"/>
      <c r="D23" s="26"/>
      <c r="E23" s="26"/>
      <c r="F23" s="26"/>
      <c r="G23" s="5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3.65" customHeight="1">
      <c r="A26" s="5"/>
      <c r="B26" s="3" t="s">
        <v>673</v>
      </c>
      <c r="C26" s="3" t="s">
        <v>674</v>
      </c>
      <c r="D26" s="12" t="s">
        <v>675</v>
      </c>
      <c r="E26" s="3" t="s">
        <v>1450</v>
      </c>
      <c r="F26" s="5"/>
      <c r="G26" s="5"/>
    </row>
    <row r="27" spans="1:7" ht="13.65" customHeight="1">
      <c r="A27" s="5"/>
      <c r="B27" s="3" t="s">
        <v>731</v>
      </c>
      <c r="C27" s="3" t="s">
        <v>678</v>
      </c>
      <c r="D27" s="5"/>
      <c r="E27" s="3" t="s">
        <v>1114</v>
      </c>
      <c r="F27" s="5"/>
      <c r="G27" s="5"/>
    </row>
    <row r="28" spans="1:7" ht="13.95" customHeight="1">
      <c r="A28" s="5"/>
      <c r="B28" s="3" t="s">
        <v>751</v>
      </c>
      <c r="C28" s="3" t="s">
        <v>681</v>
      </c>
      <c r="D28" s="5"/>
      <c r="E28" s="3" t="s">
        <v>695</v>
      </c>
      <c r="F28" s="5"/>
      <c r="G28" s="5"/>
    </row>
    <row r="29" spans="1:7" ht="13.65" customHeight="1">
      <c r="A29" s="5"/>
      <c r="B29" s="3" t="s">
        <v>683</v>
      </c>
      <c r="C29" s="3" t="s">
        <v>684</v>
      </c>
      <c r="D29" s="12" t="s">
        <v>675</v>
      </c>
      <c r="E29" s="3" t="s">
        <v>852</v>
      </c>
      <c r="F29" s="5"/>
      <c r="G29" s="5"/>
    </row>
    <row r="30" spans="1:7" ht="12" customHeight="1">
      <c r="A30" s="5"/>
      <c r="B30" s="5"/>
      <c r="C30" s="5"/>
      <c r="D30" s="5"/>
      <c r="E30" s="2474" t="s">
        <v>685</v>
      </c>
      <c r="F30" s="2474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65" customHeight="1">
      <c r="A32" s="5"/>
      <c r="B32" s="3" t="s">
        <v>1467</v>
      </c>
      <c r="C32" s="5"/>
      <c r="D32" s="12" t="s">
        <v>1452</v>
      </c>
      <c r="E32" s="3" t="s">
        <v>1234</v>
      </c>
      <c r="F32" s="5"/>
      <c r="G32" s="5"/>
    </row>
    <row r="33" spans="1:7" ht="13.95" customHeight="1">
      <c r="A33" s="5"/>
      <c r="B33" s="3" t="s">
        <v>1406</v>
      </c>
      <c r="C33" s="5"/>
      <c r="D33" s="12" t="s">
        <v>1411</v>
      </c>
      <c r="E33" s="3" t="s">
        <v>1458</v>
      </c>
      <c r="F33" s="5"/>
      <c r="G33" s="5"/>
    </row>
    <row r="34" spans="1:7" ht="12" customHeight="1">
      <c r="A34" s="5"/>
      <c r="B34" s="5"/>
      <c r="C34" s="5"/>
      <c r="D34" s="5"/>
      <c r="E34" s="2474" t="s">
        <v>702</v>
      </c>
      <c r="F34" s="2474"/>
      <c r="G34" s="5"/>
    </row>
    <row r="35" spans="1:7" ht="12" customHeight="1">
      <c r="A35" s="12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2474" t="s">
        <v>705</v>
      </c>
      <c r="F37" s="2474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2474" t="s">
        <v>707</v>
      </c>
      <c r="C39" s="2474"/>
      <c r="D39" s="2474"/>
      <c r="E39" s="2474"/>
      <c r="F39" s="2474"/>
      <c r="G39" s="5"/>
    </row>
    <row r="40" spans="1:7" ht="12" customHeight="1">
      <c r="A40" s="12" t="s">
        <v>708</v>
      </c>
      <c r="B40" s="2471" t="s">
        <v>876</v>
      </c>
      <c r="C40" s="2471"/>
      <c r="D40" s="2471"/>
      <c r="E40" s="2472" t="s">
        <v>710</v>
      </c>
      <c r="F40" s="2472"/>
      <c r="G40" s="5"/>
    </row>
    <row r="41" spans="1:7" ht="12" customHeight="1">
      <c r="A41" s="12" t="s">
        <v>711</v>
      </c>
      <c r="B41" s="2473" t="s">
        <v>712</v>
      </c>
      <c r="C41" s="2473"/>
      <c r="D41" s="2473"/>
      <c r="E41" s="2473"/>
      <c r="F41" s="2473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149"/>
  <dimension ref="A1:G41"/>
  <sheetViews>
    <sheetView topLeftCell="A25" workbookViewId="0">
      <selection sqref="A1:G41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2416</v>
      </c>
    </row>
    <row r="3" spans="1:7" ht="34.950000000000003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5" customHeight="1">
      <c r="A5" s="5"/>
      <c r="B5" s="3" t="s">
        <v>673</v>
      </c>
      <c r="C5" s="3" t="s">
        <v>674</v>
      </c>
      <c r="D5" s="12" t="s">
        <v>675</v>
      </c>
      <c r="E5" s="3" t="s">
        <v>1468</v>
      </c>
      <c r="F5" s="5"/>
      <c r="G5" s="5"/>
    </row>
    <row r="6" spans="1:7" ht="13.65" customHeight="1">
      <c r="A6" s="5"/>
      <c r="B6" s="3" t="s">
        <v>731</v>
      </c>
      <c r="C6" s="3" t="s">
        <v>678</v>
      </c>
      <c r="D6" s="5"/>
      <c r="E6" s="3" t="s">
        <v>807</v>
      </c>
      <c r="F6" s="5"/>
      <c r="G6" s="5"/>
    </row>
    <row r="7" spans="1:7" ht="13.65" customHeight="1">
      <c r="A7" s="5"/>
      <c r="B7" s="3" t="s">
        <v>751</v>
      </c>
      <c r="C7" s="3" t="s">
        <v>681</v>
      </c>
      <c r="D7" s="5"/>
      <c r="E7" s="3" t="s">
        <v>1469</v>
      </c>
      <c r="F7" s="5"/>
      <c r="G7" s="5"/>
    </row>
    <row r="8" spans="1:7" ht="13.95" customHeight="1">
      <c r="A8" s="5"/>
      <c r="B8" s="3" t="s">
        <v>683</v>
      </c>
      <c r="C8" s="3" t="s">
        <v>684</v>
      </c>
      <c r="D8" s="12" t="s">
        <v>675</v>
      </c>
      <c r="E8" s="3" t="s">
        <v>783</v>
      </c>
      <c r="F8" s="5"/>
      <c r="G8" s="5"/>
    </row>
    <row r="9" spans="1:7" ht="12" customHeight="1">
      <c r="A9" s="5"/>
      <c r="B9" s="5"/>
      <c r="C9" s="5"/>
      <c r="D9" s="5"/>
      <c r="E9" s="2474" t="s">
        <v>685</v>
      </c>
      <c r="F9" s="2474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65" customHeight="1">
      <c r="A11" s="5"/>
      <c r="B11" s="3" t="s">
        <v>1470</v>
      </c>
      <c r="C11" s="5"/>
      <c r="D11" s="12" t="s">
        <v>1452</v>
      </c>
      <c r="E11" s="3" t="s">
        <v>1234</v>
      </c>
      <c r="F11" s="5"/>
      <c r="G11" s="5"/>
    </row>
    <row r="12" spans="1:7" ht="13.95" customHeight="1">
      <c r="A12" s="5"/>
      <c r="B12" s="3" t="s">
        <v>1406</v>
      </c>
      <c r="C12" s="5"/>
      <c r="D12" s="12" t="s">
        <v>1411</v>
      </c>
      <c r="E12" s="3" t="s">
        <v>1458</v>
      </c>
      <c r="F12" s="5"/>
      <c r="G12" s="5"/>
    </row>
    <row r="13" spans="1:7" ht="12" customHeight="1">
      <c r="A13" s="5"/>
      <c r="B13" s="5"/>
      <c r="C13" s="5"/>
      <c r="D13" s="5"/>
      <c r="E13" s="2474" t="s">
        <v>702</v>
      </c>
      <c r="F13" s="2474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2474" t="s">
        <v>705</v>
      </c>
      <c r="F16" s="2474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1.85" customHeight="1">
      <c r="A18" s="12" t="s">
        <v>706</v>
      </c>
      <c r="B18" s="2474" t="s">
        <v>707</v>
      </c>
      <c r="C18" s="2474"/>
      <c r="D18" s="2474"/>
      <c r="E18" s="2474"/>
      <c r="F18" s="2474"/>
      <c r="G18" s="5"/>
    </row>
    <row r="19" spans="1:7" ht="12" customHeight="1">
      <c r="A19" s="12" t="s">
        <v>708</v>
      </c>
      <c r="B19" s="2471" t="s">
        <v>876</v>
      </c>
      <c r="C19" s="2471"/>
      <c r="D19" s="2471"/>
      <c r="E19" s="2472" t="s">
        <v>710</v>
      </c>
      <c r="F19" s="2472"/>
      <c r="G19" s="5"/>
    </row>
    <row r="20" spans="1:7" ht="12.15" customHeight="1">
      <c r="A20" s="12" t="s">
        <v>711</v>
      </c>
      <c r="B20" s="2473" t="s">
        <v>712</v>
      </c>
      <c r="C20" s="2473"/>
      <c r="D20" s="2473"/>
      <c r="E20" s="2473"/>
      <c r="F20" s="2473"/>
      <c r="G20" s="5"/>
    </row>
    <row r="21" spans="1:7" ht="12.15" customHeight="1">
      <c r="A21" s="12"/>
      <c r="B21" s="26"/>
      <c r="C21" s="26"/>
      <c r="D21" s="26"/>
      <c r="E21" s="26"/>
      <c r="F21" s="26"/>
      <c r="G21" s="5"/>
    </row>
    <row r="22" spans="1:7" ht="12.15" customHeight="1">
      <c r="A22" s="50" t="s">
        <v>2417</v>
      </c>
      <c r="B22" s="26"/>
      <c r="C22" s="26"/>
      <c r="D22" s="26"/>
      <c r="E22" s="26"/>
      <c r="F22" s="26"/>
      <c r="G22" s="5"/>
    </row>
    <row r="23" spans="1:7" ht="12.15" customHeight="1">
      <c r="A23" s="12"/>
      <c r="B23" s="26"/>
      <c r="C23" s="26"/>
      <c r="D23" s="26"/>
      <c r="E23" s="26"/>
      <c r="F23" s="26"/>
      <c r="G23" s="5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3.65" customHeight="1">
      <c r="A26" s="5"/>
      <c r="B26" s="3" t="s">
        <v>673</v>
      </c>
      <c r="C26" s="3" t="s">
        <v>674</v>
      </c>
      <c r="D26" s="12" t="s">
        <v>675</v>
      </c>
      <c r="E26" s="3" t="s">
        <v>1468</v>
      </c>
      <c r="F26" s="5"/>
      <c r="G26" s="5"/>
    </row>
    <row r="27" spans="1:7" ht="13.65" customHeight="1">
      <c r="A27" s="5"/>
      <c r="B27" s="3" t="s">
        <v>731</v>
      </c>
      <c r="C27" s="3" t="s">
        <v>678</v>
      </c>
      <c r="D27" s="5"/>
      <c r="E27" s="3" t="s">
        <v>807</v>
      </c>
      <c r="F27" s="5"/>
      <c r="G27" s="5"/>
    </row>
    <row r="28" spans="1:7" ht="13.95" customHeight="1">
      <c r="A28" s="5"/>
      <c r="B28" s="3" t="s">
        <v>751</v>
      </c>
      <c r="C28" s="3" t="s">
        <v>681</v>
      </c>
      <c r="D28" s="5"/>
      <c r="E28" s="3" t="s">
        <v>1469</v>
      </c>
      <c r="F28" s="5"/>
      <c r="G28" s="5"/>
    </row>
    <row r="29" spans="1:7" ht="13.65" customHeight="1">
      <c r="A29" s="5"/>
      <c r="B29" s="3" t="s">
        <v>683</v>
      </c>
      <c r="C29" s="3" t="s">
        <v>684</v>
      </c>
      <c r="D29" s="12" t="s">
        <v>675</v>
      </c>
      <c r="E29" s="3" t="s">
        <v>783</v>
      </c>
      <c r="F29" s="5"/>
      <c r="G29" s="5"/>
    </row>
    <row r="30" spans="1:7" ht="12" customHeight="1">
      <c r="A30" s="5"/>
      <c r="B30" s="5"/>
      <c r="C30" s="5"/>
      <c r="D30" s="5"/>
      <c r="E30" s="2474" t="s">
        <v>685</v>
      </c>
      <c r="F30" s="2474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65" customHeight="1">
      <c r="A32" s="5"/>
      <c r="B32" s="3" t="s">
        <v>1471</v>
      </c>
      <c r="C32" s="5"/>
      <c r="D32" s="12" t="s">
        <v>1452</v>
      </c>
      <c r="E32" s="3" t="s">
        <v>1234</v>
      </c>
      <c r="F32" s="5"/>
      <c r="G32" s="5"/>
    </row>
    <row r="33" spans="1:7" ht="13.95" customHeight="1">
      <c r="A33" s="5"/>
      <c r="B33" s="3" t="s">
        <v>1406</v>
      </c>
      <c r="C33" s="5"/>
      <c r="D33" s="12" t="s">
        <v>1411</v>
      </c>
      <c r="E33" s="3" t="s">
        <v>1458</v>
      </c>
      <c r="F33" s="5"/>
      <c r="G33" s="5"/>
    </row>
    <row r="34" spans="1:7" ht="12" customHeight="1">
      <c r="A34" s="5"/>
      <c r="B34" s="5"/>
      <c r="C34" s="5"/>
      <c r="D34" s="5"/>
      <c r="E34" s="2474" t="s">
        <v>702</v>
      </c>
      <c r="F34" s="2474"/>
      <c r="G34" s="5"/>
    </row>
    <row r="35" spans="1:7" ht="12" customHeight="1">
      <c r="A35" s="12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2474" t="s">
        <v>705</v>
      </c>
      <c r="F37" s="2474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2474" t="s">
        <v>707</v>
      </c>
      <c r="C39" s="2474"/>
      <c r="D39" s="2474"/>
      <c r="E39" s="2474"/>
      <c r="F39" s="2474"/>
      <c r="G39" s="5"/>
    </row>
    <row r="40" spans="1:7" ht="12" customHeight="1">
      <c r="A40" s="12" t="s">
        <v>708</v>
      </c>
      <c r="B40" s="2471" t="s">
        <v>876</v>
      </c>
      <c r="C40" s="2471"/>
      <c r="D40" s="2471"/>
      <c r="E40" s="2472" t="s">
        <v>710</v>
      </c>
      <c r="F40" s="2472"/>
      <c r="G40" s="5"/>
    </row>
    <row r="41" spans="1:7" ht="12" customHeight="1">
      <c r="A41" s="12" t="s">
        <v>711</v>
      </c>
      <c r="B41" s="2473" t="s">
        <v>712</v>
      </c>
      <c r="C41" s="2473"/>
      <c r="D41" s="2473"/>
      <c r="E41" s="2473"/>
      <c r="F41" s="2473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150"/>
  <dimension ref="A1:G43"/>
  <sheetViews>
    <sheetView workbookViewId="0">
      <selection activeCell="G43" sqref="A1:G43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2418</v>
      </c>
    </row>
    <row r="3" spans="1:7" ht="34.950000000000003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5" customHeight="1">
      <c r="A5" s="5"/>
      <c r="B5" s="3" t="s">
        <v>673</v>
      </c>
      <c r="C5" s="3" t="s">
        <v>674</v>
      </c>
      <c r="D5" s="12" t="s">
        <v>675</v>
      </c>
      <c r="E5" s="3" t="s">
        <v>1468</v>
      </c>
      <c r="F5" s="5"/>
      <c r="G5" s="5"/>
    </row>
    <row r="6" spans="1:7" ht="13.65" customHeight="1">
      <c r="A6" s="5"/>
      <c r="B6" s="3" t="s">
        <v>731</v>
      </c>
      <c r="C6" s="3" t="s">
        <v>678</v>
      </c>
      <c r="D6" s="5"/>
      <c r="E6" s="3" t="s">
        <v>807</v>
      </c>
      <c r="F6" s="5"/>
      <c r="G6" s="5"/>
    </row>
    <row r="7" spans="1:7" ht="13.65" customHeight="1">
      <c r="A7" s="5"/>
      <c r="B7" s="3" t="s">
        <v>751</v>
      </c>
      <c r="C7" s="3" t="s">
        <v>681</v>
      </c>
      <c r="D7" s="5"/>
      <c r="E7" s="3" t="s">
        <v>1469</v>
      </c>
      <c r="F7" s="5"/>
      <c r="G7" s="5"/>
    </row>
    <row r="8" spans="1:7" ht="13.95" customHeight="1">
      <c r="A8" s="5"/>
      <c r="B8" s="3" t="s">
        <v>683</v>
      </c>
      <c r="C8" s="3" t="s">
        <v>684</v>
      </c>
      <c r="D8" s="12" t="s">
        <v>675</v>
      </c>
      <c r="E8" s="3" t="s">
        <v>783</v>
      </c>
      <c r="F8" s="5"/>
      <c r="G8" s="5"/>
    </row>
    <row r="9" spans="1:7" ht="12" customHeight="1">
      <c r="A9" s="5"/>
      <c r="B9" s="5"/>
      <c r="C9" s="5"/>
      <c r="D9" s="5"/>
      <c r="E9" s="2474" t="s">
        <v>685</v>
      </c>
      <c r="F9" s="2474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65" customHeight="1">
      <c r="A11" s="5"/>
      <c r="B11" s="3" t="s">
        <v>1471</v>
      </c>
      <c r="C11" s="5"/>
      <c r="D11" s="12" t="s">
        <v>1452</v>
      </c>
      <c r="E11" s="3" t="s">
        <v>1234</v>
      </c>
      <c r="F11" s="5"/>
      <c r="G11" s="5"/>
    </row>
    <row r="12" spans="1:7" ht="13.95" customHeight="1">
      <c r="A12" s="5"/>
      <c r="B12" s="3" t="s">
        <v>1406</v>
      </c>
      <c r="C12" s="5"/>
      <c r="D12" s="12" t="s">
        <v>1411</v>
      </c>
      <c r="E12" s="3" t="s">
        <v>1458</v>
      </c>
      <c r="F12" s="5"/>
      <c r="G12" s="5"/>
    </row>
    <row r="13" spans="1:7" ht="12" customHeight="1">
      <c r="A13" s="5"/>
      <c r="B13" s="5"/>
      <c r="C13" s="5"/>
      <c r="D13" s="5"/>
      <c r="E13" s="2474" t="s">
        <v>702</v>
      </c>
      <c r="F13" s="2474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2474" t="s">
        <v>705</v>
      </c>
      <c r="F16" s="2474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1.85" customHeight="1">
      <c r="A18" s="12" t="s">
        <v>706</v>
      </c>
      <c r="B18" s="2474" t="s">
        <v>707</v>
      </c>
      <c r="C18" s="2474"/>
      <c r="D18" s="2474"/>
      <c r="E18" s="2474"/>
      <c r="F18" s="2474"/>
      <c r="G18" s="5"/>
    </row>
    <row r="19" spans="1:7" ht="12" customHeight="1">
      <c r="A19" s="12" t="s">
        <v>708</v>
      </c>
      <c r="B19" s="2471" t="s">
        <v>876</v>
      </c>
      <c r="C19" s="2471"/>
      <c r="D19" s="2471"/>
      <c r="E19" s="2472" t="s">
        <v>710</v>
      </c>
      <c r="F19" s="2472"/>
      <c r="G19" s="5"/>
    </row>
    <row r="20" spans="1:7" ht="12.15" customHeight="1">
      <c r="A20" s="12" t="s">
        <v>711</v>
      </c>
      <c r="B20" s="2473" t="s">
        <v>712</v>
      </c>
      <c r="C20" s="2473"/>
      <c r="D20" s="2473"/>
      <c r="E20" s="2473"/>
      <c r="F20" s="2473"/>
      <c r="G20" s="5"/>
    </row>
    <row r="21" spans="1:7" ht="12.15" customHeight="1">
      <c r="A21" s="12"/>
      <c r="B21" s="26"/>
      <c r="C21" s="26"/>
      <c r="D21" s="26"/>
      <c r="E21" s="26"/>
      <c r="F21" s="26"/>
      <c r="G21" s="5"/>
    </row>
    <row r="22" spans="1:7" ht="12.15" customHeight="1">
      <c r="A22" s="55" t="s">
        <v>2419</v>
      </c>
      <c r="B22" s="26"/>
      <c r="C22" s="26"/>
      <c r="D22" s="26"/>
      <c r="E22" s="26"/>
      <c r="F22" s="26"/>
      <c r="G22" s="5"/>
    </row>
    <row r="23" spans="1:7" ht="12.15" customHeight="1">
      <c r="A23" s="12"/>
      <c r="B23" s="26"/>
      <c r="C23" s="26"/>
      <c r="D23" s="26"/>
      <c r="E23" s="26"/>
      <c r="F23" s="26"/>
      <c r="G23" s="5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3.65" customHeight="1">
      <c r="A26" s="5"/>
      <c r="B26" s="3" t="s">
        <v>673</v>
      </c>
      <c r="C26" s="3" t="s">
        <v>674</v>
      </c>
      <c r="D26" s="12" t="s">
        <v>675</v>
      </c>
      <c r="E26" s="3" t="s">
        <v>774</v>
      </c>
      <c r="F26" s="5"/>
      <c r="G26" s="5"/>
    </row>
    <row r="27" spans="1:7" ht="13.65" customHeight="1">
      <c r="A27" s="5"/>
      <c r="B27" s="3" t="s">
        <v>731</v>
      </c>
      <c r="C27" s="3" t="s">
        <v>678</v>
      </c>
      <c r="D27" s="5"/>
      <c r="E27" s="3" t="s">
        <v>1258</v>
      </c>
      <c r="F27" s="5"/>
      <c r="G27" s="5"/>
    </row>
    <row r="28" spans="1:7" ht="13.95" customHeight="1">
      <c r="A28" s="5"/>
      <c r="B28" s="3" t="s">
        <v>751</v>
      </c>
      <c r="C28" s="3" t="s">
        <v>681</v>
      </c>
      <c r="D28" s="5"/>
      <c r="E28" s="3" t="s">
        <v>783</v>
      </c>
      <c r="F28" s="5"/>
      <c r="G28" s="5"/>
    </row>
    <row r="29" spans="1:7" ht="13.65" customHeight="1">
      <c r="A29" s="5"/>
      <c r="B29" s="3" t="s">
        <v>683</v>
      </c>
      <c r="C29" s="3" t="s">
        <v>684</v>
      </c>
      <c r="D29" s="12" t="s">
        <v>675</v>
      </c>
      <c r="E29" s="3" t="s">
        <v>783</v>
      </c>
      <c r="F29" s="5"/>
      <c r="G29" s="5"/>
    </row>
    <row r="30" spans="1:7" ht="12" customHeight="1">
      <c r="A30" s="5"/>
      <c r="B30" s="5"/>
      <c r="C30" s="5"/>
      <c r="D30" s="5"/>
      <c r="E30" s="2474" t="s">
        <v>685</v>
      </c>
      <c r="F30" s="2474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65" customHeight="1">
      <c r="A32" s="5"/>
      <c r="B32" s="3" t="s">
        <v>1472</v>
      </c>
      <c r="C32" s="5"/>
      <c r="D32" s="12" t="s">
        <v>743</v>
      </c>
      <c r="E32" s="3" t="s">
        <v>1440</v>
      </c>
      <c r="F32" s="5"/>
      <c r="G32" s="5"/>
    </row>
    <row r="33" spans="1:7" ht="13.95" customHeight="1">
      <c r="A33" s="5"/>
      <c r="B33" s="3" t="s">
        <v>1420</v>
      </c>
      <c r="C33" s="5"/>
      <c r="D33" s="12" t="s">
        <v>690</v>
      </c>
      <c r="E33" s="3" t="s">
        <v>1458</v>
      </c>
      <c r="F33" s="5"/>
      <c r="G33" s="5"/>
    </row>
    <row r="34" spans="1:7" ht="13.65" customHeight="1">
      <c r="A34" s="5"/>
      <c r="B34" s="3" t="s">
        <v>739</v>
      </c>
      <c r="C34" s="5"/>
      <c r="D34" s="12" t="s">
        <v>881</v>
      </c>
      <c r="E34" s="3" t="s">
        <v>1034</v>
      </c>
      <c r="F34" s="5"/>
      <c r="G34" s="5"/>
    </row>
    <row r="35" spans="1:7" ht="13.65" customHeight="1">
      <c r="A35" s="5"/>
      <c r="B35" s="3" t="s">
        <v>803</v>
      </c>
      <c r="C35" s="5"/>
      <c r="D35" s="12" t="s">
        <v>881</v>
      </c>
      <c r="E35" s="3" t="s">
        <v>1034</v>
      </c>
      <c r="F35" s="5"/>
      <c r="G35" s="5"/>
    </row>
    <row r="36" spans="1:7" ht="12" customHeight="1">
      <c r="A36" s="5"/>
      <c r="B36" s="5"/>
      <c r="C36" s="5"/>
      <c r="D36" s="5"/>
      <c r="E36" s="2474" t="s">
        <v>702</v>
      </c>
      <c r="F36" s="2474"/>
      <c r="G36" s="5"/>
    </row>
    <row r="37" spans="1:7" ht="12" customHeight="1">
      <c r="A37" s="12" t="s">
        <v>703</v>
      </c>
      <c r="B37" s="3" t="s">
        <v>704</v>
      </c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5"/>
      <c r="B39" s="5"/>
      <c r="C39" s="5"/>
      <c r="D39" s="5"/>
      <c r="E39" s="2474" t="s">
        <v>705</v>
      </c>
      <c r="F39" s="2474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12" t="s">
        <v>706</v>
      </c>
      <c r="B41" s="2474" t="s">
        <v>707</v>
      </c>
      <c r="C41" s="2474"/>
      <c r="D41" s="2474"/>
      <c r="E41" s="2474"/>
      <c r="F41" s="2474"/>
      <c r="G41" s="5"/>
    </row>
    <row r="42" spans="1:7" ht="12" customHeight="1">
      <c r="A42" s="12" t="s">
        <v>708</v>
      </c>
      <c r="B42" s="2471" t="s">
        <v>876</v>
      </c>
      <c r="C42" s="2471"/>
      <c r="D42" s="2471"/>
      <c r="E42" s="2472" t="s">
        <v>710</v>
      </c>
      <c r="F42" s="2472"/>
      <c r="G42" s="5"/>
    </row>
    <row r="43" spans="1:7" ht="12.15" customHeight="1">
      <c r="A43" s="12" t="s">
        <v>711</v>
      </c>
      <c r="B43" s="2473" t="s">
        <v>712</v>
      </c>
      <c r="C43" s="2473"/>
      <c r="D43" s="2473"/>
      <c r="E43" s="2473"/>
      <c r="F43" s="2473"/>
      <c r="G43" s="5"/>
    </row>
  </sheetData>
  <mergeCells count="14">
    <mergeCell ref="E9:F9"/>
    <mergeCell ref="E13:F13"/>
    <mergeCell ref="E16:F16"/>
    <mergeCell ref="B18:F18"/>
    <mergeCell ref="B19:D19"/>
    <mergeCell ref="E19:F19"/>
    <mergeCell ref="B42:D42"/>
    <mergeCell ref="E42:F42"/>
    <mergeCell ref="B43:F43"/>
    <mergeCell ref="B20:F20"/>
    <mergeCell ref="E30:F30"/>
    <mergeCell ref="E36:F36"/>
    <mergeCell ref="E39:F39"/>
    <mergeCell ref="B41:F41"/>
  </mergeCells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151"/>
  <dimension ref="A1:G46"/>
  <sheetViews>
    <sheetView workbookViewId="0">
      <selection activeCell="G46" sqref="A1:G46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2420</v>
      </c>
    </row>
    <row r="3" spans="1:7" ht="34.950000000000003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5" customHeight="1">
      <c r="A5" s="5"/>
      <c r="B5" s="3" t="s">
        <v>673</v>
      </c>
      <c r="C5" s="3" t="s">
        <v>674</v>
      </c>
      <c r="D5" s="12" t="s">
        <v>675</v>
      </c>
      <c r="E5" s="3" t="s">
        <v>1254</v>
      </c>
      <c r="F5" s="5"/>
      <c r="G5" s="5"/>
    </row>
    <row r="6" spans="1:7" ht="13.65" customHeight="1">
      <c r="A6" s="5"/>
      <c r="B6" s="3" t="s">
        <v>731</v>
      </c>
      <c r="C6" s="3" t="s">
        <v>678</v>
      </c>
      <c r="D6" s="5"/>
      <c r="E6" s="3" t="s">
        <v>761</v>
      </c>
      <c r="F6" s="5"/>
      <c r="G6" s="5"/>
    </row>
    <row r="7" spans="1:7" ht="13.65" customHeight="1">
      <c r="A7" s="5"/>
      <c r="B7" s="3" t="s">
        <v>751</v>
      </c>
      <c r="C7" s="3" t="s">
        <v>681</v>
      </c>
      <c r="D7" s="5"/>
      <c r="E7" s="3" t="s">
        <v>852</v>
      </c>
      <c r="F7" s="5"/>
      <c r="G7" s="5"/>
    </row>
    <row r="8" spans="1:7" ht="13.95" customHeight="1">
      <c r="A8" s="5"/>
      <c r="B8" s="3" t="s">
        <v>683</v>
      </c>
      <c r="C8" s="3" t="s">
        <v>684</v>
      </c>
      <c r="D8" s="12" t="s">
        <v>675</v>
      </c>
      <c r="E8" s="3" t="s">
        <v>852</v>
      </c>
      <c r="F8" s="5"/>
      <c r="G8" s="5"/>
    </row>
    <row r="9" spans="1:7" ht="12" customHeight="1">
      <c r="A9" s="5"/>
      <c r="B9" s="5"/>
      <c r="C9" s="5"/>
      <c r="D9" s="5"/>
      <c r="E9" s="2474" t="s">
        <v>685</v>
      </c>
      <c r="F9" s="2474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65" customHeight="1">
      <c r="A11" s="5"/>
      <c r="B11" s="3" t="s">
        <v>1473</v>
      </c>
      <c r="C11" s="5"/>
      <c r="D11" s="12" t="s">
        <v>743</v>
      </c>
      <c r="E11" s="3" t="s">
        <v>1440</v>
      </c>
      <c r="F11" s="5"/>
      <c r="G11" s="5"/>
    </row>
    <row r="12" spans="1:7" ht="13.95" customHeight="1">
      <c r="A12" s="5"/>
      <c r="B12" s="3" t="s">
        <v>1420</v>
      </c>
      <c r="C12" s="5"/>
      <c r="D12" s="12" t="s">
        <v>690</v>
      </c>
      <c r="E12" s="3" t="s">
        <v>1474</v>
      </c>
      <c r="F12" s="5"/>
      <c r="G12" s="5"/>
    </row>
    <row r="13" spans="1:7" ht="13.65" customHeight="1">
      <c r="A13" s="5"/>
      <c r="B13" s="3" t="s">
        <v>739</v>
      </c>
      <c r="C13" s="5"/>
      <c r="D13" s="12" t="s">
        <v>881</v>
      </c>
      <c r="E13" s="3" t="s">
        <v>901</v>
      </c>
      <c r="F13" s="5"/>
      <c r="G13" s="5"/>
    </row>
    <row r="14" spans="1:7" ht="13.65" customHeight="1">
      <c r="A14" s="5"/>
      <c r="B14" s="3" t="s">
        <v>803</v>
      </c>
      <c r="C14" s="5"/>
      <c r="D14" s="12" t="s">
        <v>881</v>
      </c>
      <c r="E14" s="3" t="s">
        <v>942</v>
      </c>
      <c r="F14" s="5"/>
      <c r="G14" s="5"/>
    </row>
    <row r="15" spans="1:7" ht="12" customHeight="1">
      <c r="A15" s="5"/>
      <c r="B15" s="5"/>
      <c r="C15" s="5"/>
      <c r="D15" s="5"/>
      <c r="E15" s="2474" t="s">
        <v>702</v>
      </c>
      <c r="F15" s="2474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2474" t="s">
        <v>705</v>
      </c>
      <c r="F18" s="2474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2474" t="s">
        <v>707</v>
      </c>
      <c r="C20" s="2474"/>
      <c r="D20" s="2474"/>
      <c r="E20" s="2474"/>
      <c r="F20" s="2474"/>
      <c r="G20" s="5"/>
    </row>
    <row r="21" spans="1:7" ht="12" customHeight="1">
      <c r="A21" s="12" t="s">
        <v>708</v>
      </c>
      <c r="B21" s="2471" t="s">
        <v>876</v>
      </c>
      <c r="C21" s="2471"/>
      <c r="D21" s="2471"/>
      <c r="E21" s="2472" t="s">
        <v>710</v>
      </c>
      <c r="F21" s="2472"/>
      <c r="G21" s="5"/>
    </row>
    <row r="22" spans="1:7" ht="12" customHeight="1">
      <c r="A22" s="12" t="s">
        <v>711</v>
      </c>
      <c r="B22" s="2473" t="s">
        <v>712</v>
      </c>
      <c r="C22" s="2473"/>
      <c r="D22" s="2473"/>
      <c r="E22" s="2473"/>
      <c r="F22" s="2473"/>
      <c r="G22" s="5"/>
    </row>
    <row r="23" spans="1:7" ht="12" customHeight="1">
      <c r="A23" s="12"/>
      <c r="B23" s="26"/>
      <c r="C23" s="26"/>
      <c r="D23" s="26"/>
      <c r="E23" s="26"/>
      <c r="F23" s="26"/>
      <c r="G23" s="5"/>
    </row>
    <row r="24" spans="1:7" ht="12" customHeight="1">
      <c r="A24" s="50" t="s">
        <v>2421</v>
      </c>
      <c r="B24" s="26"/>
      <c r="C24" s="26"/>
      <c r="D24" s="26"/>
      <c r="E24" s="26"/>
      <c r="F24" s="26"/>
      <c r="G24" s="5"/>
    </row>
    <row r="25" spans="1:7" ht="12" customHeight="1">
      <c r="A25" s="12"/>
      <c r="B25" s="26"/>
      <c r="C25" s="26"/>
      <c r="D25" s="26"/>
      <c r="E25" s="26"/>
      <c r="F25" s="26"/>
      <c r="G25" s="5"/>
    </row>
    <row r="26" spans="1:7" ht="34.950000000000003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95" customHeight="1">
      <c r="A28" s="5"/>
      <c r="B28" s="3" t="s">
        <v>673</v>
      </c>
      <c r="C28" s="3" t="s">
        <v>674</v>
      </c>
      <c r="D28" s="12" t="s">
        <v>675</v>
      </c>
      <c r="E28" s="3" t="s">
        <v>1213</v>
      </c>
      <c r="F28" s="5"/>
      <c r="G28" s="5"/>
    </row>
    <row r="29" spans="1:7" ht="13.65" customHeight="1">
      <c r="A29" s="5"/>
      <c r="B29" s="3" t="s">
        <v>731</v>
      </c>
      <c r="C29" s="3" t="s">
        <v>678</v>
      </c>
      <c r="D29" s="5"/>
      <c r="E29" s="3" t="s">
        <v>1256</v>
      </c>
      <c r="F29" s="5"/>
      <c r="G29" s="5"/>
    </row>
    <row r="30" spans="1:7" ht="13.65" customHeight="1">
      <c r="A30" s="5"/>
      <c r="B30" s="3" t="s">
        <v>751</v>
      </c>
      <c r="C30" s="3" t="s">
        <v>681</v>
      </c>
      <c r="D30" s="5"/>
      <c r="E30" s="3" t="s">
        <v>730</v>
      </c>
      <c r="F30" s="5"/>
      <c r="G30" s="5"/>
    </row>
    <row r="31" spans="1:7" ht="13.95" customHeight="1">
      <c r="A31" s="5"/>
      <c r="B31" s="3" t="s">
        <v>683</v>
      </c>
      <c r="C31" s="3" t="s">
        <v>684</v>
      </c>
      <c r="D31" s="12" t="s">
        <v>675</v>
      </c>
      <c r="E31" s="3" t="s">
        <v>730</v>
      </c>
      <c r="F31" s="5"/>
      <c r="G31" s="5"/>
    </row>
    <row r="32" spans="1:7" ht="12" customHeight="1">
      <c r="A32" s="5"/>
      <c r="B32" s="5"/>
      <c r="C32" s="5"/>
      <c r="D32" s="5"/>
      <c r="E32" s="2474" t="s">
        <v>685</v>
      </c>
      <c r="F32" s="2474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65" customHeight="1">
      <c r="A34" s="5"/>
      <c r="B34" s="3" t="s">
        <v>1473</v>
      </c>
      <c r="C34" s="5"/>
      <c r="D34" s="12" t="s">
        <v>743</v>
      </c>
      <c r="E34" s="3" t="s">
        <v>930</v>
      </c>
      <c r="F34" s="5"/>
      <c r="G34" s="5"/>
    </row>
    <row r="35" spans="1:7" ht="13.65" customHeight="1">
      <c r="A35" s="5"/>
      <c r="B35" s="3" t="s">
        <v>742</v>
      </c>
      <c r="C35" s="5"/>
      <c r="D35" s="12" t="s">
        <v>881</v>
      </c>
      <c r="E35" s="3" t="s">
        <v>1069</v>
      </c>
      <c r="F35" s="5"/>
      <c r="G35" s="5"/>
    </row>
    <row r="36" spans="1:7" ht="13.95" customHeight="1">
      <c r="A36" s="5"/>
      <c r="B36" s="3" t="s">
        <v>1420</v>
      </c>
      <c r="C36" s="5"/>
      <c r="D36" s="12" t="s">
        <v>690</v>
      </c>
      <c r="E36" s="3" t="s">
        <v>1475</v>
      </c>
      <c r="F36" s="5"/>
      <c r="G36" s="5"/>
    </row>
    <row r="37" spans="1:7" ht="13.65" customHeight="1">
      <c r="A37" s="5"/>
      <c r="B37" s="3" t="s">
        <v>739</v>
      </c>
      <c r="C37" s="5"/>
      <c r="D37" s="12" t="s">
        <v>881</v>
      </c>
      <c r="E37" s="3" t="s">
        <v>1476</v>
      </c>
      <c r="F37" s="5"/>
      <c r="G37" s="5"/>
    </row>
    <row r="38" spans="1:7" ht="13.95" customHeight="1">
      <c r="A38" s="5"/>
      <c r="B38" s="3" t="s">
        <v>803</v>
      </c>
      <c r="C38" s="5"/>
      <c r="D38" s="12" t="s">
        <v>881</v>
      </c>
      <c r="E38" s="3" t="s">
        <v>915</v>
      </c>
      <c r="F38" s="5"/>
      <c r="G38" s="5"/>
    </row>
    <row r="39" spans="1:7" ht="12" customHeight="1">
      <c r="A39" s="5"/>
      <c r="B39" s="5"/>
      <c r="C39" s="5"/>
      <c r="D39" s="5"/>
      <c r="E39" s="2474" t="s">
        <v>702</v>
      </c>
      <c r="F39" s="2474"/>
      <c r="G39" s="5"/>
    </row>
    <row r="40" spans="1:7" ht="12" customHeight="1">
      <c r="A40" s="12" t="s">
        <v>703</v>
      </c>
      <c r="B40" s="3" t="s">
        <v>704</v>
      </c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5"/>
      <c r="F41" s="5"/>
      <c r="G41" s="5"/>
    </row>
    <row r="42" spans="1:7" ht="12" customHeight="1">
      <c r="A42" s="5"/>
      <c r="B42" s="5"/>
      <c r="C42" s="5"/>
      <c r="D42" s="5"/>
      <c r="E42" s="2474" t="s">
        <v>705</v>
      </c>
      <c r="F42" s="2474"/>
      <c r="G42" s="5"/>
    </row>
    <row r="43" spans="1:7" ht="12" customHeight="1">
      <c r="A43" s="5"/>
      <c r="B43" s="5"/>
      <c r="C43" s="5"/>
      <c r="D43" s="5"/>
      <c r="E43" s="5"/>
      <c r="F43" s="5"/>
      <c r="G43" s="5"/>
    </row>
    <row r="44" spans="1:7" ht="12" customHeight="1">
      <c r="A44" s="12" t="s">
        <v>706</v>
      </c>
      <c r="B44" s="2474" t="s">
        <v>707</v>
      </c>
      <c r="C44" s="2474"/>
      <c r="D44" s="2474"/>
      <c r="E44" s="2474"/>
      <c r="F44" s="2474"/>
      <c r="G44" s="5"/>
    </row>
    <row r="45" spans="1:7" ht="12" customHeight="1">
      <c r="A45" s="12" t="s">
        <v>708</v>
      </c>
      <c r="B45" s="2471" t="s">
        <v>876</v>
      </c>
      <c r="C45" s="2471"/>
      <c r="D45" s="2471"/>
      <c r="E45" s="2472" t="s">
        <v>710</v>
      </c>
      <c r="F45" s="2472"/>
      <c r="G45" s="5"/>
    </row>
    <row r="46" spans="1:7" ht="12" customHeight="1">
      <c r="A46" s="12" t="s">
        <v>711</v>
      </c>
      <c r="B46" s="2473" t="s">
        <v>712</v>
      </c>
      <c r="C46" s="2473"/>
      <c r="D46" s="2473"/>
      <c r="E46" s="2473"/>
      <c r="F46" s="2473"/>
      <c r="G46" s="5"/>
    </row>
  </sheetData>
  <mergeCells count="14">
    <mergeCell ref="E9:F9"/>
    <mergeCell ref="E15:F15"/>
    <mergeCell ref="E18:F18"/>
    <mergeCell ref="B20:F20"/>
    <mergeCell ref="B21:D21"/>
    <mergeCell ref="E21:F21"/>
    <mergeCell ref="B45:D45"/>
    <mergeCell ref="E45:F45"/>
    <mergeCell ref="B46:F46"/>
    <mergeCell ref="B22:F22"/>
    <mergeCell ref="E32:F32"/>
    <mergeCell ref="E39:F39"/>
    <mergeCell ref="E42:F42"/>
    <mergeCell ref="B44:F44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8"/>
  <dimension ref="A1:G43"/>
  <sheetViews>
    <sheetView workbookViewId="0">
      <selection activeCell="G43" sqref="A1:G43"/>
    </sheetView>
  </sheetViews>
  <sheetFormatPr defaultRowHeight="14.4"/>
  <cols>
    <col min="1" max="1" width="5.33203125" customWidth="1"/>
    <col min="2" max="2" width="24.44140625" customWidth="1"/>
    <col min="3" max="3" width="7" customWidth="1"/>
    <col min="4" max="4" width="10.88671875" customWidth="1"/>
    <col min="5" max="5" width="26.6640625" customWidth="1"/>
    <col min="6" max="6" width="13.88671875" customWidth="1"/>
    <col min="7" max="7" width="16" customWidth="1"/>
  </cols>
  <sheetData>
    <row r="1" spans="1:7">
      <c r="A1" s="50" t="s">
        <v>2135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91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86"/>
      <c r="F4" s="5"/>
      <c r="G4" s="5"/>
    </row>
    <row r="5" spans="1:7" ht="13.65" customHeight="1">
      <c r="A5" s="5"/>
      <c r="B5" s="3" t="s">
        <v>673</v>
      </c>
      <c r="C5" s="3" t="s">
        <v>674</v>
      </c>
      <c r="D5" s="12" t="s">
        <v>675</v>
      </c>
      <c r="E5" s="96" t="s">
        <v>741</v>
      </c>
      <c r="F5" s="5"/>
      <c r="G5" s="5"/>
    </row>
    <row r="6" spans="1:7" ht="13.95" customHeight="1">
      <c r="A6" s="5"/>
      <c r="B6" s="3" t="s">
        <v>782</v>
      </c>
      <c r="C6" s="3" t="s">
        <v>681</v>
      </c>
      <c r="D6" s="12" t="s">
        <v>675</v>
      </c>
      <c r="E6" s="96" t="s">
        <v>741</v>
      </c>
      <c r="F6" s="5"/>
      <c r="G6" s="5"/>
    </row>
    <row r="7" spans="1:7" ht="13.65" customHeight="1">
      <c r="A7" s="5"/>
      <c r="B7" s="3" t="s">
        <v>751</v>
      </c>
      <c r="C7" s="3" t="s">
        <v>681</v>
      </c>
      <c r="D7" s="12" t="s">
        <v>675</v>
      </c>
      <c r="E7" s="96" t="s">
        <v>779</v>
      </c>
      <c r="F7" s="5"/>
      <c r="G7" s="5"/>
    </row>
    <row r="8" spans="1:7" ht="13.65" customHeight="1">
      <c r="A8" s="5"/>
      <c r="B8" s="3" t="s">
        <v>683</v>
      </c>
      <c r="C8" s="3" t="s">
        <v>684</v>
      </c>
      <c r="D8" s="12" t="s">
        <v>675</v>
      </c>
      <c r="E8" s="96" t="s">
        <v>693</v>
      </c>
      <c r="F8" s="5"/>
      <c r="G8" s="5"/>
    </row>
    <row r="9" spans="1:7" ht="12" customHeight="1">
      <c r="A9" s="5"/>
      <c r="B9" s="5"/>
      <c r="C9" s="5"/>
      <c r="D9" s="5"/>
      <c r="E9" s="96" t="s">
        <v>685</v>
      </c>
      <c r="F9" s="9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86"/>
      <c r="F10" s="5"/>
      <c r="G10" s="5"/>
    </row>
    <row r="11" spans="1:7" ht="13.95" customHeight="1">
      <c r="A11" s="5"/>
      <c r="B11" s="3" t="s">
        <v>990</v>
      </c>
      <c r="C11" s="5"/>
      <c r="D11" s="12" t="s">
        <v>961</v>
      </c>
      <c r="E11" s="96" t="s">
        <v>737</v>
      </c>
      <c r="F11" s="5"/>
      <c r="G11" s="5"/>
    </row>
    <row r="12" spans="1:7" ht="13.65" customHeight="1">
      <c r="A12" s="5"/>
      <c r="B12" s="3" t="s">
        <v>958</v>
      </c>
      <c r="C12" s="5"/>
      <c r="D12" s="12" t="s">
        <v>959</v>
      </c>
      <c r="E12" s="96" t="s">
        <v>991</v>
      </c>
      <c r="F12" s="5"/>
      <c r="G12" s="5"/>
    </row>
    <row r="13" spans="1:7" ht="13.95" customHeight="1">
      <c r="A13" s="5"/>
      <c r="B13" s="3" t="s">
        <v>992</v>
      </c>
      <c r="C13" s="5"/>
      <c r="D13" s="12" t="s">
        <v>773</v>
      </c>
      <c r="E13" s="96" t="s">
        <v>993</v>
      </c>
      <c r="F13" s="5"/>
      <c r="G13" s="5"/>
    </row>
    <row r="14" spans="1:7" ht="13.65" customHeight="1">
      <c r="A14" s="5"/>
      <c r="B14" s="5"/>
      <c r="C14" s="5"/>
      <c r="D14" s="5"/>
      <c r="E14" s="96" t="s">
        <v>702</v>
      </c>
      <c r="F14" s="97"/>
      <c r="G14" s="5"/>
    </row>
    <row r="15" spans="1:7" ht="12" customHeight="1">
      <c r="A15" s="12" t="s">
        <v>703</v>
      </c>
      <c r="B15" s="3" t="s">
        <v>704</v>
      </c>
      <c r="C15" s="5"/>
      <c r="D15" s="5"/>
      <c r="E15" s="86"/>
      <c r="F15" s="5"/>
      <c r="G15" s="5"/>
    </row>
    <row r="16" spans="1:7" ht="12" customHeight="1">
      <c r="A16" s="5"/>
      <c r="B16" s="5"/>
      <c r="C16" s="5"/>
      <c r="D16" s="5"/>
      <c r="E16" s="86"/>
      <c r="F16" s="5"/>
      <c r="G16" s="5"/>
    </row>
    <row r="17" spans="1:7" ht="12" customHeight="1">
      <c r="A17" s="5"/>
      <c r="B17" s="5"/>
      <c r="C17" s="5"/>
      <c r="D17" s="5"/>
      <c r="E17" s="96" t="s">
        <v>705</v>
      </c>
      <c r="F17" s="97"/>
      <c r="G17" s="5"/>
    </row>
    <row r="18" spans="1:7" ht="12" customHeight="1">
      <c r="A18" s="5"/>
      <c r="B18" s="5"/>
      <c r="C18" s="5"/>
      <c r="D18" s="5"/>
      <c r="E18" s="86"/>
      <c r="F18" s="5"/>
      <c r="G18" s="5"/>
    </row>
    <row r="19" spans="1:7" ht="12" customHeight="1">
      <c r="A19" s="12" t="s">
        <v>706</v>
      </c>
      <c r="B19" s="96" t="s">
        <v>707</v>
      </c>
      <c r="C19" s="102"/>
      <c r="D19" s="102"/>
      <c r="E19" s="102"/>
      <c r="F19" s="97"/>
      <c r="G19" s="5"/>
    </row>
    <row r="20" spans="1:7" ht="12" customHeight="1">
      <c r="A20" s="12" t="s">
        <v>708</v>
      </c>
      <c r="B20" s="92" t="s">
        <v>876</v>
      </c>
      <c r="C20" s="93"/>
      <c r="D20" s="94"/>
      <c r="E20" s="96" t="s">
        <v>710</v>
      </c>
      <c r="F20" s="97"/>
      <c r="G20" s="5"/>
    </row>
    <row r="21" spans="1:7" ht="12" customHeight="1">
      <c r="A21" s="12" t="s">
        <v>711</v>
      </c>
      <c r="B21" s="2473" t="s">
        <v>712</v>
      </c>
      <c r="C21" s="2473"/>
      <c r="D21" s="2473"/>
      <c r="E21" s="2473"/>
      <c r="F21" s="2473"/>
      <c r="G21" s="5"/>
    </row>
    <row r="22" spans="1:7" ht="12" customHeight="1">
      <c r="A22" s="12"/>
      <c r="B22" s="26"/>
      <c r="C22" s="26"/>
      <c r="D22" s="26"/>
      <c r="E22" s="26"/>
      <c r="F22" s="26"/>
      <c r="G22" s="5"/>
    </row>
    <row r="23" spans="1:7" ht="12" customHeight="1">
      <c r="A23" s="55" t="s">
        <v>2136</v>
      </c>
      <c r="B23" s="26"/>
      <c r="C23" s="26"/>
      <c r="D23" s="26"/>
      <c r="E23" s="26"/>
      <c r="F23" s="26"/>
      <c r="G23" s="5"/>
    </row>
    <row r="24" spans="1:7" ht="12" customHeight="1">
      <c r="A24" s="12"/>
      <c r="B24" s="26"/>
      <c r="C24" s="26"/>
      <c r="D24" s="26"/>
      <c r="E24" s="26"/>
      <c r="F24" s="26"/>
      <c r="G24" s="5"/>
    </row>
    <row r="25" spans="1:7" ht="35.1" customHeight="1">
      <c r="A25" s="6" t="s">
        <v>762</v>
      </c>
      <c r="B25" s="6" t="s">
        <v>763</v>
      </c>
      <c r="C25" s="91" t="s">
        <v>764</v>
      </c>
      <c r="D25" s="6" t="s">
        <v>765</v>
      </c>
      <c r="E25" s="6" t="s">
        <v>766</v>
      </c>
      <c r="F25" s="90" t="s">
        <v>767</v>
      </c>
      <c r="G25" s="7" t="s">
        <v>768</v>
      </c>
    </row>
    <row r="26" spans="1:7" ht="12" customHeight="1">
      <c r="A26" s="12" t="s">
        <v>671</v>
      </c>
      <c r="B26" s="3" t="s">
        <v>672</v>
      </c>
      <c r="C26" s="86"/>
      <c r="D26" s="5"/>
      <c r="E26" s="5"/>
      <c r="F26" s="84"/>
      <c r="G26" s="5"/>
    </row>
    <row r="27" spans="1:7" ht="13.65" customHeight="1">
      <c r="A27" s="5"/>
      <c r="B27" s="3" t="s">
        <v>673</v>
      </c>
      <c r="C27" s="96" t="s">
        <v>674</v>
      </c>
      <c r="D27" s="12" t="s">
        <v>675</v>
      </c>
      <c r="E27" s="3" t="s">
        <v>679</v>
      </c>
      <c r="F27" s="84"/>
      <c r="G27" s="5"/>
    </row>
    <row r="28" spans="1:7" ht="13.95" customHeight="1">
      <c r="A28" s="5"/>
      <c r="B28" s="3" t="s">
        <v>782</v>
      </c>
      <c r="C28" s="96" t="s">
        <v>681</v>
      </c>
      <c r="D28" s="12" t="s">
        <v>675</v>
      </c>
      <c r="E28" s="3" t="s">
        <v>679</v>
      </c>
      <c r="F28" s="84"/>
      <c r="G28" s="5"/>
    </row>
    <row r="29" spans="1:7" ht="13.65" customHeight="1">
      <c r="A29" s="5"/>
      <c r="B29" s="3" t="s">
        <v>751</v>
      </c>
      <c r="C29" s="96" t="s">
        <v>681</v>
      </c>
      <c r="D29" s="12" t="s">
        <v>675</v>
      </c>
      <c r="E29" s="3" t="s">
        <v>682</v>
      </c>
      <c r="F29" s="84"/>
      <c r="G29" s="5"/>
    </row>
    <row r="30" spans="1:7" ht="13.65" customHeight="1">
      <c r="A30" s="5"/>
      <c r="B30" s="3" t="s">
        <v>683</v>
      </c>
      <c r="C30" s="96" t="s">
        <v>684</v>
      </c>
      <c r="D30" s="12" t="s">
        <v>675</v>
      </c>
      <c r="E30" s="3" t="s">
        <v>856</v>
      </c>
      <c r="F30" s="84"/>
      <c r="G30" s="5"/>
    </row>
    <row r="31" spans="1:7" ht="12" customHeight="1">
      <c r="A31" s="5"/>
      <c r="B31" s="5"/>
      <c r="C31" s="86"/>
      <c r="D31" s="5"/>
      <c r="E31" s="2474" t="s">
        <v>685</v>
      </c>
      <c r="F31" s="2474"/>
      <c r="G31" s="5"/>
    </row>
    <row r="32" spans="1:7" ht="12" customHeight="1">
      <c r="A32" s="12" t="s">
        <v>686</v>
      </c>
      <c r="B32" s="3" t="s">
        <v>687</v>
      </c>
      <c r="C32" s="87"/>
      <c r="D32" s="5"/>
      <c r="E32" s="5"/>
      <c r="F32" s="84"/>
      <c r="G32" s="5"/>
    </row>
    <row r="33" spans="1:7" ht="25.35" customHeight="1">
      <c r="A33" s="5"/>
      <c r="B33" s="2" t="s">
        <v>994</v>
      </c>
      <c r="C33" s="87"/>
      <c r="D33" s="17" t="s">
        <v>995</v>
      </c>
      <c r="E33" s="2" t="s">
        <v>996</v>
      </c>
      <c r="F33" s="84"/>
      <c r="G33" s="5"/>
    </row>
    <row r="34" spans="1:7" ht="25.2" customHeight="1">
      <c r="A34" s="5"/>
      <c r="B34" s="2" t="s">
        <v>997</v>
      </c>
      <c r="C34" s="5"/>
      <c r="D34" s="3" t="s">
        <v>971</v>
      </c>
      <c r="E34" s="3" t="s">
        <v>998</v>
      </c>
      <c r="F34" s="84"/>
      <c r="G34" s="5"/>
    </row>
    <row r="35" spans="1:7" ht="13.65" customHeight="1">
      <c r="A35" s="5"/>
      <c r="B35" s="3" t="s">
        <v>736</v>
      </c>
      <c r="C35" s="5"/>
      <c r="D35" s="12" t="s">
        <v>853</v>
      </c>
      <c r="E35" s="3" t="s">
        <v>999</v>
      </c>
      <c r="F35" s="84"/>
      <c r="G35" s="5"/>
    </row>
    <row r="36" spans="1:7" ht="13.65" customHeight="1">
      <c r="A36" s="5"/>
      <c r="B36" s="5"/>
      <c r="C36" s="5"/>
      <c r="D36" s="5"/>
      <c r="E36" s="2474" t="s">
        <v>702</v>
      </c>
      <c r="F36" s="2474"/>
      <c r="G36" s="5"/>
    </row>
    <row r="37" spans="1:7" ht="12" customHeight="1">
      <c r="A37" s="12" t="s">
        <v>703</v>
      </c>
      <c r="B37" s="3" t="s">
        <v>704</v>
      </c>
      <c r="C37" s="5"/>
      <c r="D37" s="5"/>
      <c r="E37" s="5"/>
      <c r="F37" s="84"/>
      <c r="G37" s="5"/>
    </row>
    <row r="38" spans="1:7" ht="12" customHeight="1">
      <c r="A38" s="5"/>
      <c r="B38" s="5"/>
      <c r="C38" s="5"/>
      <c r="D38" s="5"/>
      <c r="E38" s="5"/>
      <c r="F38" s="84"/>
      <c r="G38" s="5"/>
    </row>
    <row r="39" spans="1:7" ht="12" customHeight="1">
      <c r="A39" s="5"/>
      <c r="B39" s="5"/>
      <c r="C39" s="5"/>
      <c r="D39" s="5"/>
      <c r="E39" s="2474" t="s">
        <v>705</v>
      </c>
      <c r="F39" s="2474"/>
      <c r="G39" s="5"/>
    </row>
    <row r="40" spans="1:7" ht="12" customHeight="1">
      <c r="A40" s="5"/>
      <c r="B40" s="5"/>
      <c r="C40" s="5"/>
      <c r="D40" s="5"/>
      <c r="E40" s="5"/>
      <c r="F40" s="84"/>
      <c r="G40" s="5"/>
    </row>
    <row r="41" spans="1:7" ht="12" customHeight="1">
      <c r="A41" s="12" t="s">
        <v>706</v>
      </c>
      <c r="B41" s="2474" t="s">
        <v>707</v>
      </c>
      <c r="C41" s="2474"/>
      <c r="D41" s="2474"/>
      <c r="E41" s="2474"/>
      <c r="F41" s="2474"/>
      <c r="G41" s="5"/>
    </row>
    <row r="42" spans="1:7" ht="12" customHeight="1">
      <c r="A42" s="12" t="s">
        <v>708</v>
      </c>
      <c r="B42" s="2471" t="s">
        <v>876</v>
      </c>
      <c r="C42" s="2471"/>
      <c r="D42" s="2471"/>
      <c r="E42" s="2472" t="s">
        <v>710</v>
      </c>
      <c r="F42" s="2472"/>
      <c r="G42" s="5"/>
    </row>
    <row r="43" spans="1:7" ht="12.15" customHeight="1">
      <c r="A43" s="12" t="s">
        <v>711</v>
      </c>
      <c r="B43" s="2473" t="s">
        <v>712</v>
      </c>
      <c r="C43" s="2473"/>
      <c r="D43" s="2473"/>
      <c r="E43" s="2473"/>
      <c r="F43" s="2473"/>
      <c r="G43" s="5"/>
    </row>
  </sheetData>
  <mergeCells count="8">
    <mergeCell ref="B43:F43"/>
    <mergeCell ref="E39:F39"/>
    <mergeCell ref="B41:F41"/>
    <mergeCell ref="B21:F21"/>
    <mergeCell ref="E31:F31"/>
    <mergeCell ref="E36:F36"/>
    <mergeCell ref="B42:D42"/>
    <mergeCell ref="E42:F42"/>
  </mergeCells>
  <pageMargins left="0.7" right="0.7" top="0.75" bottom="0.75" header="0.3" footer="0.3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152"/>
  <dimension ref="A1:G28"/>
  <sheetViews>
    <sheetView workbookViewId="0">
      <selection activeCell="B28" sqref="A1:G28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2422</v>
      </c>
    </row>
    <row r="3" spans="1:7" ht="34.950000000000003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5" customHeight="1">
      <c r="A5" s="5"/>
      <c r="B5" s="3" t="s">
        <v>673</v>
      </c>
      <c r="C5" s="3" t="s">
        <v>674</v>
      </c>
      <c r="D5" s="12" t="s">
        <v>675</v>
      </c>
      <c r="E5" s="3" t="s">
        <v>1223</v>
      </c>
      <c r="F5" s="5"/>
      <c r="G5" s="5"/>
    </row>
    <row r="6" spans="1:7" ht="13.65" customHeight="1">
      <c r="A6" s="5"/>
      <c r="B6" s="3" t="s">
        <v>731</v>
      </c>
      <c r="C6" s="3" t="s">
        <v>678</v>
      </c>
      <c r="D6" s="5"/>
      <c r="E6" s="3" t="s">
        <v>1477</v>
      </c>
      <c r="F6" s="5"/>
      <c r="G6" s="5"/>
    </row>
    <row r="7" spans="1:7" ht="13.65" customHeight="1">
      <c r="A7" s="5"/>
      <c r="B7" s="3" t="s">
        <v>751</v>
      </c>
      <c r="C7" s="3" t="s">
        <v>681</v>
      </c>
      <c r="D7" s="5"/>
      <c r="E7" s="3" t="s">
        <v>789</v>
      </c>
      <c r="F7" s="5"/>
      <c r="G7" s="5"/>
    </row>
    <row r="8" spans="1:7" ht="13.95" customHeight="1">
      <c r="A8" s="5"/>
      <c r="B8" s="3" t="s">
        <v>683</v>
      </c>
      <c r="C8" s="3" t="s">
        <v>684</v>
      </c>
      <c r="D8" s="12" t="s">
        <v>675</v>
      </c>
      <c r="E8" s="3" t="s">
        <v>789</v>
      </c>
      <c r="F8" s="5"/>
      <c r="G8" s="5"/>
    </row>
    <row r="9" spans="1:7" ht="12" customHeight="1">
      <c r="A9" s="5"/>
      <c r="B9" s="5"/>
      <c r="C9" s="5"/>
      <c r="D9" s="5"/>
      <c r="E9" s="2474" t="s">
        <v>685</v>
      </c>
      <c r="F9" s="2474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65" customHeight="1">
      <c r="A11" s="5"/>
      <c r="B11" s="3" t="s">
        <v>1473</v>
      </c>
      <c r="C11" s="5"/>
      <c r="D11" s="12" t="s">
        <v>743</v>
      </c>
      <c r="E11" s="3" t="s">
        <v>930</v>
      </c>
      <c r="F11" s="5"/>
      <c r="G11" s="5"/>
    </row>
    <row r="12" spans="1:7" ht="13.65" customHeight="1">
      <c r="A12" s="5"/>
      <c r="B12" s="3" t="s">
        <v>742</v>
      </c>
      <c r="C12" s="5"/>
      <c r="D12" s="12" t="s">
        <v>881</v>
      </c>
      <c r="E12" s="3" t="s">
        <v>1478</v>
      </c>
      <c r="F12" s="5"/>
      <c r="G12" s="5"/>
    </row>
    <row r="13" spans="1:7" ht="13.95" customHeight="1">
      <c r="A13" s="5"/>
      <c r="B13" s="3" t="s">
        <v>1420</v>
      </c>
      <c r="C13" s="5"/>
      <c r="D13" s="12" t="s">
        <v>690</v>
      </c>
      <c r="E13" s="3" t="s">
        <v>1479</v>
      </c>
      <c r="F13" s="5"/>
      <c r="G13" s="5"/>
    </row>
    <row r="14" spans="1:7" ht="13.65" customHeight="1">
      <c r="A14" s="5"/>
      <c r="B14" s="3" t="s">
        <v>739</v>
      </c>
      <c r="C14" s="5"/>
      <c r="D14" s="12" t="s">
        <v>881</v>
      </c>
      <c r="E14" s="3" t="s">
        <v>924</v>
      </c>
      <c r="F14" s="5"/>
      <c r="G14" s="5"/>
    </row>
    <row r="15" spans="1:7" ht="13.65" customHeight="1">
      <c r="A15" s="5"/>
      <c r="B15" s="3" t="s">
        <v>803</v>
      </c>
      <c r="C15" s="5"/>
      <c r="D15" s="12" t="s">
        <v>881</v>
      </c>
      <c r="E15" s="3" t="s">
        <v>921</v>
      </c>
      <c r="F15" s="5"/>
      <c r="G15" s="5"/>
    </row>
    <row r="16" spans="1:7" ht="12" customHeight="1">
      <c r="A16" s="5"/>
      <c r="B16" s="5"/>
      <c r="C16" s="5"/>
      <c r="D16" s="5"/>
      <c r="E16" s="2474" t="s">
        <v>702</v>
      </c>
      <c r="F16" s="2474"/>
      <c r="G16" s="5"/>
    </row>
    <row r="17" spans="1:7" ht="12" customHeight="1">
      <c r="A17" s="12" t="s">
        <v>703</v>
      </c>
      <c r="B17" s="3" t="s">
        <v>704</v>
      </c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5"/>
      <c r="F18" s="5"/>
      <c r="G18" s="5"/>
    </row>
    <row r="19" spans="1:7" ht="12" customHeight="1">
      <c r="A19" s="5"/>
      <c r="B19" s="5"/>
      <c r="C19" s="5"/>
      <c r="D19" s="5"/>
      <c r="E19" s="2474" t="s">
        <v>705</v>
      </c>
      <c r="F19" s="2474"/>
      <c r="G19" s="5"/>
    </row>
    <row r="20" spans="1:7" ht="12" customHeight="1">
      <c r="A20" s="5"/>
      <c r="B20" s="5"/>
      <c r="C20" s="5"/>
      <c r="D20" s="5"/>
      <c r="E20" s="5"/>
      <c r="F20" s="5"/>
      <c r="G20" s="5"/>
    </row>
    <row r="21" spans="1:7" ht="12" customHeight="1">
      <c r="A21" s="12" t="s">
        <v>706</v>
      </c>
      <c r="B21" s="2474" t="s">
        <v>707</v>
      </c>
      <c r="C21" s="2474"/>
      <c r="D21" s="2474"/>
      <c r="E21" s="2474"/>
      <c r="F21" s="2474"/>
      <c r="G21" s="5"/>
    </row>
    <row r="22" spans="1:7" ht="12" customHeight="1">
      <c r="A22" s="12" t="s">
        <v>708</v>
      </c>
      <c r="B22" s="2471" t="s">
        <v>876</v>
      </c>
      <c r="C22" s="2471"/>
      <c r="D22" s="2471"/>
      <c r="E22" s="2472" t="s">
        <v>710</v>
      </c>
      <c r="F22" s="2472"/>
      <c r="G22" s="5"/>
    </row>
    <row r="23" spans="1:7" ht="12.15" customHeight="1">
      <c r="A23" s="12" t="s">
        <v>711</v>
      </c>
      <c r="B23" s="2473" t="s">
        <v>712</v>
      </c>
      <c r="C23" s="2473"/>
      <c r="D23" s="2473"/>
      <c r="E23" s="2473"/>
      <c r="F23" s="2473"/>
      <c r="G23" s="5"/>
    </row>
    <row r="24" spans="1:7" ht="12.15" customHeight="1">
      <c r="A24" s="12"/>
      <c r="B24" s="26"/>
      <c r="C24" s="26"/>
      <c r="D24" s="26"/>
      <c r="E24" s="26"/>
      <c r="F24" s="26"/>
      <c r="G24" s="5"/>
    </row>
    <row r="25" spans="1:7" ht="12.15" customHeight="1">
      <c r="A25" s="12"/>
      <c r="B25" s="26"/>
      <c r="C25" s="26"/>
      <c r="D25" s="26"/>
      <c r="E25" s="26"/>
      <c r="F25" s="26"/>
      <c r="G25" s="5"/>
    </row>
    <row r="27" spans="1:7">
      <c r="B27" s="2482" t="s">
        <v>2425</v>
      </c>
      <c r="C27" s="2482"/>
      <c r="D27" s="2482"/>
      <c r="E27" s="2482"/>
      <c r="F27" s="2482"/>
      <c r="G27" s="2482"/>
    </row>
    <row r="28" spans="1:7" ht="53.25" customHeight="1">
      <c r="B28" s="2483" t="s">
        <v>2426</v>
      </c>
      <c r="C28" s="2483"/>
      <c r="D28" s="2483"/>
      <c r="E28" s="2483"/>
      <c r="F28" s="2483"/>
      <c r="G28" s="2483"/>
    </row>
  </sheetData>
  <mergeCells count="9">
    <mergeCell ref="B23:F23"/>
    <mergeCell ref="B27:G27"/>
    <mergeCell ref="B28:G28"/>
    <mergeCell ref="E9:F9"/>
    <mergeCell ref="E16:F16"/>
    <mergeCell ref="E19:F19"/>
    <mergeCell ref="B21:F21"/>
    <mergeCell ref="B22:D22"/>
    <mergeCell ref="E22:F22"/>
  </mergeCells>
  <pageMargins left="0.7" right="0.7" top="0.75" bottom="0.75" header="0.3" footer="0.3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153">
    <tabColor rgb="FFFFC000"/>
  </sheetPr>
  <dimension ref="A1:G24"/>
  <sheetViews>
    <sheetView workbookViewId="0">
      <selection sqref="A1:G21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2" customWidth="1"/>
    <col min="7" max="7" width="16.6640625" customWidth="1"/>
  </cols>
  <sheetData>
    <row r="1" spans="1:7" ht="12.15" customHeight="1">
      <c r="A1" s="53" t="s">
        <v>2423</v>
      </c>
      <c r="B1" s="38"/>
      <c r="C1" s="38"/>
      <c r="D1" s="38"/>
      <c r="E1" s="38"/>
      <c r="F1" s="38"/>
      <c r="G1" s="37"/>
    </row>
    <row r="2" spans="1:7" ht="12.15" customHeight="1">
      <c r="A2" s="117"/>
      <c r="B2" s="38"/>
      <c r="C2" s="38"/>
      <c r="D2" s="38"/>
      <c r="E2" s="38"/>
      <c r="F2" s="38"/>
      <c r="G2" s="37"/>
    </row>
    <row r="3" spans="1:7" ht="12.15" customHeight="1">
      <c r="A3" s="50" t="s">
        <v>2424</v>
      </c>
      <c r="B3" s="38"/>
      <c r="C3" s="38"/>
      <c r="D3" s="38"/>
      <c r="E3" s="38"/>
      <c r="F3" s="38"/>
      <c r="G3" s="37"/>
    </row>
    <row r="4" spans="1:7" ht="12.15" customHeight="1">
      <c r="A4" s="118"/>
      <c r="B4" s="100"/>
      <c r="C4" s="100"/>
      <c r="D4" s="100"/>
      <c r="E4" s="100"/>
      <c r="F4" s="100"/>
      <c r="G4" s="95"/>
    </row>
    <row r="5" spans="1:7" ht="35.1" customHeight="1">
      <c r="A5" s="6" t="s">
        <v>762</v>
      </c>
      <c r="B5" s="6" t="s">
        <v>763</v>
      </c>
      <c r="C5" s="6" t="s">
        <v>764</v>
      </c>
      <c r="D5" s="6" t="s">
        <v>765</v>
      </c>
      <c r="E5" s="6" t="s">
        <v>766</v>
      </c>
      <c r="F5" s="7" t="s">
        <v>767</v>
      </c>
      <c r="G5" s="7" t="s">
        <v>768</v>
      </c>
    </row>
    <row r="6" spans="1:7" ht="12" customHeight="1">
      <c r="A6" s="12" t="s">
        <v>671</v>
      </c>
      <c r="B6" s="3" t="s">
        <v>672</v>
      </c>
      <c r="C6" s="5"/>
      <c r="D6" s="5"/>
      <c r="E6" s="5"/>
      <c r="F6" s="5"/>
      <c r="G6" s="5"/>
    </row>
    <row r="7" spans="1:7" ht="12" customHeight="1">
      <c r="A7" s="5"/>
      <c r="B7" s="3" t="s">
        <v>673</v>
      </c>
      <c r="C7" s="3" t="s">
        <v>674</v>
      </c>
      <c r="D7" s="12" t="s">
        <v>675</v>
      </c>
      <c r="E7" s="3" t="s">
        <v>1468</v>
      </c>
      <c r="F7" s="5"/>
      <c r="G7" s="5"/>
    </row>
    <row r="8" spans="1:7" ht="12" customHeight="1">
      <c r="A8" s="5"/>
      <c r="B8" s="3" t="s">
        <v>1480</v>
      </c>
      <c r="C8" s="3" t="s">
        <v>678</v>
      </c>
      <c r="D8" s="12" t="s">
        <v>675</v>
      </c>
      <c r="E8" s="3" t="s">
        <v>900</v>
      </c>
      <c r="F8" s="5"/>
      <c r="G8" s="5"/>
    </row>
    <row r="9" spans="1:7" ht="12" customHeight="1">
      <c r="A9" s="5"/>
      <c r="B9" s="3" t="s">
        <v>683</v>
      </c>
      <c r="C9" s="3" t="s">
        <v>684</v>
      </c>
      <c r="D9" s="12" t="s">
        <v>675</v>
      </c>
      <c r="E9" s="3" t="s">
        <v>868</v>
      </c>
      <c r="F9" s="5"/>
      <c r="G9" s="5"/>
    </row>
    <row r="10" spans="1:7" ht="13.65" customHeight="1">
      <c r="A10" s="5"/>
      <c r="B10" s="5"/>
      <c r="C10" s="5"/>
      <c r="D10" s="5"/>
      <c r="E10" s="5"/>
      <c r="F10" s="5"/>
      <c r="G10" s="5"/>
    </row>
    <row r="11" spans="1:7" ht="12" customHeight="1">
      <c r="A11" s="5"/>
      <c r="B11" s="5"/>
      <c r="C11" s="5"/>
      <c r="D11" s="5"/>
      <c r="E11" s="2474" t="s">
        <v>685</v>
      </c>
      <c r="F11" s="2474"/>
      <c r="G11" s="5"/>
    </row>
    <row r="12" spans="1:7" ht="12" customHeight="1">
      <c r="A12" s="12" t="s">
        <v>686</v>
      </c>
      <c r="B12" s="3" t="s">
        <v>687</v>
      </c>
      <c r="C12" s="5"/>
      <c r="D12" s="5"/>
      <c r="E12" s="5"/>
      <c r="F12" s="5"/>
      <c r="G12" s="5"/>
    </row>
    <row r="13" spans="1:7" ht="13.65" customHeight="1">
      <c r="A13" s="5"/>
      <c r="B13" s="3" t="s">
        <v>1481</v>
      </c>
      <c r="C13" s="5"/>
      <c r="D13" s="12" t="s">
        <v>853</v>
      </c>
      <c r="E13" s="3" t="s">
        <v>775</v>
      </c>
      <c r="F13" s="5"/>
      <c r="G13" s="5"/>
    </row>
    <row r="14" spans="1:7" ht="12" customHeight="1">
      <c r="A14" s="5"/>
      <c r="B14" s="5"/>
      <c r="C14" s="5"/>
      <c r="D14" s="5"/>
      <c r="E14" s="2474" t="s">
        <v>702</v>
      </c>
      <c r="F14" s="2474"/>
      <c r="G14" s="5"/>
    </row>
    <row r="15" spans="1:7" ht="12" customHeight="1">
      <c r="A15" s="12" t="s">
        <v>703</v>
      </c>
      <c r="B15" s="3" t="s">
        <v>704</v>
      </c>
      <c r="C15" s="5"/>
      <c r="D15" s="5"/>
      <c r="E15" s="5"/>
      <c r="F15" s="5"/>
      <c r="G15" s="5"/>
    </row>
    <row r="16" spans="1:7" ht="23.4" customHeight="1">
      <c r="A16" s="5"/>
      <c r="B16" s="2" t="s">
        <v>1482</v>
      </c>
      <c r="C16" s="5"/>
      <c r="D16" s="2" t="s">
        <v>1483</v>
      </c>
      <c r="E16" s="2" t="s">
        <v>1484</v>
      </c>
      <c r="F16" s="5"/>
      <c r="G16" s="5"/>
    </row>
    <row r="17" spans="1:7" ht="12" customHeight="1">
      <c r="A17" s="5"/>
      <c r="B17" s="5"/>
      <c r="C17" s="5"/>
      <c r="D17" s="5"/>
      <c r="E17" s="2474" t="s">
        <v>705</v>
      </c>
      <c r="F17" s="2474"/>
      <c r="G17" s="5"/>
    </row>
    <row r="18" spans="1:7" ht="12" customHeight="1">
      <c r="A18" s="5"/>
      <c r="B18" s="5"/>
      <c r="C18" s="5"/>
      <c r="D18" s="5"/>
      <c r="E18" s="5"/>
      <c r="F18" s="5"/>
      <c r="G18" s="5"/>
    </row>
    <row r="19" spans="1:7" ht="12" customHeight="1">
      <c r="A19" s="12" t="s">
        <v>706</v>
      </c>
      <c r="B19" s="2474" t="s">
        <v>707</v>
      </c>
      <c r="C19" s="2474"/>
      <c r="D19" s="2474"/>
      <c r="E19" s="2474"/>
      <c r="F19" s="2474"/>
      <c r="G19" s="5"/>
    </row>
    <row r="20" spans="1:7" ht="12" customHeight="1">
      <c r="A20" s="12" t="s">
        <v>708</v>
      </c>
      <c r="B20" s="2471" t="s">
        <v>709</v>
      </c>
      <c r="C20" s="2471"/>
      <c r="D20" s="2471"/>
      <c r="E20" s="2472" t="s">
        <v>710</v>
      </c>
      <c r="F20" s="2472"/>
      <c r="G20" s="5"/>
    </row>
    <row r="21" spans="1:7" ht="12" customHeight="1">
      <c r="A21" s="12" t="s">
        <v>711</v>
      </c>
      <c r="B21" s="2473" t="s">
        <v>712</v>
      </c>
      <c r="C21" s="2473"/>
      <c r="D21" s="2473"/>
      <c r="E21" s="2473"/>
      <c r="F21" s="2473"/>
      <c r="G21" s="5"/>
    </row>
    <row r="24" spans="1:7" ht="140.25" customHeight="1"/>
  </sheetData>
  <mergeCells count="7">
    <mergeCell ref="B21:F21"/>
    <mergeCell ref="E11:F11"/>
    <mergeCell ref="E14:F14"/>
    <mergeCell ref="E17:F17"/>
    <mergeCell ref="B19:F19"/>
    <mergeCell ref="B20:D20"/>
    <mergeCell ref="E20:F20"/>
  </mergeCells>
  <pageMargins left="0.7" right="0.7" top="0.75" bottom="0.75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154"/>
  <dimension ref="A1:G39"/>
  <sheetViews>
    <sheetView topLeftCell="A19" workbookViewId="0">
      <selection sqref="A1:G39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2427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1485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1486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695</v>
      </c>
      <c r="F7" s="5"/>
      <c r="G7" s="5"/>
    </row>
    <row r="8" spans="1:7" ht="13.65" customHeight="1">
      <c r="A8" s="5"/>
      <c r="B8" s="5"/>
      <c r="C8" s="5"/>
      <c r="D8" s="5"/>
      <c r="E8" s="5"/>
      <c r="F8" s="5"/>
      <c r="G8" s="5"/>
    </row>
    <row r="9" spans="1:7" ht="12" customHeight="1">
      <c r="A9" s="5"/>
      <c r="B9" s="5"/>
      <c r="C9" s="5"/>
      <c r="D9" s="5"/>
      <c r="E9" s="2474" t="s">
        <v>685</v>
      </c>
      <c r="F9" s="2474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95" customHeight="1">
      <c r="A11" s="5"/>
      <c r="B11" s="3" t="s">
        <v>1487</v>
      </c>
      <c r="C11" s="5"/>
      <c r="D11" s="12" t="s">
        <v>853</v>
      </c>
      <c r="E11" s="3" t="s">
        <v>775</v>
      </c>
      <c r="F11" s="5"/>
      <c r="G11" s="5"/>
    </row>
    <row r="12" spans="1:7" ht="12" customHeight="1">
      <c r="A12" s="5"/>
      <c r="B12" s="5"/>
      <c r="C12" s="5"/>
      <c r="D12" s="5"/>
      <c r="E12" s="2474" t="s">
        <v>702</v>
      </c>
      <c r="F12" s="2474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" customHeight="1">
      <c r="A14" s="5"/>
      <c r="B14" s="2" t="s">
        <v>1482</v>
      </c>
      <c r="C14" s="5"/>
      <c r="D14" s="2" t="s">
        <v>1483</v>
      </c>
      <c r="E14" s="2" t="s">
        <v>1488</v>
      </c>
      <c r="F14" s="5"/>
      <c r="G14" s="5"/>
    </row>
    <row r="15" spans="1:7" ht="12" customHeight="1">
      <c r="A15" s="5"/>
      <c r="B15" s="5"/>
      <c r="C15" s="5"/>
      <c r="D15" s="5"/>
      <c r="E15" s="2474" t="s">
        <v>705</v>
      </c>
      <c r="F15" s="2474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2474" t="s">
        <v>707</v>
      </c>
      <c r="C17" s="2474"/>
      <c r="D17" s="2474"/>
      <c r="E17" s="2474"/>
      <c r="F17" s="2474"/>
      <c r="G17" s="5"/>
    </row>
    <row r="18" spans="1:7" ht="12" customHeight="1">
      <c r="A18" s="12" t="s">
        <v>708</v>
      </c>
      <c r="B18" s="2471" t="s">
        <v>709</v>
      </c>
      <c r="C18" s="2471"/>
      <c r="D18" s="2471"/>
      <c r="E18" s="2472" t="s">
        <v>710</v>
      </c>
      <c r="F18" s="2472"/>
      <c r="G18" s="5"/>
    </row>
    <row r="19" spans="1:7" ht="12.15" customHeight="1">
      <c r="A19" s="12" t="s">
        <v>711</v>
      </c>
      <c r="B19" s="2473" t="s">
        <v>712</v>
      </c>
      <c r="C19" s="2473"/>
      <c r="D19" s="2473"/>
      <c r="E19" s="2473"/>
      <c r="F19" s="2473"/>
      <c r="G19" s="5"/>
    </row>
    <row r="20" spans="1:7" ht="12.15" customHeight="1">
      <c r="A20" s="12"/>
      <c r="B20" s="26"/>
      <c r="C20" s="26"/>
      <c r="D20" s="26"/>
      <c r="E20" s="26"/>
      <c r="F20" s="26"/>
      <c r="G20" s="5"/>
    </row>
    <row r="21" spans="1:7" ht="12.15" customHeight="1">
      <c r="A21" s="50" t="s">
        <v>2428</v>
      </c>
      <c r="B21" s="26"/>
      <c r="C21" s="26"/>
      <c r="D21" s="26"/>
      <c r="E21" s="26"/>
      <c r="F21" s="26"/>
      <c r="G21" s="5"/>
    </row>
    <row r="22" spans="1:7" ht="12.15" customHeight="1">
      <c r="A22" s="12"/>
      <c r="B22" s="26"/>
      <c r="C22" s="26"/>
      <c r="D22" s="26"/>
      <c r="E22" s="26"/>
      <c r="F22" s="26"/>
      <c r="G22" s="5"/>
    </row>
    <row r="23" spans="1:7" ht="34.950000000000003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847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912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942</v>
      </c>
      <c r="F27" s="5"/>
      <c r="G27" s="5"/>
    </row>
    <row r="28" spans="1:7" ht="13.95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5"/>
      <c r="B29" s="5"/>
      <c r="C29" s="5"/>
      <c r="D29" s="5"/>
      <c r="E29" s="2474" t="s">
        <v>685</v>
      </c>
      <c r="F29" s="2474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65" customHeight="1">
      <c r="A31" s="5"/>
      <c r="B31" s="3" t="s">
        <v>1489</v>
      </c>
      <c r="C31" s="5"/>
      <c r="D31" s="12" t="s">
        <v>853</v>
      </c>
      <c r="E31" s="3" t="s">
        <v>775</v>
      </c>
      <c r="F31" s="5"/>
      <c r="G31" s="5"/>
    </row>
    <row r="32" spans="1:7" ht="12" customHeight="1">
      <c r="A32" s="5"/>
      <c r="B32" s="5"/>
      <c r="C32" s="5"/>
      <c r="D32" s="5"/>
      <c r="E32" s="2474" t="s">
        <v>702</v>
      </c>
      <c r="F32" s="2474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23.4" customHeight="1">
      <c r="A34" s="5"/>
      <c r="B34" s="2" t="s">
        <v>1482</v>
      </c>
      <c r="C34" s="5"/>
      <c r="D34" s="2" t="s">
        <v>1483</v>
      </c>
      <c r="E34" s="2" t="s">
        <v>1490</v>
      </c>
      <c r="F34" s="5"/>
      <c r="G34" s="5"/>
    </row>
    <row r="35" spans="1:7" ht="12" customHeight="1">
      <c r="A35" s="5"/>
      <c r="B35" s="5"/>
      <c r="C35" s="5"/>
      <c r="D35" s="5"/>
      <c r="E35" s="2474" t="s">
        <v>705</v>
      </c>
      <c r="F35" s="2474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2474" t="s">
        <v>707</v>
      </c>
      <c r="C37" s="2474"/>
      <c r="D37" s="2474"/>
      <c r="E37" s="2474"/>
      <c r="F37" s="2474"/>
      <c r="G37" s="5"/>
    </row>
    <row r="38" spans="1:7" ht="12" customHeight="1">
      <c r="A38" s="12" t="s">
        <v>708</v>
      </c>
      <c r="B38" s="2471" t="s">
        <v>709</v>
      </c>
      <c r="C38" s="2471"/>
      <c r="D38" s="2471"/>
      <c r="E38" s="2472" t="s">
        <v>710</v>
      </c>
      <c r="F38" s="2472"/>
      <c r="G38" s="5"/>
    </row>
    <row r="39" spans="1:7" ht="12" customHeight="1">
      <c r="A39" s="12" t="s">
        <v>711</v>
      </c>
      <c r="B39" s="2473" t="s">
        <v>712</v>
      </c>
      <c r="C39" s="2473"/>
      <c r="D39" s="2473"/>
      <c r="E39" s="2473"/>
      <c r="F39" s="2473"/>
      <c r="G39" s="5"/>
    </row>
  </sheetData>
  <mergeCells count="14">
    <mergeCell ref="E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E29:F29"/>
    <mergeCell ref="E32:F32"/>
    <mergeCell ref="E35:F35"/>
    <mergeCell ref="B37:F37"/>
  </mergeCells>
  <pageMargins left="0.7" right="0.7" top="0.75" bottom="0.75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155"/>
  <dimension ref="A1:G39"/>
  <sheetViews>
    <sheetView topLeftCell="A16" workbookViewId="0">
      <selection sqref="A1:G39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2429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1491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1492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788</v>
      </c>
      <c r="F7" s="5"/>
      <c r="G7" s="5"/>
    </row>
    <row r="8" spans="1:7" ht="13.65" customHeight="1">
      <c r="A8" s="5"/>
      <c r="B8" s="5"/>
      <c r="C8" s="5"/>
      <c r="D8" s="5"/>
      <c r="E8" s="5"/>
      <c r="F8" s="5"/>
      <c r="G8" s="5"/>
    </row>
    <row r="9" spans="1:7" ht="12" customHeight="1">
      <c r="A9" s="5"/>
      <c r="B9" s="5"/>
      <c r="C9" s="5"/>
      <c r="D9" s="5"/>
      <c r="E9" s="2474" t="s">
        <v>685</v>
      </c>
      <c r="F9" s="2474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95" customHeight="1">
      <c r="A11" s="5"/>
      <c r="B11" s="3" t="s">
        <v>1493</v>
      </c>
      <c r="C11" s="5"/>
      <c r="D11" s="12" t="s">
        <v>853</v>
      </c>
      <c r="E11" s="3" t="s">
        <v>775</v>
      </c>
      <c r="F11" s="5"/>
      <c r="G11" s="5"/>
    </row>
    <row r="12" spans="1:7" ht="12" customHeight="1">
      <c r="A12" s="5"/>
      <c r="B12" s="5"/>
      <c r="C12" s="5"/>
      <c r="D12" s="5"/>
      <c r="E12" s="2474" t="s">
        <v>702</v>
      </c>
      <c r="F12" s="2474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" customHeight="1">
      <c r="A14" s="5"/>
      <c r="B14" s="2" t="s">
        <v>1482</v>
      </c>
      <c r="C14" s="5"/>
      <c r="D14" s="2" t="s">
        <v>1483</v>
      </c>
      <c r="E14" s="2" t="s">
        <v>1494</v>
      </c>
      <c r="F14" s="5"/>
      <c r="G14" s="5"/>
    </row>
    <row r="15" spans="1:7" ht="12" customHeight="1">
      <c r="A15" s="5"/>
      <c r="B15" s="5"/>
      <c r="C15" s="5"/>
      <c r="D15" s="5"/>
      <c r="E15" s="2474" t="s">
        <v>705</v>
      </c>
      <c r="F15" s="2474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2474" t="s">
        <v>707</v>
      </c>
      <c r="C17" s="2474"/>
      <c r="D17" s="2474"/>
      <c r="E17" s="2474"/>
      <c r="F17" s="2474"/>
      <c r="G17" s="5"/>
    </row>
    <row r="18" spans="1:7" ht="12" customHeight="1">
      <c r="A18" s="12" t="s">
        <v>708</v>
      </c>
      <c r="B18" s="2471" t="s">
        <v>709</v>
      </c>
      <c r="C18" s="2471"/>
      <c r="D18" s="2471"/>
      <c r="E18" s="2472" t="s">
        <v>710</v>
      </c>
      <c r="F18" s="2472"/>
      <c r="G18" s="5"/>
    </row>
    <row r="19" spans="1:7" ht="12.15" customHeight="1">
      <c r="A19" s="12" t="s">
        <v>711</v>
      </c>
      <c r="B19" s="2473" t="s">
        <v>712</v>
      </c>
      <c r="C19" s="2473"/>
      <c r="D19" s="2473"/>
      <c r="E19" s="2473"/>
      <c r="F19" s="2473"/>
      <c r="G19" s="5"/>
    </row>
    <row r="20" spans="1:7" ht="12.15" customHeight="1">
      <c r="A20" s="12"/>
      <c r="B20" s="26"/>
      <c r="C20" s="26"/>
      <c r="D20" s="26"/>
      <c r="E20" s="26"/>
      <c r="F20" s="26"/>
      <c r="G20" s="5"/>
    </row>
    <row r="21" spans="1:7" ht="12.15" customHeight="1">
      <c r="A21" s="50" t="s">
        <v>2430</v>
      </c>
      <c r="B21" s="26"/>
      <c r="C21" s="26"/>
      <c r="D21" s="26"/>
      <c r="E21" s="26"/>
      <c r="F21" s="26"/>
      <c r="G21" s="5"/>
    </row>
    <row r="22" spans="1:7" ht="12.15" customHeight="1">
      <c r="A22" s="12"/>
      <c r="B22" s="26"/>
      <c r="C22" s="26"/>
      <c r="D22" s="26"/>
      <c r="E22" s="26"/>
      <c r="F22" s="26"/>
      <c r="G22" s="5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1495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1496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789</v>
      </c>
      <c r="F27" s="5"/>
      <c r="G27" s="5"/>
    </row>
    <row r="28" spans="1:7" ht="13.65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5"/>
      <c r="B29" s="5"/>
      <c r="C29" s="5"/>
      <c r="D29" s="5"/>
      <c r="E29" s="2474" t="s">
        <v>685</v>
      </c>
      <c r="F29" s="2474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65" customHeight="1">
      <c r="A31" s="5"/>
      <c r="B31" s="3" t="s">
        <v>1497</v>
      </c>
      <c r="C31" s="5"/>
      <c r="D31" s="12" t="s">
        <v>853</v>
      </c>
      <c r="E31" s="3" t="s">
        <v>775</v>
      </c>
      <c r="F31" s="5"/>
      <c r="G31" s="5"/>
    </row>
    <row r="32" spans="1:7" ht="12" customHeight="1">
      <c r="A32" s="5"/>
      <c r="B32" s="5"/>
      <c r="C32" s="5"/>
      <c r="D32" s="5"/>
      <c r="E32" s="2474" t="s">
        <v>702</v>
      </c>
      <c r="F32" s="2474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23.4" customHeight="1">
      <c r="A34" s="5"/>
      <c r="B34" s="2" t="s">
        <v>1482</v>
      </c>
      <c r="C34" s="5"/>
      <c r="D34" s="2" t="s">
        <v>1483</v>
      </c>
      <c r="E34" s="2" t="s">
        <v>1498</v>
      </c>
      <c r="F34" s="5"/>
      <c r="G34" s="5"/>
    </row>
    <row r="35" spans="1:7" ht="12" customHeight="1">
      <c r="A35" s="5"/>
      <c r="B35" s="5"/>
      <c r="C35" s="5"/>
      <c r="D35" s="5"/>
      <c r="E35" s="2474" t="s">
        <v>705</v>
      </c>
      <c r="F35" s="2474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2474" t="s">
        <v>707</v>
      </c>
      <c r="C37" s="2474"/>
      <c r="D37" s="2474"/>
      <c r="E37" s="2474"/>
      <c r="F37" s="2474"/>
      <c r="G37" s="5"/>
    </row>
    <row r="38" spans="1:7" ht="12" customHeight="1">
      <c r="A38" s="12" t="s">
        <v>708</v>
      </c>
      <c r="B38" s="2471" t="s">
        <v>709</v>
      </c>
      <c r="C38" s="2471"/>
      <c r="D38" s="2471"/>
      <c r="E38" s="2472" t="s">
        <v>710</v>
      </c>
      <c r="F38" s="2472"/>
      <c r="G38" s="5"/>
    </row>
    <row r="39" spans="1:7" ht="12" customHeight="1">
      <c r="A39" s="12" t="s">
        <v>711</v>
      </c>
      <c r="B39" s="2473" t="s">
        <v>712</v>
      </c>
      <c r="C39" s="2473"/>
      <c r="D39" s="2473"/>
      <c r="E39" s="2473"/>
      <c r="F39" s="2473"/>
      <c r="G39" s="5"/>
    </row>
  </sheetData>
  <mergeCells count="14">
    <mergeCell ref="E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E29:F29"/>
    <mergeCell ref="E32:F32"/>
    <mergeCell ref="E35:F35"/>
    <mergeCell ref="B37:F37"/>
  </mergeCells>
  <pageMargins left="0.7" right="0.7" top="0.75" bottom="0.75" header="0.3" footer="0.3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156"/>
  <dimension ref="A1:G37"/>
  <sheetViews>
    <sheetView topLeftCell="A13" workbookViewId="0">
      <selection sqref="A1:G37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5" t="s">
        <v>2431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1499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918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858</v>
      </c>
      <c r="F7" s="5"/>
      <c r="G7" s="5"/>
    </row>
    <row r="8" spans="1:7" ht="12" customHeight="1">
      <c r="A8" s="5"/>
      <c r="B8" s="5"/>
      <c r="C8" s="5"/>
      <c r="D8" s="5"/>
      <c r="E8" s="2474" t="s">
        <v>685</v>
      </c>
      <c r="F8" s="2474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65" customHeight="1">
      <c r="A10" s="5"/>
      <c r="B10" s="3" t="s">
        <v>1500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2474" t="s">
        <v>702</v>
      </c>
      <c r="F11" s="2474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" customHeight="1">
      <c r="A13" s="5"/>
      <c r="B13" s="2" t="s">
        <v>1482</v>
      </c>
      <c r="C13" s="5"/>
      <c r="D13" s="2" t="s">
        <v>1483</v>
      </c>
      <c r="E13" s="2" t="s">
        <v>1501</v>
      </c>
      <c r="F13" s="5"/>
      <c r="G13" s="5"/>
    </row>
    <row r="14" spans="1:7" ht="12" customHeight="1">
      <c r="A14" s="5"/>
      <c r="B14" s="5"/>
      <c r="C14" s="5"/>
      <c r="D14" s="5"/>
      <c r="E14" s="2474" t="s">
        <v>705</v>
      </c>
      <c r="F14" s="2474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2474" t="s">
        <v>707</v>
      </c>
      <c r="C16" s="2474"/>
      <c r="D16" s="2474"/>
      <c r="E16" s="2474"/>
      <c r="F16" s="2474"/>
      <c r="G16" s="5"/>
    </row>
    <row r="17" spans="1:7" ht="12" customHeight="1">
      <c r="A17" s="12" t="s">
        <v>708</v>
      </c>
      <c r="B17" s="2471" t="s">
        <v>709</v>
      </c>
      <c r="C17" s="2471"/>
      <c r="D17" s="2471"/>
      <c r="E17" s="2472" t="s">
        <v>710</v>
      </c>
      <c r="F17" s="2472"/>
      <c r="G17" s="5"/>
    </row>
    <row r="18" spans="1:7" ht="12" customHeight="1">
      <c r="A18" s="12" t="s">
        <v>711</v>
      </c>
      <c r="B18" s="2473" t="s">
        <v>712</v>
      </c>
      <c r="C18" s="2473"/>
      <c r="D18" s="2473"/>
      <c r="E18" s="2473"/>
      <c r="F18" s="2473"/>
      <c r="G18" s="5"/>
    </row>
    <row r="19" spans="1:7" ht="12" customHeight="1">
      <c r="A19" s="12"/>
      <c r="B19" s="26"/>
      <c r="C19" s="26"/>
      <c r="D19" s="26"/>
      <c r="E19" s="26"/>
      <c r="F19" s="26"/>
      <c r="G19" s="5"/>
    </row>
    <row r="20" spans="1:7" ht="12" customHeight="1">
      <c r="A20" s="50" t="s">
        <v>2432</v>
      </c>
      <c r="B20" s="26"/>
      <c r="C20" s="26"/>
      <c r="D20" s="26"/>
      <c r="E20" s="26"/>
      <c r="F20" s="26"/>
      <c r="G20" s="5"/>
    </row>
    <row r="21" spans="1:7" ht="12" customHeight="1">
      <c r="A21" s="12"/>
      <c r="B21" s="26"/>
      <c r="C21" s="26"/>
      <c r="D21" s="26"/>
      <c r="E21" s="26"/>
      <c r="F21" s="26"/>
      <c r="G21" s="5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1502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823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1072</v>
      </c>
      <c r="F26" s="5"/>
      <c r="G26" s="5"/>
    </row>
    <row r="27" spans="1:7" ht="12" customHeight="1">
      <c r="A27" s="5"/>
      <c r="B27" s="5"/>
      <c r="C27" s="5"/>
      <c r="D27" s="5"/>
      <c r="E27" s="2474" t="s">
        <v>685</v>
      </c>
      <c r="F27" s="2474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65" customHeight="1">
      <c r="A29" s="5"/>
      <c r="B29" s="3" t="s">
        <v>1503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2474" t="s">
        <v>702</v>
      </c>
      <c r="F30" s="2474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" customHeight="1">
      <c r="A32" s="5"/>
      <c r="B32" s="2" t="s">
        <v>1482</v>
      </c>
      <c r="C32" s="5"/>
      <c r="D32" s="2" t="s">
        <v>1483</v>
      </c>
      <c r="E32" s="2" t="s">
        <v>1504</v>
      </c>
      <c r="F32" s="5"/>
      <c r="G32" s="5"/>
    </row>
    <row r="33" spans="1:7" ht="12" customHeight="1">
      <c r="A33" s="5"/>
      <c r="B33" s="5"/>
      <c r="C33" s="5"/>
      <c r="D33" s="5"/>
      <c r="E33" s="2474" t="s">
        <v>705</v>
      </c>
      <c r="F33" s="2474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2474" t="s">
        <v>707</v>
      </c>
      <c r="C35" s="2474"/>
      <c r="D35" s="2474"/>
      <c r="E35" s="2474"/>
      <c r="F35" s="2474"/>
      <c r="G35" s="5"/>
    </row>
    <row r="36" spans="1:7" ht="12" customHeight="1">
      <c r="A36" s="12" t="s">
        <v>708</v>
      </c>
      <c r="B36" s="2471" t="s">
        <v>709</v>
      </c>
      <c r="C36" s="2471"/>
      <c r="D36" s="2471"/>
      <c r="E36" s="2472" t="s">
        <v>710</v>
      </c>
      <c r="F36" s="2472"/>
      <c r="G36" s="5"/>
    </row>
    <row r="37" spans="1:7" ht="12" customHeight="1">
      <c r="A37" s="12" t="s">
        <v>711</v>
      </c>
      <c r="B37" s="2473" t="s">
        <v>712</v>
      </c>
      <c r="C37" s="2473"/>
      <c r="D37" s="2473"/>
      <c r="E37" s="2473"/>
      <c r="F37" s="2473"/>
      <c r="G37" s="5"/>
    </row>
  </sheetData>
  <mergeCells count="14">
    <mergeCell ref="E8:F8"/>
    <mergeCell ref="E11:F11"/>
    <mergeCell ref="E14:F14"/>
    <mergeCell ref="B16:F16"/>
    <mergeCell ref="B17:D17"/>
    <mergeCell ref="E17:F17"/>
    <mergeCell ref="B36:D36"/>
    <mergeCell ref="E36:F36"/>
    <mergeCell ref="B37:F37"/>
    <mergeCell ref="B18:F18"/>
    <mergeCell ref="E27:F27"/>
    <mergeCell ref="E30:F30"/>
    <mergeCell ref="E33:F33"/>
    <mergeCell ref="B35:F35"/>
  </mergeCells>
  <pageMargins left="0.7" right="0.7" top="0.75" bottom="0.75" header="0.3" footer="0.3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157"/>
  <dimension ref="A1:G37"/>
  <sheetViews>
    <sheetView topLeftCell="A34" workbookViewId="0">
      <selection activeCell="A39" sqref="A39:G75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2433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820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1505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1450</v>
      </c>
      <c r="F7" s="5"/>
      <c r="G7" s="5"/>
    </row>
    <row r="8" spans="1:7" ht="12" customHeight="1">
      <c r="A8" s="5"/>
      <c r="B8" s="5"/>
      <c r="C8" s="5"/>
      <c r="D8" s="5"/>
      <c r="E8" s="2474" t="s">
        <v>685</v>
      </c>
      <c r="F8" s="2474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65" customHeight="1">
      <c r="A10" s="5"/>
      <c r="B10" s="3" t="s">
        <v>1506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2474" t="s">
        <v>702</v>
      </c>
      <c r="F11" s="2474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" customHeight="1">
      <c r="A13" s="5"/>
      <c r="B13" s="2" t="s">
        <v>1482</v>
      </c>
      <c r="C13" s="5"/>
      <c r="D13" s="2" t="s">
        <v>1483</v>
      </c>
      <c r="E13" s="2" t="s">
        <v>1507</v>
      </c>
      <c r="F13" s="5"/>
      <c r="G13" s="5"/>
    </row>
    <row r="14" spans="1:7" ht="12" customHeight="1">
      <c r="A14" s="5"/>
      <c r="B14" s="5"/>
      <c r="C14" s="5"/>
      <c r="D14" s="5"/>
      <c r="E14" s="2474" t="s">
        <v>705</v>
      </c>
      <c r="F14" s="2474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2474" t="s">
        <v>707</v>
      </c>
      <c r="C16" s="2474"/>
      <c r="D16" s="2474"/>
      <c r="E16" s="2474"/>
      <c r="F16" s="2474"/>
      <c r="G16" s="5"/>
    </row>
    <row r="17" spans="1:7" ht="12" customHeight="1">
      <c r="A17" s="12" t="s">
        <v>708</v>
      </c>
      <c r="B17" s="2471" t="s">
        <v>709</v>
      </c>
      <c r="C17" s="2471"/>
      <c r="D17" s="2471"/>
      <c r="E17" s="2472" t="s">
        <v>710</v>
      </c>
      <c r="F17" s="2472"/>
      <c r="G17" s="5"/>
    </row>
    <row r="18" spans="1:7" ht="12" customHeight="1">
      <c r="A18" s="12" t="s">
        <v>711</v>
      </c>
      <c r="B18" s="2473" t="s">
        <v>712</v>
      </c>
      <c r="C18" s="2473"/>
      <c r="D18" s="2473"/>
      <c r="E18" s="2473"/>
      <c r="F18" s="2473"/>
      <c r="G18" s="5"/>
    </row>
    <row r="19" spans="1:7" ht="12" customHeight="1">
      <c r="A19" s="12"/>
      <c r="B19" s="26"/>
      <c r="C19" s="26"/>
      <c r="D19" s="26"/>
      <c r="E19" s="26"/>
      <c r="F19" s="26"/>
      <c r="G19" s="5"/>
    </row>
    <row r="20" spans="1:7" ht="12" customHeight="1">
      <c r="A20" s="50" t="s">
        <v>2434</v>
      </c>
      <c r="B20" s="26"/>
      <c r="C20" s="26"/>
      <c r="D20" s="26"/>
      <c r="E20" s="26"/>
      <c r="F20" s="26"/>
      <c r="G20" s="5"/>
    </row>
    <row r="21" spans="1:7" ht="12" customHeight="1">
      <c r="A21" s="12"/>
      <c r="B21" s="26"/>
      <c r="C21" s="26"/>
      <c r="D21" s="26"/>
      <c r="E21" s="26"/>
      <c r="F21" s="26"/>
      <c r="G21" s="5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1508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1280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798</v>
      </c>
      <c r="F26" s="5"/>
      <c r="G26" s="5"/>
    </row>
    <row r="27" spans="1:7" ht="12" customHeight="1">
      <c r="A27" s="5"/>
      <c r="B27" s="5"/>
      <c r="C27" s="5"/>
      <c r="D27" s="5"/>
      <c r="E27" s="2474" t="s">
        <v>685</v>
      </c>
      <c r="F27" s="2474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65" customHeight="1">
      <c r="A29" s="5"/>
      <c r="B29" s="3" t="s">
        <v>1509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2474" t="s">
        <v>702</v>
      </c>
      <c r="F30" s="2474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" customHeight="1">
      <c r="A32" s="5"/>
      <c r="B32" s="2" t="s">
        <v>1482</v>
      </c>
      <c r="C32" s="5"/>
      <c r="D32" s="2" t="s">
        <v>1483</v>
      </c>
      <c r="E32" s="2" t="s">
        <v>1510</v>
      </c>
      <c r="F32" s="5"/>
      <c r="G32" s="5"/>
    </row>
    <row r="33" spans="1:7" ht="12" customHeight="1">
      <c r="A33" s="5"/>
      <c r="B33" s="5"/>
      <c r="C33" s="5"/>
      <c r="D33" s="5"/>
      <c r="E33" s="2474" t="s">
        <v>705</v>
      </c>
      <c r="F33" s="2474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2474" t="s">
        <v>707</v>
      </c>
      <c r="C35" s="2474"/>
      <c r="D35" s="2474"/>
      <c r="E35" s="2474"/>
      <c r="F35" s="2474"/>
      <c r="G35" s="5"/>
    </row>
    <row r="36" spans="1:7" ht="12" customHeight="1">
      <c r="A36" s="12" t="s">
        <v>708</v>
      </c>
      <c r="B36" s="2471" t="s">
        <v>709</v>
      </c>
      <c r="C36" s="2471"/>
      <c r="D36" s="2471"/>
      <c r="E36" s="2472" t="s">
        <v>710</v>
      </c>
      <c r="F36" s="2472"/>
      <c r="G36" s="5"/>
    </row>
    <row r="37" spans="1:7" ht="12" customHeight="1">
      <c r="A37" s="12" t="s">
        <v>711</v>
      </c>
      <c r="B37" s="2473" t="s">
        <v>712</v>
      </c>
      <c r="C37" s="2473"/>
      <c r="D37" s="2473"/>
      <c r="E37" s="2473"/>
      <c r="F37" s="2473"/>
      <c r="G37" s="5"/>
    </row>
  </sheetData>
  <mergeCells count="14">
    <mergeCell ref="E8:F8"/>
    <mergeCell ref="E11:F11"/>
    <mergeCell ref="E14:F14"/>
    <mergeCell ref="B16:F16"/>
    <mergeCell ref="B17:D17"/>
    <mergeCell ref="E17:F17"/>
    <mergeCell ref="B36:D36"/>
    <mergeCell ref="E36:F36"/>
    <mergeCell ref="B37:F37"/>
    <mergeCell ref="B18:F18"/>
    <mergeCell ref="E27:F27"/>
    <mergeCell ref="E30:F30"/>
    <mergeCell ref="E33:F33"/>
    <mergeCell ref="B35:F35"/>
  </mergeCells>
  <pageMargins left="0.7" right="0.7" top="0.75" bottom="0.75" header="0.3" footer="0.3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158"/>
  <dimension ref="A1:G37"/>
  <sheetViews>
    <sheetView workbookViewId="0">
      <selection activeCell="G37" sqref="A1:G37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2435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1511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1512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1468</v>
      </c>
      <c r="F7" s="5"/>
      <c r="G7" s="5"/>
    </row>
    <row r="8" spans="1:7" ht="12" customHeight="1">
      <c r="A8" s="5"/>
      <c r="B8" s="5"/>
      <c r="C8" s="5"/>
      <c r="D8" s="5"/>
      <c r="E8" s="2474" t="s">
        <v>685</v>
      </c>
      <c r="F8" s="2474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65" customHeight="1">
      <c r="A10" s="5"/>
      <c r="B10" s="3" t="s">
        <v>1513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2474" t="s">
        <v>702</v>
      </c>
      <c r="F11" s="2474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" customHeight="1">
      <c r="A13" s="5"/>
      <c r="B13" s="2" t="s">
        <v>1482</v>
      </c>
      <c r="C13" s="5"/>
      <c r="D13" s="2" t="s">
        <v>1483</v>
      </c>
      <c r="E13" s="2" t="s">
        <v>1514</v>
      </c>
      <c r="F13" s="5"/>
      <c r="G13" s="5"/>
    </row>
    <row r="14" spans="1:7" ht="12" customHeight="1">
      <c r="A14" s="5"/>
      <c r="B14" s="5"/>
      <c r="C14" s="5"/>
      <c r="D14" s="5"/>
      <c r="E14" s="2474" t="s">
        <v>705</v>
      </c>
      <c r="F14" s="2474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2474" t="s">
        <v>707</v>
      </c>
      <c r="C16" s="2474"/>
      <c r="D16" s="2474"/>
      <c r="E16" s="2474"/>
      <c r="F16" s="2474"/>
      <c r="G16" s="5"/>
    </row>
    <row r="17" spans="1:7" ht="12" customHeight="1">
      <c r="A17" s="12" t="s">
        <v>708</v>
      </c>
      <c r="B17" s="2471" t="s">
        <v>709</v>
      </c>
      <c r="C17" s="2471"/>
      <c r="D17" s="2471"/>
      <c r="E17" s="2472" t="s">
        <v>710</v>
      </c>
      <c r="F17" s="2472"/>
      <c r="G17" s="5"/>
    </row>
    <row r="18" spans="1:7" ht="12" customHeight="1">
      <c r="A18" s="12" t="s">
        <v>711</v>
      </c>
      <c r="B18" s="2473" t="s">
        <v>712</v>
      </c>
      <c r="C18" s="2473"/>
      <c r="D18" s="2473"/>
      <c r="E18" s="2473"/>
      <c r="F18" s="2473"/>
      <c r="G18" s="5"/>
    </row>
    <row r="19" spans="1:7" ht="12" customHeight="1">
      <c r="A19" s="12"/>
      <c r="B19" s="26"/>
      <c r="C19" s="26"/>
      <c r="D19" s="26"/>
      <c r="E19" s="26"/>
      <c r="F19" s="26"/>
      <c r="G19" s="5"/>
    </row>
    <row r="20" spans="1:7" ht="12" customHeight="1">
      <c r="A20" s="50" t="s">
        <v>2436</v>
      </c>
      <c r="B20" s="26"/>
      <c r="C20" s="26"/>
      <c r="D20" s="26"/>
      <c r="E20" s="26"/>
      <c r="F20" s="26"/>
      <c r="G20" s="5"/>
    </row>
    <row r="21" spans="1:7" ht="12" customHeight="1">
      <c r="A21" s="12"/>
      <c r="B21" s="26"/>
      <c r="C21" s="26"/>
      <c r="D21" s="26"/>
      <c r="E21" s="26"/>
      <c r="F21" s="26"/>
      <c r="G21" s="5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1515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1516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1517</v>
      </c>
      <c r="F26" s="5"/>
      <c r="G26" s="5"/>
    </row>
    <row r="27" spans="1:7" ht="12" customHeight="1">
      <c r="A27" s="5"/>
      <c r="B27" s="5"/>
      <c r="C27" s="5"/>
      <c r="D27" s="5"/>
      <c r="E27" s="2474" t="s">
        <v>685</v>
      </c>
      <c r="F27" s="2474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65" customHeight="1">
      <c r="A29" s="5"/>
      <c r="B29" s="3" t="s">
        <v>1518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2474" t="s">
        <v>702</v>
      </c>
      <c r="F30" s="2474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" customHeight="1">
      <c r="A32" s="5"/>
      <c r="B32" s="2" t="s">
        <v>1482</v>
      </c>
      <c r="C32" s="5"/>
      <c r="D32" s="2" t="s">
        <v>1483</v>
      </c>
      <c r="E32" s="2" t="s">
        <v>1519</v>
      </c>
      <c r="F32" s="5"/>
      <c r="G32" s="5"/>
    </row>
    <row r="33" spans="1:7" ht="12" customHeight="1">
      <c r="A33" s="5"/>
      <c r="B33" s="5"/>
      <c r="C33" s="5"/>
      <c r="D33" s="5"/>
      <c r="E33" s="2474" t="s">
        <v>705</v>
      </c>
      <c r="F33" s="2474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2474" t="s">
        <v>707</v>
      </c>
      <c r="C35" s="2474"/>
      <c r="D35" s="2474"/>
      <c r="E35" s="2474"/>
      <c r="F35" s="2474"/>
      <c r="G35" s="5"/>
    </row>
    <row r="36" spans="1:7" ht="12" customHeight="1">
      <c r="A36" s="12" t="s">
        <v>708</v>
      </c>
      <c r="B36" s="2471" t="s">
        <v>709</v>
      </c>
      <c r="C36" s="2471"/>
      <c r="D36" s="2471"/>
      <c r="E36" s="2472" t="s">
        <v>710</v>
      </c>
      <c r="F36" s="2472"/>
      <c r="G36" s="5"/>
    </row>
    <row r="37" spans="1:7" ht="12" customHeight="1">
      <c r="A37" s="12" t="s">
        <v>711</v>
      </c>
      <c r="B37" s="2473" t="s">
        <v>712</v>
      </c>
      <c r="C37" s="2473"/>
      <c r="D37" s="2473"/>
      <c r="E37" s="2473"/>
      <c r="F37" s="2473"/>
      <c r="G37" s="5"/>
    </row>
  </sheetData>
  <mergeCells count="14">
    <mergeCell ref="E8:F8"/>
    <mergeCell ref="E11:F11"/>
    <mergeCell ref="E14:F14"/>
    <mergeCell ref="B16:F16"/>
    <mergeCell ref="B17:D17"/>
    <mergeCell ref="E17:F17"/>
    <mergeCell ref="B36:D36"/>
    <mergeCell ref="E36:F36"/>
    <mergeCell ref="B37:F37"/>
    <mergeCell ref="B18:F18"/>
    <mergeCell ref="E27:F27"/>
    <mergeCell ref="E30:F30"/>
    <mergeCell ref="E33:F33"/>
    <mergeCell ref="B35:F35"/>
  </mergeCells>
  <pageMargins left="0.7" right="0.7" top="0.75" bottom="0.75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159"/>
  <dimension ref="A1:G37"/>
  <sheetViews>
    <sheetView topLeftCell="A19" workbookViewId="0">
      <selection sqref="A1:G37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5" t="s">
        <v>2437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1520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1511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1521</v>
      </c>
      <c r="F7" s="5"/>
      <c r="G7" s="5"/>
    </row>
    <row r="8" spans="1:7" ht="12" customHeight="1">
      <c r="A8" s="5"/>
      <c r="B8" s="5"/>
      <c r="C8" s="5"/>
      <c r="D8" s="5"/>
      <c r="E8" s="2474" t="s">
        <v>685</v>
      </c>
      <c r="F8" s="2474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65" customHeight="1">
      <c r="A10" s="5"/>
      <c r="B10" s="3" t="s">
        <v>1522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2474" t="s">
        <v>702</v>
      </c>
      <c r="F11" s="2474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" customHeight="1">
      <c r="A13" s="5"/>
      <c r="B13" s="2" t="s">
        <v>1482</v>
      </c>
      <c r="C13" s="5"/>
      <c r="D13" s="2" t="s">
        <v>1483</v>
      </c>
      <c r="E13" s="2" t="s">
        <v>1523</v>
      </c>
      <c r="F13" s="5"/>
      <c r="G13" s="5"/>
    </row>
    <row r="14" spans="1:7" ht="12" customHeight="1">
      <c r="A14" s="5"/>
      <c r="B14" s="5"/>
      <c r="C14" s="5"/>
      <c r="D14" s="5"/>
      <c r="E14" s="2474" t="s">
        <v>705</v>
      </c>
      <c r="F14" s="2474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2474" t="s">
        <v>707</v>
      </c>
      <c r="C16" s="2474"/>
      <c r="D16" s="2474"/>
      <c r="E16" s="2474"/>
      <c r="F16" s="2474"/>
      <c r="G16" s="5"/>
    </row>
    <row r="17" spans="1:7" ht="12" customHeight="1">
      <c r="A17" s="12" t="s">
        <v>708</v>
      </c>
      <c r="B17" s="2471" t="s">
        <v>709</v>
      </c>
      <c r="C17" s="2471"/>
      <c r="D17" s="2471"/>
      <c r="E17" s="2472" t="s">
        <v>710</v>
      </c>
      <c r="F17" s="2472"/>
      <c r="G17" s="5"/>
    </row>
    <row r="18" spans="1:7" ht="12" customHeight="1">
      <c r="A18" s="12" t="s">
        <v>711</v>
      </c>
      <c r="B18" s="2473" t="s">
        <v>712</v>
      </c>
      <c r="C18" s="2473"/>
      <c r="D18" s="2473"/>
      <c r="E18" s="2473"/>
      <c r="F18" s="2473"/>
      <c r="G18" s="5"/>
    </row>
    <row r="19" spans="1:7" ht="12" customHeight="1">
      <c r="A19" s="12"/>
      <c r="B19" s="26"/>
      <c r="C19" s="26"/>
      <c r="D19" s="26"/>
      <c r="E19" s="26"/>
      <c r="F19" s="26"/>
      <c r="G19" s="5"/>
    </row>
    <row r="20" spans="1:7" ht="12" customHeight="1">
      <c r="A20" s="55" t="s">
        <v>2438</v>
      </c>
      <c r="B20" s="26"/>
      <c r="C20" s="26"/>
      <c r="D20" s="26"/>
      <c r="E20" s="26"/>
      <c r="F20" s="26"/>
      <c r="G20" s="5"/>
    </row>
    <row r="21" spans="1:7" ht="12" customHeight="1">
      <c r="A21" s="12"/>
      <c r="B21" s="26"/>
      <c r="C21" s="26"/>
      <c r="D21" s="26"/>
      <c r="E21" s="26"/>
      <c r="F21" s="26"/>
      <c r="G21" s="5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1524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1525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1526</v>
      </c>
      <c r="F26" s="5"/>
      <c r="G26" s="5"/>
    </row>
    <row r="27" spans="1:7" ht="12" customHeight="1">
      <c r="A27" s="5"/>
      <c r="B27" s="5"/>
      <c r="C27" s="5"/>
      <c r="D27" s="5"/>
      <c r="E27" s="2474" t="s">
        <v>685</v>
      </c>
      <c r="F27" s="2474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65" customHeight="1">
      <c r="A29" s="5"/>
      <c r="B29" s="3" t="s">
        <v>1527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2474" t="s">
        <v>702</v>
      </c>
      <c r="F30" s="2474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" customHeight="1">
      <c r="A32" s="5"/>
      <c r="B32" s="2" t="s">
        <v>1482</v>
      </c>
      <c r="C32" s="5"/>
      <c r="D32" s="2" t="s">
        <v>1483</v>
      </c>
      <c r="E32" s="2" t="s">
        <v>1528</v>
      </c>
      <c r="F32" s="5"/>
      <c r="G32" s="5"/>
    </row>
    <row r="33" spans="1:7" ht="12" customHeight="1">
      <c r="A33" s="5"/>
      <c r="B33" s="5"/>
      <c r="C33" s="5"/>
      <c r="D33" s="5"/>
      <c r="E33" s="2474" t="s">
        <v>705</v>
      </c>
      <c r="F33" s="2474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2474" t="s">
        <v>707</v>
      </c>
      <c r="C35" s="2474"/>
      <c r="D35" s="2474"/>
      <c r="E35" s="2474"/>
      <c r="F35" s="2474"/>
      <c r="G35" s="5"/>
    </row>
    <row r="36" spans="1:7" ht="12" customHeight="1">
      <c r="A36" s="12" t="s">
        <v>708</v>
      </c>
      <c r="B36" s="2471" t="s">
        <v>709</v>
      </c>
      <c r="C36" s="2471"/>
      <c r="D36" s="2471"/>
      <c r="E36" s="2472" t="s">
        <v>710</v>
      </c>
      <c r="F36" s="2472"/>
      <c r="G36" s="5"/>
    </row>
    <row r="37" spans="1:7" ht="12" customHeight="1">
      <c r="A37" s="12" t="s">
        <v>711</v>
      </c>
      <c r="B37" s="2473" t="s">
        <v>712</v>
      </c>
      <c r="C37" s="2473"/>
      <c r="D37" s="2473"/>
      <c r="E37" s="2473"/>
      <c r="F37" s="2473"/>
      <c r="G37" s="5"/>
    </row>
  </sheetData>
  <mergeCells count="14">
    <mergeCell ref="E8:F8"/>
    <mergeCell ref="E11:F11"/>
    <mergeCell ref="E14:F14"/>
    <mergeCell ref="B16:F16"/>
    <mergeCell ref="B17:D17"/>
    <mergeCell ref="E17:F17"/>
    <mergeCell ref="B36:D36"/>
    <mergeCell ref="E36:F36"/>
    <mergeCell ref="B37:F37"/>
    <mergeCell ref="B18:F18"/>
    <mergeCell ref="E27:F27"/>
    <mergeCell ref="E30:F30"/>
    <mergeCell ref="E33:F33"/>
    <mergeCell ref="B35:F35"/>
  </mergeCells>
  <pageMargins left="0.7" right="0.7" top="0.75" bottom="0.75" header="0.3" footer="0.3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160"/>
  <dimension ref="A1:G37"/>
  <sheetViews>
    <sheetView workbookViewId="0">
      <selection activeCell="G37" sqref="A1:G37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2439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1529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810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1530</v>
      </c>
      <c r="F7" s="5"/>
      <c r="G7" s="5"/>
    </row>
    <row r="8" spans="1:7" ht="12" customHeight="1">
      <c r="A8" s="5"/>
      <c r="B8" s="5"/>
      <c r="C8" s="5"/>
      <c r="D8" s="5"/>
      <c r="E8" s="2474" t="s">
        <v>685</v>
      </c>
      <c r="F8" s="2474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65" customHeight="1">
      <c r="A10" s="5"/>
      <c r="B10" s="3" t="s">
        <v>1531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2474" t="s">
        <v>702</v>
      </c>
      <c r="F11" s="2474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" customHeight="1">
      <c r="A13" s="5"/>
      <c r="B13" s="2" t="s">
        <v>1482</v>
      </c>
      <c r="C13" s="5"/>
      <c r="D13" s="2" t="s">
        <v>1483</v>
      </c>
      <c r="E13" s="2" t="s">
        <v>1532</v>
      </c>
      <c r="F13" s="5"/>
      <c r="G13" s="5"/>
    </row>
    <row r="14" spans="1:7" ht="12" customHeight="1">
      <c r="A14" s="5"/>
      <c r="B14" s="5"/>
      <c r="C14" s="5"/>
      <c r="D14" s="5"/>
      <c r="E14" s="2474" t="s">
        <v>705</v>
      </c>
      <c r="F14" s="2474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2474" t="s">
        <v>707</v>
      </c>
      <c r="C16" s="2474"/>
      <c r="D16" s="2474"/>
      <c r="E16" s="2474"/>
      <c r="F16" s="2474"/>
      <c r="G16" s="5"/>
    </row>
    <row r="17" spans="1:7" ht="12" customHeight="1">
      <c r="A17" s="12" t="s">
        <v>708</v>
      </c>
      <c r="B17" s="2471" t="s">
        <v>709</v>
      </c>
      <c r="C17" s="2471"/>
      <c r="D17" s="2471"/>
      <c r="E17" s="2472" t="s">
        <v>710</v>
      </c>
      <c r="F17" s="2472"/>
      <c r="G17" s="5"/>
    </row>
    <row r="18" spans="1:7" ht="12" customHeight="1">
      <c r="A18" s="12" t="s">
        <v>711</v>
      </c>
      <c r="B18" s="2473" t="s">
        <v>712</v>
      </c>
      <c r="C18" s="2473"/>
      <c r="D18" s="2473"/>
      <c r="E18" s="2473"/>
      <c r="F18" s="2473"/>
      <c r="G18" s="5"/>
    </row>
    <row r="19" spans="1:7" ht="12" customHeight="1">
      <c r="A19" s="12"/>
      <c r="B19" s="26"/>
      <c r="C19" s="26"/>
      <c r="D19" s="26"/>
      <c r="E19" s="26"/>
      <c r="F19" s="26"/>
      <c r="G19" s="5"/>
    </row>
    <row r="20" spans="1:7" ht="12" customHeight="1">
      <c r="A20" s="50" t="s">
        <v>2440</v>
      </c>
      <c r="B20" s="26"/>
      <c r="C20" s="26"/>
      <c r="D20" s="26"/>
      <c r="E20" s="26"/>
      <c r="F20" s="26"/>
      <c r="G20" s="5"/>
    </row>
    <row r="21" spans="1:7" ht="12" customHeight="1">
      <c r="A21" s="12"/>
      <c r="B21" s="26"/>
      <c r="C21" s="26"/>
      <c r="D21" s="26"/>
      <c r="E21" s="26"/>
      <c r="F21" s="26"/>
      <c r="G21" s="5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1533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797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760</v>
      </c>
      <c r="F26" s="5"/>
      <c r="G26" s="5"/>
    </row>
    <row r="27" spans="1:7" ht="12" customHeight="1">
      <c r="A27" s="5"/>
      <c r="B27" s="5"/>
      <c r="C27" s="5"/>
      <c r="D27" s="5"/>
      <c r="E27" s="2474" t="s">
        <v>685</v>
      </c>
      <c r="F27" s="2474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65" customHeight="1">
      <c r="A29" s="5"/>
      <c r="B29" s="3" t="s">
        <v>1534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2474" t="s">
        <v>702</v>
      </c>
      <c r="F30" s="2474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" customHeight="1">
      <c r="A32" s="5"/>
      <c r="B32" s="2" t="s">
        <v>1482</v>
      </c>
      <c r="C32" s="5"/>
      <c r="D32" s="2" t="s">
        <v>1483</v>
      </c>
      <c r="E32" s="2" t="s">
        <v>1535</v>
      </c>
      <c r="F32" s="5"/>
      <c r="G32" s="5"/>
    </row>
    <row r="33" spans="1:7" ht="12" customHeight="1">
      <c r="A33" s="5"/>
      <c r="B33" s="5"/>
      <c r="C33" s="5"/>
      <c r="D33" s="5"/>
      <c r="E33" s="2474" t="s">
        <v>705</v>
      </c>
      <c r="F33" s="2474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2474" t="s">
        <v>707</v>
      </c>
      <c r="C35" s="2474"/>
      <c r="D35" s="2474"/>
      <c r="E35" s="2474"/>
      <c r="F35" s="2474"/>
      <c r="G35" s="5"/>
    </row>
    <row r="36" spans="1:7" ht="12" customHeight="1">
      <c r="A36" s="12" t="s">
        <v>708</v>
      </c>
      <c r="B36" s="2471" t="s">
        <v>709</v>
      </c>
      <c r="C36" s="2471"/>
      <c r="D36" s="2471"/>
      <c r="E36" s="2472" t="s">
        <v>710</v>
      </c>
      <c r="F36" s="2472"/>
      <c r="G36" s="5"/>
    </row>
    <row r="37" spans="1:7" ht="12" customHeight="1">
      <c r="A37" s="12" t="s">
        <v>711</v>
      </c>
      <c r="B37" s="2473" t="s">
        <v>712</v>
      </c>
      <c r="C37" s="2473"/>
      <c r="D37" s="2473"/>
      <c r="E37" s="2473"/>
      <c r="F37" s="2473"/>
      <c r="G37" s="5"/>
    </row>
  </sheetData>
  <mergeCells count="14">
    <mergeCell ref="E8:F8"/>
    <mergeCell ref="E11:F11"/>
    <mergeCell ref="E14:F14"/>
    <mergeCell ref="B16:F16"/>
    <mergeCell ref="B17:D17"/>
    <mergeCell ref="E17:F17"/>
    <mergeCell ref="B36:D36"/>
    <mergeCell ref="E36:F36"/>
    <mergeCell ref="B37:F37"/>
    <mergeCell ref="B18:F18"/>
    <mergeCell ref="E27:F27"/>
    <mergeCell ref="E30:F30"/>
    <mergeCell ref="E33:F33"/>
    <mergeCell ref="B35:F35"/>
  </mergeCells>
  <pageMargins left="0.7" right="0.7" top="0.75" bottom="0.75" header="0.3" footer="0.3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161"/>
  <dimension ref="A1:G37"/>
  <sheetViews>
    <sheetView workbookViewId="0">
      <selection activeCell="G37" sqref="A1:G37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2441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1536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1537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1538</v>
      </c>
      <c r="F7" s="5"/>
      <c r="G7" s="5"/>
    </row>
    <row r="8" spans="1:7" ht="12" customHeight="1">
      <c r="A8" s="5"/>
      <c r="B8" s="5"/>
      <c r="C8" s="5"/>
      <c r="D8" s="5"/>
      <c r="E8" s="2474" t="s">
        <v>685</v>
      </c>
      <c r="F8" s="2474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65" customHeight="1">
      <c r="A10" s="5"/>
      <c r="B10" s="3" t="s">
        <v>1539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2474" t="s">
        <v>702</v>
      </c>
      <c r="F11" s="2474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" customHeight="1">
      <c r="A13" s="5"/>
      <c r="B13" s="2" t="s">
        <v>1482</v>
      </c>
      <c r="C13" s="5"/>
      <c r="D13" s="2" t="s">
        <v>1483</v>
      </c>
      <c r="E13" s="2" t="s">
        <v>1540</v>
      </c>
      <c r="F13" s="5"/>
      <c r="G13" s="5"/>
    </row>
    <row r="14" spans="1:7" ht="12" customHeight="1">
      <c r="A14" s="5"/>
      <c r="B14" s="5"/>
      <c r="C14" s="5"/>
      <c r="D14" s="5"/>
      <c r="E14" s="2474" t="s">
        <v>705</v>
      </c>
      <c r="F14" s="2474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2474" t="s">
        <v>707</v>
      </c>
      <c r="C16" s="2474"/>
      <c r="D16" s="2474"/>
      <c r="E16" s="2474"/>
      <c r="F16" s="2474"/>
      <c r="G16" s="5"/>
    </row>
    <row r="17" spans="1:7" ht="12" customHeight="1">
      <c r="A17" s="12" t="s">
        <v>708</v>
      </c>
      <c r="B17" s="2471" t="s">
        <v>709</v>
      </c>
      <c r="C17" s="2471"/>
      <c r="D17" s="2471"/>
      <c r="E17" s="2472" t="s">
        <v>710</v>
      </c>
      <c r="F17" s="2472"/>
      <c r="G17" s="5"/>
    </row>
    <row r="18" spans="1:7" ht="12" customHeight="1">
      <c r="A18" s="12" t="s">
        <v>711</v>
      </c>
      <c r="B18" s="2473" t="s">
        <v>712</v>
      </c>
      <c r="C18" s="2473"/>
      <c r="D18" s="2473"/>
      <c r="E18" s="2473"/>
      <c r="F18" s="2473"/>
      <c r="G18" s="5"/>
    </row>
    <row r="19" spans="1:7" ht="12" customHeight="1">
      <c r="A19" s="12"/>
      <c r="B19" s="26"/>
      <c r="C19" s="26"/>
      <c r="D19" s="26"/>
      <c r="E19" s="26"/>
      <c r="F19" s="26"/>
      <c r="G19" s="5"/>
    </row>
    <row r="20" spans="1:7" ht="12" customHeight="1">
      <c r="A20" s="50" t="s">
        <v>2442</v>
      </c>
      <c r="B20" s="26"/>
      <c r="C20" s="26"/>
      <c r="D20" s="26"/>
      <c r="E20" s="26"/>
      <c r="F20" s="26"/>
      <c r="G20" s="5"/>
    </row>
    <row r="21" spans="1:7" ht="12" customHeight="1">
      <c r="A21" s="12"/>
      <c r="B21" s="26"/>
      <c r="C21" s="26"/>
      <c r="D21" s="26"/>
      <c r="E21" s="26"/>
      <c r="F21" s="26"/>
      <c r="G21" s="5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846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1155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852</v>
      </c>
      <c r="F26" s="5"/>
      <c r="G26" s="5"/>
    </row>
    <row r="27" spans="1:7" ht="12" customHeight="1">
      <c r="A27" s="5"/>
      <c r="B27" s="5"/>
      <c r="C27" s="5"/>
      <c r="D27" s="5"/>
      <c r="E27" s="2474" t="s">
        <v>685</v>
      </c>
      <c r="F27" s="2474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65" customHeight="1">
      <c r="A29" s="5"/>
      <c r="B29" s="3" t="s">
        <v>1541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2474" t="s">
        <v>702</v>
      </c>
      <c r="F30" s="2474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" customHeight="1">
      <c r="A32" s="5"/>
      <c r="B32" s="2" t="s">
        <v>1482</v>
      </c>
      <c r="C32" s="5"/>
      <c r="D32" s="2" t="s">
        <v>1483</v>
      </c>
      <c r="E32" s="2" t="s">
        <v>1542</v>
      </c>
      <c r="F32" s="5"/>
      <c r="G32" s="5"/>
    </row>
    <row r="33" spans="1:7" ht="12" customHeight="1">
      <c r="A33" s="5"/>
      <c r="B33" s="5"/>
      <c r="C33" s="5"/>
      <c r="D33" s="5"/>
      <c r="E33" s="2474" t="s">
        <v>705</v>
      </c>
      <c r="F33" s="2474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2474" t="s">
        <v>707</v>
      </c>
      <c r="C35" s="2474"/>
      <c r="D35" s="2474"/>
      <c r="E35" s="2474"/>
      <c r="F35" s="2474"/>
      <c r="G35" s="5"/>
    </row>
    <row r="36" spans="1:7" ht="12" customHeight="1">
      <c r="A36" s="12" t="s">
        <v>708</v>
      </c>
      <c r="B36" s="2471" t="s">
        <v>709</v>
      </c>
      <c r="C36" s="2471"/>
      <c r="D36" s="2471"/>
      <c r="E36" s="2472" t="s">
        <v>710</v>
      </c>
      <c r="F36" s="2472"/>
      <c r="G36" s="5"/>
    </row>
    <row r="37" spans="1:7" ht="12" customHeight="1">
      <c r="A37" s="12" t="s">
        <v>711</v>
      </c>
      <c r="B37" s="2473" t="s">
        <v>712</v>
      </c>
      <c r="C37" s="2473"/>
      <c r="D37" s="2473"/>
      <c r="E37" s="2473"/>
      <c r="F37" s="2473"/>
      <c r="G37" s="5"/>
    </row>
  </sheetData>
  <mergeCells count="14">
    <mergeCell ref="E8:F8"/>
    <mergeCell ref="E11:F11"/>
    <mergeCell ref="E14:F14"/>
    <mergeCell ref="B16:F16"/>
    <mergeCell ref="B17:D17"/>
    <mergeCell ref="E17:F17"/>
    <mergeCell ref="B36:D36"/>
    <mergeCell ref="E36:F36"/>
    <mergeCell ref="B37:F37"/>
    <mergeCell ref="B18:F18"/>
    <mergeCell ref="E27:F27"/>
    <mergeCell ref="E30:F30"/>
    <mergeCell ref="E33:F33"/>
    <mergeCell ref="B35:F35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9"/>
  <dimension ref="A1:G43"/>
  <sheetViews>
    <sheetView workbookViewId="0">
      <selection activeCell="G43" sqref="A1:G43"/>
    </sheetView>
  </sheetViews>
  <sheetFormatPr defaultRowHeight="14.4"/>
  <cols>
    <col min="1" max="1" width="5.33203125" customWidth="1"/>
    <col min="2" max="2" width="24.44140625" customWidth="1"/>
    <col min="3" max="3" width="7" customWidth="1"/>
    <col min="4" max="4" width="10.88671875" customWidth="1"/>
    <col min="5" max="5" width="14.33203125" customWidth="1"/>
    <col min="6" max="6" width="13.88671875" customWidth="1"/>
    <col min="7" max="7" width="16" customWidth="1"/>
  </cols>
  <sheetData>
    <row r="1" spans="1:7">
      <c r="A1" s="50" t="s">
        <v>2137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65" customHeight="1">
      <c r="A5" s="5"/>
      <c r="B5" s="3" t="s">
        <v>673</v>
      </c>
      <c r="C5" s="3" t="s">
        <v>674</v>
      </c>
      <c r="D5" s="12" t="s">
        <v>675</v>
      </c>
      <c r="E5" s="3" t="s">
        <v>679</v>
      </c>
      <c r="F5" s="5"/>
      <c r="G5" s="5"/>
    </row>
    <row r="6" spans="1:7" ht="13.95" customHeight="1">
      <c r="A6" s="5"/>
      <c r="B6" s="3" t="s">
        <v>782</v>
      </c>
      <c r="C6" s="3" t="s">
        <v>681</v>
      </c>
      <c r="D6" s="12" t="s">
        <v>675</v>
      </c>
      <c r="E6" s="3" t="s">
        <v>679</v>
      </c>
      <c r="F6" s="5"/>
      <c r="G6" s="5"/>
    </row>
    <row r="7" spans="1:7" ht="13.65" customHeight="1">
      <c r="A7" s="5"/>
      <c r="B7" s="3" t="s">
        <v>751</v>
      </c>
      <c r="C7" s="3" t="s">
        <v>681</v>
      </c>
      <c r="D7" s="12" t="s">
        <v>675</v>
      </c>
      <c r="E7" s="3" t="s">
        <v>682</v>
      </c>
      <c r="F7" s="5"/>
      <c r="G7" s="5"/>
    </row>
    <row r="8" spans="1:7" ht="13.65" customHeight="1">
      <c r="A8" s="5"/>
      <c r="B8" s="3" t="s">
        <v>683</v>
      </c>
      <c r="C8" s="3" t="s">
        <v>684</v>
      </c>
      <c r="D8" s="12" t="s">
        <v>675</v>
      </c>
      <c r="E8" s="3" t="s">
        <v>856</v>
      </c>
      <c r="F8" s="5"/>
      <c r="G8" s="5"/>
    </row>
    <row r="9" spans="1:7" ht="12" customHeight="1">
      <c r="A9" s="5"/>
      <c r="B9" s="5"/>
      <c r="C9" s="5"/>
      <c r="D9" s="5"/>
      <c r="E9" s="2474" t="s">
        <v>685</v>
      </c>
      <c r="F9" s="2474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95" customHeight="1">
      <c r="A11" s="5"/>
      <c r="B11" s="3" t="s">
        <v>745</v>
      </c>
      <c r="C11" s="5"/>
      <c r="D11" s="12" t="s">
        <v>853</v>
      </c>
      <c r="E11" s="3" t="s">
        <v>797</v>
      </c>
      <c r="F11" s="5"/>
      <c r="G11" s="5"/>
    </row>
    <row r="12" spans="1:7" ht="13.65" customHeight="1">
      <c r="A12" s="5"/>
      <c r="B12" s="3" t="s">
        <v>1000</v>
      </c>
      <c r="C12" s="5"/>
      <c r="D12" s="12" t="s">
        <v>773</v>
      </c>
      <c r="E12" s="3" t="s">
        <v>811</v>
      </c>
      <c r="F12" s="5"/>
      <c r="G12" s="5"/>
    </row>
    <row r="13" spans="1:7" ht="23.4" customHeight="1">
      <c r="A13" s="5"/>
      <c r="B13" s="2" t="s">
        <v>1001</v>
      </c>
      <c r="C13" s="5"/>
      <c r="D13" s="14" t="s">
        <v>815</v>
      </c>
      <c r="E13" s="3" t="s">
        <v>789</v>
      </c>
      <c r="F13" s="5"/>
      <c r="G13" s="5"/>
    </row>
    <row r="14" spans="1:7" ht="13.65" customHeight="1">
      <c r="A14" s="5"/>
      <c r="B14" s="5"/>
      <c r="C14" s="5"/>
      <c r="D14" s="5"/>
      <c r="E14" s="2474" t="s">
        <v>702</v>
      </c>
      <c r="F14" s="2474"/>
      <c r="G14" s="5"/>
    </row>
    <row r="15" spans="1:7" ht="12" customHeight="1">
      <c r="A15" s="12" t="s">
        <v>703</v>
      </c>
      <c r="B15" s="3" t="s">
        <v>704</v>
      </c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2474" t="s">
        <v>705</v>
      </c>
      <c r="F17" s="2474"/>
      <c r="G17" s="5"/>
    </row>
    <row r="18" spans="1:7" ht="12" customHeight="1">
      <c r="A18" s="5"/>
      <c r="B18" s="5"/>
      <c r="C18" s="5"/>
      <c r="D18" s="5"/>
      <c r="E18" s="5"/>
      <c r="F18" s="5"/>
      <c r="G18" s="5"/>
    </row>
    <row r="19" spans="1:7" ht="12" customHeight="1">
      <c r="A19" s="12" t="s">
        <v>706</v>
      </c>
      <c r="B19" s="2474" t="s">
        <v>707</v>
      </c>
      <c r="C19" s="2474"/>
      <c r="D19" s="2474"/>
      <c r="E19" s="2474"/>
      <c r="F19" s="2474"/>
      <c r="G19" s="5"/>
    </row>
    <row r="20" spans="1:7" ht="12" customHeight="1">
      <c r="A20" s="12" t="s">
        <v>708</v>
      </c>
      <c r="B20" s="2471" t="s">
        <v>876</v>
      </c>
      <c r="C20" s="2471"/>
      <c r="D20" s="2471"/>
      <c r="E20" s="2472" t="s">
        <v>710</v>
      </c>
      <c r="F20" s="2472"/>
      <c r="G20" s="5"/>
    </row>
    <row r="21" spans="1:7" ht="12.15" customHeight="1">
      <c r="A21" s="12" t="s">
        <v>711</v>
      </c>
      <c r="B21" s="2473" t="s">
        <v>712</v>
      </c>
      <c r="C21" s="2473"/>
      <c r="D21" s="2473"/>
      <c r="E21" s="2473"/>
      <c r="F21" s="2473"/>
      <c r="G21" s="5"/>
    </row>
    <row r="22" spans="1:7" ht="12.15" customHeight="1">
      <c r="A22" s="12"/>
      <c r="B22" s="26"/>
      <c r="C22" s="26"/>
      <c r="D22" s="26"/>
      <c r="E22" s="26"/>
      <c r="F22" s="26"/>
      <c r="G22" s="5"/>
    </row>
    <row r="23" spans="1:7" ht="12.15" customHeight="1">
      <c r="A23" s="50" t="s">
        <v>2138</v>
      </c>
      <c r="B23" s="26"/>
      <c r="C23" s="26"/>
      <c r="D23" s="26"/>
      <c r="E23" s="26"/>
      <c r="F23" s="26"/>
      <c r="G23" s="5"/>
    </row>
    <row r="24" spans="1:7" ht="12.15" customHeight="1">
      <c r="A24" s="12"/>
      <c r="B24" s="26"/>
      <c r="C24" s="26"/>
      <c r="D24" s="26"/>
      <c r="E24" s="26"/>
      <c r="F24" s="26"/>
      <c r="G24" s="5"/>
    </row>
    <row r="25" spans="1:7" ht="34.950000000000003" customHeight="1">
      <c r="A25" s="6" t="s">
        <v>762</v>
      </c>
      <c r="B25" s="6" t="s">
        <v>763</v>
      </c>
      <c r="C25" s="6" t="s">
        <v>764</v>
      </c>
      <c r="D25" s="6" t="s">
        <v>765</v>
      </c>
      <c r="E25" s="6" t="s">
        <v>766</v>
      </c>
      <c r="F25" s="7" t="s">
        <v>767</v>
      </c>
      <c r="G25" s="7" t="s">
        <v>768</v>
      </c>
    </row>
    <row r="26" spans="1:7" ht="12" customHeight="1">
      <c r="A26" s="12" t="s">
        <v>671</v>
      </c>
      <c r="B26" s="3" t="s">
        <v>672</v>
      </c>
      <c r="C26" s="5"/>
      <c r="D26" s="5"/>
      <c r="E26" s="5"/>
      <c r="F26" s="5"/>
      <c r="G26" s="5"/>
    </row>
    <row r="27" spans="1:7" ht="13.95" customHeight="1">
      <c r="A27" s="5"/>
      <c r="B27" s="3" t="s">
        <v>673</v>
      </c>
      <c r="C27" s="3" t="s">
        <v>674</v>
      </c>
      <c r="D27" s="12" t="s">
        <v>675</v>
      </c>
      <c r="E27" s="3" t="s">
        <v>740</v>
      </c>
      <c r="F27" s="5"/>
      <c r="G27" s="5"/>
    </row>
    <row r="28" spans="1:7" ht="13.65" customHeight="1">
      <c r="A28" s="5"/>
      <c r="B28" s="3" t="s">
        <v>782</v>
      </c>
      <c r="C28" s="3" t="s">
        <v>681</v>
      </c>
      <c r="D28" s="12" t="s">
        <v>675</v>
      </c>
      <c r="E28" s="3" t="s">
        <v>718</v>
      </c>
      <c r="F28" s="5"/>
      <c r="G28" s="5"/>
    </row>
    <row r="29" spans="1:7" ht="13.65" customHeight="1">
      <c r="A29" s="5"/>
      <c r="B29" s="3" t="s">
        <v>751</v>
      </c>
      <c r="C29" s="3" t="s">
        <v>681</v>
      </c>
      <c r="D29" s="12" t="s">
        <v>675</v>
      </c>
      <c r="E29" s="3" t="s">
        <v>851</v>
      </c>
      <c r="F29" s="5"/>
      <c r="G29" s="5"/>
    </row>
    <row r="30" spans="1:7" ht="13.95" customHeight="1">
      <c r="A30" s="5"/>
      <c r="B30" s="3" t="s">
        <v>683</v>
      </c>
      <c r="C30" s="3" t="s">
        <v>684</v>
      </c>
      <c r="D30" s="12" t="s">
        <v>675</v>
      </c>
      <c r="E30" s="3" t="s">
        <v>868</v>
      </c>
      <c r="F30" s="5"/>
      <c r="G30" s="5"/>
    </row>
    <row r="31" spans="1:7" ht="12" customHeight="1">
      <c r="A31" s="5"/>
      <c r="B31" s="5"/>
      <c r="C31" s="5"/>
      <c r="D31" s="5"/>
      <c r="E31" s="2474" t="s">
        <v>685</v>
      </c>
      <c r="F31" s="2474"/>
      <c r="G31" s="5"/>
    </row>
    <row r="32" spans="1:7" ht="12" customHeight="1">
      <c r="A32" s="12" t="s">
        <v>686</v>
      </c>
      <c r="B32" s="3" t="s">
        <v>687</v>
      </c>
      <c r="C32" s="5"/>
      <c r="D32" s="5"/>
      <c r="E32" s="5"/>
      <c r="F32" s="5"/>
      <c r="G32" s="5"/>
    </row>
    <row r="33" spans="1:7" ht="13.65" customHeight="1">
      <c r="A33" s="5"/>
      <c r="B33" s="3" t="s">
        <v>745</v>
      </c>
      <c r="C33" s="5"/>
      <c r="D33" s="12" t="s">
        <v>853</v>
      </c>
      <c r="E33" s="3" t="s">
        <v>797</v>
      </c>
      <c r="F33" s="5"/>
      <c r="G33" s="5"/>
    </row>
    <row r="34" spans="1:7" ht="13.65" customHeight="1">
      <c r="A34" s="5"/>
      <c r="B34" s="3" t="s">
        <v>1002</v>
      </c>
      <c r="C34" s="5"/>
      <c r="D34" s="12" t="s">
        <v>773</v>
      </c>
      <c r="E34" s="3" t="s">
        <v>779</v>
      </c>
      <c r="F34" s="5"/>
      <c r="G34" s="5"/>
    </row>
    <row r="35" spans="1:7" ht="13.95" customHeight="1">
      <c r="A35" s="5"/>
      <c r="B35" s="3" t="s">
        <v>736</v>
      </c>
      <c r="C35" s="5"/>
      <c r="D35" s="12" t="s">
        <v>773</v>
      </c>
      <c r="E35" s="3" t="s">
        <v>802</v>
      </c>
      <c r="F35" s="5"/>
      <c r="G35" s="5"/>
    </row>
    <row r="36" spans="1:7" ht="13.65" customHeight="1">
      <c r="A36" s="5"/>
      <c r="B36" s="5"/>
      <c r="C36" s="5"/>
      <c r="D36" s="5"/>
      <c r="E36" s="2474" t="s">
        <v>702</v>
      </c>
      <c r="F36" s="2474"/>
      <c r="G36" s="5"/>
    </row>
    <row r="37" spans="1:7" ht="12" customHeight="1">
      <c r="A37" s="12" t="s">
        <v>703</v>
      </c>
      <c r="B37" s="3" t="s">
        <v>704</v>
      </c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5"/>
      <c r="B39" s="5"/>
      <c r="C39" s="5"/>
      <c r="D39" s="5"/>
      <c r="E39" s="2474" t="s">
        <v>705</v>
      </c>
      <c r="F39" s="2474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12" t="s">
        <v>706</v>
      </c>
      <c r="B41" s="2474" t="s">
        <v>707</v>
      </c>
      <c r="C41" s="2474"/>
      <c r="D41" s="2474"/>
      <c r="E41" s="2474"/>
      <c r="F41" s="2474"/>
      <c r="G41" s="5"/>
    </row>
    <row r="42" spans="1:7" ht="12" customHeight="1">
      <c r="A42" s="12" t="s">
        <v>708</v>
      </c>
      <c r="B42" s="2471" t="s">
        <v>876</v>
      </c>
      <c r="C42" s="2471"/>
      <c r="D42" s="2471"/>
      <c r="E42" s="2472" t="s">
        <v>710</v>
      </c>
      <c r="F42" s="2472"/>
      <c r="G42" s="5"/>
    </row>
    <row r="43" spans="1:7" ht="12" customHeight="1">
      <c r="A43" s="12" t="s">
        <v>711</v>
      </c>
      <c r="B43" s="2473" t="s">
        <v>712</v>
      </c>
      <c r="C43" s="2473"/>
      <c r="D43" s="2473"/>
      <c r="E43" s="2473"/>
      <c r="F43" s="2473"/>
      <c r="G43" s="5"/>
    </row>
  </sheetData>
  <mergeCells count="14">
    <mergeCell ref="E9:F9"/>
    <mergeCell ref="E14:F14"/>
    <mergeCell ref="E17:F17"/>
    <mergeCell ref="B19:F19"/>
    <mergeCell ref="B20:D20"/>
    <mergeCell ref="E20:F20"/>
    <mergeCell ref="B42:D42"/>
    <mergeCell ref="E42:F42"/>
    <mergeCell ref="B43:F43"/>
    <mergeCell ref="B21:F21"/>
    <mergeCell ref="E31:F31"/>
    <mergeCell ref="E36:F36"/>
    <mergeCell ref="E39:F39"/>
    <mergeCell ref="B41:F41"/>
  </mergeCells>
  <pageMargins left="0.7" right="0.7" top="0.75" bottom="0.75" header="0.3" footer="0.3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162"/>
  <dimension ref="A1:G37"/>
  <sheetViews>
    <sheetView workbookViewId="0">
      <selection activeCell="G37" sqref="A1:G37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2443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805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682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783</v>
      </c>
      <c r="F7" s="5"/>
      <c r="G7" s="5"/>
    </row>
    <row r="8" spans="1:7" ht="12" customHeight="1">
      <c r="A8" s="5"/>
      <c r="B8" s="5"/>
      <c r="C8" s="5"/>
      <c r="D8" s="5"/>
      <c r="E8" s="2474" t="s">
        <v>685</v>
      </c>
      <c r="F8" s="2474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65" customHeight="1">
      <c r="A10" s="5"/>
      <c r="B10" s="3" t="s">
        <v>1543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2474" t="s">
        <v>702</v>
      </c>
      <c r="F11" s="2474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" customHeight="1">
      <c r="A13" s="5"/>
      <c r="B13" s="2" t="s">
        <v>1482</v>
      </c>
      <c r="C13" s="5"/>
      <c r="D13" s="2" t="s">
        <v>1483</v>
      </c>
      <c r="E13" s="2" t="s">
        <v>1542</v>
      </c>
      <c r="F13" s="5"/>
      <c r="G13" s="5"/>
    </row>
    <row r="14" spans="1:7" ht="12" customHeight="1">
      <c r="A14" s="5"/>
      <c r="B14" s="5"/>
      <c r="C14" s="5"/>
      <c r="D14" s="5"/>
      <c r="E14" s="2474" t="s">
        <v>705</v>
      </c>
      <c r="F14" s="2474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2474" t="s">
        <v>707</v>
      </c>
      <c r="C16" s="2474"/>
      <c r="D16" s="2474"/>
      <c r="E16" s="2474"/>
      <c r="F16" s="2474"/>
      <c r="G16" s="5"/>
    </row>
    <row r="17" spans="1:7" ht="12" customHeight="1">
      <c r="A17" s="12" t="s">
        <v>708</v>
      </c>
      <c r="B17" s="2471" t="s">
        <v>709</v>
      </c>
      <c r="C17" s="2471"/>
      <c r="D17" s="2471"/>
      <c r="E17" s="2472" t="s">
        <v>710</v>
      </c>
      <c r="F17" s="2472"/>
      <c r="G17" s="5"/>
    </row>
    <row r="18" spans="1:7" ht="12" customHeight="1">
      <c r="A18" s="12" t="s">
        <v>711</v>
      </c>
      <c r="B18" s="2473" t="s">
        <v>712</v>
      </c>
      <c r="C18" s="2473"/>
      <c r="D18" s="2473"/>
      <c r="E18" s="2473"/>
      <c r="F18" s="2473"/>
      <c r="G18" s="5"/>
    </row>
    <row r="19" spans="1:7" ht="12" customHeight="1">
      <c r="A19" s="12"/>
      <c r="B19" s="26"/>
      <c r="C19" s="26"/>
      <c r="D19" s="26"/>
      <c r="E19" s="26"/>
      <c r="F19" s="26"/>
      <c r="G19" s="5"/>
    </row>
    <row r="20" spans="1:7" ht="12" customHeight="1">
      <c r="A20" s="50" t="s">
        <v>2444</v>
      </c>
      <c r="B20" s="26"/>
      <c r="C20" s="26"/>
      <c r="D20" s="26"/>
      <c r="E20" s="26"/>
      <c r="F20" s="26"/>
      <c r="G20" s="5"/>
    </row>
    <row r="21" spans="1:7" ht="12" customHeight="1">
      <c r="A21" s="12"/>
      <c r="B21" s="26"/>
      <c r="C21" s="26"/>
      <c r="D21" s="26"/>
      <c r="E21" s="26"/>
      <c r="F21" s="26"/>
      <c r="G21" s="5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795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1065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693</v>
      </c>
      <c r="F26" s="5"/>
      <c r="G26" s="5"/>
    </row>
    <row r="27" spans="1:7" ht="12" customHeight="1">
      <c r="A27" s="5"/>
      <c r="B27" s="5"/>
      <c r="C27" s="5"/>
      <c r="D27" s="5"/>
      <c r="E27" s="2474" t="s">
        <v>685</v>
      </c>
      <c r="F27" s="2474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65" customHeight="1">
      <c r="A29" s="5"/>
      <c r="B29" s="3" t="s">
        <v>1544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2474" t="s">
        <v>702</v>
      </c>
      <c r="F30" s="2474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" customHeight="1">
      <c r="A32" s="5"/>
      <c r="B32" s="2" t="s">
        <v>1482</v>
      </c>
      <c r="C32" s="5"/>
      <c r="D32" s="2" t="s">
        <v>1483</v>
      </c>
      <c r="E32" s="2" t="s">
        <v>1542</v>
      </c>
      <c r="F32" s="5"/>
      <c r="G32" s="5"/>
    </row>
    <row r="33" spans="1:7" ht="12" customHeight="1">
      <c r="A33" s="5"/>
      <c r="B33" s="5"/>
      <c r="C33" s="5"/>
      <c r="D33" s="5"/>
      <c r="E33" s="2474" t="s">
        <v>705</v>
      </c>
      <c r="F33" s="2474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2474" t="s">
        <v>707</v>
      </c>
      <c r="C35" s="2474"/>
      <c r="D35" s="2474"/>
      <c r="E35" s="2474"/>
      <c r="F35" s="2474"/>
      <c r="G35" s="5"/>
    </row>
    <row r="36" spans="1:7" ht="12" customHeight="1">
      <c r="A36" s="12" t="s">
        <v>708</v>
      </c>
      <c r="B36" s="2471" t="s">
        <v>709</v>
      </c>
      <c r="C36" s="2471"/>
      <c r="D36" s="2471"/>
      <c r="E36" s="2472" t="s">
        <v>710</v>
      </c>
      <c r="F36" s="2472"/>
      <c r="G36" s="5"/>
    </row>
    <row r="37" spans="1:7" ht="12" customHeight="1">
      <c r="A37" s="12" t="s">
        <v>711</v>
      </c>
      <c r="B37" s="2473" t="s">
        <v>712</v>
      </c>
      <c r="C37" s="2473"/>
      <c r="D37" s="2473"/>
      <c r="E37" s="2473"/>
      <c r="F37" s="2473"/>
      <c r="G37" s="5"/>
    </row>
  </sheetData>
  <mergeCells count="14">
    <mergeCell ref="E8:F8"/>
    <mergeCell ref="E11:F11"/>
    <mergeCell ref="E14:F14"/>
    <mergeCell ref="B16:F16"/>
    <mergeCell ref="B17:D17"/>
    <mergeCell ref="E17:F17"/>
    <mergeCell ref="B36:D36"/>
    <mergeCell ref="E36:F36"/>
    <mergeCell ref="B37:F37"/>
    <mergeCell ref="B18:F18"/>
    <mergeCell ref="E27:F27"/>
    <mergeCell ref="E30:F30"/>
    <mergeCell ref="E33:F33"/>
    <mergeCell ref="B35:F35"/>
  </mergeCells>
  <pageMargins left="0.7" right="0.7" top="0.75" bottom="0.75" header="0.3" footer="0.3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163"/>
  <dimension ref="A1:G37"/>
  <sheetViews>
    <sheetView workbookViewId="0">
      <selection activeCell="G37" sqref="A1:G37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2445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1545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1080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891</v>
      </c>
      <c r="F7" s="5"/>
      <c r="G7" s="5"/>
    </row>
    <row r="8" spans="1:7" ht="12" customHeight="1">
      <c r="A8" s="5"/>
      <c r="B8" s="5"/>
      <c r="C8" s="5"/>
      <c r="D8" s="5"/>
      <c r="E8" s="2474" t="s">
        <v>685</v>
      </c>
      <c r="F8" s="2474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65" customHeight="1">
      <c r="A10" s="5"/>
      <c r="B10" s="3" t="s">
        <v>1546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2474" t="s">
        <v>702</v>
      </c>
      <c r="F11" s="2474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" customHeight="1">
      <c r="A13" s="5"/>
      <c r="B13" s="2" t="s">
        <v>1482</v>
      </c>
      <c r="C13" s="5"/>
      <c r="D13" s="2" t="s">
        <v>1483</v>
      </c>
      <c r="E13" s="2" t="s">
        <v>1542</v>
      </c>
      <c r="F13" s="5"/>
      <c r="G13" s="5"/>
    </row>
    <row r="14" spans="1:7" ht="12" customHeight="1">
      <c r="A14" s="5"/>
      <c r="B14" s="5"/>
      <c r="C14" s="5"/>
      <c r="D14" s="5"/>
      <c r="E14" s="2474" t="s">
        <v>705</v>
      </c>
      <c r="F14" s="2474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2474" t="s">
        <v>707</v>
      </c>
      <c r="C16" s="2474"/>
      <c r="D16" s="2474"/>
      <c r="E16" s="2474"/>
      <c r="F16" s="2474"/>
      <c r="G16" s="5"/>
    </row>
    <row r="17" spans="1:7" ht="12" customHeight="1">
      <c r="A17" s="12" t="s">
        <v>708</v>
      </c>
      <c r="B17" s="2471" t="s">
        <v>709</v>
      </c>
      <c r="C17" s="2471"/>
      <c r="D17" s="2471"/>
      <c r="E17" s="2472" t="s">
        <v>710</v>
      </c>
      <c r="F17" s="2472"/>
      <c r="G17" s="5"/>
    </row>
    <row r="18" spans="1:7" ht="12" customHeight="1">
      <c r="A18" s="12" t="s">
        <v>711</v>
      </c>
      <c r="B18" s="2473" t="s">
        <v>712</v>
      </c>
      <c r="C18" s="2473"/>
      <c r="D18" s="2473"/>
      <c r="E18" s="2473"/>
      <c r="F18" s="2473"/>
      <c r="G18" s="5"/>
    </row>
    <row r="19" spans="1:7" ht="12" customHeight="1">
      <c r="A19" s="12"/>
      <c r="B19" s="26"/>
      <c r="C19" s="26"/>
      <c r="D19" s="26"/>
      <c r="E19" s="26"/>
      <c r="F19" s="26"/>
      <c r="G19" s="5"/>
    </row>
    <row r="20" spans="1:7" ht="12" customHeight="1">
      <c r="A20" s="50" t="s">
        <v>2446</v>
      </c>
      <c r="B20" s="26"/>
      <c r="C20" s="26"/>
      <c r="D20" s="26"/>
      <c r="E20" s="26"/>
      <c r="F20" s="26"/>
      <c r="G20" s="5"/>
    </row>
    <row r="21" spans="1:7" ht="12" customHeight="1">
      <c r="A21" s="12"/>
      <c r="B21" s="26"/>
      <c r="C21" s="26"/>
      <c r="D21" s="26"/>
      <c r="E21" s="26"/>
      <c r="F21" s="26"/>
      <c r="G21" s="5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1020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1547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779</v>
      </c>
      <c r="F26" s="5"/>
      <c r="G26" s="5"/>
    </row>
    <row r="27" spans="1:7" ht="12" customHeight="1">
      <c r="A27" s="5"/>
      <c r="B27" s="5"/>
      <c r="C27" s="5"/>
      <c r="D27" s="5"/>
      <c r="E27" s="2474" t="s">
        <v>685</v>
      </c>
      <c r="F27" s="2474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65" customHeight="1">
      <c r="A29" s="5"/>
      <c r="B29" s="3" t="s">
        <v>1548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2474" t="s">
        <v>702</v>
      </c>
      <c r="F30" s="2474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" customHeight="1">
      <c r="A32" s="5"/>
      <c r="B32" s="2" t="s">
        <v>1482</v>
      </c>
      <c r="C32" s="5"/>
      <c r="D32" s="2" t="s">
        <v>1483</v>
      </c>
      <c r="E32" s="2" t="s">
        <v>1542</v>
      </c>
      <c r="F32" s="5"/>
      <c r="G32" s="5"/>
    </row>
    <row r="33" spans="1:7" ht="12" customHeight="1">
      <c r="A33" s="5"/>
      <c r="B33" s="5"/>
      <c r="C33" s="5"/>
      <c r="D33" s="5"/>
      <c r="E33" s="2474" t="s">
        <v>705</v>
      </c>
      <c r="F33" s="2474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2474" t="s">
        <v>707</v>
      </c>
      <c r="C35" s="2474"/>
      <c r="D35" s="2474"/>
      <c r="E35" s="2474"/>
      <c r="F35" s="2474"/>
      <c r="G35" s="5"/>
    </row>
    <row r="36" spans="1:7" ht="12" customHeight="1">
      <c r="A36" s="12" t="s">
        <v>708</v>
      </c>
      <c r="B36" s="2471" t="s">
        <v>709</v>
      </c>
      <c r="C36" s="2471"/>
      <c r="D36" s="2471"/>
      <c r="E36" s="2472" t="s">
        <v>710</v>
      </c>
      <c r="F36" s="2472"/>
      <c r="G36" s="5"/>
    </row>
    <row r="37" spans="1:7" ht="12" customHeight="1">
      <c r="A37" s="12" t="s">
        <v>711</v>
      </c>
      <c r="B37" s="2473" t="s">
        <v>712</v>
      </c>
      <c r="C37" s="2473"/>
      <c r="D37" s="2473"/>
      <c r="E37" s="2473"/>
      <c r="F37" s="2473"/>
      <c r="G37" s="5"/>
    </row>
  </sheetData>
  <mergeCells count="14">
    <mergeCell ref="E8:F8"/>
    <mergeCell ref="E11:F11"/>
    <mergeCell ref="E14:F14"/>
    <mergeCell ref="B16:F16"/>
    <mergeCell ref="B17:D17"/>
    <mergeCell ref="E17:F17"/>
    <mergeCell ref="B36:D36"/>
    <mergeCell ref="E36:F36"/>
    <mergeCell ref="B37:F37"/>
    <mergeCell ref="B18:F18"/>
    <mergeCell ref="E27:F27"/>
    <mergeCell ref="E30:F30"/>
    <mergeCell ref="E33:F33"/>
    <mergeCell ref="B35:F35"/>
  </mergeCells>
  <pageMargins left="0.7" right="0.7" top="0.75" bottom="0.75" header="0.3" footer="0.3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164"/>
  <dimension ref="A1:G37"/>
  <sheetViews>
    <sheetView workbookViewId="0">
      <selection activeCell="G37" sqref="A1:G37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2447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1549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798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901</v>
      </c>
      <c r="F7" s="5"/>
      <c r="G7" s="5"/>
    </row>
    <row r="8" spans="1:7" ht="12" customHeight="1">
      <c r="A8" s="5"/>
      <c r="B8" s="5"/>
      <c r="C8" s="5"/>
      <c r="D8" s="5"/>
      <c r="E8" s="2474" t="s">
        <v>685</v>
      </c>
      <c r="F8" s="2474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65" customHeight="1">
      <c r="A10" s="5"/>
      <c r="B10" s="3" t="s">
        <v>1550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2474" t="s">
        <v>702</v>
      </c>
      <c r="F11" s="2474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" customHeight="1">
      <c r="A13" s="5"/>
      <c r="B13" s="2" t="s">
        <v>1482</v>
      </c>
      <c r="C13" s="5"/>
      <c r="D13" s="2" t="s">
        <v>1483</v>
      </c>
      <c r="E13" s="2" t="s">
        <v>1551</v>
      </c>
      <c r="F13" s="5"/>
      <c r="G13" s="5"/>
    </row>
    <row r="14" spans="1:7" ht="12" customHeight="1">
      <c r="A14" s="5"/>
      <c r="B14" s="5"/>
      <c r="C14" s="5"/>
      <c r="D14" s="5"/>
      <c r="E14" s="2474" t="s">
        <v>705</v>
      </c>
      <c r="F14" s="2474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2474" t="s">
        <v>707</v>
      </c>
      <c r="C16" s="2474"/>
      <c r="D16" s="2474"/>
      <c r="E16" s="2474"/>
      <c r="F16" s="2474"/>
      <c r="G16" s="5"/>
    </row>
    <row r="17" spans="1:7" ht="12" customHeight="1">
      <c r="A17" s="12" t="s">
        <v>708</v>
      </c>
      <c r="B17" s="2471" t="s">
        <v>709</v>
      </c>
      <c r="C17" s="2471"/>
      <c r="D17" s="2471"/>
      <c r="E17" s="2472" t="s">
        <v>710</v>
      </c>
      <c r="F17" s="2472"/>
      <c r="G17" s="5"/>
    </row>
    <row r="18" spans="1:7" ht="12" customHeight="1">
      <c r="A18" s="12" t="s">
        <v>711</v>
      </c>
      <c r="B18" s="2473" t="s">
        <v>712</v>
      </c>
      <c r="C18" s="2473"/>
      <c r="D18" s="2473"/>
      <c r="E18" s="2473"/>
      <c r="F18" s="2473"/>
      <c r="G18" s="5"/>
    </row>
    <row r="19" spans="1:7" ht="12" customHeight="1">
      <c r="A19" s="12"/>
      <c r="B19" s="26"/>
      <c r="C19" s="26"/>
      <c r="D19" s="26"/>
      <c r="E19" s="26"/>
      <c r="F19" s="26"/>
      <c r="G19" s="5"/>
    </row>
    <row r="20" spans="1:7" ht="12" customHeight="1">
      <c r="A20" s="50" t="s">
        <v>2448</v>
      </c>
      <c r="B20" s="26"/>
      <c r="C20" s="26"/>
      <c r="D20" s="26"/>
      <c r="E20" s="26"/>
      <c r="F20" s="26"/>
      <c r="G20" s="5"/>
    </row>
    <row r="21" spans="1:7" ht="12" customHeight="1">
      <c r="A21" s="12"/>
      <c r="B21" s="26"/>
      <c r="C21" s="26"/>
      <c r="D21" s="26"/>
      <c r="E21" s="26"/>
      <c r="F21" s="26"/>
      <c r="G21" s="5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821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829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1155</v>
      </c>
      <c r="F26" s="5"/>
      <c r="G26" s="5"/>
    </row>
    <row r="27" spans="1:7" ht="12" customHeight="1">
      <c r="A27" s="5"/>
      <c r="B27" s="5"/>
      <c r="C27" s="5"/>
      <c r="D27" s="5"/>
      <c r="E27" s="2474" t="s">
        <v>685</v>
      </c>
      <c r="F27" s="2474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65" customHeight="1">
      <c r="A29" s="5"/>
      <c r="B29" s="3" t="s">
        <v>1552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2474" t="s">
        <v>702</v>
      </c>
      <c r="F30" s="2474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" customHeight="1">
      <c r="A32" s="5"/>
      <c r="B32" s="2" t="s">
        <v>1482</v>
      </c>
      <c r="C32" s="5"/>
      <c r="D32" s="2" t="s">
        <v>1483</v>
      </c>
      <c r="E32" s="2" t="s">
        <v>1553</v>
      </c>
      <c r="F32" s="5"/>
      <c r="G32" s="5"/>
    </row>
    <row r="33" spans="1:7" ht="12" customHeight="1">
      <c r="A33" s="5"/>
      <c r="B33" s="5"/>
      <c r="C33" s="5"/>
      <c r="D33" s="5"/>
      <c r="E33" s="2474" t="s">
        <v>705</v>
      </c>
      <c r="F33" s="2474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2474" t="s">
        <v>707</v>
      </c>
      <c r="C35" s="2474"/>
      <c r="D35" s="2474"/>
      <c r="E35" s="2474"/>
      <c r="F35" s="2474"/>
      <c r="G35" s="5"/>
    </row>
    <row r="36" spans="1:7" ht="12" customHeight="1">
      <c r="A36" s="12" t="s">
        <v>708</v>
      </c>
      <c r="B36" s="2471" t="s">
        <v>709</v>
      </c>
      <c r="C36" s="2471"/>
      <c r="D36" s="2471"/>
      <c r="E36" s="2472" t="s">
        <v>710</v>
      </c>
      <c r="F36" s="2472"/>
      <c r="G36" s="5"/>
    </row>
    <row r="37" spans="1:7" ht="12" customHeight="1">
      <c r="A37" s="12" t="s">
        <v>711</v>
      </c>
      <c r="B37" s="2473" t="s">
        <v>712</v>
      </c>
      <c r="C37" s="2473"/>
      <c r="D37" s="2473"/>
      <c r="E37" s="2473"/>
      <c r="F37" s="2473"/>
      <c r="G37" s="5"/>
    </row>
  </sheetData>
  <mergeCells count="14">
    <mergeCell ref="E8:F8"/>
    <mergeCell ref="E11:F11"/>
    <mergeCell ref="E14:F14"/>
    <mergeCell ref="B16:F16"/>
    <mergeCell ref="B17:D17"/>
    <mergeCell ref="E17:F17"/>
    <mergeCell ref="B36:D36"/>
    <mergeCell ref="E36:F36"/>
    <mergeCell ref="B37:F37"/>
    <mergeCell ref="B18:F18"/>
    <mergeCell ref="E27:F27"/>
    <mergeCell ref="E30:F30"/>
    <mergeCell ref="E33:F33"/>
    <mergeCell ref="B35:F35"/>
  </mergeCells>
  <pageMargins left="0.7" right="0.7" top="0.75" bottom="0.75" header="0.3" footer="0.3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165"/>
  <dimension ref="A1:G37"/>
  <sheetViews>
    <sheetView workbookViewId="0">
      <selection activeCell="G37" sqref="A1:G37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2449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1554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1555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1072</v>
      </c>
      <c r="F7" s="5"/>
      <c r="G7" s="5"/>
    </row>
    <row r="8" spans="1:7" ht="12" customHeight="1">
      <c r="A8" s="5"/>
      <c r="B8" s="5"/>
      <c r="C8" s="5"/>
      <c r="D8" s="5"/>
      <c r="E8" s="2474" t="s">
        <v>685</v>
      </c>
      <c r="F8" s="2474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65" customHeight="1">
      <c r="A10" s="5"/>
      <c r="B10" s="3" t="s">
        <v>1556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2474" t="s">
        <v>702</v>
      </c>
      <c r="F11" s="2474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" customHeight="1">
      <c r="A13" s="5"/>
      <c r="B13" s="2" t="s">
        <v>1482</v>
      </c>
      <c r="C13" s="5"/>
      <c r="D13" s="2" t="s">
        <v>1483</v>
      </c>
      <c r="E13" s="2" t="s">
        <v>1557</v>
      </c>
      <c r="F13" s="5"/>
      <c r="G13" s="5"/>
    </row>
    <row r="14" spans="1:7" ht="12" customHeight="1">
      <c r="A14" s="5"/>
      <c r="B14" s="5"/>
      <c r="C14" s="5"/>
      <c r="D14" s="5"/>
      <c r="E14" s="2474" t="s">
        <v>705</v>
      </c>
      <c r="F14" s="2474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2474" t="s">
        <v>707</v>
      </c>
      <c r="C16" s="2474"/>
      <c r="D16" s="2474"/>
      <c r="E16" s="2474"/>
      <c r="F16" s="2474"/>
      <c r="G16" s="5"/>
    </row>
    <row r="17" spans="1:7" ht="12" customHeight="1">
      <c r="A17" s="12" t="s">
        <v>708</v>
      </c>
      <c r="B17" s="2471" t="s">
        <v>709</v>
      </c>
      <c r="C17" s="2471"/>
      <c r="D17" s="2471"/>
      <c r="E17" s="2472" t="s">
        <v>710</v>
      </c>
      <c r="F17" s="2472"/>
      <c r="G17" s="5"/>
    </row>
    <row r="18" spans="1:7" ht="12" customHeight="1">
      <c r="A18" s="12" t="s">
        <v>711</v>
      </c>
      <c r="B18" s="2473" t="s">
        <v>712</v>
      </c>
      <c r="C18" s="2473"/>
      <c r="D18" s="2473"/>
      <c r="E18" s="2473"/>
      <c r="F18" s="2473"/>
      <c r="G18" s="5"/>
    </row>
    <row r="19" spans="1:7" ht="12" customHeight="1">
      <c r="A19" s="12"/>
      <c r="B19" s="26"/>
      <c r="C19" s="26"/>
      <c r="D19" s="26"/>
      <c r="E19" s="26"/>
      <c r="F19" s="26"/>
      <c r="G19" s="5"/>
    </row>
    <row r="20" spans="1:7" ht="12" customHeight="1">
      <c r="A20" s="50" t="s">
        <v>2450</v>
      </c>
      <c r="B20" s="26"/>
      <c r="C20" s="26"/>
      <c r="D20" s="26"/>
      <c r="E20" s="26"/>
      <c r="F20" s="26"/>
      <c r="G20" s="5"/>
    </row>
    <row r="21" spans="1:7" ht="12" customHeight="1">
      <c r="A21" s="12"/>
      <c r="B21" s="26"/>
      <c r="C21" s="26"/>
      <c r="D21" s="26"/>
      <c r="E21" s="26"/>
      <c r="F21" s="26"/>
      <c r="G21" s="5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1558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733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772</v>
      </c>
      <c r="F26" s="5"/>
      <c r="G26" s="5"/>
    </row>
    <row r="27" spans="1:7" ht="12" customHeight="1">
      <c r="A27" s="5"/>
      <c r="B27" s="5"/>
      <c r="C27" s="5"/>
      <c r="D27" s="5"/>
      <c r="E27" s="2474" t="s">
        <v>685</v>
      </c>
      <c r="F27" s="2474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65" customHeight="1">
      <c r="A29" s="5"/>
      <c r="B29" s="3" t="s">
        <v>1559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2474" t="s">
        <v>702</v>
      </c>
      <c r="F30" s="2474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" customHeight="1">
      <c r="A32" s="5"/>
      <c r="B32" s="2" t="s">
        <v>1482</v>
      </c>
      <c r="C32" s="5"/>
      <c r="D32" s="2" t="s">
        <v>1483</v>
      </c>
      <c r="E32" s="2" t="s">
        <v>1560</v>
      </c>
      <c r="F32" s="5"/>
      <c r="G32" s="5"/>
    </row>
    <row r="33" spans="1:7" ht="12" customHeight="1">
      <c r="A33" s="5"/>
      <c r="B33" s="5"/>
      <c r="C33" s="5"/>
      <c r="D33" s="5"/>
      <c r="E33" s="2474" t="s">
        <v>705</v>
      </c>
      <c r="F33" s="2474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2474" t="s">
        <v>707</v>
      </c>
      <c r="C35" s="2474"/>
      <c r="D35" s="2474"/>
      <c r="E35" s="2474"/>
      <c r="F35" s="2474"/>
      <c r="G35" s="5"/>
    </row>
    <row r="36" spans="1:7" ht="12" customHeight="1">
      <c r="A36" s="12" t="s">
        <v>708</v>
      </c>
      <c r="B36" s="2471" t="s">
        <v>709</v>
      </c>
      <c r="C36" s="2471"/>
      <c r="D36" s="2471"/>
      <c r="E36" s="2472" t="s">
        <v>710</v>
      </c>
      <c r="F36" s="2472"/>
      <c r="G36" s="5"/>
    </row>
    <row r="37" spans="1:7" ht="12" customHeight="1">
      <c r="A37" s="12" t="s">
        <v>711</v>
      </c>
      <c r="B37" s="2473" t="s">
        <v>712</v>
      </c>
      <c r="C37" s="2473"/>
      <c r="D37" s="2473"/>
      <c r="E37" s="2473"/>
      <c r="F37" s="2473"/>
      <c r="G37" s="5"/>
    </row>
  </sheetData>
  <mergeCells count="14">
    <mergeCell ref="E8:F8"/>
    <mergeCell ref="E11:F11"/>
    <mergeCell ref="E14:F14"/>
    <mergeCell ref="B16:F16"/>
    <mergeCell ref="B17:D17"/>
    <mergeCell ref="E17:F17"/>
    <mergeCell ref="B36:D36"/>
    <mergeCell ref="E36:F36"/>
    <mergeCell ref="B37:F37"/>
    <mergeCell ref="B18:F18"/>
    <mergeCell ref="E27:F27"/>
    <mergeCell ref="E30:F30"/>
    <mergeCell ref="E33:F33"/>
    <mergeCell ref="B35:F35"/>
  </mergeCells>
  <pageMargins left="0.7" right="0.7" top="0.75" bottom="0.75" header="0.3" footer="0.3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166"/>
  <dimension ref="A1:G37"/>
  <sheetViews>
    <sheetView workbookViewId="0">
      <selection activeCell="G37" sqref="A1:G37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2451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1561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1562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907</v>
      </c>
      <c r="F7" s="5"/>
      <c r="G7" s="5"/>
    </row>
    <row r="8" spans="1:7" ht="12" customHeight="1">
      <c r="A8" s="5"/>
      <c r="B8" s="5"/>
      <c r="C8" s="5"/>
      <c r="D8" s="5"/>
      <c r="E8" s="2474" t="s">
        <v>685</v>
      </c>
      <c r="F8" s="2474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65" customHeight="1">
      <c r="A10" s="5"/>
      <c r="B10" s="3" t="s">
        <v>1563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2474" t="s">
        <v>702</v>
      </c>
      <c r="F11" s="2474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" customHeight="1">
      <c r="A13" s="5"/>
      <c r="B13" s="2" t="s">
        <v>1482</v>
      </c>
      <c r="C13" s="5"/>
      <c r="D13" s="2" t="s">
        <v>1483</v>
      </c>
      <c r="E13" s="2" t="s">
        <v>1564</v>
      </c>
      <c r="F13" s="5"/>
      <c r="G13" s="5"/>
    </row>
    <row r="14" spans="1:7" ht="12" customHeight="1">
      <c r="A14" s="5"/>
      <c r="B14" s="5"/>
      <c r="C14" s="5"/>
      <c r="D14" s="5"/>
      <c r="E14" s="2474" t="s">
        <v>705</v>
      </c>
      <c r="F14" s="2474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2474" t="s">
        <v>707</v>
      </c>
      <c r="C16" s="2474"/>
      <c r="D16" s="2474"/>
      <c r="E16" s="2474"/>
      <c r="F16" s="2474"/>
      <c r="G16" s="5"/>
    </row>
    <row r="17" spans="1:7" ht="12" customHeight="1">
      <c r="A17" s="12" t="s">
        <v>708</v>
      </c>
      <c r="B17" s="2471" t="s">
        <v>709</v>
      </c>
      <c r="C17" s="2471"/>
      <c r="D17" s="2471"/>
      <c r="E17" s="2472" t="s">
        <v>710</v>
      </c>
      <c r="F17" s="2472"/>
      <c r="G17" s="5"/>
    </row>
    <row r="18" spans="1:7" ht="12" customHeight="1">
      <c r="A18" s="12" t="s">
        <v>711</v>
      </c>
      <c r="B18" s="2473" t="s">
        <v>712</v>
      </c>
      <c r="C18" s="2473"/>
      <c r="D18" s="2473"/>
      <c r="E18" s="2473"/>
      <c r="F18" s="2473"/>
      <c r="G18" s="5"/>
    </row>
    <row r="19" spans="1:7" ht="12" customHeight="1">
      <c r="A19" s="12"/>
      <c r="B19" s="26"/>
      <c r="C19" s="26"/>
      <c r="D19" s="26"/>
      <c r="E19" s="26"/>
      <c r="F19" s="26"/>
      <c r="G19" s="5"/>
    </row>
    <row r="20" spans="1:7" ht="12" customHeight="1">
      <c r="A20" s="55" t="s">
        <v>2452</v>
      </c>
      <c r="B20" s="26"/>
      <c r="C20" s="26"/>
      <c r="D20" s="26"/>
      <c r="E20" s="26"/>
      <c r="F20" s="26"/>
      <c r="G20" s="5"/>
    </row>
    <row r="21" spans="1:7" ht="12" customHeight="1">
      <c r="A21" s="12"/>
      <c r="B21" s="26"/>
      <c r="C21" s="26"/>
      <c r="D21" s="26"/>
      <c r="E21" s="26"/>
      <c r="F21" s="26"/>
      <c r="G21" s="5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1565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1499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1547</v>
      </c>
      <c r="F26" s="5"/>
      <c r="G26" s="5"/>
    </row>
    <row r="27" spans="1:7" ht="12" customHeight="1">
      <c r="A27" s="5"/>
      <c r="B27" s="5"/>
      <c r="C27" s="5"/>
      <c r="D27" s="5"/>
      <c r="E27" s="2474" t="s">
        <v>685</v>
      </c>
      <c r="F27" s="2474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65" customHeight="1">
      <c r="A29" s="5"/>
      <c r="B29" s="3" t="s">
        <v>1563</v>
      </c>
      <c r="C29" s="5"/>
      <c r="D29" s="12" t="s">
        <v>853</v>
      </c>
      <c r="E29" s="12" t="s">
        <v>719</v>
      </c>
      <c r="F29" s="5"/>
      <c r="G29" s="5"/>
    </row>
    <row r="30" spans="1:7" ht="12" customHeight="1">
      <c r="A30" s="5"/>
      <c r="B30" s="5"/>
      <c r="C30" s="5"/>
      <c r="D30" s="5"/>
      <c r="E30" s="2474" t="s">
        <v>702</v>
      </c>
      <c r="F30" s="2474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" customHeight="1">
      <c r="A32" s="5"/>
      <c r="B32" s="2" t="s">
        <v>1482</v>
      </c>
      <c r="C32" s="5"/>
      <c r="D32" s="2" t="s">
        <v>1483</v>
      </c>
      <c r="E32" s="2" t="s">
        <v>1566</v>
      </c>
      <c r="F32" s="5"/>
      <c r="G32" s="5"/>
    </row>
    <row r="33" spans="1:7" ht="12" customHeight="1">
      <c r="A33" s="5"/>
      <c r="B33" s="5"/>
      <c r="C33" s="5"/>
      <c r="D33" s="5"/>
      <c r="E33" s="2474" t="s">
        <v>705</v>
      </c>
      <c r="F33" s="2474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2474" t="s">
        <v>707</v>
      </c>
      <c r="C35" s="2474"/>
      <c r="D35" s="2474"/>
      <c r="E35" s="2474"/>
      <c r="F35" s="2474"/>
      <c r="G35" s="5"/>
    </row>
    <row r="36" spans="1:7" ht="12" customHeight="1">
      <c r="A36" s="12" t="s">
        <v>708</v>
      </c>
      <c r="B36" s="2471" t="s">
        <v>709</v>
      </c>
      <c r="C36" s="2471"/>
      <c r="D36" s="2471"/>
      <c r="E36" s="2472" t="s">
        <v>710</v>
      </c>
      <c r="F36" s="2472"/>
      <c r="G36" s="5"/>
    </row>
    <row r="37" spans="1:7" ht="12" customHeight="1">
      <c r="A37" s="12" t="s">
        <v>711</v>
      </c>
      <c r="B37" s="2473" t="s">
        <v>712</v>
      </c>
      <c r="C37" s="2473"/>
      <c r="D37" s="2473"/>
      <c r="E37" s="2473"/>
      <c r="F37" s="2473"/>
      <c r="G37" s="5"/>
    </row>
  </sheetData>
  <mergeCells count="14">
    <mergeCell ref="E8:F8"/>
    <mergeCell ref="E11:F11"/>
    <mergeCell ref="E14:F14"/>
    <mergeCell ref="B16:F16"/>
    <mergeCell ref="B17:D17"/>
    <mergeCell ref="E17:F17"/>
    <mergeCell ref="B36:D36"/>
    <mergeCell ref="E36:F36"/>
    <mergeCell ref="B37:F37"/>
    <mergeCell ref="B18:F18"/>
    <mergeCell ref="E27:F27"/>
    <mergeCell ref="E30:F30"/>
    <mergeCell ref="E33:F33"/>
    <mergeCell ref="B35:F35"/>
  </mergeCells>
  <pageMargins left="0.7" right="0.7" top="0.75" bottom="0.75" header="0.3" footer="0.3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167"/>
  <dimension ref="A1:G37"/>
  <sheetViews>
    <sheetView workbookViewId="0">
      <selection activeCell="G37" sqref="A1:G37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2453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1567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1568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913</v>
      </c>
      <c r="F7" s="5"/>
      <c r="G7" s="5"/>
    </row>
    <row r="8" spans="1:7" ht="12" customHeight="1">
      <c r="A8" s="5"/>
      <c r="B8" s="5"/>
      <c r="C8" s="5"/>
      <c r="D8" s="5"/>
      <c r="E8" s="2474" t="s">
        <v>685</v>
      </c>
      <c r="F8" s="2474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65" customHeight="1">
      <c r="A10" s="5"/>
      <c r="B10" s="3" t="s">
        <v>1569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2474" t="s">
        <v>702</v>
      </c>
      <c r="F11" s="2474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" customHeight="1">
      <c r="A13" s="5"/>
      <c r="B13" s="2" t="s">
        <v>1482</v>
      </c>
      <c r="C13" s="5"/>
      <c r="D13" s="2" t="s">
        <v>1483</v>
      </c>
      <c r="E13" s="2" t="s">
        <v>1570</v>
      </c>
      <c r="F13" s="5"/>
      <c r="G13" s="5"/>
    </row>
    <row r="14" spans="1:7" ht="12" customHeight="1">
      <c r="A14" s="5"/>
      <c r="B14" s="5"/>
      <c r="C14" s="5"/>
      <c r="D14" s="5"/>
      <c r="E14" s="2474" t="s">
        <v>705</v>
      </c>
      <c r="F14" s="2474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2474" t="s">
        <v>707</v>
      </c>
      <c r="C16" s="2474"/>
      <c r="D16" s="2474"/>
      <c r="E16" s="2474"/>
      <c r="F16" s="2474"/>
      <c r="G16" s="5"/>
    </row>
    <row r="17" spans="1:7" ht="12" customHeight="1">
      <c r="A17" s="12" t="s">
        <v>708</v>
      </c>
      <c r="B17" s="2471" t="s">
        <v>709</v>
      </c>
      <c r="C17" s="2471"/>
      <c r="D17" s="2471"/>
      <c r="E17" s="2472" t="s">
        <v>710</v>
      </c>
      <c r="F17" s="2472"/>
      <c r="G17" s="5"/>
    </row>
    <row r="18" spans="1:7" ht="12" customHeight="1">
      <c r="A18" s="12" t="s">
        <v>711</v>
      </c>
      <c r="B18" s="2473" t="s">
        <v>712</v>
      </c>
      <c r="C18" s="2473"/>
      <c r="D18" s="2473"/>
      <c r="E18" s="2473"/>
      <c r="F18" s="2473"/>
      <c r="G18" s="5"/>
    </row>
    <row r="19" spans="1:7" ht="12" customHeight="1">
      <c r="A19" s="12"/>
      <c r="B19" s="26"/>
      <c r="C19" s="26"/>
      <c r="D19" s="26"/>
      <c r="E19" s="26"/>
      <c r="F19" s="26"/>
      <c r="G19" s="5"/>
    </row>
    <row r="20" spans="1:7" ht="12" customHeight="1">
      <c r="A20" s="50" t="s">
        <v>2454</v>
      </c>
      <c r="B20" s="26"/>
      <c r="C20" s="26"/>
      <c r="D20" s="26"/>
      <c r="E20" s="26"/>
      <c r="F20" s="26"/>
      <c r="G20" s="5"/>
    </row>
    <row r="21" spans="1:7" ht="12" customHeight="1">
      <c r="A21" s="12"/>
      <c r="B21" s="26"/>
      <c r="C21" s="26"/>
      <c r="D21" s="26"/>
      <c r="E21" s="26"/>
      <c r="F21" s="26"/>
      <c r="G21" s="5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1571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1572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807</v>
      </c>
      <c r="F26" s="5"/>
      <c r="G26" s="5"/>
    </row>
    <row r="27" spans="1:7" ht="12" customHeight="1">
      <c r="A27" s="5"/>
      <c r="B27" s="5"/>
      <c r="C27" s="5"/>
      <c r="D27" s="5"/>
      <c r="E27" s="2474" t="s">
        <v>685</v>
      </c>
      <c r="F27" s="2474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65" customHeight="1">
      <c r="A29" s="5"/>
      <c r="B29" s="3" t="s">
        <v>1573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2474" t="s">
        <v>702</v>
      </c>
      <c r="F30" s="2474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" customHeight="1">
      <c r="A32" s="5"/>
      <c r="B32" s="2" t="s">
        <v>1482</v>
      </c>
      <c r="C32" s="5"/>
      <c r="D32" s="2" t="s">
        <v>1483</v>
      </c>
      <c r="E32" s="2" t="s">
        <v>1574</v>
      </c>
      <c r="F32" s="5"/>
      <c r="G32" s="5"/>
    </row>
    <row r="33" spans="1:7" ht="12" customHeight="1">
      <c r="A33" s="5"/>
      <c r="B33" s="5"/>
      <c r="C33" s="5"/>
      <c r="D33" s="5"/>
      <c r="E33" s="2474" t="s">
        <v>705</v>
      </c>
      <c r="F33" s="2474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2474" t="s">
        <v>707</v>
      </c>
      <c r="C35" s="2474"/>
      <c r="D35" s="2474"/>
      <c r="E35" s="2474"/>
      <c r="F35" s="2474"/>
      <c r="G35" s="5"/>
    </row>
    <row r="36" spans="1:7" ht="12" customHeight="1">
      <c r="A36" s="12" t="s">
        <v>708</v>
      </c>
      <c r="B36" s="2471" t="s">
        <v>709</v>
      </c>
      <c r="C36" s="2471"/>
      <c r="D36" s="2471"/>
      <c r="E36" s="2472" t="s">
        <v>710</v>
      </c>
      <c r="F36" s="2472"/>
      <c r="G36" s="5"/>
    </row>
    <row r="37" spans="1:7" ht="12" customHeight="1">
      <c r="A37" s="12" t="s">
        <v>711</v>
      </c>
      <c r="B37" s="2473" t="s">
        <v>712</v>
      </c>
      <c r="C37" s="2473"/>
      <c r="D37" s="2473"/>
      <c r="E37" s="2473"/>
      <c r="F37" s="2473"/>
      <c r="G37" s="5"/>
    </row>
  </sheetData>
  <mergeCells count="14">
    <mergeCell ref="E8:F8"/>
    <mergeCell ref="E11:F11"/>
    <mergeCell ref="E14:F14"/>
    <mergeCell ref="B16:F16"/>
    <mergeCell ref="B17:D17"/>
    <mergeCell ref="E17:F17"/>
    <mergeCell ref="B36:D36"/>
    <mergeCell ref="E36:F36"/>
    <mergeCell ref="B37:F37"/>
    <mergeCell ref="B18:F18"/>
    <mergeCell ref="E27:F27"/>
    <mergeCell ref="E30:F30"/>
    <mergeCell ref="E33:F33"/>
    <mergeCell ref="B35:F35"/>
  </mergeCells>
  <pageMargins left="0.7" right="0.7" top="0.75" bottom="0.75" header="0.3" footer="0.3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168"/>
  <dimension ref="A1:G37"/>
  <sheetViews>
    <sheetView workbookViewId="0">
      <selection activeCell="G37" sqref="A1:G37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2455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1575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1576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933</v>
      </c>
      <c r="F7" s="5"/>
      <c r="G7" s="5"/>
    </row>
    <row r="8" spans="1:7" ht="12" customHeight="1">
      <c r="A8" s="5"/>
      <c r="B8" s="5"/>
      <c r="C8" s="5"/>
      <c r="D8" s="5"/>
      <c r="E8" s="2474" t="s">
        <v>685</v>
      </c>
      <c r="F8" s="2474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23.4" customHeight="1">
      <c r="A10" s="5"/>
      <c r="B10" s="2" t="s">
        <v>1577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2474" t="s">
        <v>702</v>
      </c>
      <c r="F11" s="2474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" customHeight="1">
      <c r="A13" s="5"/>
      <c r="B13" s="2" t="s">
        <v>1482</v>
      </c>
      <c r="C13" s="5"/>
      <c r="D13" s="2" t="s">
        <v>1483</v>
      </c>
      <c r="E13" s="2" t="s">
        <v>1578</v>
      </c>
      <c r="F13" s="5"/>
      <c r="G13" s="5"/>
    </row>
    <row r="14" spans="1:7" ht="12" customHeight="1">
      <c r="A14" s="5"/>
      <c r="B14" s="5"/>
      <c r="C14" s="5"/>
      <c r="D14" s="5"/>
      <c r="E14" s="2474" t="s">
        <v>705</v>
      </c>
      <c r="F14" s="2474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2474" t="s">
        <v>707</v>
      </c>
      <c r="C16" s="2474"/>
      <c r="D16" s="2474"/>
      <c r="E16" s="2474"/>
      <c r="F16" s="2474"/>
      <c r="G16" s="5"/>
    </row>
    <row r="17" spans="1:7" ht="12" customHeight="1">
      <c r="A17" s="12" t="s">
        <v>708</v>
      </c>
      <c r="B17" s="2471" t="s">
        <v>709</v>
      </c>
      <c r="C17" s="2471"/>
      <c r="D17" s="2471"/>
      <c r="E17" s="2472" t="s">
        <v>710</v>
      </c>
      <c r="F17" s="2472"/>
      <c r="G17" s="5"/>
    </row>
    <row r="18" spans="1:7" ht="12.15" customHeight="1">
      <c r="A18" s="12" t="s">
        <v>711</v>
      </c>
      <c r="B18" s="2473" t="s">
        <v>712</v>
      </c>
      <c r="C18" s="2473"/>
      <c r="D18" s="2473"/>
      <c r="E18" s="2473"/>
      <c r="F18" s="2473"/>
      <c r="G18" s="5"/>
    </row>
    <row r="19" spans="1:7" ht="12.15" customHeight="1">
      <c r="A19" s="12"/>
      <c r="B19" s="26"/>
      <c r="C19" s="26"/>
      <c r="D19" s="26"/>
      <c r="E19" s="26"/>
      <c r="F19" s="26"/>
      <c r="G19" s="5"/>
    </row>
    <row r="20" spans="1:7" ht="12.15" customHeight="1">
      <c r="A20" s="50" t="s">
        <v>2456</v>
      </c>
      <c r="B20" s="26"/>
      <c r="C20" s="26"/>
      <c r="D20" s="26"/>
      <c r="E20" s="26"/>
      <c r="F20" s="26"/>
      <c r="G20" s="5"/>
    </row>
    <row r="21" spans="1:7" ht="12.15" customHeight="1">
      <c r="A21" s="12"/>
      <c r="B21" s="26"/>
      <c r="C21" s="26"/>
      <c r="D21" s="26"/>
      <c r="E21" s="26"/>
      <c r="F21" s="26"/>
      <c r="G21" s="5"/>
    </row>
    <row r="22" spans="1:7" ht="34.950000000000003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1579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1580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1581</v>
      </c>
      <c r="F26" s="5"/>
      <c r="G26" s="5"/>
    </row>
    <row r="27" spans="1:7" ht="12" customHeight="1">
      <c r="A27" s="5"/>
      <c r="B27" s="5"/>
      <c r="C27" s="5"/>
      <c r="D27" s="5"/>
      <c r="E27" s="2474" t="s">
        <v>685</v>
      </c>
      <c r="F27" s="2474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23.4" customHeight="1">
      <c r="A29" s="5"/>
      <c r="B29" s="2" t="s">
        <v>1582</v>
      </c>
      <c r="C29" s="5"/>
      <c r="D29" s="12" t="s">
        <v>853</v>
      </c>
      <c r="E29" s="12" t="s">
        <v>719</v>
      </c>
      <c r="F29" s="5"/>
      <c r="G29" s="5"/>
    </row>
    <row r="30" spans="1:7" ht="12" customHeight="1">
      <c r="A30" s="5"/>
      <c r="B30" s="5"/>
      <c r="C30" s="5"/>
      <c r="D30" s="5"/>
      <c r="E30" s="2474" t="s">
        <v>702</v>
      </c>
      <c r="F30" s="2474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" customHeight="1">
      <c r="A32" s="5"/>
      <c r="B32" s="2" t="s">
        <v>1482</v>
      </c>
      <c r="C32" s="5"/>
      <c r="D32" s="2" t="s">
        <v>1483</v>
      </c>
      <c r="E32" s="2" t="s">
        <v>1583</v>
      </c>
      <c r="F32" s="5"/>
      <c r="G32" s="5"/>
    </row>
    <row r="33" spans="1:7" ht="12" customHeight="1">
      <c r="A33" s="5"/>
      <c r="B33" s="5"/>
      <c r="C33" s="5"/>
      <c r="D33" s="5"/>
      <c r="E33" s="2474" t="s">
        <v>705</v>
      </c>
      <c r="F33" s="2474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2474" t="s">
        <v>707</v>
      </c>
      <c r="C35" s="2474"/>
      <c r="D35" s="2474"/>
      <c r="E35" s="2474"/>
      <c r="F35" s="2474"/>
      <c r="G35" s="5"/>
    </row>
    <row r="36" spans="1:7" ht="12" customHeight="1">
      <c r="A36" s="12" t="s">
        <v>708</v>
      </c>
      <c r="B36" s="2471" t="s">
        <v>709</v>
      </c>
      <c r="C36" s="2471"/>
      <c r="D36" s="2471"/>
      <c r="E36" s="2472" t="s">
        <v>710</v>
      </c>
      <c r="F36" s="2472"/>
      <c r="G36" s="5"/>
    </row>
    <row r="37" spans="1:7" ht="12" customHeight="1">
      <c r="A37" s="12" t="s">
        <v>711</v>
      </c>
      <c r="B37" s="2473" t="s">
        <v>712</v>
      </c>
      <c r="C37" s="2473"/>
      <c r="D37" s="2473"/>
      <c r="E37" s="2473"/>
      <c r="F37" s="2473"/>
      <c r="G37" s="5"/>
    </row>
  </sheetData>
  <mergeCells count="14">
    <mergeCell ref="E8:F8"/>
    <mergeCell ref="E11:F11"/>
    <mergeCell ref="E14:F14"/>
    <mergeCell ref="B16:F16"/>
    <mergeCell ref="B17:D17"/>
    <mergeCell ref="E17:F17"/>
    <mergeCell ref="B36:D36"/>
    <mergeCell ref="E36:F36"/>
    <mergeCell ref="B37:F37"/>
    <mergeCell ref="B18:F18"/>
    <mergeCell ref="E27:F27"/>
    <mergeCell ref="E30:F30"/>
    <mergeCell ref="E33:F33"/>
    <mergeCell ref="B35:F35"/>
  </mergeCells>
  <pageMargins left="0.7" right="0.7" top="0.75" bottom="0.75" header="0.3" footer="0.3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169"/>
  <dimension ref="A1:G37"/>
  <sheetViews>
    <sheetView workbookViewId="0">
      <selection activeCell="G37" sqref="A1:G37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2457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1584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1585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1586</v>
      </c>
      <c r="F7" s="5"/>
      <c r="G7" s="5"/>
    </row>
    <row r="8" spans="1:7" ht="12" customHeight="1">
      <c r="A8" s="5"/>
      <c r="B8" s="5"/>
      <c r="C8" s="5"/>
      <c r="D8" s="5"/>
      <c r="E8" s="2474" t="s">
        <v>685</v>
      </c>
      <c r="F8" s="2474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23.4" customHeight="1">
      <c r="A10" s="5"/>
      <c r="B10" s="2" t="s">
        <v>1587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2474" t="s">
        <v>702</v>
      </c>
      <c r="F11" s="2474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" customHeight="1">
      <c r="A13" s="5"/>
      <c r="B13" s="2" t="s">
        <v>1482</v>
      </c>
      <c r="C13" s="5"/>
      <c r="D13" s="2" t="s">
        <v>1483</v>
      </c>
      <c r="E13" s="2" t="s">
        <v>1588</v>
      </c>
      <c r="F13" s="5"/>
      <c r="G13" s="5"/>
    </row>
    <row r="14" spans="1:7" ht="12" customHeight="1">
      <c r="A14" s="5"/>
      <c r="B14" s="5"/>
      <c r="C14" s="5"/>
      <c r="D14" s="5"/>
      <c r="E14" s="2474" t="s">
        <v>705</v>
      </c>
      <c r="F14" s="2474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2474" t="s">
        <v>707</v>
      </c>
      <c r="C16" s="2474"/>
      <c r="D16" s="2474"/>
      <c r="E16" s="2474"/>
      <c r="F16" s="2474"/>
      <c r="G16" s="5"/>
    </row>
    <row r="17" spans="1:7" ht="12" customHeight="1">
      <c r="A17" s="12" t="s">
        <v>708</v>
      </c>
      <c r="B17" s="2471" t="s">
        <v>709</v>
      </c>
      <c r="C17" s="2471"/>
      <c r="D17" s="2471"/>
      <c r="E17" s="2472" t="s">
        <v>710</v>
      </c>
      <c r="F17" s="2472"/>
      <c r="G17" s="5"/>
    </row>
    <row r="18" spans="1:7" ht="12.15" customHeight="1">
      <c r="A18" s="12" t="s">
        <v>711</v>
      </c>
      <c r="B18" s="2473" t="s">
        <v>712</v>
      </c>
      <c r="C18" s="2473"/>
      <c r="D18" s="2473"/>
      <c r="E18" s="2473"/>
      <c r="F18" s="2473"/>
      <c r="G18" s="5"/>
    </row>
    <row r="19" spans="1:7" ht="12.15" customHeight="1">
      <c r="A19" s="12"/>
      <c r="B19" s="26"/>
      <c r="C19" s="26"/>
      <c r="D19" s="26"/>
      <c r="E19" s="26"/>
      <c r="F19" s="26"/>
      <c r="G19" s="5"/>
    </row>
    <row r="20" spans="1:7" ht="12.15" customHeight="1">
      <c r="A20" s="50" t="s">
        <v>2458</v>
      </c>
      <c r="B20" s="26"/>
      <c r="C20" s="26"/>
      <c r="D20" s="26"/>
      <c r="E20" s="26"/>
      <c r="F20" s="26"/>
      <c r="G20" s="5"/>
    </row>
    <row r="21" spans="1:7" ht="12.15" customHeight="1">
      <c r="A21" s="12"/>
      <c r="B21" s="26"/>
      <c r="C21" s="26"/>
      <c r="D21" s="26"/>
      <c r="E21" s="26"/>
      <c r="F21" s="26"/>
      <c r="G21" s="5"/>
    </row>
    <row r="22" spans="1:7" ht="34.950000000000003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1589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1590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919</v>
      </c>
      <c r="F26" s="5"/>
      <c r="G26" s="5"/>
    </row>
    <row r="27" spans="1:7" ht="12" customHeight="1">
      <c r="A27" s="5"/>
      <c r="B27" s="5"/>
      <c r="C27" s="5"/>
      <c r="D27" s="5"/>
      <c r="E27" s="2474" t="s">
        <v>685</v>
      </c>
      <c r="F27" s="2474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95" customHeight="1">
      <c r="A29" s="5"/>
      <c r="B29" s="3" t="s">
        <v>1591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2474" t="s">
        <v>702</v>
      </c>
      <c r="F30" s="2474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" customHeight="1">
      <c r="A32" s="5"/>
      <c r="B32" s="2" t="s">
        <v>1482</v>
      </c>
      <c r="C32" s="5"/>
      <c r="D32" s="2" t="s">
        <v>1483</v>
      </c>
      <c r="E32" s="2" t="s">
        <v>1592</v>
      </c>
      <c r="F32" s="5"/>
      <c r="G32" s="5"/>
    </row>
    <row r="33" spans="1:7" ht="12" customHeight="1">
      <c r="A33" s="5"/>
      <c r="B33" s="5"/>
      <c r="C33" s="5"/>
      <c r="D33" s="5"/>
      <c r="E33" s="2474" t="s">
        <v>705</v>
      </c>
      <c r="F33" s="2474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2474" t="s">
        <v>707</v>
      </c>
      <c r="C35" s="2474"/>
      <c r="D35" s="2474"/>
      <c r="E35" s="2474"/>
      <c r="F35" s="2474"/>
      <c r="G35" s="5"/>
    </row>
    <row r="36" spans="1:7" ht="12" customHeight="1">
      <c r="A36" s="12" t="s">
        <v>708</v>
      </c>
      <c r="B36" s="2471" t="s">
        <v>709</v>
      </c>
      <c r="C36" s="2471"/>
      <c r="D36" s="2471"/>
      <c r="E36" s="2472" t="s">
        <v>710</v>
      </c>
      <c r="F36" s="2472"/>
      <c r="G36" s="5"/>
    </row>
    <row r="37" spans="1:7" ht="12.15" customHeight="1">
      <c r="A37" s="12" t="s">
        <v>711</v>
      </c>
      <c r="B37" s="2473" t="s">
        <v>712</v>
      </c>
      <c r="C37" s="2473"/>
      <c r="D37" s="2473"/>
      <c r="E37" s="2473"/>
      <c r="F37" s="2473"/>
      <c r="G37" s="5"/>
    </row>
  </sheetData>
  <mergeCells count="14">
    <mergeCell ref="E8:F8"/>
    <mergeCell ref="E11:F11"/>
    <mergeCell ref="E14:F14"/>
    <mergeCell ref="B16:F16"/>
    <mergeCell ref="B17:D17"/>
    <mergeCell ref="E17:F17"/>
    <mergeCell ref="B36:D36"/>
    <mergeCell ref="E36:F36"/>
    <mergeCell ref="B37:F37"/>
    <mergeCell ref="B18:F18"/>
    <mergeCell ref="E27:F27"/>
    <mergeCell ref="E30:F30"/>
    <mergeCell ref="E33:F33"/>
    <mergeCell ref="B35:F35"/>
  </mergeCells>
  <pageMargins left="0.7" right="0.7" top="0.75" bottom="0.75" header="0.3" footer="0.3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170"/>
  <dimension ref="A1:G37"/>
  <sheetViews>
    <sheetView workbookViewId="0">
      <selection activeCell="G37" sqref="A1:G37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2459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676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679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805</v>
      </c>
      <c r="F7" s="5"/>
      <c r="G7" s="5"/>
    </row>
    <row r="8" spans="1:7" ht="12" customHeight="1">
      <c r="A8" s="5"/>
      <c r="B8" s="5"/>
      <c r="C8" s="5"/>
      <c r="D8" s="5"/>
      <c r="E8" s="2474" t="s">
        <v>685</v>
      </c>
      <c r="F8" s="2474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65" customHeight="1">
      <c r="A10" s="5"/>
      <c r="B10" s="3" t="s">
        <v>1593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2474" t="s">
        <v>702</v>
      </c>
      <c r="F11" s="2474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" customHeight="1">
      <c r="A13" s="5"/>
      <c r="B13" s="2" t="s">
        <v>1482</v>
      </c>
      <c r="C13" s="5"/>
      <c r="D13" s="2" t="s">
        <v>1483</v>
      </c>
      <c r="E13" s="2" t="s">
        <v>1592</v>
      </c>
      <c r="F13" s="5"/>
      <c r="G13" s="5"/>
    </row>
    <row r="14" spans="1:7" ht="12" customHeight="1">
      <c r="A14" s="5"/>
      <c r="B14" s="5"/>
      <c r="C14" s="5"/>
      <c r="D14" s="5"/>
      <c r="E14" s="2474" t="s">
        <v>705</v>
      </c>
      <c r="F14" s="2474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2474" t="s">
        <v>707</v>
      </c>
      <c r="C16" s="2474"/>
      <c r="D16" s="2474"/>
      <c r="E16" s="2474"/>
      <c r="F16" s="2474"/>
      <c r="G16" s="5"/>
    </row>
    <row r="17" spans="1:7" ht="12" customHeight="1">
      <c r="A17" s="12" t="s">
        <v>708</v>
      </c>
      <c r="B17" s="2471" t="s">
        <v>709</v>
      </c>
      <c r="C17" s="2471"/>
      <c r="D17" s="2471"/>
      <c r="E17" s="2472" t="s">
        <v>710</v>
      </c>
      <c r="F17" s="2472"/>
      <c r="G17" s="5"/>
    </row>
    <row r="18" spans="1:7" ht="12" customHeight="1">
      <c r="A18" s="12" t="s">
        <v>711</v>
      </c>
      <c r="B18" s="2473" t="s">
        <v>712</v>
      </c>
      <c r="C18" s="2473"/>
      <c r="D18" s="2473"/>
      <c r="E18" s="2473"/>
      <c r="F18" s="2473"/>
      <c r="G18" s="5"/>
    </row>
    <row r="19" spans="1:7" ht="12" customHeight="1">
      <c r="A19" s="12"/>
      <c r="B19" s="26"/>
      <c r="C19" s="26"/>
      <c r="D19" s="26"/>
      <c r="E19" s="26"/>
      <c r="F19" s="26"/>
      <c r="G19" s="5"/>
    </row>
    <row r="20" spans="1:7" ht="12" customHeight="1">
      <c r="A20" s="50" t="s">
        <v>2460</v>
      </c>
      <c r="B20" s="26"/>
      <c r="C20" s="26"/>
      <c r="D20" s="26"/>
      <c r="E20" s="26"/>
      <c r="F20" s="26"/>
      <c r="G20" s="5"/>
    </row>
    <row r="21" spans="1:7" ht="12" customHeight="1">
      <c r="A21" s="12"/>
      <c r="B21" s="26"/>
      <c r="C21" s="26"/>
      <c r="D21" s="26"/>
      <c r="E21" s="26"/>
      <c r="F21" s="26"/>
      <c r="G21" s="5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1594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1595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795</v>
      </c>
      <c r="F26" s="5"/>
      <c r="G26" s="5"/>
    </row>
    <row r="27" spans="1:7" ht="12" customHeight="1">
      <c r="A27" s="5"/>
      <c r="B27" s="5"/>
      <c r="C27" s="5"/>
      <c r="D27" s="5"/>
      <c r="E27" s="2474" t="s">
        <v>685</v>
      </c>
      <c r="F27" s="2474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65" customHeight="1">
      <c r="A29" s="5"/>
      <c r="B29" s="3" t="s">
        <v>1596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2474" t="s">
        <v>702</v>
      </c>
      <c r="F30" s="2474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" customHeight="1">
      <c r="A32" s="5"/>
      <c r="B32" s="2" t="s">
        <v>1482</v>
      </c>
      <c r="C32" s="5"/>
      <c r="D32" s="2" t="s">
        <v>1483</v>
      </c>
      <c r="E32" s="2" t="s">
        <v>1592</v>
      </c>
      <c r="F32" s="5"/>
      <c r="G32" s="5"/>
    </row>
    <row r="33" spans="1:7" ht="12" customHeight="1">
      <c r="A33" s="5"/>
      <c r="B33" s="5"/>
      <c r="C33" s="5"/>
      <c r="D33" s="5"/>
      <c r="E33" s="2474" t="s">
        <v>705</v>
      </c>
      <c r="F33" s="2474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2474" t="s">
        <v>707</v>
      </c>
      <c r="C35" s="2474"/>
      <c r="D35" s="2474"/>
      <c r="E35" s="2474"/>
      <c r="F35" s="2474"/>
      <c r="G35" s="5"/>
    </row>
    <row r="36" spans="1:7" ht="12" customHeight="1">
      <c r="A36" s="12" t="s">
        <v>708</v>
      </c>
      <c r="B36" s="2471" t="s">
        <v>709</v>
      </c>
      <c r="C36" s="2471"/>
      <c r="D36" s="2471"/>
      <c r="E36" s="2472" t="s">
        <v>710</v>
      </c>
      <c r="F36" s="2472"/>
      <c r="G36" s="5"/>
    </row>
    <row r="37" spans="1:7" ht="12" customHeight="1">
      <c r="A37" s="12" t="s">
        <v>711</v>
      </c>
      <c r="B37" s="2473" t="s">
        <v>712</v>
      </c>
      <c r="C37" s="2473"/>
      <c r="D37" s="2473"/>
      <c r="E37" s="2473"/>
      <c r="F37" s="2473"/>
      <c r="G37" s="5"/>
    </row>
  </sheetData>
  <mergeCells count="14">
    <mergeCell ref="E8:F8"/>
    <mergeCell ref="E11:F11"/>
    <mergeCell ref="E14:F14"/>
    <mergeCell ref="B16:F16"/>
    <mergeCell ref="B17:D17"/>
    <mergeCell ref="E17:F17"/>
    <mergeCell ref="B36:D36"/>
    <mergeCell ref="E36:F36"/>
    <mergeCell ref="B37:F37"/>
    <mergeCell ref="B18:F18"/>
    <mergeCell ref="E27:F27"/>
    <mergeCell ref="E30:F30"/>
    <mergeCell ref="E33:F33"/>
    <mergeCell ref="B35:F35"/>
  </mergeCells>
  <pageMargins left="0.7" right="0.7" top="0.75" bottom="0.75" header="0.3" footer="0.3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171"/>
  <dimension ref="A1:G37"/>
  <sheetViews>
    <sheetView workbookViewId="0">
      <selection activeCell="G37" sqref="A1:G37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2461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1597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1598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1547</v>
      </c>
      <c r="F7" s="5"/>
      <c r="G7" s="5"/>
    </row>
    <row r="8" spans="1:7" ht="12" customHeight="1">
      <c r="A8" s="5"/>
      <c r="B8" s="5"/>
      <c r="C8" s="5"/>
      <c r="D8" s="5"/>
      <c r="E8" s="2474" t="s">
        <v>685</v>
      </c>
      <c r="F8" s="2474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65" customHeight="1">
      <c r="A10" s="5"/>
      <c r="B10" s="3" t="s">
        <v>1599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2474" t="s">
        <v>702</v>
      </c>
      <c r="F11" s="2474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" customHeight="1">
      <c r="A13" s="5"/>
      <c r="B13" s="2" t="s">
        <v>1482</v>
      </c>
      <c r="C13" s="5"/>
      <c r="D13" s="2" t="s">
        <v>1483</v>
      </c>
      <c r="E13" s="2" t="s">
        <v>1592</v>
      </c>
      <c r="F13" s="5"/>
      <c r="G13" s="5"/>
    </row>
    <row r="14" spans="1:7" ht="12" customHeight="1">
      <c r="A14" s="5"/>
      <c r="B14" s="5"/>
      <c r="C14" s="5"/>
      <c r="D14" s="5"/>
      <c r="E14" s="2474" t="s">
        <v>705</v>
      </c>
      <c r="F14" s="2474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2474" t="s">
        <v>707</v>
      </c>
      <c r="C16" s="2474"/>
      <c r="D16" s="2474"/>
      <c r="E16" s="2474"/>
      <c r="F16" s="2474"/>
      <c r="G16" s="5"/>
    </row>
    <row r="17" spans="1:7" ht="12" customHeight="1">
      <c r="A17" s="12" t="s">
        <v>708</v>
      </c>
      <c r="B17" s="2471" t="s">
        <v>709</v>
      </c>
      <c r="C17" s="2471"/>
      <c r="D17" s="2471"/>
      <c r="E17" s="2472" t="s">
        <v>710</v>
      </c>
      <c r="F17" s="2472"/>
      <c r="G17" s="5"/>
    </row>
    <row r="18" spans="1:7" ht="12" customHeight="1">
      <c r="A18" s="12" t="s">
        <v>711</v>
      </c>
      <c r="B18" s="2473" t="s">
        <v>712</v>
      </c>
      <c r="C18" s="2473"/>
      <c r="D18" s="2473"/>
      <c r="E18" s="2473"/>
      <c r="F18" s="2473"/>
      <c r="G18" s="5"/>
    </row>
    <row r="19" spans="1:7" ht="12" customHeight="1">
      <c r="A19" s="12"/>
      <c r="B19" s="26"/>
      <c r="C19" s="26"/>
      <c r="D19" s="26"/>
      <c r="E19" s="26"/>
      <c r="F19" s="26"/>
      <c r="G19" s="5"/>
    </row>
    <row r="20" spans="1:7" ht="12" customHeight="1">
      <c r="A20" s="50" t="s">
        <v>2462</v>
      </c>
      <c r="B20" s="26"/>
      <c r="C20" s="26"/>
      <c r="D20" s="26"/>
      <c r="E20" s="26"/>
      <c r="F20" s="26"/>
      <c r="G20" s="5"/>
    </row>
    <row r="21" spans="1:7" ht="12" customHeight="1">
      <c r="A21" s="12"/>
      <c r="B21" s="26"/>
      <c r="C21" s="26"/>
      <c r="D21" s="26"/>
      <c r="E21" s="26"/>
      <c r="F21" s="26"/>
      <c r="G21" s="5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1600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1601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735</v>
      </c>
      <c r="F26" s="5"/>
      <c r="G26" s="5"/>
    </row>
    <row r="27" spans="1:7" ht="12" customHeight="1">
      <c r="A27" s="5"/>
      <c r="B27" s="5"/>
      <c r="C27" s="5"/>
      <c r="D27" s="5"/>
      <c r="E27" s="2474" t="s">
        <v>685</v>
      </c>
      <c r="F27" s="2474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65" customHeight="1">
      <c r="A29" s="5"/>
      <c r="B29" s="3" t="s">
        <v>1602</v>
      </c>
      <c r="C29" s="5"/>
      <c r="D29" s="12" t="s">
        <v>853</v>
      </c>
      <c r="E29" s="12" t="s">
        <v>719</v>
      </c>
      <c r="F29" s="5"/>
      <c r="G29" s="5"/>
    </row>
    <row r="30" spans="1:7" ht="12" customHeight="1">
      <c r="A30" s="5"/>
      <c r="B30" s="5"/>
      <c r="C30" s="5"/>
      <c r="D30" s="5"/>
      <c r="E30" s="2474" t="s">
        <v>702</v>
      </c>
      <c r="F30" s="2474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" customHeight="1">
      <c r="A32" s="5"/>
      <c r="B32" s="2" t="s">
        <v>1482</v>
      </c>
      <c r="C32" s="5"/>
      <c r="D32" s="2" t="s">
        <v>1483</v>
      </c>
      <c r="E32" s="2" t="s">
        <v>1592</v>
      </c>
      <c r="F32" s="5"/>
      <c r="G32" s="5"/>
    </row>
    <row r="33" spans="1:7" ht="12" customHeight="1">
      <c r="A33" s="5"/>
      <c r="B33" s="5"/>
      <c r="C33" s="5"/>
      <c r="D33" s="5"/>
      <c r="E33" s="2474" t="s">
        <v>705</v>
      </c>
      <c r="F33" s="2474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2474" t="s">
        <v>707</v>
      </c>
      <c r="C35" s="2474"/>
      <c r="D35" s="2474"/>
      <c r="E35" s="2474"/>
      <c r="F35" s="2474"/>
      <c r="G35" s="5"/>
    </row>
    <row r="36" spans="1:7" ht="12" customHeight="1">
      <c r="A36" s="12" t="s">
        <v>708</v>
      </c>
      <c r="B36" s="2471" t="s">
        <v>709</v>
      </c>
      <c r="C36" s="2471"/>
      <c r="D36" s="2471"/>
      <c r="E36" s="2472" t="s">
        <v>710</v>
      </c>
      <c r="F36" s="2472"/>
      <c r="G36" s="5"/>
    </row>
    <row r="37" spans="1:7" ht="12" customHeight="1">
      <c r="A37" s="12" t="s">
        <v>711</v>
      </c>
      <c r="B37" s="2473" t="s">
        <v>712</v>
      </c>
      <c r="C37" s="2473"/>
      <c r="D37" s="2473"/>
      <c r="E37" s="2473"/>
      <c r="F37" s="2473"/>
      <c r="G37" s="5"/>
    </row>
  </sheetData>
  <mergeCells count="14">
    <mergeCell ref="E8:F8"/>
    <mergeCell ref="E11:F11"/>
    <mergeCell ref="E14:F14"/>
    <mergeCell ref="B16:F16"/>
    <mergeCell ref="B17:D17"/>
    <mergeCell ref="E17:F17"/>
    <mergeCell ref="B36:D36"/>
    <mergeCell ref="E36:F36"/>
    <mergeCell ref="B37:F37"/>
    <mergeCell ref="B18:F18"/>
    <mergeCell ref="E27:F27"/>
    <mergeCell ref="E30:F30"/>
    <mergeCell ref="E33:F33"/>
    <mergeCell ref="B35:F35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0"/>
  <dimension ref="A1:G42"/>
  <sheetViews>
    <sheetView workbookViewId="0">
      <selection activeCell="G42" sqref="A1:G42"/>
    </sheetView>
  </sheetViews>
  <sheetFormatPr defaultRowHeight="14.4"/>
  <cols>
    <col min="1" max="1" width="5.33203125" customWidth="1"/>
    <col min="2" max="2" width="20.6640625" customWidth="1"/>
    <col min="3" max="3" width="8.44140625" customWidth="1"/>
    <col min="4" max="4" width="11" customWidth="1"/>
    <col min="5" max="5" width="15.5546875" customWidth="1"/>
    <col min="6" max="6" width="14.109375" customWidth="1"/>
    <col min="7" max="7" width="16.5546875" customWidth="1"/>
  </cols>
  <sheetData>
    <row r="1" spans="1:7">
      <c r="A1" s="50" t="s">
        <v>2139</v>
      </c>
    </row>
    <row r="3" spans="1:7" ht="35.1" customHeight="1">
      <c r="A3" s="18" t="s">
        <v>1003</v>
      </c>
      <c r="B3" s="1" t="s">
        <v>1004</v>
      </c>
      <c r="C3" s="18" t="s">
        <v>1005</v>
      </c>
      <c r="D3" s="18" t="s">
        <v>1006</v>
      </c>
      <c r="E3" s="18" t="s">
        <v>1007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65" customHeight="1">
      <c r="A5" s="5"/>
      <c r="B5" s="3" t="s">
        <v>673</v>
      </c>
      <c r="C5" s="3" t="s">
        <v>674</v>
      </c>
      <c r="D5" s="12" t="s">
        <v>675</v>
      </c>
      <c r="E5" s="12" t="s">
        <v>746</v>
      </c>
      <c r="F5" s="5"/>
      <c r="G5" s="5"/>
    </row>
    <row r="6" spans="1:7" ht="13.95" customHeight="1">
      <c r="A6" s="5"/>
      <c r="B6" s="3" t="s">
        <v>855</v>
      </c>
      <c r="C6" s="3" t="s">
        <v>678</v>
      </c>
      <c r="D6" s="12" t="s">
        <v>675</v>
      </c>
      <c r="E6" s="12" t="s">
        <v>746</v>
      </c>
      <c r="F6" s="5"/>
      <c r="G6" s="5"/>
    </row>
    <row r="7" spans="1:7" ht="13.65" customHeight="1">
      <c r="A7" s="5"/>
      <c r="B7" s="3" t="s">
        <v>680</v>
      </c>
      <c r="C7" s="3" t="s">
        <v>681</v>
      </c>
      <c r="D7" s="12" t="s">
        <v>675</v>
      </c>
      <c r="E7" s="12" t="s">
        <v>794</v>
      </c>
      <c r="F7" s="5"/>
      <c r="G7" s="5"/>
    </row>
    <row r="8" spans="1:7" ht="13.65" customHeight="1">
      <c r="A8" s="5"/>
      <c r="B8" s="3" t="s">
        <v>683</v>
      </c>
      <c r="C8" s="3" t="s">
        <v>684</v>
      </c>
      <c r="D8" s="12" t="s">
        <v>675</v>
      </c>
      <c r="E8" s="12" t="s">
        <v>901</v>
      </c>
      <c r="F8" s="5"/>
      <c r="G8" s="5"/>
    </row>
    <row r="9" spans="1:7" ht="12" customHeight="1">
      <c r="A9" s="5"/>
      <c r="B9" s="5"/>
      <c r="C9" s="5"/>
      <c r="D9" s="5"/>
      <c r="E9" s="2474" t="s">
        <v>685</v>
      </c>
      <c r="F9" s="2474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23.85" customHeight="1">
      <c r="A11" s="5"/>
      <c r="B11" s="2" t="s">
        <v>1008</v>
      </c>
      <c r="C11" s="5"/>
      <c r="D11" s="12" t="s">
        <v>1009</v>
      </c>
      <c r="E11" s="12" t="s">
        <v>882</v>
      </c>
      <c r="F11" s="5"/>
      <c r="G11" s="5"/>
    </row>
    <row r="12" spans="1:7" ht="23.85" customHeight="1">
      <c r="A12" s="5"/>
      <c r="B12" s="2" t="s">
        <v>1010</v>
      </c>
      <c r="C12" s="5"/>
      <c r="D12" s="12" t="s">
        <v>1011</v>
      </c>
      <c r="E12" s="3" t="s">
        <v>1012</v>
      </c>
      <c r="F12" s="5"/>
      <c r="G12" s="5"/>
    </row>
    <row r="13" spans="1:7" ht="12" customHeight="1">
      <c r="A13" s="5"/>
      <c r="B13" s="5"/>
      <c r="C13" s="5"/>
      <c r="D13" s="5"/>
      <c r="E13" s="2474" t="s">
        <v>702</v>
      </c>
      <c r="F13" s="2474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2474" t="s">
        <v>705</v>
      </c>
      <c r="F16" s="2474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2474" t="s">
        <v>707</v>
      </c>
      <c r="C18" s="2474"/>
      <c r="D18" s="2474"/>
      <c r="E18" s="2474"/>
      <c r="F18" s="2474"/>
      <c r="G18" s="5"/>
    </row>
    <row r="19" spans="1:7" ht="12" customHeight="1">
      <c r="A19" s="3" t="s">
        <v>708</v>
      </c>
      <c r="B19" s="2471" t="s">
        <v>876</v>
      </c>
      <c r="C19" s="2471"/>
      <c r="D19" s="2471"/>
      <c r="E19" s="2472" t="s">
        <v>710</v>
      </c>
      <c r="F19" s="2472"/>
      <c r="G19" s="5"/>
    </row>
    <row r="20" spans="1:7" ht="12" customHeight="1">
      <c r="A20" s="3" t="s">
        <v>711</v>
      </c>
      <c r="B20" s="2473" t="s">
        <v>712</v>
      </c>
      <c r="C20" s="2473"/>
      <c r="D20" s="2473"/>
      <c r="E20" s="2473"/>
      <c r="F20" s="2473"/>
      <c r="G20" s="5"/>
    </row>
    <row r="21" spans="1:7" ht="12" customHeight="1">
      <c r="A21" s="3"/>
      <c r="B21" s="26"/>
      <c r="C21" s="26"/>
      <c r="D21" s="26"/>
      <c r="E21" s="26"/>
      <c r="F21" s="26"/>
      <c r="G21" s="5"/>
    </row>
    <row r="22" spans="1:7" ht="12" customHeight="1">
      <c r="A22" s="50" t="s">
        <v>2140</v>
      </c>
      <c r="B22" s="26"/>
      <c r="C22" s="26"/>
      <c r="D22" s="26"/>
      <c r="E22" s="26"/>
      <c r="F22" s="26"/>
      <c r="G22" s="5"/>
    </row>
    <row r="23" spans="1:7" ht="12" customHeight="1">
      <c r="A23" s="3"/>
      <c r="B23" s="26"/>
      <c r="C23" s="26"/>
      <c r="D23" s="26"/>
      <c r="E23" s="26"/>
      <c r="F23" s="26"/>
      <c r="G23" s="5"/>
    </row>
    <row r="24" spans="1:7" ht="35.1" customHeight="1">
      <c r="A24" s="18" t="s">
        <v>1003</v>
      </c>
      <c r="B24" s="1" t="s">
        <v>1004</v>
      </c>
      <c r="C24" s="18" t="s">
        <v>1005</v>
      </c>
      <c r="D24" s="18" t="s">
        <v>1006</v>
      </c>
      <c r="E24" s="18" t="s">
        <v>1007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23.85" customHeight="1">
      <c r="A26" s="5"/>
      <c r="B26" s="3" t="s">
        <v>673</v>
      </c>
      <c r="C26" s="3" t="s">
        <v>674</v>
      </c>
      <c r="D26" s="12" t="s">
        <v>675</v>
      </c>
      <c r="E26" s="12" t="s">
        <v>845</v>
      </c>
      <c r="F26" s="5"/>
      <c r="G26" s="5"/>
    </row>
    <row r="27" spans="1:7" ht="23.7" customHeight="1">
      <c r="A27" s="5"/>
      <c r="B27" s="3" t="s">
        <v>855</v>
      </c>
      <c r="C27" s="3" t="s">
        <v>678</v>
      </c>
      <c r="D27" s="12" t="s">
        <v>675</v>
      </c>
      <c r="E27" s="12" t="s">
        <v>845</v>
      </c>
      <c r="F27" s="5"/>
      <c r="G27" s="5"/>
    </row>
    <row r="28" spans="1:7" ht="23.85" customHeight="1">
      <c r="A28" s="5"/>
      <c r="B28" s="3" t="s">
        <v>680</v>
      </c>
      <c r="C28" s="3" t="s">
        <v>681</v>
      </c>
      <c r="D28" s="12" t="s">
        <v>675</v>
      </c>
      <c r="E28" s="12" t="s">
        <v>846</v>
      </c>
      <c r="F28" s="5"/>
      <c r="G28" s="5"/>
    </row>
    <row r="29" spans="1:7" ht="23.85" customHeight="1">
      <c r="A29" s="5"/>
      <c r="B29" s="3" t="s">
        <v>683</v>
      </c>
      <c r="C29" s="3" t="s">
        <v>684</v>
      </c>
      <c r="D29" s="12" t="s">
        <v>675</v>
      </c>
      <c r="E29" s="12" t="s">
        <v>865</v>
      </c>
      <c r="F29" s="5"/>
      <c r="G29" s="5"/>
    </row>
    <row r="30" spans="1:7" ht="12" customHeight="1">
      <c r="A30" s="5"/>
      <c r="B30" s="5"/>
      <c r="C30" s="5"/>
      <c r="D30" s="5"/>
      <c r="E30" s="2474" t="s">
        <v>685</v>
      </c>
      <c r="F30" s="2474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23.7" customHeight="1">
      <c r="A32" s="5"/>
      <c r="B32" s="2" t="s">
        <v>1008</v>
      </c>
      <c r="C32" s="5"/>
      <c r="D32" s="12" t="s">
        <v>1009</v>
      </c>
      <c r="E32" s="12" t="s">
        <v>867</v>
      </c>
      <c r="F32" s="5"/>
      <c r="G32" s="5"/>
    </row>
    <row r="33" spans="1:7" ht="23.85" customHeight="1">
      <c r="A33" s="5"/>
      <c r="B33" s="2" t="s">
        <v>1010</v>
      </c>
      <c r="C33" s="5"/>
      <c r="D33" s="12" t="s">
        <v>1011</v>
      </c>
      <c r="E33" s="3" t="s">
        <v>1012</v>
      </c>
      <c r="F33" s="5"/>
      <c r="G33" s="5"/>
    </row>
    <row r="34" spans="1:7" ht="23.85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5"/>
      <c r="B35" s="5"/>
      <c r="C35" s="5"/>
      <c r="D35" s="5"/>
      <c r="E35" s="2474" t="s">
        <v>702</v>
      </c>
      <c r="F35" s="2474"/>
      <c r="G35" s="5"/>
    </row>
    <row r="36" spans="1:7" ht="12" customHeight="1">
      <c r="A36" s="3" t="s">
        <v>703</v>
      </c>
      <c r="B36" s="3" t="s">
        <v>704</v>
      </c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2474" t="s">
        <v>705</v>
      </c>
      <c r="F38" s="2474"/>
      <c r="G38" s="5"/>
    </row>
    <row r="39" spans="1:7" ht="12" customHeight="1">
      <c r="A39" s="5"/>
      <c r="B39" s="5"/>
      <c r="C39" s="5"/>
      <c r="D39" s="5"/>
      <c r="E39" s="5"/>
      <c r="F39" s="5"/>
      <c r="G39" s="5"/>
    </row>
    <row r="40" spans="1:7" ht="12" customHeight="1">
      <c r="A40" s="3" t="s">
        <v>706</v>
      </c>
      <c r="B40" s="2474" t="s">
        <v>707</v>
      </c>
      <c r="C40" s="2474"/>
      <c r="D40" s="2474"/>
      <c r="E40" s="2474"/>
      <c r="F40" s="2474"/>
      <c r="G40" s="5"/>
    </row>
    <row r="41" spans="1:7" ht="12" customHeight="1">
      <c r="A41" s="3" t="s">
        <v>708</v>
      </c>
      <c r="B41" s="2471" t="s">
        <v>876</v>
      </c>
      <c r="C41" s="2471"/>
      <c r="D41" s="2471"/>
      <c r="E41" s="2472" t="s">
        <v>710</v>
      </c>
      <c r="F41" s="2472"/>
      <c r="G41" s="5"/>
    </row>
    <row r="42" spans="1:7" ht="12" customHeight="1">
      <c r="A42" s="3" t="s">
        <v>711</v>
      </c>
      <c r="B42" s="2473" t="s">
        <v>712</v>
      </c>
      <c r="C42" s="2473"/>
      <c r="D42" s="2473"/>
      <c r="E42" s="2473"/>
      <c r="F42" s="2473"/>
      <c r="G42" s="5"/>
    </row>
  </sheetData>
  <mergeCells count="14">
    <mergeCell ref="E9:F9"/>
    <mergeCell ref="E13:F13"/>
    <mergeCell ref="E16:F16"/>
    <mergeCell ref="B18:F18"/>
    <mergeCell ref="B19:D19"/>
    <mergeCell ref="E19:F19"/>
    <mergeCell ref="B41:D41"/>
    <mergeCell ref="E41:F41"/>
    <mergeCell ref="B42:F42"/>
    <mergeCell ref="B20:F20"/>
    <mergeCell ref="E30:F30"/>
    <mergeCell ref="E35:F35"/>
    <mergeCell ref="E38:F38"/>
    <mergeCell ref="B40:F40"/>
  </mergeCells>
  <pageMargins left="0.7" right="0.7" top="0.75" bottom="0.75" header="0.3" footer="0.3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172"/>
  <dimension ref="A1:G37"/>
  <sheetViews>
    <sheetView workbookViewId="0">
      <selection activeCell="G37" sqref="A1:G37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2463</v>
      </c>
    </row>
    <row r="3" spans="1:7" ht="35.1" customHeight="1">
      <c r="A3" s="61" t="s">
        <v>762</v>
      </c>
      <c r="B3" s="61" t="s">
        <v>763</v>
      </c>
      <c r="C3" s="61" t="s">
        <v>764</v>
      </c>
      <c r="D3" s="61" t="s">
        <v>765</v>
      </c>
      <c r="E3" s="61" t="s">
        <v>766</v>
      </c>
      <c r="F3" s="61" t="s">
        <v>767</v>
      </c>
      <c r="G3" s="61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1603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1604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1496</v>
      </c>
      <c r="F7" s="5"/>
      <c r="G7" s="5"/>
    </row>
    <row r="8" spans="1:7" ht="12" customHeight="1">
      <c r="A8" s="5"/>
      <c r="B8" s="5"/>
      <c r="C8" s="5"/>
      <c r="D8" s="5"/>
      <c r="E8" s="2474" t="s">
        <v>685</v>
      </c>
      <c r="F8" s="2474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65" customHeight="1">
      <c r="A10" s="5"/>
      <c r="B10" s="3" t="s">
        <v>1605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2474" t="s">
        <v>702</v>
      </c>
      <c r="F11" s="2474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" customHeight="1">
      <c r="A13" s="5"/>
      <c r="B13" s="2" t="s">
        <v>1482</v>
      </c>
      <c r="C13" s="5"/>
      <c r="D13" s="2" t="s">
        <v>1483</v>
      </c>
      <c r="E13" s="2" t="s">
        <v>1592</v>
      </c>
      <c r="F13" s="5"/>
      <c r="G13" s="5"/>
    </row>
    <row r="14" spans="1:7" ht="12" customHeight="1">
      <c r="A14" s="5"/>
      <c r="B14" s="5"/>
      <c r="C14" s="5"/>
      <c r="D14" s="5"/>
      <c r="E14" s="2474" t="s">
        <v>705</v>
      </c>
      <c r="F14" s="2474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2474" t="s">
        <v>707</v>
      </c>
      <c r="C16" s="2474"/>
      <c r="D16" s="2474"/>
      <c r="E16" s="2474"/>
      <c r="F16" s="2474"/>
      <c r="G16" s="5"/>
    </row>
    <row r="17" spans="1:7" ht="12" customHeight="1">
      <c r="A17" s="12" t="s">
        <v>708</v>
      </c>
      <c r="B17" s="2471" t="s">
        <v>709</v>
      </c>
      <c r="C17" s="2471"/>
      <c r="D17" s="2471"/>
      <c r="E17" s="2472" t="s">
        <v>710</v>
      </c>
      <c r="F17" s="2472"/>
      <c r="G17" s="5"/>
    </row>
    <row r="18" spans="1:7" ht="12" customHeight="1">
      <c r="A18" s="12" t="s">
        <v>711</v>
      </c>
      <c r="B18" s="2473" t="s">
        <v>712</v>
      </c>
      <c r="C18" s="2473"/>
      <c r="D18" s="2473"/>
      <c r="E18" s="2473"/>
      <c r="F18" s="2473"/>
      <c r="G18" s="5"/>
    </row>
    <row r="19" spans="1:7" ht="12" customHeight="1">
      <c r="A19" s="12"/>
      <c r="B19" s="26"/>
      <c r="C19" s="26"/>
      <c r="D19" s="26"/>
      <c r="E19" s="26"/>
      <c r="F19" s="26"/>
      <c r="G19" s="5"/>
    </row>
    <row r="20" spans="1:7" ht="12" customHeight="1">
      <c r="A20" s="50" t="s">
        <v>2464</v>
      </c>
      <c r="B20" s="26"/>
      <c r="C20" s="26"/>
      <c r="D20" s="26"/>
      <c r="E20" s="26"/>
      <c r="F20" s="26"/>
      <c r="G20" s="5"/>
    </row>
    <row r="21" spans="1:7" ht="12" customHeight="1">
      <c r="A21" s="12"/>
      <c r="B21" s="26"/>
      <c r="C21" s="26"/>
      <c r="D21" s="26"/>
      <c r="E21" s="26"/>
      <c r="F21" s="26"/>
      <c r="G21" s="5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1606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1516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1517</v>
      </c>
      <c r="F26" s="5"/>
      <c r="G26" s="5"/>
    </row>
    <row r="27" spans="1:7" ht="12" customHeight="1">
      <c r="A27" s="5"/>
      <c r="B27" s="5"/>
      <c r="C27" s="5"/>
      <c r="D27" s="5"/>
      <c r="E27" s="2474" t="s">
        <v>685</v>
      </c>
      <c r="F27" s="2474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65" customHeight="1">
      <c r="A29" s="5"/>
      <c r="B29" s="3" t="s">
        <v>1607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2474" t="s">
        <v>702</v>
      </c>
      <c r="F30" s="2474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" customHeight="1">
      <c r="A32" s="5"/>
      <c r="B32" s="2" t="s">
        <v>1482</v>
      </c>
      <c r="C32" s="5"/>
      <c r="D32" s="2" t="s">
        <v>1483</v>
      </c>
      <c r="E32" s="2" t="s">
        <v>1592</v>
      </c>
      <c r="F32" s="5"/>
      <c r="G32" s="5"/>
    </row>
    <row r="33" spans="1:7" ht="12" customHeight="1">
      <c r="A33" s="5"/>
      <c r="B33" s="5"/>
      <c r="C33" s="5"/>
      <c r="D33" s="5"/>
      <c r="E33" s="2474" t="s">
        <v>705</v>
      </c>
      <c r="F33" s="2474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2474" t="s">
        <v>707</v>
      </c>
      <c r="C35" s="2474"/>
      <c r="D35" s="2474"/>
      <c r="E35" s="2474"/>
      <c r="F35" s="2474"/>
      <c r="G35" s="5"/>
    </row>
    <row r="36" spans="1:7" ht="12" customHeight="1">
      <c r="A36" s="12" t="s">
        <v>708</v>
      </c>
      <c r="B36" s="2471" t="s">
        <v>709</v>
      </c>
      <c r="C36" s="2471"/>
      <c r="D36" s="2471"/>
      <c r="E36" s="2472" t="s">
        <v>710</v>
      </c>
      <c r="F36" s="2472"/>
      <c r="G36" s="5"/>
    </row>
    <row r="37" spans="1:7" ht="12" customHeight="1">
      <c r="A37" s="12" t="s">
        <v>711</v>
      </c>
      <c r="B37" s="2473" t="s">
        <v>712</v>
      </c>
      <c r="C37" s="2473"/>
      <c r="D37" s="2473"/>
      <c r="E37" s="2473"/>
      <c r="F37" s="2473"/>
      <c r="G37" s="5"/>
    </row>
  </sheetData>
  <mergeCells count="14">
    <mergeCell ref="E8:F8"/>
    <mergeCell ref="E11:F11"/>
    <mergeCell ref="E14:F14"/>
    <mergeCell ref="B16:F16"/>
    <mergeCell ref="B17:D17"/>
    <mergeCell ref="E17:F17"/>
    <mergeCell ref="B36:D36"/>
    <mergeCell ref="E36:F36"/>
    <mergeCell ref="B37:F37"/>
    <mergeCell ref="B18:F18"/>
    <mergeCell ref="E27:F27"/>
    <mergeCell ref="E30:F30"/>
    <mergeCell ref="E33:F33"/>
    <mergeCell ref="B35:F35"/>
  </mergeCells>
  <pageMargins left="0.7" right="0.7" top="0.75" bottom="0.75" header="0.3" footer="0.3"/>
  <pageSetup orientation="portrait" horizontalDpi="360" verticalDpi="360" r:id="rId1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173"/>
  <dimension ref="A1:G37"/>
  <sheetViews>
    <sheetView workbookViewId="0">
      <selection activeCell="G37" sqref="A1:G37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2465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1608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1609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1610</v>
      </c>
      <c r="F7" s="5"/>
      <c r="G7" s="5"/>
    </row>
    <row r="8" spans="1:7" ht="12" customHeight="1">
      <c r="A8" s="5"/>
      <c r="B8" s="5"/>
      <c r="C8" s="5"/>
      <c r="D8" s="5"/>
      <c r="E8" s="2474" t="s">
        <v>685</v>
      </c>
      <c r="F8" s="2474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65" customHeight="1">
      <c r="A10" s="5"/>
      <c r="B10" s="3" t="s">
        <v>1611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2474" t="s">
        <v>702</v>
      </c>
      <c r="F11" s="2474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" customHeight="1">
      <c r="A13" s="5"/>
      <c r="B13" s="2" t="s">
        <v>1482</v>
      </c>
      <c r="C13" s="5"/>
      <c r="D13" s="2" t="s">
        <v>1483</v>
      </c>
      <c r="E13" s="2" t="s">
        <v>1592</v>
      </c>
      <c r="F13" s="5"/>
      <c r="G13" s="5"/>
    </row>
    <row r="14" spans="1:7" ht="12" customHeight="1">
      <c r="A14" s="5"/>
      <c r="B14" s="5"/>
      <c r="C14" s="5"/>
      <c r="D14" s="5"/>
      <c r="E14" s="2474" t="s">
        <v>705</v>
      </c>
      <c r="F14" s="2474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2474" t="s">
        <v>707</v>
      </c>
      <c r="C16" s="2474"/>
      <c r="D16" s="2474"/>
      <c r="E16" s="2474"/>
      <c r="F16" s="2474"/>
      <c r="G16" s="5"/>
    </row>
    <row r="17" spans="1:7" ht="12" customHeight="1">
      <c r="A17" s="12" t="s">
        <v>708</v>
      </c>
      <c r="B17" s="2471" t="s">
        <v>709</v>
      </c>
      <c r="C17" s="2471"/>
      <c r="D17" s="2471"/>
      <c r="E17" s="2472" t="s">
        <v>710</v>
      </c>
      <c r="F17" s="2472"/>
      <c r="G17" s="5"/>
    </row>
    <row r="18" spans="1:7" ht="12" customHeight="1">
      <c r="A18" s="12" t="s">
        <v>711</v>
      </c>
      <c r="B18" s="2473" t="s">
        <v>712</v>
      </c>
      <c r="C18" s="2473"/>
      <c r="D18" s="2473"/>
      <c r="E18" s="2473"/>
      <c r="F18" s="2473"/>
      <c r="G18" s="5"/>
    </row>
    <row r="19" spans="1:7" ht="12" customHeight="1">
      <c r="A19" s="12"/>
      <c r="B19" s="26"/>
      <c r="C19" s="26"/>
      <c r="D19" s="26"/>
      <c r="E19" s="26"/>
      <c r="F19" s="26"/>
      <c r="G19" s="5"/>
    </row>
    <row r="20" spans="1:7" ht="12" customHeight="1">
      <c r="A20" s="50" t="s">
        <v>2466</v>
      </c>
      <c r="B20" s="26"/>
      <c r="C20" s="26"/>
      <c r="D20" s="26"/>
      <c r="E20" s="26"/>
      <c r="F20" s="26"/>
      <c r="G20" s="5"/>
    </row>
    <row r="21" spans="1:7" ht="12" customHeight="1">
      <c r="A21" s="12"/>
      <c r="B21" s="26"/>
      <c r="C21" s="26"/>
      <c r="D21" s="26"/>
      <c r="E21" s="26"/>
      <c r="F21" s="26"/>
      <c r="G21" s="5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1571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1612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807</v>
      </c>
      <c r="F26" s="5"/>
      <c r="G26" s="5"/>
    </row>
    <row r="27" spans="1:7" ht="12" customHeight="1">
      <c r="A27" s="5"/>
      <c r="B27" s="5"/>
      <c r="C27" s="5"/>
      <c r="D27" s="5"/>
      <c r="E27" s="2474" t="s">
        <v>685</v>
      </c>
      <c r="F27" s="2474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65" customHeight="1">
      <c r="A29" s="5"/>
      <c r="B29" s="3" t="s">
        <v>1613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2474" t="s">
        <v>702</v>
      </c>
      <c r="F30" s="2474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" customHeight="1">
      <c r="A32" s="5"/>
      <c r="B32" s="2" t="s">
        <v>1482</v>
      </c>
      <c r="C32" s="5"/>
      <c r="D32" s="2" t="s">
        <v>1483</v>
      </c>
      <c r="E32" s="2" t="s">
        <v>1592</v>
      </c>
      <c r="F32" s="5"/>
      <c r="G32" s="5"/>
    </row>
    <row r="33" spans="1:7" ht="12" customHeight="1">
      <c r="A33" s="5"/>
      <c r="B33" s="5"/>
      <c r="C33" s="5"/>
      <c r="D33" s="5"/>
      <c r="E33" s="2474" t="s">
        <v>705</v>
      </c>
      <c r="F33" s="2474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2474" t="s">
        <v>707</v>
      </c>
      <c r="C35" s="2474"/>
      <c r="D35" s="2474"/>
      <c r="E35" s="2474"/>
      <c r="F35" s="2474"/>
      <c r="G35" s="5"/>
    </row>
    <row r="36" spans="1:7" ht="12" customHeight="1">
      <c r="A36" s="12" t="s">
        <v>708</v>
      </c>
      <c r="B36" s="2471" t="s">
        <v>709</v>
      </c>
      <c r="C36" s="2471"/>
      <c r="D36" s="2471"/>
      <c r="E36" s="2472" t="s">
        <v>710</v>
      </c>
      <c r="F36" s="2472"/>
      <c r="G36" s="5"/>
    </row>
    <row r="37" spans="1:7" ht="12" customHeight="1">
      <c r="A37" s="12" t="s">
        <v>711</v>
      </c>
      <c r="B37" s="2473" t="s">
        <v>712</v>
      </c>
      <c r="C37" s="2473"/>
      <c r="D37" s="2473"/>
      <c r="E37" s="2473"/>
      <c r="F37" s="2473"/>
      <c r="G37" s="5"/>
    </row>
  </sheetData>
  <mergeCells count="14">
    <mergeCell ref="E8:F8"/>
    <mergeCell ref="E11:F11"/>
    <mergeCell ref="E14:F14"/>
    <mergeCell ref="B16:F16"/>
    <mergeCell ref="B17:D17"/>
    <mergeCell ref="E17:F17"/>
    <mergeCell ref="B36:D36"/>
    <mergeCell ref="E36:F36"/>
    <mergeCell ref="B37:F37"/>
    <mergeCell ref="B18:F18"/>
    <mergeCell ref="E27:F27"/>
    <mergeCell ref="E30:F30"/>
    <mergeCell ref="E33:F33"/>
    <mergeCell ref="B35:F35"/>
  </mergeCells>
  <pageMargins left="0.7" right="0.7" top="0.75" bottom="0.75" header="0.3" footer="0.3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174"/>
  <dimension ref="A1:G37"/>
  <sheetViews>
    <sheetView topLeftCell="A16" workbookViewId="0">
      <selection activeCell="H43" sqref="H43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2467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1614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1615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823</v>
      </c>
      <c r="F7" s="5"/>
      <c r="G7" s="5"/>
    </row>
    <row r="8" spans="1:7" ht="12" customHeight="1">
      <c r="A8" s="5"/>
      <c r="B8" s="5"/>
      <c r="C8" s="5"/>
      <c r="D8" s="5"/>
      <c r="E8" s="2474" t="s">
        <v>685</v>
      </c>
      <c r="F8" s="2474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65" customHeight="1">
      <c r="A10" s="5"/>
      <c r="B10" s="3" t="s">
        <v>1616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2474" t="s">
        <v>702</v>
      </c>
      <c r="F11" s="2474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" customHeight="1">
      <c r="A13" s="5"/>
      <c r="B13" s="2" t="s">
        <v>1482</v>
      </c>
      <c r="C13" s="5"/>
      <c r="D13" s="2" t="s">
        <v>1483</v>
      </c>
      <c r="E13" s="2" t="s">
        <v>1592</v>
      </c>
      <c r="F13" s="5"/>
      <c r="G13" s="5"/>
    </row>
    <row r="14" spans="1:7" ht="12" customHeight="1">
      <c r="A14" s="5"/>
      <c r="B14" s="5"/>
      <c r="C14" s="5"/>
      <c r="D14" s="5"/>
      <c r="E14" s="2474" t="s">
        <v>705</v>
      </c>
      <c r="F14" s="2474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2474" t="s">
        <v>707</v>
      </c>
      <c r="C16" s="2474"/>
      <c r="D16" s="2474"/>
      <c r="E16" s="2474"/>
      <c r="F16" s="2474"/>
      <c r="G16" s="5"/>
    </row>
    <row r="17" spans="1:7" ht="12" customHeight="1">
      <c r="A17" s="12" t="s">
        <v>708</v>
      </c>
      <c r="B17" s="2471" t="s">
        <v>709</v>
      </c>
      <c r="C17" s="2471"/>
      <c r="D17" s="2471"/>
      <c r="E17" s="2472" t="s">
        <v>710</v>
      </c>
      <c r="F17" s="2472"/>
      <c r="G17" s="5"/>
    </row>
    <row r="18" spans="1:7" ht="12" customHeight="1">
      <c r="A18" s="12" t="s">
        <v>711</v>
      </c>
      <c r="B18" s="2473" t="s">
        <v>712</v>
      </c>
      <c r="C18" s="2473"/>
      <c r="D18" s="2473"/>
      <c r="E18" s="2473"/>
      <c r="F18" s="2473"/>
      <c r="G18" s="5"/>
    </row>
    <row r="19" spans="1:7" ht="12" customHeight="1">
      <c r="A19" s="12"/>
      <c r="B19" s="26"/>
      <c r="C19" s="26"/>
      <c r="D19" s="26"/>
      <c r="E19" s="26"/>
      <c r="F19" s="26"/>
      <c r="G19" s="5"/>
    </row>
    <row r="20" spans="1:7" ht="12" customHeight="1">
      <c r="A20" s="50" t="s">
        <v>2468</v>
      </c>
      <c r="B20" s="26"/>
      <c r="C20" s="26"/>
      <c r="D20" s="26"/>
      <c r="E20" s="26"/>
      <c r="F20" s="26"/>
      <c r="G20" s="5"/>
    </row>
    <row r="21" spans="1:7" ht="12" customHeight="1">
      <c r="A21" s="12"/>
      <c r="B21" s="26"/>
      <c r="C21" s="26"/>
      <c r="D21" s="26"/>
      <c r="E21" s="26"/>
      <c r="F21" s="26"/>
      <c r="G21" s="5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1617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1618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1549</v>
      </c>
      <c r="F26" s="5"/>
      <c r="G26" s="5"/>
    </row>
    <row r="27" spans="1:7" ht="12" customHeight="1">
      <c r="A27" s="5"/>
      <c r="B27" s="5"/>
      <c r="C27" s="5"/>
      <c r="D27" s="5"/>
      <c r="E27" s="2474" t="s">
        <v>685</v>
      </c>
      <c r="F27" s="2474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65" customHeight="1">
      <c r="A29" s="5"/>
      <c r="B29" s="3" t="s">
        <v>1619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2474" t="s">
        <v>702</v>
      </c>
      <c r="F30" s="2474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" customHeight="1">
      <c r="A32" s="5"/>
      <c r="B32" s="2" t="s">
        <v>1482</v>
      </c>
      <c r="C32" s="5"/>
      <c r="D32" s="2" t="s">
        <v>1483</v>
      </c>
      <c r="E32" s="2" t="s">
        <v>1592</v>
      </c>
      <c r="F32" s="5"/>
      <c r="G32" s="5"/>
    </row>
    <row r="33" spans="1:7" ht="12" customHeight="1">
      <c r="A33" s="5"/>
      <c r="B33" s="5"/>
      <c r="C33" s="5"/>
      <c r="D33" s="5"/>
      <c r="E33" s="2474" t="s">
        <v>705</v>
      </c>
      <c r="F33" s="2474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2474" t="s">
        <v>707</v>
      </c>
      <c r="C35" s="2474"/>
      <c r="D35" s="2474"/>
      <c r="E35" s="2474"/>
      <c r="F35" s="2474"/>
      <c r="G35" s="5"/>
    </row>
    <row r="36" spans="1:7" ht="12" customHeight="1">
      <c r="A36" s="12" t="s">
        <v>708</v>
      </c>
      <c r="B36" s="2471" t="s">
        <v>709</v>
      </c>
      <c r="C36" s="2471"/>
      <c r="D36" s="2471"/>
      <c r="E36" s="2472" t="s">
        <v>710</v>
      </c>
      <c r="F36" s="2472"/>
      <c r="G36" s="5"/>
    </row>
    <row r="37" spans="1:7" ht="12" customHeight="1">
      <c r="A37" s="12" t="s">
        <v>711</v>
      </c>
      <c r="B37" s="2473" t="s">
        <v>712</v>
      </c>
      <c r="C37" s="2473"/>
      <c r="D37" s="2473"/>
      <c r="E37" s="2473"/>
      <c r="F37" s="2473"/>
      <c r="G37" s="5"/>
    </row>
  </sheetData>
  <mergeCells count="14">
    <mergeCell ref="E8:F8"/>
    <mergeCell ref="E11:F11"/>
    <mergeCell ref="E14:F14"/>
    <mergeCell ref="B16:F16"/>
    <mergeCell ref="B17:D17"/>
    <mergeCell ref="E17:F17"/>
    <mergeCell ref="B36:D36"/>
    <mergeCell ref="E36:F36"/>
    <mergeCell ref="B37:F37"/>
    <mergeCell ref="B18:F18"/>
    <mergeCell ref="E27:F27"/>
    <mergeCell ref="E30:F30"/>
    <mergeCell ref="E33:F33"/>
    <mergeCell ref="B35:F35"/>
  </mergeCells>
  <pageMargins left="0.7" right="0.7" top="0.75" bottom="0.75" header="0.3" footer="0.3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175"/>
  <dimension ref="A1:G37"/>
  <sheetViews>
    <sheetView topLeftCell="A13" workbookViewId="0">
      <selection activeCell="G37" sqref="A1:G37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5" t="s">
        <v>2469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1620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1621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1622</v>
      </c>
      <c r="F7" s="5"/>
      <c r="G7" s="5"/>
    </row>
    <row r="8" spans="1:7" ht="12" customHeight="1">
      <c r="A8" s="5"/>
      <c r="B8" s="5"/>
      <c r="C8" s="5"/>
      <c r="D8" s="5"/>
      <c r="E8" s="2474" t="s">
        <v>685</v>
      </c>
      <c r="F8" s="2474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65" customHeight="1">
      <c r="A10" s="5"/>
      <c r="B10" s="3" t="s">
        <v>1623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2474" t="s">
        <v>702</v>
      </c>
      <c r="F11" s="2474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" customHeight="1">
      <c r="A13" s="5"/>
      <c r="B13" s="2" t="s">
        <v>1482</v>
      </c>
      <c r="C13" s="5"/>
      <c r="D13" s="2" t="s">
        <v>1483</v>
      </c>
      <c r="E13" s="2" t="s">
        <v>1592</v>
      </c>
      <c r="F13" s="5"/>
      <c r="G13" s="5"/>
    </row>
    <row r="14" spans="1:7" ht="12" customHeight="1">
      <c r="A14" s="5"/>
      <c r="B14" s="5"/>
      <c r="C14" s="5"/>
      <c r="D14" s="5"/>
      <c r="E14" s="2474" t="s">
        <v>705</v>
      </c>
      <c r="F14" s="2474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2474" t="s">
        <v>707</v>
      </c>
      <c r="C16" s="2474"/>
      <c r="D16" s="2474"/>
      <c r="E16" s="2474"/>
      <c r="F16" s="2474"/>
      <c r="G16" s="5"/>
    </row>
    <row r="17" spans="1:7" ht="12" customHeight="1">
      <c r="A17" s="12" t="s">
        <v>708</v>
      </c>
      <c r="B17" s="2471" t="s">
        <v>709</v>
      </c>
      <c r="C17" s="2471"/>
      <c r="D17" s="2471"/>
      <c r="E17" s="2472" t="s">
        <v>710</v>
      </c>
      <c r="F17" s="2472"/>
      <c r="G17" s="5"/>
    </row>
    <row r="18" spans="1:7" ht="12" customHeight="1">
      <c r="A18" s="12" t="s">
        <v>711</v>
      </c>
      <c r="B18" s="2473" t="s">
        <v>712</v>
      </c>
      <c r="C18" s="2473"/>
      <c r="D18" s="2473"/>
      <c r="E18" s="2473"/>
      <c r="F18" s="2473"/>
      <c r="G18" s="5"/>
    </row>
    <row r="19" spans="1:7" ht="12" customHeight="1">
      <c r="A19" s="12"/>
      <c r="B19" s="26"/>
      <c r="C19" s="26"/>
      <c r="D19" s="26"/>
      <c r="E19" s="26"/>
      <c r="F19" s="26"/>
      <c r="G19" s="5"/>
    </row>
    <row r="20" spans="1:7" ht="12" customHeight="1">
      <c r="A20" s="50" t="s">
        <v>2470</v>
      </c>
      <c r="B20" s="26"/>
      <c r="C20" s="26"/>
      <c r="D20" s="26"/>
      <c r="E20" s="26"/>
      <c r="F20" s="26"/>
      <c r="G20" s="5"/>
    </row>
    <row r="21" spans="1:7" ht="12" customHeight="1">
      <c r="A21" s="12"/>
      <c r="B21" s="26"/>
      <c r="C21" s="26"/>
      <c r="D21" s="26"/>
      <c r="E21" s="26"/>
      <c r="F21" s="26"/>
      <c r="G21" s="5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1624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1625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873</v>
      </c>
      <c r="F26" s="5"/>
      <c r="G26" s="5"/>
    </row>
    <row r="27" spans="1:7" ht="12" customHeight="1">
      <c r="A27" s="5"/>
      <c r="B27" s="5"/>
      <c r="C27" s="5"/>
      <c r="D27" s="5"/>
      <c r="E27" s="2474" t="s">
        <v>685</v>
      </c>
      <c r="F27" s="2474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65" customHeight="1">
      <c r="A29" s="5"/>
      <c r="B29" s="3" t="s">
        <v>1626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2474" t="s">
        <v>702</v>
      </c>
      <c r="F30" s="2474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" customHeight="1">
      <c r="A32" s="5"/>
      <c r="B32" s="2" t="s">
        <v>1482</v>
      </c>
      <c r="C32" s="5"/>
      <c r="D32" s="2" t="s">
        <v>1483</v>
      </c>
      <c r="E32" s="2" t="s">
        <v>1592</v>
      </c>
      <c r="F32" s="5"/>
      <c r="G32" s="5"/>
    </row>
    <row r="33" spans="1:7" ht="12" customHeight="1">
      <c r="A33" s="5"/>
      <c r="B33" s="5"/>
      <c r="C33" s="5"/>
      <c r="D33" s="5"/>
      <c r="E33" s="2474" t="s">
        <v>705</v>
      </c>
      <c r="F33" s="2474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2474" t="s">
        <v>707</v>
      </c>
      <c r="C35" s="2474"/>
      <c r="D35" s="2474"/>
      <c r="E35" s="2474"/>
      <c r="F35" s="2474"/>
      <c r="G35" s="5"/>
    </row>
    <row r="36" spans="1:7" ht="12" customHeight="1">
      <c r="A36" s="12" t="s">
        <v>708</v>
      </c>
      <c r="B36" s="2471" t="s">
        <v>709</v>
      </c>
      <c r="C36" s="2471"/>
      <c r="D36" s="2471"/>
      <c r="E36" s="2472" t="s">
        <v>710</v>
      </c>
      <c r="F36" s="2472"/>
      <c r="G36" s="5"/>
    </row>
    <row r="37" spans="1:7" ht="12" customHeight="1">
      <c r="A37" s="12" t="s">
        <v>711</v>
      </c>
      <c r="B37" s="2473" t="s">
        <v>712</v>
      </c>
      <c r="C37" s="2473"/>
      <c r="D37" s="2473"/>
      <c r="E37" s="2473"/>
      <c r="F37" s="2473"/>
      <c r="G37" s="5"/>
    </row>
  </sheetData>
  <mergeCells count="14">
    <mergeCell ref="E8:F8"/>
    <mergeCell ref="E11:F11"/>
    <mergeCell ref="E14:F14"/>
    <mergeCell ref="B16:F16"/>
    <mergeCell ref="B17:D17"/>
    <mergeCell ref="E17:F17"/>
    <mergeCell ref="B36:D36"/>
    <mergeCell ref="E36:F36"/>
    <mergeCell ref="B37:F37"/>
    <mergeCell ref="B18:F18"/>
    <mergeCell ref="E27:F27"/>
    <mergeCell ref="E30:F30"/>
    <mergeCell ref="E33:F33"/>
    <mergeCell ref="B35:F35"/>
  </mergeCells>
  <pageMargins left="0.7" right="0.7" top="0.75" bottom="0.75" header="0.3" footer="0.3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176"/>
  <dimension ref="A1:G37"/>
  <sheetViews>
    <sheetView workbookViewId="0">
      <selection activeCell="G37" sqref="A1:G37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2471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1627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1628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1629</v>
      </c>
      <c r="F7" s="5"/>
      <c r="G7" s="5"/>
    </row>
    <row r="8" spans="1:7" ht="12" customHeight="1">
      <c r="A8" s="5"/>
      <c r="B8" s="5"/>
      <c r="C8" s="5"/>
      <c r="D8" s="5"/>
      <c r="E8" s="2474" t="s">
        <v>685</v>
      </c>
      <c r="F8" s="2474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65" customHeight="1">
      <c r="A10" s="5"/>
      <c r="B10" s="3" t="s">
        <v>1630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2474" t="s">
        <v>702</v>
      </c>
      <c r="F11" s="2474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" customHeight="1">
      <c r="A13" s="5"/>
      <c r="B13" s="2" t="s">
        <v>1482</v>
      </c>
      <c r="C13" s="5"/>
      <c r="D13" s="2" t="s">
        <v>1483</v>
      </c>
      <c r="E13" s="2" t="s">
        <v>1592</v>
      </c>
      <c r="F13" s="5"/>
      <c r="G13" s="5"/>
    </row>
    <row r="14" spans="1:7" ht="12" customHeight="1">
      <c r="A14" s="5"/>
      <c r="B14" s="5"/>
      <c r="C14" s="5"/>
      <c r="D14" s="5"/>
      <c r="E14" s="2474" t="s">
        <v>705</v>
      </c>
      <c r="F14" s="2474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2474" t="s">
        <v>707</v>
      </c>
      <c r="C16" s="2474"/>
      <c r="D16" s="2474"/>
      <c r="E16" s="2474"/>
      <c r="F16" s="2474"/>
      <c r="G16" s="5"/>
    </row>
    <row r="17" spans="1:7" ht="12" customHeight="1">
      <c r="A17" s="12" t="s">
        <v>708</v>
      </c>
      <c r="B17" s="2471" t="s">
        <v>709</v>
      </c>
      <c r="C17" s="2471"/>
      <c r="D17" s="2471"/>
      <c r="E17" s="2472" t="s">
        <v>710</v>
      </c>
      <c r="F17" s="2472"/>
      <c r="G17" s="5"/>
    </row>
    <row r="18" spans="1:7" ht="12" customHeight="1">
      <c r="A18" s="12" t="s">
        <v>711</v>
      </c>
      <c r="B18" s="2473" t="s">
        <v>712</v>
      </c>
      <c r="C18" s="2473"/>
      <c r="D18" s="2473"/>
      <c r="E18" s="2473"/>
      <c r="F18" s="2473"/>
      <c r="G18" s="5"/>
    </row>
    <row r="19" spans="1:7" ht="12" customHeight="1">
      <c r="A19" s="12"/>
      <c r="B19" s="26"/>
      <c r="C19" s="26"/>
      <c r="D19" s="26"/>
      <c r="E19" s="26"/>
      <c r="F19" s="26"/>
      <c r="G19" s="5"/>
    </row>
    <row r="20" spans="1:7" ht="12" customHeight="1">
      <c r="A20" s="50" t="s">
        <v>2472</v>
      </c>
      <c r="B20" s="26"/>
      <c r="C20" s="26"/>
      <c r="D20" s="26"/>
      <c r="E20" s="26"/>
      <c r="F20" s="26"/>
      <c r="G20" s="5"/>
    </row>
    <row r="21" spans="1:7" ht="12" customHeight="1">
      <c r="A21" s="12"/>
      <c r="B21" s="26"/>
      <c r="C21" s="26"/>
      <c r="D21" s="26"/>
      <c r="E21" s="26"/>
      <c r="F21" s="26"/>
      <c r="G21" s="5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885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886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884</v>
      </c>
      <c r="F26" s="5"/>
      <c r="G26" s="5"/>
    </row>
    <row r="27" spans="1:7" ht="12" customHeight="1">
      <c r="A27" s="5"/>
      <c r="B27" s="5"/>
      <c r="C27" s="5"/>
      <c r="D27" s="5"/>
      <c r="E27" s="2474" t="s">
        <v>685</v>
      </c>
      <c r="F27" s="2474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65" customHeight="1">
      <c r="A29" s="5"/>
      <c r="B29" s="3" t="s">
        <v>1631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2474" t="s">
        <v>702</v>
      </c>
      <c r="F30" s="2474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" customHeight="1">
      <c r="A32" s="5"/>
      <c r="B32" s="2" t="s">
        <v>1482</v>
      </c>
      <c r="C32" s="5"/>
      <c r="D32" s="2" t="s">
        <v>1483</v>
      </c>
      <c r="E32" s="2" t="s">
        <v>1592</v>
      </c>
      <c r="F32" s="5"/>
      <c r="G32" s="5"/>
    </row>
    <row r="33" spans="1:7" ht="12" customHeight="1">
      <c r="A33" s="5"/>
      <c r="B33" s="5"/>
      <c r="C33" s="5"/>
      <c r="D33" s="5"/>
      <c r="E33" s="2474" t="s">
        <v>705</v>
      </c>
      <c r="F33" s="2474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2474" t="s">
        <v>707</v>
      </c>
      <c r="C35" s="2474"/>
      <c r="D35" s="2474"/>
      <c r="E35" s="2474"/>
      <c r="F35" s="2474"/>
      <c r="G35" s="5"/>
    </row>
    <row r="36" spans="1:7" ht="12" customHeight="1">
      <c r="A36" s="12" t="s">
        <v>708</v>
      </c>
      <c r="B36" s="2471" t="s">
        <v>709</v>
      </c>
      <c r="C36" s="2471"/>
      <c r="D36" s="2471"/>
      <c r="E36" s="2472" t="s">
        <v>710</v>
      </c>
      <c r="F36" s="2472"/>
      <c r="G36" s="5"/>
    </row>
    <row r="37" spans="1:7" ht="12" customHeight="1">
      <c r="A37" s="12" t="s">
        <v>711</v>
      </c>
      <c r="B37" s="2473" t="s">
        <v>712</v>
      </c>
      <c r="C37" s="2473"/>
      <c r="D37" s="2473"/>
      <c r="E37" s="2473"/>
      <c r="F37" s="2473"/>
      <c r="G37" s="5"/>
    </row>
  </sheetData>
  <mergeCells count="14">
    <mergeCell ref="E8:F8"/>
    <mergeCell ref="E11:F11"/>
    <mergeCell ref="E14:F14"/>
    <mergeCell ref="B16:F16"/>
    <mergeCell ref="B17:D17"/>
    <mergeCell ref="E17:F17"/>
    <mergeCell ref="B36:D36"/>
    <mergeCell ref="E36:F36"/>
    <mergeCell ref="B37:F37"/>
    <mergeCell ref="B18:F18"/>
    <mergeCell ref="E27:F27"/>
    <mergeCell ref="E30:F30"/>
    <mergeCell ref="E33:F33"/>
    <mergeCell ref="B35:F35"/>
  </mergeCells>
  <pageMargins left="0.7" right="0.7" top="0.75" bottom="0.75" header="0.3" footer="0.3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177"/>
  <dimension ref="A1:G37"/>
  <sheetViews>
    <sheetView workbookViewId="0">
      <selection activeCell="G37" sqref="A1:G37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2473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1632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1633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1634</v>
      </c>
      <c r="F7" s="5"/>
      <c r="G7" s="5"/>
    </row>
    <row r="8" spans="1:7" ht="12" customHeight="1">
      <c r="A8" s="5"/>
      <c r="B8" s="5"/>
      <c r="C8" s="5"/>
      <c r="D8" s="5"/>
      <c r="E8" s="2474" t="s">
        <v>685</v>
      </c>
      <c r="F8" s="2474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65" customHeight="1">
      <c r="A10" s="5"/>
      <c r="B10" s="3" t="s">
        <v>1635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2474" t="s">
        <v>702</v>
      </c>
      <c r="F11" s="2474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" customHeight="1">
      <c r="A13" s="5"/>
      <c r="B13" s="2" t="s">
        <v>1482</v>
      </c>
      <c r="C13" s="5"/>
      <c r="D13" s="2" t="s">
        <v>1483</v>
      </c>
      <c r="E13" s="2" t="s">
        <v>1592</v>
      </c>
      <c r="F13" s="5"/>
      <c r="G13" s="5"/>
    </row>
    <row r="14" spans="1:7" ht="12" customHeight="1">
      <c r="A14" s="5"/>
      <c r="B14" s="5"/>
      <c r="C14" s="5"/>
      <c r="D14" s="5"/>
      <c r="E14" s="2474" t="s">
        <v>705</v>
      </c>
      <c r="F14" s="2474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2474" t="s">
        <v>707</v>
      </c>
      <c r="C16" s="2474"/>
      <c r="D16" s="2474"/>
      <c r="E16" s="2474"/>
      <c r="F16" s="2474"/>
      <c r="G16" s="5"/>
    </row>
    <row r="17" spans="1:7" ht="12" customHeight="1">
      <c r="A17" s="12" t="s">
        <v>708</v>
      </c>
      <c r="B17" s="2471" t="s">
        <v>709</v>
      </c>
      <c r="C17" s="2471"/>
      <c r="D17" s="2471"/>
      <c r="E17" s="2472" t="s">
        <v>710</v>
      </c>
      <c r="F17" s="2472"/>
      <c r="G17" s="5"/>
    </row>
    <row r="18" spans="1:7" ht="12" customHeight="1">
      <c r="A18" s="12" t="s">
        <v>711</v>
      </c>
      <c r="B18" s="2473" t="s">
        <v>712</v>
      </c>
      <c r="C18" s="2473"/>
      <c r="D18" s="2473"/>
      <c r="E18" s="2473"/>
      <c r="F18" s="2473"/>
      <c r="G18" s="5"/>
    </row>
    <row r="19" spans="1:7" ht="12" customHeight="1">
      <c r="A19" s="12"/>
      <c r="B19" s="26"/>
      <c r="C19" s="26"/>
      <c r="D19" s="26"/>
      <c r="E19" s="26"/>
      <c r="F19" s="26"/>
      <c r="G19" s="5"/>
    </row>
    <row r="20" spans="1:7" ht="12" customHeight="1">
      <c r="A20" s="50" t="s">
        <v>2474</v>
      </c>
      <c r="B20" s="26"/>
      <c r="C20" s="26"/>
      <c r="D20" s="26"/>
      <c r="E20" s="26"/>
      <c r="F20" s="26"/>
      <c r="G20" s="5"/>
    </row>
    <row r="21" spans="1:7" ht="12" customHeight="1">
      <c r="A21" s="12"/>
      <c r="B21" s="26"/>
      <c r="C21" s="26"/>
      <c r="D21" s="26"/>
      <c r="E21" s="26"/>
      <c r="F21" s="26"/>
      <c r="G21" s="5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1636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1637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1031</v>
      </c>
      <c r="F26" s="5"/>
      <c r="G26" s="5"/>
    </row>
    <row r="27" spans="1:7" ht="12" customHeight="1">
      <c r="A27" s="5"/>
      <c r="B27" s="5"/>
      <c r="C27" s="5"/>
      <c r="D27" s="5"/>
      <c r="E27" s="2474" t="s">
        <v>685</v>
      </c>
      <c r="F27" s="2474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65" customHeight="1">
      <c r="A29" s="5"/>
      <c r="B29" s="3" t="s">
        <v>1638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2474" t="s">
        <v>702</v>
      </c>
      <c r="F30" s="2474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" customHeight="1">
      <c r="A32" s="5"/>
      <c r="B32" s="2" t="s">
        <v>1482</v>
      </c>
      <c r="C32" s="5"/>
      <c r="D32" s="2" t="s">
        <v>1483</v>
      </c>
      <c r="E32" s="2" t="s">
        <v>1639</v>
      </c>
      <c r="F32" s="5"/>
      <c r="G32" s="5"/>
    </row>
    <row r="33" spans="1:7" ht="12" customHeight="1">
      <c r="A33" s="5"/>
      <c r="B33" s="5"/>
      <c r="C33" s="5"/>
      <c r="D33" s="5"/>
      <c r="E33" s="2474" t="s">
        <v>705</v>
      </c>
      <c r="F33" s="2474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2474" t="s">
        <v>707</v>
      </c>
      <c r="C35" s="2474"/>
      <c r="D35" s="2474"/>
      <c r="E35" s="2474"/>
      <c r="F35" s="2474"/>
      <c r="G35" s="5"/>
    </row>
    <row r="36" spans="1:7" ht="12" customHeight="1">
      <c r="A36" s="12" t="s">
        <v>708</v>
      </c>
      <c r="B36" s="2471" t="s">
        <v>709</v>
      </c>
      <c r="C36" s="2471"/>
      <c r="D36" s="2471"/>
      <c r="E36" s="2472" t="s">
        <v>710</v>
      </c>
      <c r="F36" s="2472"/>
      <c r="G36" s="5"/>
    </row>
    <row r="37" spans="1:7" ht="12" customHeight="1">
      <c r="A37" s="12" t="s">
        <v>711</v>
      </c>
      <c r="B37" s="2473" t="s">
        <v>712</v>
      </c>
      <c r="C37" s="2473"/>
      <c r="D37" s="2473"/>
      <c r="E37" s="2473"/>
      <c r="F37" s="2473"/>
      <c r="G37" s="5"/>
    </row>
  </sheetData>
  <mergeCells count="14">
    <mergeCell ref="E8:F8"/>
    <mergeCell ref="E11:F11"/>
    <mergeCell ref="E14:F14"/>
    <mergeCell ref="B16:F16"/>
    <mergeCell ref="B17:D17"/>
    <mergeCell ref="E17:F17"/>
    <mergeCell ref="B36:D36"/>
    <mergeCell ref="E36:F36"/>
    <mergeCell ref="B37:F37"/>
    <mergeCell ref="B18:F18"/>
    <mergeCell ref="E27:F27"/>
    <mergeCell ref="E30:F30"/>
    <mergeCell ref="E33:F33"/>
    <mergeCell ref="B35:F35"/>
  </mergeCells>
  <pageMargins left="0.7" right="0.7" top="0.75" bottom="0.75" header="0.3" footer="0.3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Sheet178"/>
  <dimension ref="A1:G37"/>
  <sheetViews>
    <sheetView workbookViewId="0">
      <selection activeCell="G37" sqref="A1:G37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2475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1640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1641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1642</v>
      </c>
      <c r="F7" s="5"/>
      <c r="G7" s="5"/>
    </row>
    <row r="8" spans="1:7" ht="12" customHeight="1">
      <c r="A8" s="5"/>
      <c r="B8" s="5"/>
      <c r="C8" s="5"/>
      <c r="D8" s="5"/>
      <c r="E8" s="2474" t="s">
        <v>685</v>
      </c>
      <c r="F8" s="2474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65" customHeight="1">
      <c r="A10" s="5"/>
      <c r="B10" s="3" t="s">
        <v>1643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2474" t="s">
        <v>702</v>
      </c>
      <c r="F11" s="2474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" customHeight="1">
      <c r="A13" s="5"/>
      <c r="B13" s="2" t="s">
        <v>1482</v>
      </c>
      <c r="C13" s="5"/>
      <c r="D13" s="2" t="s">
        <v>1483</v>
      </c>
      <c r="E13" s="2" t="s">
        <v>1639</v>
      </c>
      <c r="F13" s="5"/>
      <c r="G13" s="5"/>
    </row>
    <row r="14" spans="1:7" ht="12" customHeight="1">
      <c r="A14" s="5"/>
      <c r="B14" s="5"/>
      <c r="C14" s="5"/>
      <c r="D14" s="5"/>
      <c r="E14" s="2474" t="s">
        <v>705</v>
      </c>
      <c r="F14" s="2474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2474" t="s">
        <v>707</v>
      </c>
      <c r="C16" s="2474"/>
      <c r="D16" s="2474"/>
      <c r="E16" s="2474"/>
      <c r="F16" s="2474"/>
      <c r="G16" s="5"/>
    </row>
    <row r="17" spans="1:7" ht="12" customHeight="1">
      <c r="A17" s="12" t="s">
        <v>708</v>
      </c>
      <c r="B17" s="2471" t="s">
        <v>709</v>
      </c>
      <c r="C17" s="2471"/>
      <c r="D17" s="2471"/>
      <c r="E17" s="2472" t="s">
        <v>710</v>
      </c>
      <c r="F17" s="2472"/>
      <c r="G17" s="5"/>
    </row>
    <row r="18" spans="1:7" ht="12" customHeight="1">
      <c r="A18" s="12" t="s">
        <v>711</v>
      </c>
      <c r="B18" s="2473" t="s">
        <v>712</v>
      </c>
      <c r="C18" s="2473"/>
      <c r="D18" s="2473"/>
      <c r="E18" s="2473"/>
      <c r="F18" s="2473"/>
      <c r="G18" s="5"/>
    </row>
    <row r="19" spans="1:7" ht="12" customHeight="1">
      <c r="A19" s="12"/>
      <c r="B19" s="26"/>
      <c r="C19" s="26"/>
      <c r="D19" s="26"/>
      <c r="E19" s="26"/>
      <c r="F19" s="26"/>
      <c r="G19" s="5"/>
    </row>
    <row r="20" spans="1:7" ht="12" customHeight="1">
      <c r="A20" s="50" t="s">
        <v>2476</v>
      </c>
      <c r="B20" s="26"/>
      <c r="C20" s="26"/>
      <c r="D20" s="26"/>
      <c r="E20" s="26"/>
      <c r="F20" s="26"/>
      <c r="G20" s="5"/>
    </row>
    <row r="21" spans="1:7" ht="12" customHeight="1">
      <c r="A21" s="12"/>
      <c r="B21" s="26"/>
      <c r="C21" s="26"/>
      <c r="D21" s="26"/>
      <c r="E21" s="26"/>
      <c r="F21" s="26"/>
      <c r="G21" s="5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1644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1645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924</v>
      </c>
      <c r="F26" s="5"/>
      <c r="G26" s="5"/>
    </row>
    <row r="27" spans="1:7" ht="12" customHeight="1">
      <c r="A27" s="5"/>
      <c r="B27" s="5"/>
      <c r="C27" s="5"/>
      <c r="D27" s="5"/>
      <c r="E27" s="2474" t="s">
        <v>685</v>
      </c>
      <c r="F27" s="2474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65" customHeight="1">
      <c r="A29" s="5"/>
      <c r="B29" s="3" t="s">
        <v>1646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2474" t="s">
        <v>702</v>
      </c>
      <c r="F30" s="2474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" customHeight="1">
      <c r="A32" s="5"/>
      <c r="B32" s="2" t="s">
        <v>1482</v>
      </c>
      <c r="C32" s="5"/>
      <c r="D32" s="2" t="s">
        <v>1483</v>
      </c>
      <c r="E32" s="2" t="s">
        <v>1639</v>
      </c>
      <c r="F32" s="5"/>
      <c r="G32" s="5"/>
    </row>
    <row r="33" spans="1:7" ht="12" customHeight="1">
      <c r="A33" s="5"/>
      <c r="B33" s="5"/>
      <c r="C33" s="5"/>
      <c r="D33" s="5"/>
      <c r="E33" s="2474" t="s">
        <v>705</v>
      </c>
      <c r="F33" s="2474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2474" t="s">
        <v>707</v>
      </c>
      <c r="C35" s="2474"/>
      <c r="D35" s="2474"/>
      <c r="E35" s="2474"/>
      <c r="F35" s="2474"/>
      <c r="G35" s="5"/>
    </row>
    <row r="36" spans="1:7" ht="12" customHeight="1">
      <c r="A36" s="12" t="s">
        <v>708</v>
      </c>
      <c r="B36" s="2471" t="s">
        <v>709</v>
      </c>
      <c r="C36" s="2471"/>
      <c r="D36" s="2471"/>
      <c r="E36" s="2472" t="s">
        <v>710</v>
      </c>
      <c r="F36" s="2472"/>
      <c r="G36" s="5"/>
    </row>
    <row r="37" spans="1:7" ht="12" customHeight="1">
      <c r="A37" s="12" t="s">
        <v>711</v>
      </c>
      <c r="B37" s="2473" t="s">
        <v>712</v>
      </c>
      <c r="C37" s="2473"/>
      <c r="D37" s="2473"/>
      <c r="E37" s="2473"/>
      <c r="F37" s="2473"/>
      <c r="G37" s="5"/>
    </row>
  </sheetData>
  <mergeCells count="14">
    <mergeCell ref="E8:F8"/>
    <mergeCell ref="E11:F11"/>
    <mergeCell ref="E14:F14"/>
    <mergeCell ref="B16:F16"/>
    <mergeCell ref="B17:D17"/>
    <mergeCell ref="E17:F17"/>
    <mergeCell ref="B36:D36"/>
    <mergeCell ref="E36:F36"/>
    <mergeCell ref="B37:F37"/>
    <mergeCell ref="B18:F18"/>
    <mergeCell ref="E27:F27"/>
    <mergeCell ref="E30:F30"/>
    <mergeCell ref="E33:F33"/>
    <mergeCell ref="B35:F35"/>
  </mergeCells>
  <pageMargins left="0.7" right="0.7" top="0.75" bottom="0.75" header="0.3" footer="0.3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Sheet179"/>
  <dimension ref="A1:G37"/>
  <sheetViews>
    <sheetView workbookViewId="0">
      <selection activeCell="G37" sqref="A1:G37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2477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1647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1648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829</v>
      </c>
      <c r="F7" s="5"/>
      <c r="G7" s="5"/>
    </row>
    <row r="8" spans="1:7" ht="12" customHeight="1">
      <c r="A8" s="5"/>
      <c r="B8" s="5"/>
      <c r="C8" s="5"/>
      <c r="D8" s="5"/>
      <c r="E8" s="2474" t="s">
        <v>685</v>
      </c>
      <c r="F8" s="2474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65" customHeight="1">
      <c r="A10" s="5"/>
      <c r="B10" s="3" t="s">
        <v>1649</v>
      </c>
      <c r="C10" s="5"/>
      <c r="D10" s="12" t="s">
        <v>1452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2474" t="s">
        <v>702</v>
      </c>
      <c r="F11" s="2474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" customHeight="1">
      <c r="A13" s="5"/>
      <c r="B13" s="2" t="s">
        <v>1482</v>
      </c>
      <c r="C13" s="5"/>
      <c r="D13" s="2" t="s">
        <v>1483</v>
      </c>
      <c r="E13" s="2" t="s">
        <v>1639</v>
      </c>
      <c r="F13" s="5"/>
      <c r="G13" s="5"/>
    </row>
    <row r="14" spans="1:7" ht="12" customHeight="1">
      <c r="A14" s="5"/>
      <c r="B14" s="5"/>
      <c r="C14" s="5"/>
      <c r="D14" s="5"/>
      <c r="E14" s="2474" t="s">
        <v>705</v>
      </c>
      <c r="F14" s="2474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2474" t="s">
        <v>707</v>
      </c>
      <c r="C16" s="2474"/>
      <c r="D16" s="2474"/>
      <c r="E16" s="2474"/>
      <c r="F16" s="2474"/>
      <c r="G16" s="5"/>
    </row>
    <row r="17" spans="1:7" ht="12" customHeight="1">
      <c r="A17" s="12" t="s">
        <v>708</v>
      </c>
      <c r="B17" s="2471" t="s">
        <v>709</v>
      </c>
      <c r="C17" s="2471"/>
      <c r="D17" s="2471"/>
      <c r="E17" s="2472" t="s">
        <v>710</v>
      </c>
      <c r="F17" s="2472"/>
      <c r="G17" s="5"/>
    </row>
    <row r="18" spans="1:7" ht="12" customHeight="1">
      <c r="A18" s="12" t="s">
        <v>711</v>
      </c>
      <c r="B18" s="2473" t="s">
        <v>712</v>
      </c>
      <c r="C18" s="2473"/>
      <c r="D18" s="2473"/>
      <c r="E18" s="2473"/>
      <c r="F18" s="2473"/>
      <c r="G18" s="5"/>
    </row>
    <row r="19" spans="1:7" ht="12" customHeight="1">
      <c r="A19" s="12"/>
      <c r="B19" s="26"/>
      <c r="C19" s="26"/>
      <c r="D19" s="26"/>
      <c r="E19" s="26"/>
      <c r="F19" s="26"/>
      <c r="G19" s="5"/>
    </row>
    <row r="20" spans="1:7" ht="12" customHeight="1">
      <c r="A20" s="50" t="s">
        <v>2478</v>
      </c>
      <c r="B20" s="26"/>
      <c r="C20" s="26"/>
      <c r="D20" s="26"/>
      <c r="E20" s="26"/>
      <c r="F20" s="26"/>
      <c r="G20" s="5"/>
    </row>
    <row r="21" spans="1:7" ht="12" customHeight="1">
      <c r="A21" s="12"/>
      <c r="B21" s="26"/>
      <c r="C21" s="26"/>
      <c r="D21" s="26"/>
      <c r="E21" s="26"/>
      <c r="F21" s="26"/>
      <c r="G21" s="5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1650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1530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1496</v>
      </c>
      <c r="F26" s="5"/>
      <c r="G26" s="5"/>
    </row>
    <row r="27" spans="1:7" ht="12" customHeight="1">
      <c r="A27" s="5"/>
      <c r="B27" s="5"/>
      <c r="C27" s="5"/>
      <c r="D27" s="5"/>
      <c r="E27" s="2474" t="s">
        <v>685</v>
      </c>
      <c r="F27" s="2474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65" customHeight="1">
      <c r="A29" s="5"/>
      <c r="B29" s="3" t="s">
        <v>1651</v>
      </c>
      <c r="C29" s="5"/>
      <c r="D29" s="12" t="s">
        <v>1452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2474" t="s">
        <v>702</v>
      </c>
      <c r="F30" s="2474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" customHeight="1">
      <c r="A32" s="5"/>
      <c r="B32" s="2" t="s">
        <v>1482</v>
      </c>
      <c r="C32" s="5"/>
      <c r="D32" s="2" t="s">
        <v>1483</v>
      </c>
      <c r="E32" s="2" t="s">
        <v>1652</v>
      </c>
      <c r="F32" s="5"/>
      <c r="G32" s="5"/>
    </row>
    <row r="33" spans="1:7" ht="12" customHeight="1">
      <c r="A33" s="5"/>
      <c r="B33" s="5"/>
      <c r="C33" s="5"/>
      <c r="D33" s="5"/>
      <c r="E33" s="2474" t="s">
        <v>705</v>
      </c>
      <c r="F33" s="2474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2474" t="s">
        <v>707</v>
      </c>
      <c r="C35" s="2474"/>
      <c r="D35" s="2474"/>
      <c r="E35" s="2474"/>
      <c r="F35" s="2474"/>
      <c r="G35" s="5"/>
    </row>
    <row r="36" spans="1:7" ht="12" customHeight="1">
      <c r="A36" s="12" t="s">
        <v>708</v>
      </c>
      <c r="B36" s="2471" t="s">
        <v>709</v>
      </c>
      <c r="C36" s="2471"/>
      <c r="D36" s="2471"/>
      <c r="E36" s="2472" t="s">
        <v>710</v>
      </c>
      <c r="F36" s="2472"/>
      <c r="G36" s="5"/>
    </row>
    <row r="37" spans="1:7" ht="12" customHeight="1">
      <c r="A37" s="12" t="s">
        <v>711</v>
      </c>
      <c r="B37" s="2473" t="s">
        <v>712</v>
      </c>
      <c r="C37" s="2473"/>
      <c r="D37" s="2473"/>
      <c r="E37" s="2473"/>
      <c r="F37" s="2473"/>
      <c r="G37" s="5"/>
    </row>
  </sheetData>
  <mergeCells count="14">
    <mergeCell ref="E8:F8"/>
    <mergeCell ref="E11:F11"/>
    <mergeCell ref="E14:F14"/>
    <mergeCell ref="B16:F16"/>
    <mergeCell ref="B17:D17"/>
    <mergeCell ref="E17:F17"/>
    <mergeCell ref="B36:D36"/>
    <mergeCell ref="E36:F36"/>
    <mergeCell ref="B37:F37"/>
    <mergeCell ref="B18:F18"/>
    <mergeCell ref="E27:F27"/>
    <mergeCell ref="E30:F30"/>
    <mergeCell ref="E33:F33"/>
    <mergeCell ref="B35:F35"/>
  </mergeCells>
  <pageMargins left="0.7" right="0.7" top="0.75" bottom="0.75" header="0.3" footer="0.3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Sheet180"/>
  <dimension ref="A1:J39"/>
  <sheetViews>
    <sheetView topLeftCell="A25" workbookViewId="0">
      <selection sqref="A1:J39"/>
    </sheetView>
  </sheetViews>
  <sheetFormatPr defaultRowHeight="14.4"/>
  <cols>
    <col min="1" max="1" width="5.33203125" customWidth="1"/>
    <col min="2" max="2" width="22.33203125" customWidth="1"/>
    <col min="3" max="3" width="12.5546875" customWidth="1"/>
    <col min="4" max="4" width="7" customWidth="1"/>
    <col min="5" max="5" width="11" customWidth="1"/>
    <col min="6" max="6" width="0" hidden="1" customWidth="1"/>
    <col min="7" max="7" width="14.88671875" customWidth="1"/>
    <col min="8" max="8" width="14.33203125" customWidth="1"/>
    <col min="9" max="9" width="0" hidden="1" customWidth="1"/>
    <col min="10" max="10" width="16.6640625" customWidth="1"/>
  </cols>
  <sheetData>
    <row r="1" spans="1:10">
      <c r="A1" s="50" t="s">
        <v>2479</v>
      </c>
    </row>
    <row r="3" spans="1:10" ht="35.1" customHeight="1">
      <c r="A3" s="6" t="s">
        <v>762</v>
      </c>
      <c r="B3" s="2486" t="s">
        <v>763</v>
      </c>
      <c r="C3" s="2486"/>
      <c r="D3" s="6" t="s">
        <v>764</v>
      </c>
      <c r="E3" s="2486" t="s">
        <v>765</v>
      </c>
      <c r="F3" s="2486"/>
      <c r="G3" s="6" t="s">
        <v>766</v>
      </c>
      <c r="H3" s="7" t="s">
        <v>767</v>
      </c>
      <c r="I3" s="2487" t="s">
        <v>768</v>
      </c>
      <c r="J3" s="2487"/>
    </row>
    <row r="4" spans="1:10" ht="12" customHeight="1">
      <c r="A4" s="12" t="s">
        <v>671</v>
      </c>
      <c r="B4" s="2472" t="s">
        <v>672</v>
      </c>
      <c r="C4" s="2472"/>
      <c r="D4" s="5"/>
      <c r="E4" s="2485"/>
      <c r="F4" s="2485"/>
      <c r="G4" s="5"/>
      <c r="H4" s="5"/>
      <c r="I4" s="2485"/>
      <c r="J4" s="2485"/>
    </row>
    <row r="5" spans="1:10" ht="12" customHeight="1">
      <c r="A5" s="5"/>
      <c r="B5" s="2472" t="s">
        <v>673</v>
      </c>
      <c r="C5" s="2472"/>
      <c r="D5" s="3" t="s">
        <v>674</v>
      </c>
      <c r="E5" s="2489" t="s">
        <v>675</v>
      </c>
      <c r="F5" s="2489"/>
      <c r="G5" s="3" t="s">
        <v>1653</v>
      </c>
      <c r="H5" s="5"/>
      <c r="I5" s="2485"/>
      <c r="J5" s="2485"/>
    </row>
    <row r="6" spans="1:10" ht="12" customHeight="1">
      <c r="A6" s="5"/>
      <c r="B6" s="2472" t="s">
        <v>1480</v>
      </c>
      <c r="C6" s="2472"/>
      <c r="D6" s="3" t="s">
        <v>678</v>
      </c>
      <c r="E6" s="2489" t="s">
        <v>675</v>
      </c>
      <c r="F6" s="2489"/>
      <c r="G6" s="3" t="s">
        <v>1654</v>
      </c>
      <c r="H6" s="5"/>
      <c r="I6" s="2485"/>
      <c r="J6" s="2485"/>
    </row>
    <row r="7" spans="1:10" ht="12" customHeight="1">
      <c r="A7" s="5"/>
      <c r="B7" s="2472" t="s">
        <v>683</v>
      </c>
      <c r="C7" s="2472"/>
      <c r="D7" s="3" t="s">
        <v>684</v>
      </c>
      <c r="E7" s="2489" t="s">
        <v>675</v>
      </c>
      <c r="F7" s="2489"/>
      <c r="G7" s="3" t="s">
        <v>1655</v>
      </c>
      <c r="H7" s="5"/>
      <c r="I7" s="2485"/>
      <c r="J7" s="2485"/>
    </row>
    <row r="8" spans="1:10" ht="12" customHeight="1">
      <c r="A8" s="5"/>
      <c r="B8" s="2485"/>
      <c r="C8" s="2485"/>
      <c r="D8" s="5"/>
      <c r="E8" s="2485"/>
      <c r="F8" s="2485"/>
      <c r="G8" s="2474" t="s">
        <v>685</v>
      </c>
      <c r="H8" s="2474"/>
      <c r="I8" s="2485"/>
      <c r="J8" s="2485"/>
    </row>
    <row r="9" spans="1:10" ht="12" customHeight="1">
      <c r="A9" s="12" t="s">
        <v>686</v>
      </c>
      <c r="B9" s="2472" t="s">
        <v>687</v>
      </c>
      <c r="C9" s="2472"/>
      <c r="D9" s="5"/>
      <c r="E9" s="2485"/>
      <c r="F9" s="2485"/>
      <c r="G9" s="5"/>
      <c r="H9" s="5"/>
      <c r="I9" s="2485"/>
      <c r="J9" s="2485"/>
    </row>
    <row r="10" spans="1:10" ht="13.65" customHeight="1">
      <c r="A10" s="5"/>
      <c r="B10" s="2472" t="s">
        <v>1656</v>
      </c>
      <c r="C10" s="2472"/>
      <c r="D10" s="5"/>
      <c r="E10" s="2489" t="s">
        <v>853</v>
      </c>
      <c r="F10" s="2489"/>
      <c r="G10" s="3" t="s">
        <v>775</v>
      </c>
      <c r="H10" s="5"/>
      <c r="I10" s="2485"/>
      <c r="J10" s="2485"/>
    </row>
    <row r="11" spans="1:10" ht="12" customHeight="1">
      <c r="A11" s="5"/>
      <c r="B11" s="2485"/>
      <c r="C11" s="2485"/>
      <c r="D11" s="5"/>
      <c r="E11" s="2485"/>
      <c r="F11" s="2485"/>
      <c r="G11" s="2474" t="s">
        <v>702</v>
      </c>
      <c r="H11" s="2474"/>
      <c r="I11" s="2485"/>
      <c r="J11" s="2485"/>
    </row>
    <row r="12" spans="1:10" ht="12" customHeight="1">
      <c r="A12" s="12" t="s">
        <v>703</v>
      </c>
      <c r="B12" s="2472" t="s">
        <v>704</v>
      </c>
      <c r="C12" s="2472"/>
      <c r="D12" s="5"/>
      <c r="E12" s="2485"/>
      <c r="F12" s="2485"/>
      <c r="G12" s="5"/>
      <c r="H12" s="5"/>
      <c r="I12" s="2485"/>
      <c r="J12" s="2485"/>
    </row>
    <row r="13" spans="1:10" ht="23.4" customHeight="1">
      <c r="A13" s="5"/>
      <c r="B13" s="2488" t="s">
        <v>1482</v>
      </c>
      <c r="C13" s="2488"/>
      <c r="D13" s="5"/>
      <c r="E13" s="2488" t="s">
        <v>1483</v>
      </c>
      <c r="F13" s="2488"/>
      <c r="G13" s="2" t="s">
        <v>1657</v>
      </c>
      <c r="H13" s="5"/>
      <c r="I13" s="2485"/>
      <c r="J13" s="2485"/>
    </row>
    <row r="14" spans="1:10" ht="12" customHeight="1">
      <c r="A14" s="5"/>
      <c r="B14" s="2485"/>
      <c r="C14" s="2485"/>
      <c r="D14" s="5"/>
      <c r="E14" s="2485"/>
      <c r="F14" s="2485"/>
      <c r="G14" s="2474" t="s">
        <v>705</v>
      </c>
      <c r="H14" s="2474"/>
      <c r="I14" s="2485"/>
      <c r="J14" s="2485"/>
    </row>
    <row r="15" spans="1:10" ht="12" customHeight="1">
      <c r="A15" s="5"/>
      <c r="B15" s="2485"/>
      <c r="C15" s="2485"/>
      <c r="D15" s="5"/>
      <c r="E15" s="2485"/>
      <c r="F15" s="2485"/>
      <c r="G15" s="5"/>
      <c r="H15" s="5"/>
      <c r="I15" s="2485"/>
      <c r="J15" s="2485"/>
    </row>
    <row r="16" spans="1:10" ht="12" customHeight="1">
      <c r="A16" s="12" t="s">
        <v>706</v>
      </c>
      <c r="B16" s="2474" t="s">
        <v>707</v>
      </c>
      <c r="C16" s="2474"/>
      <c r="D16" s="2474"/>
      <c r="E16" s="2474"/>
      <c r="F16" s="2474"/>
      <c r="G16" s="2474"/>
      <c r="H16" s="2474"/>
      <c r="I16" s="2485"/>
      <c r="J16" s="2485"/>
    </row>
    <row r="17" spans="1:10" ht="12" customHeight="1">
      <c r="A17" s="12" t="s">
        <v>708</v>
      </c>
      <c r="B17" s="2471" t="s">
        <v>709</v>
      </c>
      <c r="C17" s="2471"/>
      <c r="D17" s="2471"/>
      <c r="E17" s="2471"/>
      <c r="F17" s="2471"/>
      <c r="G17" s="2472" t="s">
        <v>710</v>
      </c>
      <c r="H17" s="2472"/>
      <c r="I17" s="2485"/>
      <c r="J17" s="2485"/>
    </row>
    <row r="18" spans="1:10" ht="12" customHeight="1">
      <c r="A18" s="12" t="s">
        <v>711</v>
      </c>
      <c r="B18" s="2473" t="s">
        <v>712</v>
      </c>
      <c r="C18" s="2473"/>
      <c r="D18" s="2473"/>
      <c r="E18" s="2473"/>
      <c r="F18" s="2473"/>
      <c r="G18" s="2473"/>
      <c r="H18" s="2473"/>
      <c r="I18" s="2485"/>
      <c r="J18" s="2485"/>
    </row>
    <row r="19" spans="1:10" ht="12" customHeight="1">
      <c r="A19" s="12"/>
      <c r="B19" s="26"/>
      <c r="C19" s="26"/>
      <c r="D19" s="26"/>
      <c r="E19" s="26"/>
      <c r="F19" s="26"/>
      <c r="G19" s="26"/>
      <c r="H19" s="26"/>
      <c r="I19" s="5"/>
      <c r="J19" s="5"/>
    </row>
    <row r="20" spans="1:10" ht="12" customHeight="1">
      <c r="A20" s="55" t="s">
        <v>2480</v>
      </c>
      <c r="B20" s="26"/>
      <c r="C20" s="26"/>
      <c r="D20" s="26"/>
      <c r="E20" s="26"/>
      <c r="F20" s="26"/>
      <c r="G20" s="26"/>
      <c r="H20" s="26"/>
      <c r="I20" s="5"/>
      <c r="J20" s="5"/>
    </row>
    <row r="21" spans="1:10" ht="12" customHeight="1">
      <c r="A21" s="12"/>
      <c r="B21" s="26"/>
      <c r="C21" s="26"/>
      <c r="D21" s="26"/>
      <c r="E21" s="26"/>
      <c r="F21" s="26"/>
      <c r="G21" s="26"/>
      <c r="H21" s="26"/>
      <c r="I21" s="5"/>
      <c r="J21" s="5"/>
    </row>
    <row r="22" spans="1:10" ht="35.1" customHeight="1">
      <c r="A22" s="6" t="s">
        <v>762</v>
      </c>
      <c r="B22" s="6" t="s">
        <v>763</v>
      </c>
      <c r="C22" s="2486" t="s">
        <v>764</v>
      </c>
      <c r="D22" s="2486"/>
      <c r="E22" s="6" t="s">
        <v>765</v>
      </c>
      <c r="F22" s="2486" t="s">
        <v>766</v>
      </c>
      <c r="G22" s="2486"/>
      <c r="H22" s="2487" t="s">
        <v>767</v>
      </c>
      <c r="I22" s="2487"/>
      <c r="J22" s="7" t="s">
        <v>768</v>
      </c>
    </row>
    <row r="23" spans="1:10" ht="12" customHeight="1">
      <c r="A23" s="12" t="s">
        <v>671</v>
      </c>
      <c r="B23" s="3" t="s">
        <v>672</v>
      </c>
      <c r="C23" s="2485"/>
      <c r="D23" s="2485"/>
      <c r="E23" s="5"/>
      <c r="F23" s="2485"/>
      <c r="G23" s="2485"/>
      <c r="H23" s="2485"/>
      <c r="I23" s="2485"/>
      <c r="J23" s="5"/>
    </row>
    <row r="24" spans="1:10" ht="12" customHeight="1">
      <c r="A24" s="5"/>
      <c r="B24" s="3" t="s">
        <v>673</v>
      </c>
      <c r="C24" s="2472" t="s">
        <v>674</v>
      </c>
      <c r="D24" s="2472"/>
      <c r="E24" s="12" t="s">
        <v>675</v>
      </c>
      <c r="F24" s="2472" t="s">
        <v>1658</v>
      </c>
      <c r="G24" s="2472"/>
      <c r="H24" s="2485"/>
      <c r="I24" s="2485"/>
      <c r="J24" s="5"/>
    </row>
    <row r="25" spans="1:10" ht="12" customHeight="1">
      <c r="A25" s="5"/>
      <c r="B25" s="3" t="s">
        <v>1480</v>
      </c>
      <c r="C25" s="2472" t="s">
        <v>678</v>
      </c>
      <c r="D25" s="2472"/>
      <c r="E25" s="12" t="s">
        <v>675</v>
      </c>
      <c r="F25" s="2472" t="s">
        <v>1659</v>
      </c>
      <c r="G25" s="2472"/>
      <c r="H25" s="2485"/>
      <c r="I25" s="2485"/>
      <c r="J25" s="5"/>
    </row>
    <row r="26" spans="1:10" ht="12" customHeight="1">
      <c r="A26" s="5"/>
      <c r="B26" s="3" t="s">
        <v>1660</v>
      </c>
      <c r="C26" s="2472" t="s">
        <v>1661</v>
      </c>
      <c r="D26" s="2472"/>
      <c r="E26" s="12" t="s">
        <v>675</v>
      </c>
      <c r="F26" s="2472" t="s">
        <v>1018</v>
      </c>
      <c r="G26" s="2472"/>
      <c r="H26" s="2485"/>
      <c r="I26" s="2485"/>
      <c r="J26" s="5"/>
    </row>
    <row r="27" spans="1:10" ht="12" customHeight="1">
      <c r="A27" s="5"/>
      <c r="B27" s="3" t="s">
        <v>683</v>
      </c>
      <c r="C27" s="2472" t="s">
        <v>684</v>
      </c>
      <c r="D27" s="2472"/>
      <c r="E27" s="12" t="s">
        <v>675</v>
      </c>
      <c r="F27" s="2472" t="s">
        <v>1662</v>
      </c>
      <c r="G27" s="2472"/>
      <c r="H27" s="2485"/>
      <c r="I27" s="2485"/>
      <c r="J27" s="5"/>
    </row>
    <row r="28" spans="1:10" ht="12" customHeight="1">
      <c r="A28" s="5"/>
      <c r="B28" s="2474" t="s">
        <v>685</v>
      </c>
      <c r="C28" s="2474"/>
      <c r="D28" s="2474"/>
      <c r="E28" s="2474"/>
      <c r="F28" s="2474"/>
      <c r="G28" s="2474"/>
      <c r="H28" s="2474"/>
      <c r="I28" s="2474"/>
      <c r="J28" s="5"/>
    </row>
    <row r="29" spans="1:10" ht="12" customHeight="1">
      <c r="A29" s="12" t="s">
        <v>686</v>
      </c>
      <c r="B29" s="3" t="s">
        <v>687</v>
      </c>
      <c r="C29" s="2485"/>
      <c r="D29" s="2485"/>
      <c r="E29" s="5"/>
      <c r="F29" s="2485"/>
      <c r="G29" s="2485"/>
      <c r="H29" s="2485"/>
      <c r="I29" s="2485"/>
      <c r="J29" s="5"/>
    </row>
    <row r="30" spans="1:10" ht="13.65" customHeight="1">
      <c r="A30" s="5"/>
      <c r="B30" s="3" t="s">
        <v>1663</v>
      </c>
      <c r="C30" s="2485"/>
      <c r="D30" s="2485"/>
      <c r="E30" s="12" t="s">
        <v>853</v>
      </c>
      <c r="F30" s="2472" t="s">
        <v>775</v>
      </c>
      <c r="G30" s="2472"/>
      <c r="H30" s="2485"/>
      <c r="I30" s="2485"/>
      <c r="J30" s="5"/>
    </row>
    <row r="31" spans="1:10" ht="12" customHeight="1">
      <c r="A31" s="5"/>
      <c r="B31" s="5"/>
      <c r="C31" s="2485"/>
      <c r="D31" s="2485"/>
      <c r="E31" s="5"/>
      <c r="F31" s="2474" t="s">
        <v>702</v>
      </c>
      <c r="G31" s="2474"/>
      <c r="H31" s="2474"/>
      <c r="I31" s="2474"/>
      <c r="J31" s="5"/>
    </row>
    <row r="32" spans="1:10" ht="12" customHeight="1">
      <c r="A32" s="12" t="s">
        <v>703</v>
      </c>
      <c r="B32" s="3" t="s">
        <v>704</v>
      </c>
      <c r="C32" s="2485"/>
      <c r="D32" s="2485"/>
      <c r="E32" s="5"/>
      <c r="F32" s="2485"/>
      <c r="G32" s="2485"/>
      <c r="H32" s="2485"/>
      <c r="I32" s="2485"/>
      <c r="J32" s="5"/>
    </row>
    <row r="33" spans="1:10" ht="23.4" customHeight="1">
      <c r="A33" s="5"/>
      <c r="B33" s="2" t="s">
        <v>1664</v>
      </c>
      <c r="C33" s="2485"/>
      <c r="D33" s="2485"/>
      <c r="E33" s="12" t="s">
        <v>1665</v>
      </c>
      <c r="F33" s="2472" t="s">
        <v>1065</v>
      </c>
      <c r="G33" s="2472"/>
      <c r="H33" s="2485"/>
      <c r="I33" s="2485"/>
      <c r="J33" s="5"/>
    </row>
    <row r="34" spans="1:10" ht="23.4" customHeight="1">
      <c r="A34" s="5"/>
      <c r="B34" s="2" t="s">
        <v>1666</v>
      </c>
      <c r="C34" s="2485"/>
      <c r="D34" s="2485"/>
      <c r="E34" s="12" t="s">
        <v>1665</v>
      </c>
      <c r="F34" s="2472" t="s">
        <v>1080</v>
      </c>
      <c r="G34" s="2472"/>
      <c r="H34" s="2485"/>
      <c r="I34" s="2485"/>
      <c r="J34" s="5"/>
    </row>
    <row r="35" spans="1:10" ht="12" customHeight="1">
      <c r="A35" s="2484" t="s">
        <v>705</v>
      </c>
      <c r="B35" s="2484"/>
      <c r="C35" s="2484"/>
      <c r="D35" s="2484"/>
      <c r="E35" s="2484"/>
      <c r="F35" s="2484"/>
      <c r="G35" s="2484"/>
      <c r="H35" s="2484"/>
      <c r="I35" s="2484"/>
      <c r="J35" s="5"/>
    </row>
    <row r="36" spans="1:10" ht="12" customHeight="1">
      <c r="A36" s="5"/>
      <c r="B36" s="5"/>
      <c r="C36" s="2485"/>
      <c r="D36" s="2485"/>
      <c r="E36" s="5"/>
      <c r="F36" s="2485"/>
      <c r="G36" s="2485"/>
      <c r="H36" s="2485"/>
      <c r="I36" s="2485"/>
      <c r="J36" s="5"/>
    </row>
    <row r="37" spans="1:10" ht="12" customHeight="1">
      <c r="A37" s="12" t="s">
        <v>706</v>
      </c>
      <c r="B37" s="2474" t="s">
        <v>707</v>
      </c>
      <c r="C37" s="2474"/>
      <c r="D37" s="2474"/>
      <c r="E37" s="2474"/>
      <c r="F37" s="2474"/>
      <c r="G37" s="2474"/>
      <c r="H37" s="2474"/>
      <c r="I37" s="2474"/>
      <c r="J37" s="5"/>
    </row>
    <row r="38" spans="1:10" ht="12" customHeight="1">
      <c r="A38" s="12" t="s">
        <v>708</v>
      </c>
      <c r="B38" s="2471" t="s">
        <v>709</v>
      </c>
      <c r="C38" s="2471"/>
      <c r="D38" s="2471"/>
      <c r="E38" s="2471"/>
      <c r="F38" s="2472" t="s">
        <v>710</v>
      </c>
      <c r="G38" s="2472"/>
      <c r="H38" s="2472"/>
      <c r="I38" s="2472"/>
      <c r="J38" s="5"/>
    </row>
    <row r="39" spans="1:10" ht="12" customHeight="1">
      <c r="A39" s="12" t="s">
        <v>711</v>
      </c>
      <c r="B39" s="2473" t="s">
        <v>712</v>
      </c>
      <c r="C39" s="2473"/>
      <c r="D39" s="2473"/>
      <c r="E39" s="2473"/>
      <c r="F39" s="2473"/>
      <c r="G39" s="2473"/>
      <c r="H39" s="2473"/>
      <c r="I39" s="2473"/>
      <c r="J39" s="5"/>
    </row>
  </sheetData>
  <mergeCells count="93">
    <mergeCell ref="B3:C3"/>
    <mergeCell ref="E3:F3"/>
    <mergeCell ref="I3:J3"/>
    <mergeCell ref="B4:C4"/>
    <mergeCell ref="E4:F4"/>
    <mergeCell ref="I4:J4"/>
    <mergeCell ref="B5:C5"/>
    <mergeCell ref="E5:F5"/>
    <mergeCell ref="I5:J5"/>
    <mergeCell ref="B6:C6"/>
    <mergeCell ref="E6:F6"/>
    <mergeCell ref="I6:J6"/>
    <mergeCell ref="B7:C7"/>
    <mergeCell ref="E7:F7"/>
    <mergeCell ref="I7:J7"/>
    <mergeCell ref="B8:C8"/>
    <mergeCell ref="E8:F8"/>
    <mergeCell ref="G8:H8"/>
    <mergeCell ref="I8:J8"/>
    <mergeCell ref="B9:C9"/>
    <mergeCell ref="E9:F9"/>
    <mergeCell ref="I9:J9"/>
    <mergeCell ref="B10:C10"/>
    <mergeCell ref="E10:F10"/>
    <mergeCell ref="I10:J10"/>
    <mergeCell ref="B11:C11"/>
    <mergeCell ref="E11:F11"/>
    <mergeCell ref="G11:H11"/>
    <mergeCell ref="I11:J11"/>
    <mergeCell ref="B12:C12"/>
    <mergeCell ref="E12:F12"/>
    <mergeCell ref="I12:J12"/>
    <mergeCell ref="B13:C13"/>
    <mergeCell ref="E13:F13"/>
    <mergeCell ref="I13:J13"/>
    <mergeCell ref="B14:C14"/>
    <mergeCell ref="E14:F14"/>
    <mergeCell ref="G14:H14"/>
    <mergeCell ref="I14:J14"/>
    <mergeCell ref="B15:C15"/>
    <mergeCell ref="E15:F15"/>
    <mergeCell ref="I15:J15"/>
    <mergeCell ref="B16:H16"/>
    <mergeCell ref="I16:J16"/>
    <mergeCell ref="B17:F17"/>
    <mergeCell ref="G17:H17"/>
    <mergeCell ref="I17:J17"/>
    <mergeCell ref="B18:H18"/>
    <mergeCell ref="I18:J18"/>
    <mergeCell ref="C22:D22"/>
    <mergeCell ref="F22:G22"/>
    <mergeCell ref="H22:I22"/>
    <mergeCell ref="C23:D23"/>
    <mergeCell ref="F23:G23"/>
    <mergeCell ref="H23:I23"/>
    <mergeCell ref="C24:D24"/>
    <mergeCell ref="F24:G24"/>
    <mergeCell ref="H24:I24"/>
    <mergeCell ref="C25:D25"/>
    <mergeCell ref="F25:G25"/>
    <mergeCell ref="H25:I25"/>
    <mergeCell ref="C26:D26"/>
    <mergeCell ref="F26:G26"/>
    <mergeCell ref="H26:I26"/>
    <mergeCell ref="C27:D27"/>
    <mergeCell ref="F27:G27"/>
    <mergeCell ref="H27:I27"/>
    <mergeCell ref="B28:I28"/>
    <mergeCell ref="C29:D29"/>
    <mergeCell ref="F29:G29"/>
    <mergeCell ref="H29:I29"/>
    <mergeCell ref="C30:D30"/>
    <mergeCell ref="F30:G30"/>
    <mergeCell ref="H30:I30"/>
    <mergeCell ref="C31:D31"/>
    <mergeCell ref="F31:I31"/>
    <mergeCell ref="C32:D32"/>
    <mergeCell ref="F32:G32"/>
    <mergeCell ref="H32:I32"/>
    <mergeCell ref="C33:D33"/>
    <mergeCell ref="F33:G33"/>
    <mergeCell ref="H33:I33"/>
    <mergeCell ref="C34:D34"/>
    <mergeCell ref="F34:G34"/>
    <mergeCell ref="H34:I34"/>
    <mergeCell ref="B38:E38"/>
    <mergeCell ref="F38:I38"/>
    <mergeCell ref="B39:I39"/>
    <mergeCell ref="A35:I35"/>
    <mergeCell ref="C36:D36"/>
    <mergeCell ref="F36:G36"/>
    <mergeCell ref="H36:I36"/>
    <mergeCell ref="B37:I37"/>
  </mergeCells>
  <pageMargins left="0.7" right="0.7" top="0.75" bottom="0.75" header="0.3" footer="0.3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Sheet181"/>
  <dimension ref="A1:G40"/>
  <sheetViews>
    <sheetView workbookViewId="0">
      <selection activeCell="G40" sqref="A1:G40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style="73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5" t="s">
        <v>2481</v>
      </c>
    </row>
    <row r="3" spans="1:7" ht="35.1" customHeight="1">
      <c r="A3" s="6" t="s">
        <v>762</v>
      </c>
      <c r="B3" s="6" t="s">
        <v>763</v>
      </c>
      <c r="C3" s="6" t="s">
        <v>764</v>
      </c>
      <c r="D3" s="61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74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75" t="s">
        <v>675</v>
      </c>
      <c r="E5" s="3" t="s">
        <v>1667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75" t="s">
        <v>675</v>
      </c>
      <c r="E6" s="3" t="s">
        <v>1668</v>
      </c>
      <c r="F6" s="5"/>
      <c r="G6" s="5"/>
    </row>
    <row r="7" spans="1:7" ht="12" customHeight="1">
      <c r="A7" s="5"/>
      <c r="B7" s="3" t="s">
        <v>1660</v>
      </c>
      <c r="C7" s="3" t="s">
        <v>1661</v>
      </c>
      <c r="D7" s="75" t="s">
        <v>675</v>
      </c>
      <c r="E7" s="3" t="s">
        <v>1669</v>
      </c>
      <c r="F7" s="5"/>
      <c r="G7" s="5"/>
    </row>
    <row r="8" spans="1:7" ht="12" customHeight="1">
      <c r="A8" s="5"/>
      <c r="B8" s="3" t="s">
        <v>683</v>
      </c>
      <c r="C8" s="3" t="s">
        <v>684</v>
      </c>
      <c r="D8" s="75" t="s">
        <v>675</v>
      </c>
      <c r="E8" s="3" t="s">
        <v>1670</v>
      </c>
      <c r="F8" s="5"/>
      <c r="G8" s="5"/>
    </row>
    <row r="9" spans="1:7" ht="12" customHeight="1">
      <c r="A9" s="5"/>
      <c r="B9" s="2474" t="s">
        <v>685</v>
      </c>
      <c r="C9" s="2474"/>
      <c r="D9" s="2474"/>
      <c r="E9" s="2474"/>
      <c r="F9" s="2474"/>
      <c r="G9" s="5"/>
    </row>
    <row r="10" spans="1:7" ht="12" customHeight="1">
      <c r="A10" s="12" t="s">
        <v>686</v>
      </c>
      <c r="B10" s="3" t="s">
        <v>687</v>
      </c>
      <c r="C10" s="5"/>
      <c r="D10" s="74"/>
      <c r="E10" s="5"/>
      <c r="F10" s="5"/>
      <c r="G10" s="5"/>
    </row>
    <row r="11" spans="1:7" ht="13.65" customHeight="1">
      <c r="A11" s="5"/>
      <c r="B11" s="3" t="s">
        <v>1671</v>
      </c>
      <c r="C11" s="5"/>
      <c r="D11" s="75" t="s">
        <v>853</v>
      </c>
      <c r="E11" s="3" t="s">
        <v>775</v>
      </c>
      <c r="F11" s="5"/>
      <c r="G11" s="5"/>
    </row>
    <row r="12" spans="1:7" ht="12" customHeight="1">
      <c r="A12" s="5"/>
      <c r="B12" s="5"/>
      <c r="C12" s="5"/>
      <c r="D12" s="74"/>
      <c r="E12" s="2474" t="s">
        <v>702</v>
      </c>
      <c r="F12" s="2474"/>
      <c r="G12" s="5"/>
    </row>
    <row r="13" spans="1:7" ht="12" customHeight="1">
      <c r="A13" s="12" t="s">
        <v>703</v>
      </c>
      <c r="B13" s="3" t="s">
        <v>704</v>
      </c>
      <c r="C13" s="5"/>
      <c r="D13" s="74"/>
      <c r="E13" s="5"/>
      <c r="F13" s="5"/>
      <c r="G13" s="5"/>
    </row>
    <row r="14" spans="1:7" ht="23.4" customHeight="1">
      <c r="A14" s="5"/>
      <c r="B14" s="2" t="s">
        <v>1664</v>
      </c>
      <c r="C14" s="5"/>
      <c r="D14" s="75" t="s">
        <v>1665</v>
      </c>
      <c r="E14" s="3" t="s">
        <v>1072</v>
      </c>
      <c r="F14" s="5"/>
      <c r="G14" s="5"/>
    </row>
    <row r="15" spans="1:7" ht="36.9" customHeight="1">
      <c r="A15" s="5"/>
      <c r="B15" s="2" t="s">
        <v>1666</v>
      </c>
      <c r="C15" s="5"/>
      <c r="D15" s="76" t="s">
        <v>1483</v>
      </c>
      <c r="E15" s="3" t="s">
        <v>826</v>
      </c>
      <c r="F15" s="5"/>
      <c r="G15" s="5"/>
    </row>
    <row r="16" spans="1:7" ht="12" customHeight="1">
      <c r="A16" s="2490" t="s">
        <v>705</v>
      </c>
      <c r="B16" s="2490"/>
      <c r="C16" s="2490"/>
      <c r="D16" s="2490"/>
      <c r="E16" s="2490"/>
      <c r="F16" s="2490"/>
      <c r="G16" s="5"/>
    </row>
    <row r="17" spans="1:7" ht="12" customHeight="1">
      <c r="A17" s="12" t="s">
        <v>706</v>
      </c>
      <c r="B17" s="2491" t="s">
        <v>707</v>
      </c>
      <c r="C17" s="2491"/>
      <c r="D17" s="2491"/>
      <c r="E17" s="2491"/>
      <c r="F17" s="2491"/>
      <c r="G17" s="5"/>
    </row>
    <row r="18" spans="1:7" ht="12" customHeight="1">
      <c r="A18" s="12" t="s">
        <v>708</v>
      </c>
      <c r="B18" s="2471" t="s">
        <v>709</v>
      </c>
      <c r="C18" s="2471"/>
      <c r="D18" s="2471"/>
      <c r="E18" s="2472" t="s">
        <v>710</v>
      </c>
      <c r="F18" s="2472"/>
      <c r="G18" s="5"/>
    </row>
    <row r="19" spans="1:7" ht="12" customHeight="1">
      <c r="A19" s="12" t="s">
        <v>711</v>
      </c>
      <c r="B19" s="2473" t="s">
        <v>712</v>
      </c>
      <c r="C19" s="2473"/>
      <c r="D19" s="2473"/>
      <c r="E19" s="2473"/>
      <c r="F19" s="2473"/>
      <c r="G19" s="5"/>
    </row>
    <row r="20" spans="1:7" ht="12" customHeight="1">
      <c r="A20" s="12"/>
      <c r="B20" s="26"/>
      <c r="C20" s="26"/>
      <c r="D20" s="77"/>
      <c r="E20" s="26"/>
      <c r="F20" s="26"/>
      <c r="G20" s="5"/>
    </row>
    <row r="21" spans="1:7" ht="12" customHeight="1">
      <c r="A21" s="50" t="s">
        <v>2482</v>
      </c>
      <c r="B21" s="26"/>
      <c r="C21" s="26"/>
      <c r="D21" s="77"/>
      <c r="E21" s="26"/>
      <c r="F21" s="26"/>
      <c r="G21" s="5"/>
    </row>
    <row r="22" spans="1:7" ht="12" customHeight="1">
      <c r="A22" s="12"/>
      <c r="B22" s="26"/>
      <c r="C22" s="26"/>
      <c r="D22" s="77"/>
      <c r="E22" s="26"/>
      <c r="F22" s="26"/>
      <c r="G22" s="5"/>
    </row>
    <row r="23" spans="1:7" ht="35.1" customHeight="1">
      <c r="A23" s="6" t="s">
        <v>762</v>
      </c>
      <c r="B23" s="6" t="s">
        <v>763</v>
      </c>
      <c r="C23" s="6" t="s">
        <v>764</v>
      </c>
      <c r="D23" s="61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74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75" t="s">
        <v>675</v>
      </c>
      <c r="E25" s="3" t="s">
        <v>1672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75" t="s">
        <v>675</v>
      </c>
      <c r="E26" s="3" t="s">
        <v>1673</v>
      </c>
      <c r="F26" s="5"/>
      <c r="G26" s="5"/>
    </row>
    <row r="27" spans="1:7" ht="12" customHeight="1">
      <c r="A27" s="5"/>
      <c r="B27" s="3" t="s">
        <v>1660</v>
      </c>
      <c r="C27" s="3" t="s">
        <v>1661</v>
      </c>
      <c r="D27" s="75" t="s">
        <v>675</v>
      </c>
      <c r="E27" s="3" t="s">
        <v>1674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75" t="s">
        <v>675</v>
      </c>
      <c r="E28" s="3" t="s">
        <v>1675</v>
      </c>
      <c r="F28" s="5"/>
      <c r="G28" s="5"/>
    </row>
    <row r="29" spans="1:7" ht="12" customHeight="1">
      <c r="A29" s="5"/>
      <c r="B29" s="2474" t="s">
        <v>685</v>
      </c>
      <c r="C29" s="2474"/>
      <c r="D29" s="2474"/>
      <c r="E29" s="2474"/>
      <c r="F29" s="2474"/>
      <c r="G29" s="5"/>
    </row>
    <row r="30" spans="1:7" ht="12" customHeight="1">
      <c r="A30" s="12" t="s">
        <v>686</v>
      </c>
      <c r="B30" s="3" t="s">
        <v>687</v>
      </c>
      <c r="C30" s="5"/>
      <c r="D30" s="74"/>
      <c r="E30" s="5"/>
      <c r="F30" s="5"/>
      <c r="G30" s="5"/>
    </row>
    <row r="31" spans="1:7" ht="13.65" customHeight="1">
      <c r="A31" s="5"/>
      <c r="B31" s="3" t="s">
        <v>1676</v>
      </c>
      <c r="C31" s="5"/>
      <c r="D31" s="75" t="s">
        <v>853</v>
      </c>
      <c r="E31" s="3" t="s">
        <v>775</v>
      </c>
      <c r="F31" s="5"/>
      <c r="G31" s="5"/>
    </row>
    <row r="32" spans="1:7" ht="12" customHeight="1">
      <c r="A32" s="5"/>
      <c r="B32" s="5"/>
      <c r="C32" s="5"/>
      <c r="D32" s="74"/>
      <c r="E32" s="2474" t="s">
        <v>702</v>
      </c>
      <c r="F32" s="2474"/>
      <c r="G32" s="5"/>
    </row>
    <row r="33" spans="1:7" ht="12" customHeight="1">
      <c r="A33" s="12" t="s">
        <v>703</v>
      </c>
      <c r="B33" s="3" t="s">
        <v>704</v>
      </c>
      <c r="C33" s="5"/>
      <c r="D33" s="74"/>
      <c r="E33" s="5"/>
      <c r="F33" s="5"/>
      <c r="G33" s="5"/>
    </row>
    <row r="34" spans="1:7" ht="23.4" customHeight="1">
      <c r="A34" s="5"/>
      <c r="B34" s="2" t="s">
        <v>1664</v>
      </c>
      <c r="C34" s="5"/>
      <c r="D34" s="75" t="s">
        <v>1665</v>
      </c>
      <c r="E34" s="3" t="s">
        <v>919</v>
      </c>
      <c r="F34" s="5"/>
      <c r="G34" s="5"/>
    </row>
    <row r="35" spans="1:7" ht="36.9" customHeight="1">
      <c r="A35" s="5"/>
      <c r="B35" s="2" t="s">
        <v>1666</v>
      </c>
      <c r="C35" s="5"/>
      <c r="D35" s="76" t="s">
        <v>1483</v>
      </c>
      <c r="E35" s="3" t="s">
        <v>795</v>
      </c>
      <c r="F35" s="5"/>
      <c r="G35" s="5"/>
    </row>
    <row r="36" spans="1:7" ht="12" customHeight="1">
      <c r="A36" s="2484" t="s">
        <v>705</v>
      </c>
      <c r="B36" s="2484"/>
      <c r="C36" s="2484"/>
      <c r="D36" s="2484"/>
      <c r="E36" s="2484"/>
      <c r="F36" s="2484"/>
      <c r="G36" s="5"/>
    </row>
    <row r="37" spans="1:7" ht="12" customHeight="1">
      <c r="A37" s="5"/>
      <c r="B37" s="5"/>
      <c r="C37" s="5"/>
      <c r="D37" s="74"/>
      <c r="E37" s="5"/>
      <c r="F37" s="5"/>
      <c r="G37" s="5"/>
    </row>
    <row r="38" spans="1:7" ht="12" customHeight="1">
      <c r="A38" s="12" t="s">
        <v>706</v>
      </c>
      <c r="B38" s="2474" t="s">
        <v>707</v>
      </c>
      <c r="C38" s="2474"/>
      <c r="D38" s="2474"/>
      <c r="E38" s="2474"/>
      <c r="F38" s="2474"/>
      <c r="G38" s="5"/>
    </row>
    <row r="39" spans="1:7" ht="12" customHeight="1">
      <c r="A39" s="12" t="s">
        <v>708</v>
      </c>
      <c r="B39" s="2471" t="s">
        <v>709</v>
      </c>
      <c r="C39" s="2471"/>
      <c r="D39" s="2471"/>
      <c r="E39" s="2472" t="s">
        <v>710</v>
      </c>
      <c r="F39" s="2472"/>
      <c r="G39" s="5"/>
    </row>
    <row r="40" spans="1:7" ht="12" customHeight="1">
      <c r="A40" s="12" t="s">
        <v>711</v>
      </c>
      <c r="B40" s="2473" t="s">
        <v>712</v>
      </c>
      <c r="C40" s="2473"/>
      <c r="D40" s="2473"/>
      <c r="E40" s="2473"/>
      <c r="F40" s="2473"/>
      <c r="G40" s="5"/>
    </row>
  </sheetData>
  <mergeCells count="14">
    <mergeCell ref="B9:F9"/>
    <mergeCell ref="E12:F12"/>
    <mergeCell ref="A16:F16"/>
    <mergeCell ref="B17:F17"/>
    <mergeCell ref="B18:D18"/>
    <mergeCell ref="E18:F18"/>
    <mergeCell ref="B39:D39"/>
    <mergeCell ref="E39:F39"/>
    <mergeCell ref="B40:F40"/>
    <mergeCell ref="B19:F19"/>
    <mergeCell ref="B29:F29"/>
    <mergeCell ref="E32:F32"/>
    <mergeCell ref="A36:F36"/>
    <mergeCell ref="B38:F38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1">
    <tabColor rgb="FF92D050"/>
  </sheetPr>
  <dimension ref="A1:G45"/>
  <sheetViews>
    <sheetView topLeftCell="A31" workbookViewId="0">
      <selection sqref="A1:G45"/>
    </sheetView>
  </sheetViews>
  <sheetFormatPr defaultRowHeight="14.4"/>
  <cols>
    <col min="1" max="1" width="5.33203125" customWidth="1"/>
    <col min="2" max="2" width="21" customWidth="1"/>
    <col min="3" max="3" width="8.44140625" customWidth="1"/>
    <col min="4" max="4" width="11.33203125" customWidth="1"/>
    <col min="5" max="5" width="14.6640625" customWidth="1"/>
    <col min="6" max="6" width="14.44140625" customWidth="1"/>
    <col min="7" max="7" width="16.6640625" customWidth="1"/>
  </cols>
  <sheetData>
    <row r="1" spans="1:7">
      <c r="A1" s="62" t="s">
        <v>2141</v>
      </c>
    </row>
    <row r="2" spans="1:7">
      <c r="A2" s="54"/>
    </row>
    <row r="3" spans="1:7">
      <c r="A3" s="55" t="s">
        <v>2142</v>
      </c>
    </row>
    <row r="4" spans="1:7">
      <c r="A4" s="50"/>
    </row>
    <row r="5" spans="1:7" ht="31.5" customHeight="1">
      <c r="A5" s="9" t="s">
        <v>1003</v>
      </c>
      <c r="B5" s="19" t="s">
        <v>1004</v>
      </c>
      <c r="C5" s="9" t="s">
        <v>1005</v>
      </c>
      <c r="D5" s="9" t="s">
        <v>1006</v>
      </c>
      <c r="E5" s="9" t="s">
        <v>1007</v>
      </c>
      <c r="F5" s="8" t="s">
        <v>669</v>
      </c>
      <c r="G5" s="8" t="s">
        <v>670</v>
      </c>
    </row>
    <row r="6" spans="1:7" ht="10.95" customHeight="1">
      <c r="A6" s="10" t="s">
        <v>671</v>
      </c>
      <c r="B6" s="10" t="s">
        <v>672</v>
      </c>
      <c r="C6" s="5"/>
      <c r="D6" s="5"/>
      <c r="E6" s="5"/>
      <c r="F6" s="5"/>
      <c r="G6" s="5"/>
    </row>
    <row r="7" spans="1:7" ht="13.65" customHeight="1">
      <c r="A7" s="5"/>
      <c r="B7" s="10" t="s">
        <v>673</v>
      </c>
      <c r="C7" s="10" t="s">
        <v>674</v>
      </c>
      <c r="D7" s="11" t="s">
        <v>675</v>
      </c>
      <c r="E7" s="3" t="s">
        <v>870</v>
      </c>
      <c r="F7" s="5"/>
      <c r="G7" s="5"/>
    </row>
    <row r="8" spans="1:7" ht="13.65" customHeight="1">
      <c r="A8" s="5"/>
      <c r="B8" s="10" t="s">
        <v>816</v>
      </c>
      <c r="C8" s="10" t="s">
        <v>678</v>
      </c>
      <c r="D8" s="11" t="s">
        <v>675</v>
      </c>
      <c r="E8" s="3" t="s">
        <v>679</v>
      </c>
      <c r="F8" s="5"/>
      <c r="G8" s="5"/>
    </row>
    <row r="9" spans="1:7" ht="13.95" customHeight="1">
      <c r="A9" s="5"/>
      <c r="B9" s="10" t="s">
        <v>680</v>
      </c>
      <c r="C9" s="10" t="s">
        <v>681</v>
      </c>
      <c r="D9" s="11" t="s">
        <v>675</v>
      </c>
      <c r="E9" s="3" t="s">
        <v>682</v>
      </c>
      <c r="F9" s="5"/>
      <c r="G9" s="5"/>
    </row>
    <row r="10" spans="1:7" ht="13.65" customHeight="1">
      <c r="A10" s="5"/>
      <c r="B10" s="10" t="s">
        <v>683</v>
      </c>
      <c r="C10" s="10" t="s">
        <v>684</v>
      </c>
      <c r="D10" s="11" t="s">
        <v>675</v>
      </c>
      <c r="E10" s="3" t="s">
        <v>851</v>
      </c>
      <c r="F10" s="5"/>
      <c r="G10" s="5"/>
    </row>
    <row r="11" spans="1:7" ht="12" customHeight="1">
      <c r="A11" s="5"/>
      <c r="B11" s="5"/>
      <c r="C11" s="5"/>
      <c r="D11" s="5"/>
      <c r="E11" s="2474" t="s">
        <v>685</v>
      </c>
      <c r="F11" s="2474"/>
      <c r="G11" s="5"/>
    </row>
    <row r="12" spans="1:7" ht="12" customHeight="1">
      <c r="A12" s="10" t="s">
        <v>686</v>
      </c>
      <c r="B12" s="10" t="s">
        <v>687</v>
      </c>
      <c r="C12" s="5"/>
      <c r="D12" s="5"/>
      <c r="E12" s="5"/>
      <c r="F12" s="5"/>
      <c r="G12" s="5"/>
    </row>
    <row r="13" spans="1:7" ht="13.95" customHeight="1">
      <c r="A13" s="5"/>
      <c r="B13" s="10" t="s">
        <v>742</v>
      </c>
      <c r="C13" s="5"/>
      <c r="D13" s="11" t="s">
        <v>692</v>
      </c>
      <c r="E13" s="3" t="s">
        <v>1013</v>
      </c>
      <c r="F13" s="5"/>
      <c r="G13" s="5"/>
    </row>
    <row r="14" spans="1:7" ht="13.65" customHeight="1">
      <c r="A14" s="5"/>
      <c r="B14" s="10" t="s">
        <v>818</v>
      </c>
      <c r="C14" s="5"/>
      <c r="D14" s="11" t="s">
        <v>690</v>
      </c>
      <c r="E14" s="3" t="s">
        <v>1014</v>
      </c>
      <c r="F14" s="5"/>
      <c r="G14" s="5"/>
    </row>
    <row r="15" spans="1:7" ht="13.65" customHeight="1">
      <c r="A15" s="5"/>
      <c r="B15" s="10" t="s">
        <v>808</v>
      </c>
      <c r="C15" s="5"/>
      <c r="D15" s="11" t="s">
        <v>692</v>
      </c>
      <c r="E15" s="12" t="s">
        <v>774</v>
      </c>
      <c r="F15" s="5"/>
      <c r="G15" s="5"/>
    </row>
    <row r="16" spans="1:7" ht="10.95" customHeight="1">
      <c r="A16" s="5"/>
      <c r="B16" s="5"/>
      <c r="C16" s="5"/>
      <c r="D16" s="5"/>
      <c r="E16" s="2477" t="s">
        <v>702</v>
      </c>
      <c r="F16" s="2477"/>
      <c r="G16" s="5"/>
    </row>
    <row r="17" spans="1:7" ht="10.95" customHeight="1">
      <c r="A17" s="10" t="s">
        <v>703</v>
      </c>
      <c r="B17" s="10" t="s">
        <v>704</v>
      </c>
      <c r="C17" s="5"/>
      <c r="D17" s="5"/>
      <c r="E17" s="5"/>
      <c r="F17" s="5"/>
      <c r="G17" s="5"/>
    </row>
    <row r="18" spans="1:7" ht="10.95" customHeight="1">
      <c r="A18" s="5"/>
      <c r="B18" s="5"/>
      <c r="C18" s="5"/>
      <c r="D18" s="5"/>
      <c r="E18" s="5"/>
      <c r="F18" s="5"/>
      <c r="G18" s="5"/>
    </row>
    <row r="19" spans="1:7" ht="10.95" customHeight="1">
      <c r="A19" s="5"/>
      <c r="B19" s="5"/>
      <c r="C19" s="5"/>
      <c r="D19" s="5"/>
      <c r="E19" s="2477" t="s">
        <v>705</v>
      </c>
      <c r="F19" s="2477"/>
      <c r="G19" s="5"/>
    </row>
    <row r="20" spans="1:7" ht="10.95" customHeight="1">
      <c r="A20" s="5"/>
      <c r="B20" s="5"/>
      <c r="C20" s="5"/>
      <c r="D20" s="5"/>
      <c r="E20" s="5"/>
      <c r="F20" s="5"/>
      <c r="G20" s="5"/>
    </row>
    <row r="21" spans="1:7" ht="10.95" customHeight="1">
      <c r="A21" s="10" t="s">
        <v>706</v>
      </c>
      <c r="B21" s="2477" t="s">
        <v>707</v>
      </c>
      <c r="C21" s="2477"/>
      <c r="D21" s="2477"/>
      <c r="E21" s="2477"/>
      <c r="F21" s="2477"/>
      <c r="G21" s="5"/>
    </row>
    <row r="22" spans="1:7" ht="12" customHeight="1">
      <c r="A22" s="10" t="s">
        <v>708</v>
      </c>
      <c r="B22" s="2471" t="s">
        <v>876</v>
      </c>
      <c r="C22" s="2471"/>
      <c r="D22" s="2471"/>
      <c r="E22" s="2475" t="s">
        <v>710</v>
      </c>
      <c r="F22" s="2475"/>
      <c r="G22" s="5"/>
    </row>
    <row r="23" spans="1:7" ht="10.95" customHeight="1">
      <c r="A23" s="10" t="s">
        <v>711</v>
      </c>
      <c r="B23" s="2476" t="s">
        <v>712</v>
      </c>
      <c r="C23" s="2476"/>
      <c r="D23" s="2476"/>
      <c r="E23" s="2476"/>
      <c r="F23" s="2476"/>
      <c r="G23" s="5"/>
    </row>
    <row r="24" spans="1:7" ht="10.95" customHeight="1">
      <c r="A24" s="10"/>
      <c r="B24" s="27"/>
      <c r="C24" s="27"/>
      <c r="D24" s="27"/>
      <c r="E24" s="27"/>
      <c r="F24" s="27"/>
      <c r="G24" s="5"/>
    </row>
    <row r="25" spans="1:7" ht="10.95" customHeight="1">
      <c r="A25" s="55" t="s">
        <v>2143</v>
      </c>
      <c r="B25" s="27"/>
      <c r="C25" s="27"/>
      <c r="D25" s="27"/>
      <c r="E25" s="27"/>
      <c r="F25" s="27"/>
      <c r="G25" s="5"/>
    </row>
    <row r="26" spans="1:7" ht="10.95" customHeight="1">
      <c r="A26" s="51"/>
      <c r="B26" s="27"/>
      <c r="C26" s="27"/>
      <c r="D26" s="27"/>
      <c r="E26" s="27"/>
      <c r="F26" s="27"/>
      <c r="G26" s="5"/>
    </row>
    <row r="27" spans="1:7" ht="31.5" customHeight="1">
      <c r="A27" s="9" t="s">
        <v>1003</v>
      </c>
      <c r="B27" s="19" t="s">
        <v>1004</v>
      </c>
      <c r="C27" s="9" t="s">
        <v>1005</v>
      </c>
      <c r="D27" s="9" t="s">
        <v>1006</v>
      </c>
      <c r="E27" s="9" t="s">
        <v>1007</v>
      </c>
      <c r="F27" s="8" t="s">
        <v>669</v>
      </c>
      <c r="G27" s="8" t="s">
        <v>670</v>
      </c>
    </row>
    <row r="28" spans="1:7" ht="10.95" customHeight="1">
      <c r="A28" s="10" t="s">
        <v>671</v>
      </c>
      <c r="B28" s="10" t="s">
        <v>672</v>
      </c>
      <c r="C28" s="5"/>
      <c r="D28" s="5"/>
      <c r="E28" s="5"/>
      <c r="F28" s="5"/>
      <c r="G28" s="5"/>
    </row>
    <row r="29" spans="1:7" ht="13.95" customHeight="1">
      <c r="A29" s="5"/>
      <c r="B29" s="10" t="s">
        <v>673</v>
      </c>
      <c r="C29" s="10" t="s">
        <v>674</v>
      </c>
      <c r="D29" s="11" t="s">
        <v>675</v>
      </c>
      <c r="E29" s="3" t="s">
        <v>870</v>
      </c>
      <c r="F29" s="5"/>
      <c r="G29" s="5"/>
    </row>
    <row r="30" spans="1:7" ht="13.65" customHeight="1">
      <c r="A30" s="5"/>
      <c r="B30" s="10" t="s">
        <v>816</v>
      </c>
      <c r="C30" s="10" t="s">
        <v>678</v>
      </c>
      <c r="D30" s="11" t="s">
        <v>675</v>
      </c>
      <c r="E30" s="3" t="s">
        <v>679</v>
      </c>
      <c r="F30" s="5"/>
      <c r="G30" s="5"/>
    </row>
    <row r="31" spans="1:7" ht="13.95" customHeight="1">
      <c r="A31" s="5"/>
      <c r="B31" s="10" t="s">
        <v>680</v>
      </c>
      <c r="C31" s="10" t="s">
        <v>681</v>
      </c>
      <c r="D31" s="11" t="s">
        <v>675</v>
      </c>
      <c r="E31" s="3" t="s">
        <v>682</v>
      </c>
      <c r="F31" s="5"/>
      <c r="G31" s="5"/>
    </row>
    <row r="32" spans="1:7" ht="13.65" customHeight="1">
      <c r="A32" s="5"/>
      <c r="B32" s="10" t="s">
        <v>683</v>
      </c>
      <c r="C32" s="10" t="s">
        <v>684</v>
      </c>
      <c r="D32" s="11" t="s">
        <v>675</v>
      </c>
      <c r="E32" s="3" t="s">
        <v>851</v>
      </c>
      <c r="F32" s="5"/>
      <c r="G32" s="5"/>
    </row>
    <row r="33" spans="1:7" ht="12" customHeight="1">
      <c r="A33" s="5"/>
      <c r="B33" s="5"/>
      <c r="C33" s="5"/>
      <c r="D33" s="5"/>
      <c r="E33" s="2474" t="s">
        <v>685</v>
      </c>
      <c r="F33" s="2474"/>
      <c r="G33" s="5"/>
    </row>
    <row r="34" spans="1:7" ht="12" customHeight="1">
      <c r="A34" s="10" t="s">
        <v>686</v>
      </c>
      <c r="B34" s="10" t="s">
        <v>687</v>
      </c>
      <c r="C34" s="5"/>
      <c r="D34" s="5"/>
      <c r="E34" s="5"/>
      <c r="F34" s="5"/>
      <c r="G34" s="5"/>
    </row>
    <row r="35" spans="1:7" ht="13.65" customHeight="1">
      <c r="A35" s="5"/>
      <c r="B35" s="10" t="s">
        <v>742</v>
      </c>
      <c r="C35" s="5"/>
      <c r="D35" s="11" t="s">
        <v>692</v>
      </c>
      <c r="E35" s="3" t="s">
        <v>1013</v>
      </c>
      <c r="F35" s="5"/>
      <c r="G35" s="5"/>
    </row>
    <row r="36" spans="1:7" ht="13.95" customHeight="1">
      <c r="A36" s="5"/>
      <c r="B36" s="10" t="s">
        <v>818</v>
      </c>
      <c r="C36" s="5"/>
      <c r="D36" s="11" t="s">
        <v>690</v>
      </c>
      <c r="E36" s="3" t="s">
        <v>1015</v>
      </c>
      <c r="F36" s="5"/>
      <c r="G36" s="5"/>
    </row>
    <row r="37" spans="1:7" ht="13.65" customHeight="1">
      <c r="A37" s="5"/>
      <c r="B37" s="10" t="s">
        <v>808</v>
      </c>
      <c r="C37" s="5"/>
      <c r="D37" s="11" t="s">
        <v>692</v>
      </c>
      <c r="E37" s="3" t="s">
        <v>1016</v>
      </c>
      <c r="F37" s="5"/>
      <c r="G37" s="5"/>
    </row>
    <row r="38" spans="1:7" ht="10.95" customHeight="1">
      <c r="A38" s="5"/>
      <c r="B38" s="5"/>
      <c r="C38" s="5"/>
      <c r="D38" s="5"/>
      <c r="E38" s="2477" t="s">
        <v>702</v>
      </c>
      <c r="F38" s="2477"/>
      <c r="G38" s="5"/>
    </row>
    <row r="39" spans="1:7" ht="10.95" customHeight="1">
      <c r="A39" s="10" t="s">
        <v>703</v>
      </c>
      <c r="B39" s="10" t="s">
        <v>704</v>
      </c>
      <c r="C39" s="5"/>
      <c r="D39" s="5"/>
      <c r="E39" s="5"/>
      <c r="F39" s="5"/>
      <c r="G39" s="5"/>
    </row>
    <row r="40" spans="1:7" ht="10.95" customHeight="1">
      <c r="A40" s="5"/>
      <c r="B40" s="5"/>
      <c r="C40" s="5"/>
      <c r="D40" s="5"/>
      <c r="E40" s="5"/>
      <c r="F40" s="5"/>
      <c r="G40" s="5"/>
    </row>
    <row r="41" spans="1:7" ht="10.95" customHeight="1">
      <c r="A41" s="5"/>
      <c r="B41" s="5"/>
      <c r="C41" s="5"/>
      <c r="D41" s="5"/>
      <c r="E41" s="2477" t="s">
        <v>705</v>
      </c>
      <c r="F41" s="2477"/>
      <c r="G41" s="5"/>
    </row>
    <row r="42" spans="1:7" ht="10.95" customHeight="1">
      <c r="A42" s="5"/>
      <c r="B42" s="5"/>
      <c r="C42" s="5"/>
      <c r="D42" s="5"/>
      <c r="E42" s="5"/>
      <c r="F42" s="5"/>
      <c r="G42" s="5"/>
    </row>
    <row r="43" spans="1:7" ht="10.95" customHeight="1">
      <c r="A43" s="10" t="s">
        <v>706</v>
      </c>
      <c r="B43" s="2477" t="s">
        <v>707</v>
      </c>
      <c r="C43" s="2477"/>
      <c r="D43" s="2477"/>
      <c r="E43" s="2477"/>
      <c r="F43" s="2477"/>
      <c r="G43" s="5"/>
    </row>
    <row r="44" spans="1:7" ht="12" customHeight="1">
      <c r="A44" s="10" t="s">
        <v>708</v>
      </c>
      <c r="B44" s="2471" t="s">
        <v>876</v>
      </c>
      <c r="C44" s="2471"/>
      <c r="D44" s="2471"/>
      <c r="E44" s="2475" t="s">
        <v>710</v>
      </c>
      <c r="F44" s="2475"/>
      <c r="G44" s="5"/>
    </row>
    <row r="45" spans="1:7" ht="10.95" customHeight="1">
      <c r="A45" s="10" t="s">
        <v>711</v>
      </c>
      <c r="B45" s="2476" t="s">
        <v>712</v>
      </c>
      <c r="C45" s="2476"/>
      <c r="D45" s="2476"/>
      <c r="E45" s="2476"/>
      <c r="F45" s="2476"/>
      <c r="G45" s="5"/>
    </row>
  </sheetData>
  <mergeCells count="14">
    <mergeCell ref="E11:F11"/>
    <mergeCell ref="E16:F16"/>
    <mergeCell ref="E19:F19"/>
    <mergeCell ref="B21:F21"/>
    <mergeCell ref="B22:D22"/>
    <mergeCell ref="E22:F22"/>
    <mergeCell ref="B44:D44"/>
    <mergeCell ref="E44:F44"/>
    <mergeCell ref="B45:F45"/>
    <mergeCell ref="B23:F23"/>
    <mergeCell ref="E33:F33"/>
    <mergeCell ref="E38:F38"/>
    <mergeCell ref="E41:F41"/>
    <mergeCell ref="B43:F43"/>
  </mergeCells>
  <pageMargins left="0.7" right="0.7" top="0.75" bottom="0.75" header="0.3" footer="0.3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Sheet182"/>
  <dimension ref="A1:G39"/>
  <sheetViews>
    <sheetView workbookViewId="0">
      <selection activeCell="G39" sqref="A1:G39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2483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1677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1678</v>
      </c>
      <c r="F6" s="5"/>
      <c r="G6" s="5"/>
    </row>
    <row r="7" spans="1:7" ht="12" customHeight="1">
      <c r="A7" s="5"/>
      <c r="B7" s="3" t="s">
        <v>1660</v>
      </c>
      <c r="C7" s="3" t="s">
        <v>1661</v>
      </c>
      <c r="D7" s="12" t="s">
        <v>675</v>
      </c>
      <c r="E7" s="3" t="s">
        <v>1679</v>
      </c>
      <c r="F7" s="5"/>
      <c r="G7" s="5"/>
    </row>
    <row r="8" spans="1:7" ht="12" customHeight="1">
      <c r="A8" s="5"/>
      <c r="B8" s="3" t="s">
        <v>683</v>
      </c>
      <c r="C8" s="3" t="s">
        <v>684</v>
      </c>
      <c r="D8" s="12" t="s">
        <v>675</v>
      </c>
      <c r="E8" s="3" t="s">
        <v>1680</v>
      </c>
      <c r="F8" s="5"/>
      <c r="G8" s="5"/>
    </row>
    <row r="9" spans="1:7" ht="12" customHeight="1">
      <c r="A9" s="5"/>
      <c r="B9" s="2474" t="s">
        <v>685</v>
      </c>
      <c r="C9" s="2474"/>
      <c r="D9" s="2474"/>
      <c r="E9" s="2474"/>
      <c r="F9" s="2474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65" customHeight="1">
      <c r="A11" s="5"/>
      <c r="B11" s="3" t="s">
        <v>1681</v>
      </c>
      <c r="C11" s="5"/>
      <c r="D11" s="12" t="s">
        <v>853</v>
      </c>
      <c r="E11" s="3" t="s">
        <v>775</v>
      </c>
      <c r="F11" s="5"/>
      <c r="G11" s="5"/>
    </row>
    <row r="12" spans="1:7" ht="12" customHeight="1">
      <c r="A12" s="5"/>
      <c r="B12" s="5"/>
      <c r="C12" s="5"/>
      <c r="D12" s="5"/>
      <c r="E12" s="2474" t="s">
        <v>702</v>
      </c>
      <c r="F12" s="2474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" customHeight="1">
      <c r="A14" s="5"/>
      <c r="B14" s="2" t="s">
        <v>1664</v>
      </c>
      <c r="C14" s="5"/>
      <c r="D14" s="12" t="s">
        <v>1665</v>
      </c>
      <c r="E14" s="3" t="s">
        <v>1682</v>
      </c>
      <c r="F14" s="5"/>
      <c r="G14" s="5"/>
    </row>
    <row r="15" spans="1:7" ht="36.9" customHeight="1">
      <c r="A15" s="5"/>
      <c r="B15" s="2" t="s">
        <v>1666</v>
      </c>
      <c r="C15" s="5"/>
      <c r="D15" s="2" t="s">
        <v>1483</v>
      </c>
      <c r="E15" s="3" t="s">
        <v>1683</v>
      </c>
      <c r="F15" s="5"/>
      <c r="G15" s="5"/>
    </row>
    <row r="16" spans="1:7" ht="12" customHeight="1">
      <c r="A16" s="2490" t="s">
        <v>705</v>
      </c>
      <c r="B16" s="2490"/>
      <c r="C16" s="2490"/>
      <c r="D16" s="2490"/>
      <c r="E16" s="2490"/>
      <c r="F16" s="2490"/>
      <c r="G16" s="5"/>
    </row>
    <row r="17" spans="1:7" ht="12" customHeight="1">
      <c r="A17" s="12" t="s">
        <v>706</v>
      </c>
      <c r="B17" s="2491" t="s">
        <v>707</v>
      </c>
      <c r="C17" s="2491"/>
      <c r="D17" s="2491"/>
      <c r="E17" s="2491"/>
      <c r="F17" s="2491"/>
      <c r="G17" s="5"/>
    </row>
    <row r="18" spans="1:7" ht="12" customHeight="1">
      <c r="A18" s="12" t="s">
        <v>708</v>
      </c>
      <c r="B18" s="2471" t="s">
        <v>709</v>
      </c>
      <c r="C18" s="2471"/>
      <c r="D18" s="2471"/>
      <c r="E18" s="2472" t="s">
        <v>710</v>
      </c>
      <c r="F18" s="2472"/>
      <c r="G18" s="5"/>
    </row>
    <row r="19" spans="1:7" ht="12" customHeight="1">
      <c r="A19" s="12" t="s">
        <v>711</v>
      </c>
      <c r="B19" s="2473" t="s">
        <v>712</v>
      </c>
      <c r="C19" s="2473"/>
      <c r="D19" s="2473"/>
      <c r="E19" s="2473"/>
      <c r="F19" s="2473"/>
      <c r="G19" s="5"/>
    </row>
    <row r="20" spans="1:7" ht="12" customHeight="1">
      <c r="A20" s="12"/>
      <c r="B20" s="26"/>
      <c r="C20" s="26"/>
      <c r="D20" s="26"/>
      <c r="E20" s="26"/>
      <c r="F20" s="26"/>
      <c r="G20" s="5"/>
    </row>
    <row r="21" spans="1:7" ht="12" customHeight="1">
      <c r="A21" s="50" t="s">
        <v>2484</v>
      </c>
      <c r="B21" s="26"/>
      <c r="C21" s="26"/>
      <c r="D21" s="26"/>
      <c r="E21" s="26"/>
      <c r="F21" s="26"/>
      <c r="G21" s="5"/>
    </row>
    <row r="22" spans="1:7" ht="12" customHeight="1">
      <c r="A22" s="12"/>
      <c r="B22" s="26"/>
      <c r="C22" s="26"/>
      <c r="D22" s="26"/>
      <c r="E22" s="26"/>
      <c r="F22" s="26"/>
      <c r="G22" s="5"/>
    </row>
    <row r="23" spans="1:7" ht="34.950000000000003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1684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1042</v>
      </c>
      <c r="F26" s="5"/>
      <c r="G26" s="5"/>
    </row>
    <row r="27" spans="1:7" ht="12" customHeight="1">
      <c r="A27" s="5"/>
      <c r="B27" s="3" t="s">
        <v>1660</v>
      </c>
      <c r="C27" s="3" t="s">
        <v>1661</v>
      </c>
      <c r="D27" s="12" t="s">
        <v>675</v>
      </c>
      <c r="E27" s="3" t="s">
        <v>1685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2" t="s">
        <v>675</v>
      </c>
      <c r="E28" s="3" t="s">
        <v>1686</v>
      </c>
      <c r="F28" s="5"/>
      <c r="G28" s="5"/>
    </row>
    <row r="29" spans="1:7" ht="12" customHeight="1">
      <c r="A29" s="5"/>
      <c r="B29" s="2474" t="s">
        <v>685</v>
      </c>
      <c r="C29" s="2474"/>
      <c r="D29" s="2474"/>
      <c r="E29" s="2474"/>
      <c r="F29" s="2474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95" customHeight="1">
      <c r="A31" s="5"/>
      <c r="B31" s="3" t="s">
        <v>1687</v>
      </c>
      <c r="C31" s="5"/>
      <c r="D31" s="12" t="s">
        <v>853</v>
      </c>
      <c r="E31" s="3" t="s">
        <v>775</v>
      </c>
      <c r="F31" s="5"/>
      <c r="G31" s="5"/>
    </row>
    <row r="32" spans="1:7" ht="12" customHeight="1">
      <c r="A32" s="2484" t="s">
        <v>702</v>
      </c>
      <c r="B32" s="2484"/>
      <c r="C32" s="2484"/>
      <c r="D32" s="2484"/>
      <c r="E32" s="2484"/>
      <c r="F32" s="2484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23.4" customHeight="1">
      <c r="A34" s="5"/>
      <c r="B34" s="2" t="s">
        <v>1664</v>
      </c>
      <c r="C34" s="5"/>
      <c r="D34" s="12" t="s">
        <v>1665</v>
      </c>
      <c r="E34" s="3" t="s">
        <v>1226</v>
      </c>
      <c r="F34" s="5"/>
      <c r="G34" s="5"/>
    </row>
    <row r="35" spans="1:7" ht="23.4" customHeight="1">
      <c r="A35" s="5"/>
      <c r="B35" s="2" t="s">
        <v>1666</v>
      </c>
      <c r="C35" s="5"/>
      <c r="D35" s="12" t="s">
        <v>1665</v>
      </c>
      <c r="E35" s="3" t="s">
        <v>1085</v>
      </c>
      <c r="F35" s="5"/>
      <c r="G35" s="5"/>
    </row>
    <row r="36" spans="1:7" ht="12" customHeight="1">
      <c r="A36" s="2490" t="s">
        <v>705</v>
      </c>
      <c r="B36" s="2490"/>
      <c r="C36" s="2490"/>
      <c r="D36" s="2490"/>
      <c r="E36" s="2490"/>
      <c r="F36" s="2490"/>
      <c r="G36" s="5"/>
    </row>
    <row r="37" spans="1:7" ht="12" customHeight="1">
      <c r="A37" s="12" t="s">
        <v>706</v>
      </c>
      <c r="B37" s="2491" t="s">
        <v>707</v>
      </c>
      <c r="C37" s="2491"/>
      <c r="D37" s="2491"/>
      <c r="E37" s="2491"/>
      <c r="F37" s="2491"/>
      <c r="G37" s="5"/>
    </row>
    <row r="38" spans="1:7" ht="12" customHeight="1">
      <c r="A38" s="12" t="s">
        <v>708</v>
      </c>
      <c r="B38" s="2471" t="s">
        <v>709</v>
      </c>
      <c r="C38" s="2471"/>
      <c r="D38" s="2471"/>
      <c r="E38" s="2472" t="s">
        <v>710</v>
      </c>
      <c r="F38" s="2472"/>
      <c r="G38" s="5"/>
    </row>
    <row r="39" spans="1:7" ht="12" customHeight="1">
      <c r="A39" s="12" t="s">
        <v>711</v>
      </c>
      <c r="B39" s="2473" t="s">
        <v>712</v>
      </c>
      <c r="C39" s="2473"/>
      <c r="D39" s="2473"/>
      <c r="E39" s="2473"/>
      <c r="F39" s="2473"/>
      <c r="G39" s="5"/>
    </row>
  </sheetData>
  <mergeCells count="14">
    <mergeCell ref="B9:F9"/>
    <mergeCell ref="E12:F12"/>
    <mergeCell ref="A16:F16"/>
    <mergeCell ref="B17:F17"/>
    <mergeCell ref="B18:D18"/>
    <mergeCell ref="E18:F18"/>
    <mergeCell ref="B38:D38"/>
    <mergeCell ref="E38:F38"/>
    <mergeCell ref="B39:F39"/>
    <mergeCell ref="B19:F19"/>
    <mergeCell ref="B29:F29"/>
    <mergeCell ref="A32:F32"/>
    <mergeCell ref="A36:F36"/>
    <mergeCell ref="B37:F37"/>
  </mergeCells>
  <pageMargins left="0.7" right="0.7" top="0.75" bottom="0.75" header="0.3" footer="0.3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 codeName="Sheet183"/>
  <dimension ref="A1:G39"/>
  <sheetViews>
    <sheetView workbookViewId="0">
      <selection activeCell="G39" sqref="A1:G39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2485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1688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1689</v>
      </c>
      <c r="F6" s="5"/>
      <c r="G6" s="5"/>
    </row>
    <row r="7" spans="1:7" ht="21.9" customHeight="1">
      <c r="A7" s="5"/>
      <c r="B7" s="3" t="s">
        <v>1660</v>
      </c>
      <c r="C7" s="3" t="s">
        <v>1661</v>
      </c>
      <c r="D7" s="12" t="s">
        <v>675</v>
      </c>
      <c r="E7" s="3" t="s">
        <v>1690</v>
      </c>
      <c r="F7" s="5"/>
      <c r="G7" s="5"/>
    </row>
    <row r="8" spans="1:7" ht="12" customHeight="1">
      <c r="A8" s="5"/>
      <c r="B8" s="3" t="s">
        <v>683</v>
      </c>
      <c r="C8" s="3" t="s">
        <v>684</v>
      </c>
      <c r="D8" s="12" t="s">
        <v>675</v>
      </c>
      <c r="E8" s="3" t="s">
        <v>1691</v>
      </c>
      <c r="F8" s="5"/>
      <c r="G8" s="5"/>
    </row>
    <row r="9" spans="1:7" ht="12" customHeight="1">
      <c r="A9" s="5"/>
      <c r="B9" s="2474" t="s">
        <v>685</v>
      </c>
      <c r="C9" s="2474"/>
      <c r="D9" s="2474"/>
      <c r="E9" s="2474"/>
      <c r="F9" s="2474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95" customHeight="1">
      <c r="A11" s="5"/>
      <c r="B11" s="3" t="s">
        <v>1692</v>
      </c>
      <c r="C11" s="5"/>
      <c r="D11" s="12" t="s">
        <v>853</v>
      </c>
      <c r="E11" s="3" t="s">
        <v>775</v>
      </c>
      <c r="F11" s="5"/>
      <c r="G11" s="5"/>
    </row>
    <row r="12" spans="1:7" ht="12" customHeight="1">
      <c r="A12" s="2484" t="s">
        <v>702</v>
      </c>
      <c r="B12" s="2484"/>
      <c r="C12" s="2484"/>
      <c r="D12" s="2484"/>
      <c r="E12" s="2484"/>
      <c r="F12" s="2484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" customHeight="1">
      <c r="A14" s="5"/>
      <c r="B14" s="2" t="s">
        <v>1664</v>
      </c>
      <c r="C14" s="5"/>
      <c r="D14" s="12" t="s">
        <v>1665</v>
      </c>
      <c r="E14" s="3" t="s">
        <v>1018</v>
      </c>
      <c r="F14" s="5"/>
      <c r="G14" s="5"/>
    </row>
    <row r="15" spans="1:7" ht="23.4" customHeight="1">
      <c r="A15" s="5"/>
      <c r="B15" s="2" t="s">
        <v>1666</v>
      </c>
      <c r="C15" s="5"/>
      <c r="D15" s="12" t="s">
        <v>1665</v>
      </c>
      <c r="E15" s="3" t="s">
        <v>899</v>
      </c>
      <c r="F15" s="5"/>
      <c r="G15" s="5"/>
    </row>
    <row r="16" spans="1:7" ht="12" customHeight="1">
      <c r="A16" s="2490" t="s">
        <v>705</v>
      </c>
      <c r="B16" s="2490"/>
      <c r="C16" s="2490"/>
      <c r="D16" s="2490"/>
      <c r="E16" s="2490"/>
      <c r="F16" s="2490"/>
      <c r="G16" s="5"/>
    </row>
    <row r="17" spans="1:7" ht="12" customHeight="1">
      <c r="A17" s="12" t="s">
        <v>706</v>
      </c>
      <c r="B17" s="2491" t="s">
        <v>707</v>
      </c>
      <c r="C17" s="2491"/>
      <c r="D17" s="2491"/>
      <c r="E17" s="2491"/>
      <c r="F17" s="2491"/>
      <c r="G17" s="5"/>
    </row>
    <row r="18" spans="1:7" ht="12" customHeight="1">
      <c r="A18" s="12" t="s">
        <v>708</v>
      </c>
      <c r="B18" s="2471" t="s">
        <v>709</v>
      </c>
      <c r="C18" s="2471"/>
      <c r="D18" s="2471"/>
      <c r="E18" s="2472" t="s">
        <v>710</v>
      </c>
      <c r="F18" s="2472"/>
      <c r="G18" s="5"/>
    </row>
    <row r="19" spans="1:7" ht="12" customHeight="1">
      <c r="A19" s="12" t="s">
        <v>711</v>
      </c>
      <c r="B19" s="2473" t="s">
        <v>712</v>
      </c>
      <c r="C19" s="2473"/>
      <c r="D19" s="2473"/>
      <c r="E19" s="2473"/>
      <c r="F19" s="2473"/>
      <c r="G19" s="5"/>
    </row>
    <row r="20" spans="1:7" ht="12" customHeight="1">
      <c r="A20" s="12"/>
      <c r="B20" s="26"/>
      <c r="C20" s="26"/>
      <c r="D20" s="26"/>
      <c r="E20" s="26"/>
      <c r="F20" s="26"/>
      <c r="G20" s="5"/>
    </row>
    <row r="21" spans="1:7" ht="12" customHeight="1">
      <c r="A21" s="50" t="s">
        <v>2486</v>
      </c>
      <c r="B21" s="26"/>
      <c r="C21" s="26"/>
      <c r="D21" s="26"/>
      <c r="E21" s="26"/>
      <c r="F21" s="26"/>
      <c r="G21" s="5"/>
    </row>
    <row r="22" spans="1:7" ht="12" customHeight="1">
      <c r="A22" s="12"/>
      <c r="B22" s="26"/>
      <c r="C22" s="26"/>
      <c r="D22" s="26"/>
      <c r="E22" s="26"/>
      <c r="F22" s="26"/>
      <c r="G22" s="5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1693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1694</v>
      </c>
      <c r="F26" s="5"/>
      <c r="G26" s="5"/>
    </row>
    <row r="27" spans="1:7" ht="12" customHeight="1">
      <c r="A27" s="5"/>
      <c r="B27" s="3" t="s">
        <v>1660</v>
      </c>
      <c r="C27" s="3" t="s">
        <v>1661</v>
      </c>
      <c r="D27" s="12" t="s">
        <v>675</v>
      </c>
      <c r="E27" s="3" t="s">
        <v>1695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2" t="s">
        <v>675</v>
      </c>
      <c r="E28" s="3" t="s">
        <v>908</v>
      </c>
      <c r="F28" s="5"/>
      <c r="G28" s="5"/>
    </row>
    <row r="29" spans="1:7" ht="12" customHeight="1">
      <c r="A29" s="5"/>
      <c r="B29" s="2474" t="s">
        <v>685</v>
      </c>
      <c r="C29" s="2474"/>
      <c r="D29" s="2474"/>
      <c r="E29" s="2474"/>
      <c r="F29" s="2474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65" customHeight="1">
      <c r="A31" s="5"/>
      <c r="B31" s="3" t="s">
        <v>1696</v>
      </c>
      <c r="C31" s="5"/>
      <c r="D31" s="12" t="s">
        <v>853</v>
      </c>
      <c r="E31" s="3" t="s">
        <v>775</v>
      </c>
      <c r="F31" s="5"/>
      <c r="G31" s="5"/>
    </row>
    <row r="32" spans="1:7" ht="12" customHeight="1">
      <c r="A32" s="2484" t="s">
        <v>702</v>
      </c>
      <c r="B32" s="2484"/>
      <c r="C32" s="2484"/>
      <c r="D32" s="2484"/>
      <c r="E32" s="2484"/>
      <c r="F32" s="2484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23.4" customHeight="1">
      <c r="A34" s="5"/>
      <c r="B34" s="2" t="s">
        <v>1664</v>
      </c>
      <c r="C34" s="5"/>
      <c r="D34" s="12" t="s">
        <v>1665</v>
      </c>
      <c r="E34" s="3" t="s">
        <v>1697</v>
      </c>
      <c r="F34" s="5"/>
      <c r="G34" s="5"/>
    </row>
    <row r="35" spans="1:7" ht="23.4" customHeight="1">
      <c r="A35" s="5"/>
      <c r="B35" s="2" t="s">
        <v>1666</v>
      </c>
      <c r="C35" s="5"/>
      <c r="D35" s="12" t="s">
        <v>1665</v>
      </c>
      <c r="E35" s="3" t="s">
        <v>1698</v>
      </c>
      <c r="F35" s="5"/>
      <c r="G35" s="5"/>
    </row>
    <row r="36" spans="1:7" ht="12" customHeight="1">
      <c r="A36" s="2490" t="s">
        <v>705</v>
      </c>
      <c r="B36" s="2490"/>
      <c r="C36" s="2490"/>
      <c r="D36" s="2490"/>
      <c r="E36" s="2490"/>
      <c r="F36" s="2490"/>
      <c r="G36" s="5"/>
    </row>
    <row r="37" spans="1:7" ht="12" customHeight="1">
      <c r="A37" s="12" t="s">
        <v>706</v>
      </c>
      <c r="B37" s="2491" t="s">
        <v>707</v>
      </c>
      <c r="C37" s="2491"/>
      <c r="D37" s="2491"/>
      <c r="E37" s="2491"/>
      <c r="F37" s="2491"/>
      <c r="G37" s="5"/>
    </row>
    <row r="38" spans="1:7" ht="12" customHeight="1">
      <c r="A38" s="12" t="s">
        <v>708</v>
      </c>
      <c r="B38" s="2471" t="s">
        <v>709</v>
      </c>
      <c r="C38" s="2471"/>
      <c r="D38" s="2471"/>
      <c r="E38" s="2472" t="s">
        <v>710</v>
      </c>
      <c r="F38" s="2472"/>
      <c r="G38" s="5"/>
    </row>
    <row r="39" spans="1:7" ht="12" customHeight="1">
      <c r="A39" s="12" t="s">
        <v>711</v>
      </c>
      <c r="B39" s="2473" t="s">
        <v>712</v>
      </c>
      <c r="C39" s="2473"/>
      <c r="D39" s="2473"/>
      <c r="E39" s="2473"/>
      <c r="F39" s="2473"/>
      <c r="G39" s="5"/>
    </row>
  </sheetData>
  <mergeCells count="14">
    <mergeCell ref="B9:F9"/>
    <mergeCell ref="A12:F12"/>
    <mergeCell ref="A16:F16"/>
    <mergeCell ref="B17:F17"/>
    <mergeCell ref="B18:D18"/>
    <mergeCell ref="E18:F18"/>
    <mergeCell ref="B38:D38"/>
    <mergeCell ref="E38:F38"/>
    <mergeCell ref="B39:F39"/>
    <mergeCell ref="B19:F19"/>
    <mergeCell ref="B29:F29"/>
    <mergeCell ref="A32:F32"/>
    <mergeCell ref="A36:F36"/>
    <mergeCell ref="B37:F37"/>
  </mergeCells>
  <pageMargins left="0.7" right="0.7" top="0.75" bottom="0.75" header="0.3" footer="0.3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 codeName="Sheet184"/>
  <dimension ref="A1:G39"/>
  <sheetViews>
    <sheetView workbookViewId="0">
      <selection activeCell="G39" sqref="A1:G39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2487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1699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1700</v>
      </c>
      <c r="F6" s="5"/>
      <c r="G6" s="5"/>
    </row>
    <row r="7" spans="1:7" ht="21.9" customHeight="1">
      <c r="A7" s="5"/>
      <c r="B7" s="3" t="s">
        <v>1660</v>
      </c>
      <c r="C7" s="3" t="s">
        <v>1661</v>
      </c>
      <c r="D7" s="12" t="s">
        <v>675</v>
      </c>
      <c r="E7" s="3" t="s">
        <v>1695</v>
      </c>
      <c r="F7" s="5"/>
      <c r="G7" s="5"/>
    </row>
    <row r="8" spans="1:7" ht="12" customHeight="1">
      <c r="A8" s="5"/>
      <c r="B8" s="3" t="s">
        <v>683</v>
      </c>
      <c r="C8" s="3" t="s">
        <v>684</v>
      </c>
      <c r="D8" s="12" t="s">
        <v>675</v>
      </c>
      <c r="E8" s="3" t="s">
        <v>1701</v>
      </c>
      <c r="F8" s="5"/>
      <c r="G8" s="5"/>
    </row>
    <row r="9" spans="1:7" ht="12" customHeight="1">
      <c r="A9" s="5"/>
      <c r="B9" s="2474" t="s">
        <v>685</v>
      </c>
      <c r="C9" s="2474"/>
      <c r="D9" s="2474"/>
      <c r="E9" s="2474"/>
      <c r="F9" s="2474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95" customHeight="1">
      <c r="A11" s="5"/>
      <c r="B11" s="3" t="s">
        <v>1702</v>
      </c>
      <c r="C11" s="5"/>
      <c r="D11" s="12" t="s">
        <v>853</v>
      </c>
      <c r="E11" s="3" t="s">
        <v>775</v>
      </c>
      <c r="F11" s="5"/>
      <c r="G11" s="5"/>
    </row>
    <row r="12" spans="1:7" ht="12" customHeight="1">
      <c r="A12" s="2484" t="s">
        <v>702</v>
      </c>
      <c r="B12" s="2484"/>
      <c r="C12" s="2484"/>
      <c r="D12" s="2484"/>
      <c r="E12" s="2484"/>
      <c r="F12" s="2484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" customHeight="1">
      <c r="A14" s="5"/>
      <c r="B14" s="2" t="s">
        <v>1664</v>
      </c>
      <c r="C14" s="5"/>
      <c r="D14" s="12" t="s">
        <v>1665</v>
      </c>
      <c r="E14" s="3" t="s">
        <v>1703</v>
      </c>
      <c r="F14" s="5"/>
      <c r="G14" s="5"/>
    </row>
    <row r="15" spans="1:7" ht="23.4" customHeight="1">
      <c r="A15" s="5"/>
      <c r="B15" s="2" t="s">
        <v>1666</v>
      </c>
      <c r="C15" s="5"/>
      <c r="D15" s="12" t="s">
        <v>1665</v>
      </c>
      <c r="E15" s="3" t="s">
        <v>1704</v>
      </c>
      <c r="F15" s="5"/>
      <c r="G15" s="5"/>
    </row>
    <row r="16" spans="1:7" ht="12" customHeight="1">
      <c r="A16" s="2490" t="s">
        <v>705</v>
      </c>
      <c r="B16" s="2490"/>
      <c r="C16" s="2490"/>
      <c r="D16" s="2490"/>
      <c r="E16" s="2490"/>
      <c r="F16" s="2490"/>
      <c r="G16" s="5"/>
    </row>
    <row r="17" spans="1:7" ht="12.6" customHeight="1">
      <c r="A17" s="12" t="s">
        <v>706</v>
      </c>
      <c r="B17" s="2491" t="s">
        <v>707</v>
      </c>
      <c r="C17" s="2491"/>
      <c r="D17" s="2491"/>
      <c r="E17" s="2491"/>
      <c r="F17" s="2491"/>
      <c r="G17" s="5"/>
    </row>
    <row r="18" spans="1:7" ht="12" customHeight="1">
      <c r="A18" s="12" t="s">
        <v>708</v>
      </c>
      <c r="B18" s="2471" t="s">
        <v>709</v>
      </c>
      <c r="C18" s="2471"/>
      <c r="D18" s="2471"/>
      <c r="E18" s="2472" t="s">
        <v>710</v>
      </c>
      <c r="F18" s="2472"/>
      <c r="G18" s="5"/>
    </row>
    <row r="19" spans="1:7" ht="12" customHeight="1">
      <c r="A19" s="12" t="s">
        <v>711</v>
      </c>
      <c r="B19" s="2473" t="s">
        <v>712</v>
      </c>
      <c r="C19" s="2473"/>
      <c r="D19" s="2473"/>
      <c r="E19" s="2473"/>
      <c r="F19" s="2473"/>
      <c r="G19" s="5"/>
    </row>
    <row r="20" spans="1:7" ht="12" customHeight="1">
      <c r="A20" s="12"/>
      <c r="B20" s="26"/>
      <c r="C20" s="26"/>
      <c r="D20" s="26"/>
      <c r="E20" s="26"/>
      <c r="F20" s="26"/>
      <c r="G20" s="5"/>
    </row>
    <row r="21" spans="1:7" ht="12" customHeight="1">
      <c r="A21" s="50" t="s">
        <v>2488</v>
      </c>
      <c r="B21" s="26"/>
      <c r="C21" s="26"/>
      <c r="D21" s="26"/>
      <c r="E21" s="26"/>
      <c r="F21" s="26"/>
      <c r="G21" s="5"/>
    </row>
    <row r="22" spans="1:7" ht="12" customHeight="1">
      <c r="A22" s="12"/>
      <c r="B22" s="26"/>
      <c r="C22" s="26"/>
      <c r="D22" s="26"/>
      <c r="E22" s="26"/>
      <c r="F22" s="26"/>
      <c r="G22" s="5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1705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1706</v>
      </c>
      <c r="F26" s="5"/>
      <c r="G26" s="5"/>
    </row>
    <row r="27" spans="1:7" ht="12" customHeight="1">
      <c r="A27" s="5"/>
      <c r="B27" s="3" t="s">
        <v>1660</v>
      </c>
      <c r="C27" s="3" t="s">
        <v>1661</v>
      </c>
      <c r="D27" s="12" t="s">
        <v>675</v>
      </c>
      <c r="E27" s="3" t="s">
        <v>1567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2" t="s">
        <v>675</v>
      </c>
      <c r="E28" s="3" t="s">
        <v>1707</v>
      </c>
      <c r="F28" s="5"/>
      <c r="G28" s="5"/>
    </row>
    <row r="29" spans="1:7" ht="12" customHeight="1">
      <c r="A29" s="5"/>
      <c r="B29" s="2474" t="s">
        <v>685</v>
      </c>
      <c r="C29" s="2474"/>
      <c r="D29" s="2474"/>
      <c r="E29" s="2474"/>
      <c r="F29" s="2474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65" customHeight="1">
      <c r="A31" s="5"/>
      <c r="B31" s="3" t="s">
        <v>1708</v>
      </c>
      <c r="C31" s="5"/>
      <c r="D31" s="12" t="s">
        <v>853</v>
      </c>
      <c r="E31" s="3" t="s">
        <v>775</v>
      </c>
      <c r="F31" s="5"/>
      <c r="G31" s="5"/>
    </row>
    <row r="32" spans="1:7" ht="12" customHeight="1">
      <c r="A32" s="2484" t="s">
        <v>702</v>
      </c>
      <c r="B32" s="2484"/>
      <c r="C32" s="2484"/>
      <c r="D32" s="2484"/>
      <c r="E32" s="2484"/>
      <c r="F32" s="2484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23.4" customHeight="1">
      <c r="A34" s="5"/>
      <c r="B34" s="2" t="s">
        <v>1664</v>
      </c>
      <c r="C34" s="5"/>
      <c r="D34" s="12" t="s">
        <v>1665</v>
      </c>
      <c r="E34" s="3" t="s">
        <v>733</v>
      </c>
      <c r="F34" s="5"/>
      <c r="G34" s="5"/>
    </row>
    <row r="35" spans="1:7" ht="23.4" customHeight="1">
      <c r="A35" s="5"/>
      <c r="B35" s="2" t="s">
        <v>1666</v>
      </c>
      <c r="C35" s="5"/>
      <c r="D35" s="12" t="s">
        <v>1665</v>
      </c>
      <c r="E35" s="3" t="s">
        <v>1073</v>
      </c>
      <c r="F35" s="5"/>
      <c r="G35" s="5"/>
    </row>
    <row r="36" spans="1:7" ht="12" customHeight="1">
      <c r="A36" s="2490" t="s">
        <v>705</v>
      </c>
      <c r="B36" s="2490"/>
      <c r="C36" s="2490"/>
      <c r="D36" s="2490"/>
      <c r="E36" s="2490"/>
      <c r="F36" s="2490"/>
      <c r="G36" s="5"/>
    </row>
    <row r="37" spans="1:7" ht="12" customHeight="1">
      <c r="A37" s="12" t="s">
        <v>706</v>
      </c>
      <c r="B37" s="2491" t="s">
        <v>707</v>
      </c>
      <c r="C37" s="2491"/>
      <c r="D37" s="2491"/>
      <c r="E37" s="2491"/>
      <c r="F37" s="2491"/>
      <c r="G37" s="5"/>
    </row>
    <row r="38" spans="1:7" ht="12" customHeight="1">
      <c r="A38" s="12" t="s">
        <v>708</v>
      </c>
      <c r="B38" s="2471" t="s">
        <v>709</v>
      </c>
      <c r="C38" s="2471"/>
      <c r="D38" s="2471"/>
      <c r="E38" s="2472" t="s">
        <v>710</v>
      </c>
      <c r="F38" s="2472"/>
      <c r="G38" s="5"/>
    </row>
    <row r="39" spans="1:7" ht="12" customHeight="1">
      <c r="A39" s="12" t="s">
        <v>711</v>
      </c>
      <c r="B39" s="2473" t="s">
        <v>712</v>
      </c>
      <c r="C39" s="2473"/>
      <c r="D39" s="2473"/>
      <c r="E39" s="2473"/>
      <c r="F39" s="2473"/>
      <c r="G39" s="5"/>
    </row>
  </sheetData>
  <mergeCells count="14">
    <mergeCell ref="B9:F9"/>
    <mergeCell ref="A12:F12"/>
    <mergeCell ref="A16:F16"/>
    <mergeCell ref="B17:F17"/>
    <mergeCell ref="B18:D18"/>
    <mergeCell ref="E18:F18"/>
    <mergeCell ref="B38:D38"/>
    <mergeCell ref="E38:F38"/>
    <mergeCell ref="B39:F39"/>
    <mergeCell ref="B19:F19"/>
    <mergeCell ref="B29:F29"/>
    <mergeCell ref="A32:F32"/>
    <mergeCell ref="A36:F36"/>
    <mergeCell ref="B37:F37"/>
  </mergeCells>
  <pageMargins left="0.7" right="0.7" top="0.75" bottom="0.75" header="0.3" footer="0.3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sheetPr codeName="Sheet185"/>
  <dimension ref="A1:G35"/>
  <sheetViews>
    <sheetView workbookViewId="0">
      <selection activeCell="G35" sqref="A1:G35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1" t="s">
        <v>2489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1691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741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801</v>
      </c>
      <c r="F7" s="5"/>
      <c r="G7" s="5"/>
    </row>
    <row r="8" spans="1:7" ht="12" customHeight="1">
      <c r="A8" s="5"/>
      <c r="B8" s="2474" t="s">
        <v>685</v>
      </c>
      <c r="C8" s="2474"/>
      <c r="D8" s="2474"/>
      <c r="E8" s="2474"/>
      <c r="F8" s="2474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65" customHeight="1">
      <c r="A10" s="5"/>
      <c r="B10" s="3" t="s">
        <v>1709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2484" t="s">
        <v>702</v>
      </c>
      <c r="B11" s="2484"/>
      <c r="C11" s="2484"/>
      <c r="D11" s="2484"/>
      <c r="E11" s="2484"/>
      <c r="F11" s="2484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" customHeight="1">
      <c r="A13" s="5"/>
      <c r="B13" s="2" t="s">
        <v>1666</v>
      </c>
      <c r="C13" s="5"/>
      <c r="D13" s="12" t="s">
        <v>1665</v>
      </c>
      <c r="E13" s="3" t="s">
        <v>783</v>
      </c>
      <c r="F13" s="5"/>
      <c r="G13" s="5"/>
    </row>
    <row r="14" spans="1:7" ht="12" customHeight="1">
      <c r="A14" s="2490" t="s">
        <v>705</v>
      </c>
      <c r="B14" s="2490"/>
      <c r="C14" s="2490"/>
      <c r="D14" s="2490"/>
      <c r="E14" s="2490"/>
      <c r="F14" s="2490"/>
      <c r="G14" s="5"/>
    </row>
    <row r="15" spans="1:7" ht="12" customHeight="1">
      <c r="A15" s="12" t="s">
        <v>706</v>
      </c>
      <c r="B15" s="2491" t="s">
        <v>707</v>
      </c>
      <c r="C15" s="2491"/>
      <c r="D15" s="2491"/>
      <c r="E15" s="2491"/>
      <c r="F15" s="2491"/>
      <c r="G15" s="5"/>
    </row>
    <row r="16" spans="1:7" ht="12" customHeight="1">
      <c r="A16" s="12" t="s">
        <v>708</v>
      </c>
      <c r="B16" s="2471" t="s">
        <v>709</v>
      </c>
      <c r="C16" s="2471"/>
      <c r="D16" s="2471"/>
      <c r="E16" s="2472" t="s">
        <v>710</v>
      </c>
      <c r="F16" s="2472"/>
      <c r="G16" s="5"/>
    </row>
    <row r="17" spans="1:7" ht="12" customHeight="1">
      <c r="A17" s="12" t="s">
        <v>711</v>
      </c>
      <c r="B17" s="2473" t="s">
        <v>712</v>
      </c>
      <c r="C17" s="2473"/>
      <c r="D17" s="2473"/>
      <c r="E17" s="2473"/>
      <c r="F17" s="2473"/>
      <c r="G17" s="5"/>
    </row>
    <row r="18" spans="1:7" ht="12" customHeight="1">
      <c r="A18" s="12"/>
      <c r="B18" s="26"/>
      <c r="C18" s="26"/>
      <c r="D18" s="26"/>
      <c r="E18" s="26"/>
      <c r="F18" s="26"/>
      <c r="G18" s="5"/>
    </row>
    <row r="19" spans="1:7" ht="12" customHeight="1">
      <c r="A19" s="50" t="s">
        <v>2490</v>
      </c>
      <c r="B19" s="26"/>
      <c r="C19" s="26"/>
      <c r="D19" s="26"/>
      <c r="E19" s="26"/>
      <c r="F19" s="26"/>
      <c r="G19" s="5"/>
    </row>
    <row r="20" spans="1:7" ht="12" customHeight="1">
      <c r="A20" s="12"/>
      <c r="B20" s="26"/>
      <c r="C20" s="26"/>
      <c r="D20" s="26"/>
      <c r="E20" s="26"/>
      <c r="F20" s="26"/>
      <c r="G20" s="5"/>
    </row>
    <row r="21" spans="1:7" ht="35.1" customHeight="1">
      <c r="A21" s="6" t="s">
        <v>762</v>
      </c>
      <c r="B21" s="6" t="s">
        <v>763</v>
      </c>
      <c r="C21" s="6" t="s">
        <v>764</v>
      </c>
      <c r="D21" s="6" t="s">
        <v>765</v>
      </c>
      <c r="E21" s="6" t="s">
        <v>766</v>
      </c>
      <c r="F21" s="7" t="s">
        <v>767</v>
      </c>
      <c r="G21" s="7" t="s">
        <v>768</v>
      </c>
    </row>
    <row r="22" spans="1:7" ht="12" customHeight="1">
      <c r="A22" s="12" t="s">
        <v>671</v>
      </c>
      <c r="B22" s="3" t="s">
        <v>672</v>
      </c>
      <c r="C22" s="5"/>
      <c r="D22" s="5"/>
      <c r="E22" s="5"/>
      <c r="F22" s="5"/>
      <c r="G22" s="5"/>
    </row>
    <row r="23" spans="1:7" ht="12" customHeight="1">
      <c r="A23" s="5"/>
      <c r="B23" s="3" t="s">
        <v>673</v>
      </c>
      <c r="C23" s="3" t="s">
        <v>674</v>
      </c>
      <c r="D23" s="12" t="s">
        <v>675</v>
      </c>
      <c r="E23" s="3" t="s">
        <v>1710</v>
      </c>
      <c r="F23" s="5"/>
      <c r="G23" s="5"/>
    </row>
    <row r="24" spans="1:7" ht="12" customHeight="1">
      <c r="A24" s="5"/>
      <c r="B24" s="3" t="s">
        <v>1480</v>
      </c>
      <c r="C24" s="3" t="s">
        <v>678</v>
      </c>
      <c r="D24" s="12" t="s">
        <v>675</v>
      </c>
      <c r="E24" s="3" t="s">
        <v>1711</v>
      </c>
      <c r="F24" s="5"/>
      <c r="G24" s="5"/>
    </row>
    <row r="25" spans="1:7" ht="12" customHeight="1">
      <c r="A25" s="5"/>
      <c r="B25" s="3" t="s">
        <v>683</v>
      </c>
      <c r="C25" s="3" t="s">
        <v>684</v>
      </c>
      <c r="D25" s="12" t="s">
        <v>675</v>
      </c>
      <c r="E25" s="3" t="s">
        <v>1682</v>
      </c>
      <c r="F25" s="5"/>
      <c r="G25" s="5"/>
    </row>
    <row r="26" spans="1:7" ht="12" customHeight="1">
      <c r="A26" s="5"/>
      <c r="B26" s="2474" t="s">
        <v>685</v>
      </c>
      <c r="C26" s="2474"/>
      <c r="D26" s="2474"/>
      <c r="E26" s="2474"/>
      <c r="F26" s="2474"/>
      <c r="G26" s="5"/>
    </row>
    <row r="27" spans="1:7" ht="12" customHeight="1">
      <c r="A27" s="12" t="s">
        <v>686</v>
      </c>
      <c r="B27" s="3" t="s">
        <v>687</v>
      </c>
      <c r="C27" s="5"/>
      <c r="D27" s="5"/>
      <c r="E27" s="5"/>
      <c r="F27" s="5"/>
      <c r="G27" s="5"/>
    </row>
    <row r="28" spans="1:7" ht="13.65" customHeight="1">
      <c r="A28" s="5"/>
      <c r="B28" s="3" t="s">
        <v>1712</v>
      </c>
      <c r="C28" s="5"/>
      <c r="D28" s="12" t="s">
        <v>853</v>
      </c>
      <c r="E28" s="3" t="s">
        <v>775</v>
      </c>
      <c r="F28" s="5"/>
      <c r="G28" s="5"/>
    </row>
    <row r="29" spans="1:7" ht="12" customHeight="1">
      <c r="A29" s="2484" t="s">
        <v>702</v>
      </c>
      <c r="B29" s="2484"/>
      <c r="C29" s="2484"/>
      <c r="D29" s="2484"/>
      <c r="E29" s="2484"/>
      <c r="F29" s="2484"/>
      <c r="G29" s="5"/>
    </row>
    <row r="30" spans="1:7" ht="12" customHeight="1">
      <c r="A30" s="12" t="s">
        <v>703</v>
      </c>
      <c r="B30" s="3" t="s">
        <v>704</v>
      </c>
      <c r="C30" s="5"/>
      <c r="D30" s="5"/>
      <c r="E30" s="5"/>
      <c r="F30" s="5"/>
      <c r="G30" s="5"/>
    </row>
    <row r="31" spans="1:7" ht="23.4" customHeight="1">
      <c r="A31" s="5"/>
      <c r="B31" s="2" t="s">
        <v>1666</v>
      </c>
      <c r="C31" s="5"/>
      <c r="D31" s="12" t="s">
        <v>1665</v>
      </c>
      <c r="E31" s="3" t="s">
        <v>783</v>
      </c>
      <c r="F31" s="5"/>
      <c r="G31" s="5"/>
    </row>
    <row r="32" spans="1:7" ht="12" customHeight="1">
      <c r="A32" s="2490" t="s">
        <v>705</v>
      </c>
      <c r="B32" s="2490"/>
      <c r="C32" s="2490"/>
      <c r="D32" s="2490"/>
      <c r="E32" s="2490"/>
      <c r="F32" s="2490"/>
      <c r="G32" s="5"/>
    </row>
    <row r="33" spans="1:7" ht="12" customHeight="1">
      <c r="A33" s="12" t="s">
        <v>706</v>
      </c>
      <c r="B33" s="2491" t="s">
        <v>707</v>
      </c>
      <c r="C33" s="2491"/>
      <c r="D33" s="2491"/>
      <c r="E33" s="2491"/>
      <c r="F33" s="2491"/>
      <c r="G33" s="5"/>
    </row>
    <row r="34" spans="1:7" ht="12" customHeight="1">
      <c r="A34" s="12" t="s">
        <v>708</v>
      </c>
      <c r="B34" s="2471" t="s">
        <v>709</v>
      </c>
      <c r="C34" s="2471"/>
      <c r="D34" s="2471"/>
      <c r="E34" s="2472" t="s">
        <v>710</v>
      </c>
      <c r="F34" s="2472"/>
      <c r="G34" s="5"/>
    </row>
    <row r="35" spans="1:7" ht="12" customHeight="1">
      <c r="A35" s="12" t="s">
        <v>711</v>
      </c>
      <c r="B35" s="2473" t="s">
        <v>712</v>
      </c>
      <c r="C35" s="2473"/>
      <c r="D35" s="2473"/>
      <c r="E35" s="2473"/>
      <c r="F35" s="2473"/>
      <c r="G35" s="5"/>
    </row>
  </sheetData>
  <mergeCells count="14">
    <mergeCell ref="B8:F8"/>
    <mergeCell ref="A11:F11"/>
    <mergeCell ref="A14:F14"/>
    <mergeCell ref="B15:F15"/>
    <mergeCell ref="B16:D16"/>
    <mergeCell ref="E16:F16"/>
    <mergeCell ref="B34:D34"/>
    <mergeCell ref="E34:F34"/>
    <mergeCell ref="B35:F35"/>
    <mergeCell ref="B17:F17"/>
    <mergeCell ref="B26:F26"/>
    <mergeCell ref="A29:F29"/>
    <mergeCell ref="A32:F32"/>
    <mergeCell ref="B33:F33"/>
  </mergeCells>
  <pageMargins left="0.7" right="0.7" top="0.75" bottom="0.75" header="0.3" footer="0.3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sheetPr codeName="Sheet186"/>
  <dimension ref="A1:G35"/>
  <sheetViews>
    <sheetView workbookViewId="0">
      <selection activeCell="G35" sqref="A1:G35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2491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1713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1105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957</v>
      </c>
      <c r="F7" s="5"/>
      <c r="G7" s="5"/>
    </row>
    <row r="8" spans="1:7" ht="12" customHeight="1">
      <c r="A8" s="5"/>
      <c r="B8" s="2474" t="s">
        <v>685</v>
      </c>
      <c r="C8" s="2474"/>
      <c r="D8" s="2474"/>
      <c r="E8" s="2474"/>
      <c r="F8" s="2474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65" customHeight="1">
      <c r="A10" s="5"/>
      <c r="B10" s="3" t="s">
        <v>1714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2484" t="s">
        <v>702</v>
      </c>
      <c r="B11" s="2484"/>
      <c r="C11" s="2484"/>
      <c r="D11" s="2484"/>
      <c r="E11" s="2484"/>
      <c r="F11" s="2484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" customHeight="1">
      <c r="A13" s="5"/>
      <c r="B13" s="2" t="s">
        <v>1666</v>
      </c>
      <c r="C13" s="5"/>
      <c r="D13" s="12" t="s">
        <v>1665</v>
      </c>
      <c r="E13" s="3" t="s">
        <v>783</v>
      </c>
      <c r="F13" s="5"/>
      <c r="G13" s="5"/>
    </row>
    <row r="14" spans="1:7" ht="12" customHeight="1">
      <c r="A14" s="2490" t="s">
        <v>705</v>
      </c>
      <c r="B14" s="2490"/>
      <c r="C14" s="2490"/>
      <c r="D14" s="2490"/>
      <c r="E14" s="2490"/>
      <c r="F14" s="2490"/>
      <c r="G14" s="5"/>
    </row>
    <row r="15" spans="1:7" ht="12" customHeight="1">
      <c r="A15" s="12" t="s">
        <v>706</v>
      </c>
      <c r="B15" s="2491" t="s">
        <v>707</v>
      </c>
      <c r="C15" s="2491"/>
      <c r="D15" s="2491"/>
      <c r="E15" s="2491"/>
      <c r="F15" s="2491"/>
      <c r="G15" s="5"/>
    </row>
    <row r="16" spans="1:7" ht="12" customHeight="1">
      <c r="A16" s="12" t="s">
        <v>708</v>
      </c>
      <c r="B16" s="2471" t="s">
        <v>709</v>
      </c>
      <c r="C16" s="2471"/>
      <c r="D16" s="2471"/>
      <c r="E16" s="2472" t="s">
        <v>710</v>
      </c>
      <c r="F16" s="2472"/>
      <c r="G16" s="5"/>
    </row>
    <row r="17" spans="1:7" ht="12" customHeight="1">
      <c r="A17" s="12" t="s">
        <v>711</v>
      </c>
      <c r="B17" s="2473" t="s">
        <v>712</v>
      </c>
      <c r="C17" s="2473"/>
      <c r="D17" s="2473"/>
      <c r="E17" s="2473"/>
      <c r="F17" s="2473"/>
      <c r="G17" s="5"/>
    </row>
    <row r="18" spans="1:7" ht="12" customHeight="1">
      <c r="A18" s="12"/>
      <c r="B18" s="26"/>
      <c r="C18" s="26"/>
      <c r="D18" s="26"/>
      <c r="E18" s="26"/>
      <c r="F18" s="26"/>
      <c r="G18" s="5"/>
    </row>
    <row r="19" spans="1:7" ht="12" customHeight="1">
      <c r="A19" s="50" t="s">
        <v>2492</v>
      </c>
      <c r="B19" s="26"/>
      <c r="C19" s="26"/>
      <c r="D19" s="26"/>
      <c r="E19" s="26"/>
      <c r="F19" s="26"/>
      <c r="G19" s="5"/>
    </row>
    <row r="20" spans="1:7" ht="12" customHeight="1">
      <c r="A20" s="12"/>
      <c r="B20" s="26"/>
      <c r="C20" s="26"/>
      <c r="D20" s="26"/>
      <c r="E20" s="26"/>
      <c r="F20" s="26"/>
      <c r="G20" s="5"/>
    </row>
    <row r="21" spans="1:7" ht="35.1" customHeight="1">
      <c r="A21" s="6" t="s">
        <v>762</v>
      </c>
      <c r="B21" s="6" t="s">
        <v>763</v>
      </c>
      <c r="C21" s="6" t="s">
        <v>764</v>
      </c>
      <c r="D21" s="6" t="s">
        <v>765</v>
      </c>
      <c r="E21" s="6" t="s">
        <v>766</v>
      </c>
      <c r="F21" s="7" t="s">
        <v>767</v>
      </c>
      <c r="G21" s="7" t="s">
        <v>768</v>
      </c>
    </row>
    <row r="22" spans="1:7" ht="12" customHeight="1">
      <c r="A22" s="12" t="s">
        <v>671</v>
      </c>
      <c r="B22" s="3" t="s">
        <v>672</v>
      </c>
      <c r="C22" s="5"/>
      <c r="D22" s="5"/>
      <c r="E22" s="5"/>
      <c r="F22" s="5"/>
      <c r="G22" s="5"/>
    </row>
    <row r="23" spans="1:7" ht="12" customHeight="1">
      <c r="A23" s="5"/>
      <c r="B23" s="3" t="s">
        <v>673</v>
      </c>
      <c r="C23" s="3" t="s">
        <v>674</v>
      </c>
      <c r="D23" s="12" t="s">
        <v>675</v>
      </c>
      <c r="E23" s="3" t="s">
        <v>1715</v>
      </c>
      <c r="F23" s="5"/>
      <c r="G23" s="5"/>
    </row>
    <row r="24" spans="1:7" ht="12" customHeight="1">
      <c r="A24" s="5"/>
      <c r="B24" s="3" t="s">
        <v>1480</v>
      </c>
      <c r="C24" s="3" t="s">
        <v>678</v>
      </c>
      <c r="D24" s="12" t="s">
        <v>675</v>
      </c>
      <c r="E24" s="3" t="s">
        <v>1716</v>
      </c>
      <c r="F24" s="5"/>
      <c r="G24" s="5"/>
    </row>
    <row r="25" spans="1:7" ht="12" customHeight="1">
      <c r="A25" s="5"/>
      <c r="B25" s="3" t="s">
        <v>683</v>
      </c>
      <c r="C25" s="3" t="s">
        <v>684</v>
      </c>
      <c r="D25" s="12" t="s">
        <v>675</v>
      </c>
      <c r="E25" s="3" t="s">
        <v>914</v>
      </c>
      <c r="F25" s="5"/>
      <c r="G25" s="5"/>
    </row>
    <row r="26" spans="1:7" ht="12" customHeight="1">
      <c r="A26" s="5"/>
      <c r="B26" s="2474" t="s">
        <v>685</v>
      </c>
      <c r="C26" s="2474"/>
      <c r="D26" s="2474"/>
      <c r="E26" s="2474"/>
      <c r="F26" s="2474"/>
      <c r="G26" s="5"/>
    </row>
    <row r="27" spans="1:7" ht="12" customHeight="1">
      <c r="A27" s="12" t="s">
        <v>686</v>
      </c>
      <c r="B27" s="3" t="s">
        <v>687</v>
      </c>
      <c r="C27" s="5"/>
      <c r="D27" s="5"/>
      <c r="E27" s="5"/>
      <c r="F27" s="5"/>
      <c r="G27" s="5"/>
    </row>
    <row r="28" spans="1:7" ht="13.65" customHeight="1">
      <c r="A28" s="5"/>
      <c r="B28" s="3" t="s">
        <v>1717</v>
      </c>
      <c r="C28" s="5"/>
      <c r="D28" s="12" t="s">
        <v>853</v>
      </c>
      <c r="E28" s="3" t="s">
        <v>775</v>
      </c>
      <c r="F28" s="5"/>
      <c r="G28" s="5"/>
    </row>
    <row r="29" spans="1:7" ht="12" customHeight="1">
      <c r="A29" s="2484" t="s">
        <v>702</v>
      </c>
      <c r="B29" s="2484"/>
      <c r="C29" s="2484"/>
      <c r="D29" s="2484"/>
      <c r="E29" s="2484"/>
      <c r="F29" s="2484"/>
      <c r="G29" s="5"/>
    </row>
    <row r="30" spans="1:7" ht="12" customHeight="1">
      <c r="A30" s="12" t="s">
        <v>703</v>
      </c>
      <c r="B30" s="3" t="s">
        <v>704</v>
      </c>
      <c r="C30" s="5"/>
      <c r="D30" s="5"/>
      <c r="E30" s="5"/>
      <c r="F30" s="5"/>
      <c r="G30" s="5"/>
    </row>
    <row r="31" spans="1:7" ht="23.4" customHeight="1">
      <c r="A31" s="5"/>
      <c r="B31" s="2" t="s">
        <v>1666</v>
      </c>
      <c r="C31" s="5"/>
      <c r="D31" s="12" t="s">
        <v>1665</v>
      </c>
      <c r="E31" s="3" t="s">
        <v>783</v>
      </c>
      <c r="F31" s="5"/>
      <c r="G31" s="5"/>
    </row>
    <row r="32" spans="1:7" ht="12" customHeight="1">
      <c r="A32" s="2490" t="s">
        <v>705</v>
      </c>
      <c r="B32" s="2490"/>
      <c r="C32" s="2490"/>
      <c r="D32" s="2490"/>
      <c r="E32" s="2490"/>
      <c r="F32" s="2490"/>
      <c r="G32" s="5"/>
    </row>
    <row r="33" spans="1:7" ht="12" customHeight="1">
      <c r="A33" s="12" t="s">
        <v>706</v>
      </c>
      <c r="B33" s="2491" t="s">
        <v>707</v>
      </c>
      <c r="C33" s="2491"/>
      <c r="D33" s="2491"/>
      <c r="E33" s="2491"/>
      <c r="F33" s="2491"/>
      <c r="G33" s="5"/>
    </row>
    <row r="34" spans="1:7" ht="12" customHeight="1">
      <c r="A34" s="12" t="s">
        <v>708</v>
      </c>
      <c r="B34" s="2471" t="s">
        <v>709</v>
      </c>
      <c r="C34" s="2471"/>
      <c r="D34" s="2471"/>
      <c r="E34" s="2472" t="s">
        <v>710</v>
      </c>
      <c r="F34" s="2472"/>
      <c r="G34" s="5"/>
    </row>
    <row r="35" spans="1:7" ht="12" customHeight="1">
      <c r="A35" s="12" t="s">
        <v>711</v>
      </c>
      <c r="B35" s="2473" t="s">
        <v>712</v>
      </c>
      <c r="C35" s="2473"/>
      <c r="D35" s="2473"/>
      <c r="E35" s="2473"/>
      <c r="F35" s="2473"/>
      <c r="G35" s="5"/>
    </row>
  </sheetData>
  <mergeCells count="14">
    <mergeCell ref="B8:F8"/>
    <mergeCell ref="A11:F11"/>
    <mergeCell ref="A14:F14"/>
    <mergeCell ref="B15:F15"/>
    <mergeCell ref="B16:D16"/>
    <mergeCell ref="E16:F16"/>
    <mergeCell ref="B34:D34"/>
    <mergeCell ref="E34:F34"/>
    <mergeCell ref="B35:F35"/>
    <mergeCell ref="B17:F17"/>
    <mergeCell ref="B26:F26"/>
    <mergeCell ref="A29:F29"/>
    <mergeCell ref="A32:F32"/>
    <mergeCell ref="B33:F33"/>
  </mergeCells>
  <pageMargins left="0.7" right="0.7" top="0.75" bottom="0.75" header="0.3" footer="0.3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sheetPr codeName="Sheet187"/>
  <dimension ref="A1:G35"/>
  <sheetViews>
    <sheetView workbookViewId="0">
      <selection activeCell="G35" sqref="A1:G35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2493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1718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1719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1720</v>
      </c>
      <c r="F7" s="5"/>
      <c r="G7" s="5"/>
    </row>
    <row r="8" spans="1:7" ht="12" customHeight="1">
      <c r="A8" s="5"/>
      <c r="B8" s="2474" t="s">
        <v>685</v>
      </c>
      <c r="C8" s="2474"/>
      <c r="D8" s="2474"/>
      <c r="E8" s="2474"/>
      <c r="F8" s="2474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65" customHeight="1">
      <c r="A10" s="5"/>
      <c r="B10" s="3" t="s">
        <v>1721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2484" t="s">
        <v>702</v>
      </c>
      <c r="B11" s="2484"/>
      <c r="C11" s="2484"/>
      <c r="D11" s="2484"/>
      <c r="E11" s="2484"/>
      <c r="F11" s="2484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" customHeight="1">
      <c r="A13" s="5"/>
      <c r="B13" s="2" t="s">
        <v>1666</v>
      </c>
      <c r="C13" s="5"/>
      <c r="D13" s="12" t="s">
        <v>1665</v>
      </c>
      <c r="E13" s="3" t="s">
        <v>783</v>
      </c>
      <c r="F13" s="5"/>
      <c r="G13" s="5"/>
    </row>
    <row r="14" spans="1:7" ht="12" customHeight="1">
      <c r="A14" s="2490" t="s">
        <v>705</v>
      </c>
      <c r="B14" s="2490"/>
      <c r="C14" s="2490"/>
      <c r="D14" s="2490"/>
      <c r="E14" s="2490"/>
      <c r="F14" s="2490"/>
      <c r="G14" s="5"/>
    </row>
    <row r="15" spans="1:7" ht="12" customHeight="1">
      <c r="A15" s="12" t="s">
        <v>706</v>
      </c>
      <c r="B15" s="2491" t="s">
        <v>707</v>
      </c>
      <c r="C15" s="2491"/>
      <c r="D15" s="2491"/>
      <c r="E15" s="2491"/>
      <c r="F15" s="2491"/>
      <c r="G15" s="5"/>
    </row>
    <row r="16" spans="1:7" ht="12" customHeight="1">
      <c r="A16" s="12" t="s">
        <v>708</v>
      </c>
      <c r="B16" s="2471" t="s">
        <v>709</v>
      </c>
      <c r="C16" s="2471"/>
      <c r="D16" s="2471"/>
      <c r="E16" s="2472" t="s">
        <v>710</v>
      </c>
      <c r="F16" s="2472"/>
      <c r="G16" s="5"/>
    </row>
    <row r="17" spans="1:7" ht="12" customHeight="1">
      <c r="A17" s="12" t="s">
        <v>711</v>
      </c>
      <c r="B17" s="2473" t="s">
        <v>712</v>
      </c>
      <c r="C17" s="2473"/>
      <c r="D17" s="2473"/>
      <c r="E17" s="2473"/>
      <c r="F17" s="2473"/>
      <c r="G17" s="5"/>
    </row>
    <row r="18" spans="1:7" ht="12" customHeight="1">
      <c r="A18" s="12"/>
      <c r="B18" s="26"/>
      <c r="C18" s="26"/>
      <c r="D18" s="26"/>
      <c r="E18" s="26"/>
      <c r="F18" s="26"/>
      <c r="G18" s="5"/>
    </row>
    <row r="19" spans="1:7" ht="12" customHeight="1">
      <c r="A19" s="50" t="s">
        <v>2494</v>
      </c>
      <c r="B19" s="26"/>
      <c r="C19" s="26"/>
      <c r="D19" s="26"/>
      <c r="E19" s="26"/>
      <c r="F19" s="26"/>
      <c r="G19" s="5"/>
    </row>
    <row r="20" spans="1:7" ht="12" customHeight="1">
      <c r="A20" s="12"/>
      <c r="B20" s="26"/>
      <c r="C20" s="26"/>
      <c r="D20" s="26"/>
      <c r="E20" s="26"/>
      <c r="F20" s="26"/>
      <c r="G20" s="5"/>
    </row>
    <row r="21" spans="1:7" ht="35.1" customHeight="1">
      <c r="A21" s="6" t="s">
        <v>762</v>
      </c>
      <c r="B21" s="6" t="s">
        <v>763</v>
      </c>
      <c r="C21" s="6" t="s">
        <v>764</v>
      </c>
      <c r="D21" s="6" t="s">
        <v>765</v>
      </c>
      <c r="E21" s="6" t="s">
        <v>766</v>
      </c>
      <c r="F21" s="7" t="s">
        <v>767</v>
      </c>
      <c r="G21" s="7" t="s">
        <v>768</v>
      </c>
    </row>
    <row r="22" spans="1:7" ht="12" customHeight="1">
      <c r="A22" s="12" t="s">
        <v>671</v>
      </c>
      <c r="B22" s="3" t="s">
        <v>672</v>
      </c>
      <c r="C22" s="5"/>
      <c r="D22" s="5"/>
      <c r="E22" s="5"/>
      <c r="F22" s="5"/>
      <c r="G22" s="5"/>
    </row>
    <row r="23" spans="1:7" ht="12" customHeight="1">
      <c r="A23" s="5"/>
      <c r="B23" s="3" t="s">
        <v>673</v>
      </c>
      <c r="C23" s="3" t="s">
        <v>674</v>
      </c>
      <c r="D23" s="12" t="s">
        <v>675</v>
      </c>
      <c r="E23" s="3" t="s">
        <v>1722</v>
      </c>
      <c r="F23" s="5"/>
      <c r="G23" s="5"/>
    </row>
    <row r="24" spans="1:7" ht="12" customHeight="1">
      <c r="A24" s="5"/>
      <c r="B24" s="3" t="s">
        <v>1480</v>
      </c>
      <c r="C24" s="3" t="s">
        <v>678</v>
      </c>
      <c r="D24" s="12" t="s">
        <v>675</v>
      </c>
      <c r="E24" s="3" t="s">
        <v>874</v>
      </c>
      <c r="F24" s="5"/>
      <c r="G24" s="5"/>
    </row>
    <row r="25" spans="1:7" ht="12" customHeight="1">
      <c r="A25" s="5"/>
      <c r="B25" s="3" t="s">
        <v>683</v>
      </c>
      <c r="C25" s="3" t="s">
        <v>684</v>
      </c>
      <c r="D25" s="12" t="s">
        <v>675</v>
      </c>
      <c r="E25" s="3" t="s">
        <v>1549</v>
      </c>
      <c r="F25" s="5"/>
      <c r="G25" s="5"/>
    </row>
    <row r="26" spans="1:7" ht="12" customHeight="1">
      <c r="A26" s="5"/>
      <c r="B26" s="2474" t="s">
        <v>685</v>
      </c>
      <c r="C26" s="2474"/>
      <c r="D26" s="2474"/>
      <c r="E26" s="2474"/>
      <c r="F26" s="2474"/>
      <c r="G26" s="5"/>
    </row>
    <row r="27" spans="1:7" ht="12" customHeight="1">
      <c r="A27" s="12" t="s">
        <v>686</v>
      </c>
      <c r="B27" s="3" t="s">
        <v>687</v>
      </c>
      <c r="C27" s="5"/>
      <c r="D27" s="5"/>
      <c r="E27" s="5"/>
      <c r="F27" s="5"/>
      <c r="G27" s="5"/>
    </row>
    <row r="28" spans="1:7" ht="13.65" customHeight="1">
      <c r="A28" s="5"/>
      <c r="B28" s="3" t="s">
        <v>1723</v>
      </c>
      <c r="C28" s="5"/>
      <c r="D28" s="12" t="s">
        <v>853</v>
      </c>
      <c r="E28" s="3" t="s">
        <v>775</v>
      </c>
      <c r="F28" s="5"/>
      <c r="G28" s="5"/>
    </row>
    <row r="29" spans="1:7" ht="12" customHeight="1">
      <c r="A29" s="2484" t="s">
        <v>702</v>
      </c>
      <c r="B29" s="2484"/>
      <c r="C29" s="2484"/>
      <c r="D29" s="2484"/>
      <c r="E29" s="2484"/>
      <c r="F29" s="2484"/>
      <c r="G29" s="5"/>
    </row>
    <row r="30" spans="1:7" ht="12" customHeight="1">
      <c r="A30" s="12" t="s">
        <v>703</v>
      </c>
      <c r="B30" s="3" t="s">
        <v>704</v>
      </c>
      <c r="C30" s="5"/>
      <c r="D30" s="5"/>
      <c r="E30" s="5"/>
      <c r="F30" s="5"/>
      <c r="G30" s="5"/>
    </row>
    <row r="31" spans="1:7" ht="23.4" customHeight="1">
      <c r="A31" s="5"/>
      <c r="B31" s="2" t="s">
        <v>1666</v>
      </c>
      <c r="C31" s="5"/>
      <c r="D31" s="12" t="s">
        <v>1665</v>
      </c>
      <c r="E31" s="3" t="s">
        <v>783</v>
      </c>
      <c r="F31" s="5"/>
      <c r="G31" s="5"/>
    </row>
    <row r="32" spans="1:7" ht="12" customHeight="1">
      <c r="A32" s="2490" t="s">
        <v>705</v>
      </c>
      <c r="B32" s="2490"/>
      <c r="C32" s="2490"/>
      <c r="D32" s="2490"/>
      <c r="E32" s="2490"/>
      <c r="F32" s="2490"/>
      <c r="G32" s="5"/>
    </row>
    <row r="33" spans="1:7" ht="12" customHeight="1">
      <c r="A33" s="12" t="s">
        <v>706</v>
      </c>
      <c r="B33" s="2491" t="s">
        <v>707</v>
      </c>
      <c r="C33" s="2491"/>
      <c r="D33" s="2491"/>
      <c r="E33" s="2491"/>
      <c r="F33" s="2491"/>
      <c r="G33" s="5"/>
    </row>
    <row r="34" spans="1:7" ht="12" customHeight="1">
      <c r="A34" s="12" t="s">
        <v>708</v>
      </c>
      <c r="B34" s="2471" t="s">
        <v>709</v>
      </c>
      <c r="C34" s="2471"/>
      <c r="D34" s="2471"/>
      <c r="E34" s="2472" t="s">
        <v>710</v>
      </c>
      <c r="F34" s="2472"/>
      <c r="G34" s="5"/>
    </row>
    <row r="35" spans="1:7" ht="12" customHeight="1">
      <c r="A35" s="12" t="s">
        <v>711</v>
      </c>
      <c r="B35" s="2473" t="s">
        <v>712</v>
      </c>
      <c r="C35" s="2473"/>
      <c r="D35" s="2473"/>
      <c r="E35" s="2473"/>
      <c r="F35" s="2473"/>
      <c r="G35" s="5"/>
    </row>
  </sheetData>
  <mergeCells count="14">
    <mergeCell ref="B8:F8"/>
    <mergeCell ref="A11:F11"/>
    <mergeCell ref="A14:F14"/>
    <mergeCell ref="B15:F15"/>
    <mergeCell ref="B16:D16"/>
    <mergeCell ref="E16:F16"/>
    <mergeCell ref="B34:D34"/>
    <mergeCell ref="E34:F34"/>
    <mergeCell ref="B35:F35"/>
    <mergeCell ref="B17:F17"/>
    <mergeCell ref="B26:F26"/>
    <mergeCell ref="A29:F29"/>
    <mergeCell ref="A32:F32"/>
    <mergeCell ref="B33:F33"/>
  </mergeCells>
  <pageMargins left="0.7" right="0.7" top="0.75" bottom="0.75" header="0.3" footer="0.3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sheetPr codeName="Sheet188"/>
  <dimension ref="A1:G36"/>
  <sheetViews>
    <sheetView workbookViewId="0">
      <selection activeCell="G36" sqref="A1:G36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2495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1724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877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1725</v>
      </c>
      <c r="F7" s="5"/>
      <c r="G7" s="5"/>
    </row>
    <row r="8" spans="1:7" ht="12" customHeight="1">
      <c r="A8" s="5"/>
      <c r="B8" s="2474" t="s">
        <v>685</v>
      </c>
      <c r="C8" s="2474"/>
      <c r="D8" s="2474"/>
      <c r="E8" s="2474"/>
      <c r="F8" s="2474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65" customHeight="1">
      <c r="A10" s="5"/>
      <c r="B10" s="3" t="s">
        <v>1726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2484" t="s">
        <v>702</v>
      </c>
      <c r="B11" s="2484"/>
      <c r="C11" s="2484"/>
      <c r="D11" s="2484"/>
      <c r="E11" s="2484"/>
      <c r="F11" s="2484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" customHeight="1">
      <c r="A13" s="5"/>
      <c r="B13" s="2" t="s">
        <v>1666</v>
      </c>
      <c r="C13" s="5"/>
      <c r="D13" s="12" t="s">
        <v>1665</v>
      </c>
      <c r="E13" s="3" t="s">
        <v>783</v>
      </c>
      <c r="F13" s="5"/>
      <c r="G13" s="5"/>
    </row>
    <row r="14" spans="1:7" ht="12" customHeight="1">
      <c r="A14" s="2490" t="s">
        <v>705</v>
      </c>
      <c r="B14" s="2490"/>
      <c r="C14" s="2490"/>
      <c r="D14" s="2490"/>
      <c r="E14" s="2490"/>
      <c r="F14" s="2490"/>
      <c r="G14" s="5"/>
    </row>
    <row r="15" spans="1:7" ht="12" customHeight="1">
      <c r="A15" s="12" t="s">
        <v>706</v>
      </c>
      <c r="B15" s="2491" t="s">
        <v>707</v>
      </c>
      <c r="C15" s="2491"/>
      <c r="D15" s="2491"/>
      <c r="E15" s="2491"/>
      <c r="F15" s="2491"/>
      <c r="G15" s="5"/>
    </row>
    <row r="16" spans="1:7" ht="12" customHeight="1">
      <c r="A16" s="12" t="s">
        <v>708</v>
      </c>
      <c r="B16" s="2471" t="s">
        <v>709</v>
      </c>
      <c r="C16" s="2471"/>
      <c r="D16" s="2471"/>
      <c r="E16" s="2472" t="s">
        <v>710</v>
      </c>
      <c r="F16" s="2472"/>
      <c r="G16" s="5"/>
    </row>
    <row r="17" spans="1:7" ht="12" customHeight="1">
      <c r="A17" s="12" t="s">
        <v>711</v>
      </c>
      <c r="B17" s="2473" t="s">
        <v>712</v>
      </c>
      <c r="C17" s="2473"/>
      <c r="D17" s="2473"/>
      <c r="E17" s="2473"/>
      <c r="F17" s="2473"/>
      <c r="G17" s="5"/>
    </row>
    <row r="18" spans="1:7" ht="12" customHeight="1">
      <c r="A18" s="12"/>
      <c r="B18" s="26"/>
      <c r="C18" s="26"/>
      <c r="D18" s="26"/>
      <c r="E18" s="26"/>
      <c r="F18" s="26"/>
      <c r="G18" s="5"/>
    </row>
    <row r="19" spans="1:7" ht="12" customHeight="1">
      <c r="A19" s="50" t="s">
        <v>2496</v>
      </c>
      <c r="B19" s="26"/>
      <c r="C19" s="26"/>
      <c r="D19" s="26"/>
      <c r="E19" s="26"/>
      <c r="F19" s="26"/>
      <c r="G19" s="5"/>
    </row>
    <row r="20" spans="1:7" ht="12" customHeight="1">
      <c r="A20" s="12"/>
      <c r="B20" s="26"/>
      <c r="C20" s="26"/>
      <c r="D20" s="26"/>
      <c r="E20" s="26"/>
      <c r="F20" s="26"/>
      <c r="G20" s="5"/>
    </row>
    <row r="21" spans="1:7" ht="35.1" customHeight="1">
      <c r="A21" s="6" t="s">
        <v>762</v>
      </c>
      <c r="B21" s="6" t="s">
        <v>763</v>
      </c>
      <c r="C21" s="6" t="s">
        <v>764</v>
      </c>
      <c r="D21" s="6" t="s">
        <v>765</v>
      </c>
      <c r="E21" s="6" t="s">
        <v>766</v>
      </c>
      <c r="F21" s="7" t="s">
        <v>767</v>
      </c>
      <c r="G21" s="7" t="s">
        <v>768</v>
      </c>
    </row>
    <row r="22" spans="1:7" ht="12" customHeight="1">
      <c r="A22" s="12" t="s">
        <v>671</v>
      </c>
      <c r="B22" s="3" t="s">
        <v>672</v>
      </c>
      <c r="C22" s="5"/>
      <c r="D22" s="5"/>
      <c r="E22" s="5"/>
      <c r="F22" s="5"/>
      <c r="G22" s="5"/>
    </row>
    <row r="23" spans="1:7" ht="12" customHeight="1">
      <c r="A23" s="5"/>
      <c r="B23" s="3" t="s">
        <v>673</v>
      </c>
      <c r="C23" s="3" t="s">
        <v>674</v>
      </c>
      <c r="D23" s="12" t="s">
        <v>675</v>
      </c>
      <c r="E23" s="3" t="s">
        <v>1727</v>
      </c>
      <c r="F23" s="5"/>
      <c r="G23" s="5"/>
    </row>
    <row r="24" spans="1:7" ht="12" customHeight="1">
      <c r="A24" s="5"/>
      <c r="B24" s="3" t="s">
        <v>1480</v>
      </c>
      <c r="C24" s="3" t="s">
        <v>678</v>
      </c>
      <c r="D24" s="12" t="s">
        <v>675</v>
      </c>
      <c r="E24" s="3" t="s">
        <v>1728</v>
      </c>
      <c r="F24" s="5"/>
      <c r="G24" s="5"/>
    </row>
    <row r="25" spans="1:7" ht="12" customHeight="1">
      <c r="A25" s="5"/>
      <c r="B25" s="3" t="s">
        <v>683</v>
      </c>
      <c r="C25" s="3" t="s">
        <v>684</v>
      </c>
      <c r="D25" s="12" t="s">
        <v>675</v>
      </c>
      <c r="E25" s="3" t="s">
        <v>1586</v>
      </c>
      <c r="F25" s="5"/>
      <c r="G25" s="5"/>
    </row>
    <row r="26" spans="1:7" ht="12" customHeight="1">
      <c r="A26" s="5"/>
      <c r="B26" s="2474" t="s">
        <v>685</v>
      </c>
      <c r="C26" s="2474"/>
      <c r="D26" s="2474"/>
      <c r="E26" s="2474"/>
      <c r="F26" s="2474"/>
      <c r="G26" s="5"/>
    </row>
    <row r="27" spans="1:7" ht="12" customHeight="1">
      <c r="A27" s="12" t="s">
        <v>686</v>
      </c>
      <c r="B27" s="3" t="s">
        <v>687</v>
      </c>
      <c r="C27" s="5"/>
      <c r="D27" s="5"/>
      <c r="E27" s="5"/>
      <c r="F27" s="5"/>
      <c r="G27" s="5"/>
    </row>
    <row r="28" spans="1:7" ht="13.65" customHeight="1">
      <c r="A28" s="5"/>
      <c r="B28" s="3" t="s">
        <v>1729</v>
      </c>
      <c r="C28" s="5"/>
      <c r="D28" s="12" t="s">
        <v>853</v>
      </c>
      <c r="E28" s="3" t="s">
        <v>775</v>
      </c>
      <c r="F28" s="5"/>
      <c r="G28" s="5"/>
    </row>
    <row r="29" spans="1:7" ht="12" customHeight="1">
      <c r="A29" s="2484" t="s">
        <v>702</v>
      </c>
      <c r="B29" s="2484"/>
      <c r="C29" s="2484"/>
      <c r="D29" s="2484"/>
      <c r="E29" s="2484"/>
      <c r="F29" s="2484"/>
      <c r="G29" s="5"/>
    </row>
    <row r="30" spans="1:7" ht="12" customHeight="1">
      <c r="A30" s="12" t="s">
        <v>703</v>
      </c>
      <c r="B30" s="3" t="s">
        <v>704</v>
      </c>
      <c r="C30" s="5"/>
      <c r="D30" s="5"/>
      <c r="E30" s="5"/>
      <c r="F30" s="5"/>
      <c r="G30" s="5"/>
    </row>
    <row r="31" spans="1:7" ht="23.4" customHeight="1">
      <c r="A31" s="5"/>
      <c r="B31" s="2" t="s">
        <v>1664</v>
      </c>
      <c r="C31" s="5"/>
      <c r="D31" s="12" t="s">
        <v>1665</v>
      </c>
      <c r="E31" s="3" t="s">
        <v>1069</v>
      </c>
      <c r="F31" s="5"/>
      <c r="G31" s="5"/>
    </row>
    <row r="32" spans="1:7" ht="23.4" customHeight="1">
      <c r="A32" s="5"/>
      <c r="B32" s="2" t="s">
        <v>1666</v>
      </c>
      <c r="C32" s="5"/>
      <c r="D32" s="12" t="s">
        <v>1665</v>
      </c>
      <c r="E32" s="3" t="s">
        <v>826</v>
      </c>
      <c r="F32" s="5"/>
      <c r="G32" s="5"/>
    </row>
    <row r="33" spans="1:7" ht="12" customHeight="1">
      <c r="A33" s="2490" t="s">
        <v>705</v>
      </c>
      <c r="B33" s="2490"/>
      <c r="C33" s="2490"/>
      <c r="D33" s="2490"/>
      <c r="E33" s="2490"/>
      <c r="F33" s="2490"/>
      <c r="G33" s="5"/>
    </row>
    <row r="34" spans="1:7" ht="12" customHeight="1">
      <c r="A34" s="12" t="s">
        <v>706</v>
      </c>
      <c r="B34" s="2491" t="s">
        <v>707</v>
      </c>
      <c r="C34" s="2491"/>
      <c r="D34" s="2491"/>
      <c r="E34" s="2491"/>
      <c r="F34" s="2491"/>
      <c r="G34" s="5"/>
    </row>
    <row r="35" spans="1:7" ht="12" customHeight="1">
      <c r="A35" s="12" t="s">
        <v>708</v>
      </c>
      <c r="B35" s="2471" t="s">
        <v>709</v>
      </c>
      <c r="C35" s="2471"/>
      <c r="D35" s="2471"/>
      <c r="E35" s="2472" t="s">
        <v>710</v>
      </c>
      <c r="F35" s="2472"/>
      <c r="G35" s="5"/>
    </row>
    <row r="36" spans="1:7" ht="12" customHeight="1">
      <c r="A36" s="12" t="s">
        <v>711</v>
      </c>
      <c r="B36" s="2473" t="s">
        <v>712</v>
      </c>
      <c r="C36" s="2473"/>
      <c r="D36" s="2473"/>
      <c r="E36" s="2473"/>
      <c r="F36" s="2473"/>
      <c r="G36" s="5"/>
    </row>
  </sheetData>
  <mergeCells count="14">
    <mergeCell ref="B8:F8"/>
    <mergeCell ref="A11:F11"/>
    <mergeCell ref="A14:F14"/>
    <mergeCell ref="B15:F15"/>
    <mergeCell ref="B16:D16"/>
    <mergeCell ref="E16:F16"/>
    <mergeCell ref="B35:D35"/>
    <mergeCell ref="E35:F35"/>
    <mergeCell ref="B36:F36"/>
    <mergeCell ref="B17:F17"/>
    <mergeCell ref="B26:F26"/>
    <mergeCell ref="A29:F29"/>
    <mergeCell ref="A33:F33"/>
    <mergeCell ref="B34:F34"/>
  </mergeCells>
  <pageMargins left="0.7" right="0.7" top="0.75" bottom="0.75" header="0.3" footer="0.3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sheetPr codeName="Sheet189"/>
  <dimension ref="A1:G37"/>
  <sheetViews>
    <sheetView workbookViewId="0">
      <selection activeCell="G37" sqref="A1:G37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5" t="s">
        <v>2497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1730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1568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1719</v>
      </c>
      <c r="F7" s="5"/>
      <c r="G7" s="5"/>
    </row>
    <row r="8" spans="1:7" ht="12" customHeight="1">
      <c r="A8" s="5"/>
      <c r="B8" s="2474" t="s">
        <v>685</v>
      </c>
      <c r="C8" s="2474"/>
      <c r="D8" s="2474"/>
      <c r="E8" s="2474"/>
      <c r="F8" s="2474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65" customHeight="1">
      <c r="A10" s="5"/>
      <c r="B10" s="3" t="s">
        <v>1731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2484" t="s">
        <v>702</v>
      </c>
      <c r="B11" s="2484"/>
      <c r="C11" s="2484"/>
      <c r="D11" s="2484"/>
      <c r="E11" s="2484"/>
      <c r="F11" s="2484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" customHeight="1">
      <c r="A13" s="5"/>
      <c r="B13" s="2" t="s">
        <v>1664</v>
      </c>
      <c r="C13" s="5"/>
      <c r="D13" s="12" t="s">
        <v>1665</v>
      </c>
      <c r="E13" s="3" t="s">
        <v>858</v>
      </c>
      <c r="F13" s="5"/>
      <c r="G13" s="5"/>
    </row>
    <row r="14" spans="1:7" ht="23.4" customHeight="1">
      <c r="A14" s="5"/>
      <c r="B14" s="2" t="s">
        <v>1666</v>
      </c>
      <c r="C14" s="5"/>
      <c r="D14" s="12" t="s">
        <v>1665</v>
      </c>
      <c r="E14" s="3" t="s">
        <v>923</v>
      </c>
      <c r="F14" s="5"/>
      <c r="G14" s="5"/>
    </row>
    <row r="15" spans="1:7" ht="12" customHeight="1">
      <c r="A15" s="2490" t="s">
        <v>705</v>
      </c>
      <c r="B15" s="2490"/>
      <c r="C15" s="2490"/>
      <c r="D15" s="2490"/>
      <c r="E15" s="2490"/>
      <c r="F15" s="2490"/>
      <c r="G15" s="5"/>
    </row>
    <row r="16" spans="1:7" ht="12" customHeight="1">
      <c r="A16" s="12" t="s">
        <v>706</v>
      </c>
      <c r="B16" s="2491" t="s">
        <v>707</v>
      </c>
      <c r="C16" s="2491"/>
      <c r="D16" s="2491"/>
      <c r="E16" s="2491"/>
      <c r="F16" s="2491"/>
      <c r="G16" s="5"/>
    </row>
    <row r="17" spans="1:7" ht="12" customHeight="1">
      <c r="A17" s="12" t="s">
        <v>708</v>
      </c>
      <c r="B17" s="2471" t="s">
        <v>709</v>
      </c>
      <c r="C17" s="2471"/>
      <c r="D17" s="2471"/>
      <c r="E17" s="2472" t="s">
        <v>710</v>
      </c>
      <c r="F17" s="2472"/>
      <c r="G17" s="5"/>
    </row>
    <row r="18" spans="1:7" ht="12" customHeight="1">
      <c r="A18" s="12" t="s">
        <v>711</v>
      </c>
      <c r="B18" s="2473" t="s">
        <v>712</v>
      </c>
      <c r="C18" s="2473"/>
      <c r="D18" s="2473"/>
      <c r="E18" s="2473"/>
      <c r="F18" s="2473"/>
      <c r="G18" s="5"/>
    </row>
    <row r="19" spans="1:7" ht="12" customHeight="1">
      <c r="A19" s="12"/>
      <c r="B19" s="26"/>
      <c r="C19" s="26"/>
      <c r="D19" s="26"/>
      <c r="E19" s="26"/>
      <c r="F19" s="26"/>
      <c r="G19" s="5"/>
    </row>
    <row r="20" spans="1:7" ht="12" customHeight="1">
      <c r="A20" s="50" t="s">
        <v>2498</v>
      </c>
      <c r="B20" s="26"/>
      <c r="C20" s="26"/>
      <c r="D20" s="26"/>
      <c r="E20" s="26"/>
      <c r="F20" s="26"/>
      <c r="G20" s="5"/>
    </row>
    <row r="21" spans="1:7" ht="12" customHeight="1">
      <c r="A21" s="12"/>
      <c r="B21" s="26"/>
      <c r="C21" s="26"/>
      <c r="D21" s="26"/>
      <c r="E21" s="26"/>
      <c r="F21" s="26"/>
      <c r="G21" s="5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1732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1733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1734</v>
      </c>
      <c r="F26" s="5"/>
      <c r="G26" s="5"/>
    </row>
    <row r="27" spans="1:7" ht="12" customHeight="1">
      <c r="A27" s="5"/>
      <c r="B27" s="2474" t="s">
        <v>685</v>
      </c>
      <c r="C27" s="2474"/>
      <c r="D27" s="2474"/>
      <c r="E27" s="2474"/>
      <c r="F27" s="2474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65" customHeight="1">
      <c r="A29" s="5"/>
      <c r="B29" s="3" t="s">
        <v>1735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2484" t="s">
        <v>702</v>
      </c>
      <c r="B30" s="2484"/>
      <c r="C30" s="2484"/>
      <c r="D30" s="2484"/>
      <c r="E30" s="2484"/>
      <c r="F30" s="2484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" customHeight="1">
      <c r="A32" s="5"/>
      <c r="B32" s="2" t="s">
        <v>1664</v>
      </c>
      <c r="C32" s="5"/>
      <c r="D32" s="12" t="s">
        <v>1665</v>
      </c>
      <c r="E32" s="3" t="s">
        <v>1072</v>
      </c>
      <c r="F32" s="5"/>
      <c r="G32" s="5"/>
    </row>
    <row r="33" spans="1:7" ht="23.4" customHeight="1">
      <c r="A33" s="5"/>
      <c r="B33" s="2" t="s">
        <v>1666</v>
      </c>
      <c r="C33" s="5"/>
      <c r="D33" s="12" t="s">
        <v>1665</v>
      </c>
      <c r="E33" s="3" t="s">
        <v>795</v>
      </c>
      <c r="F33" s="5"/>
      <c r="G33" s="5"/>
    </row>
    <row r="34" spans="1:7" ht="12" customHeight="1">
      <c r="A34" s="2490" t="s">
        <v>705</v>
      </c>
      <c r="B34" s="2490"/>
      <c r="C34" s="2490"/>
      <c r="D34" s="2490"/>
      <c r="E34" s="2490"/>
      <c r="F34" s="2490"/>
      <c r="G34" s="5"/>
    </row>
    <row r="35" spans="1:7" ht="12" customHeight="1">
      <c r="A35" s="12" t="s">
        <v>706</v>
      </c>
      <c r="B35" s="2491" t="s">
        <v>707</v>
      </c>
      <c r="C35" s="2491"/>
      <c r="D35" s="2491"/>
      <c r="E35" s="2491"/>
      <c r="F35" s="2491"/>
      <c r="G35" s="5"/>
    </row>
    <row r="36" spans="1:7" ht="12" customHeight="1">
      <c r="A36" s="12" t="s">
        <v>708</v>
      </c>
      <c r="B36" s="2471" t="s">
        <v>709</v>
      </c>
      <c r="C36" s="2471"/>
      <c r="D36" s="2471"/>
      <c r="E36" s="2472" t="s">
        <v>710</v>
      </c>
      <c r="F36" s="2472"/>
      <c r="G36" s="5"/>
    </row>
    <row r="37" spans="1:7" ht="12" customHeight="1">
      <c r="A37" s="12" t="s">
        <v>711</v>
      </c>
      <c r="B37" s="2473" t="s">
        <v>712</v>
      </c>
      <c r="C37" s="2473"/>
      <c r="D37" s="2473"/>
      <c r="E37" s="2473"/>
      <c r="F37" s="2473"/>
      <c r="G37" s="5"/>
    </row>
  </sheetData>
  <mergeCells count="14">
    <mergeCell ref="B8:F8"/>
    <mergeCell ref="A11:F11"/>
    <mergeCell ref="A15:F15"/>
    <mergeCell ref="B16:F16"/>
    <mergeCell ref="B17:D17"/>
    <mergeCell ref="E17:F17"/>
    <mergeCell ref="B36:D36"/>
    <mergeCell ref="E36:F36"/>
    <mergeCell ref="B37:F37"/>
    <mergeCell ref="B18:F18"/>
    <mergeCell ref="B27:F27"/>
    <mergeCell ref="A30:F30"/>
    <mergeCell ref="A34:F34"/>
    <mergeCell ref="B35:F35"/>
  </mergeCells>
  <pageMargins left="0.7" right="0.7" top="0.75" bottom="0.75" header="0.3" footer="0.3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sheetPr codeName="Sheet190"/>
  <dimension ref="A1:G37"/>
  <sheetViews>
    <sheetView workbookViewId="0">
      <selection activeCell="G37" sqref="A1:G37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2499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1736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1737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1738</v>
      </c>
      <c r="F7" s="5"/>
      <c r="G7" s="5"/>
    </row>
    <row r="8" spans="1:7" ht="12" customHeight="1">
      <c r="A8" s="5"/>
      <c r="B8" s="2474" t="s">
        <v>685</v>
      </c>
      <c r="C8" s="2474"/>
      <c r="D8" s="2474"/>
      <c r="E8" s="2474"/>
      <c r="F8" s="2474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65" customHeight="1">
      <c r="A10" s="5"/>
      <c r="B10" s="3" t="s">
        <v>1739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2484" t="s">
        <v>702</v>
      </c>
      <c r="B11" s="2484"/>
      <c r="C11" s="2484"/>
      <c r="D11" s="2484"/>
      <c r="E11" s="2484"/>
      <c r="F11" s="2484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" customHeight="1">
      <c r="A13" s="5"/>
      <c r="B13" s="2" t="s">
        <v>1664</v>
      </c>
      <c r="C13" s="5"/>
      <c r="D13" s="12" t="s">
        <v>1665</v>
      </c>
      <c r="E13" s="3" t="s">
        <v>1069</v>
      </c>
      <c r="F13" s="5"/>
      <c r="G13" s="5"/>
    </row>
    <row r="14" spans="1:7" ht="23.4" customHeight="1">
      <c r="A14" s="5"/>
      <c r="B14" s="2" t="s">
        <v>1666</v>
      </c>
      <c r="C14" s="5"/>
      <c r="D14" s="12" t="s">
        <v>1665</v>
      </c>
      <c r="E14" s="3" t="s">
        <v>826</v>
      </c>
      <c r="F14" s="5"/>
      <c r="G14" s="5"/>
    </row>
    <row r="15" spans="1:7" ht="12" customHeight="1">
      <c r="A15" s="2490" t="s">
        <v>705</v>
      </c>
      <c r="B15" s="2490"/>
      <c r="C15" s="2490"/>
      <c r="D15" s="2490"/>
      <c r="E15" s="2490"/>
      <c r="F15" s="2490"/>
      <c r="G15" s="5"/>
    </row>
    <row r="16" spans="1:7" ht="12" customHeight="1">
      <c r="A16" s="12" t="s">
        <v>706</v>
      </c>
      <c r="B16" s="2491" t="s">
        <v>707</v>
      </c>
      <c r="C16" s="2491"/>
      <c r="D16" s="2491"/>
      <c r="E16" s="2491"/>
      <c r="F16" s="2491"/>
      <c r="G16" s="5"/>
    </row>
    <row r="17" spans="1:7" ht="12" customHeight="1">
      <c r="A17" s="12" t="s">
        <v>708</v>
      </c>
      <c r="B17" s="2471" t="s">
        <v>709</v>
      </c>
      <c r="C17" s="2471"/>
      <c r="D17" s="2471"/>
      <c r="E17" s="2472" t="s">
        <v>710</v>
      </c>
      <c r="F17" s="2472"/>
      <c r="G17" s="5"/>
    </row>
    <row r="18" spans="1:7" ht="12" customHeight="1">
      <c r="A18" s="12" t="s">
        <v>711</v>
      </c>
      <c r="B18" s="2473" t="s">
        <v>712</v>
      </c>
      <c r="C18" s="2473"/>
      <c r="D18" s="2473"/>
      <c r="E18" s="2473"/>
      <c r="F18" s="2473"/>
      <c r="G18" s="5"/>
    </row>
    <row r="19" spans="1:7" ht="12" customHeight="1">
      <c r="A19" s="12"/>
      <c r="B19" s="26"/>
      <c r="C19" s="26"/>
      <c r="D19" s="26"/>
      <c r="E19" s="26"/>
      <c r="F19" s="26"/>
      <c r="G19" s="5"/>
    </row>
    <row r="20" spans="1:7" ht="12" customHeight="1">
      <c r="A20" s="50" t="s">
        <v>2500</v>
      </c>
      <c r="B20" s="26"/>
      <c r="C20" s="26"/>
      <c r="D20" s="26"/>
      <c r="E20" s="26"/>
      <c r="F20" s="26"/>
      <c r="G20" s="5"/>
    </row>
    <row r="21" spans="1:7" ht="12" customHeight="1">
      <c r="A21" s="12"/>
      <c r="B21" s="26"/>
      <c r="C21" s="26"/>
      <c r="D21" s="26"/>
      <c r="E21" s="26"/>
      <c r="F21" s="26"/>
      <c r="G21" s="5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1740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1741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825</v>
      </c>
      <c r="F26" s="5"/>
      <c r="G26" s="5"/>
    </row>
    <row r="27" spans="1:7" ht="12" customHeight="1">
      <c r="A27" s="5"/>
      <c r="B27" s="2474" t="s">
        <v>685</v>
      </c>
      <c r="C27" s="2474"/>
      <c r="D27" s="2474"/>
      <c r="E27" s="2474"/>
      <c r="F27" s="2474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65" customHeight="1">
      <c r="A29" s="5"/>
      <c r="B29" s="3" t="s">
        <v>1742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2484" t="s">
        <v>702</v>
      </c>
      <c r="B30" s="2484"/>
      <c r="C30" s="2484"/>
      <c r="D30" s="2484"/>
      <c r="E30" s="2484"/>
      <c r="F30" s="2484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" customHeight="1">
      <c r="A32" s="5"/>
      <c r="B32" s="2" t="s">
        <v>1664</v>
      </c>
      <c r="C32" s="5"/>
      <c r="D32" s="12" t="s">
        <v>1665</v>
      </c>
      <c r="E32" s="3" t="s">
        <v>911</v>
      </c>
      <c r="F32" s="5"/>
      <c r="G32" s="5"/>
    </row>
    <row r="33" spans="1:7" ht="23.4" customHeight="1">
      <c r="A33" s="5"/>
      <c r="B33" s="2" t="s">
        <v>1666</v>
      </c>
      <c r="C33" s="5"/>
      <c r="D33" s="12" t="s">
        <v>1665</v>
      </c>
      <c r="E33" s="3" t="s">
        <v>1637</v>
      </c>
      <c r="F33" s="5"/>
      <c r="G33" s="5"/>
    </row>
    <row r="34" spans="1:7" ht="12" customHeight="1">
      <c r="A34" s="2490" t="s">
        <v>705</v>
      </c>
      <c r="B34" s="2490"/>
      <c r="C34" s="2490"/>
      <c r="D34" s="2490"/>
      <c r="E34" s="2490"/>
      <c r="F34" s="2490"/>
      <c r="G34" s="5"/>
    </row>
    <row r="35" spans="1:7" ht="12" customHeight="1">
      <c r="A35" s="12" t="s">
        <v>706</v>
      </c>
      <c r="B35" s="2491" t="s">
        <v>707</v>
      </c>
      <c r="C35" s="2491"/>
      <c r="D35" s="2491"/>
      <c r="E35" s="2491"/>
      <c r="F35" s="2491"/>
      <c r="G35" s="5"/>
    </row>
    <row r="36" spans="1:7" ht="12" customHeight="1">
      <c r="A36" s="12" t="s">
        <v>708</v>
      </c>
      <c r="B36" s="2471" t="s">
        <v>709</v>
      </c>
      <c r="C36" s="2471"/>
      <c r="D36" s="2471"/>
      <c r="E36" s="2472" t="s">
        <v>710</v>
      </c>
      <c r="F36" s="2472"/>
      <c r="G36" s="5"/>
    </row>
    <row r="37" spans="1:7" ht="12" customHeight="1">
      <c r="A37" s="12" t="s">
        <v>711</v>
      </c>
      <c r="B37" s="2473" t="s">
        <v>712</v>
      </c>
      <c r="C37" s="2473"/>
      <c r="D37" s="2473"/>
      <c r="E37" s="2473"/>
      <c r="F37" s="2473"/>
      <c r="G37" s="5"/>
    </row>
  </sheetData>
  <mergeCells count="14">
    <mergeCell ref="B8:F8"/>
    <mergeCell ref="A11:F11"/>
    <mergeCell ref="A15:F15"/>
    <mergeCell ref="B16:F16"/>
    <mergeCell ref="B17:D17"/>
    <mergeCell ref="E17:F17"/>
    <mergeCell ref="B36:D36"/>
    <mergeCell ref="E36:F36"/>
    <mergeCell ref="B37:F37"/>
    <mergeCell ref="B18:F18"/>
    <mergeCell ref="B27:F27"/>
    <mergeCell ref="A30:F30"/>
    <mergeCell ref="A34:F34"/>
    <mergeCell ref="B35:F35"/>
  </mergeCells>
  <pageMargins left="0.7" right="0.7" top="0.75" bottom="0.75" header="0.3" footer="0.3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sheetPr codeName="Sheet191"/>
  <dimension ref="A1:G37"/>
  <sheetViews>
    <sheetView workbookViewId="0">
      <selection activeCell="G37" sqref="A1:G37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2501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1743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1468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962</v>
      </c>
      <c r="F7" s="5"/>
      <c r="G7" s="5"/>
    </row>
    <row r="8" spans="1:7" ht="12" customHeight="1">
      <c r="A8" s="5"/>
      <c r="B8" s="2474" t="s">
        <v>685</v>
      </c>
      <c r="C8" s="2474"/>
      <c r="D8" s="2474"/>
      <c r="E8" s="2474"/>
      <c r="F8" s="2474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65" customHeight="1">
      <c r="A10" s="5"/>
      <c r="B10" s="3" t="s">
        <v>1744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2484" t="s">
        <v>702</v>
      </c>
      <c r="B11" s="2484"/>
      <c r="C11" s="2484"/>
      <c r="D11" s="2484"/>
      <c r="E11" s="2484"/>
      <c r="F11" s="2484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" customHeight="1">
      <c r="A13" s="5"/>
      <c r="B13" s="2" t="s">
        <v>1664</v>
      </c>
      <c r="C13" s="5"/>
      <c r="D13" s="12" t="s">
        <v>1665</v>
      </c>
      <c r="E13" s="3" t="s">
        <v>950</v>
      </c>
      <c r="F13" s="5"/>
      <c r="G13" s="5"/>
    </row>
    <row r="14" spans="1:7" ht="23.4" customHeight="1">
      <c r="A14" s="5"/>
      <c r="B14" s="2" t="s">
        <v>1666</v>
      </c>
      <c r="C14" s="5"/>
      <c r="D14" s="12" t="s">
        <v>1665</v>
      </c>
      <c r="E14" s="3" t="s">
        <v>1745</v>
      </c>
      <c r="F14" s="5"/>
      <c r="G14" s="5"/>
    </row>
    <row r="15" spans="1:7" ht="12" customHeight="1">
      <c r="A15" s="2490" t="s">
        <v>705</v>
      </c>
      <c r="B15" s="2490"/>
      <c r="C15" s="2490"/>
      <c r="D15" s="2490"/>
      <c r="E15" s="2490"/>
      <c r="F15" s="2490"/>
      <c r="G15" s="5"/>
    </row>
    <row r="16" spans="1:7" ht="12" customHeight="1">
      <c r="A16" s="12" t="s">
        <v>706</v>
      </c>
      <c r="B16" s="2491" t="s">
        <v>707</v>
      </c>
      <c r="C16" s="2491"/>
      <c r="D16" s="2491"/>
      <c r="E16" s="2491"/>
      <c r="F16" s="2491"/>
      <c r="G16" s="5"/>
    </row>
    <row r="17" spans="1:7" ht="12" customHeight="1">
      <c r="A17" s="12" t="s">
        <v>708</v>
      </c>
      <c r="B17" s="2471" t="s">
        <v>709</v>
      </c>
      <c r="C17" s="2471"/>
      <c r="D17" s="2471"/>
      <c r="E17" s="2472" t="s">
        <v>710</v>
      </c>
      <c r="F17" s="2472"/>
      <c r="G17" s="5"/>
    </row>
    <row r="18" spans="1:7" ht="12" customHeight="1">
      <c r="A18" s="12" t="s">
        <v>711</v>
      </c>
      <c r="B18" s="2473" t="s">
        <v>712</v>
      </c>
      <c r="C18" s="2473"/>
      <c r="D18" s="2473"/>
      <c r="E18" s="2473"/>
      <c r="F18" s="2473"/>
      <c r="G18" s="5"/>
    </row>
    <row r="19" spans="1:7" ht="12" customHeight="1">
      <c r="A19" s="12"/>
      <c r="B19" s="26"/>
      <c r="C19" s="26"/>
      <c r="D19" s="26"/>
      <c r="E19" s="26"/>
      <c r="F19" s="26"/>
      <c r="G19" s="5"/>
    </row>
    <row r="20" spans="1:7" ht="12" customHeight="1">
      <c r="A20" s="50" t="s">
        <v>2502</v>
      </c>
      <c r="B20" s="26"/>
      <c r="C20" s="26"/>
      <c r="D20" s="26"/>
      <c r="E20" s="26"/>
      <c r="F20" s="26"/>
      <c r="G20" s="5"/>
    </row>
    <row r="21" spans="1:7" ht="12" customHeight="1">
      <c r="A21" s="12"/>
      <c r="B21" s="26"/>
      <c r="C21" s="26"/>
      <c r="D21" s="26"/>
      <c r="E21" s="26"/>
      <c r="F21" s="26"/>
      <c r="G21" s="5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1746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1747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1636</v>
      </c>
      <c r="F26" s="5"/>
      <c r="G26" s="5"/>
    </row>
    <row r="27" spans="1:7" ht="12" customHeight="1">
      <c r="A27" s="5"/>
      <c r="B27" s="2474" t="s">
        <v>685</v>
      </c>
      <c r="C27" s="2474"/>
      <c r="D27" s="2474"/>
      <c r="E27" s="2474"/>
      <c r="F27" s="2474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65" customHeight="1">
      <c r="A29" s="5"/>
      <c r="B29" s="3" t="s">
        <v>1748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2484" t="s">
        <v>702</v>
      </c>
      <c r="B30" s="2484"/>
      <c r="C30" s="2484"/>
      <c r="D30" s="2484"/>
      <c r="E30" s="2484"/>
      <c r="F30" s="2484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" customHeight="1">
      <c r="A32" s="5"/>
      <c r="B32" s="2" t="s">
        <v>1664</v>
      </c>
      <c r="C32" s="5"/>
      <c r="D32" s="12" t="s">
        <v>1665</v>
      </c>
      <c r="E32" s="3" t="s">
        <v>1682</v>
      </c>
      <c r="F32" s="5"/>
      <c r="G32" s="5"/>
    </row>
    <row r="33" spans="1:7" ht="23.4" customHeight="1">
      <c r="A33" s="5"/>
      <c r="B33" s="2" t="s">
        <v>1666</v>
      </c>
      <c r="C33" s="5"/>
      <c r="D33" s="12" t="s">
        <v>1665</v>
      </c>
      <c r="E33" s="3" t="s">
        <v>1549</v>
      </c>
      <c r="F33" s="5"/>
      <c r="G33" s="5"/>
    </row>
    <row r="34" spans="1:7" ht="12" customHeight="1">
      <c r="A34" s="2490" t="s">
        <v>705</v>
      </c>
      <c r="B34" s="2490"/>
      <c r="C34" s="2490"/>
      <c r="D34" s="2490"/>
      <c r="E34" s="2490"/>
      <c r="F34" s="2490"/>
      <c r="G34" s="5"/>
    </row>
    <row r="35" spans="1:7" ht="12" customHeight="1">
      <c r="A35" s="12" t="s">
        <v>706</v>
      </c>
      <c r="B35" s="2491" t="s">
        <v>707</v>
      </c>
      <c r="C35" s="2491"/>
      <c r="D35" s="2491"/>
      <c r="E35" s="2491"/>
      <c r="F35" s="2491"/>
      <c r="G35" s="5"/>
    </row>
    <row r="36" spans="1:7" ht="12" customHeight="1">
      <c r="A36" s="12" t="s">
        <v>708</v>
      </c>
      <c r="B36" s="2471" t="s">
        <v>709</v>
      </c>
      <c r="C36" s="2471"/>
      <c r="D36" s="2471"/>
      <c r="E36" s="2472" t="s">
        <v>710</v>
      </c>
      <c r="F36" s="2472"/>
      <c r="G36" s="5"/>
    </row>
    <row r="37" spans="1:7" ht="12" customHeight="1">
      <c r="A37" s="12" t="s">
        <v>711</v>
      </c>
      <c r="B37" s="2473" t="s">
        <v>712</v>
      </c>
      <c r="C37" s="2473"/>
      <c r="D37" s="2473"/>
      <c r="E37" s="2473"/>
      <c r="F37" s="2473"/>
      <c r="G37" s="5"/>
    </row>
  </sheetData>
  <mergeCells count="14">
    <mergeCell ref="B8:F8"/>
    <mergeCell ref="A11:F11"/>
    <mergeCell ref="A15:F15"/>
    <mergeCell ref="B16:F16"/>
    <mergeCell ref="B17:D17"/>
    <mergeCell ref="E17:F17"/>
    <mergeCell ref="B36:D36"/>
    <mergeCell ref="E36:F36"/>
    <mergeCell ref="B37:F37"/>
    <mergeCell ref="B18:F18"/>
    <mergeCell ref="B27:F27"/>
    <mergeCell ref="A30:F30"/>
    <mergeCell ref="A34:F34"/>
    <mergeCell ref="B35:F3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D615"/>
  <sheetViews>
    <sheetView workbookViewId="0">
      <selection activeCell="B27" sqref="B27"/>
    </sheetView>
  </sheetViews>
  <sheetFormatPr defaultRowHeight="14.4"/>
  <cols>
    <col min="1" max="1" width="11.5546875" customWidth="1"/>
    <col min="2" max="2" width="24.33203125" customWidth="1"/>
    <col min="3" max="3" width="66" customWidth="1"/>
    <col min="4" max="4" width="9.109375"/>
  </cols>
  <sheetData>
    <row r="1" spans="1:4" ht="35.85" customHeight="1">
      <c r="A1" s="39" t="s">
        <v>52</v>
      </c>
      <c r="B1" s="40" t="s">
        <v>53</v>
      </c>
      <c r="C1" s="39" t="s">
        <v>54</v>
      </c>
      <c r="D1" s="36"/>
    </row>
    <row r="2" spans="1:4" ht="25.2" customHeight="1">
      <c r="A2" s="41" t="s">
        <v>9</v>
      </c>
      <c r="B2" s="42" t="s">
        <v>55</v>
      </c>
      <c r="C2" s="43"/>
      <c r="D2" s="37"/>
    </row>
    <row r="3" spans="1:4" ht="12.75" customHeight="1">
      <c r="A3" s="44"/>
      <c r="B3" s="45"/>
      <c r="C3" s="46" t="s">
        <v>56</v>
      </c>
      <c r="D3" s="38"/>
    </row>
    <row r="4" spans="1:4" ht="12" customHeight="1">
      <c r="A4" s="44"/>
      <c r="B4" s="45"/>
      <c r="C4" s="46" t="s">
        <v>57</v>
      </c>
      <c r="D4" s="38"/>
    </row>
    <row r="5" spans="1:4" ht="12" customHeight="1">
      <c r="A5" s="44"/>
      <c r="B5" s="45"/>
      <c r="C5" s="46" t="s">
        <v>58</v>
      </c>
      <c r="D5" s="38"/>
    </row>
    <row r="6" spans="1:4" ht="12" customHeight="1">
      <c r="A6" s="44"/>
      <c r="B6" s="45"/>
      <c r="C6" s="46" t="s">
        <v>59</v>
      </c>
      <c r="D6" s="38"/>
    </row>
    <row r="7" spans="1:4" ht="12" customHeight="1">
      <c r="A7" s="44"/>
      <c r="B7" s="45"/>
      <c r="C7" s="46" t="s">
        <v>60</v>
      </c>
      <c r="D7" s="38"/>
    </row>
    <row r="8" spans="1:4" ht="12" customHeight="1">
      <c r="A8" s="44"/>
      <c r="B8" s="45"/>
      <c r="C8" s="46" t="s">
        <v>61</v>
      </c>
      <c r="D8" s="38"/>
    </row>
    <row r="9" spans="1:4" ht="12" customHeight="1">
      <c r="A9" s="44"/>
      <c r="B9" s="45"/>
      <c r="C9" s="46" t="s">
        <v>62</v>
      </c>
      <c r="D9" s="38"/>
    </row>
    <row r="10" spans="1:4" ht="12" customHeight="1">
      <c r="A10" s="44"/>
      <c r="B10" s="45"/>
      <c r="C10" s="46" t="s">
        <v>63</v>
      </c>
      <c r="D10" s="38"/>
    </row>
    <row r="11" spans="1:4" ht="12" customHeight="1">
      <c r="A11" s="44"/>
      <c r="B11" s="45"/>
      <c r="C11" s="46" t="s">
        <v>64</v>
      </c>
      <c r="D11" s="38"/>
    </row>
    <row r="12" spans="1:4" ht="12" customHeight="1">
      <c r="A12" s="44"/>
      <c r="B12" s="45"/>
      <c r="C12" s="46" t="s">
        <v>65</v>
      </c>
      <c r="D12" s="38"/>
    </row>
    <row r="13" spans="1:4" ht="12" customHeight="1">
      <c r="A13" s="44"/>
      <c r="B13" s="45"/>
      <c r="C13" s="46" t="s">
        <v>66</v>
      </c>
      <c r="D13" s="38"/>
    </row>
    <row r="14" spans="1:4" ht="12" customHeight="1">
      <c r="A14" s="44"/>
      <c r="B14" s="45"/>
      <c r="C14" s="46" t="s">
        <v>67</v>
      </c>
      <c r="D14" s="38"/>
    </row>
    <row r="15" spans="1:4" ht="12" customHeight="1">
      <c r="A15" s="44"/>
      <c r="B15" s="45"/>
      <c r="C15" s="46" t="s">
        <v>68</v>
      </c>
      <c r="D15" s="38"/>
    </row>
    <row r="16" spans="1:4" ht="12" customHeight="1">
      <c r="A16" s="44"/>
      <c r="B16" s="45"/>
      <c r="C16" s="46" t="s">
        <v>69</v>
      </c>
      <c r="D16" s="38"/>
    </row>
    <row r="17" spans="1:4" ht="12" customHeight="1">
      <c r="A17" s="44"/>
      <c r="B17" s="45"/>
      <c r="C17" s="46" t="s">
        <v>70</v>
      </c>
      <c r="D17" s="38"/>
    </row>
    <row r="18" spans="1:4" ht="12" customHeight="1">
      <c r="A18" s="44"/>
      <c r="B18" s="45"/>
      <c r="C18" s="46" t="s">
        <v>71</v>
      </c>
      <c r="D18" s="38"/>
    </row>
    <row r="19" spans="1:4" ht="29.25" customHeight="1">
      <c r="A19" s="41" t="s">
        <v>9</v>
      </c>
      <c r="B19" s="42" t="s">
        <v>72</v>
      </c>
      <c r="C19" s="43"/>
      <c r="D19" s="37"/>
    </row>
    <row r="20" spans="1:4" ht="12" customHeight="1">
      <c r="A20" s="44"/>
      <c r="B20" s="45"/>
      <c r="C20" s="46" t="s">
        <v>73</v>
      </c>
      <c r="D20" s="38"/>
    </row>
    <row r="21" spans="1:4" ht="12" customHeight="1">
      <c r="A21" s="44"/>
      <c r="B21" s="45"/>
      <c r="C21" s="46" t="s">
        <v>74</v>
      </c>
      <c r="D21" s="38"/>
    </row>
    <row r="22" spans="1:4" ht="12" customHeight="1">
      <c r="A22" s="44"/>
      <c r="B22" s="45"/>
      <c r="C22" s="46" t="s">
        <v>75</v>
      </c>
      <c r="D22" s="38"/>
    </row>
    <row r="23" spans="1:4" ht="12" customHeight="1">
      <c r="A23" s="44"/>
      <c r="B23" s="45"/>
      <c r="C23" s="46" t="s">
        <v>76</v>
      </c>
      <c r="D23" s="38"/>
    </row>
    <row r="24" spans="1:4" ht="12" customHeight="1">
      <c r="A24" s="44"/>
      <c r="B24" s="45"/>
      <c r="C24" s="46" t="s">
        <v>77</v>
      </c>
      <c r="D24" s="38"/>
    </row>
    <row r="25" spans="1:4" ht="12" customHeight="1">
      <c r="A25" s="44"/>
      <c r="B25" s="45"/>
      <c r="C25" s="46" t="s">
        <v>78</v>
      </c>
      <c r="D25" s="38"/>
    </row>
    <row r="26" spans="1:4" ht="12" customHeight="1">
      <c r="A26" s="44"/>
      <c r="B26" s="45"/>
      <c r="C26" s="46" t="s">
        <v>79</v>
      </c>
      <c r="D26" s="38"/>
    </row>
    <row r="27" spans="1:4" ht="12" customHeight="1">
      <c r="A27" s="44"/>
      <c r="B27" s="45"/>
      <c r="C27" s="46" t="s">
        <v>80</v>
      </c>
      <c r="D27" s="38"/>
    </row>
    <row r="28" spans="1:4" ht="12" customHeight="1">
      <c r="A28" s="44"/>
      <c r="B28" s="45"/>
      <c r="C28" s="46" t="s">
        <v>81</v>
      </c>
      <c r="D28" s="38"/>
    </row>
    <row r="29" spans="1:4" ht="12" customHeight="1">
      <c r="A29" s="44"/>
      <c r="B29" s="45"/>
      <c r="C29" s="46" t="s">
        <v>82</v>
      </c>
      <c r="D29" s="38"/>
    </row>
    <row r="30" spans="1:4" ht="12" customHeight="1">
      <c r="A30" s="44"/>
      <c r="B30" s="45"/>
      <c r="C30" s="46" t="s">
        <v>83</v>
      </c>
      <c r="D30" s="38"/>
    </row>
    <row r="31" spans="1:4" ht="12" customHeight="1">
      <c r="A31" s="44"/>
      <c r="B31" s="45"/>
      <c r="C31" s="46" t="s">
        <v>84</v>
      </c>
      <c r="D31" s="38"/>
    </row>
    <row r="32" spans="1:4" ht="12" customHeight="1">
      <c r="A32" s="44"/>
      <c r="B32" s="45"/>
      <c r="C32" s="46" t="s">
        <v>85</v>
      </c>
      <c r="D32" s="38"/>
    </row>
    <row r="33" spans="1:4" ht="12" customHeight="1">
      <c r="A33" s="44"/>
      <c r="B33" s="45"/>
      <c r="C33" s="46" t="s">
        <v>86</v>
      </c>
      <c r="D33" s="38"/>
    </row>
    <row r="34" spans="1:4" ht="12" customHeight="1">
      <c r="A34" s="44"/>
      <c r="B34" s="45"/>
      <c r="C34" s="46" t="s">
        <v>87</v>
      </c>
      <c r="D34" s="38"/>
    </row>
    <row r="35" spans="1:4" ht="26.25" customHeight="1">
      <c r="A35" s="41" t="s">
        <v>16</v>
      </c>
      <c r="B35" s="42" t="s">
        <v>88</v>
      </c>
      <c r="C35" s="43"/>
      <c r="D35" s="37"/>
    </row>
    <row r="36" spans="1:4" ht="12" customHeight="1">
      <c r="A36" s="44"/>
      <c r="B36" s="45"/>
      <c r="C36" s="46" t="s">
        <v>89</v>
      </c>
      <c r="D36" s="38"/>
    </row>
    <row r="37" spans="1:4" ht="12" customHeight="1">
      <c r="A37" s="44"/>
      <c r="B37" s="45"/>
      <c r="C37" s="46" t="s">
        <v>90</v>
      </c>
      <c r="D37" s="38"/>
    </row>
    <row r="38" spans="1:4" ht="12" customHeight="1">
      <c r="A38" s="44"/>
      <c r="B38" s="45"/>
      <c r="C38" s="46" t="s">
        <v>91</v>
      </c>
      <c r="D38" s="38"/>
    </row>
    <row r="39" spans="1:4" ht="12" customHeight="1">
      <c r="A39" s="44"/>
      <c r="B39" s="44"/>
      <c r="C39" s="46" t="s">
        <v>92</v>
      </c>
    </row>
    <row r="40" spans="1:4" ht="12" customHeight="1">
      <c r="A40" s="44"/>
      <c r="B40" s="44"/>
      <c r="C40" s="46" t="s">
        <v>93</v>
      </c>
    </row>
    <row r="41" spans="1:4" ht="12" customHeight="1">
      <c r="A41" s="44"/>
      <c r="B41" s="44"/>
      <c r="C41" s="46" t="s">
        <v>94</v>
      </c>
    </row>
    <row r="42" spans="1:4" ht="12" customHeight="1">
      <c r="A42" s="44"/>
      <c r="B42" s="44"/>
      <c r="C42" s="46" t="s">
        <v>95</v>
      </c>
    </row>
    <row r="43" spans="1:4" ht="12" customHeight="1">
      <c r="A43" s="44"/>
      <c r="B43" s="44"/>
      <c r="C43" s="46" t="s">
        <v>96</v>
      </c>
    </row>
    <row r="44" spans="1:4" ht="12" customHeight="1">
      <c r="A44" s="44"/>
      <c r="B44" s="44"/>
      <c r="C44" s="46" t="s">
        <v>97</v>
      </c>
    </row>
    <row r="45" spans="1:4" ht="12" customHeight="1">
      <c r="A45" s="44"/>
      <c r="B45" s="44"/>
      <c r="C45" s="46" t="s">
        <v>98</v>
      </c>
    </row>
    <row r="46" spans="1:4" ht="12" customHeight="1">
      <c r="A46" s="44"/>
      <c r="B46" s="44"/>
      <c r="C46" s="46" t="s">
        <v>99</v>
      </c>
    </row>
    <row r="47" spans="1:4" ht="29.25" customHeight="1">
      <c r="A47" s="41" t="s">
        <v>21</v>
      </c>
      <c r="B47" s="41" t="s">
        <v>100</v>
      </c>
      <c r="C47" s="43"/>
    </row>
    <row r="48" spans="1:4" ht="12" customHeight="1">
      <c r="A48" s="44"/>
      <c r="B48" s="44"/>
      <c r="C48" s="47" t="s">
        <v>101</v>
      </c>
    </row>
    <row r="49" spans="1:3" ht="12" customHeight="1">
      <c r="A49" s="44"/>
      <c r="B49" s="44"/>
      <c r="C49" s="47" t="s">
        <v>102</v>
      </c>
    </row>
    <row r="50" spans="1:3" ht="12" customHeight="1">
      <c r="A50" s="44"/>
      <c r="B50" s="44"/>
      <c r="C50" s="47" t="s">
        <v>103</v>
      </c>
    </row>
    <row r="51" spans="1:3" ht="12" customHeight="1">
      <c r="A51" s="44"/>
      <c r="B51" s="44"/>
      <c r="C51" s="47" t="s">
        <v>104</v>
      </c>
    </row>
    <row r="52" spans="1:3" ht="12" customHeight="1">
      <c r="A52" s="44"/>
      <c r="B52" s="44"/>
      <c r="C52" s="47" t="s">
        <v>105</v>
      </c>
    </row>
    <row r="53" spans="1:3" ht="12" customHeight="1">
      <c r="A53" s="44"/>
      <c r="B53" s="44"/>
      <c r="C53" s="47" t="s">
        <v>106</v>
      </c>
    </row>
    <row r="54" spans="1:3" ht="11.85" customHeight="1">
      <c r="A54" s="44"/>
      <c r="B54" s="44"/>
      <c r="C54" s="47" t="s">
        <v>107</v>
      </c>
    </row>
    <row r="55" spans="1:3" ht="12" customHeight="1">
      <c r="A55" s="44"/>
      <c r="B55" s="44"/>
      <c r="C55" s="47" t="s">
        <v>108</v>
      </c>
    </row>
    <row r="56" spans="1:3" ht="12" customHeight="1">
      <c r="A56" s="44"/>
      <c r="B56" s="44"/>
      <c r="C56" s="47" t="s">
        <v>109</v>
      </c>
    </row>
    <row r="57" spans="1:3" ht="12" customHeight="1">
      <c r="A57" s="44"/>
      <c r="B57" s="44"/>
      <c r="C57" s="47" t="s">
        <v>110</v>
      </c>
    </row>
    <row r="58" spans="1:3" ht="12" customHeight="1">
      <c r="A58" s="44"/>
      <c r="B58" s="44"/>
      <c r="C58" s="47" t="s">
        <v>111</v>
      </c>
    </row>
    <row r="59" spans="1:3" ht="12" customHeight="1">
      <c r="A59" s="44"/>
      <c r="B59" s="44"/>
      <c r="C59" s="47" t="s">
        <v>112</v>
      </c>
    </row>
    <row r="60" spans="1:3" ht="12" customHeight="1">
      <c r="A60" s="44"/>
      <c r="B60" s="44"/>
      <c r="C60" s="46" t="s">
        <v>113</v>
      </c>
    </row>
    <row r="61" spans="1:3" ht="12" customHeight="1">
      <c r="A61" s="44"/>
      <c r="B61" s="44"/>
      <c r="C61" s="46" t="s">
        <v>114</v>
      </c>
    </row>
    <row r="62" spans="1:3" ht="12" customHeight="1">
      <c r="A62" s="44"/>
      <c r="B62" s="44"/>
      <c r="C62" s="46" t="s">
        <v>115</v>
      </c>
    </row>
    <row r="63" spans="1:3" ht="12" customHeight="1">
      <c r="A63" s="44"/>
      <c r="B63" s="44"/>
      <c r="C63" s="46" t="s">
        <v>116</v>
      </c>
    </row>
    <row r="64" spans="1:3" ht="12" customHeight="1">
      <c r="A64" s="44"/>
      <c r="B64" s="44"/>
      <c r="C64" s="46" t="s">
        <v>117</v>
      </c>
    </row>
    <row r="65" spans="1:3" ht="12" customHeight="1">
      <c r="A65" s="44"/>
      <c r="B65" s="44"/>
      <c r="C65" s="46" t="s">
        <v>118</v>
      </c>
    </row>
    <row r="66" spans="1:3" ht="12" customHeight="1">
      <c r="A66" s="44"/>
      <c r="B66" s="44"/>
      <c r="C66" s="46" t="s">
        <v>119</v>
      </c>
    </row>
    <row r="67" spans="1:3" ht="12" customHeight="1">
      <c r="A67" s="44"/>
      <c r="B67" s="44"/>
      <c r="C67" s="46" t="s">
        <v>120</v>
      </c>
    </row>
    <row r="68" spans="1:3" ht="12" customHeight="1">
      <c r="A68" s="44"/>
      <c r="B68" s="44"/>
      <c r="C68" s="46" t="s">
        <v>121</v>
      </c>
    </row>
    <row r="69" spans="1:3" ht="12" customHeight="1">
      <c r="A69" s="44"/>
      <c r="B69" s="44"/>
      <c r="C69" s="46" t="s">
        <v>122</v>
      </c>
    </row>
    <row r="70" spans="1:3" ht="12" customHeight="1">
      <c r="A70" s="44"/>
      <c r="B70" s="44"/>
      <c r="C70" s="46" t="s">
        <v>123</v>
      </c>
    </row>
    <row r="71" spans="1:3" ht="12" customHeight="1">
      <c r="A71" s="44"/>
      <c r="B71" s="44"/>
      <c r="C71" s="46" t="s">
        <v>124</v>
      </c>
    </row>
    <row r="72" spans="1:3" ht="12" customHeight="1">
      <c r="A72" s="44"/>
      <c r="B72" s="44"/>
      <c r="C72" s="46" t="s">
        <v>125</v>
      </c>
    </row>
    <row r="73" spans="1:3" ht="12" customHeight="1">
      <c r="A73" s="44"/>
      <c r="B73" s="44"/>
      <c r="C73" s="46" t="s">
        <v>126</v>
      </c>
    </row>
    <row r="74" spans="1:3" ht="12" customHeight="1">
      <c r="A74" s="44"/>
      <c r="B74" s="44"/>
      <c r="C74" s="46" t="s">
        <v>127</v>
      </c>
    </row>
    <row r="75" spans="1:3" ht="12" customHeight="1">
      <c r="A75" s="44"/>
      <c r="B75" s="44"/>
      <c r="C75" s="46" t="s">
        <v>128</v>
      </c>
    </row>
    <row r="76" spans="1:3" ht="12" customHeight="1">
      <c r="A76" s="44"/>
      <c r="B76" s="44"/>
      <c r="C76" s="46" t="s">
        <v>129</v>
      </c>
    </row>
    <row r="77" spans="1:3" ht="12" customHeight="1">
      <c r="A77" s="44"/>
      <c r="B77" s="44"/>
      <c r="C77" s="46" t="s">
        <v>130</v>
      </c>
    </row>
    <row r="78" spans="1:3" ht="12" customHeight="1">
      <c r="A78" s="44"/>
      <c r="B78" s="44"/>
      <c r="C78" s="46" t="s">
        <v>131</v>
      </c>
    </row>
    <row r="79" spans="1:3" ht="12" customHeight="1">
      <c r="A79" s="44"/>
      <c r="B79" s="44"/>
      <c r="C79" s="46" t="s">
        <v>132</v>
      </c>
    </row>
    <row r="80" spans="1:3" ht="12" customHeight="1">
      <c r="A80" s="44"/>
      <c r="B80" s="44"/>
      <c r="C80" s="46" t="s">
        <v>133</v>
      </c>
    </row>
    <row r="81" spans="1:3" ht="12" customHeight="1">
      <c r="A81" s="44"/>
      <c r="B81" s="44"/>
      <c r="C81" s="46" t="s">
        <v>134</v>
      </c>
    </row>
    <row r="82" spans="1:3" ht="12" customHeight="1">
      <c r="A82" s="44"/>
      <c r="B82" s="44"/>
      <c r="C82" s="46" t="s">
        <v>135</v>
      </c>
    </row>
    <row r="83" spans="1:3" ht="12" customHeight="1">
      <c r="A83" s="44"/>
      <c r="B83" s="44"/>
      <c r="C83" s="46" t="s">
        <v>136</v>
      </c>
    </row>
    <row r="84" spans="1:3" ht="34.950000000000003" customHeight="1">
      <c r="A84" s="41" t="s">
        <v>21</v>
      </c>
      <c r="B84" s="41" t="s">
        <v>137</v>
      </c>
      <c r="C84" s="43"/>
    </row>
    <row r="85" spans="1:3" ht="23.4" customHeight="1">
      <c r="A85" s="44"/>
      <c r="B85" s="44"/>
      <c r="C85" s="46" t="s">
        <v>138</v>
      </c>
    </row>
    <row r="86" spans="1:3" ht="23.4" customHeight="1">
      <c r="A86" s="44"/>
      <c r="B86" s="44"/>
      <c r="C86" s="47" t="s">
        <v>139</v>
      </c>
    </row>
    <row r="87" spans="1:3" ht="23.4" customHeight="1">
      <c r="A87" s="44"/>
      <c r="B87" s="44"/>
      <c r="C87" s="47" t="s">
        <v>140</v>
      </c>
    </row>
    <row r="88" spans="1:3" ht="23.4" customHeight="1">
      <c r="A88" s="44"/>
      <c r="B88" s="44"/>
      <c r="C88" s="47" t="s">
        <v>141</v>
      </c>
    </row>
    <row r="89" spans="1:3" ht="12" customHeight="1">
      <c r="A89" s="44"/>
      <c r="B89" s="44"/>
      <c r="C89" s="46" t="s">
        <v>142</v>
      </c>
    </row>
    <row r="90" spans="1:3" ht="12" customHeight="1">
      <c r="A90" s="44"/>
      <c r="B90" s="44"/>
      <c r="C90" s="46" t="s">
        <v>143</v>
      </c>
    </row>
    <row r="91" spans="1:3" ht="12" customHeight="1">
      <c r="A91" s="44"/>
      <c r="B91" s="44"/>
      <c r="C91" s="46" t="s">
        <v>144</v>
      </c>
    </row>
    <row r="92" spans="1:3" ht="23.4" customHeight="1">
      <c r="A92" s="44"/>
      <c r="B92" s="44"/>
      <c r="C92" s="47" t="s">
        <v>145</v>
      </c>
    </row>
    <row r="93" spans="1:3" ht="23.4" customHeight="1">
      <c r="A93" s="44"/>
      <c r="B93" s="44"/>
      <c r="C93" s="46" t="s">
        <v>146</v>
      </c>
    </row>
    <row r="94" spans="1:3" ht="23.4" customHeight="1">
      <c r="A94" s="44"/>
      <c r="B94" s="44"/>
      <c r="C94" s="47" t="s">
        <v>147</v>
      </c>
    </row>
    <row r="95" spans="1:3" ht="23.4" customHeight="1">
      <c r="A95" s="44"/>
      <c r="B95" s="44"/>
      <c r="C95" s="47" t="s">
        <v>148</v>
      </c>
    </row>
    <row r="96" spans="1:3" ht="23.4" customHeight="1">
      <c r="A96" s="44"/>
      <c r="B96" s="44"/>
      <c r="C96" s="47" t="s">
        <v>149</v>
      </c>
    </row>
    <row r="97" spans="1:3" ht="23.4" customHeight="1">
      <c r="A97" s="44"/>
      <c r="B97" s="44"/>
      <c r="C97" s="47" t="s">
        <v>150</v>
      </c>
    </row>
    <row r="98" spans="1:3" ht="12" customHeight="1">
      <c r="A98" s="44"/>
      <c r="B98" s="44"/>
      <c r="C98" s="46" t="s">
        <v>151</v>
      </c>
    </row>
    <row r="99" spans="1:3" ht="12" customHeight="1">
      <c r="A99" s="44"/>
      <c r="B99" s="44"/>
      <c r="C99" s="46" t="s">
        <v>152</v>
      </c>
    </row>
    <row r="100" spans="1:3" ht="12" customHeight="1">
      <c r="A100" s="44"/>
      <c r="B100" s="44"/>
      <c r="C100" s="46" t="s">
        <v>153</v>
      </c>
    </row>
    <row r="101" spans="1:3" ht="12" customHeight="1">
      <c r="A101" s="44"/>
      <c r="B101" s="44"/>
      <c r="C101" s="46" t="s">
        <v>154</v>
      </c>
    </row>
    <row r="102" spans="1:3" ht="23.4" customHeight="1">
      <c r="A102" s="44"/>
      <c r="B102" s="44"/>
      <c r="C102" s="47" t="s">
        <v>155</v>
      </c>
    </row>
    <row r="103" spans="1:3" ht="23.4" customHeight="1">
      <c r="A103" s="44"/>
      <c r="B103" s="44"/>
      <c r="C103" s="47" t="s">
        <v>156</v>
      </c>
    </row>
    <row r="104" spans="1:3" ht="12" customHeight="1">
      <c r="A104" s="44"/>
      <c r="B104" s="44"/>
      <c r="C104" s="46" t="s">
        <v>157</v>
      </c>
    </row>
    <row r="105" spans="1:3" ht="12" customHeight="1">
      <c r="A105" s="44"/>
      <c r="B105" s="44"/>
      <c r="C105" s="46" t="s">
        <v>158</v>
      </c>
    </row>
    <row r="106" spans="1:3" ht="12" customHeight="1">
      <c r="A106" s="44"/>
      <c r="B106" s="44"/>
      <c r="C106" s="46" t="s">
        <v>159</v>
      </c>
    </row>
    <row r="107" spans="1:3" ht="12" customHeight="1">
      <c r="A107" s="44"/>
      <c r="B107" s="44"/>
      <c r="C107" s="46" t="s">
        <v>160</v>
      </c>
    </row>
    <row r="108" spans="1:3" ht="12" customHeight="1">
      <c r="A108" s="44"/>
      <c r="B108" s="44"/>
      <c r="C108" s="46" t="s">
        <v>161</v>
      </c>
    </row>
    <row r="109" spans="1:3" ht="45" customHeight="1">
      <c r="A109" s="41" t="s">
        <v>21</v>
      </c>
      <c r="B109" s="41" t="s">
        <v>162</v>
      </c>
      <c r="C109" s="43"/>
    </row>
    <row r="110" spans="1:3" ht="12" customHeight="1">
      <c r="A110" s="44"/>
      <c r="B110" s="44"/>
      <c r="C110" s="46" t="s">
        <v>163</v>
      </c>
    </row>
    <row r="111" spans="1:3" ht="12" customHeight="1">
      <c r="A111" s="44"/>
      <c r="B111" s="44"/>
      <c r="C111" s="46" t="s">
        <v>164</v>
      </c>
    </row>
    <row r="112" spans="1:3" ht="12" customHeight="1">
      <c r="A112" s="44"/>
      <c r="B112" s="44"/>
      <c r="C112" s="46" t="s">
        <v>165</v>
      </c>
    </row>
    <row r="113" spans="1:3" ht="12" customHeight="1">
      <c r="A113" s="44"/>
      <c r="B113" s="44"/>
      <c r="C113" s="46" t="s">
        <v>166</v>
      </c>
    </row>
    <row r="114" spans="1:3" ht="12" customHeight="1">
      <c r="A114" s="44"/>
      <c r="B114" s="44"/>
      <c r="C114" s="46" t="s">
        <v>167</v>
      </c>
    </row>
    <row r="115" spans="1:3" ht="12" customHeight="1">
      <c r="A115" s="44"/>
      <c r="B115" s="44"/>
      <c r="C115" s="46" t="s">
        <v>168</v>
      </c>
    </row>
    <row r="116" spans="1:3" ht="12" customHeight="1">
      <c r="A116" s="44"/>
      <c r="B116" s="44"/>
      <c r="C116" s="46" t="s">
        <v>169</v>
      </c>
    </row>
    <row r="117" spans="1:3" ht="12" customHeight="1">
      <c r="A117" s="44"/>
      <c r="B117" s="44"/>
      <c r="C117" s="46" t="s">
        <v>170</v>
      </c>
    </row>
    <row r="118" spans="1:3" ht="12" customHeight="1">
      <c r="A118" s="44"/>
      <c r="B118" s="44"/>
      <c r="C118" s="46" t="s">
        <v>171</v>
      </c>
    </row>
    <row r="119" spans="1:3" ht="12" customHeight="1">
      <c r="A119" s="44"/>
      <c r="B119" s="44"/>
      <c r="C119" s="46" t="s">
        <v>172</v>
      </c>
    </row>
    <row r="120" spans="1:3" ht="47.25" customHeight="1">
      <c r="A120" s="41" t="s">
        <v>21</v>
      </c>
      <c r="B120" s="41" t="s">
        <v>173</v>
      </c>
      <c r="C120" s="43"/>
    </row>
    <row r="121" spans="1:3" ht="12" customHeight="1">
      <c r="A121" s="44"/>
      <c r="B121" s="44"/>
      <c r="C121" s="46" t="s">
        <v>174</v>
      </c>
    </row>
    <row r="122" spans="1:3" ht="12" customHeight="1">
      <c r="A122" s="44"/>
      <c r="B122" s="44"/>
      <c r="C122" s="46" t="s">
        <v>175</v>
      </c>
    </row>
    <row r="123" spans="1:3" ht="12" customHeight="1">
      <c r="A123" s="44"/>
      <c r="B123" s="44"/>
      <c r="C123" s="46" t="s">
        <v>176</v>
      </c>
    </row>
    <row r="124" spans="1:3" ht="12" customHeight="1">
      <c r="A124" s="44"/>
      <c r="B124" s="44"/>
      <c r="C124" s="46" t="s">
        <v>177</v>
      </c>
    </row>
    <row r="125" spans="1:3" ht="12" customHeight="1">
      <c r="A125" s="44"/>
      <c r="B125" s="44"/>
      <c r="C125" s="46" t="s">
        <v>178</v>
      </c>
    </row>
    <row r="126" spans="1:3" ht="12" customHeight="1">
      <c r="A126" s="44"/>
      <c r="B126" s="44"/>
      <c r="C126" s="46" t="s">
        <v>179</v>
      </c>
    </row>
    <row r="127" spans="1:3" ht="12" customHeight="1">
      <c r="A127" s="44"/>
      <c r="B127" s="44"/>
      <c r="C127" s="46" t="s">
        <v>180</v>
      </c>
    </row>
    <row r="128" spans="1:3" ht="12" customHeight="1">
      <c r="A128" s="44"/>
      <c r="B128" s="44"/>
      <c r="C128" s="46" t="s">
        <v>181</v>
      </c>
    </row>
    <row r="129" spans="1:3" ht="12" customHeight="1">
      <c r="A129" s="44"/>
      <c r="B129" s="44"/>
      <c r="C129" s="46" t="s">
        <v>182</v>
      </c>
    </row>
    <row r="130" spans="1:3" ht="12" customHeight="1">
      <c r="A130" s="44"/>
      <c r="B130" s="44"/>
      <c r="C130" s="46" t="s">
        <v>183</v>
      </c>
    </row>
    <row r="131" spans="1:3" ht="12" customHeight="1">
      <c r="A131" s="44"/>
      <c r="B131" s="44"/>
      <c r="C131" s="46" t="s">
        <v>184</v>
      </c>
    </row>
    <row r="132" spans="1:3" ht="12" customHeight="1">
      <c r="A132" s="44"/>
      <c r="B132" s="44"/>
      <c r="C132" s="46" t="s">
        <v>185</v>
      </c>
    </row>
    <row r="133" spans="1:3" ht="12" customHeight="1">
      <c r="A133" s="44"/>
      <c r="B133" s="44"/>
      <c r="C133" s="46" t="s">
        <v>186</v>
      </c>
    </row>
    <row r="134" spans="1:3" ht="12" customHeight="1">
      <c r="A134" s="44"/>
      <c r="B134" s="44"/>
      <c r="C134" s="46" t="s">
        <v>187</v>
      </c>
    </row>
    <row r="135" spans="1:3" ht="11.85" customHeight="1">
      <c r="A135" s="44"/>
      <c r="B135" s="44"/>
      <c r="C135" s="46" t="s">
        <v>188</v>
      </c>
    </row>
    <row r="136" spans="1:3" ht="12" customHeight="1">
      <c r="A136" s="44"/>
      <c r="B136" s="44"/>
      <c r="C136" s="46" t="s">
        <v>189</v>
      </c>
    </row>
    <row r="137" spans="1:3" ht="12" customHeight="1">
      <c r="A137" s="44"/>
      <c r="B137" s="44"/>
      <c r="C137" s="46" t="s">
        <v>190</v>
      </c>
    </row>
    <row r="138" spans="1:3" ht="12" customHeight="1">
      <c r="A138" s="44"/>
      <c r="B138" s="44"/>
      <c r="C138" s="46" t="s">
        <v>191</v>
      </c>
    </row>
    <row r="139" spans="1:3" ht="12" customHeight="1">
      <c r="A139" s="44"/>
      <c r="B139" s="44"/>
      <c r="C139" s="46" t="s">
        <v>192</v>
      </c>
    </row>
    <row r="140" spans="1:3" ht="12" customHeight="1">
      <c r="A140" s="44"/>
      <c r="B140" s="44"/>
      <c r="C140" s="46" t="s">
        <v>193</v>
      </c>
    </row>
    <row r="141" spans="1:3" ht="12" customHeight="1">
      <c r="A141" s="44"/>
      <c r="B141" s="44"/>
      <c r="C141" s="46" t="s">
        <v>194</v>
      </c>
    </row>
    <row r="142" spans="1:3" ht="12" customHeight="1">
      <c r="A142" s="44"/>
      <c r="B142" s="44"/>
      <c r="C142" s="46" t="s">
        <v>195</v>
      </c>
    </row>
    <row r="143" spans="1:3" ht="12" customHeight="1">
      <c r="A143" s="44"/>
      <c r="B143" s="44"/>
      <c r="C143" s="46" t="s">
        <v>196</v>
      </c>
    </row>
    <row r="144" spans="1:3" ht="12" customHeight="1">
      <c r="A144" s="44"/>
      <c r="B144" s="44"/>
      <c r="C144" s="46" t="s">
        <v>197</v>
      </c>
    </row>
    <row r="145" spans="1:3" ht="34.5" customHeight="1">
      <c r="A145" s="41" t="s">
        <v>21</v>
      </c>
      <c r="B145" s="41" t="s">
        <v>198</v>
      </c>
      <c r="C145" s="43"/>
    </row>
    <row r="146" spans="1:3" ht="12" customHeight="1">
      <c r="A146" s="44"/>
      <c r="B146" s="44"/>
      <c r="C146" s="46" t="s">
        <v>199</v>
      </c>
    </row>
    <row r="147" spans="1:3" ht="12" customHeight="1">
      <c r="A147" s="44"/>
      <c r="B147" s="44"/>
      <c r="C147" s="46" t="s">
        <v>200</v>
      </c>
    </row>
    <row r="148" spans="1:3" ht="12" customHeight="1">
      <c r="A148" s="44"/>
      <c r="B148" s="44"/>
      <c r="C148" s="46" t="s">
        <v>201</v>
      </c>
    </row>
    <row r="149" spans="1:3" ht="12" customHeight="1">
      <c r="A149" s="44"/>
      <c r="B149" s="44"/>
      <c r="C149" s="46" t="s">
        <v>202</v>
      </c>
    </row>
    <row r="150" spans="1:3" ht="12" customHeight="1">
      <c r="A150" s="44"/>
      <c r="B150" s="44"/>
      <c r="C150" s="46" t="s">
        <v>203</v>
      </c>
    </row>
    <row r="151" spans="1:3" ht="12" customHeight="1">
      <c r="A151" s="44"/>
      <c r="B151" s="44"/>
      <c r="C151" s="46" t="s">
        <v>204</v>
      </c>
    </row>
    <row r="152" spans="1:3" ht="12" customHeight="1">
      <c r="A152" s="44"/>
      <c r="B152" s="44"/>
      <c r="C152" s="46" t="s">
        <v>205</v>
      </c>
    </row>
    <row r="153" spans="1:3" ht="12" customHeight="1">
      <c r="A153" s="44"/>
      <c r="B153" s="44"/>
      <c r="C153" s="46" t="s">
        <v>206</v>
      </c>
    </row>
    <row r="154" spans="1:3" ht="12" customHeight="1">
      <c r="A154" s="44"/>
      <c r="B154" s="44"/>
      <c r="C154" s="46" t="s">
        <v>207</v>
      </c>
    </row>
    <row r="155" spans="1:3" ht="12" customHeight="1">
      <c r="A155" s="44"/>
      <c r="B155" s="44"/>
      <c r="C155" s="46" t="s">
        <v>208</v>
      </c>
    </row>
    <row r="156" spans="1:3" ht="12" customHeight="1">
      <c r="A156" s="44"/>
      <c r="B156" s="44"/>
      <c r="C156" s="46" t="s">
        <v>209</v>
      </c>
    </row>
    <row r="157" spans="1:3" ht="12" customHeight="1">
      <c r="A157" s="44"/>
      <c r="B157" s="44"/>
      <c r="C157" s="46" t="s">
        <v>210</v>
      </c>
    </row>
    <row r="158" spans="1:3" ht="12" customHeight="1">
      <c r="A158" s="44"/>
      <c r="B158" s="44"/>
      <c r="C158" s="46" t="s">
        <v>211</v>
      </c>
    </row>
    <row r="159" spans="1:3" ht="12" customHeight="1">
      <c r="A159" s="44"/>
      <c r="B159" s="44"/>
      <c r="C159" s="46" t="s">
        <v>212</v>
      </c>
    </row>
    <row r="160" spans="1:3" ht="12" customHeight="1">
      <c r="A160" s="44"/>
      <c r="B160" s="44"/>
      <c r="C160" s="46" t="s">
        <v>213</v>
      </c>
    </row>
    <row r="161" spans="1:3" ht="12" customHeight="1">
      <c r="A161" s="44"/>
      <c r="B161" s="44"/>
      <c r="C161" s="46" t="s">
        <v>214</v>
      </c>
    </row>
    <row r="162" spans="1:3" ht="12" customHeight="1">
      <c r="A162" s="44"/>
      <c r="B162" s="44"/>
      <c r="C162" s="46" t="s">
        <v>215</v>
      </c>
    </row>
    <row r="163" spans="1:3" ht="12" customHeight="1">
      <c r="A163" s="44"/>
      <c r="B163" s="44"/>
      <c r="C163" s="46" t="s">
        <v>216</v>
      </c>
    </row>
    <row r="164" spans="1:3" ht="12" customHeight="1">
      <c r="A164" s="44"/>
      <c r="B164" s="44"/>
      <c r="C164" s="46" t="s">
        <v>217</v>
      </c>
    </row>
    <row r="165" spans="1:3" ht="12" customHeight="1">
      <c r="A165" s="44"/>
      <c r="B165" s="44"/>
      <c r="C165" s="46" t="s">
        <v>218</v>
      </c>
    </row>
    <row r="166" spans="1:3" ht="12" customHeight="1">
      <c r="A166" s="44"/>
      <c r="B166" s="44"/>
      <c r="C166" s="46" t="s">
        <v>219</v>
      </c>
    </row>
    <row r="167" spans="1:3" ht="12" customHeight="1">
      <c r="A167" s="44"/>
      <c r="B167" s="44"/>
      <c r="C167" s="46" t="s">
        <v>220</v>
      </c>
    </row>
    <row r="168" spans="1:3" ht="12" customHeight="1">
      <c r="A168" s="44"/>
      <c r="B168" s="44"/>
      <c r="C168" s="46" t="s">
        <v>221</v>
      </c>
    </row>
    <row r="169" spans="1:3" ht="12" customHeight="1">
      <c r="A169" s="44"/>
      <c r="B169" s="44"/>
      <c r="C169" s="46" t="s">
        <v>222</v>
      </c>
    </row>
    <row r="170" spans="1:3" ht="12" customHeight="1">
      <c r="A170" s="44"/>
      <c r="B170" s="44"/>
      <c r="C170" s="46" t="s">
        <v>223</v>
      </c>
    </row>
    <row r="171" spans="1:3" ht="12" customHeight="1">
      <c r="A171" s="44"/>
      <c r="B171" s="44"/>
      <c r="C171" s="46" t="s">
        <v>224</v>
      </c>
    </row>
    <row r="172" spans="1:3" ht="12" customHeight="1">
      <c r="A172" s="44"/>
      <c r="B172" s="44"/>
      <c r="C172" s="46" t="s">
        <v>225</v>
      </c>
    </row>
    <row r="173" spans="1:3" ht="53.4" customHeight="1">
      <c r="A173" s="41" t="s">
        <v>21</v>
      </c>
      <c r="B173" s="41" t="s">
        <v>226</v>
      </c>
      <c r="C173" s="43"/>
    </row>
    <row r="174" spans="1:3" ht="12" customHeight="1">
      <c r="A174" s="44"/>
      <c r="B174" s="44"/>
      <c r="C174" s="46" t="s">
        <v>227</v>
      </c>
    </row>
    <row r="175" spans="1:3" ht="12" customHeight="1">
      <c r="A175" s="44"/>
      <c r="B175" s="44"/>
      <c r="C175" s="46" t="s">
        <v>228</v>
      </c>
    </row>
    <row r="176" spans="1:3" ht="12.15" customHeight="1">
      <c r="A176" s="44"/>
      <c r="B176" s="44"/>
      <c r="C176" s="46" t="s">
        <v>229</v>
      </c>
    </row>
    <row r="177" spans="1:3" ht="12" customHeight="1">
      <c r="A177" s="44"/>
      <c r="B177" s="44"/>
      <c r="C177" s="46" t="s">
        <v>230</v>
      </c>
    </row>
    <row r="178" spans="1:3" ht="12.15" customHeight="1">
      <c r="A178" s="44"/>
      <c r="B178" s="44"/>
      <c r="C178" s="46" t="s">
        <v>231</v>
      </c>
    </row>
    <row r="179" spans="1:3" ht="12" customHeight="1">
      <c r="A179" s="44"/>
      <c r="B179" s="44"/>
      <c r="C179" s="46" t="s">
        <v>232</v>
      </c>
    </row>
    <row r="180" spans="1:3" ht="12" customHeight="1">
      <c r="A180" s="44"/>
      <c r="B180" s="44"/>
      <c r="C180" s="46" t="s">
        <v>233</v>
      </c>
    </row>
    <row r="181" spans="1:3" ht="12.15" customHeight="1">
      <c r="A181" s="44"/>
      <c r="B181" s="44"/>
      <c r="C181" s="46" t="s">
        <v>234</v>
      </c>
    </row>
    <row r="182" spans="1:3" ht="12" customHeight="1">
      <c r="A182" s="44"/>
      <c r="B182" s="44"/>
      <c r="C182" s="46" t="s">
        <v>235</v>
      </c>
    </row>
    <row r="183" spans="1:3" ht="12" customHeight="1">
      <c r="A183" s="44"/>
      <c r="B183" s="44"/>
      <c r="C183" s="46" t="s">
        <v>236</v>
      </c>
    </row>
    <row r="184" spans="1:3" ht="12.15" customHeight="1">
      <c r="A184" s="44"/>
      <c r="B184" s="44"/>
      <c r="C184" s="46" t="s">
        <v>237</v>
      </c>
    </row>
    <row r="185" spans="1:3" ht="12" customHeight="1">
      <c r="A185" s="44"/>
      <c r="B185" s="44"/>
      <c r="C185" s="46" t="s">
        <v>238</v>
      </c>
    </row>
    <row r="186" spans="1:3" ht="12" customHeight="1">
      <c r="A186" s="44"/>
      <c r="B186" s="44"/>
      <c r="C186" s="46" t="s">
        <v>239</v>
      </c>
    </row>
    <row r="187" spans="1:3" ht="12" customHeight="1">
      <c r="A187" s="44"/>
      <c r="B187" s="44"/>
      <c r="C187" s="46" t="s">
        <v>240</v>
      </c>
    </row>
    <row r="188" spans="1:3" ht="12" customHeight="1">
      <c r="A188" s="44"/>
      <c r="B188" s="44"/>
      <c r="C188" s="46" t="s">
        <v>241</v>
      </c>
    </row>
    <row r="189" spans="1:3" ht="12" customHeight="1">
      <c r="A189" s="44"/>
      <c r="B189" s="44"/>
      <c r="C189" s="46" t="s">
        <v>242</v>
      </c>
    </row>
    <row r="190" spans="1:3" ht="12" customHeight="1">
      <c r="A190" s="44"/>
      <c r="B190" s="44"/>
      <c r="C190" s="46" t="s">
        <v>243</v>
      </c>
    </row>
    <row r="191" spans="1:3" ht="13.65" customHeight="1">
      <c r="A191" s="44"/>
      <c r="B191" s="44"/>
      <c r="C191" s="46" t="s">
        <v>244</v>
      </c>
    </row>
    <row r="192" spans="1:3" ht="12" customHeight="1">
      <c r="A192" s="44"/>
      <c r="B192" s="44"/>
      <c r="C192" s="46" t="s">
        <v>245</v>
      </c>
    </row>
    <row r="193" spans="1:3" ht="12" customHeight="1">
      <c r="A193" s="44"/>
      <c r="B193" s="44"/>
      <c r="C193" s="46" t="s">
        <v>246</v>
      </c>
    </row>
    <row r="194" spans="1:3" ht="12" customHeight="1">
      <c r="A194" s="44"/>
      <c r="B194" s="44"/>
      <c r="C194" s="46" t="s">
        <v>247</v>
      </c>
    </row>
    <row r="195" spans="1:3" ht="12" customHeight="1">
      <c r="A195" s="44"/>
      <c r="B195" s="44"/>
      <c r="C195" s="46" t="s">
        <v>248</v>
      </c>
    </row>
    <row r="196" spans="1:3" ht="12" customHeight="1">
      <c r="A196" s="44"/>
      <c r="B196" s="44"/>
      <c r="C196" s="46" t="s">
        <v>249</v>
      </c>
    </row>
    <row r="197" spans="1:3" ht="12" customHeight="1">
      <c r="A197" s="44"/>
      <c r="B197" s="44"/>
      <c r="C197" s="46" t="s">
        <v>250</v>
      </c>
    </row>
    <row r="198" spans="1:3" ht="12" customHeight="1">
      <c r="A198" s="44"/>
      <c r="B198" s="44"/>
      <c r="C198" s="46" t="s">
        <v>251</v>
      </c>
    </row>
    <row r="199" spans="1:3" ht="12" customHeight="1">
      <c r="A199" s="44"/>
      <c r="B199" s="44"/>
      <c r="C199" s="46" t="s">
        <v>252</v>
      </c>
    </row>
    <row r="200" spans="1:3" ht="12" customHeight="1">
      <c r="A200" s="44"/>
      <c r="B200" s="44"/>
      <c r="C200" s="46" t="s">
        <v>253</v>
      </c>
    </row>
    <row r="201" spans="1:3" ht="12" customHeight="1">
      <c r="A201" s="44"/>
      <c r="B201" s="44"/>
      <c r="C201" s="46" t="s">
        <v>254</v>
      </c>
    </row>
    <row r="202" spans="1:3" ht="12" customHeight="1">
      <c r="A202" s="44"/>
      <c r="B202" s="44"/>
      <c r="C202" s="46" t="s">
        <v>255</v>
      </c>
    </row>
    <row r="203" spans="1:3" ht="12" customHeight="1">
      <c r="A203" s="44"/>
      <c r="B203" s="44"/>
      <c r="C203" s="46" t="s">
        <v>256</v>
      </c>
    </row>
    <row r="204" spans="1:3" ht="12" customHeight="1">
      <c r="A204" s="44"/>
      <c r="B204" s="44"/>
      <c r="C204" s="46" t="s">
        <v>257</v>
      </c>
    </row>
    <row r="205" spans="1:3" ht="12" customHeight="1">
      <c r="A205" s="44"/>
      <c r="B205" s="44"/>
      <c r="C205" s="46" t="s">
        <v>258</v>
      </c>
    </row>
    <row r="206" spans="1:3" ht="12" customHeight="1">
      <c r="A206" s="44"/>
      <c r="B206" s="44"/>
      <c r="C206" s="46" t="s">
        <v>259</v>
      </c>
    </row>
    <row r="207" spans="1:3" ht="12" customHeight="1">
      <c r="A207" s="44"/>
      <c r="B207" s="44"/>
      <c r="C207" s="46" t="s">
        <v>260</v>
      </c>
    </row>
    <row r="208" spans="1:3" ht="12" customHeight="1">
      <c r="A208" s="44"/>
      <c r="B208" s="44"/>
      <c r="C208" s="46" t="s">
        <v>261</v>
      </c>
    </row>
    <row r="209" spans="1:3" ht="12" customHeight="1">
      <c r="A209" s="44"/>
      <c r="B209" s="44"/>
      <c r="C209" s="46" t="s">
        <v>262</v>
      </c>
    </row>
    <row r="210" spans="1:3" ht="12" customHeight="1">
      <c r="A210" s="44"/>
      <c r="B210" s="44"/>
      <c r="C210" s="46" t="s">
        <v>263</v>
      </c>
    </row>
    <row r="211" spans="1:3" ht="12" customHeight="1">
      <c r="A211" s="44"/>
      <c r="B211" s="44"/>
      <c r="C211" s="46" t="s">
        <v>264</v>
      </c>
    </row>
    <row r="212" spans="1:3" ht="12" customHeight="1">
      <c r="A212" s="44"/>
      <c r="B212" s="44"/>
      <c r="C212" s="46" t="s">
        <v>265</v>
      </c>
    </row>
    <row r="213" spans="1:3" ht="12" customHeight="1">
      <c r="A213" s="44"/>
      <c r="B213" s="44"/>
      <c r="C213" s="46" t="s">
        <v>266</v>
      </c>
    </row>
    <row r="214" spans="1:3" ht="12" customHeight="1">
      <c r="A214" s="44"/>
      <c r="B214" s="44"/>
      <c r="C214" s="46" t="s">
        <v>267</v>
      </c>
    </row>
    <row r="215" spans="1:3" ht="12" customHeight="1">
      <c r="A215" s="44"/>
      <c r="B215" s="44"/>
      <c r="C215" s="46" t="s">
        <v>268</v>
      </c>
    </row>
    <row r="216" spans="1:3" ht="12" customHeight="1">
      <c r="A216" s="44"/>
      <c r="B216" s="44"/>
      <c r="C216" s="46" t="s">
        <v>269</v>
      </c>
    </row>
    <row r="217" spans="1:3" ht="11.85" customHeight="1">
      <c r="A217" s="44"/>
      <c r="B217" s="44"/>
      <c r="C217" s="46" t="s">
        <v>270</v>
      </c>
    </row>
    <row r="218" spans="1:3" ht="12" customHeight="1">
      <c r="A218" s="44"/>
      <c r="B218" s="44"/>
      <c r="C218" s="46" t="s">
        <v>271</v>
      </c>
    </row>
    <row r="219" spans="1:3" ht="12" customHeight="1">
      <c r="A219" s="44"/>
      <c r="B219" s="44"/>
      <c r="C219" s="46" t="s">
        <v>272</v>
      </c>
    </row>
    <row r="220" spans="1:3" ht="12" customHeight="1">
      <c r="A220" s="44"/>
      <c r="B220" s="44"/>
      <c r="C220" s="46" t="s">
        <v>273</v>
      </c>
    </row>
    <row r="221" spans="1:3" ht="12" customHeight="1">
      <c r="A221" s="44"/>
      <c r="B221" s="44"/>
      <c r="C221" s="46" t="s">
        <v>274</v>
      </c>
    </row>
    <row r="222" spans="1:3" ht="12" customHeight="1">
      <c r="A222" s="44"/>
      <c r="B222" s="44"/>
      <c r="C222" s="46" t="s">
        <v>275</v>
      </c>
    </row>
    <row r="223" spans="1:3" ht="12" customHeight="1">
      <c r="A223" s="44"/>
      <c r="B223" s="44"/>
      <c r="C223" s="46" t="s">
        <v>276</v>
      </c>
    </row>
    <row r="224" spans="1:3" ht="12" customHeight="1">
      <c r="A224" s="44"/>
      <c r="B224" s="44"/>
      <c r="C224" s="46" t="s">
        <v>277</v>
      </c>
    </row>
    <row r="225" spans="1:3" ht="12" customHeight="1">
      <c r="A225" s="44"/>
      <c r="B225" s="44"/>
      <c r="C225" s="46" t="s">
        <v>278</v>
      </c>
    </row>
    <row r="226" spans="1:3" ht="12" customHeight="1">
      <c r="A226" s="44"/>
      <c r="B226" s="44"/>
      <c r="C226" s="46" t="s">
        <v>279</v>
      </c>
    </row>
    <row r="227" spans="1:3" ht="12" customHeight="1">
      <c r="A227" s="44"/>
      <c r="B227" s="44"/>
      <c r="C227" s="46" t="s">
        <v>280</v>
      </c>
    </row>
    <row r="228" spans="1:3" ht="12" customHeight="1">
      <c r="A228" s="44"/>
      <c r="B228" s="44"/>
      <c r="C228" s="46" t="s">
        <v>281</v>
      </c>
    </row>
    <row r="229" spans="1:3" ht="12" customHeight="1">
      <c r="A229" s="44"/>
      <c r="B229" s="44"/>
      <c r="C229" s="46" t="s">
        <v>282</v>
      </c>
    </row>
    <row r="230" spans="1:3" ht="12" customHeight="1">
      <c r="A230" s="44"/>
      <c r="B230" s="44"/>
      <c r="C230" s="46" t="s">
        <v>283</v>
      </c>
    </row>
    <row r="231" spans="1:3" ht="12" customHeight="1">
      <c r="A231" s="44"/>
      <c r="B231" s="44"/>
      <c r="C231" s="46" t="s">
        <v>284</v>
      </c>
    </row>
    <row r="232" spans="1:3" ht="12" customHeight="1">
      <c r="A232" s="44"/>
      <c r="B232" s="44"/>
      <c r="C232" s="46" t="s">
        <v>285</v>
      </c>
    </row>
    <row r="233" spans="1:3" ht="12" customHeight="1">
      <c r="A233" s="44"/>
      <c r="B233" s="44"/>
      <c r="C233" s="46" t="s">
        <v>286</v>
      </c>
    </row>
    <row r="234" spans="1:3" ht="12" customHeight="1">
      <c r="A234" s="44"/>
      <c r="B234" s="44"/>
      <c r="C234" s="46" t="s">
        <v>287</v>
      </c>
    </row>
    <row r="235" spans="1:3" ht="12" customHeight="1">
      <c r="A235" s="44"/>
      <c r="B235" s="44"/>
      <c r="C235" s="46" t="s">
        <v>288</v>
      </c>
    </row>
    <row r="236" spans="1:3" ht="12" customHeight="1">
      <c r="A236" s="44"/>
      <c r="B236" s="44"/>
      <c r="C236" s="46" t="s">
        <v>289</v>
      </c>
    </row>
    <row r="237" spans="1:3" ht="29.25" customHeight="1">
      <c r="A237" s="41" t="s">
        <v>21</v>
      </c>
      <c r="B237" s="41" t="s">
        <v>290</v>
      </c>
      <c r="C237" s="43"/>
    </row>
    <row r="238" spans="1:3" ht="12" customHeight="1">
      <c r="A238" s="44"/>
      <c r="B238" s="44"/>
      <c r="C238" s="46" t="s">
        <v>291</v>
      </c>
    </row>
    <row r="239" spans="1:3" ht="12" customHeight="1">
      <c r="A239" s="44"/>
      <c r="B239" s="44"/>
      <c r="C239" s="46" t="s">
        <v>292</v>
      </c>
    </row>
    <row r="240" spans="1:3" ht="12" customHeight="1">
      <c r="A240" s="44"/>
      <c r="B240" s="44"/>
      <c r="C240" s="46" t="s">
        <v>293</v>
      </c>
    </row>
    <row r="241" spans="1:3" ht="12" customHeight="1">
      <c r="A241" s="44"/>
      <c r="B241" s="44"/>
      <c r="C241" s="46" t="s">
        <v>294</v>
      </c>
    </row>
    <row r="242" spans="1:3" ht="12" customHeight="1">
      <c r="A242" s="44"/>
      <c r="B242" s="44"/>
      <c r="C242" s="46" t="s">
        <v>295</v>
      </c>
    </row>
    <row r="243" spans="1:3" ht="12" customHeight="1">
      <c r="A243" s="44"/>
      <c r="B243" s="44"/>
      <c r="C243" s="46" t="s">
        <v>296</v>
      </c>
    </row>
    <row r="244" spans="1:3" ht="12" customHeight="1">
      <c r="A244" s="44"/>
      <c r="B244" s="44"/>
      <c r="C244" s="46" t="s">
        <v>297</v>
      </c>
    </row>
    <row r="245" spans="1:3" ht="12" customHeight="1">
      <c r="A245" s="44"/>
      <c r="B245" s="44"/>
      <c r="C245" s="46" t="s">
        <v>298</v>
      </c>
    </row>
    <row r="246" spans="1:3" ht="12" customHeight="1">
      <c r="A246" s="44"/>
      <c r="B246" s="44"/>
      <c r="C246" s="46" t="s">
        <v>299</v>
      </c>
    </row>
    <row r="247" spans="1:3" ht="12" customHeight="1">
      <c r="A247" s="44"/>
      <c r="B247" s="44"/>
      <c r="C247" s="46" t="s">
        <v>300</v>
      </c>
    </row>
    <row r="248" spans="1:3" ht="40.200000000000003" customHeight="1">
      <c r="A248" s="41" t="s">
        <v>21</v>
      </c>
      <c r="B248" s="41" t="s">
        <v>301</v>
      </c>
      <c r="C248" s="43"/>
    </row>
    <row r="249" spans="1:3" ht="12" customHeight="1">
      <c r="A249" s="44"/>
      <c r="B249" s="44"/>
      <c r="C249" s="46" t="s">
        <v>302</v>
      </c>
    </row>
    <row r="250" spans="1:3" ht="12" customHeight="1">
      <c r="A250" s="44"/>
      <c r="B250" s="44"/>
      <c r="C250" s="46" t="s">
        <v>303</v>
      </c>
    </row>
    <row r="251" spans="1:3" ht="12" customHeight="1">
      <c r="A251" s="44"/>
      <c r="B251" s="44"/>
      <c r="C251" s="46" t="s">
        <v>304</v>
      </c>
    </row>
    <row r="252" spans="1:3" ht="12" customHeight="1">
      <c r="A252" s="44"/>
      <c r="B252" s="44"/>
      <c r="C252" s="46" t="s">
        <v>305</v>
      </c>
    </row>
    <row r="253" spans="1:3" ht="12" customHeight="1">
      <c r="A253" s="44"/>
      <c r="B253" s="44"/>
      <c r="C253" s="46" t="s">
        <v>306</v>
      </c>
    </row>
    <row r="254" spans="1:3" ht="12" customHeight="1">
      <c r="A254" s="44"/>
      <c r="B254" s="44"/>
      <c r="C254" s="46" t="s">
        <v>307</v>
      </c>
    </row>
    <row r="255" spans="1:3" ht="12" customHeight="1">
      <c r="A255" s="44"/>
      <c r="B255" s="44"/>
      <c r="C255" s="46" t="s">
        <v>308</v>
      </c>
    </row>
    <row r="256" spans="1:3" ht="23.4" customHeight="1">
      <c r="A256" s="44"/>
      <c r="B256" s="44"/>
      <c r="C256" s="47" t="s">
        <v>309</v>
      </c>
    </row>
    <row r="257" spans="1:3" ht="23.4" customHeight="1">
      <c r="A257" s="44"/>
      <c r="B257" s="44"/>
      <c r="C257" s="47" t="s">
        <v>310</v>
      </c>
    </row>
    <row r="258" spans="1:3" ht="23.4" customHeight="1">
      <c r="A258" s="44"/>
      <c r="B258" s="44"/>
      <c r="C258" s="46" t="s">
        <v>311</v>
      </c>
    </row>
    <row r="259" spans="1:3" ht="23.4" customHeight="1">
      <c r="A259" s="44"/>
      <c r="B259" s="44"/>
      <c r="C259" s="47" t="s">
        <v>312</v>
      </c>
    </row>
    <row r="260" spans="1:3" ht="23.4" customHeight="1">
      <c r="A260" s="44"/>
      <c r="B260" s="44"/>
      <c r="C260" s="47" t="s">
        <v>313</v>
      </c>
    </row>
    <row r="261" spans="1:3" ht="23.4" customHeight="1">
      <c r="A261" s="44"/>
      <c r="B261" s="44"/>
      <c r="C261" s="46" t="s">
        <v>314</v>
      </c>
    </row>
    <row r="262" spans="1:3" ht="23.4" customHeight="1">
      <c r="A262" s="44"/>
      <c r="B262" s="44"/>
      <c r="C262" s="47" t="s">
        <v>315</v>
      </c>
    </row>
    <row r="263" spans="1:3" ht="23.4" customHeight="1">
      <c r="A263" s="44"/>
      <c r="B263" s="44"/>
      <c r="C263" s="47" t="s">
        <v>316</v>
      </c>
    </row>
    <row r="264" spans="1:3" ht="23.4" customHeight="1">
      <c r="A264" s="44"/>
      <c r="B264" s="44"/>
      <c r="C264" s="47" t="s">
        <v>317</v>
      </c>
    </row>
    <row r="265" spans="1:3" ht="23.4" customHeight="1">
      <c r="A265" s="44"/>
      <c r="B265" s="44"/>
      <c r="C265" s="47" t="s">
        <v>318</v>
      </c>
    </row>
    <row r="266" spans="1:3" ht="23.4" customHeight="1">
      <c r="A266" s="44"/>
      <c r="B266" s="44"/>
      <c r="C266" s="47" t="s">
        <v>319</v>
      </c>
    </row>
    <row r="267" spans="1:3" ht="23.4" customHeight="1">
      <c r="A267" s="44"/>
      <c r="B267" s="44"/>
      <c r="C267" s="46" t="s">
        <v>320</v>
      </c>
    </row>
    <row r="268" spans="1:3" ht="23.4" customHeight="1">
      <c r="A268" s="44"/>
      <c r="B268" s="44"/>
      <c r="C268" s="47" t="s">
        <v>321</v>
      </c>
    </row>
    <row r="269" spans="1:3" ht="23.4" customHeight="1">
      <c r="A269" s="44"/>
      <c r="B269" s="44"/>
      <c r="C269" s="47" t="s">
        <v>322</v>
      </c>
    </row>
    <row r="270" spans="1:3" ht="12" customHeight="1">
      <c r="A270" s="44"/>
      <c r="B270" s="44"/>
      <c r="C270" s="46" t="s">
        <v>323</v>
      </c>
    </row>
    <row r="271" spans="1:3" ht="12" customHeight="1">
      <c r="A271" s="44"/>
      <c r="B271" s="44"/>
      <c r="C271" s="46" t="s">
        <v>324</v>
      </c>
    </row>
    <row r="272" spans="1:3" ht="12" customHeight="1">
      <c r="A272" s="44"/>
      <c r="B272" s="44"/>
      <c r="C272" s="46" t="s">
        <v>325</v>
      </c>
    </row>
    <row r="273" spans="1:3" ht="12" customHeight="1">
      <c r="A273" s="44"/>
      <c r="B273" s="44"/>
      <c r="C273" s="46" t="s">
        <v>326</v>
      </c>
    </row>
    <row r="274" spans="1:3" ht="12" customHeight="1">
      <c r="A274" s="44"/>
      <c r="B274" s="44"/>
      <c r="C274" s="46" t="s">
        <v>327</v>
      </c>
    </row>
    <row r="275" spans="1:3" ht="12" customHeight="1">
      <c r="A275" s="44"/>
      <c r="B275" s="44"/>
      <c r="C275" s="46" t="s">
        <v>328</v>
      </c>
    </row>
    <row r="276" spans="1:3" ht="12" customHeight="1">
      <c r="A276" s="44"/>
      <c r="B276" s="44"/>
      <c r="C276" s="46" t="s">
        <v>329</v>
      </c>
    </row>
    <row r="277" spans="1:3" ht="12" customHeight="1">
      <c r="A277" s="44"/>
      <c r="B277" s="44"/>
      <c r="C277" s="46" t="s">
        <v>330</v>
      </c>
    </row>
    <row r="278" spans="1:3" ht="12" customHeight="1">
      <c r="A278" s="44"/>
      <c r="B278" s="44"/>
      <c r="C278" s="46" t="s">
        <v>331</v>
      </c>
    </row>
    <row r="279" spans="1:3" ht="12" customHeight="1">
      <c r="A279" s="44"/>
      <c r="B279" s="44"/>
      <c r="C279" s="46" t="s">
        <v>332</v>
      </c>
    </row>
    <row r="280" spans="1:3" ht="12" customHeight="1">
      <c r="A280" s="44"/>
      <c r="B280" s="44"/>
      <c r="C280" s="46" t="s">
        <v>333</v>
      </c>
    </row>
    <row r="281" spans="1:3" ht="12" customHeight="1">
      <c r="A281" s="44"/>
      <c r="B281" s="44"/>
      <c r="C281" s="46" t="s">
        <v>334</v>
      </c>
    </row>
    <row r="282" spans="1:3" ht="12" customHeight="1">
      <c r="A282" s="44"/>
      <c r="B282" s="44"/>
      <c r="C282" s="46" t="s">
        <v>335</v>
      </c>
    </row>
    <row r="283" spans="1:3" ht="12" customHeight="1">
      <c r="A283" s="44"/>
      <c r="B283" s="44"/>
      <c r="C283" s="46" t="s">
        <v>336</v>
      </c>
    </row>
    <row r="284" spans="1:3" ht="12" customHeight="1">
      <c r="A284" s="44"/>
      <c r="B284" s="44"/>
      <c r="C284" s="46" t="s">
        <v>337</v>
      </c>
    </row>
    <row r="285" spans="1:3" ht="12" customHeight="1">
      <c r="A285" s="44"/>
      <c r="B285" s="44"/>
      <c r="C285" s="46" t="s">
        <v>338</v>
      </c>
    </row>
    <row r="286" spans="1:3" ht="12" customHeight="1">
      <c r="A286" s="44"/>
      <c r="B286" s="44"/>
      <c r="C286" s="46" t="s">
        <v>339</v>
      </c>
    </row>
    <row r="287" spans="1:3" ht="12" customHeight="1">
      <c r="A287" s="44"/>
      <c r="B287" s="44"/>
      <c r="C287" s="46" t="s">
        <v>340</v>
      </c>
    </row>
    <row r="288" spans="1:3" ht="12" customHeight="1">
      <c r="A288" s="44"/>
      <c r="B288" s="44"/>
      <c r="C288" s="46" t="s">
        <v>341</v>
      </c>
    </row>
    <row r="289" spans="1:3" ht="12" customHeight="1">
      <c r="A289" s="44"/>
      <c r="B289" s="44"/>
      <c r="C289" s="46" t="s">
        <v>342</v>
      </c>
    </row>
    <row r="290" spans="1:3" ht="12" customHeight="1">
      <c r="A290" s="44"/>
      <c r="B290" s="44"/>
      <c r="C290" s="46" t="s">
        <v>343</v>
      </c>
    </row>
    <row r="291" spans="1:3" ht="30.75" customHeight="1">
      <c r="A291" s="41" t="s">
        <v>21</v>
      </c>
      <c r="B291" s="41" t="s">
        <v>344</v>
      </c>
      <c r="C291" s="43"/>
    </row>
    <row r="292" spans="1:3" ht="11.85" customHeight="1">
      <c r="A292" s="44"/>
      <c r="B292" s="44"/>
      <c r="C292" s="46" t="s">
        <v>345</v>
      </c>
    </row>
    <row r="293" spans="1:3" ht="12" customHeight="1">
      <c r="A293" s="44"/>
      <c r="B293" s="44"/>
      <c r="C293" s="46" t="s">
        <v>346</v>
      </c>
    </row>
    <row r="294" spans="1:3" ht="12" customHeight="1">
      <c r="A294" s="44"/>
      <c r="B294" s="44"/>
      <c r="C294" s="46" t="s">
        <v>347</v>
      </c>
    </row>
    <row r="295" spans="1:3" ht="12" customHeight="1">
      <c r="A295" s="44"/>
      <c r="B295" s="44"/>
      <c r="C295" s="46" t="s">
        <v>348</v>
      </c>
    </row>
    <row r="296" spans="1:3" ht="12" customHeight="1">
      <c r="A296" s="44"/>
      <c r="B296" s="44"/>
      <c r="C296" s="46" t="s">
        <v>349</v>
      </c>
    </row>
    <row r="297" spans="1:3" ht="23.4" customHeight="1">
      <c r="A297" s="44"/>
      <c r="B297" s="44"/>
      <c r="C297" s="47" t="s">
        <v>350</v>
      </c>
    </row>
    <row r="298" spans="1:3" ht="23.4" customHeight="1">
      <c r="A298" s="44"/>
      <c r="B298" s="44"/>
      <c r="C298" s="47" t="s">
        <v>351</v>
      </c>
    </row>
    <row r="299" spans="1:3" ht="12" customHeight="1">
      <c r="A299" s="44"/>
      <c r="B299" s="44"/>
      <c r="C299" s="46" t="s">
        <v>352</v>
      </c>
    </row>
    <row r="300" spans="1:3" ht="23.4" customHeight="1">
      <c r="A300" s="44"/>
      <c r="B300" s="44"/>
      <c r="C300" s="47" t="s">
        <v>353</v>
      </c>
    </row>
    <row r="301" spans="1:3" ht="11.85" customHeight="1">
      <c r="A301" s="44"/>
      <c r="B301" s="44"/>
      <c r="C301" s="46" t="s">
        <v>354</v>
      </c>
    </row>
    <row r="302" spans="1:3" ht="23.4" customHeight="1">
      <c r="A302" s="44"/>
      <c r="B302" s="44"/>
      <c r="C302" s="47" t="s">
        <v>355</v>
      </c>
    </row>
    <row r="303" spans="1:3" ht="23.4" customHeight="1">
      <c r="A303" s="44"/>
      <c r="B303" s="44"/>
      <c r="C303" s="47" t="s">
        <v>356</v>
      </c>
    </row>
    <row r="304" spans="1:3" ht="12" customHeight="1">
      <c r="A304" s="44"/>
      <c r="B304" s="44"/>
      <c r="C304" s="46" t="s">
        <v>357</v>
      </c>
    </row>
    <row r="305" spans="1:3" ht="12" customHeight="1">
      <c r="A305" s="44"/>
      <c r="B305" s="44"/>
      <c r="C305" s="46" t="s">
        <v>358</v>
      </c>
    </row>
    <row r="306" spans="1:3" ht="12" customHeight="1">
      <c r="A306" s="44"/>
      <c r="B306" s="44"/>
      <c r="C306" s="46" t="s">
        <v>359</v>
      </c>
    </row>
    <row r="307" spans="1:3" ht="12" customHeight="1">
      <c r="A307" s="44"/>
      <c r="B307" s="44"/>
      <c r="C307" s="46" t="s">
        <v>360</v>
      </c>
    </row>
    <row r="308" spans="1:3" ht="12" customHeight="1">
      <c r="A308" s="44"/>
      <c r="B308" s="44"/>
      <c r="C308" s="46" t="s">
        <v>361</v>
      </c>
    </row>
    <row r="309" spans="1:3" ht="12" customHeight="1">
      <c r="A309" s="44"/>
      <c r="B309" s="44"/>
      <c r="C309" s="46" t="s">
        <v>362</v>
      </c>
    </row>
    <row r="310" spans="1:3" ht="12" customHeight="1">
      <c r="A310" s="44"/>
      <c r="B310" s="44"/>
      <c r="C310" s="46" t="s">
        <v>363</v>
      </c>
    </row>
    <row r="311" spans="1:3" ht="12" customHeight="1">
      <c r="A311" s="44"/>
      <c r="B311" s="44"/>
      <c r="C311" s="46" t="s">
        <v>364</v>
      </c>
    </row>
    <row r="312" spans="1:3" ht="12" customHeight="1">
      <c r="A312" s="44"/>
      <c r="B312" s="44"/>
      <c r="C312" s="46" t="s">
        <v>365</v>
      </c>
    </row>
    <row r="313" spans="1:3" ht="12" customHeight="1">
      <c r="A313" s="44"/>
      <c r="B313" s="44"/>
      <c r="C313" s="46" t="s">
        <v>366</v>
      </c>
    </row>
    <row r="314" spans="1:3" ht="12" customHeight="1">
      <c r="A314" s="44"/>
      <c r="B314" s="44"/>
      <c r="C314" s="46" t="s">
        <v>367</v>
      </c>
    </row>
    <row r="315" spans="1:3" ht="23.4" customHeight="1">
      <c r="A315" s="44"/>
      <c r="B315" s="44"/>
      <c r="C315" s="47" t="s">
        <v>368</v>
      </c>
    </row>
    <row r="316" spans="1:3" ht="23.4" customHeight="1">
      <c r="A316" s="44"/>
      <c r="B316" s="44"/>
      <c r="C316" s="47" t="s">
        <v>369</v>
      </c>
    </row>
    <row r="317" spans="1:3" ht="12" customHeight="1">
      <c r="A317" s="44"/>
      <c r="B317" s="44"/>
      <c r="C317" s="46" t="s">
        <v>370</v>
      </c>
    </row>
    <row r="318" spans="1:3" ht="12" customHeight="1">
      <c r="A318" s="44"/>
      <c r="B318" s="44"/>
      <c r="C318" s="46" t="s">
        <v>371</v>
      </c>
    </row>
    <row r="319" spans="1:3" ht="12" customHeight="1">
      <c r="A319" s="44"/>
      <c r="B319" s="44"/>
      <c r="C319" s="46" t="s">
        <v>372</v>
      </c>
    </row>
    <row r="320" spans="1:3" ht="42" customHeight="1">
      <c r="A320" s="41" t="s">
        <v>21</v>
      </c>
      <c r="B320" s="41" t="s">
        <v>373</v>
      </c>
      <c r="C320" s="43"/>
    </row>
    <row r="321" spans="1:3" ht="13.95" customHeight="1">
      <c r="A321" s="44"/>
      <c r="B321" s="44"/>
      <c r="C321" s="46" t="s">
        <v>374</v>
      </c>
    </row>
    <row r="322" spans="1:3" ht="13.65" customHeight="1">
      <c r="A322" s="44"/>
      <c r="B322" s="44"/>
      <c r="C322" s="46" t="s">
        <v>375</v>
      </c>
    </row>
    <row r="323" spans="1:3" ht="13.65" customHeight="1">
      <c r="A323" s="44"/>
      <c r="B323" s="44"/>
      <c r="C323" s="46" t="s">
        <v>376</v>
      </c>
    </row>
    <row r="324" spans="1:3" ht="13.95" customHeight="1">
      <c r="A324" s="44"/>
      <c r="B324" s="44"/>
      <c r="C324" s="46" t="s">
        <v>377</v>
      </c>
    </row>
    <row r="325" spans="1:3" ht="13.65" customHeight="1">
      <c r="A325" s="44"/>
      <c r="B325" s="44"/>
      <c r="C325" s="46" t="s">
        <v>378</v>
      </c>
    </row>
    <row r="326" spans="1:3" ht="13.65" customHeight="1">
      <c r="A326" s="44"/>
      <c r="B326" s="44"/>
      <c r="C326" s="46" t="s">
        <v>379</v>
      </c>
    </row>
    <row r="327" spans="1:3" ht="13.95" customHeight="1">
      <c r="A327" s="44"/>
      <c r="B327" s="44"/>
      <c r="C327" s="46" t="s">
        <v>380</v>
      </c>
    </row>
    <row r="328" spans="1:3" ht="13.65" customHeight="1">
      <c r="A328" s="44"/>
      <c r="B328" s="44"/>
      <c r="C328" s="46" t="s">
        <v>381</v>
      </c>
    </row>
    <row r="329" spans="1:3" ht="13.95" customHeight="1">
      <c r="A329" s="44"/>
      <c r="B329" s="44"/>
      <c r="C329" s="46" t="s">
        <v>382</v>
      </c>
    </row>
    <row r="330" spans="1:3" ht="13.65" customHeight="1">
      <c r="A330" s="44"/>
      <c r="B330" s="44"/>
      <c r="C330" s="46" t="s">
        <v>383</v>
      </c>
    </row>
    <row r="331" spans="1:3" ht="13.65" customHeight="1">
      <c r="A331" s="44"/>
      <c r="B331" s="44"/>
      <c r="C331" s="46" t="s">
        <v>384</v>
      </c>
    </row>
    <row r="332" spans="1:3" ht="13.95" customHeight="1">
      <c r="A332" s="44"/>
      <c r="B332" s="44"/>
      <c r="C332" s="46" t="s">
        <v>385</v>
      </c>
    </row>
    <row r="333" spans="1:3" ht="13.65" customHeight="1">
      <c r="A333" s="44"/>
      <c r="B333" s="44"/>
      <c r="C333" s="46" t="s">
        <v>386</v>
      </c>
    </row>
    <row r="334" spans="1:3" ht="13.65" customHeight="1">
      <c r="A334" s="44"/>
      <c r="B334" s="44"/>
      <c r="C334" s="46" t="s">
        <v>387</v>
      </c>
    </row>
    <row r="335" spans="1:3" ht="12" customHeight="1">
      <c r="A335" s="44"/>
      <c r="B335" s="44"/>
      <c r="C335" s="46" t="s">
        <v>388</v>
      </c>
    </row>
    <row r="336" spans="1:3" ht="12" customHeight="1">
      <c r="A336" s="44"/>
      <c r="B336" s="44"/>
      <c r="C336" s="46" t="s">
        <v>389</v>
      </c>
    </row>
    <row r="337" spans="1:3" ht="12" customHeight="1">
      <c r="A337" s="44"/>
      <c r="B337" s="44"/>
      <c r="C337" s="46" t="s">
        <v>390</v>
      </c>
    </row>
    <row r="338" spans="1:3" ht="12" customHeight="1">
      <c r="A338" s="44"/>
      <c r="B338" s="44"/>
      <c r="C338" s="46" t="s">
        <v>391</v>
      </c>
    </row>
    <row r="339" spans="1:3" ht="12" customHeight="1">
      <c r="A339" s="44"/>
      <c r="B339" s="44"/>
      <c r="C339" s="46" t="s">
        <v>392</v>
      </c>
    </row>
    <row r="340" spans="1:3" ht="12" customHeight="1">
      <c r="A340" s="44"/>
      <c r="B340" s="44"/>
      <c r="C340" s="46" t="s">
        <v>393</v>
      </c>
    </row>
    <row r="341" spans="1:3" ht="12" customHeight="1">
      <c r="A341" s="44"/>
      <c r="B341" s="44"/>
      <c r="C341" s="46" t="s">
        <v>394</v>
      </c>
    </row>
    <row r="342" spans="1:3" ht="12" customHeight="1">
      <c r="A342" s="44"/>
      <c r="B342" s="44"/>
      <c r="C342" s="46" t="s">
        <v>395</v>
      </c>
    </row>
    <row r="343" spans="1:3" ht="12" customHeight="1">
      <c r="A343" s="44"/>
      <c r="B343" s="44"/>
      <c r="C343" s="46" t="s">
        <v>396</v>
      </c>
    </row>
    <row r="344" spans="1:3" ht="12" customHeight="1">
      <c r="A344" s="44"/>
      <c r="B344" s="44"/>
      <c r="C344" s="46" t="s">
        <v>397</v>
      </c>
    </row>
    <row r="345" spans="1:3" ht="31.5" customHeight="1">
      <c r="A345" s="41" t="s">
        <v>21</v>
      </c>
      <c r="B345" s="41" t="s">
        <v>398</v>
      </c>
      <c r="C345" s="43"/>
    </row>
    <row r="346" spans="1:3" ht="28.95" customHeight="1">
      <c r="A346" s="44"/>
      <c r="B346" s="44"/>
      <c r="C346" s="46" t="s">
        <v>399</v>
      </c>
    </row>
    <row r="347" spans="1:3" ht="13.65" customHeight="1">
      <c r="A347" s="44"/>
      <c r="B347" s="44"/>
      <c r="C347" s="46" t="s">
        <v>400</v>
      </c>
    </row>
    <row r="348" spans="1:3" ht="13.95" customHeight="1">
      <c r="A348" s="44"/>
      <c r="B348" s="44"/>
      <c r="C348" s="46" t="s">
        <v>401</v>
      </c>
    </row>
    <row r="349" spans="1:3" ht="26.85" customHeight="1">
      <c r="A349" s="44"/>
      <c r="B349" s="44"/>
      <c r="C349" s="47" t="s">
        <v>402</v>
      </c>
    </row>
    <row r="350" spans="1:3" ht="27" customHeight="1">
      <c r="A350" s="44"/>
      <c r="B350" s="44"/>
      <c r="C350" s="47" t="s">
        <v>403</v>
      </c>
    </row>
    <row r="351" spans="1:3" ht="13.65" customHeight="1">
      <c r="A351" s="44"/>
      <c r="B351" s="44"/>
      <c r="C351" s="46" t="s">
        <v>404</v>
      </c>
    </row>
    <row r="352" spans="1:3" ht="12" customHeight="1">
      <c r="A352" s="44"/>
      <c r="B352" s="44"/>
      <c r="C352" s="46" t="s">
        <v>405</v>
      </c>
    </row>
    <row r="353" spans="1:3" ht="12" customHeight="1">
      <c r="A353" s="44"/>
      <c r="B353" s="44"/>
      <c r="C353" s="46" t="s">
        <v>406</v>
      </c>
    </row>
    <row r="354" spans="1:3" ht="12" customHeight="1">
      <c r="A354" s="44"/>
      <c r="B354" s="44"/>
      <c r="C354" s="46" t="s">
        <v>407</v>
      </c>
    </row>
    <row r="355" spans="1:3" ht="12" customHeight="1">
      <c r="A355" s="44"/>
      <c r="B355" s="44"/>
      <c r="C355" s="46" t="s">
        <v>408</v>
      </c>
    </row>
    <row r="356" spans="1:3" ht="12" customHeight="1">
      <c r="A356" s="44"/>
      <c r="B356" s="44"/>
      <c r="C356" s="46" t="s">
        <v>409</v>
      </c>
    </row>
    <row r="357" spans="1:3" ht="12" customHeight="1">
      <c r="A357" s="44"/>
      <c r="B357" s="44"/>
      <c r="C357" s="46" t="s">
        <v>410</v>
      </c>
    </row>
    <row r="358" spans="1:3" ht="12" customHeight="1">
      <c r="A358" s="44"/>
      <c r="B358" s="44"/>
      <c r="C358" s="46" t="s">
        <v>411</v>
      </c>
    </row>
    <row r="359" spans="1:3" ht="12" customHeight="1">
      <c r="A359" s="44"/>
      <c r="B359" s="44"/>
      <c r="C359" s="46" t="s">
        <v>412</v>
      </c>
    </row>
    <row r="360" spans="1:3" ht="12" customHeight="1">
      <c r="A360" s="44"/>
      <c r="B360" s="44"/>
      <c r="C360" s="46" t="s">
        <v>413</v>
      </c>
    </row>
    <row r="361" spans="1:3" ht="12" customHeight="1">
      <c r="A361" s="44"/>
      <c r="B361" s="44"/>
      <c r="C361" s="46" t="s">
        <v>414</v>
      </c>
    </row>
    <row r="362" spans="1:3" ht="23.4" customHeight="1">
      <c r="A362" s="44"/>
      <c r="B362" s="44"/>
      <c r="C362" s="47" t="s">
        <v>415</v>
      </c>
    </row>
    <row r="363" spans="1:3" ht="23.4" customHeight="1">
      <c r="A363" s="44"/>
      <c r="B363" s="44"/>
      <c r="C363" s="47" t="s">
        <v>416</v>
      </c>
    </row>
    <row r="364" spans="1:3" ht="23.4" customHeight="1">
      <c r="A364" s="44"/>
      <c r="B364" s="44"/>
      <c r="C364" s="47" t="s">
        <v>417</v>
      </c>
    </row>
    <row r="365" spans="1:3" ht="12" customHeight="1">
      <c r="A365" s="44"/>
      <c r="B365" s="44"/>
      <c r="C365" s="46" t="s">
        <v>418</v>
      </c>
    </row>
    <row r="366" spans="1:3" ht="47.25" customHeight="1">
      <c r="A366" s="41" t="s">
        <v>30</v>
      </c>
      <c r="B366" s="41" t="s">
        <v>419</v>
      </c>
      <c r="C366" s="43"/>
    </row>
    <row r="367" spans="1:3" ht="12" customHeight="1">
      <c r="A367" s="44"/>
      <c r="B367" s="44"/>
      <c r="C367" s="46" t="s">
        <v>420</v>
      </c>
    </row>
    <row r="368" spans="1:3" ht="12" customHeight="1">
      <c r="A368" s="44"/>
      <c r="B368" s="44"/>
      <c r="C368" s="46" t="s">
        <v>421</v>
      </c>
    </row>
    <row r="369" spans="1:3" ht="12" customHeight="1">
      <c r="A369" s="44"/>
      <c r="B369" s="44"/>
      <c r="C369" s="46" t="s">
        <v>422</v>
      </c>
    </row>
    <row r="370" spans="1:3" ht="12" customHeight="1">
      <c r="A370" s="44"/>
      <c r="B370" s="44"/>
      <c r="C370" s="46" t="s">
        <v>423</v>
      </c>
    </row>
    <row r="371" spans="1:3" ht="12" customHeight="1">
      <c r="A371" s="44"/>
      <c r="B371" s="44"/>
      <c r="C371" s="46" t="s">
        <v>424</v>
      </c>
    </row>
    <row r="372" spans="1:3" ht="12" customHeight="1">
      <c r="A372" s="44"/>
      <c r="B372" s="44"/>
      <c r="C372" s="46" t="s">
        <v>425</v>
      </c>
    </row>
    <row r="373" spans="1:3" ht="12" customHeight="1">
      <c r="A373" s="44"/>
      <c r="B373" s="44"/>
      <c r="C373" s="46" t="s">
        <v>426</v>
      </c>
    </row>
    <row r="374" spans="1:3" ht="12" customHeight="1">
      <c r="A374" s="44"/>
      <c r="B374" s="44"/>
      <c r="C374" s="46" t="s">
        <v>427</v>
      </c>
    </row>
    <row r="375" spans="1:3" ht="12" customHeight="1">
      <c r="A375" s="44"/>
      <c r="B375" s="44"/>
      <c r="C375" s="46" t="s">
        <v>428</v>
      </c>
    </row>
    <row r="376" spans="1:3" ht="12" customHeight="1">
      <c r="A376" s="44"/>
      <c r="B376" s="44"/>
      <c r="C376" s="46" t="s">
        <v>429</v>
      </c>
    </row>
    <row r="377" spans="1:3" ht="12" customHeight="1">
      <c r="A377" s="44"/>
      <c r="B377" s="44"/>
      <c r="C377" s="46" t="s">
        <v>430</v>
      </c>
    </row>
    <row r="378" spans="1:3" ht="12" customHeight="1">
      <c r="A378" s="44"/>
      <c r="B378" s="44"/>
      <c r="C378" s="46" t="s">
        <v>431</v>
      </c>
    </row>
    <row r="379" spans="1:3" ht="12" customHeight="1">
      <c r="A379" s="44"/>
      <c r="B379" s="44"/>
      <c r="C379" s="46" t="s">
        <v>432</v>
      </c>
    </row>
    <row r="380" spans="1:3" ht="12" customHeight="1">
      <c r="A380" s="44"/>
      <c r="B380" s="44"/>
      <c r="C380" s="46" t="s">
        <v>433</v>
      </c>
    </row>
    <row r="381" spans="1:3" ht="12" customHeight="1">
      <c r="A381" s="44"/>
      <c r="B381" s="44"/>
      <c r="C381" s="46" t="s">
        <v>434</v>
      </c>
    </row>
    <row r="382" spans="1:3" ht="12" customHeight="1">
      <c r="A382" s="44"/>
      <c r="B382" s="44"/>
      <c r="C382" s="46" t="s">
        <v>435</v>
      </c>
    </row>
    <row r="383" spans="1:3" ht="12" customHeight="1">
      <c r="A383" s="44"/>
      <c r="B383" s="44"/>
      <c r="C383" s="46" t="s">
        <v>436</v>
      </c>
    </row>
    <row r="384" spans="1:3" ht="12" customHeight="1">
      <c r="A384" s="44"/>
      <c r="B384" s="44"/>
      <c r="C384" s="46" t="s">
        <v>437</v>
      </c>
    </row>
    <row r="385" spans="1:3" ht="12" customHeight="1">
      <c r="A385" s="44"/>
      <c r="B385" s="44"/>
      <c r="C385" s="46" t="s">
        <v>438</v>
      </c>
    </row>
    <row r="386" spans="1:3" ht="12" customHeight="1">
      <c r="A386" s="44"/>
      <c r="B386" s="44"/>
      <c r="C386" s="46" t="s">
        <v>439</v>
      </c>
    </row>
    <row r="387" spans="1:3" ht="12" customHeight="1">
      <c r="A387" s="44"/>
      <c r="B387" s="44"/>
      <c r="C387" s="46" t="s">
        <v>440</v>
      </c>
    </row>
    <row r="388" spans="1:3" ht="12" customHeight="1">
      <c r="A388" s="44"/>
      <c r="B388" s="44"/>
      <c r="C388" s="48" t="s">
        <v>441</v>
      </c>
    </row>
    <row r="389" spans="1:3" ht="12" customHeight="1">
      <c r="A389" s="44"/>
      <c r="B389" s="44"/>
      <c r="C389" s="48" t="s">
        <v>442</v>
      </c>
    </row>
    <row r="390" spans="1:3" ht="12" customHeight="1">
      <c r="A390" s="44"/>
      <c r="B390" s="44"/>
      <c r="C390" s="48" t="s">
        <v>443</v>
      </c>
    </row>
    <row r="391" spans="1:3" ht="12" customHeight="1">
      <c r="A391" s="44"/>
      <c r="B391" s="44"/>
      <c r="C391" s="48" t="s">
        <v>444</v>
      </c>
    </row>
    <row r="392" spans="1:3" ht="12" customHeight="1">
      <c r="A392" s="44"/>
      <c r="B392" s="44"/>
      <c r="C392" s="48" t="s">
        <v>445</v>
      </c>
    </row>
    <row r="393" spans="1:3" ht="12" customHeight="1">
      <c r="A393" s="44"/>
      <c r="B393" s="44"/>
      <c r="C393" s="48" t="s">
        <v>446</v>
      </c>
    </row>
    <row r="394" spans="1:3" ht="12" customHeight="1">
      <c r="A394" s="44"/>
      <c r="B394" s="44"/>
      <c r="C394" s="48" t="s">
        <v>447</v>
      </c>
    </row>
    <row r="395" spans="1:3" ht="12" customHeight="1">
      <c r="A395" s="44"/>
      <c r="B395" s="44"/>
      <c r="C395" s="48" t="s">
        <v>448</v>
      </c>
    </row>
    <row r="396" spans="1:3" ht="12" customHeight="1">
      <c r="A396" s="44"/>
      <c r="B396" s="44"/>
      <c r="C396" s="48" t="s">
        <v>449</v>
      </c>
    </row>
    <row r="397" spans="1:3" ht="12" customHeight="1">
      <c r="A397" s="44"/>
      <c r="B397" s="44"/>
      <c r="C397" s="48" t="s">
        <v>450</v>
      </c>
    </row>
    <row r="398" spans="1:3" ht="12" customHeight="1">
      <c r="A398" s="44"/>
      <c r="B398" s="44"/>
      <c r="C398" s="48" t="s">
        <v>451</v>
      </c>
    </row>
    <row r="399" spans="1:3" ht="12" customHeight="1">
      <c r="A399" s="44"/>
      <c r="B399" s="44"/>
      <c r="C399" s="48" t="s">
        <v>452</v>
      </c>
    </row>
    <row r="400" spans="1:3" ht="12" customHeight="1">
      <c r="A400" s="44"/>
      <c r="B400" s="44"/>
      <c r="C400" s="48" t="s">
        <v>453</v>
      </c>
    </row>
    <row r="401" spans="1:3" ht="12" customHeight="1">
      <c r="A401" s="44"/>
      <c r="B401" s="44"/>
      <c r="C401" s="48" t="s">
        <v>454</v>
      </c>
    </row>
    <row r="402" spans="1:3" ht="12.75" customHeight="1">
      <c r="A402" s="44"/>
      <c r="B402" s="44"/>
      <c r="C402" s="48" t="s">
        <v>455</v>
      </c>
    </row>
    <row r="403" spans="1:3" ht="44.25" customHeight="1">
      <c r="A403" s="41" t="s">
        <v>46</v>
      </c>
      <c r="B403" s="41" t="s">
        <v>456</v>
      </c>
      <c r="C403" s="49"/>
    </row>
    <row r="404" spans="1:3" ht="12.75" customHeight="1">
      <c r="A404" s="44"/>
      <c r="B404" s="44"/>
      <c r="C404" s="48" t="s">
        <v>457</v>
      </c>
    </row>
    <row r="405" spans="1:3" ht="12" customHeight="1">
      <c r="A405" s="44"/>
      <c r="B405" s="44"/>
      <c r="C405" s="48" t="s">
        <v>458</v>
      </c>
    </row>
    <row r="406" spans="1:3" ht="12" customHeight="1">
      <c r="A406" s="44"/>
      <c r="B406" s="44"/>
      <c r="C406" s="48" t="s">
        <v>459</v>
      </c>
    </row>
    <row r="407" spans="1:3" ht="12" customHeight="1">
      <c r="A407" s="44"/>
      <c r="B407" s="44"/>
      <c r="C407" s="48" t="s">
        <v>460</v>
      </c>
    </row>
    <row r="408" spans="1:3" ht="12" customHeight="1">
      <c r="A408" s="44"/>
      <c r="B408" s="44"/>
      <c r="C408" s="48" t="s">
        <v>461</v>
      </c>
    </row>
    <row r="409" spans="1:3" ht="12" customHeight="1">
      <c r="A409" s="44"/>
      <c r="B409" s="44"/>
      <c r="C409" s="48" t="s">
        <v>462</v>
      </c>
    </row>
    <row r="410" spans="1:3" ht="12" customHeight="1">
      <c r="A410" s="44"/>
      <c r="B410" s="44"/>
      <c r="C410" s="48" t="s">
        <v>463</v>
      </c>
    </row>
    <row r="411" spans="1:3" ht="12" customHeight="1">
      <c r="A411" s="44"/>
      <c r="B411" s="44"/>
      <c r="C411" s="48" t="s">
        <v>464</v>
      </c>
    </row>
    <row r="412" spans="1:3" ht="12" customHeight="1">
      <c r="A412" s="44"/>
      <c r="B412" s="44"/>
      <c r="C412" s="48" t="s">
        <v>465</v>
      </c>
    </row>
    <row r="413" spans="1:3" ht="12" customHeight="1">
      <c r="A413" s="44"/>
      <c r="B413" s="44"/>
      <c r="C413" s="48" t="s">
        <v>466</v>
      </c>
    </row>
    <row r="414" spans="1:3" ht="12" customHeight="1">
      <c r="A414" s="44"/>
      <c r="B414" s="44"/>
      <c r="C414" s="48" t="s">
        <v>467</v>
      </c>
    </row>
    <row r="415" spans="1:3" ht="12" customHeight="1">
      <c r="A415" s="44"/>
      <c r="B415" s="44"/>
      <c r="C415" s="48" t="s">
        <v>468</v>
      </c>
    </row>
    <row r="416" spans="1:3" ht="12" customHeight="1">
      <c r="A416" s="44"/>
      <c r="B416" s="44"/>
      <c r="C416" s="48" t="s">
        <v>469</v>
      </c>
    </row>
    <row r="417" spans="1:3" ht="12" customHeight="1">
      <c r="A417" s="44"/>
      <c r="B417" s="44"/>
      <c r="C417" s="48" t="s">
        <v>470</v>
      </c>
    </row>
    <row r="418" spans="1:3" ht="12" customHeight="1">
      <c r="A418" s="44"/>
      <c r="B418" s="44"/>
      <c r="C418" s="48" t="s">
        <v>471</v>
      </c>
    </row>
    <row r="419" spans="1:3" ht="12" customHeight="1">
      <c r="A419" s="44"/>
      <c r="B419" s="44"/>
      <c r="C419" s="48" t="s">
        <v>472</v>
      </c>
    </row>
    <row r="420" spans="1:3" ht="12" customHeight="1">
      <c r="A420" s="44"/>
      <c r="B420" s="44"/>
      <c r="C420" s="48" t="s">
        <v>473</v>
      </c>
    </row>
    <row r="421" spans="1:3" ht="12" customHeight="1">
      <c r="A421" s="44"/>
      <c r="B421" s="44"/>
      <c r="C421" s="48" t="s">
        <v>474</v>
      </c>
    </row>
    <row r="422" spans="1:3" ht="12" customHeight="1">
      <c r="A422" s="44"/>
      <c r="B422" s="44"/>
      <c r="C422" s="48" t="s">
        <v>475</v>
      </c>
    </row>
    <row r="423" spans="1:3" ht="12" customHeight="1">
      <c r="A423" s="44"/>
      <c r="B423" s="44"/>
      <c r="C423" s="48" t="s">
        <v>476</v>
      </c>
    </row>
    <row r="424" spans="1:3" ht="12" customHeight="1">
      <c r="A424" s="44"/>
      <c r="B424" s="44"/>
      <c r="C424" s="48" t="s">
        <v>477</v>
      </c>
    </row>
    <row r="425" spans="1:3" ht="12" customHeight="1">
      <c r="A425" s="44"/>
      <c r="B425" s="44"/>
      <c r="C425" s="48" t="s">
        <v>478</v>
      </c>
    </row>
    <row r="426" spans="1:3" ht="12" customHeight="1">
      <c r="A426" s="44"/>
      <c r="B426" s="44"/>
      <c r="C426" s="48" t="s">
        <v>479</v>
      </c>
    </row>
    <row r="427" spans="1:3" ht="12" customHeight="1">
      <c r="A427" s="44"/>
      <c r="B427" s="44"/>
      <c r="C427" s="48" t="s">
        <v>480</v>
      </c>
    </row>
    <row r="428" spans="1:3" ht="12" customHeight="1">
      <c r="A428" s="44"/>
      <c r="B428" s="44"/>
      <c r="C428" s="48" t="s">
        <v>481</v>
      </c>
    </row>
    <row r="429" spans="1:3" ht="12" customHeight="1">
      <c r="A429" s="44"/>
      <c r="B429" s="44"/>
      <c r="C429" s="48" t="s">
        <v>482</v>
      </c>
    </row>
    <row r="430" spans="1:3" ht="12" customHeight="1">
      <c r="A430" s="44"/>
      <c r="B430" s="44"/>
      <c r="C430" s="48" t="s">
        <v>483</v>
      </c>
    </row>
    <row r="431" spans="1:3" ht="12" customHeight="1">
      <c r="A431" s="44"/>
      <c r="B431" s="44"/>
      <c r="C431" s="48" t="s">
        <v>484</v>
      </c>
    </row>
    <row r="432" spans="1:3" ht="12" customHeight="1">
      <c r="A432" s="44"/>
      <c r="B432" s="44"/>
      <c r="C432" s="48" t="s">
        <v>485</v>
      </c>
    </row>
    <row r="433" spans="1:3" ht="12" customHeight="1">
      <c r="A433" s="44"/>
      <c r="B433" s="44"/>
      <c r="C433" s="48" t="s">
        <v>486</v>
      </c>
    </row>
    <row r="434" spans="1:3" ht="12" customHeight="1">
      <c r="A434" s="44"/>
      <c r="B434" s="44"/>
      <c r="C434" s="48" t="s">
        <v>487</v>
      </c>
    </row>
    <row r="435" spans="1:3" ht="12" customHeight="1">
      <c r="A435" s="44"/>
      <c r="B435" s="44"/>
      <c r="C435" s="48" t="s">
        <v>488</v>
      </c>
    </row>
    <row r="436" spans="1:3" ht="12" customHeight="1">
      <c r="A436" s="44"/>
      <c r="B436" s="44"/>
      <c r="C436" s="48" t="s">
        <v>489</v>
      </c>
    </row>
    <row r="437" spans="1:3" ht="11.85" customHeight="1">
      <c r="A437" s="44"/>
      <c r="B437" s="44"/>
      <c r="C437" s="48" t="s">
        <v>490</v>
      </c>
    </row>
    <row r="438" spans="1:3" ht="12" customHeight="1">
      <c r="A438" s="44"/>
      <c r="B438" s="44"/>
      <c r="C438" s="48" t="s">
        <v>491</v>
      </c>
    </row>
    <row r="439" spans="1:3" ht="12" customHeight="1">
      <c r="A439" s="44"/>
      <c r="B439" s="44"/>
      <c r="C439" s="48" t="s">
        <v>492</v>
      </c>
    </row>
    <row r="440" spans="1:3" ht="12" customHeight="1">
      <c r="A440" s="44"/>
      <c r="B440" s="44"/>
      <c r="C440" s="48" t="s">
        <v>493</v>
      </c>
    </row>
    <row r="441" spans="1:3" ht="12" customHeight="1">
      <c r="A441" s="44"/>
      <c r="B441" s="44"/>
      <c r="C441" s="48" t="s">
        <v>494</v>
      </c>
    </row>
    <row r="442" spans="1:3" ht="12" customHeight="1">
      <c r="A442" s="44"/>
      <c r="B442" s="44"/>
      <c r="C442" s="48" t="s">
        <v>495</v>
      </c>
    </row>
    <row r="443" spans="1:3" ht="12" customHeight="1">
      <c r="A443" s="44"/>
      <c r="B443" s="44"/>
      <c r="C443" s="48" t="s">
        <v>496</v>
      </c>
    </row>
    <row r="444" spans="1:3" ht="12" customHeight="1">
      <c r="A444" s="44"/>
      <c r="B444" s="44"/>
      <c r="C444" s="48" t="s">
        <v>497</v>
      </c>
    </row>
    <row r="445" spans="1:3" ht="12" customHeight="1">
      <c r="A445" s="44"/>
      <c r="B445" s="44"/>
      <c r="C445" s="48" t="s">
        <v>498</v>
      </c>
    </row>
    <row r="446" spans="1:3" ht="12" customHeight="1">
      <c r="A446" s="44"/>
      <c r="B446" s="44"/>
      <c r="C446" s="48" t="s">
        <v>499</v>
      </c>
    </row>
    <row r="447" spans="1:3" ht="12" customHeight="1">
      <c r="A447" s="44"/>
      <c r="B447" s="44"/>
      <c r="C447" s="48" t="s">
        <v>500</v>
      </c>
    </row>
    <row r="448" spans="1:3" ht="12" customHeight="1">
      <c r="A448" s="44"/>
      <c r="B448" s="44"/>
      <c r="C448" s="48" t="s">
        <v>501</v>
      </c>
    </row>
    <row r="449" spans="1:3" ht="12" customHeight="1">
      <c r="A449" s="44"/>
      <c r="B449" s="44"/>
      <c r="C449" s="48" t="s">
        <v>502</v>
      </c>
    </row>
    <row r="450" spans="1:3" ht="12" customHeight="1">
      <c r="A450" s="44"/>
      <c r="B450" s="44"/>
      <c r="C450" s="48" t="s">
        <v>503</v>
      </c>
    </row>
    <row r="451" spans="1:3" ht="12" customHeight="1">
      <c r="A451" s="44"/>
      <c r="B451" s="44"/>
      <c r="C451" s="48" t="s">
        <v>504</v>
      </c>
    </row>
    <row r="452" spans="1:3" ht="12" customHeight="1">
      <c r="A452" s="44"/>
      <c r="B452" s="44"/>
      <c r="C452" s="48" t="s">
        <v>505</v>
      </c>
    </row>
    <row r="453" spans="1:3" ht="12" customHeight="1">
      <c r="A453" s="44"/>
      <c r="B453" s="44"/>
      <c r="C453" s="48" t="s">
        <v>506</v>
      </c>
    </row>
    <row r="454" spans="1:3" ht="12" customHeight="1">
      <c r="A454" s="44"/>
      <c r="B454" s="44"/>
      <c r="C454" s="48" t="s">
        <v>507</v>
      </c>
    </row>
    <row r="455" spans="1:3" ht="12" customHeight="1">
      <c r="A455" s="44"/>
      <c r="B455" s="44"/>
      <c r="C455" s="48" t="s">
        <v>508</v>
      </c>
    </row>
    <row r="456" spans="1:3" ht="12" customHeight="1">
      <c r="A456" s="44"/>
      <c r="B456" s="44"/>
      <c r="C456" s="48" t="s">
        <v>509</v>
      </c>
    </row>
    <row r="457" spans="1:3" ht="12" customHeight="1">
      <c r="A457" s="44"/>
      <c r="B457" s="44"/>
      <c r="C457" s="48" t="s">
        <v>510</v>
      </c>
    </row>
    <row r="458" spans="1:3" ht="12" customHeight="1">
      <c r="A458" s="44"/>
      <c r="B458" s="44"/>
      <c r="C458" s="48" t="s">
        <v>511</v>
      </c>
    </row>
    <row r="459" spans="1:3" ht="12" customHeight="1">
      <c r="A459" s="44"/>
      <c r="B459" s="44"/>
      <c r="C459" s="48" t="s">
        <v>512</v>
      </c>
    </row>
    <row r="460" spans="1:3" ht="12" customHeight="1">
      <c r="A460" s="44"/>
      <c r="B460" s="44"/>
      <c r="C460" s="48" t="s">
        <v>513</v>
      </c>
    </row>
    <row r="461" spans="1:3" ht="12" customHeight="1">
      <c r="A461" s="44"/>
      <c r="B461" s="44"/>
      <c r="C461" s="48" t="s">
        <v>514</v>
      </c>
    </row>
    <row r="462" spans="1:3" ht="12" customHeight="1">
      <c r="A462" s="44"/>
      <c r="B462" s="44"/>
      <c r="C462" s="48" t="s">
        <v>515</v>
      </c>
    </row>
    <row r="463" spans="1:3" ht="12" customHeight="1">
      <c r="A463" s="44"/>
      <c r="B463" s="44"/>
      <c r="C463" s="48" t="s">
        <v>516</v>
      </c>
    </row>
    <row r="464" spans="1:3" ht="12" customHeight="1">
      <c r="A464" s="44"/>
      <c r="B464" s="44"/>
      <c r="C464" s="48" t="s">
        <v>517</v>
      </c>
    </row>
    <row r="465" spans="1:3" ht="12" customHeight="1">
      <c r="A465" s="44"/>
      <c r="B465" s="44"/>
      <c r="C465" s="48" t="s">
        <v>518</v>
      </c>
    </row>
    <row r="466" spans="1:3" ht="12" customHeight="1">
      <c r="A466" s="44"/>
      <c r="B466" s="44"/>
      <c r="C466" s="48" t="s">
        <v>519</v>
      </c>
    </row>
    <row r="467" spans="1:3" ht="12" customHeight="1">
      <c r="A467" s="44"/>
      <c r="B467" s="44"/>
      <c r="C467" s="48" t="s">
        <v>520</v>
      </c>
    </row>
    <row r="468" spans="1:3" ht="12" customHeight="1">
      <c r="A468" s="44"/>
      <c r="B468" s="44"/>
      <c r="C468" s="48" t="s">
        <v>521</v>
      </c>
    </row>
    <row r="469" spans="1:3" ht="12" customHeight="1">
      <c r="A469" s="44"/>
      <c r="B469" s="44"/>
      <c r="C469" s="48" t="s">
        <v>522</v>
      </c>
    </row>
    <row r="470" spans="1:3" ht="12" customHeight="1">
      <c r="A470" s="44"/>
      <c r="B470" s="44"/>
      <c r="C470" s="48" t="s">
        <v>523</v>
      </c>
    </row>
    <row r="471" spans="1:3" ht="12" customHeight="1">
      <c r="A471" s="44"/>
      <c r="B471" s="44"/>
      <c r="C471" s="48" t="s">
        <v>524</v>
      </c>
    </row>
    <row r="472" spans="1:3" ht="12" customHeight="1">
      <c r="A472" s="44"/>
      <c r="B472" s="44"/>
      <c r="C472" s="48" t="s">
        <v>525</v>
      </c>
    </row>
    <row r="473" spans="1:3" ht="12" customHeight="1">
      <c r="A473" s="44"/>
      <c r="B473" s="44"/>
      <c r="C473" s="48" t="s">
        <v>526</v>
      </c>
    </row>
    <row r="474" spans="1:3" ht="12" customHeight="1">
      <c r="A474" s="44"/>
      <c r="B474" s="44"/>
      <c r="C474" s="48" t="s">
        <v>527</v>
      </c>
    </row>
    <row r="475" spans="1:3" ht="12" customHeight="1">
      <c r="A475" s="44"/>
      <c r="B475" s="44"/>
      <c r="C475" s="48" t="s">
        <v>528</v>
      </c>
    </row>
    <row r="476" spans="1:3" ht="12" customHeight="1">
      <c r="A476" s="44"/>
      <c r="B476" s="44"/>
      <c r="C476" s="48" t="s">
        <v>529</v>
      </c>
    </row>
    <row r="477" spans="1:3" ht="12" customHeight="1">
      <c r="A477" s="44"/>
      <c r="B477" s="44"/>
      <c r="C477" s="48" t="s">
        <v>530</v>
      </c>
    </row>
    <row r="478" spans="1:3" ht="12" customHeight="1">
      <c r="A478" s="44"/>
      <c r="B478" s="44"/>
      <c r="C478" s="48" t="s">
        <v>531</v>
      </c>
    </row>
    <row r="479" spans="1:3" ht="12" customHeight="1">
      <c r="A479" s="44"/>
      <c r="B479" s="44"/>
      <c r="C479" s="48" t="s">
        <v>532</v>
      </c>
    </row>
    <row r="480" spans="1:3" ht="12" customHeight="1">
      <c r="A480" s="44"/>
      <c r="B480" s="44"/>
      <c r="C480" s="48" t="s">
        <v>533</v>
      </c>
    </row>
    <row r="481" spans="1:3" ht="12" customHeight="1">
      <c r="A481" s="44"/>
      <c r="B481" s="44"/>
      <c r="C481" s="48" t="s">
        <v>534</v>
      </c>
    </row>
    <row r="482" spans="1:3" ht="12" customHeight="1">
      <c r="A482" s="44"/>
      <c r="B482" s="44"/>
      <c r="C482" s="48" t="s">
        <v>535</v>
      </c>
    </row>
    <row r="483" spans="1:3" ht="33" customHeight="1">
      <c r="A483" s="41" t="s">
        <v>46</v>
      </c>
      <c r="B483" s="41" t="s">
        <v>536</v>
      </c>
      <c r="C483" s="49"/>
    </row>
    <row r="484" spans="1:3" ht="12" customHeight="1">
      <c r="A484" s="44"/>
      <c r="B484" s="44"/>
      <c r="C484" s="48" t="s">
        <v>537</v>
      </c>
    </row>
    <row r="485" spans="1:3" ht="12" customHeight="1">
      <c r="A485" s="44"/>
      <c r="B485" s="44"/>
      <c r="C485" s="48" t="s">
        <v>538</v>
      </c>
    </row>
    <row r="486" spans="1:3" ht="12" customHeight="1">
      <c r="A486" s="44"/>
      <c r="B486" s="44"/>
      <c r="C486" s="48" t="s">
        <v>539</v>
      </c>
    </row>
    <row r="487" spans="1:3" ht="11.85" customHeight="1">
      <c r="A487" s="44"/>
      <c r="B487" s="44"/>
      <c r="C487" s="46" t="s">
        <v>540</v>
      </c>
    </row>
    <row r="488" spans="1:3" ht="12" customHeight="1">
      <c r="A488" s="44"/>
      <c r="B488" s="44"/>
      <c r="C488" s="46" t="s">
        <v>541</v>
      </c>
    </row>
    <row r="489" spans="1:3" ht="12" customHeight="1">
      <c r="A489" s="44"/>
      <c r="B489" s="44"/>
      <c r="C489" s="46" t="s">
        <v>542</v>
      </c>
    </row>
    <row r="490" spans="1:3" ht="12" customHeight="1">
      <c r="A490" s="44"/>
      <c r="B490" s="44"/>
      <c r="C490" s="46" t="s">
        <v>543</v>
      </c>
    </row>
    <row r="491" spans="1:3" ht="12" customHeight="1">
      <c r="A491" s="44"/>
      <c r="B491" s="44"/>
      <c r="C491" s="46" t="s">
        <v>544</v>
      </c>
    </row>
    <row r="492" spans="1:3" ht="12" customHeight="1">
      <c r="A492" s="44"/>
      <c r="B492" s="44"/>
      <c r="C492" s="46" t="s">
        <v>545</v>
      </c>
    </row>
    <row r="493" spans="1:3" ht="12" customHeight="1">
      <c r="A493" s="44"/>
      <c r="B493" s="44"/>
      <c r="C493" s="46" t="s">
        <v>546</v>
      </c>
    </row>
    <row r="494" spans="1:3" ht="12" customHeight="1">
      <c r="A494" s="44"/>
      <c r="B494" s="44"/>
      <c r="C494" s="46" t="s">
        <v>547</v>
      </c>
    </row>
    <row r="495" spans="1:3" ht="12" customHeight="1">
      <c r="A495" s="44"/>
      <c r="B495" s="44"/>
      <c r="C495" s="46" t="s">
        <v>548</v>
      </c>
    </row>
    <row r="496" spans="1:3" ht="12" customHeight="1">
      <c r="A496" s="44"/>
      <c r="B496" s="44"/>
      <c r="C496" s="46" t="s">
        <v>549</v>
      </c>
    </row>
    <row r="497" spans="1:3" ht="12" customHeight="1">
      <c r="A497" s="44"/>
      <c r="B497" s="44"/>
      <c r="C497" s="46" t="s">
        <v>550</v>
      </c>
    </row>
    <row r="498" spans="1:3" ht="12" customHeight="1">
      <c r="A498" s="44"/>
      <c r="B498" s="44"/>
      <c r="C498" s="46" t="s">
        <v>551</v>
      </c>
    </row>
    <row r="499" spans="1:3" ht="12" customHeight="1">
      <c r="A499" s="44"/>
      <c r="B499" s="44"/>
      <c r="C499" s="46" t="s">
        <v>552</v>
      </c>
    </row>
    <row r="500" spans="1:3" ht="12" customHeight="1">
      <c r="A500" s="44"/>
      <c r="B500" s="44"/>
      <c r="C500" s="46" t="s">
        <v>553</v>
      </c>
    </row>
    <row r="501" spans="1:3" ht="12" customHeight="1">
      <c r="A501" s="44"/>
      <c r="B501" s="44"/>
      <c r="C501" s="46" t="s">
        <v>554</v>
      </c>
    </row>
    <row r="502" spans="1:3" ht="12" customHeight="1">
      <c r="A502" s="44"/>
      <c r="B502" s="44"/>
      <c r="C502" s="46" t="s">
        <v>555</v>
      </c>
    </row>
    <row r="503" spans="1:3" ht="12" customHeight="1">
      <c r="A503" s="44"/>
      <c r="B503" s="44"/>
      <c r="C503" s="46" t="s">
        <v>556</v>
      </c>
    </row>
    <row r="504" spans="1:3" ht="12" customHeight="1">
      <c r="A504" s="44"/>
      <c r="B504" s="44"/>
      <c r="C504" s="46" t="s">
        <v>557</v>
      </c>
    </row>
    <row r="505" spans="1:3" ht="12" customHeight="1">
      <c r="A505" s="44"/>
      <c r="B505" s="44"/>
      <c r="C505" s="46" t="s">
        <v>558</v>
      </c>
    </row>
    <row r="506" spans="1:3" ht="12" customHeight="1">
      <c r="A506" s="44"/>
      <c r="B506" s="44"/>
      <c r="C506" s="46" t="s">
        <v>559</v>
      </c>
    </row>
    <row r="507" spans="1:3" ht="12" customHeight="1">
      <c r="A507" s="44"/>
      <c r="B507" s="44"/>
      <c r="C507" s="46" t="s">
        <v>560</v>
      </c>
    </row>
    <row r="508" spans="1:3" ht="12" customHeight="1">
      <c r="A508" s="44"/>
      <c r="B508" s="44"/>
      <c r="C508" s="46" t="s">
        <v>561</v>
      </c>
    </row>
    <row r="509" spans="1:3" ht="12" customHeight="1">
      <c r="A509" s="44"/>
      <c r="B509" s="44"/>
      <c r="C509" s="46" t="s">
        <v>562</v>
      </c>
    </row>
    <row r="510" spans="1:3" ht="12" customHeight="1">
      <c r="A510" s="44"/>
      <c r="B510" s="44"/>
      <c r="C510" s="46" t="s">
        <v>563</v>
      </c>
    </row>
    <row r="511" spans="1:3" ht="12" customHeight="1">
      <c r="A511" s="44"/>
      <c r="B511" s="44"/>
      <c r="C511" s="46" t="s">
        <v>564</v>
      </c>
    </row>
    <row r="512" spans="1:3" ht="12" customHeight="1">
      <c r="A512" s="44"/>
      <c r="B512" s="44"/>
      <c r="C512" s="46" t="s">
        <v>565</v>
      </c>
    </row>
    <row r="513" spans="1:3" ht="12" customHeight="1">
      <c r="A513" s="44"/>
      <c r="B513" s="44"/>
      <c r="C513" s="46" t="s">
        <v>566</v>
      </c>
    </row>
    <row r="514" spans="1:3" ht="12" customHeight="1">
      <c r="A514" s="44"/>
      <c r="B514" s="44"/>
      <c r="C514" s="46" t="s">
        <v>567</v>
      </c>
    </row>
    <row r="515" spans="1:3" ht="12" customHeight="1">
      <c r="A515" s="44"/>
      <c r="B515" s="44"/>
      <c r="C515" s="46" t="s">
        <v>568</v>
      </c>
    </row>
    <row r="516" spans="1:3" ht="12" customHeight="1">
      <c r="A516" s="44"/>
      <c r="B516" s="44"/>
      <c r="C516" s="46" t="s">
        <v>569</v>
      </c>
    </row>
    <row r="517" spans="1:3" ht="12" customHeight="1">
      <c r="A517" s="44"/>
      <c r="B517" s="44"/>
      <c r="C517" s="46" t="s">
        <v>570</v>
      </c>
    </row>
    <row r="518" spans="1:3" ht="12" customHeight="1">
      <c r="A518" s="44"/>
      <c r="B518" s="44"/>
      <c r="C518" s="46" t="s">
        <v>571</v>
      </c>
    </row>
    <row r="519" spans="1:3" ht="12" customHeight="1">
      <c r="A519" s="44"/>
      <c r="B519" s="44"/>
      <c r="C519" s="46" t="s">
        <v>572</v>
      </c>
    </row>
    <row r="520" spans="1:3" ht="12" customHeight="1">
      <c r="A520" s="44"/>
      <c r="B520" s="44"/>
      <c r="C520" s="46" t="s">
        <v>573</v>
      </c>
    </row>
    <row r="521" spans="1:3" ht="12" customHeight="1">
      <c r="A521" s="44"/>
      <c r="B521" s="44"/>
      <c r="C521" s="46" t="s">
        <v>574</v>
      </c>
    </row>
    <row r="522" spans="1:3" ht="12" customHeight="1">
      <c r="A522" s="44"/>
      <c r="B522" s="44"/>
      <c r="C522" s="46" t="s">
        <v>575</v>
      </c>
    </row>
    <row r="523" spans="1:3" ht="12" customHeight="1">
      <c r="A523" s="44"/>
      <c r="B523" s="44"/>
      <c r="C523" s="46" t="s">
        <v>576</v>
      </c>
    </row>
    <row r="524" spans="1:3" ht="12" customHeight="1">
      <c r="A524" s="44"/>
      <c r="B524" s="44"/>
      <c r="C524" s="46" t="s">
        <v>577</v>
      </c>
    </row>
    <row r="525" spans="1:3" ht="12" customHeight="1">
      <c r="A525" s="44"/>
      <c r="B525" s="44"/>
      <c r="C525" s="46" t="s">
        <v>578</v>
      </c>
    </row>
    <row r="526" spans="1:3" ht="12" customHeight="1">
      <c r="A526" s="44"/>
      <c r="B526" s="44"/>
      <c r="C526" s="46" t="s">
        <v>579</v>
      </c>
    </row>
    <row r="527" spans="1:3" ht="12" customHeight="1">
      <c r="A527" s="44"/>
      <c r="B527" s="44"/>
      <c r="C527" s="46" t="s">
        <v>580</v>
      </c>
    </row>
    <row r="528" spans="1:3" ht="12" customHeight="1">
      <c r="A528" s="44"/>
      <c r="B528" s="44"/>
      <c r="C528" s="46" t="s">
        <v>581</v>
      </c>
    </row>
    <row r="529" spans="1:3" ht="12" customHeight="1">
      <c r="A529" s="44"/>
      <c r="B529" s="44"/>
      <c r="C529" s="46" t="s">
        <v>582</v>
      </c>
    </row>
    <row r="530" spans="1:3" ht="12" customHeight="1">
      <c r="A530" s="44"/>
      <c r="B530" s="44"/>
      <c r="C530" s="46" t="s">
        <v>583</v>
      </c>
    </row>
    <row r="531" spans="1:3" ht="12" customHeight="1">
      <c r="A531" s="44"/>
      <c r="B531" s="44"/>
      <c r="C531" s="46" t="s">
        <v>584</v>
      </c>
    </row>
    <row r="532" spans="1:3" ht="12" customHeight="1">
      <c r="A532" s="44"/>
      <c r="B532" s="44"/>
      <c r="C532" s="46" t="s">
        <v>585</v>
      </c>
    </row>
    <row r="533" spans="1:3" ht="12" customHeight="1">
      <c r="A533" s="44"/>
      <c r="B533" s="44"/>
      <c r="C533" s="46" t="s">
        <v>586</v>
      </c>
    </row>
    <row r="534" spans="1:3" ht="12" customHeight="1">
      <c r="A534" s="44"/>
      <c r="B534" s="44"/>
      <c r="C534" s="46" t="s">
        <v>587</v>
      </c>
    </row>
    <row r="535" spans="1:3" ht="12" customHeight="1">
      <c r="A535" s="44"/>
      <c r="B535" s="44"/>
      <c r="C535" s="46" t="s">
        <v>588</v>
      </c>
    </row>
    <row r="536" spans="1:3" ht="12" customHeight="1">
      <c r="A536" s="44"/>
      <c r="B536" s="44"/>
      <c r="C536" s="46" t="s">
        <v>589</v>
      </c>
    </row>
    <row r="537" spans="1:3" ht="12" customHeight="1">
      <c r="A537" s="44"/>
      <c r="B537" s="44"/>
      <c r="C537" s="46" t="s">
        <v>590</v>
      </c>
    </row>
    <row r="538" spans="1:3" ht="12" customHeight="1">
      <c r="A538" s="44"/>
      <c r="B538" s="44"/>
      <c r="C538" s="46" t="s">
        <v>591</v>
      </c>
    </row>
    <row r="539" spans="1:3" ht="12" customHeight="1">
      <c r="A539" s="44"/>
      <c r="B539" s="44"/>
      <c r="C539" s="46" t="s">
        <v>592</v>
      </c>
    </row>
    <row r="540" spans="1:3" ht="12" customHeight="1">
      <c r="A540" s="44"/>
      <c r="B540" s="44"/>
      <c r="C540" s="46" t="s">
        <v>593</v>
      </c>
    </row>
    <row r="541" spans="1:3" ht="12" customHeight="1">
      <c r="A541" s="44"/>
      <c r="B541" s="44"/>
      <c r="C541" s="46" t="s">
        <v>594</v>
      </c>
    </row>
    <row r="542" spans="1:3" ht="12" customHeight="1">
      <c r="A542" s="44"/>
      <c r="B542" s="44"/>
      <c r="C542" s="46" t="s">
        <v>595</v>
      </c>
    </row>
    <row r="543" spans="1:3" ht="12" customHeight="1">
      <c r="A543" s="44"/>
      <c r="B543" s="44"/>
      <c r="C543" s="46" t="s">
        <v>596</v>
      </c>
    </row>
    <row r="544" spans="1:3" ht="12" customHeight="1">
      <c r="A544" s="44"/>
      <c r="B544" s="44"/>
      <c r="C544" s="46" t="s">
        <v>597</v>
      </c>
    </row>
    <row r="545" spans="1:3" ht="12" customHeight="1">
      <c r="A545" s="44"/>
      <c r="B545" s="44"/>
      <c r="C545" s="46" t="s">
        <v>598</v>
      </c>
    </row>
    <row r="546" spans="1:3" ht="12" customHeight="1">
      <c r="A546" s="44"/>
      <c r="B546" s="44"/>
      <c r="C546" s="46" t="s">
        <v>599</v>
      </c>
    </row>
    <row r="547" spans="1:3" ht="12" customHeight="1">
      <c r="A547" s="44"/>
      <c r="B547" s="44"/>
      <c r="C547" s="46" t="s">
        <v>600</v>
      </c>
    </row>
    <row r="548" spans="1:3" ht="12" customHeight="1">
      <c r="A548" s="44"/>
      <c r="B548" s="44"/>
      <c r="C548" s="46" t="s">
        <v>601</v>
      </c>
    </row>
    <row r="549" spans="1:3" ht="12" customHeight="1">
      <c r="A549" s="44"/>
      <c r="B549" s="44"/>
      <c r="C549" s="46" t="s">
        <v>602</v>
      </c>
    </row>
    <row r="550" spans="1:3" ht="12" customHeight="1">
      <c r="A550" s="44"/>
      <c r="B550" s="44"/>
      <c r="C550" s="46" t="s">
        <v>603</v>
      </c>
    </row>
    <row r="551" spans="1:3" ht="12" customHeight="1">
      <c r="A551" s="44"/>
      <c r="B551" s="44"/>
      <c r="C551" s="46" t="s">
        <v>604</v>
      </c>
    </row>
    <row r="552" spans="1:3" ht="12" customHeight="1">
      <c r="A552" s="44"/>
      <c r="B552" s="44"/>
      <c r="C552" s="46" t="s">
        <v>605</v>
      </c>
    </row>
    <row r="553" spans="1:3" ht="11.85" customHeight="1">
      <c r="A553" s="44"/>
      <c r="B553" s="44"/>
      <c r="C553" s="46" t="s">
        <v>606</v>
      </c>
    </row>
    <row r="554" spans="1:3" ht="12" customHeight="1">
      <c r="A554" s="44"/>
      <c r="B554" s="44"/>
      <c r="C554" s="46" t="s">
        <v>607</v>
      </c>
    </row>
    <row r="555" spans="1:3" ht="12" customHeight="1">
      <c r="A555" s="44"/>
      <c r="B555" s="44"/>
      <c r="C555" s="46" t="s">
        <v>608</v>
      </c>
    </row>
    <row r="556" spans="1:3" ht="12" customHeight="1">
      <c r="A556" s="44"/>
      <c r="B556" s="44"/>
      <c r="C556" s="46" t="s">
        <v>609</v>
      </c>
    </row>
    <row r="557" spans="1:3" ht="12" customHeight="1">
      <c r="A557" s="44"/>
      <c r="B557" s="44"/>
      <c r="C557" s="46" t="s">
        <v>610</v>
      </c>
    </row>
    <row r="558" spans="1:3" ht="12" customHeight="1">
      <c r="A558" s="44"/>
      <c r="B558" s="44"/>
      <c r="C558" s="46" t="s">
        <v>611</v>
      </c>
    </row>
    <row r="559" spans="1:3" ht="12" customHeight="1">
      <c r="A559" s="44"/>
      <c r="B559" s="44"/>
      <c r="C559" s="46" t="s">
        <v>612</v>
      </c>
    </row>
    <row r="560" spans="1:3" ht="12" customHeight="1">
      <c r="A560" s="44"/>
      <c r="B560" s="44"/>
      <c r="C560" s="46" t="s">
        <v>613</v>
      </c>
    </row>
    <row r="561" spans="1:3" ht="12" customHeight="1">
      <c r="A561" s="44"/>
      <c r="B561" s="44"/>
      <c r="C561" s="46" t="s">
        <v>614</v>
      </c>
    </row>
    <row r="562" spans="1:3" ht="12" customHeight="1">
      <c r="A562" s="44"/>
      <c r="B562" s="44"/>
      <c r="C562" s="46" t="s">
        <v>615</v>
      </c>
    </row>
    <row r="563" spans="1:3" ht="45" customHeight="1">
      <c r="A563" s="41" t="s">
        <v>46</v>
      </c>
      <c r="B563" s="41" t="s">
        <v>616</v>
      </c>
      <c r="C563" s="43"/>
    </row>
    <row r="564" spans="1:3" ht="12" customHeight="1">
      <c r="A564" s="44"/>
      <c r="B564" s="44"/>
      <c r="C564" s="46" t="s">
        <v>617</v>
      </c>
    </row>
    <row r="565" spans="1:3" ht="12" customHeight="1">
      <c r="A565" s="44"/>
      <c r="B565" s="44"/>
      <c r="C565" s="46" t="s">
        <v>618</v>
      </c>
    </row>
    <row r="566" spans="1:3" ht="12" customHeight="1">
      <c r="A566" s="44"/>
      <c r="B566" s="44"/>
      <c r="C566" s="46" t="s">
        <v>619</v>
      </c>
    </row>
    <row r="567" spans="1:3" ht="12" customHeight="1">
      <c r="A567" s="44"/>
      <c r="B567" s="44"/>
      <c r="C567" s="46" t="s">
        <v>620</v>
      </c>
    </row>
    <row r="568" spans="1:3" ht="12" customHeight="1">
      <c r="A568" s="44"/>
      <c r="B568" s="44"/>
      <c r="C568" s="46" t="s">
        <v>621</v>
      </c>
    </row>
    <row r="569" spans="1:3" ht="12" customHeight="1">
      <c r="A569" s="44"/>
      <c r="B569" s="44"/>
      <c r="C569" s="46" t="s">
        <v>622</v>
      </c>
    </row>
    <row r="570" spans="1:3" ht="12" customHeight="1">
      <c r="A570" s="44"/>
      <c r="B570" s="44"/>
      <c r="C570" s="46" t="s">
        <v>623</v>
      </c>
    </row>
    <row r="571" spans="1:3" ht="12" customHeight="1">
      <c r="A571" s="44"/>
      <c r="B571" s="44"/>
      <c r="C571" s="46" t="s">
        <v>624</v>
      </c>
    </row>
    <row r="572" spans="1:3" ht="12" customHeight="1">
      <c r="A572" s="44"/>
      <c r="B572" s="44"/>
      <c r="C572" s="46" t="s">
        <v>625</v>
      </c>
    </row>
    <row r="573" spans="1:3" ht="12" customHeight="1">
      <c r="A573" s="44"/>
      <c r="B573" s="44"/>
      <c r="C573" s="46" t="s">
        <v>626</v>
      </c>
    </row>
    <row r="574" spans="1:3" ht="12" customHeight="1">
      <c r="A574" s="44"/>
      <c r="B574" s="44"/>
      <c r="C574" s="46" t="s">
        <v>627</v>
      </c>
    </row>
    <row r="575" spans="1:3" ht="12" customHeight="1">
      <c r="A575" s="44"/>
      <c r="B575" s="44"/>
      <c r="C575" s="46" t="s">
        <v>628</v>
      </c>
    </row>
    <row r="576" spans="1:3" ht="12" customHeight="1">
      <c r="A576" s="44"/>
      <c r="B576" s="44"/>
      <c r="C576" s="46" t="s">
        <v>629</v>
      </c>
    </row>
    <row r="577" spans="1:3" ht="12" customHeight="1">
      <c r="A577" s="44"/>
      <c r="B577" s="44"/>
      <c r="C577" s="46" t="s">
        <v>630</v>
      </c>
    </row>
    <row r="578" spans="1:3" ht="12" customHeight="1">
      <c r="A578" s="44"/>
      <c r="B578" s="44"/>
      <c r="C578" s="46" t="s">
        <v>631</v>
      </c>
    </row>
    <row r="579" spans="1:3" ht="12" customHeight="1">
      <c r="A579" s="44"/>
      <c r="B579" s="44"/>
      <c r="C579" s="46" t="s">
        <v>632</v>
      </c>
    </row>
    <row r="580" spans="1:3" ht="12" customHeight="1">
      <c r="A580" s="44"/>
      <c r="B580" s="44"/>
      <c r="C580" s="46" t="s">
        <v>633</v>
      </c>
    </row>
    <row r="581" spans="1:3" ht="12" customHeight="1">
      <c r="A581" s="44"/>
      <c r="B581" s="44"/>
      <c r="C581" s="46" t="s">
        <v>634</v>
      </c>
    </row>
    <row r="582" spans="1:3" ht="12" customHeight="1">
      <c r="A582" s="44"/>
      <c r="B582" s="44"/>
      <c r="C582" s="46" t="s">
        <v>635</v>
      </c>
    </row>
    <row r="583" spans="1:3" ht="12" customHeight="1">
      <c r="A583" s="44"/>
      <c r="B583" s="44"/>
      <c r="C583" s="46" t="s">
        <v>636</v>
      </c>
    </row>
    <row r="584" spans="1:3" ht="12" customHeight="1">
      <c r="A584" s="44"/>
      <c r="B584" s="44"/>
      <c r="C584" s="46" t="s">
        <v>637</v>
      </c>
    </row>
    <row r="585" spans="1:3" ht="12" customHeight="1">
      <c r="A585" s="44"/>
      <c r="B585" s="44"/>
      <c r="C585" s="46" t="s">
        <v>638</v>
      </c>
    </row>
    <row r="586" spans="1:3" ht="12" customHeight="1">
      <c r="A586" s="44"/>
      <c r="B586" s="44"/>
      <c r="C586" s="46" t="s">
        <v>639</v>
      </c>
    </row>
    <row r="587" spans="1:3" ht="12" customHeight="1">
      <c r="A587" s="44"/>
      <c r="B587" s="44"/>
      <c r="C587" s="46" t="s">
        <v>640</v>
      </c>
    </row>
    <row r="588" spans="1:3" ht="12" customHeight="1">
      <c r="A588" s="44"/>
      <c r="B588" s="44"/>
      <c r="C588" s="46" t="s">
        <v>641</v>
      </c>
    </row>
    <row r="589" spans="1:3" ht="12" customHeight="1">
      <c r="A589" s="44"/>
      <c r="B589" s="44"/>
      <c r="C589" s="46" t="s">
        <v>642</v>
      </c>
    </row>
    <row r="590" spans="1:3" ht="12" customHeight="1">
      <c r="A590" s="44"/>
      <c r="B590" s="44"/>
      <c r="C590" s="46" t="s">
        <v>643</v>
      </c>
    </row>
    <row r="591" spans="1:3" ht="12" customHeight="1">
      <c r="A591" s="44"/>
      <c r="B591" s="44"/>
      <c r="C591" s="46" t="s">
        <v>644</v>
      </c>
    </row>
    <row r="592" spans="1:3" ht="42.75" customHeight="1">
      <c r="A592" s="41" t="s">
        <v>46</v>
      </c>
      <c r="B592" s="41" t="s">
        <v>645</v>
      </c>
      <c r="C592" s="43"/>
    </row>
    <row r="593" spans="1:3" ht="23.4" customHeight="1">
      <c r="A593" s="44"/>
      <c r="B593" s="44"/>
      <c r="C593" s="47" t="s">
        <v>646</v>
      </c>
    </row>
    <row r="594" spans="1:3" ht="23.4" customHeight="1">
      <c r="A594" s="44"/>
      <c r="B594" s="44"/>
      <c r="C594" s="47" t="s">
        <v>647</v>
      </c>
    </row>
    <row r="595" spans="1:3" ht="23.4" customHeight="1">
      <c r="A595" s="44"/>
      <c r="B595" s="44"/>
      <c r="C595" s="47" t="s">
        <v>648</v>
      </c>
    </row>
    <row r="596" spans="1:3" ht="23.4" customHeight="1">
      <c r="A596" s="44"/>
      <c r="B596" s="44"/>
      <c r="C596" s="47" t="s">
        <v>649</v>
      </c>
    </row>
    <row r="597" spans="1:3" ht="23.4" customHeight="1">
      <c r="A597" s="44"/>
      <c r="B597" s="44"/>
      <c r="C597" s="47" t="s">
        <v>650</v>
      </c>
    </row>
    <row r="598" spans="1:3" ht="23.4" customHeight="1">
      <c r="A598" s="44"/>
      <c r="B598" s="44"/>
      <c r="C598" s="47" t="s">
        <v>651</v>
      </c>
    </row>
    <row r="599" spans="1:3" ht="23.4" customHeight="1">
      <c r="A599" s="44"/>
      <c r="B599" s="44"/>
      <c r="C599" s="47" t="s">
        <v>652</v>
      </c>
    </row>
    <row r="600" spans="1:3" ht="23.4" customHeight="1">
      <c r="A600" s="44"/>
      <c r="B600" s="44"/>
      <c r="C600" s="47" t="s">
        <v>653</v>
      </c>
    </row>
    <row r="601" spans="1:3" ht="23.4" customHeight="1">
      <c r="A601" s="44"/>
      <c r="B601" s="44"/>
      <c r="C601" s="47" t="s">
        <v>654</v>
      </c>
    </row>
    <row r="602" spans="1:3" ht="23.4" customHeight="1">
      <c r="A602" s="44"/>
      <c r="B602" s="44"/>
      <c r="C602" s="47" t="s">
        <v>655</v>
      </c>
    </row>
    <row r="603" spans="1:3" ht="23.4" customHeight="1">
      <c r="A603" s="44"/>
      <c r="B603" s="44"/>
      <c r="C603" s="47" t="s">
        <v>656</v>
      </c>
    </row>
    <row r="604" spans="1:3" ht="23.4" customHeight="1">
      <c r="A604" s="44"/>
      <c r="B604" s="44"/>
      <c r="C604" s="47" t="s">
        <v>657</v>
      </c>
    </row>
    <row r="605" spans="1:3" ht="33.75" customHeight="1">
      <c r="A605" s="41" t="s">
        <v>46</v>
      </c>
      <c r="B605" s="41" t="s">
        <v>658</v>
      </c>
      <c r="C605" s="43"/>
    </row>
    <row r="606" spans="1:3" ht="12" customHeight="1">
      <c r="A606" s="44"/>
      <c r="B606" s="44"/>
      <c r="C606" s="46" t="s">
        <v>659</v>
      </c>
    </row>
    <row r="607" spans="1:3" ht="12" customHeight="1">
      <c r="A607" s="44"/>
      <c r="B607" s="44"/>
      <c r="C607" s="46" t="s">
        <v>660</v>
      </c>
    </row>
    <row r="608" spans="1:3" ht="12" customHeight="1">
      <c r="A608" s="44"/>
      <c r="B608" s="44"/>
      <c r="C608" s="46" t="s">
        <v>661</v>
      </c>
    </row>
    <row r="609" spans="1:3" ht="12" customHeight="1">
      <c r="A609" s="44"/>
      <c r="B609" s="44"/>
      <c r="C609" s="46" t="s">
        <v>662</v>
      </c>
    </row>
    <row r="610" spans="1:3" ht="12" customHeight="1">
      <c r="A610" s="44"/>
      <c r="B610" s="44"/>
      <c r="C610" s="46" t="s">
        <v>663</v>
      </c>
    </row>
    <row r="611" spans="1:3" ht="12" customHeight="1">
      <c r="A611" s="44"/>
      <c r="B611" s="44"/>
      <c r="C611" s="46" t="s">
        <v>664</v>
      </c>
    </row>
    <row r="612" spans="1:3" ht="12" customHeight="1">
      <c r="A612" s="44"/>
      <c r="B612" s="44"/>
      <c r="C612" s="46" t="s">
        <v>665</v>
      </c>
    </row>
    <row r="613" spans="1:3" ht="12" customHeight="1">
      <c r="A613" s="44"/>
      <c r="B613" s="44"/>
      <c r="C613" s="46" t="s">
        <v>666</v>
      </c>
    </row>
    <row r="614" spans="1:3" ht="12" customHeight="1">
      <c r="A614" s="44"/>
      <c r="B614" s="44"/>
      <c r="C614" s="46" t="s">
        <v>667</v>
      </c>
    </row>
    <row r="615" spans="1:3" ht="13.35" customHeight="1">
      <c r="A615" s="44"/>
      <c r="B615" s="44"/>
      <c r="C615" s="46" t="s">
        <v>668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2"/>
  <dimension ref="A1:G43"/>
  <sheetViews>
    <sheetView topLeftCell="A34" workbookViewId="0">
      <selection sqref="A1:G43"/>
    </sheetView>
  </sheetViews>
  <sheetFormatPr defaultRowHeight="14.4"/>
  <cols>
    <col min="1" max="1" width="5.33203125" customWidth="1"/>
    <col min="2" max="2" width="21" customWidth="1"/>
    <col min="3" max="3" width="8.44140625" customWidth="1"/>
    <col min="4" max="4" width="11.33203125" customWidth="1"/>
    <col min="5" max="5" width="14.6640625" customWidth="1"/>
    <col min="6" max="6" width="14.44140625" customWidth="1"/>
    <col min="7" max="7" width="16.6640625" customWidth="1"/>
  </cols>
  <sheetData>
    <row r="1" spans="1:7">
      <c r="A1" s="55" t="s">
        <v>2144</v>
      </c>
    </row>
    <row r="2" spans="1:7">
      <c r="A2" s="50"/>
    </row>
    <row r="3" spans="1:7" ht="31.5" customHeight="1">
      <c r="A3" s="9" t="s">
        <v>1003</v>
      </c>
      <c r="B3" s="19" t="s">
        <v>1004</v>
      </c>
      <c r="C3" s="9" t="s">
        <v>1005</v>
      </c>
      <c r="D3" s="9" t="s">
        <v>1006</v>
      </c>
      <c r="E3" s="9" t="s">
        <v>1007</v>
      </c>
      <c r="F3" s="8" t="s">
        <v>669</v>
      </c>
      <c r="G3" s="8" t="s">
        <v>670</v>
      </c>
    </row>
    <row r="4" spans="1:7" ht="10.95" customHeight="1">
      <c r="A4" s="10" t="s">
        <v>671</v>
      </c>
      <c r="B4" s="10" t="s">
        <v>672</v>
      </c>
      <c r="C4" s="5"/>
      <c r="D4" s="5"/>
      <c r="E4" s="5"/>
      <c r="F4" s="5"/>
      <c r="G4" s="5"/>
    </row>
    <row r="5" spans="1:7" ht="13.65" customHeight="1">
      <c r="A5" s="5"/>
      <c r="B5" s="10" t="s">
        <v>673</v>
      </c>
      <c r="C5" s="10" t="s">
        <v>674</v>
      </c>
      <c r="D5" s="11" t="s">
        <v>675</v>
      </c>
      <c r="E5" s="3" t="s">
        <v>870</v>
      </c>
      <c r="F5" s="5"/>
      <c r="G5" s="5"/>
    </row>
    <row r="6" spans="1:7" ht="13.95" customHeight="1">
      <c r="A6" s="5"/>
      <c r="B6" s="10" t="s">
        <v>816</v>
      </c>
      <c r="C6" s="10" t="s">
        <v>678</v>
      </c>
      <c r="D6" s="11" t="s">
        <v>675</v>
      </c>
      <c r="E6" s="3" t="s">
        <v>679</v>
      </c>
      <c r="F6" s="5"/>
      <c r="G6" s="5"/>
    </row>
    <row r="7" spans="1:7" ht="13.65" customHeight="1">
      <c r="A7" s="5"/>
      <c r="B7" s="10" t="s">
        <v>680</v>
      </c>
      <c r="C7" s="10" t="s">
        <v>681</v>
      </c>
      <c r="D7" s="11" t="s">
        <v>675</v>
      </c>
      <c r="E7" s="3" t="s">
        <v>682</v>
      </c>
      <c r="F7" s="5"/>
      <c r="G7" s="5"/>
    </row>
    <row r="8" spans="1:7" ht="13.65" customHeight="1">
      <c r="A8" s="5"/>
      <c r="B8" s="10" t="s">
        <v>683</v>
      </c>
      <c r="C8" s="10" t="s">
        <v>684</v>
      </c>
      <c r="D8" s="11" t="s">
        <v>675</v>
      </c>
      <c r="E8" s="3" t="s">
        <v>851</v>
      </c>
      <c r="F8" s="5"/>
      <c r="G8" s="5"/>
    </row>
    <row r="9" spans="1:7" ht="12" customHeight="1">
      <c r="A9" s="5"/>
      <c r="B9" s="5"/>
      <c r="C9" s="5"/>
      <c r="D9" s="5"/>
      <c r="E9" s="2474" t="s">
        <v>685</v>
      </c>
      <c r="F9" s="2474"/>
      <c r="G9" s="5"/>
    </row>
    <row r="10" spans="1:7" ht="12" customHeight="1">
      <c r="A10" s="10" t="s">
        <v>686</v>
      </c>
      <c r="B10" s="10" t="s">
        <v>687</v>
      </c>
      <c r="C10" s="5"/>
      <c r="D10" s="5"/>
      <c r="E10" s="5"/>
      <c r="F10" s="5"/>
      <c r="G10" s="5"/>
    </row>
    <row r="11" spans="1:7" ht="13.95" customHeight="1">
      <c r="A11" s="5"/>
      <c r="B11" s="10" t="s">
        <v>742</v>
      </c>
      <c r="C11" s="5"/>
      <c r="D11" s="11" t="s">
        <v>692</v>
      </c>
      <c r="E11" s="3" t="s">
        <v>1013</v>
      </c>
      <c r="F11" s="5"/>
      <c r="G11" s="5"/>
    </row>
    <row r="12" spans="1:7" ht="13.65" customHeight="1">
      <c r="A12" s="5"/>
      <c r="B12" s="10" t="s">
        <v>818</v>
      </c>
      <c r="C12" s="5"/>
      <c r="D12" s="11" t="s">
        <v>690</v>
      </c>
      <c r="E12" s="3" t="s">
        <v>1017</v>
      </c>
      <c r="F12" s="5"/>
      <c r="G12" s="5"/>
    </row>
    <row r="13" spans="1:7" ht="13.65" customHeight="1">
      <c r="A13" s="5"/>
      <c r="B13" s="10" t="s">
        <v>808</v>
      </c>
      <c r="C13" s="5"/>
      <c r="D13" s="11" t="s">
        <v>692</v>
      </c>
      <c r="E13" s="3" t="s">
        <v>1018</v>
      </c>
      <c r="F13" s="5"/>
      <c r="G13" s="5"/>
    </row>
    <row r="14" spans="1:7" ht="10.95" customHeight="1">
      <c r="A14" s="5"/>
      <c r="B14" s="5"/>
      <c r="C14" s="5"/>
      <c r="D14" s="5"/>
      <c r="E14" s="2477" t="s">
        <v>702</v>
      </c>
      <c r="F14" s="2477"/>
      <c r="G14" s="5"/>
    </row>
    <row r="15" spans="1:7" ht="10.95" customHeight="1">
      <c r="A15" s="10" t="s">
        <v>703</v>
      </c>
      <c r="B15" s="10" t="s">
        <v>704</v>
      </c>
      <c r="C15" s="5"/>
      <c r="D15" s="5"/>
      <c r="E15" s="5"/>
      <c r="F15" s="5"/>
      <c r="G15" s="5"/>
    </row>
    <row r="16" spans="1:7" ht="10.95" customHeight="1">
      <c r="A16" s="5"/>
      <c r="B16" s="5"/>
      <c r="C16" s="5"/>
      <c r="D16" s="5"/>
      <c r="E16" s="5"/>
      <c r="F16" s="5"/>
      <c r="G16" s="5"/>
    </row>
    <row r="17" spans="1:7" ht="10.95" customHeight="1">
      <c r="A17" s="5"/>
      <c r="B17" s="5"/>
      <c r="C17" s="5"/>
      <c r="D17" s="5"/>
      <c r="E17" s="2477" t="s">
        <v>705</v>
      </c>
      <c r="F17" s="2477"/>
      <c r="G17" s="5"/>
    </row>
    <row r="18" spans="1:7" ht="10.95" customHeight="1">
      <c r="A18" s="5"/>
      <c r="B18" s="5"/>
      <c r="C18" s="5"/>
      <c r="D18" s="5"/>
      <c r="E18" s="5"/>
      <c r="F18" s="5"/>
      <c r="G18" s="5"/>
    </row>
    <row r="19" spans="1:7" ht="10.95" customHeight="1">
      <c r="A19" s="10" t="s">
        <v>706</v>
      </c>
      <c r="B19" s="2477" t="s">
        <v>707</v>
      </c>
      <c r="C19" s="2477"/>
      <c r="D19" s="2477"/>
      <c r="E19" s="2477"/>
      <c r="F19" s="2477"/>
      <c r="G19" s="5"/>
    </row>
    <row r="20" spans="1:7" ht="12" customHeight="1">
      <c r="A20" s="10" t="s">
        <v>708</v>
      </c>
      <c r="B20" s="2471" t="s">
        <v>876</v>
      </c>
      <c r="C20" s="2471"/>
      <c r="D20" s="2471"/>
      <c r="E20" s="2475" t="s">
        <v>710</v>
      </c>
      <c r="F20" s="2475"/>
      <c r="G20" s="5"/>
    </row>
    <row r="21" spans="1:7" ht="10.95" customHeight="1">
      <c r="A21" s="10" t="s">
        <v>711</v>
      </c>
      <c r="B21" s="2476" t="s">
        <v>712</v>
      </c>
      <c r="C21" s="2476"/>
      <c r="D21" s="2476"/>
      <c r="E21" s="2476"/>
      <c r="F21" s="2476"/>
      <c r="G21" s="5"/>
    </row>
    <row r="22" spans="1:7" ht="10.95" customHeight="1">
      <c r="A22" s="10"/>
      <c r="B22" s="27"/>
      <c r="C22" s="27"/>
      <c r="D22" s="27"/>
      <c r="E22" s="27"/>
      <c r="F22" s="27"/>
      <c r="G22" s="5"/>
    </row>
    <row r="23" spans="1:7" ht="10.95" customHeight="1">
      <c r="A23" s="55" t="s">
        <v>2145</v>
      </c>
      <c r="B23" s="27"/>
      <c r="C23" s="27"/>
      <c r="D23" s="27"/>
      <c r="E23" s="27"/>
      <c r="F23" s="27"/>
      <c r="G23" s="5"/>
    </row>
    <row r="24" spans="1:7" ht="10.95" customHeight="1">
      <c r="A24" s="51"/>
      <c r="B24" s="27"/>
      <c r="C24" s="27"/>
      <c r="D24" s="27"/>
      <c r="E24" s="27"/>
      <c r="F24" s="27"/>
      <c r="G24" s="5"/>
    </row>
    <row r="25" spans="1:7" ht="31.5" customHeight="1">
      <c r="A25" s="9" t="s">
        <v>1003</v>
      </c>
      <c r="B25" s="19" t="s">
        <v>1004</v>
      </c>
      <c r="C25" s="9" t="s">
        <v>1005</v>
      </c>
      <c r="D25" s="9" t="s">
        <v>1006</v>
      </c>
      <c r="E25" s="9" t="s">
        <v>1007</v>
      </c>
      <c r="F25" s="8" t="s">
        <v>669</v>
      </c>
      <c r="G25" s="8" t="s">
        <v>670</v>
      </c>
    </row>
    <row r="26" spans="1:7" ht="10.95" customHeight="1">
      <c r="A26" s="10" t="s">
        <v>671</v>
      </c>
      <c r="B26" s="10" t="s">
        <v>672</v>
      </c>
      <c r="C26" s="5"/>
      <c r="D26" s="5"/>
      <c r="E26" s="5"/>
      <c r="F26" s="5"/>
      <c r="G26" s="5"/>
    </row>
    <row r="27" spans="1:7" ht="13.65" customHeight="1">
      <c r="A27" s="5"/>
      <c r="B27" s="10" t="s">
        <v>673</v>
      </c>
      <c r="C27" s="10" t="s">
        <v>674</v>
      </c>
      <c r="D27" s="11" t="s">
        <v>675</v>
      </c>
      <c r="E27" s="3" t="s">
        <v>870</v>
      </c>
      <c r="F27" s="5"/>
      <c r="G27" s="5"/>
    </row>
    <row r="28" spans="1:7" ht="13.95" customHeight="1">
      <c r="A28" s="5"/>
      <c r="B28" s="10" t="s">
        <v>816</v>
      </c>
      <c r="C28" s="10" t="s">
        <v>678</v>
      </c>
      <c r="D28" s="11" t="s">
        <v>675</v>
      </c>
      <c r="E28" s="3" t="s">
        <v>679</v>
      </c>
      <c r="F28" s="5"/>
      <c r="G28" s="5"/>
    </row>
    <row r="29" spans="1:7" ht="13.65" customHeight="1">
      <c r="A29" s="5"/>
      <c r="B29" s="10" t="s">
        <v>680</v>
      </c>
      <c r="C29" s="10" t="s">
        <v>681</v>
      </c>
      <c r="D29" s="11" t="s">
        <v>675</v>
      </c>
      <c r="E29" s="3" t="s">
        <v>682</v>
      </c>
      <c r="F29" s="5"/>
      <c r="G29" s="5"/>
    </row>
    <row r="30" spans="1:7" ht="13.65" customHeight="1">
      <c r="A30" s="5"/>
      <c r="B30" s="10" t="s">
        <v>683</v>
      </c>
      <c r="C30" s="10" t="s">
        <v>684</v>
      </c>
      <c r="D30" s="11" t="s">
        <v>675</v>
      </c>
      <c r="E30" s="3" t="s">
        <v>851</v>
      </c>
      <c r="F30" s="5"/>
      <c r="G30" s="5"/>
    </row>
    <row r="31" spans="1:7" ht="12" customHeight="1">
      <c r="A31" s="5"/>
      <c r="B31" s="5"/>
      <c r="C31" s="5"/>
      <c r="D31" s="5"/>
      <c r="E31" s="2474" t="s">
        <v>685</v>
      </c>
      <c r="F31" s="2474"/>
      <c r="G31" s="5"/>
    </row>
    <row r="32" spans="1:7" ht="12" customHeight="1">
      <c r="A32" s="10" t="s">
        <v>686</v>
      </c>
      <c r="B32" s="10" t="s">
        <v>687</v>
      </c>
      <c r="C32" s="5"/>
      <c r="D32" s="5"/>
      <c r="E32" s="5"/>
      <c r="F32" s="5"/>
      <c r="G32" s="5"/>
    </row>
    <row r="33" spans="1:7" ht="13.95" customHeight="1">
      <c r="A33" s="5"/>
      <c r="B33" s="10" t="s">
        <v>742</v>
      </c>
      <c r="C33" s="5"/>
      <c r="D33" s="11" t="s">
        <v>692</v>
      </c>
      <c r="E33" s="3" t="s">
        <v>1013</v>
      </c>
      <c r="F33" s="5"/>
      <c r="G33" s="5"/>
    </row>
    <row r="34" spans="1:7" ht="13.65" customHeight="1">
      <c r="A34" s="5"/>
      <c r="B34" s="10" t="s">
        <v>818</v>
      </c>
      <c r="C34" s="5"/>
      <c r="D34" s="11" t="s">
        <v>690</v>
      </c>
      <c r="E34" s="3" t="s">
        <v>1019</v>
      </c>
      <c r="F34" s="5"/>
      <c r="G34" s="5"/>
    </row>
    <row r="35" spans="1:7" ht="13.95" customHeight="1">
      <c r="A35" s="5"/>
      <c r="B35" s="10" t="s">
        <v>808</v>
      </c>
      <c r="C35" s="5"/>
      <c r="D35" s="11" t="s">
        <v>692</v>
      </c>
      <c r="E35" s="3" t="s">
        <v>1020</v>
      </c>
      <c r="F35" s="5"/>
      <c r="G35" s="5"/>
    </row>
    <row r="36" spans="1:7" ht="10.95" customHeight="1">
      <c r="A36" s="5"/>
      <c r="B36" s="5"/>
      <c r="C36" s="5"/>
      <c r="D36" s="5"/>
      <c r="E36" s="2477" t="s">
        <v>702</v>
      </c>
      <c r="F36" s="2477"/>
      <c r="G36" s="5"/>
    </row>
    <row r="37" spans="1:7" ht="10.95" customHeight="1">
      <c r="A37" s="10" t="s">
        <v>703</v>
      </c>
      <c r="B37" s="10" t="s">
        <v>704</v>
      </c>
      <c r="C37" s="5"/>
      <c r="D37" s="5"/>
      <c r="E37" s="5"/>
      <c r="F37" s="5"/>
      <c r="G37" s="5"/>
    </row>
    <row r="38" spans="1:7" ht="10.95" customHeight="1">
      <c r="A38" s="5"/>
      <c r="B38" s="5"/>
      <c r="C38" s="5"/>
      <c r="D38" s="5"/>
      <c r="E38" s="5"/>
      <c r="F38" s="5"/>
      <c r="G38" s="5"/>
    </row>
    <row r="39" spans="1:7" ht="10.95" customHeight="1">
      <c r="A39" s="5"/>
      <c r="B39" s="5"/>
      <c r="C39" s="5"/>
      <c r="D39" s="5"/>
      <c r="E39" s="2477" t="s">
        <v>705</v>
      </c>
      <c r="F39" s="2477"/>
      <c r="G39" s="5"/>
    </row>
    <row r="40" spans="1:7" ht="10.95" customHeight="1">
      <c r="A40" s="5"/>
      <c r="B40" s="5"/>
      <c r="C40" s="5"/>
      <c r="D40" s="5"/>
      <c r="E40" s="5"/>
      <c r="F40" s="5"/>
      <c r="G40" s="5"/>
    </row>
    <row r="41" spans="1:7" ht="10.95" customHeight="1">
      <c r="A41" s="10" t="s">
        <v>706</v>
      </c>
      <c r="B41" s="2477" t="s">
        <v>707</v>
      </c>
      <c r="C41" s="2477"/>
      <c r="D41" s="2477"/>
      <c r="E41" s="2477"/>
      <c r="F41" s="2477"/>
      <c r="G41" s="5"/>
    </row>
    <row r="42" spans="1:7" ht="12" customHeight="1">
      <c r="A42" s="10" t="s">
        <v>708</v>
      </c>
      <c r="B42" s="2471" t="s">
        <v>876</v>
      </c>
      <c r="C42" s="2471"/>
      <c r="D42" s="2471"/>
      <c r="E42" s="2475" t="s">
        <v>710</v>
      </c>
      <c r="F42" s="2475"/>
      <c r="G42" s="5"/>
    </row>
    <row r="43" spans="1:7" ht="10.95" customHeight="1">
      <c r="A43" s="10" t="s">
        <v>711</v>
      </c>
      <c r="B43" s="2476" t="s">
        <v>712</v>
      </c>
      <c r="C43" s="2476"/>
      <c r="D43" s="2476"/>
      <c r="E43" s="2476"/>
      <c r="F43" s="2476"/>
      <c r="G43" s="5"/>
    </row>
  </sheetData>
  <mergeCells count="14">
    <mergeCell ref="E9:F9"/>
    <mergeCell ref="E14:F14"/>
    <mergeCell ref="E17:F17"/>
    <mergeCell ref="B19:F19"/>
    <mergeCell ref="B20:D20"/>
    <mergeCell ref="E20:F20"/>
    <mergeCell ref="B42:D42"/>
    <mergeCell ref="E42:F42"/>
    <mergeCell ref="B43:F43"/>
    <mergeCell ref="B21:F21"/>
    <mergeCell ref="E31:F31"/>
    <mergeCell ref="E36:F36"/>
    <mergeCell ref="E39:F39"/>
    <mergeCell ref="B41:F41"/>
  </mergeCells>
  <pageMargins left="0.7" right="0.7" top="0.75" bottom="0.75" header="0.3" footer="0.3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sheetPr codeName="Sheet192"/>
  <dimension ref="A1:G37"/>
  <sheetViews>
    <sheetView workbookViewId="0">
      <selection activeCell="G37" sqref="A1:G37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2503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1749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1750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1751</v>
      </c>
      <c r="F7" s="5"/>
      <c r="G7" s="5"/>
    </row>
    <row r="8" spans="1:7" ht="12" customHeight="1">
      <c r="A8" s="5"/>
      <c r="B8" s="2474" t="s">
        <v>685</v>
      </c>
      <c r="C8" s="2474"/>
      <c r="D8" s="2474"/>
      <c r="E8" s="2474"/>
      <c r="F8" s="2474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65" customHeight="1">
      <c r="A10" s="5"/>
      <c r="B10" s="3" t="s">
        <v>1752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2484" t="s">
        <v>702</v>
      </c>
      <c r="B11" s="2484"/>
      <c r="C11" s="2484"/>
      <c r="D11" s="2484"/>
      <c r="E11" s="2484"/>
      <c r="F11" s="2484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" customHeight="1">
      <c r="A13" s="5"/>
      <c r="B13" s="2" t="s">
        <v>1664</v>
      </c>
      <c r="C13" s="5"/>
      <c r="D13" s="12" t="s">
        <v>1665</v>
      </c>
      <c r="E13" s="3" t="s">
        <v>916</v>
      </c>
      <c r="F13" s="5"/>
      <c r="G13" s="5"/>
    </row>
    <row r="14" spans="1:7" ht="23.4" customHeight="1">
      <c r="A14" s="5"/>
      <c r="B14" s="2" t="s">
        <v>1666</v>
      </c>
      <c r="C14" s="5"/>
      <c r="D14" s="12" t="s">
        <v>1665</v>
      </c>
      <c r="E14" s="3" t="s">
        <v>740</v>
      </c>
      <c r="F14" s="5"/>
      <c r="G14" s="5"/>
    </row>
    <row r="15" spans="1:7" ht="12" customHeight="1">
      <c r="A15" s="2490" t="s">
        <v>705</v>
      </c>
      <c r="B15" s="2490"/>
      <c r="C15" s="2490"/>
      <c r="D15" s="2490"/>
      <c r="E15" s="2490"/>
      <c r="F15" s="2490"/>
      <c r="G15" s="5"/>
    </row>
    <row r="16" spans="1:7" ht="12" customHeight="1">
      <c r="A16" s="12" t="s">
        <v>706</v>
      </c>
      <c r="B16" s="2491" t="s">
        <v>707</v>
      </c>
      <c r="C16" s="2491"/>
      <c r="D16" s="2491"/>
      <c r="E16" s="2491"/>
      <c r="F16" s="2491"/>
      <c r="G16" s="5"/>
    </row>
    <row r="17" spans="1:7" ht="12" customHeight="1">
      <c r="A17" s="12" t="s">
        <v>708</v>
      </c>
      <c r="B17" s="2471" t="s">
        <v>709</v>
      </c>
      <c r="C17" s="2471"/>
      <c r="D17" s="2471"/>
      <c r="E17" s="2472" t="s">
        <v>710</v>
      </c>
      <c r="F17" s="2472"/>
      <c r="G17" s="5"/>
    </row>
    <row r="18" spans="1:7" ht="12" customHeight="1">
      <c r="A18" s="12" t="s">
        <v>711</v>
      </c>
      <c r="B18" s="2473" t="s">
        <v>712</v>
      </c>
      <c r="C18" s="2473"/>
      <c r="D18" s="2473"/>
      <c r="E18" s="2473"/>
      <c r="F18" s="2473"/>
      <c r="G18" s="5"/>
    </row>
    <row r="19" spans="1:7" ht="12" customHeight="1">
      <c r="A19" s="12"/>
      <c r="B19" s="26"/>
      <c r="C19" s="26"/>
      <c r="D19" s="26"/>
      <c r="E19" s="26"/>
      <c r="F19" s="26"/>
      <c r="G19" s="5"/>
    </row>
    <row r="20" spans="1:7" ht="12" customHeight="1">
      <c r="A20" s="50" t="s">
        <v>2504</v>
      </c>
      <c r="B20" s="26"/>
      <c r="C20" s="26"/>
      <c r="D20" s="26"/>
      <c r="E20" s="26"/>
      <c r="F20" s="26"/>
      <c r="G20" s="5"/>
    </row>
    <row r="21" spans="1:7" ht="12" customHeight="1">
      <c r="A21" s="12"/>
      <c r="B21" s="26"/>
      <c r="C21" s="26"/>
      <c r="D21" s="26"/>
      <c r="E21" s="26"/>
      <c r="F21" s="26"/>
      <c r="G21" s="5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1753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1754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1755</v>
      </c>
      <c r="F26" s="5"/>
      <c r="G26" s="5"/>
    </row>
    <row r="27" spans="1:7" ht="12" customHeight="1">
      <c r="A27" s="5"/>
      <c r="B27" s="2474" t="s">
        <v>685</v>
      </c>
      <c r="C27" s="2474"/>
      <c r="D27" s="2474"/>
      <c r="E27" s="2474"/>
      <c r="F27" s="2474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65" customHeight="1">
      <c r="A29" s="5"/>
      <c r="B29" s="3" t="s">
        <v>1756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2484" t="s">
        <v>702</v>
      </c>
      <c r="B30" s="2484"/>
      <c r="C30" s="2484"/>
      <c r="D30" s="2484"/>
      <c r="E30" s="2484"/>
      <c r="F30" s="2484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" customHeight="1">
      <c r="A32" s="5"/>
      <c r="B32" s="2" t="s">
        <v>1664</v>
      </c>
      <c r="C32" s="5"/>
      <c r="D32" s="12" t="s">
        <v>1665</v>
      </c>
      <c r="E32" s="2" t="s">
        <v>1757</v>
      </c>
      <c r="F32" s="5"/>
      <c r="G32" s="5"/>
    </row>
    <row r="33" spans="1:7" ht="23.4" customHeight="1">
      <c r="A33" s="5"/>
      <c r="B33" s="2" t="s">
        <v>1666</v>
      </c>
      <c r="C33" s="5"/>
      <c r="D33" s="12" t="s">
        <v>1665</v>
      </c>
      <c r="E33" s="3" t="s">
        <v>987</v>
      </c>
      <c r="F33" s="5"/>
      <c r="G33" s="5"/>
    </row>
    <row r="34" spans="1:7" ht="12" customHeight="1">
      <c r="A34" s="2490" t="s">
        <v>705</v>
      </c>
      <c r="B34" s="2490"/>
      <c r="C34" s="2490"/>
      <c r="D34" s="2490"/>
      <c r="E34" s="2490"/>
      <c r="F34" s="2490"/>
      <c r="G34" s="5"/>
    </row>
    <row r="35" spans="1:7" ht="12" customHeight="1">
      <c r="A35" s="12" t="s">
        <v>706</v>
      </c>
      <c r="B35" s="2491" t="s">
        <v>707</v>
      </c>
      <c r="C35" s="2491"/>
      <c r="D35" s="2491"/>
      <c r="E35" s="2491"/>
      <c r="F35" s="2491"/>
      <c r="G35" s="5"/>
    </row>
    <row r="36" spans="1:7" ht="12" customHeight="1">
      <c r="A36" s="12" t="s">
        <v>708</v>
      </c>
      <c r="B36" s="2471" t="s">
        <v>709</v>
      </c>
      <c r="C36" s="2471"/>
      <c r="D36" s="2471"/>
      <c r="E36" s="2472" t="s">
        <v>710</v>
      </c>
      <c r="F36" s="2472"/>
      <c r="G36" s="5"/>
    </row>
    <row r="37" spans="1:7" ht="12" customHeight="1">
      <c r="A37" s="12" t="s">
        <v>711</v>
      </c>
      <c r="B37" s="2473" t="s">
        <v>712</v>
      </c>
      <c r="C37" s="2473"/>
      <c r="D37" s="2473"/>
      <c r="E37" s="2473"/>
      <c r="F37" s="2473"/>
      <c r="G37" s="5"/>
    </row>
  </sheetData>
  <mergeCells count="14">
    <mergeCell ref="B8:F8"/>
    <mergeCell ref="A11:F11"/>
    <mergeCell ref="A15:F15"/>
    <mergeCell ref="B16:F16"/>
    <mergeCell ref="B17:D17"/>
    <mergeCell ref="E17:F17"/>
    <mergeCell ref="B36:D36"/>
    <mergeCell ref="E36:F36"/>
    <mergeCell ref="B37:F37"/>
    <mergeCell ref="B18:F18"/>
    <mergeCell ref="B27:F27"/>
    <mergeCell ref="A30:F30"/>
    <mergeCell ref="A34:F34"/>
    <mergeCell ref="B35:F35"/>
  </mergeCells>
  <pageMargins left="0.7" right="0.7" top="0.75" bottom="0.75" header="0.3" footer="0.3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sheetPr codeName="Sheet193">
    <tabColor rgb="FFFF0000"/>
  </sheetPr>
  <dimension ref="A1:G39"/>
  <sheetViews>
    <sheetView workbookViewId="0">
      <selection activeCell="G39" sqref="A1:G39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62" t="s">
        <v>2505</v>
      </c>
    </row>
    <row r="2" spans="1:7">
      <c r="A2" s="54"/>
    </row>
    <row r="3" spans="1:7">
      <c r="A3" s="55" t="s">
        <v>2506</v>
      </c>
    </row>
    <row r="4" spans="1:7">
      <c r="A4" s="55"/>
    </row>
    <row r="5" spans="1:7" ht="35.1" customHeight="1">
      <c r="A5" s="6" t="s">
        <v>762</v>
      </c>
      <c r="B5" s="6" t="s">
        <v>763</v>
      </c>
      <c r="C5" s="6" t="s">
        <v>764</v>
      </c>
      <c r="D5" s="6" t="s">
        <v>765</v>
      </c>
      <c r="E5" s="6" t="s">
        <v>766</v>
      </c>
      <c r="F5" s="7" t="s">
        <v>767</v>
      </c>
      <c r="G5" s="7" t="s">
        <v>768</v>
      </c>
    </row>
    <row r="6" spans="1:7" ht="12" customHeight="1">
      <c r="A6" s="12" t="s">
        <v>671</v>
      </c>
      <c r="B6" s="3" t="s">
        <v>672</v>
      </c>
      <c r="C6" s="5"/>
      <c r="D6" s="5"/>
      <c r="E6" s="5"/>
      <c r="F6" s="5"/>
      <c r="G6" s="5"/>
    </row>
    <row r="7" spans="1:7" ht="12" customHeight="1">
      <c r="A7" s="5"/>
      <c r="B7" s="3" t="s">
        <v>673</v>
      </c>
      <c r="C7" s="3" t="s">
        <v>674</v>
      </c>
      <c r="D7" s="12" t="s">
        <v>675</v>
      </c>
      <c r="E7" s="3" t="s">
        <v>693</v>
      </c>
      <c r="F7" s="5"/>
      <c r="G7" s="5"/>
    </row>
    <row r="8" spans="1:7" ht="12" customHeight="1">
      <c r="A8" s="5"/>
      <c r="B8" s="3" t="s">
        <v>1480</v>
      </c>
      <c r="C8" s="3" t="s">
        <v>678</v>
      </c>
      <c r="D8" s="12" t="s">
        <v>675</v>
      </c>
      <c r="E8" s="3" t="s">
        <v>784</v>
      </c>
      <c r="F8" s="5"/>
      <c r="G8" s="5"/>
    </row>
    <row r="9" spans="1:7" ht="12" customHeight="1">
      <c r="A9" s="5"/>
      <c r="B9" s="3" t="s">
        <v>683</v>
      </c>
      <c r="C9" s="3" t="s">
        <v>684</v>
      </c>
      <c r="D9" s="12" t="s">
        <v>675</v>
      </c>
      <c r="E9" s="3" t="s">
        <v>1339</v>
      </c>
      <c r="F9" s="5"/>
      <c r="G9" s="5"/>
    </row>
    <row r="10" spans="1:7" ht="12" customHeight="1">
      <c r="A10" s="5"/>
      <c r="B10" s="5"/>
      <c r="C10" s="5"/>
      <c r="D10" s="5"/>
      <c r="E10" s="2474" t="s">
        <v>685</v>
      </c>
      <c r="F10" s="2474"/>
      <c r="G10" s="5"/>
    </row>
    <row r="11" spans="1:7" ht="12" customHeight="1">
      <c r="A11" s="12" t="s">
        <v>686</v>
      </c>
      <c r="B11" s="3" t="s">
        <v>687</v>
      </c>
      <c r="C11" s="5"/>
      <c r="D11" s="5"/>
      <c r="E11" s="5"/>
      <c r="F11" s="5"/>
      <c r="G11" s="5"/>
    </row>
    <row r="12" spans="1:7" ht="13.65" customHeight="1">
      <c r="A12" s="5"/>
      <c r="B12" s="3" t="s">
        <v>1481</v>
      </c>
      <c r="C12" s="5"/>
      <c r="D12" s="12" t="s">
        <v>1423</v>
      </c>
      <c r="E12" s="12">
        <v>1</v>
      </c>
      <c r="F12" s="5"/>
      <c r="G12" s="5"/>
    </row>
    <row r="13" spans="1:7" ht="12" customHeight="1">
      <c r="A13" s="5"/>
      <c r="B13" s="5"/>
      <c r="C13" s="5"/>
      <c r="D13" s="5"/>
      <c r="E13" s="2474" t="s">
        <v>702</v>
      </c>
      <c r="F13" s="2474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35.1" customHeight="1">
      <c r="A15" s="5"/>
      <c r="B15" s="2" t="s">
        <v>1758</v>
      </c>
      <c r="C15" s="5"/>
      <c r="D15" s="2" t="s">
        <v>1483</v>
      </c>
      <c r="E15" s="2" t="s">
        <v>1759</v>
      </c>
      <c r="F15" s="5"/>
      <c r="G15" s="5"/>
    </row>
    <row r="16" spans="1:7" ht="12" customHeight="1">
      <c r="A16" s="5"/>
      <c r="B16" s="5"/>
      <c r="C16" s="5"/>
      <c r="D16" s="5"/>
      <c r="E16" s="2474" t="s">
        <v>705</v>
      </c>
      <c r="F16" s="2474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12" t="s">
        <v>706</v>
      </c>
      <c r="B18" s="2474" t="s">
        <v>707</v>
      </c>
      <c r="C18" s="2474"/>
      <c r="D18" s="2474"/>
      <c r="E18" s="2474"/>
      <c r="F18" s="2474"/>
      <c r="G18" s="5"/>
    </row>
    <row r="19" spans="1:7" ht="12" customHeight="1">
      <c r="A19" s="12" t="s">
        <v>708</v>
      </c>
      <c r="B19" s="2471" t="s">
        <v>709</v>
      </c>
      <c r="C19" s="2471"/>
      <c r="D19" s="2471"/>
      <c r="E19" s="2472" t="s">
        <v>710</v>
      </c>
      <c r="F19" s="2472"/>
      <c r="G19" s="5"/>
    </row>
    <row r="20" spans="1:7" ht="12" customHeight="1">
      <c r="A20" s="12" t="s">
        <v>711</v>
      </c>
      <c r="B20" s="2473" t="s">
        <v>712</v>
      </c>
      <c r="C20" s="2473"/>
      <c r="D20" s="2473"/>
      <c r="E20" s="2473"/>
      <c r="F20" s="2473"/>
      <c r="G20" s="5"/>
    </row>
    <row r="21" spans="1:7" ht="12" customHeight="1">
      <c r="A21" s="12"/>
      <c r="B21" s="26"/>
      <c r="C21" s="26"/>
      <c r="D21" s="26"/>
      <c r="E21" s="26"/>
      <c r="F21" s="26"/>
      <c r="G21" s="5"/>
    </row>
    <row r="22" spans="1:7" ht="12" customHeight="1">
      <c r="A22" s="50" t="s">
        <v>2507</v>
      </c>
      <c r="B22" s="26"/>
      <c r="C22" s="26"/>
      <c r="D22" s="26"/>
      <c r="E22" s="26"/>
      <c r="F22" s="26"/>
      <c r="G22" s="5"/>
    </row>
    <row r="23" spans="1:7" ht="12" customHeight="1">
      <c r="A23" s="12"/>
      <c r="B23" s="26"/>
      <c r="C23" s="26"/>
      <c r="D23" s="26"/>
      <c r="E23" s="26"/>
      <c r="F23" s="26"/>
      <c r="G23" s="5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1034</v>
      </c>
      <c r="F26" s="5"/>
      <c r="G26" s="5"/>
    </row>
    <row r="27" spans="1:7" ht="12" customHeight="1">
      <c r="A27" s="5"/>
      <c r="B27" s="3" t="s">
        <v>1480</v>
      </c>
      <c r="C27" s="3" t="s">
        <v>678</v>
      </c>
      <c r="D27" s="12" t="s">
        <v>675</v>
      </c>
      <c r="E27" s="3" t="s">
        <v>730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2" t="s">
        <v>675</v>
      </c>
      <c r="E28" s="3" t="s">
        <v>856</v>
      </c>
      <c r="F28" s="5"/>
      <c r="G28" s="5"/>
    </row>
    <row r="29" spans="1:7" ht="12" customHeight="1">
      <c r="A29" s="5"/>
      <c r="B29" s="5"/>
      <c r="C29" s="5"/>
      <c r="D29" s="5"/>
      <c r="E29" s="2474" t="s">
        <v>685</v>
      </c>
      <c r="F29" s="2474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65" customHeight="1">
      <c r="A31" s="5"/>
      <c r="B31" s="3" t="s">
        <v>1487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2474" t="s">
        <v>702</v>
      </c>
      <c r="F32" s="2474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1760</v>
      </c>
      <c r="C34" s="5"/>
      <c r="D34" s="2" t="s">
        <v>1483</v>
      </c>
      <c r="E34" s="2" t="s">
        <v>1759</v>
      </c>
      <c r="F34" s="5"/>
      <c r="G34" s="5"/>
    </row>
    <row r="35" spans="1:7" ht="12" customHeight="1">
      <c r="A35" s="5"/>
      <c r="B35" s="5"/>
      <c r="C35" s="5"/>
      <c r="D35" s="5"/>
      <c r="E35" s="2474" t="s">
        <v>705</v>
      </c>
      <c r="F35" s="2474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2474" t="s">
        <v>707</v>
      </c>
      <c r="C37" s="2474"/>
      <c r="D37" s="2474"/>
      <c r="E37" s="2474"/>
      <c r="F37" s="2474"/>
      <c r="G37" s="5"/>
    </row>
    <row r="38" spans="1:7" ht="12" customHeight="1">
      <c r="A38" s="12" t="s">
        <v>708</v>
      </c>
      <c r="B38" s="2471" t="s">
        <v>709</v>
      </c>
      <c r="C38" s="2471"/>
      <c r="D38" s="2471"/>
      <c r="E38" s="2472" t="s">
        <v>710</v>
      </c>
      <c r="F38" s="2472"/>
      <c r="G38" s="5"/>
    </row>
    <row r="39" spans="1:7" ht="12" customHeight="1">
      <c r="A39" s="12" t="s">
        <v>711</v>
      </c>
      <c r="B39" s="2473" t="s">
        <v>712</v>
      </c>
      <c r="C39" s="2473"/>
      <c r="D39" s="2473"/>
      <c r="E39" s="2473"/>
      <c r="F39" s="2473"/>
      <c r="G39" s="5"/>
    </row>
  </sheetData>
  <mergeCells count="14">
    <mergeCell ref="E10:F10"/>
    <mergeCell ref="E13:F13"/>
    <mergeCell ref="E16:F16"/>
    <mergeCell ref="B18:F18"/>
    <mergeCell ref="B19:D19"/>
    <mergeCell ref="E19:F19"/>
    <mergeCell ref="B38:D38"/>
    <mergeCell ref="E38:F38"/>
    <mergeCell ref="B39:F39"/>
    <mergeCell ref="B20:F20"/>
    <mergeCell ref="E29:F29"/>
    <mergeCell ref="E32:F32"/>
    <mergeCell ref="E35:F35"/>
    <mergeCell ref="B37:F37"/>
  </mergeCells>
  <pageMargins left="0.7" right="0.7" top="0.75" bottom="0.75" header="0.3" footer="0.3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sheetPr codeName="Sheet194"/>
  <dimension ref="A1:G37"/>
  <sheetViews>
    <sheetView topLeftCell="A25" workbookViewId="0">
      <selection sqref="A1:G37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2508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895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942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784</v>
      </c>
      <c r="F7" s="5"/>
      <c r="G7" s="5"/>
    </row>
    <row r="8" spans="1:7" ht="12" customHeight="1">
      <c r="A8" s="5"/>
      <c r="B8" s="5"/>
      <c r="C8" s="5"/>
      <c r="D8" s="5"/>
      <c r="E8" s="2474" t="s">
        <v>685</v>
      </c>
      <c r="F8" s="2474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65" customHeight="1">
      <c r="A10" s="5"/>
      <c r="B10" s="3" t="s">
        <v>1489</v>
      </c>
      <c r="C10" s="5"/>
      <c r="D10" s="12" t="s">
        <v>1423</v>
      </c>
      <c r="E10" s="12">
        <v>1</v>
      </c>
      <c r="F10" s="5"/>
      <c r="G10" s="5"/>
    </row>
    <row r="11" spans="1:7" ht="12" customHeight="1">
      <c r="A11" s="5"/>
      <c r="B11" s="5"/>
      <c r="C11" s="5"/>
      <c r="D11" s="5"/>
      <c r="E11" s="2474" t="s">
        <v>702</v>
      </c>
      <c r="F11" s="2474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35.1" customHeight="1">
      <c r="A13" s="5"/>
      <c r="B13" s="2" t="s">
        <v>1760</v>
      </c>
      <c r="C13" s="5"/>
      <c r="D13" s="2" t="s">
        <v>1483</v>
      </c>
      <c r="E13" s="2" t="s">
        <v>1759</v>
      </c>
      <c r="F13" s="5"/>
      <c r="G13" s="5"/>
    </row>
    <row r="14" spans="1:7" ht="12" customHeight="1">
      <c r="A14" s="5"/>
      <c r="B14" s="5"/>
      <c r="C14" s="5"/>
      <c r="D14" s="5"/>
      <c r="E14" s="2474" t="s">
        <v>705</v>
      </c>
      <c r="F14" s="2474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2474" t="s">
        <v>707</v>
      </c>
      <c r="C16" s="2474"/>
      <c r="D16" s="2474"/>
      <c r="E16" s="2474"/>
      <c r="F16" s="2474"/>
      <c r="G16" s="5"/>
    </row>
    <row r="17" spans="1:7" ht="12" customHeight="1">
      <c r="A17" s="12" t="s">
        <v>708</v>
      </c>
      <c r="B17" s="2471" t="s">
        <v>709</v>
      </c>
      <c r="C17" s="2471"/>
      <c r="D17" s="2471"/>
      <c r="E17" s="2472" t="s">
        <v>710</v>
      </c>
      <c r="F17" s="2472"/>
      <c r="G17" s="5"/>
    </row>
    <row r="18" spans="1:7" ht="12" customHeight="1">
      <c r="A18" s="12" t="s">
        <v>711</v>
      </c>
      <c r="B18" s="2473" t="s">
        <v>712</v>
      </c>
      <c r="C18" s="2473"/>
      <c r="D18" s="2473"/>
      <c r="E18" s="2473"/>
      <c r="F18" s="2473"/>
      <c r="G18" s="5"/>
    </row>
    <row r="19" spans="1:7" ht="12" customHeight="1">
      <c r="A19" s="12"/>
      <c r="B19" s="26"/>
      <c r="C19" s="26"/>
      <c r="D19" s="26"/>
      <c r="E19" s="26"/>
      <c r="F19" s="26"/>
      <c r="G19" s="5"/>
    </row>
    <row r="20" spans="1:7" ht="12" customHeight="1">
      <c r="A20" s="50" t="s">
        <v>2509</v>
      </c>
      <c r="B20" s="26"/>
      <c r="C20" s="26"/>
      <c r="D20" s="26"/>
      <c r="E20" s="26"/>
      <c r="F20" s="26"/>
      <c r="G20" s="5"/>
    </row>
    <row r="21" spans="1:7" ht="12" customHeight="1">
      <c r="A21" s="12"/>
      <c r="B21" s="26"/>
      <c r="C21" s="26"/>
      <c r="D21" s="26"/>
      <c r="E21" s="26"/>
      <c r="F21" s="26"/>
      <c r="G21" s="5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1080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811</v>
      </c>
      <c r="F25" s="5"/>
      <c r="G25" s="5"/>
    </row>
    <row r="26" spans="1:7" ht="11.85" customHeight="1">
      <c r="A26" s="5"/>
      <c r="B26" s="3" t="s">
        <v>683</v>
      </c>
      <c r="C26" s="3" t="s">
        <v>684</v>
      </c>
      <c r="D26" s="12" t="s">
        <v>675</v>
      </c>
      <c r="E26" s="3" t="s">
        <v>852</v>
      </c>
      <c r="F26" s="5"/>
      <c r="G26" s="5"/>
    </row>
    <row r="27" spans="1:7" ht="12" customHeight="1">
      <c r="A27" s="5"/>
      <c r="B27" s="5"/>
      <c r="C27" s="5"/>
      <c r="D27" s="5"/>
      <c r="E27" s="2474" t="s">
        <v>685</v>
      </c>
      <c r="F27" s="2474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95" customHeight="1">
      <c r="A29" s="5"/>
      <c r="B29" s="3" t="s">
        <v>1493</v>
      </c>
      <c r="C29" s="5"/>
      <c r="D29" s="12" t="s">
        <v>1423</v>
      </c>
      <c r="E29" s="12">
        <v>1</v>
      </c>
      <c r="F29" s="5"/>
      <c r="G29" s="5"/>
    </row>
    <row r="30" spans="1:7" ht="12" customHeight="1">
      <c r="A30" s="5"/>
      <c r="B30" s="5"/>
      <c r="C30" s="5"/>
      <c r="D30" s="5"/>
      <c r="E30" s="2474" t="s">
        <v>702</v>
      </c>
      <c r="F30" s="2474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34.950000000000003" customHeight="1">
      <c r="A32" s="5"/>
      <c r="B32" s="2" t="s">
        <v>1760</v>
      </c>
      <c r="C32" s="5"/>
      <c r="D32" s="2" t="s">
        <v>1483</v>
      </c>
      <c r="E32" s="2" t="s">
        <v>1759</v>
      </c>
      <c r="F32" s="5"/>
      <c r="G32" s="5"/>
    </row>
    <row r="33" spans="1:7" ht="12" customHeight="1">
      <c r="A33" s="5"/>
      <c r="B33" s="5"/>
      <c r="C33" s="5"/>
      <c r="D33" s="5"/>
      <c r="E33" s="2474" t="s">
        <v>705</v>
      </c>
      <c r="F33" s="2474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2474" t="s">
        <v>707</v>
      </c>
      <c r="C35" s="2474"/>
      <c r="D35" s="2474"/>
      <c r="E35" s="2474"/>
      <c r="F35" s="2474"/>
      <c r="G35" s="5"/>
    </row>
    <row r="36" spans="1:7" ht="12" customHeight="1">
      <c r="A36" s="12" t="s">
        <v>708</v>
      </c>
      <c r="B36" s="2471" t="s">
        <v>709</v>
      </c>
      <c r="C36" s="2471"/>
      <c r="D36" s="2471"/>
      <c r="E36" s="2472" t="s">
        <v>710</v>
      </c>
      <c r="F36" s="2472"/>
      <c r="G36" s="5"/>
    </row>
    <row r="37" spans="1:7" ht="12.15" customHeight="1">
      <c r="A37" s="12" t="s">
        <v>711</v>
      </c>
      <c r="B37" s="2473" t="s">
        <v>712</v>
      </c>
      <c r="C37" s="2473"/>
      <c r="D37" s="2473"/>
      <c r="E37" s="2473"/>
      <c r="F37" s="2473"/>
      <c r="G37" s="5"/>
    </row>
  </sheetData>
  <mergeCells count="14">
    <mergeCell ref="E8:F8"/>
    <mergeCell ref="E11:F11"/>
    <mergeCell ref="E14:F14"/>
    <mergeCell ref="B16:F16"/>
    <mergeCell ref="B17:D17"/>
    <mergeCell ref="E17:F17"/>
    <mergeCell ref="B36:D36"/>
    <mergeCell ref="E36:F36"/>
    <mergeCell ref="B37:F37"/>
    <mergeCell ref="B18:F18"/>
    <mergeCell ref="E27:F27"/>
    <mergeCell ref="E30:F30"/>
    <mergeCell ref="E33:F33"/>
    <mergeCell ref="B35:F35"/>
  </mergeCells>
  <pageMargins left="0.7" right="0.7" top="0.75" bottom="0.75" header="0.3" footer="0.3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sheetPr codeName="Sheet195"/>
  <dimension ref="A1:G37"/>
  <sheetViews>
    <sheetView workbookViewId="0">
      <selection activeCell="G37" sqref="A1:G37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2510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1468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805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868</v>
      </c>
      <c r="F7" s="5"/>
      <c r="G7" s="5"/>
    </row>
    <row r="8" spans="1:7" ht="12" customHeight="1">
      <c r="A8" s="5"/>
      <c r="B8" s="5"/>
      <c r="C8" s="5"/>
      <c r="D8" s="5"/>
      <c r="E8" s="2474" t="s">
        <v>685</v>
      </c>
      <c r="F8" s="2474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65" customHeight="1">
      <c r="A10" s="5"/>
      <c r="B10" s="3" t="s">
        <v>1497</v>
      </c>
      <c r="C10" s="5"/>
      <c r="D10" s="12" t="s">
        <v>1423</v>
      </c>
      <c r="E10" s="12">
        <v>1</v>
      </c>
      <c r="F10" s="5"/>
      <c r="G10" s="5"/>
    </row>
    <row r="11" spans="1:7" ht="12" customHeight="1">
      <c r="A11" s="5"/>
      <c r="B11" s="5"/>
      <c r="C11" s="5"/>
      <c r="D11" s="5"/>
      <c r="E11" s="2474" t="s">
        <v>702</v>
      </c>
      <c r="F11" s="2474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35.1" customHeight="1">
      <c r="A13" s="5"/>
      <c r="B13" s="2" t="s">
        <v>1760</v>
      </c>
      <c r="C13" s="5"/>
      <c r="D13" s="2" t="s">
        <v>1483</v>
      </c>
      <c r="E13" s="2" t="s">
        <v>1761</v>
      </c>
      <c r="F13" s="5"/>
      <c r="G13" s="5"/>
    </row>
    <row r="14" spans="1:7" ht="12" customHeight="1">
      <c r="A14" s="5"/>
      <c r="B14" s="5"/>
      <c r="C14" s="5"/>
      <c r="D14" s="5"/>
      <c r="E14" s="2474" t="s">
        <v>705</v>
      </c>
      <c r="F14" s="2474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2474" t="s">
        <v>707</v>
      </c>
      <c r="C16" s="2474"/>
      <c r="D16" s="2474"/>
      <c r="E16" s="2474"/>
      <c r="F16" s="2474"/>
      <c r="G16" s="5"/>
    </row>
    <row r="17" spans="1:7" ht="12" customHeight="1">
      <c r="A17" s="12" t="s">
        <v>708</v>
      </c>
      <c r="B17" s="2471" t="s">
        <v>709</v>
      </c>
      <c r="C17" s="2471"/>
      <c r="D17" s="2471"/>
      <c r="E17" s="2472" t="s">
        <v>710</v>
      </c>
      <c r="F17" s="2472"/>
      <c r="G17" s="5"/>
    </row>
    <row r="18" spans="1:7" ht="12" customHeight="1">
      <c r="A18" s="12" t="s">
        <v>711</v>
      </c>
      <c r="B18" s="2473" t="s">
        <v>712</v>
      </c>
      <c r="C18" s="2473"/>
      <c r="D18" s="2473"/>
      <c r="E18" s="2473"/>
      <c r="F18" s="2473"/>
      <c r="G18" s="5"/>
    </row>
    <row r="19" spans="1:7" ht="12" customHeight="1">
      <c r="A19" s="12"/>
      <c r="B19" s="26"/>
      <c r="C19" s="26"/>
      <c r="D19" s="26"/>
      <c r="E19" s="26"/>
      <c r="F19" s="26"/>
      <c r="G19" s="5"/>
    </row>
    <row r="20" spans="1:7" ht="12" customHeight="1">
      <c r="A20" s="50" t="s">
        <v>2511</v>
      </c>
      <c r="B20" s="26"/>
      <c r="C20" s="26"/>
      <c r="D20" s="26"/>
      <c r="E20" s="26"/>
      <c r="F20" s="26"/>
      <c r="G20" s="5"/>
    </row>
    <row r="21" spans="1:7" ht="12" customHeight="1">
      <c r="A21" s="12"/>
      <c r="B21" s="26"/>
      <c r="C21" s="26"/>
      <c r="D21" s="26"/>
      <c r="E21" s="26"/>
      <c r="F21" s="26"/>
      <c r="G21" s="5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918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916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901</v>
      </c>
      <c r="F26" s="5"/>
      <c r="G26" s="5"/>
    </row>
    <row r="27" spans="1:7" ht="12" customHeight="1">
      <c r="A27" s="5"/>
      <c r="B27" s="5"/>
      <c r="C27" s="5"/>
      <c r="D27" s="5"/>
      <c r="E27" s="2474" t="s">
        <v>685</v>
      </c>
      <c r="F27" s="2474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65" customHeight="1">
      <c r="A29" s="5"/>
      <c r="B29" s="3" t="s">
        <v>1500</v>
      </c>
      <c r="C29" s="5"/>
      <c r="D29" s="12" t="s">
        <v>1423</v>
      </c>
      <c r="E29" s="12">
        <v>1</v>
      </c>
      <c r="F29" s="5"/>
      <c r="G29" s="5"/>
    </row>
    <row r="30" spans="1:7" ht="12" customHeight="1">
      <c r="A30" s="5"/>
      <c r="B30" s="5"/>
      <c r="C30" s="5"/>
      <c r="D30" s="5"/>
      <c r="E30" s="2474" t="s">
        <v>702</v>
      </c>
      <c r="F30" s="2474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35.1" customHeight="1">
      <c r="A32" s="5"/>
      <c r="B32" s="2" t="s">
        <v>1760</v>
      </c>
      <c r="C32" s="5"/>
      <c r="D32" s="2" t="s">
        <v>1483</v>
      </c>
      <c r="E32" s="2" t="s">
        <v>1762</v>
      </c>
      <c r="F32" s="5"/>
      <c r="G32" s="5"/>
    </row>
    <row r="33" spans="1:7" ht="12" customHeight="1">
      <c r="A33" s="5"/>
      <c r="B33" s="5"/>
      <c r="C33" s="5"/>
      <c r="D33" s="5"/>
      <c r="E33" s="2474" t="s">
        <v>705</v>
      </c>
      <c r="F33" s="2474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2474" t="s">
        <v>707</v>
      </c>
      <c r="C35" s="2474"/>
      <c r="D35" s="2474"/>
      <c r="E35" s="2474"/>
      <c r="F35" s="2474"/>
      <c r="G35" s="5"/>
    </row>
    <row r="36" spans="1:7" ht="12" customHeight="1">
      <c r="A36" s="12" t="s">
        <v>708</v>
      </c>
      <c r="B36" s="2471" t="s">
        <v>709</v>
      </c>
      <c r="C36" s="2471"/>
      <c r="D36" s="2471"/>
      <c r="E36" s="2472" t="s">
        <v>710</v>
      </c>
      <c r="F36" s="2472"/>
      <c r="G36" s="5"/>
    </row>
    <row r="37" spans="1:7" ht="12" customHeight="1">
      <c r="A37" s="12" t="s">
        <v>711</v>
      </c>
      <c r="B37" s="2473" t="s">
        <v>712</v>
      </c>
      <c r="C37" s="2473"/>
      <c r="D37" s="2473"/>
      <c r="E37" s="2473"/>
      <c r="F37" s="2473"/>
      <c r="G37" s="5"/>
    </row>
  </sheetData>
  <mergeCells count="14">
    <mergeCell ref="E8:F8"/>
    <mergeCell ref="E11:F11"/>
    <mergeCell ref="E14:F14"/>
    <mergeCell ref="B16:F16"/>
    <mergeCell ref="B17:D17"/>
    <mergeCell ref="E17:F17"/>
    <mergeCell ref="B36:D36"/>
    <mergeCell ref="E36:F36"/>
    <mergeCell ref="B37:F37"/>
    <mergeCell ref="B18:F18"/>
    <mergeCell ref="E27:F27"/>
    <mergeCell ref="E30:F30"/>
    <mergeCell ref="E33:F33"/>
    <mergeCell ref="B35:F35"/>
  </mergeCells>
  <pageMargins left="0.7" right="0.7" top="0.75" bottom="0.75" header="0.3" footer="0.3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0-000000000000}">
  <sheetPr codeName="Sheet196"/>
  <dimension ref="A1:G37"/>
  <sheetViews>
    <sheetView workbookViewId="0">
      <selection activeCell="G37" sqref="A1:G37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2512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1763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1683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811</v>
      </c>
      <c r="F7" s="5"/>
      <c r="G7" s="5"/>
    </row>
    <row r="8" spans="1:7" ht="12" customHeight="1">
      <c r="A8" s="5"/>
      <c r="B8" s="5"/>
      <c r="C8" s="5"/>
      <c r="D8" s="5"/>
      <c r="E8" s="2474" t="s">
        <v>685</v>
      </c>
      <c r="F8" s="2474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65" customHeight="1">
      <c r="A10" s="5"/>
      <c r="B10" s="3" t="s">
        <v>1503</v>
      </c>
      <c r="C10" s="5"/>
      <c r="D10" s="12" t="s">
        <v>1423</v>
      </c>
      <c r="E10" s="12">
        <v>1</v>
      </c>
      <c r="F10" s="5"/>
      <c r="G10" s="5"/>
    </row>
    <row r="11" spans="1:7" ht="12" customHeight="1">
      <c r="A11" s="5"/>
      <c r="B11" s="5"/>
      <c r="C11" s="5"/>
      <c r="D11" s="5"/>
      <c r="E11" s="2474" t="s">
        <v>702</v>
      </c>
      <c r="F11" s="2474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35.1" customHeight="1">
      <c r="A13" s="5"/>
      <c r="B13" s="2" t="s">
        <v>1760</v>
      </c>
      <c r="C13" s="5"/>
      <c r="D13" s="2" t="s">
        <v>1483</v>
      </c>
      <c r="E13" s="2" t="s">
        <v>1764</v>
      </c>
      <c r="F13" s="5"/>
      <c r="G13" s="5"/>
    </row>
    <row r="14" spans="1:7" ht="12" customHeight="1">
      <c r="A14" s="5"/>
      <c r="B14" s="5"/>
      <c r="C14" s="5"/>
      <c r="D14" s="5"/>
      <c r="E14" s="2474" t="s">
        <v>705</v>
      </c>
      <c r="F14" s="2474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2474" t="s">
        <v>707</v>
      </c>
      <c r="C16" s="2474"/>
      <c r="D16" s="2474"/>
      <c r="E16" s="2474"/>
      <c r="F16" s="2474"/>
      <c r="G16" s="5"/>
    </row>
    <row r="17" spans="1:7" ht="12" customHeight="1">
      <c r="A17" s="12" t="s">
        <v>708</v>
      </c>
      <c r="B17" s="2471" t="s">
        <v>709</v>
      </c>
      <c r="C17" s="2471"/>
      <c r="D17" s="2471"/>
      <c r="E17" s="2472" t="s">
        <v>710</v>
      </c>
      <c r="F17" s="2472"/>
      <c r="G17" s="5"/>
    </row>
    <row r="18" spans="1:7" ht="12" customHeight="1">
      <c r="A18" s="12" t="s">
        <v>711</v>
      </c>
      <c r="B18" s="2473" t="s">
        <v>712</v>
      </c>
      <c r="C18" s="2473"/>
      <c r="D18" s="2473"/>
      <c r="E18" s="2473"/>
      <c r="F18" s="2473"/>
      <c r="G18" s="5"/>
    </row>
    <row r="19" spans="1:7" ht="12" customHeight="1">
      <c r="A19" s="12"/>
      <c r="B19" s="26"/>
      <c r="C19" s="26"/>
      <c r="D19" s="26"/>
      <c r="E19" s="26"/>
      <c r="F19" s="26"/>
      <c r="G19" s="5"/>
    </row>
    <row r="20" spans="1:7" ht="12" customHeight="1">
      <c r="A20" s="50" t="s">
        <v>2513</v>
      </c>
      <c r="B20" s="26"/>
      <c r="C20" s="26"/>
      <c r="D20" s="26"/>
      <c r="E20" s="26"/>
      <c r="F20" s="26"/>
      <c r="G20" s="5"/>
    </row>
    <row r="21" spans="1:7" ht="12" customHeight="1">
      <c r="A21" s="12"/>
      <c r="B21" s="26"/>
      <c r="C21" s="26"/>
      <c r="D21" s="26"/>
      <c r="E21" s="26"/>
      <c r="F21" s="26"/>
      <c r="G21" s="5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1765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933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863</v>
      </c>
      <c r="F26" s="5"/>
      <c r="G26" s="5"/>
    </row>
    <row r="27" spans="1:7" ht="12" customHeight="1">
      <c r="A27" s="5"/>
      <c r="B27" s="5"/>
      <c r="C27" s="5"/>
      <c r="D27" s="5"/>
      <c r="E27" s="2474" t="s">
        <v>685</v>
      </c>
      <c r="F27" s="2474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65" customHeight="1">
      <c r="A29" s="5"/>
      <c r="B29" s="3" t="s">
        <v>1506</v>
      </c>
      <c r="C29" s="5"/>
      <c r="D29" s="12" t="s">
        <v>1423</v>
      </c>
      <c r="E29" s="12">
        <v>1</v>
      </c>
      <c r="F29" s="5"/>
      <c r="G29" s="5"/>
    </row>
    <row r="30" spans="1:7" ht="12" customHeight="1">
      <c r="A30" s="5"/>
      <c r="B30" s="5"/>
      <c r="C30" s="5"/>
      <c r="D30" s="5"/>
      <c r="E30" s="2474" t="s">
        <v>702</v>
      </c>
      <c r="F30" s="2474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35.1" customHeight="1">
      <c r="A32" s="5"/>
      <c r="B32" s="2" t="s">
        <v>1760</v>
      </c>
      <c r="C32" s="5"/>
      <c r="D32" s="2" t="s">
        <v>1483</v>
      </c>
      <c r="E32" s="2" t="s">
        <v>1766</v>
      </c>
      <c r="F32" s="5"/>
      <c r="G32" s="5"/>
    </row>
    <row r="33" spans="1:7" ht="12" customHeight="1">
      <c r="A33" s="5"/>
      <c r="B33" s="5"/>
      <c r="C33" s="5"/>
      <c r="D33" s="5"/>
      <c r="E33" s="2474" t="s">
        <v>705</v>
      </c>
      <c r="F33" s="2474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2474" t="s">
        <v>707</v>
      </c>
      <c r="C35" s="2474"/>
      <c r="D35" s="2474"/>
      <c r="E35" s="2474"/>
      <c r="F35" s="2474"/>
      <c r="G35" s="5"/>
    </row>
    <row r="36" spans="1:7" ht="12" customHeight="1">
      <c r="A36" s="12" t="s">
        <v>708</v>
      </c>
      <c r="B36" s="2471" t="s">
        <v>709</v>
      </c>
      <c r="C36" s="2471"/>
      <c r="D36" s="2471"/>
      <c r="E36" s="2472" t="s">
        <v>710</v>
      </c>
      <c r="F36" s="2472"/>
      <c r="G36" s="5"/>
    </row>
    <row r="37" spans="1:7" ht="12" customHeight="1">
      <c r="A37" s="12" t="s">
        <v>711</v>
      </c>
      <c r="B37" s="2473" t="s">
        <v>712</v>
      </c>
      <c r="C37" s="2473"/>
      <c r="D37" s="2473"/>
      <c r="E37" s="2473"/>
      <c r="F37" s="2473"/>
      <c r="G37" s="5"/>
    </row>
  </sheetData>
  <mergeCells count="14">
    <mergeCell ref="E8:F8"/>
    <mergeCell ref="E11:F11"/>
    <mergeCell ref="E14:F14"/>
    <mergeCell ref="B16:F16"/>
    <mergeCell ref="B17:D17"/>
    <mergeCell ref="E17:F17"/>
    <mergeCell ref="B36:D36"/>
    <mergeCell ref="E36:F36"/>
    <mergeCell ref="B37:F37"/>
    <mergeCell ref="B18:F18"/>
    <mergeCell ref="E27:F27"/>
    <mergeCell ref="E30:F30"/>
    <mergeCell ref="E33:F33"/>
    <mergeCell ref="B35:F35"/>
  </mergeCells>
  <pageMargins left="0.7" right="0.7" top="0.75" bottom="0.75" header="0.3" footer="0.3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0-000000000000}">
  <sheetPr codeName="Sheet197"/>
  <dimension ref="A1:G37"/>
  <sheetViews>
    <sheetView workbookViewId="0">
      <selection activeCell="G37" sqref="A1:G37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2514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1767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760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781</v>
      </c>
      <c r="F7" s="5"/>
      <c r="G7" s="5"/>
    </row>
    <row r="8" spans="1:7" ht="12" customHeight="1">
      <c r="A8" s="5"/>
      <c r="B8" s="5"/>
      <c r="C8" s="5"/>
      <c r="D8" s="5"/>
      <c r="E8" s="2474" t="s">
        <v>685</v>
      </c>
      <c r="F8" s="2474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65" customHeight="1">
      <c r="A10" s="5"/>
      <c r="B10" s="3" t="s">
        <v>1509</v>
      </c>
      <c r="C10" s="5"/>
      <c r="D10" s="12" t="s">
        <v>1423</v>
      </c>
      <c r="E10" s="12">
        <v>1</v>
      </c>
      <c r="F10" s="5"/>
      <c r="G10" s="5"/>
    </row>
    <row r="11" spans="1:7" ht="12" customHeight="1">
      <c r="A11" s="5"/>
      <c r="B11" s="5"/>
      <c r="C11" s="5"/>
      <c r="D11" s="5"/>
      <c r="E11" s="2474" t="s">
        <v>702</v>
      </c>
      <c r="F11" s="2474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35.1" customHeight="1">
      <c r="A13" s="5"/>
      <c r="B13" s="2" t="s">
        <v>1768</v>
      </c>
      <c r="C13" s="5"/>
      <c r="D13" s="2" t="s">
        <v>1483</v>
      </c>
      <c r="E13" s="2" t="s">
        <v>1769</v>
      </c>
      <c r="F13" s="5"/>
      <c r="G13" s="5"/>
    </row>
    <row r="14" spans="1:7" ht="12" customHeight="1">
      <c r="A14" s="5"/>
      <c r="B14" s="5"/>
      <c r="C14" s="5"/>
      <c r="D14" s="5"/>
      <c r="E14" s="2474" t="s">
        <v>705</v>
      </c>
      <c r="F14" s="2474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2474" t="s">
        <v>707</v>
      </c>
      <c r="C16" s="2474"/>
      <c r="D16" s="2474"/>
      <c r="E16" s="2474"/>
      <c r="F16" s="2474"/>
      <c r="G16" s="5"/>
    </row>
    <row r="17" spans="1:7" ht="12" customHeight="1">
      <c r="A17" s="12" t="s">
        <v>708</v>
      </c>
      <c r="B17" s="2471" t="s">
        <v>709</v>
      </c>
      <c r="C17" s="2471"/>
      <c r="D17" s="2471"/>
      <c r="E17" s="2472" t="s">
        <v>710</v>
      </c>
      <c r="F17" s="2472"/>
      <c r="G17" s="5"/>
    </row>
    <row r="18" spans="1:7" ht="12" customHeight="1">
      <c r="A18" s="12" t="s">
        <v>711</v>
      </c>
      <c r="B18" s="2473" t="s">
        <v>712</v>
      </c>
      <c r="C18" s="2473"/>
      <c r="D18" s="2473"/>
      <c r="E18" s="2473"/>
      <c r="F18" s="2473"/>
      <c r="G18" s="5"/>
    </row>
    <row r="19" spans="1:7" ht="12" customHeight="1">
      <c r="A19" s="12"/>
      <c r="B19" s="26"/>
      <c r="C19" s="26"/>
      <c r="D19" s="26"/>
      <c r="E19" s="26"/>
      <c r="F19" s="26"/>
      <c r="G19" s="5"/>
    </row>
    <row r="20" spans="1:7" ht="12" customHeight="1">
      <c r="A20" s="50" t="s">
        <v>2515</v>
      </c>
      <c r="B20" s="26"/>
      <c r="C20" s="26"/>
      <c r="D20" s="26"/>
      <c r="E20" s="26"/>
      <c r="F20" s="26"/>
      <c r="G20" s="5"/>
    </row>
    <row r="21" spans="1:7" ht="12" customHeight="1">
      <c r="A21" s="12"/>
      <c r="B21" s="26"/>
      <c r="C21" s="26"/>
      <c r="D21" s="26"/>
      <c r="E21" s="26"/>
      <c r="F21" s="26"/>
      <c r="G21" s="5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1770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1771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950</v>
      </c>
      <c r="F26" s="5"/>
      <c r="G26" s="5"/>
    </row>
    <row r="27" spans="1:7" ht="12" customHeight="1">
      <c r="A27" s="5"/>
      <c r="B27" s="5"/>
      <c r="C27" s="5"/>
      <c r="D27" s="5"/>
      <c r="E27" s="2474" t="s">
        <v>685</v>
      </c>
      <c r="F27" s="2474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65" customHeight="1">
      <c r="A29" s="5"/>
      <c r="B29" s="3" t="s">
        <v>1513</v>
      </c>
      <c r="C29" s="5"/>
      <c r="D29" s="12" t="s">
        <v>1423</v>
      </c>
      <c r="E29" s="12">
        <v>1</v>
      </c>
      <c r="F29" s="5"/>
      <c r="G29" s="5"/>
    </row>
    <row r="30" spans="1:7" ht="12" customHeight="1">
      <c r="A30" s="5"/>
      <c r="B30" s="5"/>
      <c r="C30" s="5"/>
      <c r="D30" s="5"/>
      <c r="E30" s="2474" t="s">
        <v>702</v>
      </c>
      <c r="F30" s="2474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35.1" customHeight="1">
      <c r="A32" s="5"/>
      <c r="B32" s="2" t="s">
        <v>1768</v>
      </c>
      <c r="C32" s="5"/>
      <c r="D32" s="2" t="s">
        <v>1483</v>
      </c>
      <c r="E32" s="2" t="s">
        <v>1772</v>
      </c>
      <c r="F32" s="5"/>
      <c r="G32" s="5"/>
    </row>
    <row r="33" spans="1:7" ht="12" customHeight="1">
      <c r="A33" s="5"/>
      <c r="B33" s="5"/>
      <c r="C33" s="5"/>
      <c r="D33" s="5"/>
      <c r="E33" s="2474" t="s">
        <v>705</v>
      </c>
      <c r="F33" s="2474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2474" t="s">
        <v>707</v>
      </c>
      <c r="C35" s="2474"/>
      <c r="D35" s="2474"/>
      <c r="E35" s="2474"/>
      <c r="F35" s="2474"/>
      <c r="G35" s="5"/>
    </row>
    <row r="36" spans="1:7" ht="12" customHeight="1">
      <c r="A36" s="12" t="s">
        <v>708</v>
      </c>
      <c r="B36" s="2471" t="s">
        <v>709</v>
      </c>
      <c r="C36" s="2471"/>
      <c r="D36" s="2471"/>
      <c r="E36" s="2472" t="s">
        <v>710</v>
      </c>
      <c r="F36" s="2472"/>
      <c r="G36" s="5"/>
    </row>
    <row r="37" spans="1:7" ht="12" customHeight="1">
      <c r="A37" s="12" t="s">
        <v>711</v>
      </c>
      <c r="B37" s="2473" t="s">
        <v>712</v>
      </c>
      <c r="C37" s="2473"/>
      <c r="D37" s="2473"/>
      <c r="E37" s="2473"/>
      <c r="F37" s="2473"/>
      <c r="G37" s="5"/>
    </row>
  </sheetData>
  <mergeCells count="14">
    <mergeCell ref="E8:F8"/>
    <mergeCell ref="E11:F11"/>
    <mergeCell ref="E14:F14"/>
    <mergeCell ref="B16:F16"/>
    <mergeCell ref="B17:D17"/>
    <mergeCell ref="E17:F17"/>
    <mergeCell ref="B36:D36"/>
    <mergeCell ref="E36:F36"/>
    <mergeCell ref="B37:F37"/>
    <mergeCell ref="B18:F18"/>
    <mergeCell ref="E27:F27"/>
    <mergeCell ref="E30:F30"/>
    <mergeCell ref="E33:F33"/>
    <mergeCell ref="B35:F35"/>
  </mergeCells>
  <pageMargins left="0.7" right="0.7" top="0.75" bottom="0.75" header="0.3" footer="0.3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D00-000000000000}">
  <sheetPr codeName="Sheet198"/>
  <dimension ref="A1:G37"/>
  <sheetViews>
    <sheetView topLeftCell="A22" workbookViewId="0">
      <selection sqref="A1:G37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2516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1773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1774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1545</v>
      </c>
      <c r="F7" s="5"/>
      <c r="G7" s="5"/>
    </row>
    <row r="8" spans="1:7" ht="12" customHeight="1">
      <c r="A8" s="5"/>
      <c r="B8" s="5"/>
      <c r="C8" s="5"/>
      <c r="D8" s="5"/>
      <c r="E8" s="2474" t="s">
        <v>685</v>
      </c>
      <c r="F8" s="2474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65" customHeight="1">
      <c r="A10" s="5"/>
      <c r="B10" s="3" t="s">
        <v>1518</v>
      </c>
      <c r="C10" s="5"/>
      <c r="D10" s="12" t="s">
        <v>1423</v>
      </c>
      <c r="E10" s="12">
        <v>1</v>
      </c>
      <c r="F10" s="5"/>
      <c r="G10" s="5"/>
    </row>
    <row r="11" spans="1:7" ht="12" customHeight="1">
      <c r="A11" s="5"/>
      <c r="B11" s="5"/>
      <c r="C11" s="5"/>
      <c r="D11" s="5"/>
      <c r="E11" s="2474" t="s">
        <v>702</v>
      </c>
      <c r="F11" s="2474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35.1" customHeight="1">
      <c r="A13" s="5"/>
      <c r="B13" s="2" t="s">
        <v>1768</v>
      </c>
      <c r="C13" s="5"/>
      <c r="D13" s="2" t="s">
        <v>1483</v>
      </c>
      <c r="E13" s="2" t="s">
        <v>1766</v>
      </c>
      <c r="F13" s="5"/>
      <c r="G13" s="5"/>
    </row>
    <row r="14" spans="1:7" ht="12" customHeight="1">
      <c r="A14" s="5"/>
      <c r="B14" s="5"/>
      <c r="C14" s="5"/>
      <c r="D14" s="5"/>
      <c r="E14" s="2474" t="s">
        <v>705</v>
      </c>
      <c r="F14" s="2474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2474" t="s">
        <v>707</v>
      </c>
      <c r="C16" s="2474"/>
      <c r="D16" s="2474"/>
      <c r="E16" s="2474"/>
      <c r="F16" s="2474"/>
      <c r="G16" s="5"/>
    </row>
    <row r="17" spans="1:7" ht="12" customHeight="1">
      <c r="A17" s="12" t="s">
        <v>708</v>
      </c>
      <c r="B17" s="2471" t="s">
        <v>709</v>
      </c>
      <c r="C17" s="2471"/>
      <c r="D17" s="2471"/>
      <c r="E17" s="2472" t="s">
        <v>710</v>
      </c>
      <c r="F17" s="2472"/>
      <c r="G17" s="5"/>
    </row>
    <row r="18" spans="1:7" ht="12" customHeight="1">
      <c r="A18" s="12" t="s">
        <v>711</v>
      </c>
      <c r="B18" s="2473" t="s">
        <v>712</v>
      </c>
      <c r="C18" s="2473"/>
      <c r="D18" s="2473"/>
      <c r="E18" s="2473"/>
      <c r="F18" s="2473"/>
      <c r="G18" s="5"/>
    </row>
    <row r="19" spans="1:7" ht="12" customHeight="1">
      <c r="A19" s="12"/>
      <c r="B19" s="26"/>
      <c r="C19" s="26"/>
      <c r="D19" s="26"/>
      <c r="E19" s="26"/>
      <c r="F19" s="26"/>
      <c r="G19" s="5"/>
    </row>
    <row r="20" spans="1:7" ht="12" customHeight="1">
      <c r="A20" s="50" t="s">
        <v>2517</v>
      </c>
      <c r="B20" s="26"/>
      <c r="C20" s="26"/>
      <c r="D20" s="26"/>
      <c r="E20" s="26"/>
      <c r="F20" s="26"/>
      <c r="G20" s="5"/>
    </row>
    <row r="21" spans="1:7" ht="12" customHeight="1">
      <c r="A21" s="12"/>
      <c r="B21" s="26"/>
      <c r="C21" s="26"/>
      <c r="D21" s="26"/>
      <c r="E21" s="26"/>
      <c r="F21" s="26"/>
      <c r="G21" s="5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1775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1776</v>
      </c>
      <c r="F25" s="5"/>
      <c r="G25" s="5"/>
    </row>
    <row r="26" spans="1:7" ht="11.85" customHeight="1">
      <c r="A26" s="5"/>
      <c r="B26" s="3" t="s">
        <v>683</v>
      </c>
      <c r="C26" s="3" t="s">
        <v>684</v>
      </c>
      <c r="D26" s="12" t="s">
        <v>675</v>
      </c>
      <c r="E26" s="3" t="s">
        <v>1641</v>
      </c>
      <c r="F26" s="5"/>
      <c r="G26" s="5"/>
    </row>
    <row r="27" spans="1:7" ht="12" customHeight="1">
      <c r="A27" s="5"/>
      <c r="B27" s="5"/>
      <c r="C27" s="5"/>
      <c r="D27" s="5"/>
      <c r="E27" s="2474" t="s">
        <v>685</v>
      </c>
      <c r="F27" s="2474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95" customHeight="1">
      <c r="A29" s="5"/>
      <c r="B29" s="3" t="s">
        <v>1522</v>
      </c>
      <c r="C29" s="5"/>
      <c r="D29" s="12" t="s">
        <v>1423</v>
      </c>
      <c r="E29" s="12">
        <v>1</v>
      </c>
      <c r="F29" s="5"/>
      <c r="G29" s="5"/>
    </row>
    <row r="30" spans="1:7" ht="12" customHeight="1">
      <c r="A30" s="5"/>
      <c r="B30" s="5"/>
      <c r="C30" s="5"/>
      <c r="D30" s="5"/>
      <c r="E30" s="2474" t="s">
        <v>702</v>
      </c>
      <c r="F30" s="2474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34.950000000000003" customHeight="1">
      <c r="A32" s="5"/>
      <c r="B32" s="2" t="s">
        <v>1768</v>
      </c>
      <c r="C32" s="5"/>
      <c r="D32" s="2" t="s">
        <v>1483</v>
      </c>
      <c r="E32" s="2" t="s">
        <v>1777</v>
      </c>
      <c r="F32" s="5"/>
      <c r="G32" s="5"/>
    </row>
    <row r="33" spans="1:7" ht="12" customHeight="1">
      <c r="A33" s="5"/>
      <c r="B33" s="5"/>
      <c r="C33" s="5"/>
      <c r="D33" s="5"/>
      <c r="E33" s="2474" t="s">
        <v>705</v>
      </c>
      <c r="F33" s="2474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2474" t="s">
        <v>707</v>
      </c>
      <c r="C35" s="2474"/>
      <c r="D35" s="2474"/>
      <c r="E35" s="2474"/>
      <c r="F35" s="2474"/>
      <c r="G35" s="5"/>
    </row>
    <row r="36" spans="1:7" ht="12" customHeight="1">
      <c r="A36" s="12" t="s">
        <v>708</v>
      </c>
      <c r="B36" s="2471" t="s">
        <v>709</v>
      </c>
      <c r="C36" s="2471"/>
      <c r="D36" s="2471"/>
      <c r="E36" s="2472" t="s">
        <v>710</v>
      </c>
      <c r="F36" s="2472"/>
      <c r="G36" s="5"/>
    </row>
    <row r="37" spans="1:7" ht="12.15" customHeight="1">
      <c r="A37" s="12" t="s">
        <v>711</v>
      </c>
      <c r="B37" s="2473" t="s">
        <v>712</v>
      </c>
      <c r="C37" s="2473"/>
      <c r="D37" s="2473"/>
      <c r="E37" s="2473"/>
      <c r="F37" s="2473"/>
      <c r="G37" s="5"/>
    </row>
  </sheetData>
  <mergeCells count="14">
    <mergeCell ref="E8:F8"/>
    <mergeCell ref="E11:F11"/>
    <mergeCell ref="E14:F14"/>
    <mergeCell ref="B16:F16"/>
    <mergeCell ref="B17:D17"/>
    <mergeCell ref="E17:F17"/>
    <mergeCell ref="B36:D36"/>
    <mergeCell ref="E36:F36"/>
    <mergeCell ref="B37:F37"/>
    <mergeCell ref="B18:F18"/>
    <mergeCell ref="E27:F27"/>
    <mergeCell ref="E30:F30"/>
    <mergeCell ref="E33:F33"/>
    <mergeCell ref="B35:F35"/>
  </mergeCells>
  <pageMargins left="0.7" right="0.7" top="0.75" bottom="0.75" header="0.3" footer="0.3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E00-000000000000}">
  <sheetPr codeName="Sheet199"/>
  <dimension ref="A1:G37"/>
  <sheetViews>
    <sheetView topLeftCell="A22" workbookViewId="0">
      <selection sqref="A1:G37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2518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1778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1779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1780</v>
      </c>
      <c r="F7" s="5"/>
      <c r="G7" s="5"/>
    </row>
    <row r="8" spans="1:7" ht="12" customHeight="1">
      <c r="A8" s="5"/>
      <c r="B8" s="5"/>
      <c r="C8" s="5"/>
      <c r="D8" s="5"/>
      <c r="E8" s="2474" t="s">
        <v>685</v>
      </c>
      <c r="F8" s="2474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65" customHeight="1">
      <c r="A10" s="5"/>
      <c r="B10" s="3" t="s">
        <v>1527</v>
      </c>
      <c r="C10" s="5"/>
      <c r="D10" s="12" t="s">
        <v>1423</v>
      </c>
      <c r="E10" s="12">
        <v>1</v>
      </c>
      <c r="F10" s="5"/>
      <c r="G10" s="5"/>
    </row>
    <row r="11" spans="1:7" ht="12" customHeight="1">
      <c r="A11" s="5"/>
      <c r="B11" s="5"/>
      <c r="C11" s="5"/>
      <c r="D11" s="5"/>
      <c r="E11" s="2474" t="s">
        <v>702</v>
      </c>
      <c r="F11" s="2474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35.1" customHeight="1">
      <c r="A13" s="5"/>
      <c r="B13" s="2" t="s">
        <v>1768</v>
      </c>
      <c r="C13" s="5"/>
      <c r="D13" s="2" t="s">
        <v>1483</v>
      </c>
      <c r="E13" s="2" t="s">
        <v>1781</v>
      </c>
      <c r="F13" s="5"/>
      <c r="G13" s="5"/>
    </row>
    <row r="14" spans="1:7" ht="12" customHeight="1">
      <c r="A14" s="5"/>
      <c r="B14" s="5"/>
      <c r="C14" s="5"/>
      <c r="D14" s="5"/>
      <c r="E14" s="2474" t="s">
        <v>705</v>
      </c>
      <c r="F14" s="2474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2474" t="s">
        <v>707</v>
      </c>
      <c r="C16" s="2474"/>
      <c r="D16" s="2474"/>
      <c r="E16" s="2474"/>
      <c r="F16" s="2474"/>
      <c r="G16" s="5"/>
    </row>
    <row r="17" spans="1:7" ht="12" customHeight="1">
      <c r="A17" s="12" t="s">
        <v>708</v>
      </c>
      <c r="B17" s="2471" t="s">
        <v>709</v>
      </c>
      <c r="C17" s="2471"/>
      <c r="D17" s="2471"/>
      <c r="E17" s="2472" t="s">
        <v>710</v>
      </c>
      <c r="F17" s="2472"/>
      <c r="G17" s="5"/>
    </row>
    <row r="18" spans="1:7" ht="12" customHeight="1">
      <c r="A18" s="12" t="s">
        <v>711</v>
      </c>
      <c r="B18" s="2473" t="s">
        <v>712</v>
      </c>
      <c r="C18" s="2473"/>
      <c r="D18" s="2473"/>
      <c r="E18" s="2473"/>
      <c r="F18" s="2473"/>
      <c r="G18" s="5"/>
    </row>
    <row r="19" spans="1:7" ht="12" customHeight="1">
      <c r="A19" s="12"/>
      <c r="B19" s="26"/>
      <c r="C19" s="26"/>
      <c r="D19" s="26"/>
      <c r="E19" s="26"/>
      <c r="F19" s="26"/>
      <c r="G19" s="5"/>
    </row>
    <row r="20" spans="1:7" ht="12" customHeight="1">
      <c r="A20" s="50" t="s">
        <v>2519</v>
      </c>
      <c r="B20" s="26"/>
      <c r="C20" s="26"/>
      <c r="D20" s="26"/>
      <c r="E20" s="26"/>
      <c r="F20" s="26"/>
      <c r="G20" s="5"/>
    </row>
    <row r="21" spans="1:7" ht="12" customHeight="1">
      <c r="A21" s="12"/>
      <c r="B21" s="26"/>
      <c r="C21" s="26"/>
      <c r="D21" s="26"/>
      <c r="E21" s="26"/>
      <c r="F21" s="26"/>
      <c r="G21" s="5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1782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1783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1784</v>
      </c>
      <c r="F26" s="5"/>
      <c r="G26" s="5"/>
    </row>
    <row r="27" spans="1:7" ht="12" customHeight="1">
      <c r="A27" s="5"/>
      <c r="B27" s="5"/>
      <c r="C27" s="5"/>
      <c r="D27" s="5"/>
      <c r="E27" s="2474" t="s">
        <v>685</v>
      </c>
      <c r="F27" s="2474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65" customHeight="1">
      <c r="A29" s="5"/>
      <c r="B29" s="3" t="s">
        <v>1531</v>
      </c>
      <c r="C29" s="5"/>
      <c r="D29" s="12" t="s">
        <v>1423</v>
      </c>
      <c r="E29" s="12">
        <v>1</v>
      </c>
      <c r="F29" s="5"/>
      <c r="G29" s="5"/>
    </row>
    <row r="30" spans="1:7" ht="12" customHeight="1">
      <c r="A30" s="5"/>
      <c r="B30" s="5"/>
      <c r="C30" s="5"/>
      <c r="D30" s="5"/>
      <c r="E30" s="2474" t="s">
        <v>702</v>
      </c>
      <c r="F30" s="2474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35.1" customHeight="1">
      <c r="A32" s="5"/>
      <c r="B32" s="2" t="s">
        <v>1768</v>
      </c>
      <c r="C32" s="5"/>
      <c r="D32" s="2" t="s">
        <v>1483</v>
      </c>
      <c r="E32" s="2" t="s">
        <v>1785</v>
      </c>
      <c r="F32" s="5"/>
      <c r="G32" s="5"/>
    </row>
    <row r="33" spans="1:7" ht="12" customHeight="1">
      <c r="A33" s="5"/>
      <c r="B33" s="5"/>
      <c r="C33" s="5"/>
      <c r="D33" s="5"/>
      <c r="E33" s="2474" t="s">
        <v>705</v>
      </c>
      <c r="F33" s="2474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2474" t="s">
        <v>707</v>
      </c>
      <c r="C35" s="2474"/>
      <c r="D35" s="2474"/>
      <c r="E35" s="2474"/>
      <c r="F35" s="2474"/>
      <c r="G35" s="5"/>
    </row>
    <row r="36" spans="1:7" ht="12" customHeight="1">
      <c r="A36" s="12" t="s">
        <v>708</v>
      </c>
      <c r="B36" s="2471" t="s">
        <v>709</v>
      </c>
      <c r="C36" s="2471"/>
      <c r="D36" s="2471"/>
      <c r="E36" s="2472" t="s">
        <v>710</v>
      </c>
      <c r="F36" s="2472"/>
      <c r="G36" s="5"/>
    </row>
    <row r="37" spans="1:7" ht="12" customHeight="1">
      <c r="A37" s="12" t="s">
        <v>711</v>
      </c>
      <c r="B37" s="2473" t="s">
        <v>712</v>
      </c>
      <c r="C37" s="2473"/>
      <c r="D37" s="2473"/>
      <c r="E37" s="2473"/>
      <c r="F37" s="2473"/>
      <c r="G37" s="5"/>
    </row>
  </sheetData>
  <mergeCells count="14">
    <mergeCell ref="E8:F8"/>
    <mergeCell ref="E11:F11"/>
    <mergeCell ref="E14:F14"/>
    <mergeCell ref="B16:F16"/>
    <mergeCell ref="B17:D17"/>
    <mergeCell ref="E17:F17"/>
    <mergeCell ref="B36:D36"/>
    <mergeCell ref="E36:F36"/>
    <mergeCell ref="B37:F37"/>
    <mergeCell ref="B18:F18"/>
    <mergeCell ref="E27:F27"/>
    <mergeCell ref="E30:F30"/>
    <mergeCell ref="E33:F33"/>
    <mergeCell ref="B35:F35"/>
  </mergeCells>
  <pageMargins left="0.7" right="0.7" top="0.75" bottom="0.75" header="0.3" footer="0.3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F00-000000000000}">
  <sheetPr codeName="Sheet200"/>
  <dimension ref="A1:G37"/>
  <sheetViews>
    <sheetView topLeftCell="A25" workbookViewId="0">
      <selection sqref="A1:G37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2520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1786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1787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1669</v>
      </c>
      <c r="F7" s="5"/>
      <c r="G7" s="5"/>
    </row>
    <row r="8" spans="1:7" ht="12" customHeight="1">
      <c r="A8" s="5"/>
      <c r="B8" s="5"/>
      <c r="C8" s="5"/>
      <c r="D8" s="5"/>
      <c r="E8" s="2474" t="s">
        <v>685</v>
      </c>
      <c r="F8" s="2474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65" customHeight="1">
      <c r="A10" s="5"/>
      <c r="B10" s="3" t="s">
        <v>1534</v>
      </c>
      <c r="C10" s="5"/>
      <c r="D10" s="12" t="s">
        <v>1423</v>
      </c>
      <c r="E10" s="12">
        <v>1</v>
      </c>
      <c r="F10" s="5"/>
      <c r="G10" s="5"/>
    </row>
    <row r="11" spans="1:7" ht="12" customHeight="1">
      <c r="A11" s="5"/>
      <c r="B11" s="5"/>
      <c r="C11" s="5"/>
      <c r="D11" s="5"/>
      <c r="E11" s="2474" t="s">
        <v>702</v>
      </c>
      <c r="F11" s="2474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35.1" customHeight="1">
      <c r="A13" s="5"/>
      <c r="B13" s="2" t="s">
        <v>1768</v>
      </c>
      <c r="C13" s="5"/>
      <c r="D13" s="2" t="s">
        <v>1483</v>
      </c>
      <c r="E13" s="2" t="s">
        <v>1788</v>
      </c>
      <c r="F13" s="5"/>
      <c r="G13" s="5"/>
    </row>
    <row r="14" spans="1:7" ht="12" customHeight="1">
      <c r="A14" s="5"/>
      <c r="B14" s="5"/>
      <c r="C14" s="5"/>
      <c r="D14" s="5"/>
      <c r="E14" s="2474" t="s">
        <v>705</v>
      </c>
      <c r="F14" s="2474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2474" t="s">
        <v>707</v>
      </c>
      <c r="C16" s="2474"/>
      <c r="D16" s="2474"/>
      <c r="E16" s="2474"/>
      <c r="F16" s="2474"/>
      <c r="G16" s="5"/>
    </row>
    <row r="17" spans="1:7" ht="12" customHeight="1">
      <c r="A17" s="12" t="s">
        <v>708</v>
      </c>
      <c r="B17" s="2471" t="s">
        <v>709</v>
      </c>
      <c r="C17" s="2471"/>
      <c r="D17" s="2471"/>
      <c r="E17" s="2472" t="s">
        <v>710</v>
      </c>
      <c r="F17" s="2472"/>
      <c r="G17" s="5"/>
    </row>
    <row r="18" spans="1:7" ht="12" customHeight="1">
      <c r="A18" s="12" t="s">
        <v>711</v>
      </c>
      <c r="B18" s="2473" t="s">
        <v>712</v>
      </c>
      <c r="C18" s="2473"/>
      <c r="D18" s="2473"/>
      <c r="E18" s="2473"/>
      <c r="F18" s="2473"/>
      <c r="G18" s="5"/>
    </row>
    <row r="19" spans="1:7" ht="12" customHeight="1">
      <c r="A19" s="12"/>
      <c r="B19" s="26"/>
      <c r="C19" s="26"/>
      <c r="D19" s="26"/>
      <c r="E19" s="26"/>
      <c r="F19" s="26"/>
      <c r="G19" s="5"/>
    </row>
    <row r="20" spans="1:7" ht="12" customHeight="1">
      <c r="A20" s="55" t="s">
        <v>2521</v>
      </c>
      <c r="B20" s="26"/>
      <c r="C20" s="26"/>
      <c r="D20" s="26"/>
      <c r="E20" s="26"/>
      <c r="F20" s="26"/>
      <c r="G20" s="5"/>
    </row>
    <row r="21" spans="1:7" ht="12" customHeight="1">
      <c r="A21" s="12"/>
      <c r="B21" s="26"/>
      <c r="C21" s="26"/>
      <c r="D21" s="26"/>
      <c r="E21" s="26"/>
      <c r="F21" s="26"/>
      <c r="G21" s="5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1789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1790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1791</v>
      </c>
      <c r="F26" s="5"/>
      <c r="G26" s="5"/>
    </row>
    <row r="27" spans="1:7" ht="12" customHeight="1">
      <c r="A27" s="5"/>
      <c r="B27" s="5"/>
      <c r="C27" s="5"/>
      <c r="D27" s="5"/>
      <c r="E27" s="2474" t="s">
        <v>685</v>
      </c>
      <c r="F27" s="2474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65" customHeight="1">
      <c r="A29" s="5"/>
      <c r="B29" s="3" t="s">
        <v>1539</v>
      </c>
      <c r="C29" s="5"/>
      <c r="D29" s="12" t="s">
        <v>1423</v>
      </c>
      <c r="E29" s="12">
        <v>1</v>
      </c>
      <c r="F29" s="5"/>
      <c r="G29" s="5"/>
    </row>
    <row r="30" spans="1:7" ht="12" customHeight="1">
      <c r="A30" s="5"/>
      <c r="B30" s="5"/>
      <c r="C30" s="5"/>
      <c r="D30" s="5"/>
      <c r="E30" s="2474" t="s">
        <v>702</v>
      </c>
      <c r="F30" s="2474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35.1" customHeight="1">
      <c r="A32" s="5"/>
      <c r="B32" s="2" t="s">
        <v>1768</v>
      </c>
      <c r="C32" s="5"/>
      <c r="D32" s="2" t="s">
        <v>1483</v>
      </c>
      <c r="E32" s="2" t="s">
        <v>1792</v>
      </c>
      <c r="F32" s="5"/>
      <c r="G32" s="5"/>
    </row>
    <row r="33" spans="1:7" ht="12" customHeight="1">
      <c r="A33" s="5"/>
      <c r="B33" s="5"/>
      <c r="C33" s="5"/>
      <c r="D33" s="5"/>
      <c r="E33" s="2474" t="s">
        <v>705</v>
      </c>
      <c r="F33" s="2474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2474" t="s">
        <v>707</v>
      </c>
      <c r="C35" s="2474"/>
      <c r="D35" s="2474"/>
      <c r="E35" s="2474"/>
      <c r="F35" s="2474"/>
      <c r="G35" s="5"/>
    </row>
    <row r="36" spans="1:7" ht="12" customHeight="1">
      <c r="A36" s="12" t="s">
        <v>708</v>
      </c>
      <c r="B36" s="2471" t="s">
        <v>709</v>
      </c>
      <c r="C36" s="2471"/>
      <c r="D36" s="2471"/>
      <c r="E36" s="2472" t="s">
        <v>710</v>
      </c>
      <c r="F36" s="2472"/>
      <c r="G36" s="5"/>
    </row>
    <row r="37" spans="1:7" ht="12" customHeight="1">
      <c r="A37" s="12" t="s">
        <v>711</v>
      </c>
      <c r="B37" s="2473" t="s">
        <v>712</v>
      </c>
      <c r="C37" s="2473"/>
      <c r="D37" s="2473"/>
      <c r="E37" s="2473"/>
      <c r="F37" s="2473"/>
      <c r="G37" s="5"/>
    </row>
  </sheetData>
  <mergeCells count="14">
    <mergeCell ref="E8:F8"/>
    <mergeCell ref="E11:F11"/>
    <mergeCell ref="E14:F14"/>
    <mergeCell ref="B16:F16"/>
    <mergeCell ref="B17:D17"/>
    <mergeCell ref="E17:F17"/>
    <mergeCell ref="B36:D36"/>
    <mergeCell ref="E36:F36"/>
    <mergeCell ref="B37:F37"/>
    <mergeCell ref="B18:F18"/>
    <mergeCell ref="E27:F27"/>
    <mergeCell ref="E30:F30"/>
    <mergeCell ref="E33:F33"/>
    <mergeCell ref="B35:F35"/>
  </mergeCells>
  <pageMargins left="0.7" right="0.7" top="0.75" bottom="0.75" header="0.3" footer="0.3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000-000000000000}">
  <sheetPr codeName="Sheet201"/>
  <dimension ref="A1:G39"/>
  <sheetViews>
    <sheetView topLeftCell="A28" workbookViewId="0">
      <selection sqref="A1:G39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2522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784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856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1793</v>
      </c>
      <c r="F7" s="5"/>
      <c r="G7" s="5"/>
    </row>
    <row r="8" spans="1:7" ht="12" customHeight="1">
      <c r="A8" s="5"/>
      <c r="B8" s="3" t="s">
        <v>1794</v>
      </c>
      <c r="C8" s="3" t="s">
        <v>1661</v>
      </c>
      <c r="D8" s="12" t="s">
        <v>675</v>
      </c>
      <c r="E8" s="3" t="s">
        <v>919</v>
      </c>
      <c r="F8" s="5"/>
      <c r="G8" s="5"/>
    </row>
    <row r="9" spans="1:7" ht="12" customHeight="1">
      <c r="A9" s="5"/>
      <c r="B9" s="5"/>
      <c r="C9" s="5"/>
      <c r="D9" s="5"/>
      <c r="E9" s="2474" t="s">
        <v>685</v>
      </c>
      <c r="F9" s="2474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65" customHeight="1">
      <c r="A11" s="5"/>
      <c r="B11" s="3" t="s">
        <v>1541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2474" t="s">
        <v>702</v>
      </c>
      <c r="F12" s="2474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1795</v>
      </c>
      <c r="F14" s="5"/>
      <c r="G14" s="5"/>
    </row>
    <row r="15" spans="1:7" ht="12" customHeight="1">
      <c r="A15" s="5"/>
      <c r="B15" s="5"/>
      <c r="C15" s="5"/>
      <c r="D15" s="5"/>
      <c r="E15" s="2474" t="s">
        <v>705</v>
      </c>
      <c r="F15" s="2474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2474" t="s">
        <v>707</v>
      </c>
      <c r="C17" s="2474"/>
      <c r="D17" s="2474"/>
      <c r="E17" s="2474"/>
      <c r="F17" s="2474"/>
      <c r="G17" s="5"/>
    </row>
    <row r="18" spans="1:7" ht="12" customHeight="1">
      <c r="A18" s="12" t="s">
        <v>708</v>
      </c>
      <c r="B18" s="2471" t="s">
        <v>709</v>
      </c>
      <c r="C18" s="2471"/>
      <c r="D18" s="2471"/>
      <c r="E18" s="2472" t="s">
        <v>710</v>
      </c>
      <c r="F18" s="2472"/>
      <c r="G18" s="5"/>
    </row>
    <row r="19" spans="1:7" ht="12" customHeight="1">
      <c r="A19" s="12" t="s">
        <v>711</v>
      </c>
      <c r="B19" s="2473" t="s">
        <v>712</v>
      </c>
      <c r="C19" s="2473"/>
      <c r="D19" s="2473"/>
      <c r="E19" s="2473"/>
      <c r="F19" s="2473"/>
      <c r="G19" s="5"/>
    </row>
    <row r="20" spans="1:7" ht="12" customHeight="1">
      <c r="A20" s="12"/>
      <c r="B20" s="26"/>
      <c r="C20" s="26"/>
      <c r="D20" s="26"/>
      <c r="E20" s="26"/>
      <c r="F20" s="26"/>
      <c r="G20" s="5"/>
    </row>
    <row r="21" spans="1:7" ht="12" customHeight="1">
      <c r="A21" s="50" t="s">
        <v>2523</v>
      </c>
      <c r="B21" s="26"/>
      <c r="C21" s="26"/>
      <c r="D21" s="26"/>
      <c r="E21" s="26"/>
      <c r="F21" s="26"/>
      <c r="G21" s="5"/>
    </row>
    <row r="22" spans="1:7" ht="12" customHeight="1">
      <c r="A22" s="12"/>
      <c r="B22" s="26"/>
      <c r="C22" s="26"/>
      <c r="D22" s="26"/>
      <c r="E22" s="26"/>
      <c r="F22" s="26"/>
      <c r="G22" s="5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891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852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856</v>
      </c>
      <c r="F27" s="5"/>
      <c r="G27" s="5"/>
    </row>
    <row r="28" spans="1:7" ht="12" customHeight="1">
      <c r="A28" s="5"/>
      <c r="B28" s="3" t="s">
        <v>1794</v>
      </c>
      <c r="C28" s="3" t="s">
        <v>1661</v>
      </c>
      <c r="D28" s="12" t="s">
        <v>675</v>
      </c>
      <c r="E28" s="3" t="s">
        <v>914</v>
      </c>
      <c r="F28" s="5"/>
      <c r="G28" s="5"/>
    </row>
    <row r="29" spans="1:7" ht="12" customHeight="1">
      <c r="A29" s="5"/>
      <c r="B29" s="5"/>
      <c r="C29" s="5"/>
      <c r="D29" s="5"/>
      <c r="E29" s="2474" t="s">
        <v>685</v>
      </c>
      <c r="F29" s="2474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65" customHeight="1">
      <c r="A31" s="5"/>
      <c r="B31" s="3" t="s">
        <v>1543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2474" t="s">
        <v>702</v>
      </c>
      <c r="F32" s="2474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1796</v>
      </c>
      <c r="F34" s="5"/>
      <c r="G34" s="5"/>
    </row>
    <row r="35" spans="1:7" ht="12" customHeight="1">
      <c r="A35" s="5"/>
      <c r="B35" s="5"/>
      <c r="C35" s="5"/>
      <c r="D35" s="5"/>
      <c r="E35" s="2474" t="s">
        <v>705</v>
      </c>
      <c r="F35" s="2474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2474" t="s">
        <v>707</v>
      </c>
      <c r="C37" s="2474"/>
      <c r="D37" s="2474"/>
      <c r="E37" s="2474"/>
      <c r="F37" s="2474"/>
      <c r="G37" s="5"/>
    </row>
    <row r="38" spans="1:7" ht="12" customHeight="1">
      <c r="A38" s="12" t="s">
        <v>708</v>
      </c>
      <c r="B38" s="2471" t="s">
        <v>709</v>
      </c>
      <c r="C38" s="2471"/>
      <c r="D38" s="2471"/>
      <c r="E38" s="2472" t="s">
        <v>710</v>
      </c>
      <c r="F38" s="2472"/>
      <c r="G38" s="5"/>
    </row>
    <row r="39" spans="1:7" ht="12" customHeight="1">
      <c r="A39" s="12" t="s">
        <v>711</v>
      </c>
      <c r="B39" s="2473" t="s">
        <v>712</v>
      </c>
      <c r="C39" s="2473"/>
      <c r="D39" s="2473"/>
      <c r="E39" s="2473"/>
      <c r="F39" s="2473"/>
      <c r="G39" s="5"/>
    </row>
  </sheetData>
  <mergeCells count="14">
    <mergeCell ref="E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E29:F29"/>
    <mergeCell ref="E32:F32"/>
    <mergeCell ref="E35:F35"/>
    <mergeCell ref="B37:F37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3"/>
  <dimension ref="A1:G44"/>
  <sheetViews>
    <sheetView workbookViewId="0">
      <selection activeCell="G44" sqref="A1:G44"/>
    </sheetView>
  </sheetViews>
  <sheetFormatPr defaultRowHeight="14.4"/>
  <cols>
    <col min="1" max="1" width="5.33203125" customWidth="1"/>
    <col min="2" max="2" width="21" customWidth="1"/>
    <col min="3" max="3" width="8.44140625" customWidth="1"/>
    <col min="4" max="4" width="11.33203125" customWidth="1"/>
    <col min="5" max="5" width="14.6640625" customWidth="1"/>
    <col min="6" max="6" width="14.44140625" customWidth="1"/>
    <col min="7" max="7" width="21.5546875" customWidth="1"/>
  </cols>
  <sheetData>
    <row r="1" spans="1:7">
      <c r="A1" s="55" t="s">
        <v>2146</v>
      </c>
    </row>
    <row r="2" spans="1:7">
      <c r="A2" s="50"/>
    </row>
    <row r="3" spans="1:7" ht="31.5" customHeight="1">
      <c r="A3" s="9" t="s">
        <v>1003</v>
      </c>
      <c r="B3" s="19" t="s">
        <v>1004</v>
      </c>
      <c r="C3" s="9" t="s">
        <v>1005</v>
      </c>
      <c r="D3" s="9" t="s">
        <v>1006</v>
      </c>
      <c r="E3" s="9" t="s">
        <v>1007</v>
      </c>
      <c r="F3" s="8" t="s">
        <v>669</v>
      </c>
      <c r="G3" s="8" t="s">
        <v>670</v>
      </c>
    </row>
    <row r="4" spans="1:7" ht="10.95" customHeight="1">
      <c r="A4" s="10" t="s">
        <v>671</v>
      </c>
      <c r="B4" s="10" t="s">
        <v>672</v>
      </c>
      <c r="C4" s="5"/>
      <c r="D4" s="5"/>
      <c r="E4" s="5"/>
      <c r="F4" s="5"/>
      <c r="G4" s="5"/>
    </row>
    <row r="5" spans="1:7" ht="12.45" customHeight="1">
      <c r="A5" s="5"/>
      <c r="B5" s="10" t="s">
        <v>673</v>
      </c>
      <c r="C5" s="10" t="s">
        <v>674</v>
      </c>
      <c r="D5" s="11" t="s">
        <v>675</v>
      </c>
      <c r="E5" s="11" t="s">
        <v>870</v>
      </c>
      <c r="F5" s="5"/>
      <c r="G5" s="5"/>
    </row>
    <row r="6" spans="1:7" ht="12.45" customHeight="1">
      <c r="A6" s="5"/>
      <c r="B6" s="10" t="s">
        <v>816</v>
      </c>
      <c r="C6" s="10" t="s">
        <v>678</v>
      </c>
      <c r="D6" s="11" t="s">
        <v>675</v>
      </c>
      <c r="E6" s="11" t="s">
        <v>679</v>
      </c>
      <c r="F6" s="5"/>
      <c r="G6" s="5"/>
    </row>
    <row r="7" spans="1:7" ht="12.45" customHeight="1">
      <c r="A7" s="5"/>
      <c r="B7" s="10" t="s">
        <v>680</v>
      </c>
      <c r="C7" s="10" t="s">
        <v>681</v>
      </c>
      <c r="D7" s="11" t="s">
        <v>675</v>
      </c>
      <c r="E7" s="11" t="s">
        <v>682</v>
      </c>
      <c r="F7" s="5"/>
      <c r="G7" s="5"/>
    </row>
    <row r="8" spans="1:7" ht="12.45" customHeight="1">
      <c r="A8" s="5"/>
      <c r="B8" s="10" t="s">
        <v>683</v>
      </c>
      <c r="C8" s="10" t="s">
        <v>684</v>
      </c>
      <c r="D8" s="11" t="s">
        <v>675</v>
      </c>
      <c r="E8" s="11" t="s">
        <v>851</v>
      </c>
      <c r="F8" s="5"/>
      <c r="G8" s="5"/>
    </row>
    <row r="9" spans="1:7" ht="10.95" customHeight="1">
      <c r="A9" s="5"/>
      <c r="B9" s="5"/>
      <c r="C9" s="5"/>
      <c r="D9" s="5"/>
      <c r="E9" s="2477" t="s">
        <v>685</v>
      </c>
      <c r="F9" s="2477"/>
      <c r="G9" s="5"/>
    </row>
    <row r="10" spans="1:7" ht="10.95" customHeight="1">
      <c r="A10" s="10" t="s">
        <v>686</v>
      </c>
      <c r="B10" s="10" t="s">
        <v>687</v>
      </c>
      <c r="C10" s="5"/>
      <c r="D10" s="5"/>
      <c r="E10" s="5"/>
      <c r="F10" s="5"/>
      <c r="G10" s="5"/>
    </row>
    <row r="11" spans="1:7" ht="12.45" customHeight="1">
      <c r="A11" s="5"/>
      <c r="B11" s="10" t="s">
        <v>742</v>
      </c>
      <c r="C11" s="5"/>
      <c r="D11" s="11" t="s">
        <v>692</v>
      </c>
      <c r="E11" s="10" t="s">
        <v>1013</v>
      </c>
      <c r="F11" s="5"/>
      <c r="G11" s="5"/>
    </row>
    <row r="12" spans="1:7" ht="12.45" customHeight="1">
      <c r="A12" s="5"/>
      <c r="B12" s="10" t="s">
        <v>818</v>
      </c>
      <c r="C12" s="5"/>
      <c r="D12" s="11" t="s">
        <v>690</v>
      </c>
      <c r="E12" s="10" t="s">
        <v>1021</v>
      </c>
      <c r="F12" s="5"/>
      <c r="G12" s="5"/>
    </row>
    <row r="13" spans="1:7" ht="12.45" customHeight="1">
      <c r="A13" s="5"/>
      <c r="B13" s="10" t="s">
        <v>808</v>
      </c>
      <c r="C13" s="5"/>
      <c r="D13" s="11" t="s">
        <v>692</v>
      </c>
      <c r="E13" s="11" t="s">
        <v>925</v>
      </c>
      <c r="F13" s="5"/>
      <c r="G13" s="5"/>
    </row>
    <row r="14" spans="1:7" ht="10.95" customHeight="1">
      <c r="A14" s="5"/>
      <c r="B14" s="5"/>
      <c r="C14" s="5"/>
      <c r="D14" s="5"/>
      <c r="E14" s="2477" t="s">
        <v>702</v>
      </c>
      <c r="F14" s="2477"/>
      <c r="G14" s="5"/>
    </row>
    <row r="15" spans="1:7" ht="10.95" customHeight="1">
      <c r="A15" s="10" t="s">
        <v>703</v>
      </c>
      <c r="B15" s="10" t="s">
        <v>704</v>
      </c>
      <c r="C15" s="5"/>
      <c r="D15" s="5"/>
      <c r="E15" s="5"/>
      <c r="F15" s="5"/>
      <c r="G15" s="5"/>
    </row>
    <row r="16" spans="1:7" ht="10.95" customHeight="1">
      <c r="A16" s="5"/>
      <c r="B16" s="5"/>
      <c r="C16" s="5"/>
      <c r="D16" s="5"/>
      <c r="E16" s="5"/>
      <c r="F16" s="5"/>
      <c r="G16" s="5"/>
    </row>
    <row r="17" spans="1:7" ht="10.95" customHeight="1">
      <c r="A17" s="5"/>
      <c r="B17" s="5"/>
      <c r="C17" s="5"/>
      <c r="D17" s="5"/>
      <c r="E17" s="2477" t="s">
        <v>705</v>
      </c>
      <c r="F17" s="2477"/>
      <c r="G17" s="5"/>
    </row>
    <row r="18" spans="1:7" ht="10.95" customHeight="1">
      <c r="A18" s="5"/>
      <c r="B18" s="5"/>
      <c r="C18" s="5"/>
      <c r="D18" s="5"/>
      <c r="E18" s="5"/>
      <c r="F18" s="5"/>
      <c r="G18" s="5"/>
    </row>
    <row r="19" spans="1:7" ht="10.95" customHeight="1">
      <c r="A19" s="10" t="s">
        <v>706</v>
      </c>
      <c r="B19" s="2477" t="s">
        <v>707</v>
      </c>
      <c r="C19" s="2477"/>
      <c r="D19" s="2477"/>
      <c r="E19" s="2477"/>
      <c r="F19" s="2477"/>
      <c r="G19" s="5"/>
    </row>
    <row r="20" spans="1:7" ht="12" customHeight="1">
      <c r="A20" s="10" t="s">
        <v>708</v>
      </c>
      <c r="B20" s="2471" t="s">
        <v>876</v>
      </c>
      <c r="C20" s="2471"/>
      <c r="D20" s="2471"/>
      <c r="E20" s="2475" t="s">
        <v>710</v>
      </c>
      <c r="F20" s="2475"/>
      <c r="G20" s="5"/>
    </row>
    <row r="21" spans="1:7" ht="10.95" customHeight="1">
      <c r="A21" s="10" t="s">
        <v>711</v>
      </c>
      <c r="B21" s="2476" t="s">
        <v>712</v>
      </c>
      <c r="C21" s="2476"/>
      <c r="D21" s="2476"/>
      <c r="E21" s="2476"/>
      <c r="F21" s="2476"/>
      <c r="G21" s="5"/>
    </row>
    <row r="22" spans="1:7" ht="10.95" customHeight="1">
      <c r="A22" s="10"/>
      <c r="B22" s="27"/>
      <c r="C22" s="27"/>
      <c r="D22" s="27"/>
      <c r="E22" s="27"/>
      <c r="F22" s="27"/>
      <c r="G22" s="5"/>
    </row>
    <row r="23" spans="1:7" ht="10.95" customHeight="1">
      <c r="A23" s="55" t="s">
        <v>2147</v>
      </c>
      <c r="B23" s="27"/>
      <c r="C23" s="27"/>
      <c r="D23" s="27"/>
      <c r="E23" s="27"/>
      <c r="F23" s="27"/>
      <c r="G23" s="5"/>
    </row>
    <row r="24" spans="1:7" ht="10.95" customHeight="1">
      <c r="A24" s="50"/>
      <c r="B24" s="27"/>
      <c r="C24" s="27"/>
      <c r="D24" s="27"/>
      <c r="E24" s="27"/>
      <c r="F24" s="27"/>
      <c r="G24" s="5"/>
    </row>
    <row r="25" spans="1:7" ht="31.35" customHeight="1">
      <c r="A25" s="9" t="s">
        <v>1003</v>
      </c>
      <c r="B25" s="19" t="s">
        <v>1004</v>
      </c>
      <c r="C25" s="9" t="s">
        <v>1005</v>
      </c>
      <c r="D25" s="9" t="s">
        <v>1006</v>
      </c>
      <c r="E25" s="9" t="s">
        <v>1007</v>
      </c>
      <c r="F25" s="8" t="s">
        <v>669</v>
      </c>
      <c r="G25" s="8" t="s">
        <v>670</v>
      </c>
    </row>
    <row r="26" spans="1:7" ht="10.95" customHeight="1">
      <c r="A26" s="10" t="s">
        <v>671</v>
      </c>
      <c r="B26" s="10" t="s">
        <v>672</v>
      </c>
      <c r="C26" s="5"/>
      <c r="D26" s="5"/>
      <c r="E26" s="5"/>
      <c r="F26" s="5"/>
      <c r="G26" s="5"/>
    </row>
    <row r="27" spans="1:7" ht="12.45" customHeight="1">
      <c r="A27" s="5"/>
      <c r="B27" s="10" t="s">
        <v>673</v>
      </c>
      <c r="C27" s="10" t="s">
        <v>674</v>
      </c>
      <c r="D27" s="11" t="s">
        <v>675</v>
      </c>
      <c r="E27" s="11" t="s">
        <v>870</v>
      </c>
      <c r="F27" s="5"/>
      <c r="G27" s="5"/>
    </row>
    <row r="28" spans="1:7" ht="12.45" customHeight="1">
      <c r="A28" s="5"/>
      <c r="B28" s="10" t="s">
        <v>816</v>
      </c>
      <c r="C28" s="10" t="s">
        <v>678</v>
      </c>
      <c r="D28" s="11" t="s">
        <v>675</v>
      </c>
      <c r="E28" s="11" t="s">
        <v>679</v>
      </c>
      <c r="F28" s="5"/>
      <c r="G28" s="5"/>
    </row>
    <row r="29" spans="1:7" ht="12.45" customHeight="1">
      <c r="A29" s="5"/>
      <c r="B29" s="10" t="s">
        <v>680</v>
      </c>
      <c r="C29" s="10" t="s">
        <v>681</v>
      </c>
      <c r="D29" s="11" t="s">
        <v>675</v>
      </c>
      <c r="E29" s="11" t="s">
        <v>682</v>
      </c>
      <c r="F29" s="5"/>
      <c r="G29" s="5"/>
    </row>
    <row r="30" spans="1:7" ht="12.45" customHeight="1">
      <c r="A30" s="5"/>
      <c r="B30" s="10" t="s">
        <v>683</v>
      </c>
      <c r="C30" s="10" t="s">
        <v>684</v>
      </c>
      <c r="D30" s="11" t="s">
        <v>675</v>
      </c>
      <c r="E30" s="11" t="s">
        <v>851</v>
      </c>
      <c r="F30" s="5"/>
      <c r="G30" s="5"/>
    </row>
    <row r="31" spans="1:7" ht="10.95" customHeight="1">
      <c r="A31" s="5"/>
      <c r="B31" s="5"/>
      <c r="C31" s="5"/>
      <c r="D31" s="5"/>
      <c r="E31" s="2477" t="s">
        <v>685</v>
      </c>
      <c r="F31" s="2477"/>
      <c r="G31" s="5"/>
    </row>
    <row r="32" spans="1:7" ht="10.95" customHeight="1">
      <c r="A32" s="10" t="s">
        <v>686</v>
      </c>
      <c r="B32" s="10" t="s">
        <v>687</v>
      </c>
      <c r="C32" s="5"/>
      <c r="D32" s="5"/>
      <c r="E32" s="5"/>
      <c r="F32" s="5"/>
      <c r="G32" s="5"/>
    </row>
    <row r="33" spans="1:7" ht="12.45" customHeight="1">
      <c r="A33" s="5"/>
      <c r="B33" s="10" t="s">
        <v>742</v>
      </c>
      <c r="C33" s="5"/>
      <c r="D33" s="11" t="s">
        <v>692</v>
      </c>
      <c r="E33" s="10" t="s">
        <v>1013</v>
      </c>
      <c r="F33" s="5"/>
      <c r="G33" s="5"/>
    </row>
    <row r="34" spans="1:7" ht="12.45" customHeight="1">
      <c r="A34" s="5"/>
      <c r="B34" s="10" t="s">
        <v>818</v>
      </c>
      <c r="C34" s="5"/>
      <c r="D34" s="11" t="s">
        <v>690</v>
      </c>
      <c r="E34" s="10" t="s">
        <v>1022</v>
      </c>
      <c r="F34" s="5"/>
      <c r="G34" s="5"/>
    </row>
    <row r="35" spans="1:7" ht="12.45" customHeight="1">
      <c r="A35" s="5"/>
      <c r="B35" s="10" t="s">
        <v>806</v>
      </c>
      <c r="C35" s="5"/>
      <c r="D35" s="11" t="s">
        <v>692</v>
      </c>
      <c r="E35" s="10" t="s">
        <v>1023</v>
      </c>
      <c r="F35" s="5"/>
      <c r="G35" s="5"/>
    </row>
    <row r="36" spans="1:7" ht="12.45" customHeight="1">
      <c r="A36" s="5"/>
      <c r="B36" s="10" t="s">
        <v>808</v>
      </c>
      <c r="C36" s="5"/>
      <c r="D36" s="11" t="s">
        <v>692</v>
      </c>
      <c r="E36" s="10" t="s">
        <v>1024</v>
      </c>
      <c r="F36" s="5"/>
      <c r="G36" s="5"/>
    </row>
    <row r="37" spans="1:7" ht="10.95" customHeight="1">
      <c r="A37" s="5"/>
      <c r="B37" s="5"/>
      <c r="C37" s="5"/>
      <c r="D37" s="5"/>
      <c r="E37" s="2477" t="s">
        <v>702</v>
      </c>
      <c r="F37" s="2477"/>
      <c r="G37" s="5"/>
    </row>
    <row r="38" spans="1:7" ht="10.95" customHeight="1">
      <c r="A38" s="10" t="s">
        <v>703</v>
      </c>
      <c r="B38" s="10" t="s">
        <v>704</v>
      </c>
      <c r="C38" s="5"/>
      <c r="D38" s="5"/>
      <c r="E38" s="5"/>
      <c r="F38" s="5"/>
      <c r="G38" s="5"/>
    </row>
    <row r="39" spans="1:7" ht="10.95" customHeight="1">
      <c r="A39" s="5"/>
      <c r="B39" s="5"/>
      <c r="C39" s="5"/>
      <c r="D39" s="5"/>
      <c r="E39" s="5"/>
      <c r="F39" s="5"/>
      <c r="G39" s="5"/>
    </row>
    <row r="40" spans="1:7" ht="10.95" customHeight="1">
      <c r="A40" s="5"/>
      <c r="B40" s="5"/>
      <c r="C40" s="5"/>
      <c r="D40" s="5"/>
      <c r="E40" s="2477" t="s">
        <v>705</v>
      </c>
      <c r="F40" s="2477"/>
      <c r="G40" s="5"/>
    </row>
    <row r="41" spans="1:7" ht="10.95" customHeight="1">
      <c r="A41" s="5"/>
      <c r="B41" s="5"/>
      <c r="C41" s="5"/>
      <c r="D41" s="5"/>
      <c r="E41" s="5"/>
      <c r="F41" s="5"/>
      <c r="G41" s="5"/>
    </row>
    <row r="42" spans="1:7" ht="10.95" customHeight="1">
      <c r="A42" s="10" t="s">
        <v>706</v>
      </c>
      <c r="B42" s="2477" t="s">
        <v>707</v>
      </c>
      <c r="C42" s="2477"/>
      <c r="D42" s="2477"/>
      <c r="E42" s="2477"/>
      <c r="F42" s="2477"/>
      <c r="G42" s="5"/>
    </row>
    <row r="43" spans="1:7" ht="12" customHeight="1">
      <c r="A43" s="10" t="s">
        <v>708</v>
      </c>
      <c r="B43" s="2471" t="s">
        <v>876</v>
      </c>
      <c r="C43" s="2471"/>
      <c r="D43" s="2471"/>
      <c r="E43" s="2475" t="s">
        <v>710</v>
      </c>
      <c r="F43" s="2475"/>
      <c r="G43" s="5"/>
    </row>
    <row r="44" spans="1:7" ht="10.95" customHeight="1">
      <c r="A44" s="10" t="s">
        <v>711</v>
      </c>
      <c r="B44" s="2476" t="s">
        <v>712</v>
      </c>
      <c r="C44" s="2476"/>
      <c r="D44" s="2476"/>
      <c r="E44" s="2476"/>
      <c r="F44" s="2476"/>
      <c r="G44" s="5"/>
    </row>
  </sheetData>
  <mergeCells count="14">
    <mergeCell ref="E9:F9"/>
    <mergeCell ref="E14:F14"/>
    <mergeCell ref="E17:F17"/>
    <mergeCell ref="B19:F19"/>
    <mergeCell ref="B20:D20"/>
    <mergeCell ref="E20:F20"/>
    <mergeCell ref="B43:D43"/>
    <mergeCell ref="E43:F43"/>
    <mergeCell ref="B44:F44"/>
    <mergeCell ref="B21:F21"/>
    <mergeCell ref="E31:F31"/>
    <mergeCell ref="E37:F37"/>
    <mergeCell ref="E40:F40"/>
    <mergeCell ref="B42:F42"/>
  </mergeCells>
  <pageMargins left="0.7" right="0.7" top="0.75" bottom="0.75" header="0.3" footer="0.3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100-000000000000}">
  <sheetPr codeName="Sheet202"/>
  <dimension ref="A1:G39"/>
  <sheetViews>
    <sheetView workbookViewId="0">
      <selection activeCell="G39" sqref="A1:G39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2524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695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693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856</v>
      </c>
      <c r="F7" s="5"/>
      <c r="G7" s="5"/>
    </row>
    <row r="8" spans="1:7" ht="12" customHeight="1">
      <c r="A8" s="5"/>
      <c r="B8" s="3" t="s">
        <v>1794</v>
      </c>
      <c r="C8" s="3" t="s">
        <v>1661</v>
      </c>
      <c r="D8" s="12" t="s">
        <v>675</v>
      </c>
      <c r="E8" s="3" t="s">
        <v>1517</v>
      </c>
      <c r="F8" s="5"/>
      <c r="G8" s="5"/>
    </row>
    <row r="9" spans="1:7" ht="12" customHeight="1">
      <c r="A9" s="5"/>
      <c r="B9" s="5"/>
      <c r="C9" s="5"/>
      <c r="D9" s="5"/>
      <c r="E9" s="2474" t="s">
        <v>685</v>
      </c>
      <c r="F9" s="2474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65" customHeight="1">
      <c r="A11" s="5"/>
      <c r="B11" s="3" t="s">
        <v>1544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2474" t="s">
        <v>702</v>
      </c>
      <c r="F12" s="2474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1484</v>
      </c>
      <c r="F14" s="5"/>
      <c r="G14" s="5"/>
    </row>
    <row r="15" spans="1:7" ht="12" customHeight="1">
      <c r="A15" s="5"/>
      <c r="B15" s="5"/>
      <c r="C15" s="5"/>
      <c r="D15" s="5"/>
      <c r="E15" s="2474" t="s">
        <v>705</v>
      </c>
      <c r="F15" s="2474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2474" t="s">
        <v>707</v>
      </c>
      <c r="C17" s="2474"/>
      <c r="D17" s="2474"/>
      <c r="E17" s="2474"/>
      <c r="F17" s="2474"/>
      <c r="G17" s="5"/>
    </row>
    <row r="18" spans="1:7" ht="12" customHeight="1">
      <c r="A18" s="12" t="s">
        <v>708</v>
      </c>
      <c r="B18" s="2471" t="s">
        <v>709</v>
      </c>
      <c r="C18" s="2471"/>
      <c r="D18" s="2471"/>
      <c r="E18" s="2472" t="s">
        <v>710</v>
      </c>
      <c r="F18" s="2472"/>
      <c r="G18" s="5"/>
    </row>
    <row r="19" spans="1:7" ht="12" customHeight="1">
      <c r="A19" s="12" t="s">
        <v>711</v>
      </c>
      <c r="B19" s="2473" t="s">
        <v>712</v>
      </c>
      <c r="C19" s="2473"/>
      <c r="D19" s="2473"/>
      <c r="E19" s="2473"/>
      <c r="F19" s="2473"/>
      <c r="G19" s="5"/>
    </row>
    <row r="20" spans="1:7" ht="12" customHeight="1">
      <c r="A20" s="12"/>
      <c r="B20" s="26"/>
      <c r="C20" s="26"/>
      <c r="D20" s="26"/>
      <c r="E20" s="26"/>
      <c r="F20" s="26"/>
      <c r="G20" s="5"/>
    </row>
    <row r="21" spans="1:7" ht="12" customHeight="1">
      <c r="A21" s="50" t="s">
        <v>2525</v>
      </c>
      <c r="B21" s="26"/>
      <c r="C21" s="26"/>
      <c r="D21" s="26"/>
      <c r="E21" s="26"/>
      <c r="F21" s="26"/>
      <c r="G21" s="5"/>
    </row>
    <row r="22" spans="1:7" ht="12" customHeight="1">
      <c r="A22" s="12"/>
      <c r="B22" s="26"/>
      <c r="C22" s="26"/>
      <c r="D22" s="26"/>
      <c r="E22" s="26"/>
      <c r="F22" s="26"/>
      <c r="G22" s="5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1044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868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784</v>
      </c>
      <c r="F27" s="5"/>
      <c r="G27" s="5"/>
    </row>
    <row r="28" spans="1:7" ht="12" customHeight="1">
      <c r="A28" s="5"/>
      <c r="B28" s="3" t="s">
        <v>1794</v>
      </c>
      <c r="C28" s="3" t="s">
        <v>1661</v>
      </c>
      <c r="D28" s="12" t="s">
        <v>675</v>
      </c>
      <c r="E28" s="3" t="s">
        <v>1610</v>
      </c>
      <c r="F28" s="5"/>
      <c r="G28" s="5"/>
    </row>
    <row r="29" spans="1:7" ht="12" customHeight="1">
      <c r="A29" s="5"/>
      <c r="B29" s="5"/>
      <c r="C29" s="5"/>
      <c r="D29" s="5"/>
      <c r="E29" s="2474" t="s">
        <v>685</v>
      </c>
      <c r="F29" s="2474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65" customHeight="1">
      <c r="A31" s="5"/>
      <c r="B31" s="3" t="s">
        <v>1546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2474" t="s">
        <v>702</v>
      </c>
      <c r="F32" s="2474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1797</v>
      </c>
      <c r="F34" s="5"/>
      <c r="G34" s="5"/>
    </row>
    <row r="35" spans="1:7" ht="12" customHeight="1">
      <c r="A35" s="5"/>
      <c r="B35" s="5"/>
      <c r="C35" s="5"/>
      <c r="D35" s="5"/>
      <c r="E35" s="2474" t="s">
        <v>705</v>
      </c>
      <c r="F35" s="2474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2474" t="s">
        <v>707</v>
      </c>
      <c r="C37" s="2474"/>
      <c r="D37" s="2474"/>
      <c r="E37" s="2474"/>
      <c r="F37" s="2474"/>
      <c r="G37" s="5"/>
    </row>
    <row r="38" spans="1:7" ht="12" customHeight="1">
      <c r="A38" s="12" t="s">
        <v>708</v>
      </c>
      <c r="B38" s="2471" t="s">
        <v>709</v>
      </c>
      <c r="C38" s="2471"/>
      <c r="D38" s="2471"/>
      <c r="E38" s="2472" t="s">
        <v>710</v>
      </c>
      <c r="F38" s="2472"/>
      <c r="G38" s="5"/>
    </row>
    <row r="39" spans="1:7" ht="12" customHeight="1">
      <c r="A39" s="12" t="s">
        <v>711</v>
      </c>
      <c r="B39" s="2473" t="s">
        <v>712</v>
      </c>
      <c r="C39" s="2473"/>
      <c r="D39" s="2473"/>
      <c r="E39" s="2473"/>
      <c r="F39" s="2473"/>
      <c r="G39" s="5"/>
    </row>
  </sheetData>
  <mergeCells count="14">
    <mergeCell ref="E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E29:F29"/>
    <mergeCell ref="E32:F32"/>
    <mergeCell ref="E35:F35"/>
    <mergeCell ref="B37:F37"/>
  </mergeCells>
  <pageMargins left="0.7" right="0.7" top="0.75" bottom="0.75" header="0.3" footer="0.3"/>
  <pageSetup orientation="portrait" horizontalDpi="360" verticalDpi="360" r:id="rId1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200-000000000000}">
  <sheetPr codeName="Sheet203"/>
  <dimension ref="A1:G39"/>
  <sheetViews>
    <sheetView topLeftCell="A19" workbookViewId="0">
      <selection sqref="A1:G39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2526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963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895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783</v>
      </c>
      <c r="F7" s="5"/>
      <c r="G7" s="5"/>
    </row>
    <row r="8" spans="1:7" ht="12" customHeight="1">
      <c r="A8" s="5"/>
      <c r="B8" s="3" t="s">
        <v>1794</v>
      </c>
      <c r="C8" s="3" t="s">
        <v>1661</v>
      </c>
      <c r="D8" s="12" t="s">
        <v>675</v>
      </c>
      <c r="E8" s="3" t="s">
        <v>1648</v>
      </c>
      <c r="F8" s="5"/>
      <c r="G8" s="5"/>
    </row>
    <row r="9" spans="1:7" ht="12" customHeight="1">
      <c r="A9" s="2484" t="s">
        <v>685</v>
      </c>
      <c r="B9" s="2484"/>
      <c r="C9" s="2484"/>
      <c r="D9" s="2484"/>
      <c r="E9" s="2484"/>
      <c r="F9" s="2484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65" customHeight="1">
      <c r="A11" s="5"/>
      <c r="B11" s="3" t="s">
        <v>1548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2474" t="s">
        <v>702</v>
      </c>
      <c r="F12" s="2474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1761</v>
      </c>
      <c r="F14" s="5"/>
      <c r="G14" s="5"/>
    </row>
    <row r="15" spans="1:7" ht="12" customHeight="1">
      <c r="A15" s="5"/>
      <c r="B15" s="5"/>
      <c r="C15" s="5"/>
      <c r="D15" s="5"/>
      <c r="E15" s="2474" t="s">
        <v>705</v>
      </c>
      <c r="F15" s="2474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2474" t="s">
        <v>707</v>
      </c>
      <c r="C17" s="2474"/>
      <c r="D17" s="2474"/>
      <c r="E17" s="2474"/>
      <c r="F17" s="2474"/>
      <c r="G17" s="5"/>
    </row>
    <row r="18" spans="1:7" ht="12" customHeight="1">
      <c r="A18" s="12" t="s">
        <v>708</v>
      </c>
      <c r="B18" s="2471" t="s">
        <v>709</v>
      </c>
      <c r="C18" s="2471"/>
      <c r="D18" s="2471"/>
      <c r="E18" s="2472" t="s">
        <v>710</v>
      </c>
      <c r="F18" s="2472"/>
      <c r="G18" s="5"/>
    </row>
    <row r="19" spans="1:7" ht="12" customHeight="1">
      <c r="A19" s="12" t="s">
        <v>711</v>
      </c>
      <c r="B19" s="2473" t="s">
        <v>712</v>
      </c>
      <c r="C19" s="2473"/>
      <c r="D19" s="2473"/>
      <c r="E19" s="2473"/>
      <c r="F19" s="2473"/>
      <c r="G19" s="5"/>
    </row>
    <row r="20" spans="1:7" ht="12" customHeight="1">
      <c r="A20" s="12"/>
      <c r="B20" s="26"/>
      <c r="C20" s="26"/>
      <c r="D20" s="26"/>
      <c r="E20" s="26"/>
      <c r="F20" s="26"/>
      <c r="G20" s="5"/>
    </row>
    <row r="21" spans="1:7" ht="12" customHeight="1">
      <c r="A21" s="50" t="s">
        <v>2527</v>
      </c>
      <c r="B21" s="26"/>
      <c r="C21" s="26"/>
      <c r="D21" s="26"/>
      <c r="E21" s="26"/>
      <c r="F21" s="26"/>
      <c r="G21" s="5"/>
    </row>
    <row r="22" spans="1:7" ht="12" customHeight="1">
      <c r="A22" s="12"/>
      <c r="B22" s="26"/>
      <c r="C22" s="26"/>
      <c r="D22" s="26"/>
      <c r="E22" s="26"/>
      <c r="F22" s="26"/>
      <c r="G22" s="5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798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863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730</v>
      </c>
      <c r="F27" s="5"/>
      <c r="G27" s="5"/>
    </row>
    <row r="28" spans="1:7" ht="12" customHeight="1">
      <c r="A28" s="5"/>
      <c r="B28" s="3" t="s">
        <v>1794</v>
      </c>
      <c r="C28" s="3" t="s">
        <v>1661</v>
      </c>
      <c r="D28" s="12" t="s">
        <v>675</v>
      </c>
      <c r="E28" s="3" t="s">
        <v>1738</v>
      </c>
      <c r="F28" s="5"/>
      <c r="G28" s="5"/>
    </row>
    <row r="29" spans="1:7" ht="12" customHeight="1">
      <c r="A29" s="2484" t="s">
        <v>685</v>
      </c>
      <c r="B29" s="2484"/>
      <c r="C29" s="2484"/>
      <c r="D29" s="2484"/>
      <c r="E29" s="2484"/>
      <c r="F29" s="2484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65" customHeight="1">
      <c r="A31" s="5"/>
      <c r="B31" s="3" t="s">
        <v>1550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2474" t="s">
        <v>702</v>
      </c>
      <c r="F32" s="2474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1798</v>
      </c>
      <c r="F34" s="5"/>
      <c r="G34" s="5"/>
    </row>
    <row r="35" spans="1:7" ht="12" customHeight="1">
      <c r="A35" s="5"/>
      <c r="B35" s="5"/>
      <c r="C35" s="5"/>
      <c r="D35" s="5"/>
      <c r="E35" s="2474" t="s">
        <v>705</v>
      </c>
      <c r="F35" s="2474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2474" t="s">
        <v>707</v>
      </c>
      <c r="C37" s="2474"/>
      <c r="D37" s="2474"/>
      <c r="E37" s="2474"/>
      <c r="F37" s="2474"/>
      <c r="G37" s="5"/>
    </row>
    <row r="38" spans="1:7" ht="12" customHeight="1">
      <c r="A38" s="12" t="s">
        <v>708</v>
      </c>
      <c r="B38" s="2471" t="s">
        <v>709</v>
      </c>
      <c r="C38" s="2471"/>
      <c r="D38" s="2471"/>
      <c r="E38" s="2472" t="s">
        <v>710</v>
      </c>
      <c r="F38" s="2472"/>
      <c r="G38" s="5"/>
    </row>
    <row r="39" spans="1:7" ht="12" customHeight="1">
      <c r="A39" s="12" t="s">
        <v>711</v>
      </c>
      <c r="B39" s="2473" t="s">
        <v>712</v>
      </c>
      <c r="C39" s="2473"/>
      <c r="D39" s="2473"/>
      <c r="E39" s="2473"/>
      <c r="F39" s="2473"/>
      <c r="G39" s="5"/>
    </row>
  </sheetData>
  <mergeCells count="14">
    <mergeCell ref="A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A29:F29"/>
    <mergeCell ref="E32:F32"/>
    <mergeCell ref="E35:F35"/>
    <mergeCell ref="B37:F37"/>
  </mergeCells>
  <pageMargins left="0.7" right="0.7" top="0.75" bottom="0.75" header="0.3" footer="0.3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300-000000000000}">
  <sheetPr codeName="Sheet204"/>
  <dimension ref="A1:G39"/>
  <sheetViews>
    <sheetView workbookViewId="0">
      <selection activeCell="G39" sqref="A1:G39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2528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778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795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695</v>
      </c>
      <c r="F7" s="5"/>
      <c r="G7" s="5"/>
    </row>
    <row r="8" spans="1:7" ht="12" customHeight="1">
      <c r="A8" s="5"/>
      <c r="B8" s="3" t="s">
        <v>1794</v>
      </c>
      <c r="C8" s="3" t="s">
        <v>1661</v>
      </c>
      <c r="D8" s="12" t="s">
        <v>675</v>
      </c>
      <c r="E8" s="3" t="s">
        <v>1799</v>
      </c>
      <c r="F8" s="5"/>
      <c r="G8" s="5"/>
    </row>
    <row r="9" spans="1:7" ht="12" customHeight="1">
      <c r="A9" s="2484" t="s">
        <v>685</v>
      </c>
      <c r="B9" s="2484"/>
      <c r="C9" s="2484"/>
      <c r="D9" s="2484"/>
      <c r="E9" s="2484"/>
      <c r="F9" s="2484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65" customHeight="1">
      <c r="A11" s="5"/>
      <c r="B11" s="3" t="s">
        <v>1552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2474" t="s">
        <v>702</v>
      </c>
      <c r="F12" s="2474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1762</v>
      </c>
      <c r="F14" s="5"/>
      <c r="G14" s="5"/>
    </row>
    <row r="15" spans="1:7" ht="12" customHeight="1">
      <c r="A15" s="5"/>
      <c r="B15" s="5"/>
      <c r="C15" s="5"/>
      <c r="D15" s="5"/>
      <c r="E15" s="2474" t="s">
        <v>705</v>
      </c>
      <c r="F15" s="2474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2474" t="s">
        <v>707</v>
      </c>
      <c r="C17" s="2474"/>
      <c r="D17" s="2474"/>
      <c r="E17" s="2474"/>
      <c r="F17" s="2474"/>
      <c r="G17" s="5"/>
    </row>
    <row r="18" spans="1:7" ht="12" customHeight="1">
      <c r="A18" s="12" t="s">
        <v>708</v>
      </c>
      <c r="B18" s="2471" t="s">
        <v>709</v>
      </c>
      <c r="C18" s="2471"/>
      <c r="D18" s="2471"/>
      <c r="E18" s="2472" t="s">
        <v>710</v>
      </c>
      <c r="F18" s="2472"/>
      <c r="G18" s="5"/>
    </row>
    <row r="19" spans="1:7" ht="12" customHeight="1">
      <c r="A19" s="12" t="s">
        <v>711</v>
      </c>
      <c r="B19" s="2473" t="s">
        <v>712</v>
      </c>
      <c r="C19" s="2473"/>
      <c r="D19" s="2473"/>
      <c r="E19" s="2473"/>
      <c r="F19" s="2473"/>
      <c r="G19" s="5"/>
    </row>
    <row r="20" spans="1:7" ht="12" customHeight="1">
      <c r="A20" s="12"/>
      <c r="B20" s="26"/>
      <c r="C20" s="26"/>
      <c r="D20" s="26"/>
      <c r="E20" s="26"/>
      <c r="F20" s="26"/>
      <c r="G20" s="5"/>
    </row>
    <row r="21" spans="1:7" ht="12" customHeight="1">
      <c r="A21" s="50" t="s">
        <v>2529</v>
      </c>
      <c r="B21" s="26"/>
      <c r="C21" s="26"/>
      <c r="D21" s="26"/>
      <c r="E21" s="26"/>
      <c r="F21" s="26"/>
      <c r="G21" s="5"/>
    </row>
    <row r="22" spans="1:7" ht="12" customHeight="1">
      <c r="A22" s="12"/>
      <c r="B22" s="26"/>
      <c r="C22" s="26"/>
      <c r="D22" s="26"/>
      <c r="E22" s="26"/>
      <c r="F22" s="26"/>
      <c r="G22" s="5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1800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1801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865</v>
      </c>
      <c r="F27" s="5"/>
      <c r="G27" s="5"/>
    </row>
    <row r="28" spans="1:7" ht="12" customHeight="1">
      <c r="A28" s="5"/>
      <c r="B28" s="3" t="s">
        <v>1794</v>
      </c>
      <c r="C28" s="3" t="s">
        <v>1661</v>
      </c>
      <c r="D28" s="12" t="s">
        <v>675</v>
      </c>
      <c r="E28" s="3" t="s">
        <v>1802</v>
      </c>
      <c r="F28" s="5"/>
      <c r="G28" s="5"/>
    </row>
    <row r="29" spans="1:7" ht="12" customHeight="1">
      <c r="A29" s="2484" t="s">
        <v>685</v>
      </c>
      <c r="B29" s="2484"/>
      <c r="C29" s="2484"/>
      <c r="D29" s="2484"/>
      <c r="E29" s="2484"/>
      <c r="F29" s="2484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65" customHeight="1">
      <c r="A31" s="5"/>
      <c r="B31" s="3" t="s">
        <v>1556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2474" t="s">
        <v>702</v>
      </c>
      <c r="F32" s="2474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1803</v>
      </c>
      <c r="F34" s="5"/>
      <c r="G34" s="5"/>
    </row>
    <row r="35" spans="1:7" ht="12" customHeight="1">
      <c r="A35" s="5"/>
      <c r="B35" s="5"/>
      <c r="C35" s="5"/>
      <c r="D35" s="5"/>
      <c r="E35" s="2474" t="s">
        <v>705</v>
      </c>
      <c r="F35" s="2474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2474" t="s">
        <v>707</v>
      </c>
      <c r="C37" s="2474"/>
      <c r="D37" s="2474"/>
      <c r="E37" s="2474"/>
      <c r="F37" s="2474"/>
      <c r="G37" s="5"/>
    </row>
    <row r="38" spans="1:7" ht="12" customHeight="1">
      <c r="A38" s="12" t="s">
        <v>708</v>
      </c>
      <c r="B38" s="2471" t="s">
        <v>709</v>
      </c>
      <c r="C38" s="2471"/>
      <c r="D38" s="2471"/>
      <c r="E38" s="2472" t="s">
        <v>710</v>
      </c>
      <c r="F38" s="2472"/>
      <c r="G38" s="5"/>
    </row>
    <row r="39" spans="1:7" ht="12" customHeight="1">
      <c r="A39" s="12" t="s">
        <v>711</v>
      </c>
      <c r="B39" s="2473" t="s">
        <v>712</v>
      </c>
      <c r="C39" s="2473"/>
      <c r="D39" s="2473"/>
      <c r="E39" s="2473"/>
      <c r="F39" s="2473"/>
      <c r="G39" s="5"/>
    </row>
  </sheetData>
  <mergeCells count="14">
    <mergeCell ref="A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A29:F29"/>
    <mergeCell ref="E32:F32"/>
    <mergeCell ref="E35:F35"/>
    <mergeCell ref="B37:F37"/>
  </mergeCells>
  <pageMargins left="0.7" right="0.7" top="0.75" bottom="0.75" header="0.3" footer="0.3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400-000000000000}">
  <sheetPr codeName="Sheet205"/>
  <dimension ref="A1:G39"/>
  <sheetViews>
    <sheetView workbookViewId="0">
      <selection activeCell="G39" sqref="A1:G39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2530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1085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1804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1065</v>
      </c>
      <c r="F7" s="5"/>
      <c r="G7" s="5"/>
    </row>
    <row r="8" spans="1:7" ht="12" customHeight="1">
      <c r="A8" s="5"/>
      <c r="B8" s="3" t="s">
        <v>1794</v>
      </c>
      <c r="C8" s="3" t="s">
        <v>1661</v>
      </c>
      <c r="D8" s="12" t="s">
        <v>675</v>
      </c>
      <c r="E8" s="3" t="s">
        <v>1805</v>
      </c>
      <c r="F8" s="5"/>
      <c r="G8" s="5"/>
    </row>
    <row r="9" spans="1:7" ht="12" customHeight="1">
      <c r="A9" s="2484" t="s">
        <v>685</v>
      </c>
      <c r="B9" s="2484"/>
      <c r="C9" s="2484"/>
      <c r="D9" s="2484"/>
      <c r="E9" s="2484"/>
      <c r="F9" s="2484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65" customHeight="1">
      <c r="A11" s="5"/>
      <c r="B11" s="3" t="s">
        <v>1559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2474" t="s">
        <v>702</v>
      </c>
      <c r="F12" s="2474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1757</v>
      </c>
      <c r="F14" s="5"/>
      <c r="G14" s="5"/>
    </row>
    <row r="15" spans="1:7" ht="12" customHeight="1">
      <c r="A15" s="5"/>
      <c r="B15" s="5"/>
      <c r="C15" s="5"/>
      <c r="D15" s="5"/>
      <c r="E15" s="2474" t="s">
        <v>705</v>
      </c>
      <c r="F15" s="2474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2474" t="s">
        <v>707</v>
      </c>
      <c r="C17" s="2474"/>
      <c r="D17" s="2474"/>
      <c r="E17" s="2474"/>
      <c r="F17" s="2474"/>
      <c r="G17" s="5"/>
    </row>
    <row r="18" spans="1:7" ht="12" customHeight="1">
      <c r="A18" s="12" t="s">
        <v>708</v>
      </c>
      <c r="B18" s="2471" t="s">
        <v>709</v>
      </c>
      <c r="C18" s="2471"/>
      <c r="D18" s="2471"/>
      <c r="E18" s="2472" t="s">
        <v>710</v>
      </c>
      <c r="F18" s="2472"/>
      <c r="G18" s="5"/>
    </row>
    <row r="19" spans="1:7" ht="12" customHeight="1">
      <c r="A19" s="12" t="s">
        <v>711</v>
      </c>
      <c r="B19" s="2473" t="s">
        <v>712</v>
      </c>
      <c r="C19" s="2473"/>
      <c r="D19" s="2473"/>
      <c r="E19" s="2473"/>
      <c r="F19" s="2473"/>
      <c r="G19" s="5"/>
    </row>
    <row r="20" spans="1:7" ht="12" customHeight="1">
      <c r="A20" s="12"/>
      <c r="B20" s="26"/>
      <c r="C20" s="26"/>
      <c r="D20" s="26"/>
      <c r="E20" s="26"/>
      <c r="F20" s="26"/>
      <c r="G20" s="5"/>
    </row>
    <row r="21" spans="1:7" ht="12" customHeight="1">
      <c r="A21" s="50" t="s">
        <v>2531</v>
      </c>
      <c r="B21" s="26"/>
      <c r="C21" s="26"/>
      <c r="D21" s="26"/>
      <c r="E21" s="26"/>
      <c r="F21" s="26"/>
      <c r="G21" s="5"/>
    </row>
    <row r="22" spans="1:7" ht="12" customHeight="1">
      <c r="A22" s="12"/>
      <c r="B22" s="26"/>
      <c r="C22" s="26"/>
      <c r="D22" s="26"/>
      <c r="E22" s="26"/>
      <c r="F22" s="26"/>
      <c r="G22" s="5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1806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1807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839</v>
      </c>
      <c r="F27" s="5"/>
      <c r="G27" s="5"/>
    </row>
    <row r="28" spans="1:7" ht="12" customHeight="1">
      <c r="A28" s="5"/>
      <c r="B28" s="3" t="s">
        <v>1794</v>
      </c>
      <c r="C28" s="3" t="s">
        <v>1661</v>
      </c>
      <c r="D28" s="12" t="s">
        <v>675</v>
      </c>
      <c r="E28" s="3" t="s">
        <v>1808</v>
      </c>
      <c r="F28" s="5"/>
      <c r="G28" s="5"/>
    </row>
    <row r="29" spans="1:7" ht="12" customHeight="1">
      <c r="A29" s="2484" t="s">
        <v>685</v>
      </c>
      <c r="B29" s="2484"/>
      <c r="C29" s="2484"/>
      <c r="D29" s="2484"/>
      <c r="E29" s="2484"/>
      <c r="F29" s="2484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65" customHeight="1">
      <c r="A31" s="5"/>
      <c r="B31" s="3" t="s">
        <v>1563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2474" t="s">
        <v>702</v>
      </c>
      <c r="F32" s="2474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1809</v>
      </c>
      <c r="F34" s="5"/>
      <c r="G34" s="5"/>
    </row>
    <row r="35" spans="1:7" ht="12" customHeight="1">
      <c r="A35" s="5"/>
      <c r="B35" s="5"/>
      <c r="C35" s="5"/>
      <c r="D35" s="5"/>
      <c r="E35" s="2474" t="s">
        <v>705</v>
      </c>
      <c r="F35" s="2474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2474" t="s">
        <v>707</v>
      </c>
      <c r="C37" s="2474"/>
      <c r="D37" s="2474"/>
      <c r="E37" s="2474"/>
      <c r="F37" s="2474"/>
      <c r="G37" s="5"/>
    </row>
    <row r="38" spans="1:7" ht="12" customHeight="1">
      <c r="A38" s="12" t="s">
        <v>708</v>
      </c>
      <c r="B38" s="2471" t="s">
        <v>709</v>
      </c>
      <c r="C38" s="2471"/>
      <c r="D38" s="2471"/>
      <c r="E38" s="2472" t="s">
        <v>710</v>
      </c>
      <c r="F38" s="2472"/>
      <c r="G38" s="5"/>
    </row>
    <row r="39" spans="1:7" ht="12" customHeight="1">
      <c r="A39" s="12" t="s">
        <v>711</v>
      </c>
      <c r="B39" s="2473" t="s">
        <v>712</v>
      </c>
      <c r="C39" s="2473"/>
      <c r="D39" s="2473"/>
      <c r="E39" s="2473"/>
      <c r="F39" s="2473"/>
      <c r="G39" s="5"/>
    </row>
  </sheetData>
  <mergeCells count="14">
    <mergeCell ref="A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A29:F29"/>
    <mergeCell ref="E32:F32"/>
    <mergeCell ref="E35:F35"/>
    <mergeCell ref="B37:F37"/>
  </mergeCells>
  <pageMargins left="0.7" right="0.7" top="0.75" bottom="0.75" header="0.3" footer="0.3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500-000000000000}">
  <sheetPr codeName="Sheet206"/>
  <dimension ref="A1:G39"/>
  <sheetViews>
    <sheetView workbookViewId="0">
      <selection activeCell="G39" sqref="A1:G39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2532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780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987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863</v>
      </c>
      <c r="F7" s="5"/>
      <c r="G7" s="5"/>
    </row>
    <row r="8" spans="1:7" ht="12" customHeight="1">
      <c r="A8" s="5"/>
      <c r="B8" s="3" t="s">
        <v>1794</v>
      </c>
      <c r="C8" s="3" t="s">
        <v>1661</v>
      </c>
      <c r="D8" s="12" t="s">
        <v>675</v>
      </c>
      <c r="E8" s="3" t="s">
        <v>1779</v>
      </c>
      <c r="F8" s="5"/>
      <c r="G8" s="5"/>
    </row>
    <row r="9" spans="1:7" ht="12" customHeight="1">
      <c r="A9" s="2484" t="s">
        <v>685</v>
      </c>
      <c r="B9" s="2484"/>
      <c r="C9" s="2484"/>
      <c r="D9" s="2484"/>
      <c r="E9" s="2484"/>
      <c r="F9" s="2484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65" customHeight="1">
      <c r="A11" s="5"/>
      <c r="B11" s="3" t="s">
        <v>1810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2474" t="s">
        <v>702</v>
      </c>
      <c r="F12" s="2474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1811</v>
      </c>
      <c r="F14" s="5"/>
      <c r="G14" s="5"/>
    </row>
    <row r="15" spans="1:7" ht="12" customHeight="1">
      <c r="A15" s="5"/>
      <c r="B15" s="5"/>
      <c r="C15" s="5"/>
      <c r="D15" s="5"/>
      <c r="E15" s="2474" t="s">
        <v>705</v>
      </c>
      <c r="F15" s="2474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2474" t="s">
        <v>707</v>
      </c>
      <c r="C17" s="2474"/>
      <c r="D17" s="2474"/>
      <c r="E17" s="2474"/>
      <c r="F17" s="2474"/>
      <c r="G17" s="5"/>
    </row>
    <row r="18" spans="1:7" ht="12" customHeight="1">
      <c r="A18" s="12" t="s">
        <v>708</v>
      </c>
      <c r="B18" s="2471" t="s">
        <v>709</v>
      </c>
      <c r="C18" s="2471"/>
      <c r="D18" s="2471"/>
      <c r="E18" s="2472" t="s">
        <v>710</v>
      </c>
      <c r="F18" s="2472"/>
      <c r="G18" s="5"/>
    </row>
    <row r="19" spans="1:7" ht="12" customHeight="1">
      <c r="A19" s="12" t="s">
        <v>711</v>
      </c>
      <c r="B19" s="2473" t="s">
        <v>712</v>
      </c>
      <c r="C19" s="2473"/>
      <c r="D19" s="2473"/>
      <c r="E19" s="2473"/>
      <c r="F19" s="2473"/>
      <c r="G19" s="5"/>
    </row>
    <row r="20" spans="1:7" ht="12" customHeight="1">
      <c r="A20" s="12"/>
      <c r="B20" s="26"/>
      <c r="C20" s="26"/>
      <c r="D20" s="26"/>
      <c r="E20" s="26"/>
      <c r="F20" s="26"/>
      <c r="G20" s="5"/>
    </row>
    <row r="21" spans="1:7" ht="12" customHeight="1">
      <c r="A21" s="50" t="s">
        <v>2533</v>
      </c>
      <c r="B21" s="26"/>
      <c r="C21" s="26"/>
      <c r="D21" s="26"/>
      <c r="E21" s="26"/>
      <c r="F21" s="26"/>
      <c r="G21" s="5"/>
    </row>
    <row r="22" spans="1:7" ht="12" customHeight="1">
      <c r="A22" s="12"/>
      <c r="B22" s="26"/>
      <c r="C22" s="26"/>
      <c r="D22" s="26"/>
      <c r="E22" s="26"/>
      <c r="F22" s="26"/>
      <c r="G22" s="5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1812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1813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699</v>
      </c>
      <c r="F27" s="5"/>
      <c r="G27" s="5"/>
    </row>
    <row r="28" spans="1:7" ht="12" customHeight="1">
      <c r="A28" s="5"/>
      <c r="B28" s="3" t="s">
        <v>1794</v>
      </c>
      <c r="C28" s="3" t="s">
        <v>1661</v>
      </c>
      <c r="D28" s="12" t="s">
        <v>675</v>
      </c>
      <c r="E28" s="3" t="s">
        <v>1814</v>
      </c>
      <c r="F28" s="5"/>
      <c r="G28" s="5"/>
    </row>
    <row r="29" spans="1:7" ht="12" customHeight="1">
      <c r="A29" s="2484" t="s">
        <v>685</v>
      </c>
      <c r="B29" s="2484"/>
      <c r="C29" s="2484"/>
      <c r="D29" s="2484"/>
      <c r="E29" s="2484"/>
      <c r="F29" s="2484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65" customHeight="1">
      <c r="A31" s="5"/>
      <c r="B31" s="3" t="s">
        <v>1569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2474" t="s">
        <v>702</v>
      </c>
      <c r="F32" s="2474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4.950000000000003" customHeight="1">
      <c r="A34" s="5"/>
      <c r="B34" s="2" t="s">
        <v>1768</v>
      </c>
      <c r="C34" s="5"/>
      <c r="D34" s="2" t="s">
        <v>1483</v>
      </c>
      <c r="E34" s="2" t="s">
        <v>1815</v>
      </c>
      <c r="F34" s="5"/>
      <c r="G34" s="5"/>
    </row>
    <row r="35" spans="1:7" ht="12" customHeight="1">
      <c r="A35" s="5"/>
      <c r="B35" s="5"/>
      <c r="C35" s="5"/>
      <c r="D35" s="5"/>
      <c r="E35" s="2474" t="s">
        <v>705</v>
      </c>
      <c r="F35" s="2474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2474" t="s">
        <v>707</v>
      </c>
      <c r="C37" s="2474"/>
      <c r="D37" s="2474"/>
      <c r="E37" s="2474"/>
      <c r="F37" s="2474"/>
      <c r="G37" s="5"/>
    </row>
    <row r="38" spans="1:7" ht="12" customHeight="1">
      <c r="A38" s="12" t="s">
        <v>708</v>
      </c>
      <c r="B38" s="2471" t="s">
        <v>709</v>
      </c>
      <c r="C38" s="2471"/>
      <c r="D38" s="2471"/>
      <c r="E38" s="2472" t="s">
        <v>710</v>
      </c>
      <c r="F38" s="2472"/>
      <c r="G38" s="5"/>
    </row>
    <row r="39" spans="1:7" ht="12.15" customHeight="1">
      <c r="A39" s="12" t="s">
        <v>711</v>
      </c>
      <c r="B39" s="2473" t="s">
        <v>712</v>
      </c>
      <c r="C39" s="2473"/>
      <c r="D39" s="2473"/>
      <c r="E39" s="2473"/>
      <c r="F39" s="2473"/>
      <c r="G39" s="5"/>
    </row>
  </sheetData>
  <mergeCells count="14">
    <mergeCell ref="A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A29:F29"/>
    <mergeCell ref="E32:F32"/>
    <mergeCell ref="E35:F35"/>
    <mergeCell ref="B37:F37"/>
  </mergeCells>
  <pageMargins left="0.7" right="0.7" top="0.75" bottom="0.75" header="0.3" footer="0.3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600-000000000000}">
  <sheetPr codeName="Sheet207"/>
  <dimension ref="A1:G39"/>
  <sheetViews>
    <sheetView workbookViewId="0">
      <selection activeCell="G39" sqref="A1:G39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5" t="s">
        <v>2534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1816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1817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1016</v>
      </c>
      <c r="F7" s="5"/>
      <c r="G7" s="5"/>
    </row>
    <row r="8" spans="1:7" ht="12" customHeight="1">
      <c r="A8" s="5"/>
      <c r="B8" s="3" t="s">
        <v>1794</v>
      </c>
      <c r="C8" s="3" t="s">
        <v>1661</v>
      </c>
      <c r="D8" s="12" t="s">
        <v>675</v>
      </c>
      <c r="E8" s="3" t="s">
        <v>1818</v>
      </c>
      <c r="F8" s="5"/>
      <c r="G8" s="5"/>
    </row>
    <row r="9" spans="1:7" ht="12" customHeight="1">
      <c r="A9" s="2484" t="s">
        <v>685</v>
      </c>
      <c r="B9" s="2484"/>
      <c r="C9" s="2484"/>
      <c r="D9" s="2484"/>
      <c r="E9" s="2484"/>
      <c r="F9" s="2484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65" customHeight="1">
      <c r="A11" s="5"/>
      <c r="B11" s="3" t="s">
        <v>1573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2474" t="s">
        <v>702</v>
      </c>
      <c r="F12" s="2474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1819</v>
      </c>
      <c r="F14" s="5"/>
      <c r="G14" s="5"/>
    </row>
    <row r="15" spans="1:7" ht="12" customHeight="1">
      <c r="A15" s="5"/>
      <c r="B15" s="5"/>
      <c r="C15" s="5"/>
      <c r="D15" s="5"/>
      <c r="E15" s="2474" t="s">
        <v>705</v>
      </c>
      <c r="F15" s="2474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2474" t="s">
        <v>707</v>
      </c>
      <c r="C17" s="2474"/>
      <c r="D17" s="2474"/>
      <c r="E17" s="2474"/>
      <c r="F17" s="2474"/>
      <c r="G17" s="5"/>
    </row>
    <row r="18" spans="1:7" ht="12" customHeight="1">
      <c r="A18" s="12" t="s">
        <v>708</v>
      </c>
      <c r="B18" s="2471" t="s">
        <v>709</v>
      </c>
      <c r="C18" s="2471"/>
      <c r="D18" s="2471"/>
      <c r="E18" s="2472" t="s">
        <v>710</v>
      </c>
      <c r="F18" s="2472"/>
      <c r="G18" s="5"/>
    </row>
    <row r="19" spans="1:7" ht="12" customHeight="1">
      <c r="A19" s="12" t="s">
        <v>711</v>
      </c>
      <c r="B19" s="2473" t="s">
        <v>712</v>
      </c>
      <c r="C19" s="2473"/>
      <c r="D19" s="2473"/>
      <c r="E19" s="2473"/>
      <c r="F19" s="2473"/>
      <c r="G19" s="5"/>
    </row>
    <row r="20" spans="1:7" ht="12" customHeight="1">
      <c r="A20" s="12"/>
      <c r="B20" s="26"/>
      <c r="C20" s="26"/>
      <c r="D20" s="26"/>
      <c r="E20" s="26"/>
      <c r="F20" s="26"/>
      <c r="G20" s="5"/>
    </row>
    <row r="21" spans="1:7" ht="12" customHeight="1">
      <c r="A21" s="50" t="s">
        <v>2535</v>
      </c>
      <c r="B21" s="26"/>
      <c r="C21" s="26"/>
      <c r="D21" s="26"/>
      <c r="E21" s="26"/>
      <c r="F21" s="26"/>
      <c r="G21" s="5"/>
    </row>
    <row r="22" spans="1:7" ht="12" customHeight="1">
      <c r="A22" s="12"/>
      <c r="B22" s="26"/>
      <c r="C22" s="26"/>
      <c r="D22" s="26"/>
      <c r="E22" s="26"/>
      <c r="F22" s="26"/>
      <c r="G22" s="5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1820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1821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1697</v>
      </c>
      <c r="F27" s="5"/>
      <c r="G27" s="5"/>
    </row>
    <row r="28" spans="1:7" ht="12" customHeight="1">
      <c r="A28" s="5"/>
      <c r="B28" s="3" t="s">
        <v>1794</v>
      </c>
      <c r="C28" s="3" t="s">
        <v>1661</v>
      </c>
      <c r="D28" s="12" t="s">
        <v>675</v>
      </c>
      <c r="E28" s="3" t="s">
        <v>1822</v>
      </c>
      <c r="F28" s="5"/>
      <c r="G28" s="5"/>
    </row>
    <row r="29" spans="1:7" ht="12" customHeight="1">
      <c r="A29" s="2484" t="s">
        <v>685</v>
      </c>
      <c r="B29" s="2484"/>
      <c r="C29" s="2484"/>
      <c r="D29" s="2484"/>
      <c r="E29" s="2484"/>
      <c r="F29" s="2484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23.4" customHeight="1">
      <c r="A31" s="5"/>
      <c r="B31" s="3" t="s">
        <v>1823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2474" t="s">
        <v>702</v>
      </c>
      <c r="F32" s="2474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1824</v>
      </c>
      <c r="F34" s="5"/>
      <c r="G34" s="5"/>
    </row>
    <row r="35" spans="1:7" ht="12" customHeight="1">
      <c r="A35" s="5"/>
      <c r="B35" s="5"/>
      <c r="C35" s="5"/>
      <c r="D35" s="5"/>
      <c r="E35" s="2474" t="s">
        <v>705</v>
      </c>
      <c r="F35" s="2474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2474" t="s">
        <v>707</v>
      </c>
      <c r="C37" s="2474"/>
      <c r="D37" s="2474"/>
      <c r="E37" s="2474"/>
      <c r="F37" s="2474"/>
      <c r="G37" s="5"/>
    </row>
    <row r="38" spans="1:7" ht="12" customHeight="1">
      <c r="A38" s="12" t="s">
        <v>708</v>
      </c>
      <c r="B38" s="2471" t="s">
        <v>709</v>
      </c>
      <c r="C38" s="2471"/>
      <c r="D38" s="2471"/>
      <c r="E38" s="2472" t="s">
        <v>710</v>
      </c>
      <c r="F38" s="2472"/>
      <c r="G38" s="5"/>
    </row>
    <row r="39" spans="1:7" ht="12" customHeight="1">
      <c r="A39" s="12" t="s">
        <v>711</v>
      </c>
      <c r="B39" s="2473" t="s">
        <v>712</v>
      </c>
      <c r="C39" s="2473"/>
      <c r="D39" s="2473"/>
      <c r="E39" s="2473"/>
      <c r="F39" s="2473"/>
      <c r="G39" s="5"/>
    </row>
  </sheetData>
  <mergeCells count="14">
    <mergeCell ref="A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A29:F29"/>
    <mergeCell ref="E32:F32"/>
    <mergeCell ref="E35:F35"/>
    <mergeCell ref="B37:F37"/>
  </mergeCells>
  <pageMargins left="0.7" right="0.7" top="0.75" bottom="0.75" header="0.3" footer="0.3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700-000000000000}">
  <sheetPr codeName="Sheet208"/>
  <dimension ref="A1:G39"/>
  <sheetViews>
    <sheetView workbookViewId="0">
      <selection activeCell="G39" sqref="A1:G39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2536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1825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1826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1827</v>
      </c>
      <c r="F7" s="5"/>
      <c r="G7" s="5"/>
    </row>
    <row r="8" spans="1:7" ht="12" customHeight="1">
      <c r="A8" s="5"/>
      <c r="B8" s="3" t="s">
        <v>1794</v>
      </c>
      <c r="C8" s="3" t="s">
        <v>1661</v>
      </c>
      <c r="D8" s="12" t="s">
        <v>675</v>
      </c>
      <c r="E8" s="3" t="s">
        <v>1828</v>
      </c>
      <c r="F8" s="5"/>
      <c r="G8" s="5"/>
    </row>
    <row r="9" spans="1:7" ht="12" customHeight="1">
      <c r="A9" s="2484" t="s">
        <v>685</v>
      </c>
      <c r="B9" s="2484"/>
      <c r="C9" s="2484"/>
      <c r="D9" s="2484"/>
      <c r="E9" s="2484"/>
      <c r="F9" s="2484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23.4" customHeight="1">
      <c r="A11" s="5"/>
      <c r="B11" s="2" t="s">
        <v>1582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2474" t="s">
        <v>702</v>
      </c>
      <c r="F12" s="2474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4.950000000000003" customHeight="1">
      <c r="A14" s="5"/>
      <c r="B14" s="3" t="s">
        <v>1829</v>
      </c>
      <c r="C14" s="5"/>
      <c r="D14" s="2" t="s">
        <v>1483</v>
      </c>
      <c r="E14" s="2" t="s">
        <v>1830</v>
      </c>
      <c r="F14" s="5"/>
      <c r="G14" s="5"/>
    </row>
    <row r="15" spans="1:7" ht="12" customHeight="1">
      <c r="A15" s="5"/>
      <c r="B15" s="5"/>
      <c r="C15" s="5"/>
      <c r="D15" s="5"/>
      <c r="E15" s="2474" t="s">
        <v>705</v>
      </c>
      <c r="F15" s="2474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2474" t="s">
        <v>707</v>
      </c>
      <c r="C17" s="2474"/>
      <c r="D17" s="2474"/>
      <c r="E17" s="2474"/>
      <c r="F17" s="2474"/>
      <c r="G17" s="5"/>
    </row>
    <row r="18" spans="1:7" ht="12" customHeight="1">
      <c r="A18" s="12" t="s">
        <v>708</v>
      </c>
      <c r="B18" s="2471" t="s">
        <v>709</v>
      </c>
      <c r="C18" s="2471"/>
      <c r="D18" s="2471"/>
      <c r="E18" s="2472" t="s">
        <v>710</v>
      </c>
      <c r="F18" s="2472"/>
      <c r="G18" s="5"/>
    </row>
    <row r="19" spans="1:7" ht="12" customHeight="1">
      <c r="A19" s="12" t="s">
        <v>711</v>
      </c>
      <c r="B19" s="2473" t="s">
        <v>712</v>
      </c>
      <c r="C19" s="2473"/>
      <c r="D19" s="2473"/>
      <c r="E19" s="2473"/>
      <c r="F19" s="2473"/>
      <c r="G19" s="5"/>
    </row>
    <row r="20" spans="1:7" ht="12" customHeight="1">
      <c r="A20" s="12"/>
      <c r="B20" s="26"/>
      <c r="C20" s="26"/>
      <c r="D20" s="26"/>
      <c r="E20" s="26"/>
      <c r="F20" s="26"/>
      <c r="G20" s="5"/>
    </row>
    <row r="21" spans="1:7" ht="12" customHeight="1">
      <c r="A21" s="50" t="s">
        <v>2537</v>
      </c>
      <c r="B21" s="26"/>
      <c r="C21" s="26"/>
      <c r="D21" s="26"/>
      <c r="E21" s="26"/>
      <c r="F21" s="26"/>
      <c r="G21" s="5"/>
    </row>
    <row r="22" spans="1:7" ht="12" customHeight="1">
      <c r="A22" s="12"/>
      <c r="B22" s="26"/>
      <c r="C22" s="26"/>
      <c r="D22" s="26"/>
      <c r="E22" s="26"/>
      <c r="F22" s="26"/>
      <c r="G22" s="5"/>
    </row>
    <row r="23" spans="1:7" ht="34.950000000000003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1831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1511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1521</v>
      </c>
      <c r="F27" s="5"/>
      <c r="G27" s="5"/>
    </row>
    <row r="28" spans="1:7" ht="12" customHeight="1">
      <c r="A28" s="5"/>
      <c r="B28" s="3" t="s">
        <v>1794</v>
      </c>
      <c r="C28" s="3" t="s">
        <v>1661</v>
      </c>
      <c r="D28" s="12" t="s">
        <v>675</v>
      </c>
      <c r="E28" s="3" t="s">
        <v>1832</v>
      </c>
      <c r="F28" s="5"/>
      <c r="G28" s="5"/>
    </row>
    <row r="29" spans="1:7" ht="12" customHeight="1">
      <c r="A29" s="2484" t="s">
        <v>685</v>
      </c>
      <c r="B29" s="2484"/>
      <c r="C29" s="2484"/>
      <c r="D29" s="2484"/>
      <c r="E29" s="2484"/>
      <c r="F29" s="2484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23.4" customHeight="1">
      <c r="A31" s="5"/>
      <c r="B31" s="2" t="s">
        <v>1587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2474" t="s">
        <v>702</v>
      </c>
      <c r="F32" s="2474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1833</v>
      </c>
      <c r="F34" s="5"/>
      <c r="G34" s="5"/>
    </row>
    <row r="35" spans="1:7" ht="12" customHeight="1">
      <c r="A35" s="5"/>
      <c r="B35" s="5"/>
      <c r="C35" s="5"/>
      <c r="D35" s="5"/>
      <c r="E35" s="2474" t="s">
        <v>705</v>
      </c>
      <c r="F35" s="2474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2474" t="s">
        <v>707</v>
      </c>
      <c r="C37" s="2474"/>
      <c r="D37" s="2474"/>
      <c r="E37" s="2474"/>
      <c r="F37" s="2474"/>
      <c r="G37" s="5"/>
    </row>
    <row r="38" spans="1:7" ht="12" customHeight="1">
      <c r="A38" s="12" t="s">
        <v>708</v>
      </c>
      <c r="B38" s="2471" t="s">
        <v>709</v>
      </c>
      <c r="C38" s="2471"/>
      <c r="D38" s="2471"/>
      <c r="E38" s="2472" t="s">
        <v>710</v>
      </c>
      <c r="F38" s="2472"/>
      <c r="G38" s="5"/>
    </row>
    <row r="39" spans="1:7" ht="12" customHeight="1">
      <c r="A39" s="12" t="s">
        <v>711</v>
      </c>
      <c r="B39" s="2473" t="s">
        <v>712</v>
      </c>
      <c r="C39" s="2473"/>
      <c r="D39" s="2473"/>
      <c r="E39" s="2473"/>
      <c r="F39" s="2473"/>
      <c r="G39" s="5"/>
    </row>
  </sheetData>
  <mergeCells count="14">
    <mergeCell ref="A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A29:F29"/>
    <mergeCell ref="E32:F32"/>
    <mergeCell ref="E35:F35"/>
    <mergeCell ref="B37:F37"/>
  </mergeCells>
  <pageMargins left="0.7" right="0.7" top="0.75" bottom="0.75" header="0.3" footer="0.3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800-000000000000}">
  <sheetPr codeName="Sheet209"/>
  <dimension ref="A1:G39"/>
  <sheetViews>
    <sheetView workbookViewId="0">
      <selection activeCell="G39" sqref="A1:G39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2538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789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779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784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2484" t="s">
        <v>685</v>
      </c>
      <c r="B9" s="2484"/>
      <c r="C9" s="2484"/>
      <c r="D9" s="2484"/>
      <c r="E9" s="2484"/>
      <c r="F9" s="2484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65" customHeight="1">
      <c r="A11" s="5"/>
      <c r="B11" s="3" t="s">
        <v>1591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2474" t="s">
        <v>702</v>
      </c>
      <c r="F12" s="2474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1592</v>
      </c>
      <c r="F14" s="5"/>
      <c r="G14" s="5"/>
    </row>
    <row r="15" spans="1:7" ht="12" customHeight="1">
      <c r="A15" s="5"/>
      <c r="B15" s="5"/>
      <c r="C15" s="5"/>
      <c r="D15" s="5"/>
      <c r="E15" s="2474" t="s">
        <v>705</v>
      </c>
      <c r="F15" s="2474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2474" t="s">
        <v>707</v>
      </c>
      <c r="C17" s="2474"/>
      <c r="D17" s="2474"/>
      <c r="E17" s="2474"/>
      <c r="F17" s="2474"/>
      <c r="G17" s="5"/>
    </row>
    <row r="18" spans="1:7" ht="12" customHeight="1">
      <c r="A18" s="12" t="s">
        <v>708</v>
      </c>
      <c r="B18" s="2471" t="s">
        <v>709</v>
      </c>
      <c r="C18" s="2471"/>
      <c r="D18" s="2471"/>
      <c r="E18" s="2472" t="s">
        <v>710</v>
      </c>
      <c r="F18" s="2472"/>
      <c r="G18" s="5"/>
    </row>
    <row r="19" spans="1:7" ht="12" customHeight="1">
      <c r="A19" s="12" t="s">
        <v>711</v>
      </c>
      <c r="B19" s="2473" t="s">
        <v>712</v>
      </c>
      <c r="C19" s="2473"/>
      <c r="D19" s="2473"/>
      <c r="E19" s="2473"/>
      <c r="F19" s="2473"/>
      <c r="G19" s="5"/>
    </row>
    <row r="20" spans="1:7" ht="12" customHeight="1">
      <c r="A20" s="12"/>
      <c r="B20" s="26"/>
      <c r="C20" s="26"/>
      <c r="D20" s="26"/>
      <c r="E20" s="26"/>
      <c r="F20" s="26"/>
      <c r="G20" s="5"/>
    </row>
    <row r="21" spans="1:7" ht="12" customHeight="1">
      <c r="A21" s="50" t="s">
        <v>2539</v>
      </c>
      <c r="B21" s="26"/>
      <c r="C21" s="26"/>
      <c r="D21" s="26"/>
      <c r="E21" s="26"/>
      <c r="F21" s="26"/>
      <c r="G21" s="5"/>
    </row>
    <row r="22" spans="1:7" ht="12" customHeight="1">
      <c r="A22" s="12"/>
      <c r="B22" s="26"/>
      <c r="C22" s="26"/>
      <c r="D22" s="26"/>
      <c r="E22" s="26"/>
      <c r="F22" s="26"/>
      <c r="G22" s="5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1682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1072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891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2484" t="s">
        <v>685</v>
      </c>
      <c r="B29" s="2484"/>
      <c r="C29" s="2484"/>
      <c r="D29" s="2484"/>
      <c r="E29" s="2484"/>
      <c r="F29" s="2484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65" customHeight="1">
      <c r="A31" s="5"/>
      <c r="B31" s="3" t="s">
        <v>1593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2474" t="s">
        <v>702</v>
      </c>
      <c r="F32" s="2474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1592</v>
      </c>
      <c r="F34" s="5"/>
      <c r="G34" s="5"/>
    </row>
    <row r="35" spans="1:7" ht="12" customHeight="1">
      <c r="A35" s="5"/>
      <c r="B35" s="5"/>
      <c r="C35" s="5"/>
      <c r="D35" s="5"/>
      <c r="E35" s="2474" t="s">
        <v>705</v>
      </c>
      <c r="F35" s="2474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2474" t="s">
        <v>707</v>
      </c>
      <c r="C37" s="2474"/>
      <c r="D37" s="2474"/>
      <c r="E37" s="2474"/>
      <c r="F37" s="2474"/>
      <c r="G37" s="5"/>
    </row>
    <row r="38" spans="1:7" ht="12" customHeight="1">
      <c r="A38" s="12" t="s">
        <v>708</v>
      </c>
      <c r="B38" s="2471" t="s">
        <v>709</v>
      </c>
      <c r="C38" s="2471"/>
      <c r="D38" s="2471"/>
      <c r="E38" s="2472" t="s">
        <v>710</v>
      </c>
      <c r="F38" s="2472"/>
      <c r="G38" s="5"/>
    </row>
    <row r="39" spans="1:7" ht="12" customHeight="1">
      <c r="A39" s="12" t="s">
        <v>711</v>
      </c>
      <c r="B39" s="2473" t="s">
        <v>712</v>
      </c>
      <c r="C39" s="2473"/>
      <c r="D39" s="2473"/>
      <c r="E39" s="2473"/>
      <c r="F39" s="2473"/>
      <c r="G39" s="5"/>
    </row>
  </sheetData>
  <mergeCells count="14">
    <mergeCell ref="A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A29:F29"/>
    <mergeCell ref="E32:F32"/>
    <mergeCell ref="E35:F35"/>
    <mergeCell ref="B37:F37"/>
  </mergeCells>
  <pageMargins left="0.7" right="0.7" top="0.75" bottom="0.75" header="0.3" footer="0.3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900-000000000000}">
  <sheetPr codeName="Sheet210"/>
  <dimension ref="A1:G39"/>
  <sheetViews>
    <sheetView workbookViewId="0">
      <selection activeCell="G39" sqref="A1:G39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2540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1834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911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695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2484" t="s">
        <v>685</v>
      </c>
      <c r="B9" s="2484"/>
      <c r="C9" s="2484"/>
      <c r="D9" s="2484"/>
      <c r="E9" s="2484"/>
      <c r="F9" s="2484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65" customHeight="1">
      <c r="A11" s="5"/>
      <c r="B11" s="3" t="s">
        <v>1596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2474" t="s">
        <v>702</v>
      </c>
      <c r="F12" s="2474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1592</v>
      </c>
      <c r="F14" s="5"/>
      <c r="G14" s="5"/>
    </row>
    <row r="15" spans="1:7" ht="12" customHeight="1">
      <c r="A15" s="5"/>
      <c r="B15" s="5"/>
      <c r="C15" s="5"/>
      <c r="D15" s="5"/>
      <c r="E15" s="2474" t="s">
        <v>705</v>
      </c>
      <c r="F15" s="2474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2474" t="s">
        <v>707</v>
      </c>
      <c r="C17" s="2474"/>
      <c r="D17" s="2474"/>
      <c r="E17" s="2474"/>
      <c r="F17" s="2474"/>
      <c r="G17" s="5"/>
    </row>
    <row r="18" spans="1:7" ht="12" customHeight="1">
      <c r="A18" s="12" t="s">
        <v>708</v>
      </c>
      <c r="B18" s="2471" t="s">
        <v>709</v>
      </c>
      <c r="C18" s="2471"/>
      <c r="D18" s="2471"/>
      <c r="E18" s="2472" t="s">
        <v>710</v>
      </c>
      <c r="F18" s="2472"/>
      <c r="G18" s="5"/>
    </row>
    <row r="19" spans="1:7" ht="12" customHeight="1">
      <c r="A19" s="12" t="s">
        <v>711</v>
      </c>
      <c r="B19" s="2473" t="s">
        <v>712</v>
      </c>
      <c r="C19" s="2473"/>
      <c r="D19" s="2473"/>
      <c r="E19" s="2473"/>
      <c r="F19" s="2473"/>
      <c r="G19" s="5"/>
    </row>
    <row r="20" spans="1:7" ht="12" customHeight="1">
      <c r="A20" s="12"/>
      <c r="B20" s="26"/>
      <c r="C20" s="26"/>
      <c r="D20" s="26"/>
      <c r="E20" s="26"/>
      <c r="F20" s="26"/>
      <c r="G20" s="5"/>
    </row>
    <row r="21" spans="1:7" ht="12" customHeight="1">
      <c r="A21" s="50" t="s">
        <v>2541</v>
      </c>
      <c r="B21" s="26"/>
      <c r="C21" s="26"/>
      <c r="D21" s="26"/>
      <c r="E21" s="26"/>
      <c r="F21" s="26"/>
      <c r="G21" s="5"/>
    </row>
    <row r="22" spans="1:7" ht="12" customHeight="1">
      <c r="A22" s="12"/>
      <c r="B22" s="26"/>
      <c r="C22" s="26"/>
      <c r="D22" s="26"/>
      <c r="E22" s="26"/>
      <c r="F22" s="26"/>
      <c r="G22" s="5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824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1835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901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2484" t="s">
        <v>685</v>
      </c>
      <c r="B29" s="2484"/>
      <c r="C29" s="2484"/>
      <c r="D29" s="2484"/>
      <c r="E29" s="2484"/>
      <c r="F29" s="2484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65" customHeight="1">
      <c r="A31" s="5"/>
      <c r="B31" s="3" t="s">
        <v>1599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2474" t="s">
        <v>702</v>
      </c>
      <c r="F32" s="2474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1592</v>
      </c>
      <c r="F34" s="5"/>
      <c r="G34" s="5"/>
    </row>
    <row r="35" spans="1:7" ht="12" customHeight="1">
      <c r="A35" s="5"/>
      <c r="B35" s="5"/>
      <c r="C35" s="5"/>
      <c r="D35" s="5"/>
      <c r="E35" s="2474" t="s">
        <v>705</v>
      </c>
      <c r="F35" s="2474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2474" t="s">
        <v>707</v>
      </c>
      <c r="C37" s="2474"/>
      <c r="D37" s="2474"/>
      <c r="E37" s="2474"/>
      <c r="F37" s="2474"/>
      <c r="G37" s="5"/>
    </row>
    <row r="38" spans="1:7" ht="12" customHeight="1">
      <c r="A38" s="12" t="s">
        <v>708</v>
      </c>
      <c r="B38" s="2471" t="s">
        <v>709</v>
      </c>
      <c r="C38" s="2471"/>
      <c r="D38" s="2471"/>
      <c r="E38" s="2472" t="s">
        <v>710</v>
      </c>
      <c r="F38" s="2472"/>
      <c r="G38" s="5"/>
    </row>
    <row r="39" spans="1:7" ht="12" customHeight="1">
      <c r="A39" s="12" t="s">
        <v>711</v>
      </c>
      <c r="B39" s="2473" t="s">
        <v>712</v>
      </c>
      <c r="C39" s="2473"/>
      <c r="D39" s="2473"/>
      <c r="E39" s="2473"/>
      <c r="F39" s="2473"/>
      <c r="G39" s="5"/>
    </row>
  </sheetData>
  <mergeCells count="14">
    <mergeCell ref="A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A29:F29"/>
    <mergeCell ref="E32:F32"/>
    <mergeCell ref="E35:F35"/>
    <mergeCell ref="B37:F37"/>
  </mergeCells>
  <pageMargins left="0.7" right="0.7" top="0.75" bottom="0.75" header="0.3" footer="0.3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A00-000000000000}">
  <sheetPr codeName="Sheet211"/>
  <dimension ref="A1:G39"/>
  <sheetViews>
    <sheetView workbookViewId="0">
      <selection activeCell="G39" sqref="A1:G39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2542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822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821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919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2484" t="s">
        <v>685</v>
      </c>
      <c r="B9" s="2484"/>
      <c r="C9" s="2484"/>
      <c r="D9" s="2484"/>
      <c r="E9" s="2484"/>
      <c r="F9" s="2484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65" customHeight="1">
      <c r="A11" s="5"/>
      <c r="B11" s="3" t="s">
        <v>1602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2474" t="s">
        <v>702</v>
      </c>
      <c r="F12" s="2474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1592</v>
      </c>
      <c r="F14" s="5"/>
      <c r="G14" s="5"/>
    </row>
    <row r="15" spans="1:7" ht="12" customHeight="1">
      <c r="A15" s="5"/>
      <c r="B15" s="5"/>
      <c r="C15" s="5"/>
      <c r="D15" s="5"/>
      <c r="E15" s="2474" t="s">
        <v>705</v>
      </c>
      <c r="F15" s="2474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2474" t="s">
        <v>707</v>
      </c>
      <c r="C17" s="2474"/>
      <c r="D17" s="2474"/>
      <c r="E17" s="2474"/>
      <c r="F17" s="2474"/>
      <c r="G17" s="5"/>
    </row>
    <row r="18" spans="1:7" ht="12" customHeight="1">
      <c r="A18" s="12" t="s">
        <v>708</v>
      </c>
      <c r="B18" s="2471" t="s">
        <v>709</v>
      </c>
      <c r="C18" s="2471"/>
      <c r="D18" s="2471"/>
      <c r="E18" s="2472" t="s">
        <v>710</v>
      </c>
      <c r="F18" s="2472"/>
      <c r="G18" s="5"/>
    </row>
    <row r="19" spans="1:7" ht="12" customHeight="1">
      <c r="A19" s="12" t="s">
        <v>711</v>
      </c>
      <c r="B19" s="2473" t="s">
        <v>712</v>
      </c>
      <c r="C19" s="2473"/>
      <c r="D19" s="2473"/>
      <c r="E19" s="2473"/>
      <c r="F19" s="2473"/>
      <c r="G19" s="5"/>
    </row>
    <row r="20" spans="1:7" ht="12" customHeight="1">
      <c r="A20" s="12"/>
      <c r="B20" s="26"/>
      <c r="C20" s="26"/>
      <c r="D20" s="26"/>
      <c r="E20" s="26"/>
      <c r="F20" s="26"/>
      <c r="G20" s="5"/>
    </row>
    <row r="21" spans="1:7" ht="12" customHeight="1">
      <c r="A21" s="50" t="s">
        <v>2543</v>
      </c>
      <c r="B21" s="26"/>
      <c r="C21" s="26"/>
      <c r="D21" s="26"/>
      <c r="E21" s="26"/>
      <c r="F21" s="26"/>
      <c r="G21" s="5"/>
    </row>
    <row r="22" spans="1:7" ht="12" customHeight="1">
      <c r="A22" s="12"/>
      <c r="B22" s="26"/>
      <c r="C22" s="26"/>
      <c r="D22" s="26"/>
      <c r="E22" s="26"/>
      <c r="F22" s="26"/>
      <c r="G22" s="5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1604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1586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1486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2484" t="s">
        <v>685</v>
      </c>
      <c r="B29" s="2484"/>
      <c r="C29" s="2484"/>
      <c r="D29" s="2484"/>
      <c r="E29" s="2484"/>
      <c r="F29" s="2484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65" customHeight="1">
      <c r="A31" s="5"/>
      <c r="B31" s="3" t="s">
        <v>1605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2474" t="s">
        <v>702</v>
      </c>
      <c r="F32" s="2474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1592</v>
      </c>
      <c r="F34" s="5"/>
      <c r="G34" s="5"/>
    </row>
    <row r="35" spans="1:7" ht="12" customHeight="1">
      <c r="A35" s="5"/>
      <c r="B35" s="5"/>
      <c r="C35" s="5"/>
      <c r="D35" s="5"/>
      <c r="E35" s="2474" t="s">
        <v>705</v>
      </c>
      <c r="F35" s="2474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2474" t="s">
        <v>707</v>
      </c>
      <c r="C37" s="2474"/>
      <c r="D37" s="2474"/>
      <c r="E37" s="2474"/>
      <c r="F37" s="2474"/>
      <c r="G37" s="5"/>
    </row>
    <row r="38" spans="1:7" ht="12" customHeight="1">
      <c r="A38" s="12" t="s">
        <v>708</v>
      </c>
      <c r="B38" s="2471" t="s">
        <v>709</v>
      </c>
      <c r="C38" s="2471"/>
      <c r="D38" s="2471"/>
      <c r="E38" s="2472" t="s">
        <v>710</v>
      </c>
      <c r="F38" s="2472"/>
      <c r="G38" s="5"/>
    </row>
    <row r="39" spans="1:7" ht="12" customHeight="1">
      <c r="A39" s="12" t="s">
        <v>711</v>
      </c>
      <c r="B39" s="2473" t="s">
        <v>712</v>
      </c>
      <c r="C39" s="2473"/>
      <c r="D39" s="2473"/>
      <c r="E39" s="2473"/>
      <c r="F39" s="2473"/>
      <c r="G39" s="5"/>
    </row>
  </sheetData>
  <mergeCells count="14">
    <mergeCell ref="A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A29:F29"/>
    <mergeCell ref="E32:F32"/>
    <mergeCell ref="E35:F35"/>
    <mergeCell ref="B37:F37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4"/>
  <dimension ref="A1:G43"/>
  <sheetViews>
    <sheetView workbookViewId="0">
      <selection activeCell="G43" sqref="A1:G43"/>
    </sheetView>
  </sheetViews>
  <sheetFormatPr defaultRowHeight="14.4"/>
  <cols>
    <col min="1" max="1" width="5.33203125" customWidth="1"/>
    <col min="2" max="2" width="21" customWidth="1"/>
    <col min="3" max="3" width="8.44140625" customWidth="1"/>
    <col min="4" max="4" width="11.33203125" customWidth="1"/>
    <col min="5" max="5" width="14.6640625" customWidth="1"/>
    <col min="6" max="6" width="14.44140625" customWidth="1"/>
    <col min="7" max="7" width="16.6640625" customWidth="1"/>
  </cols>
  <sheetData>
    <row r="1" spans="1:7">
      <c r="A1" s="55" t="s">
        <v>2148</v>
      </c>
    </row>
    <row r="2" spans="1:7">
      <c r="A2" s="51"/>
    </row>
    <row r="3" spans="1:7" ht="31.5" customHeight="1">
      <c r="A3" s="9" t="s">
        <v>1003</v>
      </c>
      <c r="B3" s="19" t="s">
        <v>1004</v>
      </c>
      <c r="C3" s="9" t="s">
        <v>1005</v>
      </c>
      <c r="D3" s="9" t="s">
        <v>1006</v>
      </c>
      <c r="E3" s="9" t="s">
        <v>1007</v>
      </c>
      <c r="F3" s="8" t="s">
        <v>669</v>
      </c>
      <c r="G3" s="8" t="s">
        <v>670</v>
      </c>
    </row>
    <row r="4" spans="1:7" ht="10.95" customHeight="1">
      <c r="A4" s="10" t="s">
        <v>671</v>
      </c>
      <c r="B4" s="10" t="s">
        <v>672</v>
      </c>
      <c r="C4" s="5"/>
      <c r="D4" s="5"/>
      <c r="E4" s="5"/>
      <c r="F4" s="5"/>
      <c r="G4" s="5"/>
    </row>
    <row r="5" spans="1:7" ht="12.45" customHeight="1">
      <c r="A5" s="5"/>
      <c r="B5" s="10" t="s">
        <v>673</v>
      </c>
      <c r="C5" s="10" t="s">
        <v>674</v>
      </c>
      <c r="D5" s="11" t="s">
        <v>675</v>
      </c>
      <c r="E5" s="10" t="s">
        <v>718</v>
      </c>
      <c r="F5" s="5"/>
      <c r="G5" s="5"/>
    </row>
    <row r="6" spans="1:7" ht="12.45" customHeight="1">
      <c r="A6" s="5"/>
      <c r="B6" s="10" t="s">
        <v>816</v>
      </c>
      <c r="C6" s="10" t="s">
        <v>678</v>
      </c>
      <c r="D6" s="11" t="s">
        <v>675</v>
      </c>
      <c r="E6" s="10" t="s">
        <v>741</v>
      </c>
      <c r="F6" s="5"/>
      <c r="G6" s="5"/>
    </row>
    <row r="7" spans="1:7" ht="12.45" customHeight="1">
      <c r="A7" s="5"/>
      <c r="B7" s="10" t="s">
        <v>680</v>
      </c>
      <c r="C7" s="10" t="s">
        <v>681</v>
      </c>
      <c r="D7" s="11" t="s">
        <v>675</v>
      </c>
      <c r="E7" s="10" t="s">
        <v>779</v>
      </c>
      <c r="F7" s="5"/>
      <c r="G7" s="5"/>
    </row>
    <row r="8" spans="1:7" ht="12.45" customHeight="1">
      <c r="A8" s="5"/>
      <c r="B8" s="10" t="s">
        <v>683</v>
      </c>
      <c r="C8" s="10" t="s">
        <v>684</v>
      </c>
      <c r="D8" s="11" t="s">
        <v>675</v>
      </c>
      <c r="E8" s="10" t="s">
        <v>811</v>
      </c>
      <c r="F8" s="5"/>
      <c r="G8" s="5"/>
    </row>
    <row r="9" spans="1:7" ht="10.95" customHeight="1">
      <c r="A9" s="5"/>
      <c r="B9" s="5"/>
      <c r="C9" s="5"/>
      <c r="D9" s="5"/>
      <c r="E9" s="2477" t="s">
        <v>685</v>
      </c>
      <c r="F9" s="2477"/>
      <c r="G9" s="5"/>
    </row>
    <row r="10" spans="1:7" ht="10.95" customHeight="1">
      <c r="A10" s="10" t="s">
        <v>686</v>
      </c>
      <c r="B10" s="10" t="s">
        <v>687</v>
      </c>
      <c r="C10" s="5"/>
      <c r="D10" s="5"/>
      <c r="E10" s="5"/>
      <c r="F10" s="5"/>
      <c r="G10" s="5"/>
    </row>
    <row r="11" spans="1:7" ht="12.45" customHeight="1">
      <c r="A11" s="5"/>
      <c r="B11" s="10" t="s">
        <v>742</v>
      </c>
      <c r="C11" s="5"/>
      <c r="D11" s="11" t="s">
        <v>692</v>
      </c>
      <c r="E11" s="10" t="s">
        <v>1025</v>
      </c>
      <c r="F11" s="5"/>
      <c r="G11" s="5"/>
    </row>
    <row r="12" spans="1:7" ht="12.45" customHeight="1">
      <c r="A12" s="5"/>
      <c r="B12" s="10" t="s">
        <v>818</v>
      </c>
      <c r="C12" s="5"/>
      <c r="D12" s="11" t="s">
        <v>690</v>
      </c>
      <c r="E12" s="10" t="s">
        <v>1026</v>
      </c>
      <c r="F12" s="5"/>
      <c r="G12" s="5"/>
    </row>
    <row r="13" spans="1:7" ht="12.45" customHeight="1">
      <c r="A13" s="5"/>
      <c r="B13" s="10" t="s">
        <v>808</v>
      </c>
      <c r="C13" s="5"/>
      <c r="D13" s="11" t="s">
        <v>692</v>
      </c>
      <c r="E13" s="10" t="s">
        <v>906</v>
      </c>
      <c r="F13" s="5"/>
      <c r="G13" s="5"/>
    </row>
    <row r="14" spans="1:7" ht="10.95" customHeight="1">
      <c r="A14" s="5"/>
      <c r="B14" s="5"/>
      <c r="C14" s="5"/>
      <c r="D14" s="5"/>
      <c r="E14" s="2477" t="s">
        <v>702</v>
      </c>
      <c r="F14" s="2477"/>
      <c r="G14" s="5"/>
    </row>
    <row r="15" spans="1:7" ht="10.95" customHeight="1">
      <c r="A15" s="10" t="s">
        <v>703</v>
      </c>
      <c r="B15" s="10" t="s">
        <v>704</v>
      </c>
      <c r="C15" s="5"/>
      <c r="D15" s="5"/>
      <c r="E15" s="5"/>
      <c r="F15" s="5"/>
      <c r="G15" s="5"/>
    </row>
    <row r="16" spans="1:7" ht="10.95" customHeight="1">
      <c r="A16" s="5"/>
      <c r="B16" s="5"/>
      <c r="C16" s="5"/>
      <c r="D16" s="5"/>
      <c r="E16" s="5"/>
      <c r="F16" s="5"/>
      <c r="G16" s="5"/>
    </row>
    <row r="17" spans="1:7" ht="10.95" customHeight="1">
      <c r="A17" s="5"/>
      <c r="B17" s="5"/>
      <c r="C17" s="5"/>
      <c r="D17" s="5"/>
      <c r="E17" s="2477" t="s">
        <v>705</v>
      </c>
      <c r="F17" s="2477"/>
      <c r="G17" s="5"/>
    </row>
    <row r="18" spans="1:7" ht="10.95" customHeight="1">
      <c r="A18" s="5"/>
      <c r="B18" s="5"/>
      <c r="C18" s="5"/>
      <c r="D18" s="5"/>
      <c r="E18" s="5"/>
      <c r="F18" s="5"/>
      <c r="G18" s="5"/>
    </row>
    <row r="19" spans="1:7" ht="10.95" customHeight="1">
      <c r="A19" s="10" t="s">
        <v>706</v>
      </c>
      <c r="B19" s="2477" t="s">
        <v>707</v>
      </c>
      <c r="C19" s="2477"/>
      <c r="D19" s="2477"/>
      <c r="E19" s="2477"/>
      <c r="F19" s="2477"/>
      <c r="G19" s="5"/>
    </row>
    <row r="20" spans="1:7" ht="12" customHeight="1">
      <c r="A20" s="10" t="s">
        <v>708</v>
      </c>
      <c r="B20" s="2471" t="s">
        <v>876</v>
      </c>
      <c r="C20" s="2471"/>
      <c r="D20" s="2471"/>
      <c r="E20" s="2475" t="s">
        <v>710</v>
      </c>
      <c r="F20" s="2475"/>
      <c r="G20" s="5"/>
    </row>
    <row r="21" spans="1:7" ht="10.95" customHeight="1">
      <c r="A21" s="10" t="s">
        <v>711</v>
      </c>
      <c r="B21" s="2476" t="s">
        <v>712</v>
      </c>
      <c r="C21" s="2476"/>
      <c r="D21" s="2476"/>
      <c r="E21" s="2476"/>
      <c r="F21" s="2476"/>
      <c r="G21" s="5"/>
    </row>
    <row r="22" spans="1:7" ht="10.95" customHeight="1">
      <c r="A22" s="10"/>
      <c r="B22" s="27"/>
      <c r="C22" s="27"/>
      <c r="D22" s="27"/>
      <c r="E22" s="27"/>
      <c r="F22" s="27"/>
      <c r="G22" s="5"/>
    </row>
    <row r="23" spans="1:7" ht="10.95" customHeight="1">
      <c r="A23" s="55" t="s">
        <v>2149</v>
      </c>
      <c r="B23" s="27"/>
      <c r="C23" s="27"/>
      <c r="D23" s="27"/>
      <c r="E23" s="27"/>
      <c r="F23" s="27"/>
      <c r="G23" s="5"/>
    </row>
    <row r="24" spans="1:7" ht="10.95" customHeight="1">
      <c r="A24" s="50"/>
      <c r="B24" s="27"/>
      <c r="C24" s="27"/>
      <c r="D24" s="27"/>
      <c r="E24" s="27"/>
      <c r="F24" s="27"/>
      <c r="G24" s="5"/>
    </row>
    <row r="25" spans="1:7" ht="31.5" customHeight="1">
      <c r="A25" s="9" t="s">
        <v>1003</v>
      </c>
      <c r="B25" s="19" t="s">
        <v>1004</v>
      </c>
      <c r="C25" s="9" t="s">
        <v>1005</v>
      </c>
      <c r="D25" s="9" t="s">
        <v>1006</v>
      </c>
      <c r="E25" s="9" t="s">
        <v>1007</v>
      </c>
      <c r="F25" s="8" t="s">
        <v>669</v>
      </c>
      <c r="G25" s="8" t="s">
        <v>670</v>
      </c>
    </row>
    <row r="26" spans="1:7" ht="10.95" customHeight="1">
      <c r="A26" s="10" t="s">
        <v>671</v>
      </c>
      <c r="B26" s="10" t="s">
        <v>672</v>
      </c>
      <c r="C26" s="5"/>
      <c r="D26" s="5"/>
      <c r="E26" s="5"/>
      <c r="F26" s="5"/>
      <c r="G26" s="5"/>
    </row>
    <row r="27" spans="1:7" ht="12.45" customHeight="1">
      <c r="A27" s="5"/>
      <c r="B27" s="10" t="s">
        <v>673</v>
      </c>
      <c r="C27" s="10" t="s">
        <v>674</v>
      </c>
      <c r="D27" s="11" t="s">
        <v>675</v>
      </c>
      <c r="E27" s="11" t="s">
        <v>718</v>
      </c>
      <c r="F27" s="5"/>
      <c r="G27" s="5"/>
    </row>
    <row r="28" spans="1:7" ht="12.45" customHeight="1">
      <c r="A28" s="5"/>
      <c r="B28" s="10" t="s">
        <v>816</v>
      </c>
      <c r="C28" s="10" t="s">
        <v>678</v>
      </c>
      <c r="D28" s="11" t="s">
        <v>675</v>
      </c>
      <c r="E28" s="11" t="s">
        <v>741</v>
      </c>
      <c r="F28" s="5"/>
      <c r="G28" s="5"/>
    </row>
    <row r="29" spans="1:7" ht="12.45" customHeight="1">
      <c r="A29" s="5"/>
      <c r="B29" s="10" t="s">
        <v>680</v>
      </c>
      <c r="C29" s="10" t="s">
        <v>681</v>
      </c>
      <c r="D29" s="11" t="s">
        <v>675</v>
      </c>
      <c r="E29" s="11" t="s">
        <v>779</v>
      </c>
      <c r="F29" s="5"/>
      <c r="G29" s="5"/>
    </row>
    <row r="30" spans="1:7" ht="12.45" customHeight="1">
      <c r="A30" s="5"/>
      <c r="B30" s="10" t="s">
        <v>683</v>
      </c>
      <c r="C30" s="10" t="s">
        <v>684</v>
      </c>
      <c r="D30" s="11" t="s">
        <v>675</v>
      </c>
      <c r="E30" s="11" t="s">
        <v>811</v>
      </c>
      <c r="F30" s="5"/>
      <c r="G30" s="5"/>
    </row>
    <row r="31" spans="1:7" ht="10.95" customHeight="1">
      <c r="A31" s="5"/>
      <c r="B31" s="5"/>
      <c r="C31" s="5"/>
      <c r="D31" s="5"/>
      <c r="E31" s="2477" t="s">
        <v>685</v>
      </c>
      <c r="F31" s="2477"/>
      <c r="G31" s="5"/>
    </row>
    <row r="32" spans="1:7" ht="10.95" customHeight="1">
      <c r="A32" s="10" t="s">
        <v>686</v>
      </c>
      <c r="B32" s="10" t="s">
        <v>687</v>
      </c>
      <c r="C32" s="5"/>
      <c r="D32" s="5"/>
      <c r="E32" s="5"/>
      <c r="F32" s="5"/>
      <c r="G32" s="5"/>
    </row>
    <row r="33" spans="1:7" ht="12.45" customHeight="1">
      <c r="A33" s="5"/>
      <c r="B33" s="10" t="s">
        <v>742</v>
      </c>
      <c r="C33" s="5"/>
      <c r="D33" s="11" t="s">
        <v>692</v>
      </c>
      <c r="E33" s="10" t="s">
        <v>1025</v>
      </c>
      <c r="F33" s="5"/>
      <c r="G33" s="5"/>
    </row>
    <row r="34" spans="1:7" ht="12.45" customHeight="1">
      <c r="A34" s="5"/>
      <c r="B34" s="10" t="s">
        <v>818</v>
      </c>
      <c r="C34" s="5"/>
      <c r="D34" s="11" t="s">
        <v>690</v>
      </c>
      <c r="E34" s="10" t="s">
        <v>1027</v>
      </c>
      <c r="F34" s="5"/>
      <c r="G34" s="5"/>
    </row>
    <row r="35" spans="1:7" ht="12.45" customHeight="1">
      <c r="A35" s="5"/>
      <c r="B35" s="10" t="s">
        <v>808</v>
      </c>
      <c r="C35" s="5"/>
      <c r="D35" s="11" t="s">
        <v>692</v>
      </c>
      <c r="E35" s="11" t="s">
        <v>805</v>
      </c>
      <c r="F35" s="5"/>
      <c r="G35" s="5"/>
    </row>
    <row r="36" spans="1:7" ht="10.95" customHeight="1">
      <c r="A36" s="5"/>
      <c r="B36" s="5"/>
      <c r="C36" s="5"/>
      <c r="D36" s="5"/>
      <c r="E36" s="2477" t="s">
        <v>702</v>
      </c>
      <c r="F36" s="2477"/>
      <c r="G36" s="5"/>
    </row>
    <row r="37" spans="1:7" ht="10.95" customHeight="1">
      <c r="A37" s="10" t="s">
        <v>703</v>
      </c>
      <c r="B37" s="10" t="s">
        <v>704</v>
      </c>
      <c r="C37" s="5"/>
      <c r="D37" s="5"/>
      <c r="E37" s="5"/>
      <c r="F37" s="5"/>
      <c r="G37" s="5"/>
    </row>
    <row r="38" spans="1:7" ht="10.95" customHeight="1">
      <c r="A38" s="5"/>
      <c r="B38" s="5"/>
      <c r="C38" s="5"/>
      <c r="D38" s="5"/>
      <c r="E38" s="5"/>
      <c r="F38" s="5"/>
      <c r="G38" s="5"/>
    </row>
    <row r="39" spans="1:7" ht="10.95" customHeight="1">
      <c r="A39" s="5"/>
      <c r="B39" s="5"/>
      <c r="C39" s="5"/>
      <c r="D39" s="5"/>
      <c r="E39" s="2477" t="s">
        <v>705</v>
      </c>
      <c r="F39" s="2477"/>
      <c r="G39" s="5"/>
    </row>
    <row r="40" spans="1:7" ht="10.95" customHeight="1">
      <c r="A40" s="5"/>
      <c r="B40" s="5"/>
      <c r="C40" s="5"/>
      <c r="D40" s="5"/>
      <c r="E40" s="5"/>
      <c r="F40" s="5"/>
      <c r="G40" s="5"/>
    </row>
    <row r="41" spans="1:7" ht="10.95" customHeight="1">
      <c r="A41" s="10" t="s">
        <v>706</v>
      </c>
      <c r="B41" s="2477" t="s">
        <v>707</v>
      </c>
      <c r="C41" s="2477"/>
      <c r="D41" s="2477"/>
      <c r="E41" s="2477"/>
      <c r="F41" s="2477"/>
      <c r="G41" s="5"/>
    </row>
    <row r="42" spans="1:7" ht="12" customHeight="1">
      <c r="A42" s="10" t="s">
        <v>708</v>
      </c>
      <c r="B42" s="2471" t="s">
        <v>876</v>
      </c>
      <c r="C42" s="2471"/>
      <c r="D42" s="2471"/>
      <c r="E42" s="2475" t="s">
        <v>710</v>
      </c>
      <c r="F42" s="2475"/>
      <c r="G42" s="5"/>
    </row>
    <row r="43" spans="1:7" ht="10.95" customHeight="1">
      <c r="A43" s="10" t="s">
        <v>711</v>
      </c>
      <c r="B43" s="2476" t="s">
        <v>712</v>
      </c>
      <c r="C43" s="2476"/>
      <c r="D43" s="2476"/>
      <c r="E43" s="2476"/>
      <c r="F43" s="2476"/>
      <c r="G43" s="5"/>
    </row>
  </sheetData>
  <mergeCells count="14">
    <mergeCell ref="E9:F9"/>
    <mergeCell ref="E14:F14"/>
    <mergeCell ref="E17:F17"/>
    <mergeCell ref="B19:F19"/>
    <mergeCell ref="B20:D20"/>
    <mergeCell ref="E20:F20"/>
    <mergeCell ref="B42:D42"/>
    <mergeCell ref="E42:F42"/>
    <mergeCell ref="B43:F43"/>
    <mergeCell ref="B21:F21"/>
    <mergeCell ref="E31:F31"/>
    <mergeCell ref="E36:F36"/>
    <mergeCell ref="E39:F39"/>
    <mergeCell ref="B41:F41"/>
  </mergeCells>
  <pageMargins left="0.7" right="0.7" top="0.75" bottom="0.75" header="0.3" footer="0.3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B00-000000000000}">
  <sheetPr codeName="Sheet212"/>
  <dimension ref="A1:G39"/>
  <sheetViews>
    <sheetView workbookViewId="0">
      <selection activeCell="G39" sqref="A1:G39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2544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1836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1837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801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2484" t="s">
        <v>685</v>
      </c>
      <c r="B9" s="2484"/>
      <c r="C9" s="2484"/>
      <c r="D9" s="2484"/>
      <c r="E9" s="2484"/>
      <c r="F9" s="2484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65" customHeight="1">
      <c r="A11" s="5"/>
      <c r="B11" s="3" t="s">
        <v>1607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2474" t="s">
        <v>702</v>
      </c>
      <c r="F12" s="2474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1592</v>
      </c>
      <c r="F14" s="5"/>
      <c r="G14" s="5"/>
    </row>
    <row r="15" spans="1:7" ht="12" customHeight="1">
      <c r="A15" s="5"/>
      <c r="B15" s="5"/>
      <c r="C15" s="5"/>
      <c r="D15" s="5"/>
      <c r="E15" s="2474" t="s">
        <v>705</v>
      </c>
      <c r="F15" s="2474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2474" t="s">
        <v>707</v>
      </c>
      <c r="C17" s="2474"/>
      <c r="D17" s="2474"/>
      <c r="E17" s="2474"/>
      <c r="F17" s="2474"/>
      <c r="G17" s="5"/>
    </row>
    <row r="18" spans="1:7" ht="12" customHeight="1">
      <c r="A18" s="12" t="s">
        <v>708</v>
      </c>
      <c r="B18" s="2471" t="s">
        <v>709</v>
      </c>
      <c r="C18" s="2471"/>
      <c r="D18" s="2471"/>
      <c r="E18" s="2472" t="s">
        <v>710</v>
      </c>
      <c r="F18" s="2472"/>
      <c r="G18" s="5"/>
    </row>
    <row r="19" spans="1:7" ht="12" customHeight="1">
      <c r="A19" s="12" t="s">
        <v>711</v>
      </c>
      <c r="B19" s="2473" t="s">
        <v>712</v>
      </c>
      <c r="C19" s="2473"/>
      <c r="D19" s="2473"/>
      <c r="E19" s="2473"/>
      <c r="F19" s="2473"/>
      <c r="G19" s="5"/>
    </row>
    <row r="20" spans="1:7" ht="12" customHeight="1">
      <c r="A20" s="12"/>
      <c r="B20" s="26"/>
      <c r="C20" s="26"/>
      <c r="D20" s="26"/>
      <c r="E20" s="26"/>
      <c r="F20" s="26"/>
      <c r="G20" s="5"/>
    </row>
    <row r="21" spans="1:7" ht="12" customHeight="1">
      <c r="A21" s="50" t="s">
        <v>2545</v>
      </c>
      <c r="B21" s="26"/>
      <c r="C21" s="26"/>
      <c r="D21" s="26"/>
      <c r="E21" s="26"/>
      <c r="F21" s="26"/>
      <c r="G21" s="5"/>
    </row>
    <row r="22" spans="1:7" ht="12" customHeight="1">
      <c r="A22" s="12"/>
      <c r="B22" s="26"/>
      <c r="C22" s="26"/>
      <c r="D22" s="26"/>
      <c r="E22" s="26"/>
      <c r="F22" s="26"/>
      <c r="G22" s="5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1838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1839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791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2484" t="s">
        <v>685</v>
      </c>
      <c r="B29" s="2484"/>
      <c r="C29" s="2484"/>
      <c r="D29" s="2484"/>
      <c r="E29" s="2484"/>
      <c r="F29" s="2484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65" customHeight="1">
      <c r="A31" s="5"/>
      <c r="B31" s="3" t="s">
        <v>1611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2474" t="s">
        <v>702</v>
      </c>
      <c r="F32" s="2474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1592</v>
      </c>
      <c r="F34" s="5"/>
      <c r="G34" s="5"/>
    </row>
    <row r="35" spans="1:7" ht="12" customHeight="1">
      <c r="A35" s="5"/>
      <c r="B35" s="5"/>
      <c r="C35" s="5"/>
      <c r="D35" s="5"/>
      <c r="E35" s="2474" t="s">
        <v>705</v>
      </c>
      <c r="F35" s="2474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2474" t="s">
        <v>707</v>
      </c>
      <c r="C37" s="2474"/>
      <c r="D37" s="2474"/>
      <c r="E37" s="2474"/>
      <c r="F37" s="2474"/>
      <c r="G37" s="5"/>
    </row>
    <row r="38" spans="1:7" ht="12" customHeight="1">
      <c r="A38" s="12" t="s">
        <v>708</v>
      </c>
      <c r="B38" s="2471" t="s">
        <v>709</v>
      </c>
      <c r="C38" s="2471"/>
      <c r="D38" s="2471"/>
      <c r="E38" s="2472" t="s">
        <v>710</v>
      </c>
      <c r="F38" s="2472"/>
      <c r="G38" s="5"/>
    </row>
    <row r="39" spans="1:7" ht="12" customHeight="1">
      <c r="A39" s="12" t="s">
        <v>711</v>
      </c>
      <c r="B39" s="2473" t="s">
        <v>712</v>
      </c>
      <c r="C39" s="2473"/>
      <c r="D39" s="2473"/>
      <c r="E39" s="2473"/>
      <c r="F39" s="2473"/>
      <c r="G39" s="5"/>
    </row>
  </sheetData>
  <mergeCells count="14">
    <mergeCell ref="A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A29:F29"/>
    <mergeCell ref="E32:F32"/>
    <mergeCell ref="E35:F35"/>
    <mergeCell ref="B37:F37"/>
  </mergeCells>
  <pageMargins left="0.7" right="0.7" top="0.75" bottom="0.75" header="0.3" footer="0.3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C00-000000000000}">
  <sheetPr codeName="Sheet213"/>
  <dimension ref="A1:G39"/>
  <sheetViews>
    <sheetView workbookViewId="0">
      <selection activeCell="G39" sqref="A1:G39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2546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1840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1841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829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2484" t="s">
        <v>685</v>
      </c>
      <c r="B9" s="2484"/>
      <c r="C9" s="2484"/>
      <c r="D9" s="2484"/>
      <c r="E9" s="2484"/>
      <c r="F9" s="2484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65" customHeight="1">
      <c r="A11" s="5"/>
      <c r="B11" s="3" t="s">
        <v>1613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2474" t="s">
        <v>702</v>
      </c>
      <c r="F12" s="2474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1592</v>
      </c>
      <c r="F14" s="5"/>
      <c r="G14" s="5"/>
    </row>
    <row r="15" spans="1:7" ht="12" customHeight="1">
      <c r="A15" s="5"/>
      <c r="B15" s="5"/>
      <c r="C15" s="5"/>
      <c r="D15" s="5"/>
      <c r="E15" s="2474" t="s">
        <v>705</v>
      </c>
      <c r="F15" s="2474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2474" t="s">
        <v>707</v>
      </c>
      <c r="C17" s="2474"/>
      <c r="D17" s="2474"/>
      <c r="E17" s="2474"/>
      <c r="F17" s="2474"/>
      <c r="G17" s="5"/>
    </row>
    <row r="18" spans="1:7" ht="12" customHeight="1">
      <c r="A18" s="12" t="s">
        <v>708</v>
      </c>
      <c r="B18" s="2471" t="s">
        <v>709</v>
      </c>
      <c r="C18" s="2471"/>
      <c r="D18" s="2471"/>
      <c r="E18" s="2472" t="s">
        <v>710</v>
      </c>
      <c r="F18" s="2472"/>
      <c r="G18" s="5"/>
    </row>
    <row r="19" spans="1:7" ht="12" customHeight="1">
      <c r="A19" s="12" t="s">
        <v>711</v>
      </c>
      <c r="B19" s="2473" t="s">
        <v>712</v>
      </c>
      <c r="C19" s="2473"/>
      <c r="D19" s="2473"/>
      <c r="E19" s="2473"/>
      <c r="F19" s="2473"/>
      <c r="G19" s="5"/>
    </row>
    <row r="20" spans="1:7" ht="12" customHeight="1">
      <c r="A20" s="12"/>
      <c r="B20" s="26"/>
      <c r="C20" s="26"/>
      <c r="D20" s="26"/>
      <c r="E20" s="26"/>
      <c r="F20" s="26"/>
      <c r="G20" s="5"/>
    </row>
    <row r="21" spans="1:7" ht="12" customHeight="1">
      <c r="A21" s="50" t="s">
        <v>2547</v>
      </c>
      <c r="B21" s="26"/>
      <c r="C21" s="26"/>
      <c r="D21" s="26"/>
      <c r="E21" s="26"/>
      <c r="F21" s="26"/>
      <c r="G21" s="5"/>
    </row>
    <row r="22" spans="1:7" ht="12" customHeight="1">
      <c r="A22" s="12"/>
      <c r="B22" s="26"/>
      <c r="C22" s="26"/>
      <c r="D22" s="26"/>
      <c r="E22" s="26"/>
      <c r="F22" s="26"/>
      <c r="G22" s="5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1842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1808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1485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2484" t="s">
        <v>685</v>
      </c>
      <c r="B29" s="2484"/>
      <c r="C29" s="2484"/>
      <c r="D29" s="2484"/>
      <c r="E29" s="2484"/>
      <c r="F29" s="2484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65" customHeight="1">
      <c r="A31" s="5"/>
      <c r="B31" s="3" t="s">
        <v>1616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2474" t="s">
        <v>702</v>
      </c>
      <c r="F32" s="2474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1592</v>
      </c>
      <c r="F34" s="5"/>
      <c r="G34" s="5"/>
    </row>
    <row r="35" spans="1:7" ht="12" customHeight="1">
      <c r="A35" s="5"/>
      <c r="B35" s="5"/>
      <c r="C35" s="5"/>
      <c r="D35" s="5"/>
      <c r="E35" s="2474" t="s">
        <v>705</v>
      </c>
      <c r="F35" s="2474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2474" t="s">
        <v>707</v>
      </c>
      <c r="C37" s="2474"/>
      <c r="D37" s="2474"/>
      <c r="E37" s="2474"/>
      <c r="F37" s="2474"/>
      <c r="G37" s="5"/>
    </row>
    <row r="38" spans="1:7" ht="12" customHeight="1">
      <c r="A38" s="12" t="s">
        <v>708</v>
      </c>
      <c r="B38" s="2471" t="s">
        <v>709</v>
      </c>
      <c r="C38" s="2471"/>
      <c r="D38" s="2471"/>
      <c r="E38" s="2472" t="s">
        <v>710</v>
      </c>
      <c r="F38" s="2472"/>
      <c r="G38" s="5"/>
    </row>
    <row r="39" spans="1:7" ht="12" customHeight="1">
      <c r="A39" s="12" t="s">
        <v>711</v>
      </c>
      <c r="B39" s="2473" t="s">
        <v>712</v>
      </c>
      <c r="C39" s="2473"/>
      <c r="D39" s="2473"/>
      <c r="E39" s="2473"/>
      <c r="F39" s="2473"/>
      <c r="G39" s="5"/>
    </row>
  </sheetData>
  <mergeCells count="14">
    <mergeCell ref="A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A29:F29"/>
    <mergeCell ref="E32:F32"/>
    <mergeCell ref="E35:F35"/>
    <mergeCell ref="B37:F37"/>
  </mergeCells>
  <pageMargins left="0.7" right="0.7" top="0.75" bottom="0.75" header="0.3" footer="0.3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D00-000000000000}">
  <sheetPr codeName="Sheet214"/>
  <dimension ref="A1:G39"/>
  <sheetViews>
    <sheetView workbookViewId="0">
      <selection activeCell="G39" sqref="A1:G39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2548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1843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827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1844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2484" t="s">
        <v>685</v>
      </c>
      <c r="B9" s="2484"/>
      <c r="C9" s="2484"/>
      <c r="D9" s="2484"/>
      <c r="E9" s="2484"/>
      <c r="F9" s="2484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65" customHeight="1">
      <c r="A11" s="5"/>
      <c r="B11" s="3" t="s">
        <v>1619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2474" t="s">
        <v>702</v>
      </c>
      <c r="F12" s="2474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1592</v>
      </c>
      <c r="F14" s="5"/>
      <c r="G14" s="5"/>
    </row>
    <row r="15" spans="1:7" ht="12" customHeight="1">
      <c r="A15" s="5"/>
      <c r="B15" s="5"/>
      <c r="C15" s="5"/>
      <c r="D15" s="5"/>
      <c r="E15" s="2474" t="s">
        <v>705</v>
      </c>
      <c r="F15" s="2474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2474" t="s">
        <v>707</v>
      </c>
      <c r="C17" s="2474"/>
      <c r="D17" s="2474"/>
      <c r="E17" s="2474"/>
      <c r="F17" s="2474"/>
      <c r="G17" s="5"/>
    </row>
    <row r="18" spans="1:7" ht="12" customHeight="1">
      <c r="A18" s="12" t="s">
        <v>708</v>
      </c>
      <c r="B18" s="2471" t="s">
        <v>709</v>
      </c>
      <c r="C18" s="2471"/>
      <c r="D18" s="2471"/>
      <c r="E18" s="2472" t="s">
        <v>710</v>
      </c>
      <c r="F18" s="2472"/>
      <c r="G18" s="5"/>
    </row>
    <row r="19" spans="1:7" ht="12" customHeight="1">
      <c r="A19" s="12" t="s">
        <v>711</v>
      </c>
      <c r="B19" s="2473" t="s">
        <v>712</v>
      </c>
      <c r="C19" s="2473"/>
      <c r="D19" s="2473"/>
      <c r="E19" s="2473"/>
      <c r="F19" s="2473"/>
      <c r="G19" s="5"/>
    </row>
    <row r="20" spans="1:7" ht="12" customHeight="1">
      <c r="A20" s="12"/>
      <c r="B20" s="26"/>
      <c r="C20" s="26"/>
      <c r="D20" s="26"/>
      <c r="E20" s="26"/>
      <c r="F20" s="26"/>
      <c r="G20" s="5"/>
    </row>
    <row r="21" spans="1:7" ht="12" customHeight="1">
      <c r="A21" s="50" t="s">
        <v>2549</v>
      </c>
      <c r="B21" s="26"/>
      <c r="C21" s="26"/>
      <c r="D21" s="26"/>
      <c r="E21" s="26"/>
      <c r="F21" s="26"/>
      <c r="G21" s="5"/>
    </row>
    <row r="22" spans="1:7" ht="12" customHeight="1">
      <c r="A22" s="12"/>
      <c r="B22" s="26"/>
      <c r="C22" s="26"/>
      <c r="D22" s="26"/>
      <c r="E22" s="26"/>
      <c r="F22" s="26"/>
      <c r="G22" s="5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1845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1846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1791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2484" t="s">
        <v>685</v>
      </c>
      <c r="B29" s="2484"/>
      <c r="C29" s="2484"/>
      <c r="D29" s="2484"/>
      <c r="E29" s="2484"/>
      <c r="F29" s="2484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65" customHeight="1">
      <c r="A31" s="5"/>
      <c r="B31" s="3" t="s">
        <v>1623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2474" t="s">
        <v>702</v>
      </c>
      <c r="F32" s="2474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1592</v>
      </c>
      <c r="F34" s="5"/>
      <c r="G34" s="5"/>
    </row>
    <row r="35" spans="1:7" ht="12" customHeight="1">
      <c r="A35" s="5"/>
      <c r="B35" s="5"/>
      <c r="C35" s="5"/>
      <c r="D35" s="5"/>
      <c r="E35" s="2474" t="s">
        <v>705</v>
      </c>
      <c r="F35" s="2474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2474" t="s">
        <v>707</v>
      </c>
      <c r="C37" s="2474"/>
      <c r="D37" s="2474"/>
      <c r="E37" s="2474"/>
      <c r="F37" s="2474"/>
      <c r="G37" s="5"/>
    </row>
    <row r="38" spans="1:7" ht="12" customHeight="1">
      <c r="A38" s="12" t="s">
        <v>708</v>
      </c>
      <c r="B38" s="2471" t="s">
        <v>709</v>
      </c>
      <c r="C38" s="2471"/>
      <c r="D38" s="2471"/>
      <c r="E38" s="2472" t="s">
        <v>710</v>
      </c>
      <c r="F38" s="2472"/>
      <c r="G38" s="5"/>
    </row>
    <row r="39" spans="1:7" ht="12" customHeight="1">
      <c r="A39" s="12" t="s">
        <v>711</v>
      </c>
      <c r="B39" s="2473" t="s">
        <v>712</v>
      </c>
      <c r="C39" s="2473"/>
      <c r="D39" s="2473"/>
      <c r="E39" s="2473"/>
      <c r="F39" s="2473"/>
      <c r="G39" s="5"/>
    </row>
  </sheetData>
  <mergeCells count="14">
    <mergeCell ref="A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A29:F29"/>
    <mergeCell ref="E32:F32"/>
    <mergeCell ref="E35:F35"/>
    <mergeCell ref="B37:F37"/>
  </mergeCells>
  <pageMargins left="0.7" right="0.7" top="0.75" bottom="0.75" header="0.3" footer="0.3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E00-000000000000}">
  <sheetPr codeName="Sheet215"/>
  <dimension ref="A1:G39"/>
  <sheetViews>
    <sheetView topLeftCell="A22" workbookViewId="0">
      <selection sqref="A1:G39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2550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1847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1848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1800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2484" t="s">
        <v>685</v>
      </c>
      <c r="B9" s="2484"/>
      <c r="C9" s="2484"/>
      <c r="D9" s="2484"/>
      <c r="E9" s="2484"/>
      <c r="F9" s="2484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65" customHeight="1">
      <c r="A11" s="5"/>
      <c r="B11" s="3" t="s">
        <v>1626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2474" t="s">
        <v>702</v>
      </c>
      <c r="F12" s="2474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1592</v>
      </c>
      <c r="F14" s="5"/>
      <c r="G14" s="5"/>
    </row>
    <row r="15" spans="1:7" ht="12" customHeight="1">
      <c r="A15" s="5"/>
      <c r="B15" s="5"/>
      <c r="C15" s="5"/>
      <c r="D15" s="5"/>
      <c r="E15" s="2474" t="s">
        <v>705</v>
      </c>
      <c r="F15" s="2474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2474" t="s">
        <v>707</v>
      </c>
      <c r="C17" s="2474"/>
      <c r="D17" s="2474"/>
      <c r="E17" s="2474"/>
      <c r="F17" s="2474"/>
      <c r="G17" s="5"/>
    </row>
    <row r="18" spans="1:7" ht="12" customHeight="1">
      <c r="A18" s="12" t="s">
        <v>708</v>
      </c>
      <c r="B18" s="2471" t="s">
        <v>709</v>
      </c>
      <c r="C18" s="2471"/>
      <c r="D18" s="2471"/>
      <c r="E18" s="2472" t="s">
        <v>710</v>
      </c>
      <c r="F18" s="2472"/>
      <c r="G18" s="5"/>
    </row>
    <row r="19" spans="1:7" ht="12" customHeight="1">
      <c r="A19" s="12" t="s">
        <v>711</v>
      </c>
      <c r="B19" s="2473" t="s">
        <v>712</v>
      </c>
      <c r="C19" s="2473"/>
      <c r="D19" s="2473"/>
      <c r="E19" s="2473"/>
      <c r="F19" s="2473"/>
      <c r="G19" s="5"/>
    </row>
    <row r="20" spans="1:7" ht="12" customHeight="1">
      <c r="A20" s="12"/>
      <c r="B20" s="26"/>
      <c r="C20" s="26"/>
      <c r="D20" s="26"/>
      <c r="E20" s="26"/>
      <c r="F20" s="26"/>
      <c r="G20" s="5"/>
    </row>
    <row r="21" spans="1:7" ht="12" customHeight="1">
      <c r="A21" s="50" t="s">
        <v>2551</v>
      </c>
      <c r="B21" s="26"/>
      <c r="C21" s="26"/>
      <c r="D21" s="26"/>
      <c r="E21" s="26"/>
      <c r="F21" s="26"/>
      <c r="G21" s="5"/>
    </row>
    <row r="22" spans="1:7" ht="12" customHeight="1">
      <c r="A22" s="12"/>
      <c r="B22" s="26"/>
      <c r="C22" s="26"/>
      <c r="D22" s="26"/>
      <c r="E22" s="26"/>
      <c r="F22" s="26"/>
      <c r="G22" s="5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1849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1850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1851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2484" t="s">
        <v>685</v>
      </c>
      <c r="B29" s="2484"/>
      <c r="C29" s="2484"/>
      <c r="D29" s="2484"/>
      <c r="E29" s="2484"/>
      <c r="F29" s="2484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65" customHeight="1">
      <c r="A31" s="5"/>
      <c r="B31" s="3" t="s">
        <v>1630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2474" t="s">
        <v>702</v>
      </c>
      <c r="F32" s="2474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1592</v>
      </c>
      <c r="F34" s="5"/>
      <c r="G34" s="5"/>
    </row>
    <row r="35" spans="1:7" ht="12" customHeight="1">
      <c r="A35" s="5"/>
      <c r="B35" s="5"/>
      <c r="C35" s="5"/>
      <c r="D35" s="5"/>
      <c r="E35" s="2474" t="s">
        <v>705</v>
      </c>
      <c r="F35" s="2474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2474" t="s">
        <v>707</v>
      </c>
      <c r="C37" s="2474"/>
      <c r="D37" s="2474"/>
      <c r="E37" s="2474"/>
      <c r="F37" s="2474"/>
      <c r="G37" s="5"/>
    </row>
    <row r="38" spans="1:7" ht="12" customHeight="1">
      <c r="A38" s="12" t="s">
        <v>708</v>
      </c>
      <c r="B38" s="2471" t="s">
        <v>709</v>
      </c>
      <c r="C38" s="2471"/>
      <c r="D38" s="2471"/>
      <c r="E38" s="2472" t="s">
        <v>710</v>
      </c>
      <c r="F38" s="2472"/>
      <c r="G38" s="5"/>
    </row>
    <row r="39" spans="1:7" ht="12" customHeight="1">
      <c r="A39" s="12" t="s">
        <v>711</v>
      </c>
      <c r="B39" s="2473" t="s">
        <v>712</v>
      </c>
      <c r="C39" s="2473"/>
      <c r="D39" s="2473"/>
      <c r="E39" s="2473"/>
      <c r="F39" s="2473"/>
      <c r="G39" s="5"/>
    </row>
  </sheetData>
  <mergeCells count="14">
    <mergeCell ref="A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A29:F29"/>
    <mergeCell ref="E32:F32"/>
    <mergeCell ref="E35:F35"/>
    <mergeCell ref="B37:F37"/>
  </mergeCells>
  <pageMargins left="0.7" right="0.7" top="0.75" bottom="0.75" header="0.3" footer="0.3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F00-000000000000}">
  <sheetPr codeName="Sheet216"/>
  <dimension ref="A1:G39"/>
  <sheetViews>
    <sheetView workbookViewId="0">
      <selection activeCell="G39" sqref="A1:G39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2552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1852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1775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1853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2484" t="s">
        <v>685</v>
      </c>
      <c r="B9" s="2484"/>
      <c r="C9" s="2484"/>
      <c r="D9" s="2484"/>
      <c r="E9" s="2484"/>
      <c r="F9" s="2484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65" customHeight="1">
      <c r="A11" s="5"/>
      <c r="B11" s="3" t="s">
        <v>1631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2474" t="s">
        <v>702</v>
      </c>
      <c r="F12" s="2474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1592</v>
      </c>
      <c r="F14" s="5"/>
      <c r="G14" s="5"/>
    </row>
    <row r="15" spans="1:7" ht="12" customHeight="1">
      <c r="A15" s="5"/>
      <c r="B15" s="5"/>
      <c r="C15" s="5"/>
      <c r="D15" s="5"/>
      <c r="E15" s="2474" t="s">
        <v>705</v>
      </c>
      <c r="F15" s="2474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2474" t="s">
        <v>707</v>
      </c>
      <c r="C17" s="2474"/>
      <c r="D17" s="2474"/>
      <c r="E17" s="2474"/>
      <c r="F17" s="2474"/>
      <c r="G17" s="5"/>
    </row>
    <row r="18" spans="1:7" ht="12" customHeight="1">
      <c r="A18" s="12" t="s">
        <v>708</v>
      </c>
      <c r="B18" s="2471" t="s">
        <v>709</v>
      </c>
      <c r="C18" s="2471"/>
      <c r="D18" s="2471"/>
      <c r="E18" s="2472" t="s">
        <v>710</v>
      </c>
      <c r="F18" s="2472"/>
      <c r="G18" s="5"/>
    </row>
    <row r="19" spans="1:7" ht="12" customHeight="1">
      <c r="A19" s="12" t="s">
        <v>711</v>
      </c>
      <c r="B19" s="2473" t="s">
        <v>712</v>
      </c>
      <c r="C19" s="2473"/>
      <c r="D19" s="2473"/>
      <c r="E19" s="2473"/>
      <c r="F19" s="2473"/>
      <c r="G19" s="5"/>
    </row>
    <row r="20" spans="1:7" ht="12" customHeight="1">
      <c r="A20" s="12"/>
      <c r="B20" s="26"/>
      <c r="C20" s="26"/>
      <c r="D20" s="26"/>
      <c r="E20" s="26"/>
      <c r="F20" s="26"/>
      <c r="G20" s="5"/>
    </row>
    <row r="21" spans="1:7" ht="12" customHeight="1">
      <c r="A21" s="50" t="s">
        <v>2553</v>
      </c>
      <c r="B21" s="26"/>
      <c r="C21" s="26"/>
      <c r="D21" s="26"/>
      <c r="E21" s="26"/>
      <c r="F21" s="26"/>
      <c r="G21" s="5"/>
    </row>
    <row r="22" spans="1:7" ht="12" customHeight="1">
      <c r="A22" s="12"/>
      <c r="B22" s="26"/>
      <c r="C22" s="26"/>
      <c r="D22" s="26"/>
      <c r="E22" s="26"/>
      <c r="F22" s="26"/>
      <c r="G22" s="5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1854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1855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1856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2484" t="s">
        <v>685</v>
      </c>
      <c r="B29" s="2484"/>
      <c r="C29" s="2484"/>
      <c r="D29" s="2484"/>
      <c r="E29" s="2484"/>
      <c r="F29" s="2484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65" customHeight="1">
      <c r="A31" s="5"/>
      <c r="B31" s="3" t="s">
        <v>1635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2474" t="s">
        <v>702</v>
      </c>
      <c r="F32" s="2474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1592</v>
      </c>
      <c r="F34" s="5"/>
      <c r="G34" s="5"/>
    </row>
    <row r="35" spans="1:7" ht="12" customHeight="1">
      <c r="A35" s="5"/>
      <c r="B35" s="5"/>
      <c r="C35" s="5"/>
      <c r="D35" s="5"/>
      <c r="E35" s="2474" t="s">
        <v>705</v>
      </c>
      <c r="F35" s="2474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2474" t="s">
        <v>707</v>
      </c>
      <c r="C37" s="2474"/>
      <c r="D37" s="2474"/>
      <c r="E37" s="2474"/>
      <c r="F37" s="2474"/>
      <c r="G37" s="5"/>
    </row>
    <row r="38" spans="1:7" ht="12" customHeight="1">
      <c r="A38" s="12" t="s">
        <v>708</v>
      </c>
      <c r="B38" s="2471" t="s">
        <v>709</v>
      </c>
      <c r="C38" s="2471"/>
      <c r="D38" s="2471"/>
      <c r="E38" s="2472" t="s">
        <v>710</v>
      </c>
      <c r="F38" s="2472"/>
      <c r="G38" s="5"/>
    </row>
    <row r="39" spans="1:7" ht="12" customHeight="1">
      <c r="A39" s="12" t="s">
        <v>711</v>
      </c>
      <c r="B39" s="2473" t="s">
        <v>712</v>
      </c>
      <c r="C39" s="2473"/>
      <c r="D39" s="2473"/>
      <c r="E39" s="2473"/>
      <c r="F39" s="2473"/>
      <c r="G39" s="5"/>
    </row>
  </sheetData>
  <mergeCells count="14">
    <mergeCell ref="A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A29:F29"/>
    <mergeCell ref="E32:F32"/>
    <mergeCell ref="E35:F35"/>
    <mergeCell ref="B37:F37"/>
  </mergeCells>
  <pageMargins left="0.7" right="0.7" top="0.75" bottom="0.75" header="0.3" footer="0.3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000-000000000000}">
  <sheetPr codeName="Sheet217"/>
  <dimension ref="A1:G39"/>
  <sheetViews>
    <sheetView topLeftCell="A25" workbookViewId="0">
      <selection activeCell="D52" sqref="D52"/>
    </sheetView>
  </sheetViews>
  <sheetFormatPr defaultRowHeight="14.4"/>
  <cols>
    <col min="1" max="1" width="5.33203125" customWidth="1"/>
    <col min="2" max="2" width="22.33203125" customWidth="1"/>
    <col min="3" max="3" width="7" style="78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5" t="s">
        <v>2554</v>
      </c>
    </row>
    <row r="3" spans="1:7" ht="35.1" customHeight="1">
      <c r="A3" s="6" t="s">
        <v>762</v>
      </c>
      <c r="B3" s="6" t="s">
        <v>763</v>
      </c>
      <c r="C3" s="7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9"/>
      <c r="D4" s="5"/>
      <c r="E4" s="5"/>
      <c r="F4" s="5"/>
      <c r="G4" s="5"/>
    </row>
    <row r="5" spans="1:7" ht="12" customHeight="1">
      <c r="A5" s="5"/>
      <c r="B5" s="3" t="s">
        <v>673</v>
      </c>
      <c r="C5" s="12" t="s">
        <v>674</v>
      </c>
      <c r="D5" s="12" t="s">
        <v>675</v>
      </c>
      <c r="E5" s="3" t="s">
        <v>914</v>
      </c>
      <c r="F5" s="5"/>
      <c r="G5" s="5"/>
    </row>
    <row r="6" spans="1:7" ht="12" customHeight="1">
      <c r="A6" s="5"/>
      <c r="B6" s="3" t="s">
        <v>1480</v>
      </c>
      <c r="C6" s="12" t="s">
        <v>678</v>
      </c>
      <c r="D6" s="12" t="s">
        <v>675</v>
      </c>
      <c r="E6" s="3" t="s">
        <v>1034</v>
      </c>
      <c r="F6" s="5"/>
      <c r="G6" s="5"/>
    </row>
    <row r="7" spans="1:7" ht="12" customHeight="1">
      <c r="A7" s="5"/>
      <c r="B7" s="3" t="s">
        <v>683</v>
      </c>
      <c r="C7" s="12" t="s">
        <v>684</v>
      </c>
      <c r="D7" s="12" t="s">
        <v>675</v>
      </c>
      <c r="E7" s="3" t="s">
        <v>730</v>
      </c>
      <c r="F7" s="5"/>
      <c r="G7" s="5"/>
    </row>
    <row r="8" spans="1:7" ht="12" customHeight="1">
      <c r="A8" s="5"/>
      <c r="B8" s="5"/>
      <c r="C8" s="59"/>
      <c r="D8" s="5"/>
      <c r="E8" s="5"/>
      <c r="F8" s="5"/>
      <c r="G8" s="5"/>
    </row>
    <row r="9" spans="1:7" ht="12" customHeight="1">
      <c r="A9" s="2484" t="s">
        <v>685</v>
      </c>
      <c r="B9" s="2484"/>
      <c r="C9" s="2484"/>
      <c r="D9" s="2484"/>
      <c r="E9" s="2484"/>
      <c r="F9" s="2484"/>
      <c r="G9" s="5"/>
    </row>
    <row r="10" spans="1:7" ht="12" customHeight="1">
      <c r="A10" s="12" t="s">
        <v>686</v>
      </c>
      <c r="B10" s="3" t="s">
        <v>687</v>
      </c>
      <c r="C10" s="59"/>
      <c r="D10" s="5"/>
      <c r="E10" s="5"/>
      <c r="F10" s="5"/>
      <c r="G10" s="5"/>
    </row>
    <row r="11" spans="1:7" ht="13.65" customHeight="1">
      <c r="A11" s="5"/>
      <c r="B11" s="3" t="s">
        <v>1638</v>
      </c>
      <c r="C11" s="59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9"/>
      <c r="D12" s="5"/>
      <c r="E12" s="2474" t="s">
        <v>702</v>
      </c>
      <c r="F12" s="2474"/>
      <c r="G12" s="5"/>
    </row>
    <row r="13" spans="1:7" ht="12" customHeight="1">
      <c r="A13" s="12" t="s">
        <v>703</v>
      </c>
      <c r="B13" s="3" t="s">
        <v>704</v>
      </c>
      <c r="C13" s="59"/>
      <c r="D13" s="5"/>
      <c r="E13" s="5"/>
      <c r="F13" s="5"/>
      <c r="G13" s="5"/>
    </row>
    <row r="14" spans="1:7" ht="23.4" customHeight="1">
      <c r="A14" s="5"/>
      <c r="B14" s="2" t="s">
        <v>1666</v>
      </c>
      <c r="C14" s="59"/>
      <c r="D14" s="2" t="s">
        <v>1483</v>
      </c>
      <c r="E14" s="2" t="s">
        <v>1857</v>
      </c>
      <c r="F14" s="5"/>
      <c r="G14" s="5"/>
    </row>
    <row r="15" spans="1:7" ht="12" customHeight="1">
      <c r="A15" s="5"/>
      <c r="B15" s="5"/>
      <c r="C15" s="59"/>
      <c r="D15" s="5"/>
      <c r="E15" s="2474" t="s">
        <v>705</v>
      </c>
      <c r="F15" s="2474"/>
      <c r="G15" s="5"/>
    </row>
    <row r="16" spans="1:7" ht="12" customHeight="1">
      <c r="A16" s="5"/>
      <c r="B16" s="5"/>
      <c r="C16" s="59"/>
      <c r="D16" s="5"/>
      <c r="E16" s="5"/>
      <c r="F16" s="5"/>
      <c r="G16" s="5"/>
    </row>
    <row r="17" spans="1:7" ht="12" customHeight="1">
      <c r="A17" s="12" t="s">
        <v>706</v>
      </c>
      <c r="B17" s="2474" t="s">
        <v>707</v>
      </c>
      <c r="C17" s="2474"/>
      <c r="D17" s="2474"/>
      <c r="E17" s="2474"/>
      <c r="F17" s="2474"/>
      <c r="G17" s="5"/>
    </row>
    <row r="18" spans="1:7" ht="12" customHeight="1">
      <c r="A18" s="12" t="s">
        <v>708</v>
      </c>
      <c r="B18" s="2471" t="s">
        <v>709</v>
      </c>
      <c r="C18" s="2471"/>
      <c r="D18" s="2471"/>
      <c r="E18" s="2472" t="s">
        <v>710</v>
      </c>
      <c r="F18" s="2472"/>
      <c r="G18" s="5"/>
    </row>
    <row r="19" spans="1:7" ht="12" customHeight="1">
      <c r="A19" s="12" t="s">
        <v>711</v>
      </c>
      <c r="B19" s="2473" t="s">
        <v>712</v>
      </c>
      <c r="C19" s="2473"/>
      <c r="D19" s="2473"/>
      <c r="E19" s="2473"/>
      <c r="F19" s="2473"/>
      <c r="G19" s="5"/>
    </row>
    <row r="20" spans="1:7" ht="12" customHeight="1">
      <c r="A20" s="12"/>
      <c r="B20" s="26"/>
      <c r="C20" s="60"/>
      <c r="D20" s="26"/>
      <c r="E20" s="26"/>
      <c r="F20" s="26"/>
      <c r="G20" s="5"/>
    </row>
    <row r="21" spans="1:7" ht="12" customHeight="1">
      <c r="A21" s="50" t="s">
        <v>2555</v>
      </c>
      <c r="B21" s="26"/>
      <c r="C21" s="60"/>
      <c r="D21" s="26"/>
      <c r="E21" s="26"/>
      <c r="F21" s="26"/>
      <c r="G21" s="5"/>
    </row>
    <row r="22" spans="1:7" ht="12" customHeight="1">
      <c r="A22" s="12"/>
      <c r="B22" s="26"/>
      <c r="C22" s="60"/>
      <c r="D22" s="26"/>
      <c r="E22" s="26"/>
      <c r="F22" s="26"/>
      <c r="G22" s="5"/>
    </row>
    <row r="23" spans="1:7" ht="35.1" customHeight="1">
      <c r="A23" s="6" t="s">
        <v>762</v>
      </c>
      <c r="B23" s="6" t="s">
        <v>763</v>
      </c>
      <c r="C23" s="7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9"/>
      <c r="D24" s="5"/>
      <c r="E24" s="5"/>
      <c r="F24" s="5"/>
      <c r="G24" s="5"/>
    </row>
    <row r="25" spans="1:7" ht="12" customHeight="1">
      <c r="A25" s="5"/>
      <c r="B25" s="3" t="s">
        <v>673</v>
      </c>
      <c r="C25" s="12" t="s">
        <v>674</v>
      </c>
      <c r="D25" s="12" t="s">
        <v>675</v>
      </c>
      <c r="E25" s="3" t="s">
        <v>1697</v>
      </c>
      <c r="F25" s="5"/>
      <c r="G25" s="5"/>
    </row>
    <row r="26" spans="1:7" ht="12" customHeight="1">
      <c r="A26" s="5"/>
      <c r="B26" s="3" t="s">
        <v>1480</v>
      </c>
      <c r="C26" s="12" t="s">
        <v>678</v>
      </c>
      <c r="D26" s="12" t="s">
        <v>675</v>
      </c>
      <c r="E26" s="3" t="s">
        <v>895</v>
      </c>
      <c r="F26" s="5"/>
      <c r="G26" s="5"/>
    </row>
    <row r="27" spans="1:7" ht="12" customHeight="1">
      <c r="A27" s="5"/>
      <c r="B27" s="3" t="s">
        <v>683</v>
      </c>
      <c r="C27" s="12" t="s">
        <v>684</v>
      </c>
      <c r="D27" s="12" t="s">
        <v>675</v>
      </c>
      <c r="E27" s="3" t="s">
        <v>942</v>
      </c>
      <c r="F27" s="5"/>
      <c r="G27" s="5"/>
    </row>
    <row r="28" spans="1:7" ht="12" customHeight="1">
      <c r="A28" s="5"/>
      <c r="B28" s="5"/>
      <c r="C28" s="59"/>
      <c r="D28" s="5"/>
      <c r="E28" s="5"/>
      <c r="F28" s="5"/>
      <c r="G28" s="5"/>
    </row>
    <row r="29" spans="1:7" ht="12" customHeight="1">
      <c r="A29" s="2484" t="s">
        <v>685</v>
      </c>
      <c r="B29" s="2484"/>
      <c r="C29" s="2484"/>
      <c r="D29" s="2484"/>
      <c r="E29" s="2484"/>
      <c r="F29" s="2484"/>
      <c r="G29" s="5"/>
    </row>
    <row r="30" spans="1:7" ht="12" customHeight="1">
      <c r="A30" s="12" t="s">
        <v>686</v>
      </c>
      <c r="B30" s="3" t="s">
        <v>687</v>
      </c>
      <c r="C30" s="59"/>
      <c r="D30" s="5"/>
      <c r="E30" s="5"/>
      <c r="F30" s="5"/>
      <c r="G30" s="5"/>
    </row>
    <row r="31" spans="1:7" ht="13.65" customHeight="1">
      <c r="A31" s="5"/>
      <c r="B31" s="3" t="s">
        <v>1643</v>
      </c>
      <c r="C31" s="59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9"/>
      <c r="D32" s="5"/>
      <c r="E32" s="2474" t="s">
        <v>702</v>
      </c>
      <c r="F32" s="2474"/>
      <c r="G32" s="5"/>
    </row>
    <row r="33" spans="1:7" ht="12" customHeight="1">
      <c r="A33" s="12" t="s">
        <v>703</v>
      </c>
      <c r="B33" s="3" t="s">
        <v>704</v>
      </c>
      <c r="C33" s="59"/>
      <c r="D33" s="5"/>
      <c r="E33" s="5"/>
      <c r="F33" s="5"/>
      <c r="G33" s="5"/>
    </row>
    <row r="34" spans="1:7" ht="23.4" customHeight="1">
      <c r="A34" s="5"/>
      <c r="B34" s="2" t="s">
        <v>1666</v>
      </c>
      <c r="C34" s="59"/>
      <c r="D34" s="2" t="s">
        <v>1483</v>
      </c>
      <c r="E34" s="2" t="s">
        <v>1858</v>
      </c>
      <c r="F34" s="5"/>
      <c r="G34" s="5"/>
    </row>
    <row r="35" spans="1:7" ht="12" customHeight="1">
      <c r="A35" s="5"/>
      <c r="B35" s="5"/>
      <c r="C35" s="59"/>
      <c r="D35" s="5"/>
      <c r="E35" s="2474" t="s">
        <v>705</v>
      </c>
      <c r="F35" s="2474"/>
      <c r="G35" s="5"/>
    </row>
    <row r="36" spans="1:7" ht="12" customHeight="1">
      <c r="A36" s="5"/>
      <c r="B36" s="5"/>
      <c r="C36" s="59"/>
      <c r="D36" s="5"/>
      <c r="E36" s="5"/>
      <c r="F36" s="5"/>
      <c r="G36" s="5"/>
    </row>
    <row r="37" spans="1:7" ht="12" customHeight="1">
      <c r="A37" s="12" t="s">
        <v>706</v>
      </c>
      <c r="B37" s="2474" t="s">
        <v>707</v>
      </c>
      <c r="C37" s="2474"/>
      <c r="D37" s="2474"/>
      <c r="E37" s="2474"/>
      <c r="F37" s="2474"/>
      <c r="G37" s="5"/>
    </row>
    <row r="38" spans="1:7" ht="12" customHeight="1">
      <c r="A38" s="12" t="s">
        <v>708</v>
      </c>
      <c r="B38" s="2471" t="s">
        <v>709</v>
      </c>
      <c r="C38" s="2471"/>
      <c r="D38" s="2471"/>
      <c r="E38" s="2472" t="s">
        <v>710</v>
      </c>
      <c r="F38" s="2472"/>
      <c r="G38" s="5"/>
    </row>
    <row r="39" spans="1:7" ht="12" customHeight="1">
      <c r="A39" s="12" t="s">
        <v>711</v>
      </c>
      <c r="B39" s="2473" t="s">
        <v>712</v>
      </c>
      <c r="C39" s="2473"/>
      <c r="D39" s="2473"/>
      <c r="E39" s="2473"/>
      <c r="F39" s="2473"/>
      <c r="G39" s="5"/>
    </row>
  </sheetData>
  <mergeCells count="14">
    <mergeCell ref="A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A29:F29"/>
    <mergeCell ref="E32:F32"/>
    <mergeCell ref="E35:F35"/>
    <mergeCell ref="B37:F37"/>
  </mergeCells>
  <pageMargins left="0.7" right="0.7" top="0.75" bottom="0.75" header="0.3" footer="0.3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100-000000000000}">
  <sheetPr codeName="Sheet218"/>
  <dimension ref="A1:G39"/>
  <sheetViews>
    <sheetView workbookViewId="0">
      <selection activeCell="G39" sqref="A1:G39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2556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1859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799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1044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2484" t="s">
        <v>685</v>
      </c>
      <c r="B9" s="2484"/>
      <c r="C9" s="2484"/>
      <c r="D9" s="2484"/>
      <c r="E9" s="2484"/>
      <c r="F9" s="2484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65" customHeight="1">
      <c r="A11" s="5"/>
      <c r="B11" s="3" t="s">
        <v>1646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2474" t="s">
        <v>702</v>
      </c>
      <c r="F12" s="2474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" customHeight="1">
      <c r="A14" s="5"/>
      <c r="B14" s="2" t="s">
        <v>1666</v>
      </c>
      <c r="C14" s="5"/>
      <c r="D14" s="2" t="s">
        <v>1483</v>
      </c>
      <c r="E14" s="2" t="s">
        <v>1860</v>
      </c>
      <c r="F14" s="5"/>
      <c r="G14" s="5"/>
    </row>
    <row r="15" spans="1:7" ht="12" customHeight="1">
      <c r="A15" s="5"/>
      <c r="B15" s="5"/>
      <c r="C15" s="5"/>
      <c r="D15" s="5"/>
      <c r="E15" s="2474" t="s">
        <v>705</v>
      </c>
      <c r="F15" s="2474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2474" t="s">
        <v>707</v>
      </c>
      <c r="C17" s="2474"/>
      <c r="D17" s="2474"/>
      <c r="E17" s="2474"/>
      <c r="F17" s="2474"/>
      <c r="G17" s="5"/>
    </row>
    <row r="18" spans="1:7" ht="12" customHeight="1">
      <c r="A18" s="12" t="s">
        <v>708</v>
      </c>
      <c r="B18" s="2471" t="s">
        <v>709</v>
      </c>
      <c r="C18" s="2471"/>
      <c r="D18" s="2471"/>
      <c r="E18" s="2472" t="s">
        <v>710</v>
      </c>
      <c r="F18" s="2472"/>
      <c r="G18" s="5"/>
    </row>
    <row r="19" spans="1:7" ht="12" customHeight="1">
      <c r="A19" s="12" t="s">
        <v>711</v>
      </c>
      <c r="B19" s="2473" t="s">
        <v>712</v>
      </c>
      <c r="C19" s="2473"/>
      <c r="D19" s="2473"/>
      <c r="E19" s="2473"/>
      <c r="F19" s="2473"/>
      <c r="G19" s="5"/>
    </row>
    <row r="20" spans="1:7" ht="12" customHeight="1">
      <c r="A20" s="12"/>
      <c r="B20" s="26"/>
      <c r="C20" s="26"/>
      <c r="D20" s="26"/>
      <c r="E20" s="26"/>
      <c r="F20" s="26"/>
      <c r="G20" s="5"/>
    </row>
    <row r="21" spans="1:7" ht="12" customHeight="1">
      <c r="A21" s="50" t="s">
        <v>2557</v>
      </c>
      <c r="B21" s="26"/>
      <c r="C21" s="26"/>
      <c r="D21" s="26"/>
      <c r="E21" s="26"/>
      <c r="F21" s="26"/>
      <c r="G21" s="5"/>
    </row>
    <row r="22" spans="1:7" ht="12" customHeight="1">
      <c r="A22" s="12"/>
      <c r="B22" s="26"/>
      <c r="C22" s="26"/>
      <c r="D22" s="26"/>
      <c r="E22" s="26"/>
      <c r="F22" s="26"/>
      <c r="G22" s="5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1861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920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923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2484" t="s">
        <v>685</v>
      </c>
      <c r="B29" s="2484"/>
      <c r="C29" s="2484"/>
      <c r="D29" s="2484"/>
      <c r="E29" s="2484"/>
      <c r="F29" s="2484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65" customHeight="1">
      <c r="A31" s="5"/>
      <c r="B31" s="3" t="s">
        <v>1649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2474" t="s">
        <v>702</v>
      </c>
      <c r="F32" s="2474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23.4" customHeight="1">
      <c r="A34" s="5"/>
      <c r="B34" s="2" t="s">
        <v>1666</v>
      </c>
      <c r="C34" s="5"/>
      <c r="D34" s="2" t="s">
        <v>1483</v>
      </c>
      <c r="E34" s="2" t="s">
        <v>1862</v>
      </c>
      <c r="F34" s="5"/>
      <c r="G34" s="5"/>
    </row>
    <row r="35" spans="1:7" ht="12" customHeight="1">
      <c r="A35" s="5"/>
      <c r="B35" s="5"/>
      <c r="C35" s="5"/>
      <c r="D35" s="5"/>
      <c r="E35" s="2474" t="s">
        <v>705</v>
      </c>
      <c r="F35" s="2474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2474" t="s">
        <v>707</v>
      </c>
      <c r="C37" s="2474"/>
      <c r="D37" s="2474"/>
      <c r="E37" s="2474"/>
      <c r="F37" s="2474"/>
      <c r="G37" s="5"/>
    </row>
    <row r="38" spans="1:7" ht="12" customHeight="1">
      <c r="A38" s="12" t="s">
        <v>708</v>
      </c>
      <c r="B38" s="2471" t="s">
        <v>709</v>
      </c>
      <c r="C38" s="2471"/>
      <c r="D38" s="2471"/>
      <c r="E38" s="2472" t="s">
        <v>710</v>
      </c>
      <c r="F38" s="2472"/>
      <c r="G38" s="5"/>
    </row>
    <row r="39" spans="1:7" ht="12" customHeight="1">
      <c r="A39" s="12" t="s">
        <v>711</v>
      </c>
      <c r="B39" s="2473" t="s">
        <v>712</v>
      </c>
      <c r="C39" s="2473"/>
      <c r="D39" s="2473"/>
      <c r="E39" s="2473"/>
      <c r="F39" s="2473"/>
      <c r="G39" s="5"/>
    </row>
  </sheetData>
  <mergeCells count="14">
    <mergeCell ref="A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A29:F29"/>
    <mergeCell ref="E32:F32"/>
    <mergeCell ref="E35:F35"/>
    <mergeCell ref="B37:F37"/>
  </mergeCells>
  <pageMargins left="0.7" right="0.7" top="0.75" bottom="0.75" header="0.3" footer="0.3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200-000000000000}">
  <sheetPr codeName="Sheet219"/>
  <dimension ref="A1:G39"/>
  <sheetViews>
    <sheetView workbookViewId="0">
      <selection activeCell="G39" sqref="A1:G39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2558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1863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1496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909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2484" t="s">
        <v>685</v>
      </c>
      <c r="B9" s="2484"/>
      <c r="C9" s="2484"/>
      <c r="D9" s="2484"/>
      <c r="E9" s="2484"/>
      <c r="F9" s="2484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65" customHeight="1">
      <c r="A11" s="5"/>
      <c r="B11" s="3" t="s">
        <v>1651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2474" t="s">
        <v>702</v>
      </c>
      <c r="F12" s="2474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" customHeight="1">
      <c r="A14" s="5"/>
      <c r="B14" s="2" t="s">
        <v>1666</v>
      </c>
      <c r="C14" s="5"/>
      <c r="D14" s="2" t="s">
        <v>1483</v>
      </c>
      <c r="E14" s="2" t="s">
        <v>1864</v>
      </c>
      <c r="F14" s="5"/>
      <c r="G14" s="5"/>
    </row>
    <row r="15" spans="1:7" ht="12" customHeight="1">
      <c r="A15" s="5"/>
      <c r="B15" s="5"/>
      <c r="C15" s="5"/>
      <c r="D15" s="5"/>
      <c r="E15" s="2474" t="s">
        <v>705</v>
      </c>
      <c r="F15" s="2474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2474" t="s">
        <v>707</v>
      </c>
      <c r="C17" s="2474"/>
      <c r="D17" s="2474"/>
      <c r="E17" s="2474"/>
      <c r="F17" s="2474"/>
      <c r="G17" s="5"/>
    </row>
    <row r="18" spans="1:7" ht="12" customHeight="1">
      <c r="A18" s="12" t="s">
        <v>708</v>
      </c>
      <c r="B18" s="2471" t="s">
        <v>709</v>
      </c>
      <c r="C18" s="2471"/>
      <c r="D18" s="2471"/>
      <c r="E18" s="2472" t="s">
        <v>710</v>
      </c>
      <c r="F18" s="2472"/>
      <c r="G18" s="5"/>
    </row>
    <row r="19" spans="1:7" ht="12" customHeight="1">
      <c r="A19" s="12" t="s">
        <v>711</v>
      </c>
      <c r="B19" s="2473" t="s">
        <v>712</v>
      </c>
      <c r="C19" s="2473"/>
      <c r="D19" s="2473"/>
      <c r="E19" s="2473"/>
      <c r="F19" s="2473"/>
      <c r="G19" s="5"/>
    </row>
    <row r="20" spans="1:7" ht="12" customHeight="1">
      <c r="A20" s="12"/>
      <c r="B20" s="26"/>
      <c r="C20" s="26"/>
      <c r="D20" s="26"/>
      <c r="E20" s="26"/>
      <c r="F20" s="26"/>
      <c r="G20" s="5"/>
    </row>
    <row r="21" spans="1:7" ht="12" customHeight="1">
      <c r="A21" s="50" t="s">
        <v>2559</v>
      </c>
      <c r="B21" s="26"/>
      <c r="C21" s="26"/>
      <c r="D21" s="26"/>
      <c r="E21" s="26"/>
      <c r="F21" s="26"/>
      <c r="G21" s="5"/>
    </row>
    <row r="22" spans="1:7" ht="12" customHeight="1">
      <c r="A22" s="12"/>
      <c r="B22" s="26"/>
      <c r="C22" s="26"/>
      <c r="D22" s="26"/>
      <c r="E22" s="26"/>
      <c r="F22" s="26"/>
      <c r="G22" s="5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1565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1020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1547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2484" t="s">
        <v>685</v>
      </c>
      <c r="B29" s="2484"/>
      <c r="C29" s="2484"/>
      <c r="D29" s="2484"/>
      <c r="E29" s="2484"/>
      <c r="F29" s="2484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65" customHeight="1">
      <c r="A31" s="5"/>
      <c r="B31" s="3" t="s">
        <v>1656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2474" t="s">
        <v>702</v>
      </c>
      <c r="F32" s="2474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23.4" customHeight="1">
      <c r="A34" s="5"/>
      <c r="B34" s="2" t="s">
        <v>1666</v>
      </c>
      <c r="C34" s="5"/>
      <c r="D34" s="2" t="s">
        <v>1483</v>
      </c>
      <c r="E34" s="2" t="s">
        <v>1865</v>
      </c>
      <c r="F34" s="5"/>
      <c r="G34" s="5"/>
    </row>
    <row r="35" spans="1:7" ht="12" customHeight="1">
      <c r="A35" s="5"/>
      <c r="B35" s="5"/>
      <c r="C35" s="5"/>
      <c r="D35" s="5"/>
      <c r="E35" s="2474" t="s">
        <v>705</v>
      </c>
      <c r="F35" s="2474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2474" t="s">
        <v>707</v>
      </c>
      <c r="C37" s="2474"/>
      <c r="D37" s="2474"/>
      <c r="E37" s="2474"/>
      <c r="F37" s="2474"/>
      <c r="G37" s="5"/>
    </row>
    <row r="38" spans="1:7" ht="12" customHeight="1">
      <c r="A38" s="12" t="s">
        <v>708</v>
      </c>
      <c r="B38" s="2471" t="s">
        <v>709</v>
      </c>
      <c r="C38" s="2471"/>
      <c r="D38" s="2471"/>
      <c r="E38" s="2472" t="s">
        <v>710</v>
      </c>
      <c r="F38" s="2472"/>
      <c r="G38" s="5"/>
    </row>
    <row r="39" spans="1:7" ht="12" customHeight="1">
      <c r="A39" s="12" t="s">
        <v>711</v>
      </c>
      <c r="B39" s="2473" t="s">
        <v>712</v>
      </c>
      <c r="C39" s="2473"/>
      <c r="D39" s="2473"/>
      <c r="E39" s="2473"/>
      <c r="F39" s="2473"/>
      <c r="G39" s="5"/>
    </row>
  </sheetData>
  <mergeCells count="14">
    <mergeCell ref="A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A29:F29"/>
    <mergeCell ref="E32:F32"/>
    <mergeCell ref="E35:F35"/>
    <mergeCell ref="B37:F37"/>
  </mergeCells>
  <pageMargins left="0.7" right="0.7" top="0.75" bottom="0.75" header="0.3" footer="0.3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300-000000000000}">
  <sheetPr codeName="Sheet220"/>
  <dimension ref="A1:G39"/>
  <sheetViews>
    <sheetView workbookViewId="0">
      <selection activeCell="G39" sqref="A1:G39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2560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1842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1866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1485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2484" t="s">
        <v>685</v>
      </c>
      <c r="B9" s="2484"/>
      <c r="C9" s="2484"/>
      <c r="D9" s="2484"/>
      <c r="E9" s="2484"/>
      <c r="F9" s="2484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65" customHeight="1">
      <c r="A11" s="5"/>
      <c r="B11" s="3" t="s">
        <v>1663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2474" t="s">
        <v>702</v>
      </c>
      <c r="F12" s="2474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1867</v>
      </c>
      <c r="F14" s="5"/>
      <c r="G14" s="5"/>
    </row>
    <row r="15" spans="1:7" ht="12" customHeight="1">
      <c r="A15" s="5"/>
      <c r="B15" s="5"/>
      <c r="C15" s="5"/>
      <c r="D15" s="5"/>
      <c r="E15" s="2474" t="s">
        <v>705</v>
      </c>
      <c r="F15" s="2474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2474" t="s">
        <v>707</v>
      </c>
      <c r="C17" s="2474"/>
      <c r="D17" s="2474"/>
      <c r="E17" s="2474"/>
      <c r="F17" s="2474"/>
      <c r="G17" s="5"/>
    </row>
    <row r="18" spans="1:7" ht="12" customHeight="1">
      <c r="A18" s="12" t="s">
        <v>708</v>
      </c>
      <c r="B18" s="2471" t="s">
        <v>709</v>
      </c>
      <c r="C18" s="2471"/>
      <c r="D18" s="2471"/>
      <c r="E18" s="2472" t="s">
        <v>710</v>
      </c>
      <c r="F18" s="2472"/>
      <c r="G18" s="5"/>
    </row>
    <row r="19" spans="1:7" ht="12" customHeight="1">
      <c r="A19" s="12" t="s">
        <v>711</v>
      </c>
      <c r="B19" s="2473" t="s">
        <v>712</v>
      </c>
      <c r="C19" s="2473"/>
      <c r="D19" s="2473"/>
      <c r="E19" s="2473"/>
      <c r="F19" s="2473"/>
      <c r="G19" s="5"/>
    </row>
    <row r="20" spans="1:7" ht="12" customHeight="1">
      <c r="A20" s="12"/>
      <c r="B20" s="26"/>
      <c r="C20" s="26"/>
      <c r="D20" s="26"/>
      <c r="E20" s="26"/>
      <c r="F20" s="26"/>
      <c r="G20" s="5"/>
    </row>
    <row r="21" spans="1:7" ht="12" customHeight="1">
      <c r="A21" s="50" t="s">
        <v>2561</v>
      </c>
      <c r="B21" s="26"/>
      <c r="C21" s="26"/>
      <c r="D21" s="26"/>
      <c r="E21" s="26"/>
      <c r="F21" s="26"/>
      <c r="G21" s="5"/>
    </row>
    <row r="22" spans="1:7" ht="12" customHeight="1">
      <c r="A22" s="12"/>
      <c r="B22" s="26"/>
      <c r="C22" s="26"/>
      <c r="D22" s="26"/>
      <c r="E22" s="26"/>
      <c r="F22" s="26"/>
      <c r="G22" s="5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1868</v>
      </c>
      <c r="F25" s="5"/>
      <c r="G25" s="5"/>
    </row>
    <row r="26" spans="1:7" ht="11.85" customHeight="1">
      <c r="A26" s="5"/>
      <c r="B26" s="3" t="s">
        <v>1480</v>
      </c>
      <c r="C26" s="3" t="s">
        <v>678</v>
      </c>
      <c r="D26" s="12" t="s">
        <v>675</v>
      </c>
      <c r="E26" s="3" t="s">
        <v>1869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1780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2484" t="s">
        <v>685</v>
      </c>
      <c r="B29" s="2484"/>
      <c r="C29" s="2484"/>
      <c r="D29" s="2484"/>
      <c r="E29" s="2484"/>
      <c r="F29" s="2484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95" customHeight="1">
      <c r="A31" s="5"/>
      <c r="B31" s="3" t="s">
        <v>1671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2474" t="s">
        <v>702</v>
      </c>
      <c r="F32" s="2474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4.950000000000003" customHeight="1">
      <c r="A34" s="5"/>
      <c r="B34" s="2" t="s">
        <v>1768</v>
      </c>
      <c r="C34" s="5"/>
      <c r="D34" s="2" t="s">
        <v>1483</v>
      </c>
      <c r="E34" s="2" t="s">
        <v>1870</v>
      </c>
      <c r="F34" s="5"/>
      <c r="G34" s="5"/>
    </row>
    <row r="35" spans="1:7" ht="12" customHeight="1">
      <c r="A35" s="5"/>
      <c r="B35" s="5"/>
      <c r="C35" s="5"/>
      <c r="D35" s="5"/>
      <c r="E35" s="2474" t="s">
        <v>705</v>
      </c>
      <c r="F35" s="2474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2474" t="s">
        <v>707</v>
      </c>
      <c r="C37" s="2474"/>
      <c r="D37" s="2474"/>
      <c r="E37" s="2474"/>
      <c r="F37" s="2474"/>
      <c r="G37" s="5"/>
    </row>
    <row r="38" spans="1:7" ht="12" customHeight="1">
      <c r="A38" s="12" t="s">
        <v>708</v>
      </c>
      <c r="B38" s="2471" t="s">
        <v>709</v>
      </c>
      <c r="C38" s="2471"/>
      <c r="D38" s="2471"/>
      <c r="E38" s="2472" t="s">
        <v>710</v>
      </c>
      <c r="F38" s="2472"/>
      <c r="G38" s="5"/>
    </row>
    <row r="39" spans="1:7" ht="12.15" customHeight="1">
      <c r="A39" s="12" t="s">
        <v>711</v>
      </c>
      <c r="B39" s="2473" t="s">
        <v>712</v>
      </c>
      <c r="C39" s="2473"/>
      <c r="D39" s="2473"/>
      <c r="E39" s="2473"/>
      <c r="F39" s="2473"/>
      <c r="G39" s="5"/>
    </row>
  </sheetData>
  <mergeCells count="14">
    <mergeCell ref="A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A29:F29"/>
    <mergeCell ref="E32:F32"/>
    <mergeCell ref="E35:F35"/>
    <mergeCell ref="B37:F37"/>
  </mergeCells>
  <pageMargins left="0.7" right="0.7" top="0.75" bottom="0.75" header="0.3" footer="0.3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400-000000000000}">
  <sheetPr codeName="Sheet221"/>
  <dimension ref="A1:G39"/>
  <sheetViews>
    <sheetView workbookViewId="0">
      <selection activeCell="G39" sqref="A1:G39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2562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1625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873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824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2484" t="s">
        <v>685</v>
      </c>
      <c r="B9" s="2484"/>
      <c r="C9" s="2484"/>
      <c r="D9" s="2484"/>
      <c r="E9" s="2484"/>
      <c r="F9" s="2484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65" customHeight="1">
      <c r="A11" s="5"/>
      <c r="B11" s="3" t="s">
        <v>1676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2474" t="s">
        <v>702</v>
      </c>
      <c r="F12" s="2474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1871</v>
      </c>
      <c r="F14" s="5"/>
      <c r="G14" s="5"/>
    </row>
    <row r="15" spans="1:7" ht="12" customHeight="1">
      <c r="A15" s="5"/>
      <c r="B15" s="5"/>
      <c r="C15" s="5"/>
      <c r="D15" s="5"/>
      <c r="E15" s="2474" t="s">
        <v>705</v>
      </c>
      <c r="F15" s="2474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2474" t="s">
        <v>707</v>
      </c>
      <c r="C17" s="2474"/>
      <c r="D17" s="2474"/>
      <c r="E17" s="2474"/>
      <c r="F17" s="2474"/>
      <c r="G17" s="5"/>
    </row>
    <row r="18" spans="1:7" ht="12" customHeight="1">
      <c r="A18" s="12" t="s">
        <v>708</v>
      </c>
      <c r="B18" s="2471" t="s">
        <v>709</v>
      </c>
      <c r="C18" s="2471"/>
      <c r="D18" s="2471"/>
      <c r="E18" s="2472" t="s">
        <v>710</v>
      </c>
      <c r="F18" s="2472"/>
      <c r="G18" s="5"/>
    </row>
    <row r="19" spans="1:7" ht="12" customHeight="1">
      <c r="A19" s="12" t="s">
        <v>711</v>
      </c>
      <c r="B19" s="2473" t="s">
        <v>712</v>
      </c>
      <c r="C19" s="2473"/>
      <c r="D19" s="2473"/>
      <c r="E19" s="2473"/>
      <c r="F19" s="2473"/>
      <c r="G19" s="5"/>
    </row>
    <row r="20" spans="1:7" ht="12" customHeight="1">
      <c r="A20" s="12"/>
      <c r="B20" s="26"/>
      <c r="C20" s="26"/>
      <c r="D20" s="26"/>
      <c r="E20" s="26"/>
      <c r="F20" s="26"/>
      <c r="G20" s="5"/>
    </row>
    <row r="21" spans="1:7" ht="12" customHeight="1">
      <c r="A21" s="50" t="s">
        <v>2563</v>
      </c>
      <c r="B21" s="26"/>
      <c r="C21" s="26"/>
      <c r="D21" s="26"/>
      <c r="E21" s="26"/>
      <c r="F21" s="26"/>
      <c r="G21" s="5"/>
    </row>
    <row r="22" spans="1:7" ht="12" customHeight="1">
      <c r="A22" s="12"/>
      <c r="B22" s="26"/>
      <c r="C22" s="26"/>
      <c r="D22" s="26"/>
      <c r="E22" s="26"/>
      <c r="F22" s="26"/>
      <c r="G22" s="5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1872</v>
      </c>
      <c r="F25" s="5"/>
      <c r="G25" s="5"/>
    </row>
    <row r="26" spans="1:7" ht="11.85" customHeight="1">
      <c r="A26" s="5"/>
      <c r="B26" s="3" t="s">
        <v>1480</v>
      </c>
      <c r="C26" s="3" t="s">
        <v>678</v>
      </c>
      <c r="D26" s="12" t="s">
        <v>675</v>
      </c>
      <c r="E26" s="3" t="s">
        <v>873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824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2484" t="s">
        <v>685</v>
      </c>
      <c r="B29" s="2484"/>
      <c r="C29" s="2484"/>
      <c r="D29" s="2484"/>
      <c r="E29" s="2484"/>
      <c r="F29" s="2484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95" customHeight="1">
      <c r="A31" s="5"/>
      <c r="B31" s="3" t="s">
        <v>1681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2474" t="s">
        <v>702</v>
      </c>
      <c r="F32" s="2474"/>
      <c r="G32" s="5"/>
    </row>
    <row r="33" spans="1:7" ht="22.5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9.75" customHeight="1">
      <c r="A34" s="5"/>
      <c r="B34" s="2" t="s">
        <v>1768</v>
      </c>
      <c r="C34" s="5"/>
      <c r="D34" s="2" t="s">
        <v>1483</v>
      </c>
      <c r="E34" s="2" t="s">
        <v>1871</v>
      </c>
      <c r="F34" s="5"/>
      <c r="G34" s="5"/>
    </row>
    <row r="35" spans="1:7" ht="12" customHeight="1">
      <c r="A35" s="5"/>
      <c r="B35" s="5"/>
      <c r="C35" s="5"/>
      <c r="D35" s="5"/>
      <c r="E35" s="2474" t="s">
        <v>705</v>
      </c>
      <c r="F35" s="2474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2474" t="s">
        <v>707</v>
      </c>
      <c r="C37" s="2474"/>
      <c r="D37" s="2474"/>
      <c r="E37" s="2474"/>
      <c r="F37" s="2474"/>
      <c r="G37" s="5"/>
    </row>
    <row r="38" spans="1:7" ht="12" customHeight="1">
      <c r="A38" s="12" t="s">
        <v>708</v>
      </c>
      <c r="B38" s="2471" t="s">
        <v>709</v>
      </c>
      <c r="C38" s="2471"/>
      <c r="D38" s="2471"/>
      <c r="E38" s="2472" t="s">
        <v>710</v>
      </c>
      <c r="F38" s="2472"/>
      <c r="G38" s="5"/>
    </row>
    <row r="39" spans="1:7" ht="12.15" customHeight="1">
      <c r="A39" s="12" t="s">
        <v>711</v>
      </c>
      <c r="B39" s="2473" t="s">
        <v>712</v>
      </c>
      <c r="C39" s="2473"/>
      <c r="D39" s="2473"/>
      <c r="E39" s="2473"/>
      <c r="F39" s="2473"/>
      <c r="G39" s="5"/>
    </row>
  </sheetData>
  <mergeCells count="14">
    <mergeCell ref="A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A29:F29"/>
    <mergeCell ref="E32:F32"/>
    <mergeCell ref="E35:F35"/>
    <mergeCell ref="B37:F37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5"/>
  <dimension ref="A1:G43"/>
  <sheetViews>
    <sheetView topLeftCell="A34" workbookViewId="0">
      <selection sqref="A1:G43"/>
    </sheetView>
  </sheetViews>
  <sheetFormatPr defaultRowHeight="14.4"/>
  <cols>
    <col min="1" max="1" width="5.33203125" customWidth="1"/>
    <col min="2" max="2" width="21" customWidth="1"/>
    <col min="3" max="3" width="8.44140625" customWidth="1"/>
    <col min="4" max="4" width="11.33203125" customWidth="1"/>
    <col min="5" max="5" width="14.6640625" customWidth="1"/>
    <col min="6" max="6" width="14.44140625" customWidth="1"/>
    <col min="7" max="7" width="16.6640625" customWidth="1"/>
  </cols>
  <sheetData>
    <row r="1" spans="1:7">
      <c r="A1" s="50" t="s">
        <v>2150</v>
      </c>
    </row>
    <row r="3" spans="1:7" ht="31.5" customHeight="1">
      <c r="A3" s="9" t="s">
        <v>1003</v>
      </c>
      <c r="B3" s="19" t="s">
        <v>1004</v>
      </c>
      <c r="C3" s="9" t="s">
        <v>1005</v>
      </c>
      <c r="D3" s="9" t="s">
        <v>1006</v>
      </c>
      <c r="E3" s="9" t="s">
        <v>1007</v>
      </c>
      <c r="F3" s="8" t="s">
        <v>669</v>
      </c>
      <c r="G3" s="8" t="s">
        <v>670</v>
      </c>
    </row>
    <row r="4" spans="1:7" ht="10.95" customHeight="1">
      <c r="A4" s="10" t="s">
        <v>671</v>
      </c>
      <c r="B4" s="10" t="s">
        <v>672</v>
      </c>
      <c r="C4" s="5"/>
      <c r="D4" s="5"/>
      <c r="E4" s="5"/>
      <c r="F4" s="5"/>
      <c r="G4" s="5"/>
    </row>
    <row r="5" spans="1:7" ht="12.45" customHeight="1">
      <c r="A5" s="5"/>
      <c r="B5" s="10" t="s">
        <v>673</v>
      </c>
      <c r="C5" s="10" t="s">
        <v>674</v>
      </c>
      <c r="D5" s="11" t="s">
        <v>675</v>
      </c>
      <c r="E5" s="11" t="s">
        <v>718</v>
      </c>
      <c r="F5" s="5"/>
      <c r="G5" s="5"/>
    </row>
    <row r="6" spans="1:7" ht="12.45" customHeight="1">
      <c r="A6" s="5"/>
      <c r="B6" s="10" t="s">
        <v>816</v>
      </c>
      <c r="C6" s="10" t="s">
        <v>678</v>
      </c>
      <c r="D6" s="11" t="s">
        <v>675</v>
      </c>
      <c r="E6" s="11" t="s">
        <v>741</v>
      </c>
      <c r="F6" s="5"/>
      <c r="G6" s="5"/>
    </row>
    <row r="7" spans="1:7" ht="12.45" customHeight="1">
      <c r="A7" s="5"/>
      <c r="B7" s="10" t="s">
        <v>680</v>
      </c>
      <c r="C7" s="10" t="s">
        <v>681</v>
      </c>
      <c r="D7" s="11" t="s">
        <v>675</v>
      </c>
      <c r="E7" s="11" t="s">
        <v>779</v>
      </c>
      <c r="F7" s="5"/>
      <c r="G7" s="5"/>
    </row>
    <row r="8" spans="1:7" ht="12.45" customHeight="1">
      <c r="A8" s="5"/>
      <c r="B8" s="10" t="s">
        <v>683</v>
      </c>
      <c r="C8" s="10" t="s">
        <v>684</v>
      </c>
      <c r="D8" s="11" t="s">
        <v>675</v>
      </c>
      <c r="E8" s="11" t="s">
        <v>811</v>
      </c>
      <c r="F8" s="5"/>
      <c r="G8" s="5"/>
    </row>
    <row r="9" spans="1:7" ht="10.95" customHeight="1">
      <c r="A9" s="5"/>
      <c r="B9" s="5"/>
      <c r="C9" s="5"/>
      <c r="D9" s="5"/>
      <c r="E9" s="2477" t="s">
        <v>685</v>
      </c>
      <c r="F9" s="2477"/>
      <c r="G9" s="5"/>
    </row>
    <row r="10" spans="1:7" ht="10.95" customHeight="1">
      <c r="A10" s="10" t="s">
        <v>686</v>
      </c>
      <c r="B10" s="10" t="s">
        <v>687</v>
      </c>
      <c r="C10" s="5"/>
      <c r="D10" s="5"/>
      <c r="E10" s="5"/>
      <c r="F10" s="5"/>
      <c r="G10" s="5"/>
    </row>
    <row r="11" spans="1:7" ht="12.45" customHeight="1">
      <c r="A11" s="5"/>
      <c r="B11" s="10" t="s">
        <v>742</v>
      </c>
      <c r="C11" s="5"/>
      <c r="D11" s="11" t="s">
        <v>692</v>
      </c>
      <c r="E11" s="10" t="s">
        <v>1025</v>
      </c>
      <c r="F11" s="5"/>
      <c r="G11" s="5"/>
    </row>
    <row r="12" spans="1:7" ht="12.45" customHeight="1">
      <c r="A12" s="5"/>
      <c r="B12" s="10" t="s">
        <v>818</v>
      </c>
      <c r="C12" s="5"/>
      <c r="D12" s="11" t="s">
        <v>690</v>
      </c>
      <c r="E12" s="10" t="s">
        <v>1028</v>
      </c>
      <c r="F12" s="5"/>
      <c r="G12" s="5"/>
    </row>
    <row r="13" spans="1:7" ht="12.45" customHeight="1">
      <c r="A13" s="5"/>
      <c r="B13" s="10" t="s">
        <v>808</v>
      </c>
      <c r="C13" s="5"/>
      <c r="D13" s="11" t="s">
        <v>692</v>
      </c>
      <c r="E13" s="11" t="s">
        <v>907</v>
      </c>
      <c r="F13" s="5"/>
      <c r="G13" s="5"/>
    </row>
    <row r="14" spans="1:7" ht="10.95" customHeight="1">
      <c r="A14" s="5"/>
      <c r="B14" s="5"/>
      <c r="C14" s="5"/>
      <c r="D14" s="5"/>
      <c r="E14" s="2477" t="s">
        <v>702</v>
      </c>
      <c r="F14" s="2477"/>
      <c r="G14" s="5"/>
    </row>
    <row r="15" spans="1:7" ht="10.95" customHeight="1">
      <c r="A15" s="10" t="s">
        <v>703</v>
      </c>
      <c r="B15" s="10" t="s">
        <v>704</v>
      </c>
      <c r="C15" s="5"/>
      <c r="D15" s="5"/>
      <c r="E15" s="5"/>
      <c r="F15" s="5"/>
      <c r="G15" s="5"/>
    </row>
    <row r="16" spans="1:7" ht="10.95" customHeight="1">
      <c r="A16" s="5"/>
      <c r="B16" s="5"/>
      <c r="C16" s="5"/>
      <c r="D16" s="5"/>
      <c r="E16" s="5"/>
      <c r="F16" s="5"/>
      <c r="G16" s="5"/>
    </row>
    <row r="17" spans="1:7" ht="10.95" customHeight="1">
      <c r="A17" s="5"/>
      <c r="B17" s="5"/>
      <c r="C17" s="5"/>
      <c r="D17" s="5"/>
      <c r="E17" s="2477" t="s">
        <v>705</v>
      </c>
      <c r="F17" s="2477"/>
      <c r="G17" s="5"/>
    </row>
    <row r="18" spans="1:7" ht="10.95" customHeight="1">
      <c r="A18" s="5"/>
      <c r="B18" s="5"/>
      <c r="C18" s="5"/>
      <c r="D18" s="5"/>
      <c r="E18" s="5"/>
      <c r="F18" s="5"/>
      <c r="G18" s="5"/>
    </row>
    <row r="19" spans="1:7" ht="10.95" customHeight="1">
      <c r="A19" s="10" t="s">
        <v>706</v>
      </c>
      <c r="B19" s="2477" t="s">
        <v>707</v>
      </c>
      <c r="C19" s="2477"/>
      <c r="D19" s="2477"/>
      <c r="E19" s="2477"/>
      <c r="F19" s="2477"/>
      <c r="G19" s="5"/>
    </row>
    <row r="20" spans="1:7" ht="12" customHeight="1">
      <c r="A20" s="10" t="s">
        <v>708</v>
      </c>
      <c r="B20" s="2471" t="s">
        <v>876</v>
      </c>
      <c r="C20" s="2471"/>
      <c r="D20" s="2471"/>
      <c r="E20" s="2475" t="s">
        <v>710</v>
      </c>
      <c r="F20" s="2475"/>
      <c r="G20" s="5"/>
    </row>
    <row r="21" spans="1:7" ht="10.95" customHeight="1">
      <c r="A21" s="10" t="s">
        <v>711</v>
      </c>
      <c r="B21" s="2476" t="s">
        <v>712</v>
      </c>
      <c r="C21" s="2476"/>
      <c r="D21" s="2476"/>
      <c r="E21" s="2476"/>
      <c r="F21" s="2476"/>
      <c r="G21" s="5"/>
    </row>
    <row r="22" spans="1:7" ht="10.95" customHeight="1">
      <c r="A22" s="10"/>
      <c r="B22" s="27"/>
      <c r="C22" s="27"/>
      <c r="D22" s="27"/>
      <c r="E22" s="27"/>
      <c r="F22" s="27"/>
      <c r="G22" s="5"/>
    </row>
    <row r="23" spans="1:7" ht="10.95" customHeight="1">
      <c r="A23" s="55" t="s">
        <v>2151</v>
      </c>
      <c r="B23" s="27"/>
      <c r="C23" s="27"/>
      <c r="D23" s="27"/>
      <c r="E23" s="27"/>
      <c r="F23" s="27"/>
      <c r="G23" s="5"/>
    </row>
    <row r="24" spans="1:7" ht="10.95" customHeight="1">
      <c r="A24" s="50"/>
      <c r="B24" s="27"/>
      <c r="C24" s="27"/>
      <c r="D24" s="27"/>
      <c r="E24" s="27"/>
      <c r="F24" s="27"/>
      <c r="G24" s="5"/>
    </row>
    <row r="25" spans="1:7" ht="31.35" customHeight="1">
      <c r="A25" s="9" t="s">
        <v>1003</v>
      </c>
      <c r="B25" s="19" t="s">
        <v>1004</v>
      </c>
      <c r="C25" s="9" t="s">
        <v>1005</v>
      </c>
      <c r="D25" s="9" t="s">
        <v>1006</v>
      </c>
      <c r="E25" s="9" t="s">
        <v>1007</v>
      </c>
      <c r="F25" s="8" t="s">
        <v>669</v>
      </c>
      <c r="G25" s="8" t="s">
        <v>670</v>
      </c>
    </row>
    <row r="26" spans="1:7" ht="10.95" customHeight="1">
      <c r="A26" s="10" t="s">
        <v>671</v>
      </c>
      <c r="B26" s="10" t="s">
        <v>672</v>
      </c>
      <c r="C26" s="5"/>
      <c r="D26" s="5"/>
      <c r="E26" s="5"/>
      <c r="F26" s="5"/>
      <c r="G26" s="5"/>
    </row>
    <row r="27" spans="1:7" ht="12.45" customHeight="1">
      <c r="A27" s="5"/>
      <c r="B27" s="10" t="s">
        <v>673</v>
      </c>
      <c r="C27" s="10" t="s">
        <v>674</v>
      </c>
      <c r="D27" s="11" t="s">
        <v>675</v>
      </c>
      <c r="E27" s="11" t="s">
        <v>718</v>
      </c>
      <c r="F27" s="5"/>
      <c r="G27" s="5"/>
    </row>
    <row r="28" spans="1:7" ht="12.45" customHeight="1">
      <c r="A28" s="5"/>
      <c r="B28" s="10" t="s">
        <v>816</v>
      </c>
      <c r="C28" s="10" t="s">
        <v>678</v>
      </c>
      <c r="D28" s="11" t="s">
        <v>675</v>
      </c>
      <c r="E28" s="11" t="s">
        <v>741</v>
      </c>
      <c r="F28" s="5"/>
      <c r="G28" s="5"/>
    </row>
    <row r="29" spans="1:7" ht="12.45" customHeight="1">
      <c r="A29" s="5"/>
      <c r="B29" s="10" t="s">
        <v>680</v>
      </c>
      <c r="C29" s="10" t="s">
        <v>681</v>
      </c>
      <c r="D29" s="11" t="s">
        <v>675</v>
      </c>
      <c r="E29" s="11" t="s">
        <v>779</v>
      </c>
      <c r="F29" s="5"/>
      <c r="G29" s="5"/>
    </row>
    <row r="30" spans="1:7" ht="12.45" customHeight="1">
      <c r="A30" s="5"/>
      <c r="B30" s="10" t="s">
        <v>683</v>
      </c>
      <c r="C30" s="10" t="s">
        <v>684</v>
      </c>
      <c r="D30" s="11" t="s">
        <v>675</v>
      </c>
      <c r="E30" s="11" t="s">
        <v>811</v>
      </c>
      <c r="F30" s="5"/>
      <c r="G30" s="5"/>
    </row>
    <row r="31" spans="1:7" ht="10.95" customHeight="1">
      <c r="A31" s="5"/>
      <c r="B31" s="5"/>
      <c r="C31" s="5"/>
      <c r="D31" s="5"/>
      <c r="E31" s="2477" t="s">
        <v>685</v>
      </c>
      <c r="F31" s="2477"/>
      <c r="G31" s="5"/>
    </row>
    <row r="32" spans="1:7" ht="10.95" customHeight="1">
      <c r="A32" s="10" t="s">
        <v>686</v>
      </c>
      <c r="B32" s="10" t="s">
        <v>687</v>
      </c>
      <c r="C32" s="5"/>
      <c r="D32" s="5"/>
      <c r="E32" s="5"/>
      <c r="F32" s="5"/>
      <c r="G32" s="5"/>
    </row>
    <row r="33" spans="1:7" ht="12.45" customHeight="1">
      <c r="A33" s="5"/>
      <c r="B33" s="10" t="s">
        <v>742</v>
      </c>
      <c r="C33" s="5"/>
      <c r="D33" s="11" t="s">
        <v>692</v>
      </c>
      <c r="E33" s="10" t="s">
        <v>1025</v>
      </c>
      <c r="F33" s="5"/>
      <c r="G33" s="5"/>
    </row>
    <row r="34" spans="1:7" ht="12.45" customHeight="1">
      <c r="A34" s="5"/>
      <c r="B34" s="10" t="s">
        <v>818</v>
      </c>
      <c r="C34" s="5"/>
      <c r="D34" s="11" t="s">
        <v>690</v>
      </c>
      <c r="E34" s="10" t="s">
        <v>1029</v>
      </c>
      <c r="F34" s="5"/>
      <c r="G34" s="5"/>
    </row>
    <row r="35" spans="1:7" ht="12.45" customHeight="1">
      <c r="A35" s="5"/>
      <c r="B35" s="10" t="s">
        <v>808</v>
      </c>
      <c r="C35" s="5"/>
      <c r="D35" s="11" t="s">
        <v>692</v>
      </c>
      <c r="E35" s="11" t="s">
        <v>795</v>
      </c>
      <c r="F35" s="5"/>
      <c r="G35" s="5"/>
    </row>
    <row r="36" spans="1:7" ht="10.95" customHeight="1">
      <c r="A36" s="5"/>
      <c r="B36" s="5"/>
      <c r="C36" s="5"/>
      <c r="D36" s="5"/>
      <c r="E36" s="2477" t="s">
        <v>702</v>
      </c>
      <c r="F36" s="2477"/>
      <c r="G36" s="5"/>
    </row>
    <row r="37" spans="1:7" ht="10.95" customHeight="1">
      <c r="A37" s="10" t="s">
        <v>703</v>
      </c>
      <c r="B37" s="10" t="s">
        <v>704</v>
      </c>
      <c r="C37" s="5"/>
      <c r="D37" s="5"/>
      <c r="E37" s="5"/>
      <c r="F37" s="5"/>
      <c r="G37" s="5"/>
    </row>
    <row r="38" spans="1:7" ht="10.95" customHeight="1">
      <c r="A38" s="5"/>
      <c r="B38" s="5"/>
      <c r="C38" s="5"/>
      <c r="D38" s="5"/>
      <c r="E38" s="5"/>
      <c r="F38" s="5"/>
      <c r="G38" s="5"/>
    </row>
    <row r="39" spans="1:7" ht="10.95" customHeight="1">
      <c r="A39" s="5"/>
      <c r="B39" s="5"/>
      <c r="C39" s="5"/>
      <c r="D39" s="5"/>
      <c r="E39" s="2477" t="s">
        <v>705</v>
      </c>
      <c r="F39" s="2477"/>
      <c r="G39" s="5"/>
    </row>
    <row r="40" spans="1:7" ht="10.95" customHeight="1">
      <c r="A40" s="5"/>
      <c r="B40" s="5"/>
      <c r="C40" s="5"/>
      <c r="D40" s="5"/>
      <c r="E40" s="5"/>
      <c r="F40" s="5"/>
      <c r="G40" s="5"/>
    </row>
    <row r="41" spans="1:7" ht="10.95" customHeight="1">
      <c r="A41" s="10" t="s">
        <v>706</v>
      </c>
      <c r="B41" s="2477" t="s">
        <v>707</v>
      </c>
      <c r="C41" s="2477"/>
      <c r="D41" s="2477"/>
      <c r="E41" s="2477"/>
      <c r="F41" s="2477"/>
      <c r="G41" s="5"/>
    </row>
    <row r="42" spans="1:7" ht="12" customHeight="1">
      <c r="A42" s="10" t="s">
        <v>708</v>
      </c>
      <c r="B42" s="2471" t="s">
        <v>876</v>
      </c>
      <c r="C42" s="2471"/>
      <c r="D42" s="2471"/>
      <c r="E42" s="2475" t="s">
        <v>710</v>
      </c>
      <c r="F42" s="2475"/>
      <c r="G42" s="5"/>
    </row>
    <row r="43" spans="1:7" ht="10.95" customHeight="1">
      <c r="A43" s="10" t="s">
        <v>711</v>
      </c>
      <c r="B43" s="2476" t="s">
        <v>712</v>
      </c>
      <c r="C43" s="2476"/>
      <c r="D43" s="2476"/>
      <c r="E43" s="2476"/>
      <c r="F43" s="2476"/>
      <c r="G43" s="5"/>
    </row>
  </sheetData>
  <mergeCells count="14">
    <mergeCell ref="E9:F9"/>
    <mergeCell ref="E14:F14"/>
    <mergeCell ref="E17:F17"/>
    <mergeCell ref="B19:F19"/>
    <mergeCell ref="B20:D20"/>
    <mergeCell ref="E20:F20"/>
    <mergeCell ref="B42:D42"/>
    <mergeCell ref="E42:F42"/>
    <mergeCell ref="B43:F43"/>
    <mergeCell ref="B21:F21"/>
    <mergeCell ref="E31:F31"/>
    <mergeCell ref="E36:F36"/>
    <mergeCell ref="E39:F39"/>
    <mergeCell ref="B41:F41"/>
  </mergeCells>
  <pageMargins left="0.7" right="0.7" top="0.75" bottom="0.75" header="0.3" footer="0.3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500-000000000000}">
  <sheetPr codeName="Sheet222"/>
  <dimension ref="A1:G39"/>
  <sheetViews>
    <sheetView workbookViewId="0">
      <selection activeCell="G39" sqref="A1:G39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5" t="s">
        <v>2564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1873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819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857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2484" t="s">
        <v>685</v>
      </c>
      <c r="B9" s="2484"/>
      <c r="C9" s="2484"/>
      <c r="D9" s="2484"/>
      <c r="E9" s="2484"/>
      <c r="F9" s="2484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65" customHeight="1">
      <c r="A11" s="5"/>
      <c r="B11" s="3" t="s">
        <v>1687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2474" t="s">
        <v>702</v>
      </c>
      <c r="F12" s="2474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1874</v>
      </c>
      <c r="F14" s="5"/>
      <c r="G14" s="5"/>
    </row>
    <row r="15" spans="1:7" ht="12" customHeight="1">
      <c r="A15" s="5"/>
      <c r="B15" s="5"/>
      <c r="C15" s="5"/>
      <c r="D15" s="5"/>
      <c r="E15" s="2474" t="s">
        <v>705</v>
      </c>
      <c r="F15" s="2474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2474" t="s">
        <v>707</v>
      </c>
      <c r="C17" s="2474"/>
      <c r="D17" s="2474"/>
      <c r="E17" s="2474"/>
      <c r="F17" s="2474"/>
      <c r="G17" s="5"/>
    </row>
    <row r="18" spans="1:7" ht="12" customHeight="1">
      <c r="A18" s="12" t="s">
        <v>708</v>
      </c>
      <c r="B18" s="2471" t="s">
        <v>709</v>
      </c>
      <c r="C18" s="2471"/>
      <c r="D18" s="2471"/>
      <c r="E18" s="2472" t="s">
        <v>710</v>
      </c>
      <c r="F18" s="2472"/>
      <c r="G18" s="5"/>
    </row>
    <row r="19" spans="1:7" ht="12" customHeight="1">
      <c r="A19" s="12" t="s">
        <v>711</v>
      </c>
      <c r="B19" s="2473" t="s">
        <v>712</v>
      </c>
      <c r="C19" s="2473"/>
      <c r="D19" s="2473"/>
      <c r="E19" s="2473"/>
      <c r="F19" s="2473"/>
      <c r="G19" s="5"/>
    </row>
    <row r="20" spans="1:7" ht="12" customHeight="1">
      <c r="A20" s="12"/>
      <c r="B20" s="26"/>
      <c r="C20" s="26"/>
      <c r="D20" s="26"/>
      <c r="E20" s="26"/>
      <c r="F20" s="26"/>
      <c r="G20" s="5"/>
    </row>
    <row r="21" spans="1:7" ht="12" customHeight="1">
      <c r="A21" s="55" t="s">
        <v>2565</v>
      </c>
      <c r="B21" s="26"/>
      <c r="C21" s="26"/>
      <c r="D21" s="26"/>
      <c r="E21" s="26"/>
      <c r="F21" s="26"/>
      <c r="G21" s="5"/>
    </row>
    <row r="22" spans="1:7" ht="12" customHeight="1">
      <c r="A22" s="12"/>
      <c r="B22" s="26"/>
      <c r="C22" s="26"/>
      <c r="D22" s="26"/>
      <c r="E22" s="26"/>
      <c r="F22" s="26"/>
      <c r="G22" s="5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1875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1876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1877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2484" t="s">
        <v>685</v>
      </c>
      <c r="B29" s="2484"/>
      <c r="C29" s="2484"/>
      <c r="D29" s="2484"/>
      <c r="E29" s="2484"/>
      <c r="F29" s="2484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65" customHeight="1">
      <c r="A31" s="5"/>
      <c r="B31" s="3" t="s">
        <v>1692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2474" t="s">
        <v>702</v>
      </c>
      <c r="F32" s="2474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1878</v>
      </c>
      <c r="F34" s="5"/>
      <c r="G34" s="5"/>
    </row>
    <row r="35" spans="1:7" ht="12" customHeight="1">
      <c r="A35" s="5"/>
      <c r="B35" s="5"/>
      <c r="C35" s="5"/>
      <c r="D35" s="5"/>
      <c r="E35" s="2474" t="s">
        <v>705</v>
      </c>
      <c r="F35" s="2474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2474" t="s">
        <v>707</v>
      </c>
      <c r="C37" s="2474"/>
      <c r="D37" s="2474"/>
      <c r="E37" s="2474"/>
      <c r="F37" s="2474"/>
      <c r="G37" s="5"/>
    </row>
    <row r="38" spans="1:7" ht="12" customHeight="1">
      <c r="A38" s="12" t="s">
        <v>708</v>
      </c>
      <c r="B38" s="2471" t="s">
        <v>709</v>
      </c>
      <c r="C38" s="2471"/>
      <c r="D38" s="2471"/>
      <c r="E38" s="2472" t="s">
        <v>710</v>
      </c>
      <c r="F38" s="2472"/>
      <c r="G38" s="5"/>
    </row>
    <row r="39" spans="1:7" ht="12" customHeight="1">
      <c r="A39" s="12" t="s">
        <v>711</v>
      </c>
      <c r="B39" s="2473" t="s">
        <v>712</v>
      </c>
      <c r="C39" s="2473"/>
      <c r="D39" s="2473"/>
      <c r="E39" s="2473"/>
      <c r="F39" s="2473"/>
      <c r="G39" s="5"/>
    </row>
  </sheetData>
  <mergeCells count="14">
    <mergeCell ref="A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A29:F29"/>
    <mergeCell ref="E32:F32"/>
    <mergeCell ref="E35:F35"/>
    <mergeCell ref="B37:F37"/>
  </mergeCells>
  <pageMargins left="0.7" right="0.7" top="0.75" bottom="0.75" header="0.3" footer="0.3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600-000000000000}">
  <sheetPr codeName="Sheet223"/>
  <dimension ref="A1:G39"/>
  <sheetViews>
    <sheetView workbookViewId="0">
      <selection activeCell="G39" sqref="A1:G39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2566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1879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1880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1678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2484" t="s">
        <v>685</v>
      </c>
      <c r="B9" s="2484"/>
      <c r="C9" s="2484"/>
      <c r="D9" s="2484"/>
      <c r="E9" s="2484"/>
      <c r="F9" s="2484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65" customHeight="1">
      <c r="A11" s="5"/>
      <c r="B11" s="3" t="s">
        <v>1696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2474" t="s">
        <v>702</v>
      </c>
      <c r="F12" s="2474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1881</v>
      </c>
      <c r="F14" s="5"/>
      <c r="G14" s="5"/>
    </row>
    <row r="15" spans="1:7" ht="12" customHeight="1">
      <c r="A15" s="5"/>
      <c r="B15" s="5"/>
      <c r="C15" s="5"/>
      <c r="D15" s="5"/>
      <c r="E15" s="2474" t="s">
        <v>705</v>
      </c>
      <c r="F15" s="2474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2474" t="s">
        <v>707</v>
      </c>
      <c r="C17" s="2474"/>
      <c r="D17" s="2474"/>
      <c r="E17" s="2474"/>
      <c r="F17" s="2474"/>
      <c r="G17" s="5"/>
    </row>
    <row r="18" spans="1:7" ht="12" customHeight="1">
      <c r="A18" s="12" t="s">
        <v>708</v>
      </c>
      <c r="B18" s="2471" t="s">
        <v>709</v>
      </c>
      <c r="C18" s="2471"/>
      <c r="D18" s="2471"/>
      <c r="E18" s="2472" t="s">
        <v>710</v>
      </c>
      <c r="F18" s="2472"/>
      <c r="G18" s="5"/>
    </row>
    <row r="19" spans="1:7" ht="12" customHeight="1">
      <c r="A19" s="12" t="s">
        <v>711</v>
      </c>
      <c r="B19" s="2473" t="s">
        <v>712</v>
      </c>
      <c r="C19" s="2473"/>
      <c r="D19" s="2473"/>
      <c r="E19" s="2473"/>
      <c r="F19" s="2473"/>
      <c r="G19" s="5"/>
    </row>
    <row r="20" spans="1:7" ht="12" customHeight="1">
      <c r="A20" s="12"/>
      <c r="B20" s="26"/>
      <c r="C20" s="26"/>
      <c r="D20" s="26"/>
      <c r="E20" s="26"/>
      <c r="F20" s="26"/>
      <c r="G20" s="5"/>
    </row>
    <row r="21" spans="1:7" ht="12" customHeight="1">
      <c r="A21" s="50" t="s">
        <v>2567</v>
      </c>
      <c r="B21" s="26"/>
      <c r="C21" s="26"/>
      <c r="D21" s="26"/>
      <c r="E21" s="26"/>
      <c r="F21" s="26"/>
      <c r="G21" s="5"/>
    </row>
    <row r="22" spans="1:7" ht="12" customHeight="1">
      <c r="A22" s="12"/>
      <c r="B22" s="26"/>
      <c r="C22" s="26"/>
      <c r="D22" s="26"/>
      <c r="E22" s="26"/>
      <c r="F22" s="26"/>
      <c r="G22" s="5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1882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1883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1728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2484" t="s">
        <v>685</v>
      </c>
      <c r="B29" s="2484"/>
      <c r="C29" s="2484"/>
      <c r="D29" s="2484"/>
      <c r="E29" s="2484"/>
      <c r="F29" s="2484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65" customHeight="1">
      <c r="A31" s="5"/>
      <c r="B31" s="3" t="s">
        <v>1702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2474" t="s">
        <v>702</v>
      </c>
      <c r="F32" s="2474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1884</v>
      </c>
      <c r="F34" s="5"/>
      <c r="G34" s="5"/>
    </row>
    <row r="35" spans="1:7" ht="12" customHeight="1">
      <c r="A35" s="5"/>
      <c r="B35" s="5"/>
      <c r="C35" s="5"/>
      <c r="D35" s="5"/>
      <c r="E35" s="2474" t="s">
        <v>705</v>
      </c>
      <c r="F35" s="2474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2474" t="s">
        <v>707</v>
      </c>
      <c r="C37" s="2474"/>
      <c r="D37" s="2474"/>
      <c r="E37" s="2474"/>
      <c r="F37" s="2474"/>
      <c r="G37" s="5"/>
    </row>
    <row r="38" spans="1:7" ht="12" customHeight="1">
      <c r="A38" s="12" t="s">
        <v>708</v>
      </c>
      <c r="B38" s="2471" t="s">
        <v>709</v>
      </c>
      <c r="C38" s="2471"/>
      <c r="D38" s="2471"/>
      <c r="E38" s="2472" t="s">
        <v>710</v>
      </c>
      <c r="F38" s="2472"/>
      <c r="G38" s="5"/>
    </row>
    <row r="39" spans="1:7" ht="12" customHeight="1">
      <c r="A39" s="12" t="s">
        <v>711</v>
      </c>
      <c r="B39" s="2473" t="s">
        <v>712</v>
      </c>
      <c r="C39" s="2473"/>
      <c r="D39" s="2473"/>
      <c r="E39" s="2473"/>
      <c r="F39" s="2473"/>
      <c r="G39" s="5"/>
    </row>
  </sheetData>
  <mergeCells count="14">
    <mergeCell ref="A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A29:F29"/>
    <mergeCell ref="E32:F32"/>
    <mergeCell ref="E35:F35"/>
    <mergeCell ref="B37:F37"/>
  </mergeCells>
  <pageMargins left="0.7" right="0.7" top="0.75" bottom="0.75" header="0.3" footer="0.3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700-000000000000}">
  <sheetPr codeName="Sheet224"/>
  <dimension ref="A1:G39"/>
  <sheetViews>
    <sheetView topLeftCell="A22" workbookViewId="0">
      <selection sqref="A1:G39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2568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1885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737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1047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2484" t="s">
        <v>685</v>
      </c>
      <c r="B9" s="2484"/>
      <c r="C9" s="2484"/>
      <c r="D9" s="2484"/>
      <c r="E9" s="2484"/>
      <c r="F9" s="2484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65" customHeight="1">
      <c r="A11" s="5"/>
      <c r="B11" s="3" t="s">
        <v>1708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2474" t="s">
        <v>702</v>
      </c>
      <c r="F12" s="2474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1886</v>
      </c>
      <c r="F14" s="5"/>
      <c r="G14" s="5"/>
    </row>
    <row r="15" spans="1:7" ht="12" customHeight="1">
      <c r="A15" s="5"/>
      <c r="B15" s="5"/>
      <c r="C15" s="5"/>
      <c r="D15" s="5"/>
      <c r="E15" s="2474" t="s">
        <v>705</v>
      </c>
      <c r="F15" s="2474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2474" t="s">
        <v>707</v>
      </c>
      <c r="C17" s="2474"/>
      <c r="D17" s="2474"/>
      <c r="E17" s="2474"/>
      <c r="F17" s="2474"/>
      <c r="G17" s="5"/>
    </row>
    <row r="18" spans="1:7" ht="12" customHeight="1">
      <c r="A18" s="12" t="s">
        <v>708</v>
      </c>
      <c r="B18" s="2471" t="s">
        <v>709</v>
      </c>
      <c r="C18" s="2471"/>
      <c r="D18" s="2471"/>
      <c r="E18" s="2472" t="s">
        <v>710</v>
      </c>
      <c r="F18" s="2472"/>
      <c r="G18" s="5"/>
    </row>
    <row r="19" spans="1:7" ht="12" customHeight="1">
      <c r="A19" s="12" t="s">
        <v>711</v>
      </c>
      <c r="B19" s="2473" t="s">
        <v>712</v>
      </c>
      <c r="C19" s="2473"/>
      <c r="D19" s="2473"/>
      <c r="E19" s="2473"/>
      <c r="F19" s="2473"/>
      <c r="G19" s="5"/>
    </row>
    <row r="20" spans="1:7" ht="12" customHeight="1">
      <c r="A20" s="12"/>
      <c r="B20" s="26"/>
      <c r="C20" s="26"/>
      <c r="D20" s="26"/>
      <c r="E20" s="26"/>
      <c r="F20" s="26"/>
      <c r="G20" s="5"/>
    </row>
    <row r="21" spans="1:7" ht="12" customHeight="1">
      <c r="A21" s="50" t="s">
        <v>2569</v>
      </c>
      <c r="B21" s="26"/>
      <c r="C21" s="26"/>
      <c r="D21" s="26"/>
      <c r="E21" s="26"/>
      <c r="F21" s="26"/>
      <c r="G21" s="5"/>
    </row>
    <row r="22" spans="1:7" ht="12" customHeight="1">
      <c r="A22" s="12"/>
      <c r="B22" s="26"/>
      <c r="C22" s="26"/>
      <c r="D22" s="26"/>
      <c r="E22" s="26"/>
      <c r="F22" s="26"/>
      <c r="G22" s="5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839</v>
      </c>
      <c r="F25" s="5"/>
      <c r="G25" s="5"/>
    </row>
    <row r="26" spans="1:7" ht="11.85" customHeight="1">
      <c r="A26" s="5"/>
      <c r="B26" s="3" t="s">
        <v>1480</v>
      </c>
      <c r="C26" s="3" t="s">
        <v>678</v>
      </c>
      <c r="D26" s="12" t="s">
        <v>675</v>
      </c>
      <c r="E26" s="3" t="s">
        <v>891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852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2484" t="s">
        <v>685</v>
      </c>
      <c r="B29" s="2484"/>
      <c r="C29" s="2484"/>
      <c r="D29" s="2484"/>
      <c r="E29" s="2484"/>
      <c r="F29" s="2484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95" customHeight="1">
      <c r="A31" s="5"/>
      <c r="B31" s="3" t="s">
        <v>1709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2474" t="s">
        <v>702</v>
      </c>
      <c r="F32" s="2474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4.950000000000003" customHeight="1">
      <c r="A34" s="5"/>
      <c r="B34" s="2" t="s">
        <v>1768</v>
      </c>
      <c r="C34" s="5"/>
      <c r="D34" s="2" t="s">
        <v>1483</v>
      </c>
      <c r="E34" s="2" t="s">
        <v>1764</v>
      </c>
      <c r="F34" s="5"/>
      <c r="G34" s="5"/>
    </row>
    <row r="35" spans="1:7" ht="12" customHeight="1">
      <c r="A35" s="5"/>
      <c r="B35" s="5"/>
      <c r="C35" s="5"/>
      <c r="D35" s="5"/>
      <c r="E35" s="2474" t="s">
        <v>705</v>
      </c>
      <c r="F35" s="2474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2474" t="s">
        <v>707</v>
      </c>
      <c r="C37" s="2474"/>
      <c r="D37" s="2474"/>
      <c r="E37" s="2474"/>
      <c r="F37" s="2474"/>
      <c r="G37" s="5"/>
    </row>
    <row r="38" spans="1:7" ht="12" customHeight="1">
      <c r="A38" s="12" t="s">
        <v>708</v>
      </c>
      <c r="B38" s="2471" t="s">
        <v>709</v>
      </c>
      <c r="C38" s="2471"/>
      <c r="D38" s="2471"/>
      <c r="E38" s="2472" t="s">
        <v>710</v>
      </c>
      <c r="F38" s="2472"/>
      <c r="G38" s="5"/>
    </row>
    <row r="39" spans="1:7" ht="12.15" customHeight="1">
      <c r="A39" s="12" t="s">
        <v>711</v>
      </c>
      <c r="B39" s="2473" t="s">
        <v>712</v>
      </c>
      <c r="C39" s="2473"/>
      <c r="D39" s="2473"/>
      <c r="E39" s="2473"/>
      <c r="F39" s="2473"/>
      <c r="G39" s="5"/>
    </row>
  </sheetData>
  <mergeCells count="14">
    <mergeCell ref="A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A29:F29"/>
    <mergeCell ref="E32:F32"/>
    <mergeCell ref="E35:F35"/>
    <mergeCell ref="B37:F37"/>
  </mergeCells>
  <pageMargins left="0.7" right="0.7" top="0.75" bottom="0.75" header="0.3" footer="0.3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800-000000000000}">
  <sheetPr codeName="Sheet225"/>
  <dimension ref="A1:G39"/>
  <sheetViews>
    <sheetView workbookViewId="0">
      <selection activeCell="G39" sqref="A1:G39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2570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829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1155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868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2484" t="s">
        <v>685</v>
      </c>
      <c r="B9" s="2484"/>
      <c r="C9" s="2484"/>
      <c r="D9" s="2484"/>
      <c r="E9" s="2484"/>
      <c r="F9" s="2484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65" customHeight="1">
      <c r="A11" s="5"/>
      <c r="B11" s="3" t="s">
        <v>1712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2474" t="s">
        <v>702</v>
      </c>
      <c r="F12" s="2474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1887</v>
      </c>
      <c r="F14" s="5"/>
      <c r="G14" s="5"/>
    </row>
    <row r="15" spans="1:7" ht="12" customHeight="1">
      <c r="A15" s="5"/>
      <c r="B15" s="5"/>
      <c r="C15" s="5"/>
      <c r="D15" s="5"/>
      <c r="E15" s="2474" t="s">
        <v>705</v>
      </c>
      <c r="F15" s="2474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2474" t="s">
        <v>707</v>
      </c>
      <c r="C17" s="2474"/>
      <c r="D17" s="2474"/>
      <c r="E17" s="2474"/>
      <c r="F17" s="2474"/>
      <c r="G17" s="5"/>
    </row>
    <row r="18" spans="1:7" ht="12" customHeight="1">
      <c r="A18" s="12" t="s">
        <v>708</v>
      </c>
      <c r="B18" s="2471" t="s">
        <v>709</v>
      </c>
      <c r="C18" s="2471"/>
      <c r="D18" s="2471"/>
      <c r="E18" s="2472" t="s">
        <v>710</v>
      </c>
      <c r="F18" s="2472"/>
      <c r="G18" s="5"/>
    </row>
    <row r="19" spans="1:7" ht="12" customHeight="1">
      <c r="A19" s="12" t="s">
        <v>711</v>
      </c>
      <c r="B19" s="2473" t="s">
        <v>712</v>
      </c>
      <c r="C19" s="2473"/>
      <c r="D19" s="2473"/>
      <c r="E19" s="2473"/>
      <c r="F19" s="2473"/>
      <c r="G19" s="5"/>
    </row>
    <row r="20" spans="1:7" ht="12" customHeight="1">
      <c r="A20" s="12"/>
      <c r="B20" s="26"/>
      <c r="C20" s="26"/>
      <c r="D20" s="26"/>
      <c r="E20" s="26"/>
      <c r="F20" s="26"/>
      <c r="G20" s="5"/>
    </row>
    <row r="21" spans="1:7" ht="12" customHeight="1">
      <c r="A21" s="50" t="s">
        <v>2571</v>
      </c>
      <c r="B21" s="26"/>
      <c r="C21" s="26"/>
      <c r="D21" s="26"/>
      <c r="E21" s="26"/>
      <c r="F21" s="26"/>
      <c r="G21" s="5"/>
    </row>
    <row r="22" spans="1:7" ht="12" customHeight="1">
      <c r="A22" s="12"/>
      <c r="B22" s="26"/>
      <c r="C22" s="26"/>
      <c r="D22" s="26"/>
      <c r="E22" s="26"/>
      <c r="F22" s="26"/>
      <c r="G22" s="5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1549</v>
      </c>
      <c r="F25" s="5"/>
      <c r="G25" s="5"/>
    </row>
    <row r="26" spans="1:7" ht="11.85" customHeight="1">
      <c r="A26" s="5"/>
      <c r="B26" s="3" t="s">
        <v>1480</v>
      </c>
      <c r="C26" s="3" t="s">
        <v>678</v>
      </c>
      <c r="D26" s="12" t="s">
        <v>675</v>
      </c>
      <c r="E26" s="3" t="s">
        <v>1069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901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2484" t="s">
        <v>685</v>
      </c>
      <c r="B29" s="2484"/>
      <c r="C29" s="2484"/>
      <c r="D29" s="2484"/>
      <c r="E29" s="2484"/>
      <c r="F29" s="2484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95" customHeight="1">
      <c r="A31" s="5"/>
      <c r="B31" s="3" t="s">
        <v>1714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2474" t="s">
        <v>702</v>
      </c>
      <c r="F32" s="2474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4.950000000000003" customHeight="1">
      <c r="A34" s="5"/>
      <c r="B34" s="2" t="s">
        <v>1768</v>
      </c>
      <c r="C34" s="5"/>
      <c r="D34" s="2" t="s">
        <v>1483</v>
      </c>
      <c r="E34" s="2" t="s">
        <v>1888</v>
      </c>
      <c r="F34" s="5"/>
      <c r="G34" s="5"/>
    </row>
    <row r="35" spans="1:7" ht="12" customHeight="1">
      <c r="A35" s="5"/>
      <c r="B35" s="5"/>
      <c r="C35" s="5"/>
      <c r="D35" s="5"/>
      <c r="E35" s="2474" t="s">
        <v>705</v>
      </c>
      <c r="F35" s="2474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2474" t="s">
        <v>707</v>
      </c>
      <c r="C37" s="2474"/>
      <c r="D37" s="2474"/>
      <c r="E37" s="2474"/>
      <c r="F37" s="2474"/>
      <c r="G37" s="5"/>
    </row>
    <row r="38" spans="1:7" ht="12" customHeight="1">
      <c r="A38" s="12" t="s">
        <v>708</v>
      </c>
      <c r="B38" s="2471" t="s">
        <v>709</v>
      </c>
      <c r="C38" s="2471"/>
      <c r="D38" s="2471"/>
      <c r="E38" s="2472" t="s">
        <v>710</v>
      </c>
      <c r="F38" s="2472"/>
      <c r="G38" s="5"/>
    </row>
    <row r="39" spans="1:7" ht="12.15" customHeight="1">
      <c r="A39" s="12" t="s">
        <v>711</v>
      </c>
      <c r="B39" s="2473" t="s">
        <v>712</v>
      </c>
      <c r="C39" s="2473"/>
      <c r="D39" s="2473"/>
      <c r="E39" s="2473"/>
      <c r="F39" s="2473"/>
      <c r="G39" s="5"/>
    </row>
  </sheetData>
  <mergeCells count="14">
    <mergeCell ref="A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A29:F29"/>
    <mergeCell ref="E32:F32"/>
    <mergeCell ref="E35:F35"/>
    <mergeCell ref="B37:F37"/>
  </mergeCells>
  <pageMargins left="0.7" right="0.7" top="0.75" bottom="0.75" header="0.3" footer="0.3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900-000000000000}">
  <sheetPr codeName="Sheet226"/>
  <dimension ref="A1:G39"/>
  <sheetViews>
    <sheetView workbookViewId="0">
      <selection activeCell="G39" sqref="A1:G39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2572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1448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923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865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2484" t="s">
        <v>685</v>
      </c>
      <c r="B9" s="2484"/>
      <c r="C9" s="2484"/>
      <c r="D9" s="2484"/>
      <c r="E9" s="2484"/>
      <c r="F9" s="2484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65" customHeight="1">
      <c r="A11" s="5"/>
      <c r="B11" s="3" t="s">
        <v>1717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2474" t="s">
        <v>702</v>
      </c>
      <c r="F12" s="2474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1889</v>
      </c>
      <c r="F14" s="5"/>
      <c r="G14" s="5"/>
    </row>
    <row r="15" spans="1:7" ht="12" customHeight="1">
      <c r="A15" s="5"/>
      <c r="B15" s="5"/>
      <c r="C15" s="5"/>
      <c r="D15" s="5"/>
      <c r="E15" s="2474" t="s">
        <v>705</v>
      </c>
      <c r="F15" s="2474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2474" t="s">
        <v>707</v>
      </c>
      <c r="C17" s="2474"/>
      <c r="D17" s="2474"/>
      <c r="E17" s="2474"/>
      <c r="F17" s="2474"/>
      <c r="G17" s="5"/>
    </row>
    <row r="18" spans="1:7" ht="12" customHeight="1">
      <c r="A18" s="12" t="s">
        <v>708</v>
      </c>
      <c r="B18" s="2471" t="s">
        <v>709</v>
      </c>
      <c r="C18" s="2471"/>
      <c r="D18" s="2471"/>
      <c r="E18" s="2472" t="s">
        <v>710</v>
      </c>
      <c r="F18" s="2472"/>
      <c r="G18" s="5"/>
    </row>
    <row r="19" spans="1:7" ht="12" customHeight="1">
      <c r="A19" s="12" t="s">
        <v>711</v>
      </c>
      <c r="B19" s="2473" t="s">
        <v>712</v>
      </c>
      <c r="C19" s="2473"/>
      <c r="D19" s="2473"/>
      <c r="E19" s="2473"/>
      <c r="F19" s="2473"/>
      <c r="G19" s="5"/>
    </row>
    <row r="20" spans="1:7" ht="12" customHeight="1">
      <c r="A20" s="12"/>
      <c r="B20" s="26"/>
      <c r="C20" s="26"/>
      <c r="D20" s="26"/>
      <c r="E20" s="26"/>
      <c r="F20" s="26"/>
      <c r="G20" s="5"/>
    </row>
    <row r="21" spans="1:7" ht="12" customHeight="1">
      <c r="A21" s="50" t="s">
        <v>2573</v>
      </c>
      <c r="B21" s="26"/>
      <c r="C21" s="26"/>
      <c r="D21" s="26"/>
      <c r="E21" s="26"/>
      <c r="F21" s="26"/>
      <c r="G21" s="5"/>
    </row>
    <row r="22" spans="1:7" ht="12" customHeight="1">
      <c r="A22" s="12"/>
      <c r="B22" s="26"/>
      <c r="C22" s="26"/>
      <c r="D22" s="26"/>
      <c r="E22" s="26"/>
      <c r="F22" s="26"/>
      <c r="G22" s="5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1863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1496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909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2484" t="s">
        <v>685</v>
      </c>
      <c r="B29" s="2484"/>
      <c r="C29" s="2484"/>
      <c r="D29" s="2484"/>
      <c r="E29" s="2484"/>
      <c r="F29" s="2484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65" customHeight="1">
      <c r="A31" s="5"/>
      <c r="B31" s="3" t="s">
        <v>1721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2474" t="s">
        <v>702</v>
      </c>
      <c r="F32" s="2474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1890</v>
      </c>
      <c r="F34" s="5"/>
      <c r="G34" s="5"/>
    </row>
    <row r="35" spans="1:7" ht="12" customHeight="1">
      <c r="A35" s="5"/>
      <c r="B35" s="5"/>
      <c r="C35" s="5"/>
      <c r="D35" s="5"/>
      <c r="E35" s="2474" t="s">
        <v>705</v>
      </c>
      <c r="F35" s="2474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2474" t="s">
        <v>707</v>
      </c>
      <c r="C37" s="2474"/>
      <c r="D37" s="2474"/>
      <c r="E37" s="2474"/>
      <c r="F37" s="2474"/>
      <c r="G37" s="5"/>
    </row>
    <row r="38" spans="1:7" ht="12" customHeight="1">
      <c r="A38" s="12" t="s">
        <v>708</v>
      </c>
      <c r="B38" s="2471" t="s">
        <v>709</v>
      </c>
      <c r="C38" s="2471"/>
      <c r="D38" s="2471"/>
      <c r="E38" s="2472" t="s">
        <v>710</v>
      </c>
      <c r="F38" s="2472"/>
      <c r="G38" s="5"/>
    </row>
    <row r="39" spans="1:7" ht="12" customHeight="1">
      <c r="A39" s="12" t="s">
        <v>711</v>
      </c>
      <c r="B39" s="2473" t="s">
        <v>712</v>
      </c>
      <c r="C39" s="2473"/>
      <c r="D39" s="2473"/>
      <c r="E39" s="2473"/>
      <c r="F39" s="2473"/>
      <c r="G39" s="5"/>
    </row>
  </sheetData>
  <mergeCells count="14">
    <mergeCell ref="A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A29:F29"/>
    <mergeCell ref="E32:F32"/>
    <mergeCell ref="E35:F35"/>
    <mergeCell ref="B37:F37"/>
  </mergeCells>
  <pageMargins left="0.7" right="0.7" top="0.75" bottom="0.75" header="0.3" footer="0.3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A00-000000000000}">
  <sheetPr codeName="Sheet227"/>
  <dimension ref="A1:G39"/>
  <sheetViews>
    <sheetView workbookViewId="0">
      <selection activeCell="G39" sqref="A1:G39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2574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1891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1549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1835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2484" t="s">
        <v>685</v>
      </c>
      <c r="B9" s="2484"/>
      <c r="C9" s="2484"/>
      <c r="D9" s="2484"/>
      <c r="E9" s="2484"/>
      <c r="F9" s="2484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65" customHeight="1">
      <c r="A11" s="5"/>
      <c r="B11" s="3" t="s">
        <v>1723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2474" t="s">
        <v>702</v>
      </c>
      <c r="F12" s="2474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1892</v>
      </c>
      <c r="F14" s="5"/>
      <c r="G14" s="5"/>
    </row>
    <row r="15" spans="1:7" ht="12" customHeight="1">
      <c r="A15" s="5"/>
      <c r="B15" s="5"/>
      <c r="C15" s="5"/>
      <c r="D15" s="5"/>
      <c r="E15" s="2474" t="s">
        <v>705</v>
      </c>
      <c r="F15" s="2474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2474" t="s">
        <v>707</v>
      </c>
      <c r="C17" s="2474"/>
      <c r="D17" s="2474"/>
      <c r="E17" s="2474"/>
      <c r="F17" s="2474"/>
      <c r="G17" s="5"/>
    </row>
    <row r="18" spans="1:7" ht="12" customHeight="1">
      <c r="A18" s="12" t="s">
        <v>708</v>
      </c>
      <c r="B18" s="2471" t="s">
        <v>709</v>
      </c>
      <c r="C18" s="2471"/>
      <c r="D18" s="2471"/>
      <c r="E18" s="2472" t="s">
        <v>710</v>
      </c>
      <c r="F18" s="2472"/>
      <c r="G18" s="5"/>
    </row>
    <row r="19" spans="1:7" ht="12" customHeight="1">
      <c r="A19" s="12" t="s">
        <v>711</v>
      </c>
      <c r="B19" s="2473" t="s">
        <v>712</v>
      </c>
      <c r="C19" s="2473"/>
      <c r="D19" s="2473"/>
      <c r="E19" s="2473"/>
      <c r="F19" s="2473"/>
      <c r="G19" s="5"/>
    </row>
    <row r="20" spans="1:7" ht="12" customHeight="1">
      <c r="A20" s="12"/>
      <c r="B20" s="26"/>
      <c r="C20" s="26"/>
      <c r="D20" s="26"/>
      <c r="E20" s="26"/>
      <c r="F20" s="26"/>
      <c r="G20" s="5"/>
    </row>
    <row r="21" spans="1:7" ht="12" customHeight="1">
      <c r="A21" s="50" t="s">
        <v>2575</v>
      </c>
      <c r="B21" s="26"/>
      <c r="C21" s="26"/>
      <c r="D21" s="26"/>
      <c r="E21" s="26"/>
      <c r="F21" s="26"/>
      <c r="G21" s="5"/>
    </row>
    <row r="22" spans="1:7" ht="12" customHeight="1">
      <c r="A22" s="12"/>
      <c r="B22" s="26"/>
      <c r="C22" s="26"/>
      <c r="D22" s="26"/>
      <c r="E22" s="26"/>
      <c r="F22" s="26"/>
      <c r="G22" s="5"/>
    </row>
    <row r="23" spans="1:7" ht="34.950000000000003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1893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1894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791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2484" t="s">
        <v>685</v>
      </c>
      <c r="B29" s="2484"/>
      <c r="C29" s="2484"/>
      <c r="D29" s="2484"/>
      <c r="E29" s="2484"/>
      <c r="F29" s="2484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95" customHeight="1">
      <c r="A31" s="5"/>
      <c r="B31" s="3" t="s">
        <v>1726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2474" t="s">
        <v>702</v>
      </c>
      <c r="F32" s="2474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4.950000000000003" customHeight="1">
      <c r="A34" s="5"/>
      <c r="B34" s="2" t="s">
        <v>1768</v>
      </c>
      <c r="C34" s="5"/>
      <c r="D34" s="2" t="s">
        <v>1483</v>
      </c>
      <c r="E34" s="2" t="s">
        <v>1895</v>
      </c>
      <c r="F34" s="5"/>
      <c r="G34" s="5"/>
    </row>
    <row r="35" spans="1:7" ht="12" customHeight="1">
      <c r="A35" s="5"/>
      <c r="B35" s="5"/>
      <c r="C35" s="5"/>
      <c r="D35" s="5"/>
      <c r="E35" s="2474" t="s">
        <v>705</v>
      </c>
      <c r="F35" s="2474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2474" t="s">
        <v>707</v>
      </c>
      <c r="C37" s="2474"/>
      <c r="D37" s="2474"/>
      <c r="E37" s="2474"/>
      <c r="F37" s="2474"/>
      <c r="G37" s="5"/>
    </row>
    <row r="38" spans="1:7" ht="12" customHeight="1">
      <c r="A38" s="12" t="s">
        <v>708</v>
      </c>
      <c r="B38" s="2471" t="s">
        <v>709</v>
      </c>
      <c r="C38" s="2471"/>
      <c r="D38" s="2471"/>
      <c r="E38" s="2472" t="s">
        <v>710</v>
      </c>
      <c r="F38" s="2472"/>
      <c r="G38" s="5"/>
    </row>
    <row r="39" spans="1:7" ht="12.15" customHeight="1">
      <c r="A39" s="12" t="s">
        <v>711</v>
      </c>
      <c r="B39" s="2473" t="s">
        <v>712</v>
      </c>
      <c r="C39" s="2473"/>
      <c r="D39" s="2473"/>
      <c r="E39" s="2473"/>
      <c r="F39" s="2473"/>
      <c r="G39" s="5"/>
    </row>
  </sheetData>
  <mergeCells count="14">
    <mergeCell ref="A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A29:F29"/>
    <mergeCell ref="E32:F32"/>
    <mergeCell ref="E35:F35"/>
    <mergeCell ref="B37:F37"/>
  </mergeCells>
  <pageMargins left="0.7" right="0.7" top="0.75" bottom="0.75" header="0.3" footer="0.3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B00-000000000000}">
  <sheetPr codeName="Sheet228"/>
  <dimension ref="A1:G39"/>
  <sheetViews>
    <sheetView workbookViewId="0">
      <selection activeCell="G39" sqref="A1:G39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2576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1896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1897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1898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2484" t="s">
        <v>685</v>
      </c>
      <c r="B9" s="2484"/>
      <c r="C9" s="2484"/>
      <c r="D9" s="2484"/>
      <c r="E9" s="2484"/>
      <c r="F9" s="2484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65" customHeight="1">
      <c r="A11" s="5"/>
      <c r="B11" s="3" t="s">
        <v>1729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2474" t="s">
        <v>702</v>
      </c>
      <c r="F12" s="2474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1899</v>
      </c>
      <c r="F14" s="5"/>
      <c r="G14" s="5"/>
    </row>
    <row r="15" spans="1:7" ht="12" customHeight="1">
      <c r="A15" s="5"/>
      <c r="B15" s="5"/>
      <c r="C15" s="5"/>
      <c r="D15" s="5"/>
      <c r="E15" s="2474" t="s">
        <v>705</v>
      </c>
      <c r="F15" s="2474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2474" t="s">
        <v>707</v>
      </c>
      <c r="C17" s="2474"/>
      <c r="D17" s="2474"/>
      <c r="E17" s="2474"/>
      <c r="F17" s="2474"/>
      <c r="G17" s="5"/>
    </row>
    <row r="18" spans="1:7" ht="12" customHeight="1">
      <c r="A18" s="12" t="s">
        <v>708</v>
      </c>
      <c r="B18" s="2471" t="s">
        <v>709</v>
      </c>
      <c r="C18" s="2471"/>
      <c r="D18" s="2471"/>
      <c r="E18" s="2472" t="s">
        <v>710</v>
      </c>
      <c r="F18" s="2472"/>
      <c r="G18" s="5"/>
    </row>
    <row r="19" spans="1:7" ht="12" customHeight="1">
      <c r="A19" s="12" t="s">
        <v>711</v>
      </c>
      <c r="B19" s="2473" t="s">
        <v>712</v>
      </c>
      <c r="C19" s="2473"/>
      <c r="D19" s="2473"/>
      <c r="E19" s="2473"/>
      <c r="F19" s="2473"/>
      <c r="G19" s="5"/>
    </row>
    <row r="20" spans="1:7" ht="12" customHeight="1">
      <c r="A20" s="12"/>
      <c r="B20" s="26"/>
      <c r="C20" s="26"/>
      <c r="D20" s="26"/>
      <c r="E20" s="26"/>
      <c r="F20" s="26"/>
      <c r="G20" s="5"/>
    </row>
    <row r="21" spans="1:7" ht="12" customHeight="1">
      <c r="A21" s="50" t="s">
        <v>2577</v>
      </c>
      <c r="B21" s="26"/>
      <c r="C21" s="26"/>
      <c r="D21" s="26"/>
      <c r="E21" s="26"/>
      <c r="F21" s="26"/>
      <c r="G21" s="5"/>
    </row>
    <row r="22" spans="1:7" ht="12" customHeight="1">
      <c r="A22" s="12"/>
      <c r="B22" s="26"/>
      <c r="C22" s="26"/>
      <c r="D22" s="26"/>
      <c r="E22" s="26"/>
      <c r="F22" s="26"/>
      <c r="G22" s="5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1900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1040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887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2484" t="s">
        <v>685</v>
      </c>
      <c r="B29" s="2484"/>
      <c r="C29" s="2484"/>
      <c r="D29" s="2484"/>
      <c r="E29" s="2484"/>
      <c r="F29" s="2484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65" customHeight="1">
      <c r="A31" s="5"/>
      <c r="B31" s="3" t="s">
        <v>1731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2474" t="s">
        <v>702</v>
      </c>
      <c r="F32" s="2474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47.25" customHeight="1">
      <c r="A34" s="5"/>
      <c r="B34" s="2" t="s">
        <v>1768</v>
      </c>
      <c r="C34" s="5"/>
      <c r="D34" s="2" t="s">
        <v>1483</v>
      </c>
      <c r="E34" s="2" t="s">
        <v>1901</v>
      </c>
      <c r="F34" s="5"/>
      <c r="G34" s="5"/>
    </row>
    <row r="35" spans="1:7" ht="12" customHeight="1">
      <c r="A35" s="5"/>
      <c r="B35" s="5"/>
      <c r="C35" s="5"/>
      <c r="D35" s="5"/>
      <c r="E35" s="2474" t="s">
        <v>705</v>
      </c>
      <c r="F35" s="2474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2474" t="s">
        <v>707</v>
      </c>
      <c r="C37" s="2474"/>
      <c r="D37" s="2474"/>
      <c r="E37" s="2474"/>
      <c r="F37" s="2474"/>
      <c r="G37" s="5"/>
    </row>
    <row r="38" spans="1:7" ht="12" customHeight="1">
      <c r="A38" s="12" t="s">
        <v>708</v>
      </c>
      <c r="B38" s="2471" t="s">
        <v>709</v>
      </c>
      <c r="C38" s="2471"/>
      <c r="D38" s="2471"/>
      <c r="E38" s="2472" t="s">
        <v>710</v>
      </c>
      <c r="F38" s="2472"/>
      <c r="G38" s="5"/>
    </row>
    <row r="39" spans="1:7" ht="12" customHeight="1">
      <c r="A39" s="12" t="s">
        <v>711</v>
      </c>
      <c r="B39" s="2473" t="s">
        <v>712</v>
      </c>
      <c r="C39" s="2473"/>
      <c r="D39" s="2473"/>
      <c r="E39" s="2473"/>
      <c r="F39" s="2473"/>
      <c r="G39" s="5"/>
    </row>
  </sheetData>
  <mergeCells count="14">
    <mergeCell ref="A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A29:F29"/>
    <mergeCell ref="E32:F32"/>
    <mergeCell ref="E35:F35"/>
    <mergeCell ref="B37:F37"/>
  </mergeCells>
  <pageMargins left="0.7" right="0.7" top="0.75" bottom="0.75" header="0.3" footer="0.3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C00-000000000000}">
  <sheetPr codeName="Sheet229"/>
  <dimension ref="A1:G39"/>
  <sheetViews>
    <sheetView workbookViewId="0">
      <selection activeCell="G39" sqref="A1:G39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2578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1902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832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1903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2484" t="s">
        <v>685</v>
      </c>
      <c r="B9" s="2484"/>
      <c r="C9" s="2484"/>
      <c r="D9" s="2484"/>
      <c r="E9" s="2484"/>
      <c r="F9" s="2484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65" customHeight="1">
      <c r="A11" s="5"/>
      <c r="B11" s="3" t="s">
        <v>1735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2474" t="s">
        <v>702</v>
      </c>
      <c r="F12" s="2474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1901</v>
      </c>
      <c r="F14" s="5"/>
      <c r="G14" s="5"/>
    </row>
    <row r="15" spans="1:7" ht="12" customHeight="1">
      <c r="A15" s="5"/>
      <c r="B15" s="5"/>
      <c r="C15" s="5"/>
      <c r="D15" s="5"/>
      <c r="E15" s="2474" t="s">
        <v>705</v>
      </c>
      <c r="F15" s="2474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2474" t="s">
        <v>707</v>
      </c>
      <c r="C17" s="2474"/>
      <c r="D17" s="2474"/>
      <c r="E17" s="2474"/>
      <c r="F17" s="2474"/>
      <c r="G17" s="5"/>
    </row>
    <row r="18" spans="1:7" ht="12" customHeight="1">
      <c r="A18" s="12" t="s">
        <v>708</v>
      </c>
      <c r="B18" s="2471" t="s">
        <v>709</v>
      </c>
      <c r="C18" s="2471"/>
      <c r="D18" s="2471"/>
      <c r="E18" s="2472" t="s">
        <v>710</v>
      </c>
      <c r="F18" s="2472"/>
      <c r="G18" s="5"/>
    </row>
    <row r="19" spans="1:7" ht="12" customHeight="1">
      <c r="A19" s="12" t="s">
        <v>711</v>
      </c>
      <c r="B19" s="2473" t="s">
        <v>712</v>
      </c>
      <c r="C19" s="2473"/>
      <c r="D19" s="2473"/>
      <c r="E19" s="2473"/>
      <c r="F19" s="2473"/>
      <c r="G19" s="5"/>
    </row>
    <row r="20" spans="1:7" ht="12" customHeight="1">
      <c r="A20" s="12"/>
      <c r="B20" s="26"/>
      <c r="C20" s="26"/>
      <c r="D20" s="26"/>
      <c r="E20" s="26"/>
      <c r="F20" s="26"/>
      <c r="G20" s="5"/>
    </row>
    <row r="21" spans="1:7" ht="12" customHeight="1">
      <c r="A21" s="50" t="s">
        <v>2579</v>
      </c>
      <c r="B21" s="26"/>
      <c r="C21" s="26"/>
      <c r="D21" s="26"/>
      <c r="E21" s="26"/>
      <c r="F21" s="26"/>
      <c r="G21" s="5"/>
    </row>
    <row r="22" spans="1:7" ht="12" customHeight="1">
      <c r="A22" s="12"/>
      <c r="B22" s="26"/>
      <c r="C22" s="26"/>
      <c r="D22" s="26"/>
      <c r="E22" s="26"/>
      <c r="F22" s="26"/>
      <c r="G22" s="5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1904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1905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1898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2484" t="s">
        <v>685</v>
      </c>
      <c r="B29" s="2484"/>
      <c r="C29" s="2484"/>
      <c r="D29" s="2484"/>
      <c r="E29" s="2484"/>
      <c r="F29" s="2484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65" customHeight="1">
      <c r="A31" s="5"/>
      <c r="B31" s="3" t="s">
        <v>1739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2474" t="s">
        <v>702</v>
      </c>
      <c r="F32" s="2474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1906</v>
      </c>
      <c r="F34" s="5"/>
      <c r="G34" s="5"/>
    </row>
    <row r="35" spans="1:7" ht="12" customHeight="1">
      <c r="A35" s="5"/>
      <c r="B35" s="5"/>
      <c r="C35" s="5"/>
      <c r="D35" s="5"/>
      <c r="E35" s="2474" t="s">
        <v>705</v>
      </c>
      <c r="F35" s="2474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2474" t="s">
        <v>707</v>
      </c>
      <c r="C37" s="2474"/>
      <c r="D37" s="2474"/>
      <c r="E37" s="2474"/>
      <c r="F37" s="2474"/>
      <c r="G37" s="5"/>
    </row>
    <row r="38" spans="1:7" ht="12" customHeight="1">
      <c r="A38" s="12" t="s">
        <v>708</v>
      </c>
      <c r="B38" s="2471" t="s">
        <v>709</v>
      </c>
      <c r="C38" s="2471"/>
      <c r="D38" s="2471"/>
      <c r="E38" s="2472" t="s">
        <v>710</v>
      </c>
      <c r="F38" s="2472"/>
      <c r="G38" s="5"/>
    </row>
    <row r="39" spans="1:7" ht="12" customHeight="1">
      <c r="A39" s="12" t="s">
        <v>711</v>
      </c>
      <c r="B39" s="2473" t="s">
        <v>712</v>
      </c>
      <c r="C39" s="2473"/>
      <c r="D39" s="2473"/>
      <c r="E39" s="2473"/>
      <c r="F39" s="2473"/>
      <c r="G39" s="5"/>
    </row>
  </sheetData>
  <mergeCells count="14">
    <mergeCell ref="A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A29:F29"/>
    <mergeCell ref="E32:F32"/>
    <mergeCell ref="E35:F35"/>
    <mergeCell ref="B37:F37"/>
  </mergeCells>
  <pageMargins left="0.7" right="0.7" top="0.75" bottom="0.75" header="0.3" footer="0.3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D00-000000000000}">
  <sheetPr codeName="Sheet230"/>
  <dimension ref="A1:G39"/>
  <sheetViews>
    <sheetView topLeftCell="A22" workbookViewId="0">
      <selection sqref="A1:G39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2580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1907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1141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873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2484" t="s">
        <v>685</v>
      </c>
      <c r="B9" s="2484"/>
      <c r="C9" s="2484"/>
      <c r="D9" s="2484"/>
      <c r="E9" s="2484"/>
      <c r="F9" s="2484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65" customHeight="1">
      <c r="A11" s="5"/>
      <c r="B11" s="3" t="s">
        <v>1742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2474" t="s">
        <v>702</v>
      </c>
      <c r="F12" s="2474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1908</v>
      </c>
      <c r="F14" s="5"/>
      <c r="G14" s="5"/>
    </row>
    <row r="15" spans="1:7" ht="12" customHeight="1">
      <c r="A15" s="5"/>
      <c r="B15" s="5"/>
      <c r="C15" s="5"/>
      <c r="D15" s="5"/>
      <c r="E15" s="2474" t="s">
        <v>705</v>
      </c>
      <c r="F15" s="2474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2474" t="s">
        <v>707</v>
      </c>
      <c r="C17" s="2474"/>
      <c r="D17" s="2474"/>
      <c r="E17" s="2474"/>
      <c r="F17" s="2474"/>
      <c r="G17" s="5"/>
    </row>
    <row r="18" spans="1:7" ht="12" customHeight="1">
      <c r="A18" s="12" t="s">
        <v>708</v>
      </c>
      <c r="B18" s="2471" t="s">
        <v>709</v>
      </c>
      <c r="C18" s="2471"/>
      <c r="D18" s="2471"/>
      <c r="E18" s="2472" t="s">
        <v>710</v>
      </c>
      <c r="F18" s="2472"/>
      <c r="G18" s="5"/>
    </row>
    <row r="19" spans="1:7" ht="12" customHeight="1">
      <c r="A19" s="12" t="s">
        <v>711</v>
      </c>
      <c r="B19" s="2473" t="s">
        <v>712</v>
      </c>
      <c r="C19" s="2473"/>
      <c r="D19" s="2473"/>
      <c r="E19" s="2473"/>
      <c r="F19" s="2473"/>
      <c r="G19" s="5"/>
    </row>
    <row r="20" spans="1:7" ht="12" customHeight="1">
      <c r="A20" s="12"/>
      <c r="B20" s="26"/>
      <c r="C20" s="26"/>
      <c r="D20" s="26"/>
      <c r="E20" s="26"/>
      <c r="F20" s="26"/>
      <c r="G20" s="5"/>
    </row>
    <row r="21" spans="1:7" ht="12" customHeight="1">
      <c r="A21" s="50" t="s">
        <v>2581</v>
      </c>
      <c r="B21" s="26"/>
      <c r="C21" s="26"/>
      <c r="D21" s="26"/>
      <c r="E21" s="26"/>
      <c r="F21" s="26"/>
      <c r="G21" s="5"/>
    </row>
    <row r="22" spans="1:7" ht="12" customHeight="1">
      <c r="A22" s="12"/>
      <c r="B22" s="26"/>
      <c r="C22" s="26"/>
      <c r="D22" s="26"/>
      <c r="E22" s="26"/>
      <c r="F22" s="26"/>
      <c r="G22" s="5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1909</v>
      </c>
      <c r="F25" s="5"/>
      <c r="G25" s="5"/>
    </row>
    <row r="26" spans="1:7" ht="11.85" customHeight="1">
      <c r="A26" s="5"/>
      <c r="B26" s="3" t="s">
        <v>1480</v>
      </c>
      <c r="C26" s="3" t="s">
        <v>678</v>
      </c>
      <c r="D26" s="12" t="s">
        <v>675</v>
      </c>
      <c r="E26" s="3" t="s">
        <v>1910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892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2484" t="s">
        <v>685</v>
      </c>
      <c r="B29" s="2484"/>
      <c r="C29" s="2484"/>
      <c r="D29" s="2484"/>
      <c r="E29" s="2484"/>
      <c r="F29" s="2484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95" customHeight="1">
      <c r="A31" s="5"/>
      <c r="B31" s="3" t="s">
        <v>1744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2474" t="s">
        <v>702</v>
      </c>
      <c r="F32" s="2474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4.950000000000003" customHeight="1">
      <c r="A34" s="5"/>
      <c r="B34" s="2" t="s">
        <v>1768</v>
      </c>
      <c r="C34" s="5"/>
      <c r="D34" s="2" t="s">
        <v>1483</v>
      </c>
      <c r="E34" s="2" t="s">
        <v>1911</v>
      </c>
      <c r="F34" s="5"/>
      <c r="G34" s="5"/>
    </row>
    <row r="35" spans="1:7" ht="12" customHeight="1">
      <c r="A35" s="5"/>
      <c r="B35" s="5"/>
      <c r="C35" s="5"/>
      <c r="D35" s="5"/>
      <c r="E35" s="2474" t="s">
        <v>705</v>
      </c>
      <c r="F35" s="2474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2474" t="s">
        <v>707</v>
      </c>
      <c r="C37" s="2474"/>
      <c r="D37" s="2474"/>
      <c r="E37" s="2474"/>
      <c r="F37" s="2474"/>
      <c r="G37" s="5"/>
    </row>
    <row r="38" spans="1:7" ht="12" customHeight="1">
      <c r="A38" s="12" t="s">
        <v>708</v>
      </c>
      <c r="B38" s="2471" t="s">
        <v>709</v>
      </c>
      <c r="C38" s="2471"/>
      <c r="D38" s="2471"/>
      <c r="E38" s="2472" t="s">
        <v>710</v>
      </c>
      <c r="F38" s="2472"/>
      <c r="G38" s="5"/>
    </row>
    <row r="39" spans="1:7" ht="12.15" customHeight="1">
      <c r="A39" s="12" t="s">
        <v>711</v>
      </c>
      <c r="B39" s="2473" t="s">
        <v>712</v>
      </c>
      <c r="C39" s="2473"/>
      <c r="D39" s="2473"/>
      <c r="E39" s="2473"/>
      <c r="F39" s="2473"/>
      <c r="G39" s="5"/>
    </row>
  </sheetData>
  <mergeCells count="14">
    <mergeCell ref="A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A29:F29"/>
    <mergeCell ref="E32:F32"/>
    <mergeCell ref="E35:F35"/>
    <mergeCell ref="B37:F37"/>
  </mergeCells>
  <pageMargins left="0.7" right="0.7" top="0.75" bottom="0.75" header="0.3" footer="0.3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E00-000000000000}">
  <sheetPr codeName="Sheet231"/>
  <dimension ref="A1:G39"/>
  <sheetViews>
    <sheetView workbookViewId="0">
      <selection activeCell="G39" sqref="A1:G39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2582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1912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1618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1913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2484" t="s">
        <v>685</v>
      </c>
      <c r="B9" s="2484"/>
      <c r="C9" s="2484"/>
      <c r="D9" s="2484"/>
      <c r="E9" s="2484"/>
      <c r="F9" s="2484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65" customHeight="1">
      <c r="A11" s="5"/>
      <c r="B11" s="3" t="s">
        <v>1748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2474" t="s">
        <v>702</v>
      </c>
      <c r="F12" s="2474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1914</v>
      </c>
      <c r="F14" s="5"/>
      <c r="G14" s="5"/>
    </row>
    <row r="15" spans="1:7" ht="12" customHeight="1">
      <c r="A15" s="5"/>
      <c r="B15" s="5"/>
      <c r="C15" s="5"/>
      <c r="D15" s="5"/>
      <c r="E15" s="2474" t="s">
        <v>705</v>
      </c>
      <c r="F15" s="2474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2474" t="s">
        <v>707</v>
      </c>
      <c r="C17" s="2474"/>
      <c r="D17" s="2474"/>
      <c r="E17" s="2474"/>
      <c r="F17" s="2474"/>
      <c r="G17" s="5"/>
    </row>
    <row r="18" spans="1:7" ht="12" customHeight="1">
      <c r="A18" s="12" t="s">
        <v>708</v>
      </c>
      <c r="B18" s="2471" t="s">
        <v>709</v>
      </c>
      <c r="C18" s="2471"/>
      <c r="D18" s="2471"/>
      <c r="E18" s="2472" t="s">
        <v>710</v>
      </c>
      <c r="F18" s="2472"/>
      <c r="G18" s="5"/>
    </row>
    <row r="19" spans="1:7" ht="12" customHeight="1">
      <c r="A19" s="12" t="s">
        <v>711</v>
      </c>
      <c r="B19" s="2473" t="s">
        <v>712</v>
      </c>
      <c r="C19" s="2473"/>
      <c r="D19" s="2473"/>
      <c r="E19" s="2473"/>
      <c r="F19" s="2473"/>
      <c r="G19" s="5"/>
    </row>
    <row r="20" spans="1:7" ht="12" customHeight="1">
      <c r="A20" s="12"/>
      <c r="B20" s="26"/>
      <c r="C20" s="26"/>
      <c r="D20" s="26"/>
      <c r="E20" s="26"/>
      <c r="F20" s="26"/>
      <c r="G20" s="5"/>
    </row>
    <row r="21" spans="1:7" ht="12" customHeight="1">
      <c r="A21" s="50" t="s">
        <v>2583</v>
      </c>
      <c r="B21" s="26"/>
      <c r="C21" s="26"/>
      <c r="D21" s="26"/>
      <c r="E21" s="26"/>
      <c r="F21" s="26"/>
      <c r="G21" s="5"/>
    </row>
    <row r="22" spans="1:7" ht="12" customHeight="1">
      <c r="A22" s="12"/>
      <c r="B22" s="26"/>
      <c r="C22" s="26"/>
      <c r="D22" s="26"/>
      <c r="E22" s="26"/>
      <c r="F22" s="26"/>
      <c r="G22" s="5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1915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1916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938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2484" t="s">
        <v>685</v>
      </c>
      <c r="B29" s="2484"/>
      <c r="C29" s="2484"/>
      <c r="D29" s="2484"/>
      <c r="E29" s="2484"/>
      <c r="F29" s="2484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65" customHeight="1">
      <c r="A31" s="5"/>
      <c r="B31" s="3" t="s">
        <v>1752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2474" t="s">
        <v>702</v>
      </c>
      <c r="F32" s="2474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1917</v>
      </c>
      <c r="F34" s="5"/>
      <c r="G34" s="5"/>
    </row>
    <row r="35" spans="1:7" ht="12" customHeight="1">
      <c r="A35" s="5"/>
      <c r="B35" s="5"/>
      <c r="C35" s="5"/>
      <c r="D35" s="5"/>
      <c r="E35" s="2474" t="s">
        <v>705</v>
      </c>
      <c r="F35" s="2474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2474" t="s">
        <v>707</v>
      </c>
      <c r="C37" s="2474"/>
      <c r="D37" s="2474"/>
      <c r="E37" s="2474"/>
      <c r="F37" s="2474"/>
      <c r="G37" s="5"/>
    </row>
    <row r="38" spans="1:7" ht="12" customHeight="1">
      <c r="A38" s="12" t="s">
        <v>708</v>
      </c>
      <c r="B38" s="2471" t="s">
        <v>709</v>
      </c>
      <c r="C38" s="2471"/>
      <c r="D38" s="2471"/>
      <c r="E38" s="2472" t="s">
        <v>710</v>
      </c>
      <c r="F38" s="2472"/>
      <c r="G38" s="5"/>
    </row>
    <row r="39" spans="1:7" ht="12" customHeight="1">
      <c r="A39" s="12" t="s">
        <v>711</v>
      </c>
      <c r="B39" s="2473" t="s">
        <v>712</v>
      </c>
      <c r="C39" s="2473"/>
      <c r="D39" s="2473"/>
      <c r="E39" s="2473"/>
      <c r="F39" s="2473"/>
      <c r="G39" s="5"/>
    </row>
  </sheetData>
  <mergeCells count="14">
    <mergeCell ref="A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A29:F29"/>
    <mergeCell ref="E32:F32"/>
    <mergeCell ref="E35:F35"/>
    <mergeCell ref="B37:F37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16"/>
  <dimension ref="A1:G43"/>
  <sheetViews>
    <sheetView topLeftCell="A28" workbookViewId="0">
      <selection sqref="A1:G43"/>
    </sheetView>
  </sheetViews>
  <sheetFormatPr defaultRowHeight="14.4"/>
  <cols>
    <col min="1" max="1" width="5.33203125" customWidth="1"/>
    <col min="2" max="2" width="21" customWidth="1"/>
    <col min="3" max="3" width="8.44140625" customWidth="1"/>
    <col min="4" max="4" width="11.33203125" customWidth="1"/>
    <col min="5" max="5" width="14.6640625" customWidth="1"/>
    <col min="6" max="6" width="14.44140625" customWidth="1"/>
    <col min="7" max="7" width="16.6640625" customWidth="1"/>
  </cols>
  <sheetData>
    <row r="1" spans="1:7">
      <c r="A1" s="55" t="s">
        <v>2152</v>
      </c>
    </row>
    <row r="2" spans="1:7">
      <c r="A2" s="51"/>
    </row>
    <row r="3" spans="1:7" ht="31.5" customHeight="1">
      <c r="A3" s="9" t="s">
        <v>1003</v>
      </c>
      <c r="B3" s="19" t="s">
        <v>1004</v>
      </c>
      <c r="C3" s="9" t="s">
        <v>1005</v>
      </c>
      <c r="D3" s="9" t="s">
        <v>1006</v>
      </c>
      <c r="E3" s="9" t="s">
        <v>1007</v>
      </c>
      <c r="F3" s="8" t="s">
        <v>669</v>
      </c>
      <c r="G3" s="8" t="s">
        <v>670</v>
      </c>
    </row>
    <row r="4" spans="1:7" ht="10.95" customHeight="1">
      <c r="A4" s="10" t="s">
        <v>671</v>
      </c>
      <c r="B4" s="10" t="s">
        <v>672</v>
      </c>
      <c r="C4" s="5"/>
      <c r="D4" s="5"/>
      <c r="E4" s="5"/>
      <c r="F4" s="5"/>
      <c r="G4" s="5"/>
    </row>
    <row r="5" spans="1:7" ht="12.45" customHeight="1">
      <c r="A5" s="5"/>
      <c r="B5" s="10" t="s">
        <v>673</v>
      </c>
      <c r="C5" s="10" t="s">
        <v>674</v>
      </c>
      <c r="D5" s="11" t="s">
        <v>675</v>
      </c>
      <c r="E5" s="11" t="s">
        <v>718</v>
      </c>
      <c r="F5" s="5"/>
      <c r="G5" s="5"/>
    </row>
    <row r="6" spans="1:7" ht="12.45" customHeight="1">
      <c r="A6" s="5"/>
      <c r="B6" s="10" t="s">
        <v>816</v>
      </c>
      <c r="C6" s="10" t="s">
        <v>678</v>
      </c>
      <c r="D6" s="11" t="s">
        <v>675</v>
      </c>
      <c r="E6" s="11" t="s">
        <v>741</v>
      </c>
      <c r="F6" s="5"/>
      <c r="G6" s="5"/>
    </row>
    <row r="7" spans="1:7" ht="12.45" customHeight="1">
      <c r="A7" s="5"/>
      <c r="B7" s="10" t="s">
        <v>680</v>
      </c>
      <c r="C7" s="10" t="s">
        <v>681</v>
      </c>
      <c r="D7" s="11" t="s">
        <v>675</v>
      </c>
      <c r="E7" s="11" t="s">
        <v>779</v>
      </c>
      <c r="F7" s="5"/>
      <c r="G7" s="5"/>
    </row>
    <row r="8" spans="1:7" ht="12.45" customHeight="1">
      <c r="A8" s="5"/>
      <c r="B8" s="10" t="s">
        <v>683</v>
      </c>
      <c r="C8" s="10" t="s">
        <v>684</v>
      </c>
      <c r="D8" s="11" t="s">
        <v>675</v>
      </c>
      <c r="E8" s="11" t="s">
        <v>811</v>
      </c>
      <c r="F8" s="5"/>
      <c r="G8" s="5"/>
    </row>
    <row r="9" spans="1:7" ht="10.95" customHeight="1">
      <c r="A9" s="5"/>
      <c r="B9" s="5"/>
      <c r="C9" s="5"/>
      <c r="D9" s="5"/>
      <c r="E9" s="2477" t="s">
        <v>685</v>
      </c>
      <c r="F9" s="2477"/>
      <c r="G9" s="5"/>
    </row>
    <row r="10" spans="1:7" ht="10.95" customHeight="1">
      <c r="A10" s="10" t="s">
        <v>686</v>
      </c>
      <c r="B10" s="10" t="s">
        <v>687</v>
      </c>
      <c r="C10" s="5"/>
      <c r="D10" s="5"/>
      <c r="E10" s="5"/>
      <c r="F10" s="5"/>
      <c r="G10" s="5"/>
    </row>
    <row r="11" spans="1:7" ht="12.45" customHeight="1">
      <c r="A11" s="5"/>
      <c r="B11" s="10" t="s">
        <v>742</v>
      </c>
      <c r="C11" s="5"/>
      <c r="D11" s="11" t="s">
        <v>692</v>
      </c>
      <c r="E11" s="10" t="s">
        <v>1025</v>
      </c>
      <c r="F11" s="5"/>
      <c r="G11" s="5"/>
    </row>
    <row r="12" spans="1:7" ht="12.45" customHeight="1">
      <c r="A12" s="5"/>
      <c r="B12" s="10" t="s">
        <v>738</v>
      </c>
      <c r="C12" s="5"/>
      <c r="D12" s="11" t="s">
        <v>690</v>
      </c>
      <c r="E12" s="10" t="s">
        <v>1030</v>
      </c>
      <c r="F12" s="5"/>
      <c r="G12" s="5"/>
    </row>
    <row r="13" spans="1:7" ht="12.45" customHeight="1">
      <c r="A13" s="5"/>
      <c r="B13" s="10" t="s">
        <v>808</v>
      </c>
      <c r="C13" s="5"/>
      <c r="D13" s="11" t="s">
        <v>692</v>
      </c>
      <c r="E13" s="11" t="s">
        <v>1031</v>
      </c>
      <c r="F13" s="5"/>
      <c r="G13" s="5"/>
    </row>
    <row r="14" spans="1:7" ht="10.95" customHeight="1">
      <c r="A14" s="5"/>
      <c r="B14" s="5"/>
      <c r="C14" s="5"/>
      <c r="D14" s="5"/>
      <c r="E14" s="2477" t="s">
        <v>702</v>
      </c>
      <c r="F14" s="2477"/>
      <c r="G14" s="5"/>
    </row>
    <row r="15" spans="1:7" ht="10.95" customHeight="1">
      <c r="A15" s="10" t="s">
        <v>703</v>
      </c>
      <c r="B15" s="10" t="s">
        <v>704</v>
      </c>
      <c r="C15" s="5"/>
      <c r="D15" s="5"/>
      <c r="E15" s="5"/>
      <c r="F15" s="5"/>
      <c r="G15" s="5"/>
    </row>
    <row r="16" spans="1:7" ht="10.95" customHeight="1">
      <c r="A16" s="5"/>
      <c r="B16" s="5"/>
      <c r="C16" s="5"/>
      <c r="D16" s="5"/>
      <c r="E16" s="5"/>
      <c r="F16" s="5"/>
      <c r="G16" s="5"/>
    </row>
    <row r="17" spans="1:7" ht="10.95" customHeight="1">
      <c r="A17" s="5"/>
      <c r="B17" s="5"/>
      <c r="C17" s="5"/>
      <c r="D17" s="5"/>
      <c r="E17" s="2477" t="s">
        <v>705</v>
      </c>
      <c r="F17" s="2477"/>
      <c r="G17" s="5"/>
    </row>
    <row r="18" spans="1:7" ht="10.95" customHeight="1">
      <c r="A18" s="5"/>
      <c r="B18" s="5"/>
      <c r="C18" s="5"/>
      <c r="D18" s="5"/>
      <c r="E18" s="5"/>
      <c r="F18" s="5"/>
      <c r="G18" s="5"/>
    </row>
    <row r="19" spans="1:7" ht="10.95" customHeight="1">
      <c r="A19" s="10" t="s">
        <v>706</v>
      </c>
      <c r="B19" s="2477" t="s">
        <v>707</v>
      </c>
      <c r="C19" s="2477"/>
      <c r="D19" s="2477"/>
      <c r="E19" s="2477"/>
      <c r="F19" s="2477"/>
      <c r="G19" s="5"/>
    </row>
    <row r="20" spans="1:7" ht="12" customHeight="1">
      <c r="A20" s="10" t="s">
        <v>708</v>
      </c>
      <c r="B20" s="2471" t="s">
        <v>876</v>
      </c>
      <c r="C20" s="2471"/>
      <c r="D20" s="2471"/>
      <c r="E20" s="2475" t="s">
        <v>710</v>
      </c>
      <c r="F20" s="2475"/>
      <c r="G20" s="5"/>
    </row>
    <row r="21" spans="1:7" ht="10.95" customHeight="1">
      <c r="A21" s="10" t="s">
        <v>711</v>
      </c>
      <c r="B21" s="2476" t="s">
        <v>712</v>
      </c>
      <c r="C21" s="2476"/>
      <c r="D21" s="2476"/>
      <c r="E21" s="2476"/>
      <c r="F21" s="2476"/>
      <c r="G21" s="5"/>
    </row>
    <row r="22" spans="1:7" ht="10.95" customHeight="1">
      <c r="A22" s="64"/>
      <c r="B22" s="27"/>
      <c r="C22" s="27"/>
      <c r="D22" s="27"/>
      <c r="E22" s="27"/>
      <c r="F22" s="27"/>
      <c r="G22" s="5"/>
    </row>
    <row r="23" spans="1:7" ht="10.95" customHeight="1">
      <c r="A23" s="65" t="s">
        <v>2153</v>
      </c>
      <c r="B23" s="63"/>
      <c r="C23" s="27"/>
      <c r="D23" s="27"/>
      <c r="E23" s="27"/>
      <c r="F23" s="27"/>
      <c r="G23" s="5"/>
    </row>
    <row r="24" spans="1:7" ht="10.95" customHeight="1">
      <c r="A24" s="50"/>
      <c r="B24" s="27"/>
      <c r="C24" s="27"/>
      <c r="D24" s="27"/>
      <c r="E24" s="27"/>
      <c r="F24" s="27"/>
      <c r="G24" s="5"/>
    </row>
    <row r="25" spans="1:7" ht="31.5" customHeight="1">
      <c r="A25" s="9" t="s">
        <v>1003</v>
      </c>
      <c r="B25" s="19" t="s">
        <v>1004</v>
      </c>
      <c r="C25" s="9" t="s">
        <v>1005</v>
      </c>
      <c r="D25" s="9" t="s">
        <v>1006</v>
      </c>
      <c r="E25" s="9" t="s">
        <v>1007</v>
      </c>
      <c r="F25" s="8" t="s">
        <v>669</v>
      </c>
      <c r="G25" s="8" t="s">
        <v>670</v>
      </c>
    </row>
    <row r="26" spans="1:7" ht="10.95" customHeight="1">
      <c r="A26" s="10" t="s">
        <v>671</v>
      </c>
      <c r="B26" s="10" t="s">
        <v>672</v>
      </c>
      <c r="C26" s="5"/>
      <c r="D26" s="5"/>
      <c r="E26" s="5"/>
      <c r="F26" s="5"/>
      <c r="G26" s="5"/>
    </row>
    <row r="27" spans="1:7" ht="12.45" customHeight="1">
      <c r="A27" s="5"/>
      <c r="B27" s="10" t="s">
        <v>673</v>
      </c>
      <c r="C27" s="10" t="s">
        <v>674</v>
      </c>
      <c r="D27" s="11" t="s">
        <v>675</v>
      </c>
      <c r="E27" s="11" t="s">
        <v>718</v>
      </c>
      <c r="F27" s="5"/>
      <c r="G27" s="5"/>
    </row>
    <row r="28" spans="1:7" ht="12.45" customHeight="1">
      <c r="A28" s="5"/>
      <c r="B28" s="10" t="s">
        <v>816</v>
      </c>
      <c r="C28" s="10" t="s">
        <v>678</v>
      </c>
      <c r="D28" s="11" t="s">
        <v>675</v>
      </c>
      <c r="E28" s="11" t="s">
        <v>741</v>
      </c>
      <c r="F28" s="5"/>
      <c r="G28" s="5"/>
    </row>
    <row r="29" spans="1:7" ht="12.45" customHeight="1">
      <c r="A29" s="5"/>
      <c r="B29" s="10" t="s">
        <v>680</v>
      </c>
      <c r="C29" s="10" t="s">
        <v>681</v>
      </c>
      <c r="D29" s="11" t="s">
        <v>675</v>
      </c>
      <c r="E29" s="11" t="s">
        <v>779</v>
      </c>
      <c r="F29" s="5"/>
      <c r="G29" s="5"/>
    </row>
    <row r="30" spans="1:7" ht="12.45" customHeight="1">
      <c r="A30" s="5"/>
      <c r="B30" s="10" t="s">
        <v>683</v>
      </c>
      <c r="C30" s="10" t="s">
        <v>684</v>
      </c>
      <c r="D30" s="11" t="s">
        <v>675</v>
      </c>
      <c r="E30" s="11" t="s">
        <v>811</v>
      </c>
      <c r="F30" s="5"/>
      <c r="G30" s="5"/>
    </row>
    <row r="31" spans="1:7" ht="10.95" customHeight="1">
      <c r="A31" s="5"/>
      <c r="B31" s="5"/>
      <c r="C31" s="5"/>
      <c r="D31" s="5"/>
      <c r="E31" s="2477" t="s">
        <v>685</v>
      </c>
      <c r="F31" s="2477"/>
      <c r="G31" s="5"/>
    </row>
    <row r="32" spans="1:7" ht="10.95" customHeight="1">
      <c r="A32" s="10" t="s">
        <v>686</v>
      </c>
      <c r="B32" s="10" t="s">
        <v>687</v>
      </c>
      <c r="C32" s="5"/>
      <c r="D32" s="5"/>
      <c r="E32" s="5"/>
      <c r="F32" s="5"/>
      <c r="G32" s="5"/>
    </row>
    <row r="33" spans="1:7" ht="12.45" customHeight="1">
      <c r="A33" s="5"/>
      <c r="B33" s="10" t="s">
        <v>742</v>
      </c>
      <c r="C33" s="5"/>
      <c r="D33" s="11" t="s">
        <v>692</v>
      </c>
      <c r="E33" s="10" t="s">
        <v>1025</v>
      </c>
      <c r="F33" s="5"/>
      <c r="G33" s="5"/>
    </row>
    <row r="34" spans="1:7" ht="12.45" customHeight="1">
      <c r="A34" s="5"/>
      <c r="B34" s="10" t="s">
        <v>738</v>
      </c>
      <c r="C34" s="5"/>
      <c r="D34" s="11" t="s">
        <v>690</v>
      </c>
      <c r="E34" s="10" t="s">
        <v>1032</v>
      </c>
      <c r="F34" s="5"/>
      <c r="G34" s="5"/>
    </row>
    <row r="35" spans="1:7" ht="12.45" customHeight="1">
      <c r="A35" s="5"/>
      <c r="B35" s="10" t="s">
        <v>808</v>
      </c>
      <c r="C35" s="5"/>
      <c r="D35" s="11" t="s">
        <v>692</v>
      </c>
      <c r="E35" s="11" t="s">
        <v>801</v>
      </c>
      <c r="F35" s="5"/>
      <c r="G35" s="5"/>
    </row>
    <row r="36" spans="1:7" ht="10.95" customHeight="1">
      <c r="A36" s="5"/>
      <c r="B36" s="5"/>
      <c r="C36" s="5"/>
      <c r="D36" s="5"/>
      <c r="E36" s="2477" t="s">
        <v>702</v>
      </c>
      <c r="F36" s="2477"/>
      <c r="G36" s="5"/>
    </row>
    <row r="37" spans="1:7" ht="10.95" customHeight="1">
      <c r="A37" s="10" t="s">
        <v>703</v>
      </c>
      <c r="B37" s="10" t="s">
        <v>704</v>
      </c>
      <c r="C37" s="5"/>
      <c r="D37" s="5"/>
      <c r="E37" s="5"/>
      <c r="F37" s="5"/>
      <c r="G37" s="5"/>
    </row>
    <row r="38" spans="1:7" ht="10.95" customHeight="1">
      <c r="A38" s="5"/>
      <c r="B38" s="5"/>
      <c r="C38" s="5"/>
      <c r="D38" s="5"/>
      <c r="E38" s="5"/>
      <c r="F38" s="5"/>
      <c r="G38" s="5"/>
    </row>
    <row r="39" spans="1:7" ht="10.95" customHeight="1">
      <c r="A39" s="5"/>
      <c r="B39" s="5"/>
      <c r="C39" s="5"/>
      <c r="D39" s="5"/>
      <c r="E39" s="2477" t="s">
        <v>705</v>
      </c>
      <c r="F39" s="2477"/>
      <c r="G39" s="5"/>
    </row>
    <row r="40" spans="1:7" ht="10.95" customHeight="1">
      <c r="A40" s="5"/>
      <c r="B40" s="5"/>
      <c r="C40" s="5"/>
      <c r="D40" s="5"/>
      <c r="E40" s="5"/>
      <c r="F40" s="5"/>
      <c r="G40" s="5"/>
    </row>
    <row r="41" spans="1:7" ht="10.95" customHeight="1">
      <c r="A41" s="10" t="s">
        <v>706</v>
      </c>
      <c r="B41" s="2477" t="s">
        <v>707</v>
      </c>
      <c r="C41" s="2477"/>
      <c r="D41" s="2477"/>
      <c r="E41" s="2477"/>
      <c r="F41" s="2477"/>
      <c r="G41" s="5"/>
    </row>
    <row r="42" spans="1:7" ht="12" customHeight="1">
      <c r="A42" s="10" t="s">
        <v>708</v>
      </c>
      <c r="B42" s="2471" t="s">
        <v>876</v>
      </c>
      <c r="C42" s="2471"/>
      <c r="D42" s="2471"/>
      <c r="E42" s="2475" t="s">
        <v>710</v>
      </c>
      <c r="F42" s="2475"/>
      <c r="G42" s="5"/>
    </row>
    <row r="43" spans="1:7" ht="10.95" customHeight="1">
      <c r="A43" s="10" t="s">
        <v>711</v>
      </c>
      <c r="B43" s="2476" t="s">
        <v>712</v>
      </c>
      <c r="C43" s="2476"/>
      <c r="D43" s="2476"/>
      <c r="E43" s="2476"/>
      <c r="F43" s="2476"/>
      <c r="G43" s="5"/>
    </row>
  </sheetData>
  <mergeCells count="14">
    <mergeCell ref="E9:F9"/>
    <mergeCell ref="E14:F14"/>
    <mergeCell ref="E17:F17"/>
    <mergeCell ref="B19:F19"/>
    <mergeCell ref="B20:D20"/>
    <mergeCell ref="E20:F20"/>
    <mergeCell ref="B42:D42"/>
    <mergeCell ref="E42:F42"/>
    <mergeCell ref="B43:F43"/>
    <mergeCell ref="B21:F21"/>
    <mergeCell ref="E31:F31"/>
    <mergeCell ref="E36:F36"/>
    <mergeCell ref="E39:F39"/>
    <mergeCell ref="B41:F41"/>
  </mergeCells>
  <pageMargins left="0.7" right="0.7" top="0.75" bottom="0.75" header="0.3" footer="0.3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F00-000000000000}">
  <sheetPr codeName="Sheet232"/>
  <dimension ref="A1:G19"/>
  <sheetViews>
    <sheetView workbookViewId="0">
      <selection activeCell="G19" sqref="A1:G19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1" t="s">
        <v>2584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1918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1919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1678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2484" t="s">
        <v>685</v>
      </c>
      <c r="B9" s="2484"/>
      <c r="C9" s="2484"/>
      <c r="D9" s="2484"/>
      <c r="E9" s="2484"/>
      <c r="F9" s="2484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65" customHeight="1">
      <c r="A11" s="5"/>
      <c r="B11" s="3" t="s">
        <v>1752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2474" t="s">
        <v>702</v>
      </c>
      <c r="F12" s="2474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1792</v>
      </c>
      <c r="F14" s="5"/>
      <c r="G14" s="5"/>
    </row>
    <row r="15" spans="1:7" ht="12" customHeight="1">
      <c r="A15" s="5"/>
      <c r="B15" s="5"/>
      <c r="C15" s="5"/>
      <c r="D15" s="5"/>
      <c r="E15" s="2474" t="s">
        <v>705</v>
      </c>
      <c r="F15" s="2474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2474" t="s">
        <v>707</v>
      </c>
      <c r="C17" s="2474"/>
      <c r="D17" s="2474"/>
      <c r="E17" s="2474"/>
      <c r="F17" s="2474"/>
      <c r="G17" s="5"/>
    </row>
    <row r="18" spans="1:7" ht="12" customHeight="1">
      <c r="A18" s="12" t="s">
        <v>708</v>
      </c>
      <c r="B18" s="2471" t="s">
        <v>709</v>
      </c>
      <c r="C18" s="2471"/>
      <c r="D18" s="2471"/>
      <c r="E18" s="2472" t="s">
        <v>710</v>
      </c>
      <c r="F18" s="2472"/>
      <c r="G18" s="5"/>
    </row>
    <row r="19" spans="1:7" ht="12" customHeight="1">
      <c r="A19" s="12" t="s">
        <v>711</v>
      </c>
      <c r="B19" s="2473" t="s">
        <v>712</v>
      </c>
      <c r="C19" s="2473"/>
      <c r="D19" s="2473"/>
      <c r="E19" s="2473"/>
      <c r="F19" s="2473"/>
      <c r="G19" s="5"/>
    </row>
  </sheetData>
  <mergeCells count="7">
    <mergeCell ref="B19:F19"/>
    <mergeCell ref="A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000-000000000000}">
  <sheetPr codeName="Sheet233">
    <tabColor rgb="FFFF0000"/>
  </sheetPr>
  <dimension ref="A1:G21"/>
  <sheetViews>
    <sheetView workbookViewId="0">
      <selection activeCell="G21" sqref="A1:G21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3" t="s">
        <v>2585</v>
      </c>
    </row>
    <row r="2" spans="1:7">
      <c r="A2" s="54"/>
    </row>
    <row r="3" spans="1:7" ht="16.8">
      <c r="A3" s="79"/>
    </row>
    <row r="4" spans="1:7">
      <c r="A4" s="50" t="s">
        <v>2586</v>
      </c>
    </row>
    <row r="5" spans="1:7" ht="35.1" customHeight="1">
      <c r="A5" s="6" t="s">
        <v>762</v>
      </c>
      <c r="B5" s="6" t="s">
        <v>763</v>
      </c>
      <c r="C5" s="6" t="s">
        <v>764</v>
      </c>
      <c r="D5" s="6" t="s">
        <v>765</v>
      </c>
      <c r="E5" s="6" t="s">
        <v>766</v>
      </c>
      <c r="F5" s="7" t="s">
        <v>767</v>
      </c>
      <c r="G5" s="7" t="s">
        <v>768</v>
      </c>
    </row>
    <row r="6" spans="1:7" ht="12" customHeight="1">
      <c r="A6" s="12" t="s">
        <v>671</v>
      </c>
      <c r="B6" s="3" t="s">
        <v>672</v>
      </c>
      <c r="C6" s="5"/>
      <c r="D6" s="5"/>
      <c r="E6" s="5"/>
      <c r="F6" s="5"/>
      <c r="G6" s="5"/>
    </row>
    <row r="7" spans="1:7" ht="12" customHeight="1">
      <c r="A7" s="5"/>
      <c r="B7" s="3" t="s">
        <v>673</v>
      </c>
      <c r="C7" s="3" t="s">
        <v>674</v>
      </c>
      <c r="D7" s="12" t="s">
        <v>675</v>
      </c>
      <c r="E7" s="3" t="s">
        <v>1786</v>
      </c>
      <c r="F7" s="5"/>
      <c r="G7" s="5"/>
    </row>
    <row r="8" spans="1:7" ht="12" customHeight="1">
      <c r="A8" s="5"/>
      <c r="B8" s="3" t="s">
        <v>1480</v>
      </c>
      <c r="C8" s="3" t="s">
        <v>678</v>
      </c>
      <c r="D8" s="12" t="s">
        <v>675</v>
      </c>
      <c r="E8" s="3" t="s">
        <v>1787</v>
      </c>
      <c r="F8" s="5"/>
      <c r="G8" s="5"/>
    </row>
    <row r="9" spans="1:7" ht="12" customHeight="1">
      <c r="A9" s="5"/>
      <c r="B9" s="3" t="s">
        <v>683</v>
      </c>
      <c r="C9" s="3" t="s">
        <v>684</v>
      </c>
      <c r="D9" s="12" t="s">
        <v>675</v>
      </c>
      <c r="E9" s="3" t="s">
        <v>1669</v>
      </c>
      <c r="F9" s="5"/>
      <c r="G9" s="5"/>
    </row>
    <row r="10" spans="1:7" ht="12" customHeight="1">
      <c r="A10" s="5"/>
      <c r="B10" s="5"/>
      <c r="C10" s="5"/>
      <c r="D10" s="5"/>
      <c r="E10" s="5"/>
      <c r="F10" s="5"/>
      <c r="G10" s="5"/>
    </row>
    <row r="11" spans="1:7" ht="12" customHeight="1">
      <c r="A11" s="2484" t="s">
        <v>685</v>
      </c>
      <c r="B11" s="2484"/>
      <c r="C11" s="2484"/>
      <c r="D11" s="2484"/>
      <c r="E11" s="2484"/>
      <c r="F11" s="2484"/>
      <c r="G11" s="5"/>
    </row>
    <row r="12" spans="1:7" ht="12" customHeight="1">
      <c r="A12" s="12" t="s">
        <v>686</v>
      </c>
      <c r="B12" s="3" t="s">
        <v>687</v>
      </c>
      <c r="C12" s="5"/>
      <c r="D12" s="5"/>
      <c r="E12" s="5"/>
      <c r="F12" s="5"/>
      <c r="G12" s="5"/>
    </row>
    <row r="13" spans="1:7" ht="13.65" customHeight="1">
      <c r="A13" s="5"/>
      <c r="B13" s="4" t="s">
        <v>1920</v>
      </c>
      <c r="C13" s="5"/>
      <c r="D13" s="12" t="s">
        <v>1423</v>
      </c>
      <c r="E13" s="12">
        <v>1</v>
      </c>
      <c r="F13" s="5"/>
      <c r="G13" s="5"/>
    </row>
    <row r="14" spans="1:7" ht="12" customHeight="1">
      <c r="A14" s="5"/>
      <c r="B14" s="5"/>
      <c r="C14" s="5"/>
      <c r="D14" s="5"/>
      <c r="E14" s="2474" t="s">
        <v>702</v>
      </c>
      <c r="F14" s="2474"/>
      <c r="G14" s="5"/>
    </row>
    <row r="15" spans="1:7" ht="12" customHeight="1">
      <c r="A15" s="12" t="s">
        <v>703</v>
      </c>
      <c r="B15" s="3" t="s">
        <v>704</v>
      </c>
      <c r="C15" s="5"/>
      <c r="D15" s="5"/>
      <c r="E15" s="5"/>
      <c r="F15" s="5"/>
      <c r="G15" s="5"/>
    </row>
    <row r="16" spans="1:7" ht="31.5" customHeight="1">
      <c r="A16" s="5"/>
      <c r="B16" s="2" t="s">
        <v>1666</v>
      </c>
      <c r="C16" s="5"/>
      <c r="D16" s="2" t="s">
        <v>1483</v>
      </c>
      <c r="E16" s="2" t="s">
        <v>1510</v>
      </c>
      <c r="F16" s="5"/>
      <c r="G16" s="5"/>
    </row>
    <row r="17" spans="1:7" ht="12" customHeight="1">
      <c r="A17" s="5"/>
      <c r="B17" s="5"/>
      <c r="C17" s="5"/>
      <c r="D17" s="5"/>
      <c r="E17" s="2474" t="s">
        <v>705</v>
      </c>
      <c r="F17" s="2474"/>
      <c r="G17" s="5"/>
    </row>
    <row r="18" spans="1:7" ht="12" customHeight="1">
      <c r="A18" s="5"/>
      <c r="B18" s="5"/>
      <c r="C18" s="5"/>
      <c r="D18" s="5"/>
      <c r="E18" s="5"/>
      <c r="F18" s="5"/>
      <c r="G18" s="5"/>
    </row>
    <row r="19" spans="1:7" ht="12" customHeight="1">
      <c r="A19" s="12" t="s">
        <v>706</v>
      </c>
      <c r="B19" s="2474" t="s">
        <v>707</v>
      </c>
      <c r="C19" s="2474"/>
      <c r="D19" s="2474"/>
      <c r="E19" s="2474"/>
      <c r="F19" s="2474"/>
      <c r="G19" s="5"/>
    </row>
    <row r="20" spans="1:7" ht="12" customHeight="1">
      <c r="A20" s="12" t="s">
        <v>708</v>
      </c>
      <c r="B20" s="2471" t="s">
        <v>709</v>
      </c>
      <c r="C20" s="2471"/>
      <c r="D20" s="2471"/>
      <c r="E20" s="2472" t="s">
        <v>710</v>
      </c>
      <c r="F20" s="2472"/>
      <c r="G20" s="5"/>
    </row>
    <row r="21" spans="1:7" ht="12" customHeight="1">
      <c r="A21" s="12" t="s">
        <v>711</v>
      </c>
      <c r="B21" s="2473" t="s">
        <v>712</v>
      </c>
      <c r="C21" s="2473"/>
      <c r="D21" s="2473"/>
      <c r="E21" s="2473"/>
      <c r="F21" s="2473"/>
      <c r="G21" s="5"/>
    </row>
  </sheetData>
  <mergeCells count="7">
    <mergeCell ref="B21:F21"/>
    <mergeCell ref="A11:F11"/>
    <mergeCell ref="E14:F14"/>
    <mergeCell ref="E17:F17"/>
    <mergeCell ref="B19:F19"/>
    <mergeCell ref="B20:D20"/>
    <mergeCell ref="E20:F20"/>
  </mergeCells>
  <pageMargins left="0.7" right="0.7" top="0.75" bottom="0.75" header="0.3" footer="0.3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100-000000000000}">
  <sheetPr codeName="Sheet234"/>
  <dimension ref="A1:G39"/>
  <sheetViews>
    <sheetView workbookViewId="0">
      <selection activeCell="G39" sqref="A1:G39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2587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1921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1922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1648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2484" t="s">
        <v>685</v>
      </c>
      <c r="B9" s="2484"/>
      <c r="C9" s="2484"/>
      <c r="D9" s="2484"/>
      <c r="E9" s="2484"/>
      <c r="F9" s="2484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65" customHeight="1">
      <c r="A11" s="5"/>
      <c r="B11" s="4" t="s">
        <v>1923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2474" t="s">
        <v>702</v>
      </c>
      <c r="F12" s="2474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" customHeight="1">
      <c r="A14" s="5"/>
      <c r="B14" s="2" t="s">
        <v>1666</v>
      </c>
      <c r="C14" s="5"/>
      <c r="D14" s="2" t="s">
        <v>1483</v>
      </c>
      <c r="E14" s="2" t="s">
        <v>1924</v>
      </c>
      <c r="F14" s="5"/>
      <c r="G14" s="5"/>
    </row>
    <row r="15" spans="1:7" ht="12" customHeight="1">
      <c r="A15" s="5"/>
      <c r="B15" s="5"/>
      <c r="C15" s="5"/>
      <c r="D15" s="5"/>
      <c r="E15" s="2474" t="s">
        <v>705</v>
      </c>
      <c r="F15" s="2474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2474" t="s">
        <v>707</v>
      </c>
      <c r="C17" s="2474"/>
      <c r="D17" s="2474"/>
      <c r="E17" s="2474"/>
      <c r="F17" s="2474"/>
      <c r="G17" s="5"/>
    </row>
    <row r="18" spans="1:7" ht="12" customHeight="1">
      <c r="A18" s="12" t="s">
        <v>708</v>
      </c>
      <c r="B18" s="2471" t="s">
        <v>709</v>
      </c>
      <c r="C18" s="2471"/>
      <c r="D18" s="2471"/>
      <c r="E18" s="2472" t="s">
        <v>710</v>
      </c>
      <c r="F18" s="2472"/>
      <c r="G18" s="5"/>
    </row>
    <row r="19" spans="1:7" ht="12" customHeight="1">
      <c r="A19" s="12" t="s">
        <v>711</v>
      </c>
      <c r="B19" s="2473" t="s">
        <v>712</v>
      </c>
      <c r="C19" s="2473"/>
      <c r="D19" s="2473"/>
      <c r="E19" s="2473"/>
      <c r="F19" s="2473"/>
      <c r="G19" s="5"/>
    </row>
    <row r="20" spans="1:7" ht="12" customHeight="1">
      <c r="A20" s="12"/>
      <c r="B20" s="26"/>
      <c r="C20" s="26"/>
      <c r="D20" s="26"/>
      <c r="E20" s="26"/>
      <c r="F20" s="26"/>
      <c r="G20" s="5"/>
    </row>
    <row r="21" spans="1:7" ht="12" customHeight="1">
      <c r="A21" s="50" t="s">
        <v>2588</v>
      </c>
      <c r="B21" s="26"/>
      <c r="C21" s="26"/>
      <c r="D21" s="26"/>
      <c r="E21" s="26"/>
      <c r="F21" s="26"/>
      <c r="G21" s="5"/>
    </row>
    <row r="22" spans="1:7" ht="12" customHeight="1">
      <c r="A22" s="12"/>
      <c r="B22" s="26"/>
      <c r="C22" s="26"/>
      <c r="D22" s="26"/>
      <c r="E22" s="26"/>
      <c r="F22" s="26"/>
      <c r="G22" s="5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1921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1922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1648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2484" t="s">
        <v>685</v>
      </c>
      <c r="B29" s="2484"/>
      <c r="C29" s="2484"/>
      <c r="D29" s="2484"/>
      <c r="E29" s="2484"/>
      <c r="F29" s="2484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65" customHeight="1">
      <c r="A31" s="5"/>
      <c r="B31" s="4" t="s">
        <v>1925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2474" t="s">
        <v>702</v>
      </c>
      <c r="F32" s="2474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23.4" customHeight="1">
      <c r="A34" s="5"/>
      <c r="B34" s="2" t="s">
        <v>1666</v>
      </c>
      <c r="C34" s="5"/>
      <c r="D34" s="2" t="s">
        <v>1483</v>
      </c>
      <c r="E34" s="2" t="s">
        <v>1926</v>
      </c>
      <c r="F34" s="5"/>
      <c r="G34" s="5"/>
    </row>
    <row r="35" spans="1:7" ht="12" customHeight="1">
      <c r="A35" s="5"/>
      <c r="B35" s="5"/>
      <c r="C35" s="5"/>
      <c r="D35" s="5"/>
      <c r="E35" s="2474" t="s">
        <v>705</v>
      </c>
      <c r="F35" s="2474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2474" t="s">
        <v>707</v>
      </c>
      <c r="C37" s="2474"/>
      <c r="D37" s="2474"/>
      <c r="E37" s="2474"/>
      <c r="F37" s="2474"/>
      <c r="G37" s="5"/>
    </row>
    <row r="38" spans="1:7" ht="12" customHeight="1">
      <c r="A38" s="12" t="s">
        <v>708</v>
      </c>
      <c r="B38" s="2471" t="s">
        <v>709</v>
      </c>
      <c r="C38" s="2471"/>
      <c r="D38" s="2471"/>
      <c r="E38" s="2472" t="s">
        <v>710</v>
      </c>
      <c r="F38" s="2472"/>
      <c r="G38" s="5"/>
    </row>
    <row r="39" spans="1:7" ht="12" customHeight="1">
      <c r="A39" s="12" t="s">
        <v>711</v>
      </c>
      <c r="B39" s="2473" t="s">
        <v>712</v>
      </c>
      <c r="C39" s="2473"/>
      <c r="D39" s="2473"/>
      <c r="E39" s="2473"/>
      <c r="F39" s="2473"/>
      <c r="G39" s="5"/>
    </row>
  </sheetData>
  <mergeCells count="14">
    <mergeCell ref="A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A29:F29"/>
    <mergeCell ref="E32:F32"/>
    <mergeCell ref="E35:F35"/>
    <mergeCell ref="B37:F37"/>
  </mergeCells>
  <pageMargins left="0.7" right="0.7" top="0.75" bottom="0.75" header="0.3" footer="0.3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200-000000000000}">
  <sheetPr codeName="Sheet235"/>
  <dimension ref="A1:G39"/>
  <sheetViews>
    <sheetView topLeftCell="A22" workbookViewId="0">
      <selection sqref="A1:G39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2589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720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775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679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2484" t="s">
        <v>685</v>
      </c>
      <c r="B9" s="2484"/>
      <c r="C9" s="2484"/>
      <c r="D9" s="2484"/>
      <c r="E9" s="2484"/>
      <c r="F9" s="2484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65" customHeight="1">
      <c r="A11" s="5"/>
      <c r="B11" s="4" t="s">
        <v>1927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2474" t="s">
        <v>702</v>
      </c>
      <c r="F12" s="2474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" customHeight="1">
      <c r="A14" s="5"/>
      <c r="B14" s="2" t="s">
        <v>1666</v>
      </c>
      <c r="C14" s="5"/>
      <c r="D14" s="2" t="s">
        <v>1483</v>
      </c>
      <c r="E14" s="2" t="s">
        <v>1928</v>
      </c>
      <c r="F14" s="5"/>
      <c r="G14" s="5"/>
    </row>
    <row r="15" spans="1:7" ht="12" customHeight="1">
      <c r="A15" s="5"/>
      <c r="B15" s="5"/>
      <c r="C15" s="5"/>
      <c r="D15" s="5"/>
      <c r="E15" s="2474" t="s">
        <v>705</v>
      </c>
      <c r="F15" s="2474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2474" t="s">
        <v>707</v>
      </c>
      <c r="C17" s="2474"/>
      <c r="D17" s="2474"/>
      <c r="E17" s="2474"/>
      <c r="F17" s="2474"/>
      <c r="G17" s="5"/>
    </row>
    <row r="18" spans="1:7" ht="12" customHeight="1">
      <c r="A18" s="12" t="s">
        <v>708</v>
      </c>
      <c r="B18" s="2471" t="s">
        <v>709</v>
      </c>
      <c r="C18" s="2471"/>
      <c r="D18" s="2471"/>
      <c r="E18" s="2472" t="s">
        <v>710</v>
      </c>
      <c r="F18" s="2472"/>
      <c r="G18" s="5"/>
    </row>
    <row r="19" spans="1:7" ht="12" customHeight="1">
      <c r="A19" s="12" t="s">
        <v>711</v>
      </c>
      <c r="B19" s="2473" t="s">
        <v>712</v>
      </c>
      <c r="C19" s="2473"/>
      <c r="D19" s="2473"/>
      <c r="E19" s="2473"/>
      <c r="F19" s="2473"/>
      <c r="G19" s="5"/>
    </row>
    <row r="20" spans="1:7" ht="12" customHeight="1">
      <c r="A20" s="12"/>
      <c r="B20" s="26"/>
      <c r="C20" s="26"/>
      <c r="D20" s="26"/>
      <c r="E20" s="26"/>
      <c r="F20" s="26"/>
      <c r="G20" s="5"/>
    </row>
    <row r="21" spans="1:7" ht="12" customHeight="1">
      <c r="A21" s="50" t="s">
        <v>2590</v>
      </c>
      <c r="B21" s="26"/>
      <c r="C21" s="26"/>
      <c r="D21" s="26"/>
      <c r="E21" s="26"/>
      <c r="F21" s="26"/>
      <c r="G21" s="5"/>
    </row>
    <row r="22" spans="1:7" ht="12" customHeight="1">
      <c r="A22" s="12"/>
      <c r="B22" s="26"/>
      <c r="C22" s="26"/>
      <c r="D22" s="26"/>
      <c r="E22" s="26"/>
      <c r="F22" s="26"/>
      <c r="G22" s="5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1929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1930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1931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2484" t="s">
        <v>685</v>
      </c>
      <c r="B29" s="2484"/>
      <c r="C29" s="2484"/>
      <c r="D29" s="2484"/>
      <c r="E29" s="2484"/>
      <c r="F29" s="2484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65" customHeight="1">
      <c r="A31" s="5"/>
      <c r="B31" s="4" t="s">
        <v>1932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2474" t="s">
        <v>702</v>
      </c>
      <c r="F32" s="2474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23.4" customHeight="1">
      <c r="A34" s="5"/>
      <c r="B34" s="2" t="s">
        <v>1666</v>
      </c>
      <c r="C34" s="5"/>
      <c r="D34" s="2" t="s">
        <v>1483</v>
      </c>
      <c r="E34" s="2" t="s">
        <v>1278</v>
      </c>
      <c r="F34" s="5"/>
      <c r="G34" s="5"/>
    </row>
    <row r="35" spans="1:7" ht="12" customHeight="1">
      <c r="A35" s="5"/>
      <c r="B35" s="5"/>
      <c r="C35" s="5"/>
      <c r="D35" s="5"/>
      <c r="E35" s="2474" t="s">
        <v>705</v>
      </c>
      <c r="F35" s="2474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2474" t="s">
        <v>707</v>
      </c>
      <c r="C37" s="2474"/>
      <c r="D37" s="2474"/>
      <c r="E37" s="2474"/>
      <c r="F37" s="2474"/>
      <c r="G37" s="5"/>
    </row>
    <row r="38" spans="1:7" ht="12" customHeight="1">
      <c r="A38" s="12" t="s">
        <v>708</v>
      </c>
      <c r="B38" s="2471" t="s">
        <v>709</v>
      </c>
      <c r="C38" s="2471"/>
      <c r="D38" s="2471"/>
      <c r="E38" s="2472" t="s">
        <v>710</v>
      </c>
      <c r="F38" s="2472"/>
      <c r="G38" s="5"/>
    </row>
    <row r="39" spans="1:7" ht="12" customHeight="1">
      <c r="A39" s="12" t="s">
        <v>711</v>
      </c>
      <c r="B39" s="2473" t="s">
        <v>712</v>
      </c>
      <c r="C39" s="2473"/>
      <c r="D39" s="2473"/>
      <c r="E39" s="2473"/>
      <c r="F39" s="2473"/>
      <c r="G39" s="5"/>
    </row>
  </sheetData>
  <mergeCells count="14">
    <mergeCell ref="A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A29:F29"/>
    <mergeCell ref="E32:F32"/>
    <mergeCell ref="E35:F35"/>
    <mergeCell ref="B37:F37"/>
  </mergeCells>
  <pageMargins left="0.7" right="0.7" top="0.75" bottom="0.75" header="0.3" footer="0.3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300-000000000000}">
  <sheetPr codeName="Sheet236"/>
  <dimension ref="A1:G39"/>
  <sheetViews>
    <sheetView topLeftCell="A22" workbookViewId="0">
      <selection sqref="A1:G39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2591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1929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1930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1931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2484" t="s">
        <v>685</v>
      </c>
      <c r="B9" s="2484"/>
      <c r="C9" s="2484"/>
      <c r="D9" s="2484"/>
      <c r="E9" s="2484"/>
      <c r="F9" s="2484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65" customHeight="1">
      <c r="A11" s="5"/>
      <c r="B11" s="4" t="s">
        <v>1933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2474" t="s">
        <v>702</v>
      </c>
      <c r="F12" s="2474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" customHeight="1">
      <c r="A14" s="5"/>
      <c r="B14" s="2" t="s">
        <v>1666</v>
      </c>
      <c r="C14" s="5"/>
      <c r="D14" s="2" t="s">
        <v>1483</v>
      </c>
      <c r="E14" s="2" t="s">
        <v>1278</v>
      </c>
      <c r="F14" s="5"/>
      <c r="G14" s="5"/>
    </row>
    <row r="15" spans="1:7" ht="12" customHeight="1">
      <c r="A15" s="5"/>
      <c r="B15" s="5"/>
      <c r="C15" s="5"/>
      <c r="D15" s="5"/>
      <c r="E15" s="2474" t="s">
        <v>705</v>
      </c>
      <c r="F15" s="2474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2474" t="s">
        <v>707</v>
      </c>
      <c r="C17" s="2474"/>
      <c r="D17" s="2474"/>
      <c r="E17" s="2474"/>
      <c r="F17" s="2474"/>
      <c r="G17" s="5"/>
    </row>
    <row r="18" spans="1:7" ht="12" customHeight="1">
      <c r="A18" s="12" t="s">
        <v>708</v>
      </c>
      <c r="B18" s="2471" t="s">
        <v>709</v>
      </c>
      <c r="C18" s="2471"/>
      <c r="D18" s="2471"/>
      <c r="E18" s="2472" t="s">
        <v>710</v>
      </c>
      <c r="F18" s="2472"/>
      <c r="G18" s="5"/>
    </row>
    <row r="19" spans="1:7" ht="12" customHeight="1">
      <c r="A19" s="12" t="s">
        <v>711</v>
      </c>
      <c r="B19" s="2473" t="s">
        <v>712</v>
      </c>
      <c r="C19" s="2473"/>
      <c r="D19" s="2473"/>
      <c r="E19" s="2473"/>
      <c r="F19" s="2473"/>
      <c r="G19" s="5"/>
    </row>
    <row r="20" spans="1:7" ht="12" customHeight="1">
      <c r="A20" s="12"/>
      <c r="B20" s="26"/>
      <c r="C20" s="26"/>
      <c r="D20" s="26"/>
      <c r="E20" s="26"/>
      <c r="F20" s="26"/>
      <c r="G20" s="5"/>
    </row>
    <row r="21" spans="1:7" ht="12" customHeight="1">
      <c r="A21" s="50" t="s">
        <v>2592</v>
      </c>
      <c r="B21" s="26"/>
      <c r="C21" s="26"/>
      <c r="D21" s="26"/>
      <c r="E21" s="26"/>
      <c r="F21" s="26"/>
      <c r="G21" s="5"/>
    </row>
    <row r="22" spans="1:7" ht="12" customHeight="1">
      <c r="A22" s="12"/>
      <c r="B22" s="26"/>
      <c r="C22" s="26"/>
      <c r="D22" s="26"/>
      <c r="E22" s="26"/>
      <c r="F22" s="26"/>
      <c r="G22" s="5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867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720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676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2484" t="s">
        <v>685</v>
      </c>
      <c r="B29" s="2484"/>
      <c r="C29" s="2484"/>
      <c r="D29" s="2484"/>
      <c r="E29" s="2484"/>
      <c r="F29" s="2484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65" customHeight="1">
      <c r="A31" s="5"/>
      <c r="B31" s="4" t="s">
        <v>1934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2474" t="s">
        <v>702</v>
      </c>
      <c r="F32" s="2474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23.4" customHeight="1">
      <c r="A34" s="5"/>
      <c r="B34" s="2" t="s">
        <v>1666</v>
      </c>
      <c r="C34" s="5"/>
      <c r="D34" s="2" t="s">
        <v>1483</v>
      </c>
      <c r="E34" s="2" t="s">
        <v>1278</v>
      </c>
      <c r="F34" s="5"/>
      <c r="G34" s="5"/>
    </row>
    <row r="35" spans="1:7" ht="12" customHeight="1">
      <c r="A35" s="5"/>
      <c r="B35" s="5"/>
      <c r="C35" s="5"/>
      <c r="D35" s="5"/>
      <c r="E35" s="2474" t="s">
        <v>705</v>
      </c>
      <c r="F35" s="2474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2474" t="s">
        <v>707</v>
      </c>
      <c r="C37" s="2474"/>
      <c r="D37" s="2474"/>
      <c r="E37" s="2474"/>
      <c r="F37" s="2474"/>
      <c r="G37" s="5"/>
    </row>
    <row r="38" spans="1:7" ht="12" customHeight="1">
      <c r="A38" s="12" t="s">
        <v>708</v>
      </c>
      <c r="B38" s="2471" t="s">
        <v>709</v>
      </c>
      <c r="C38" s="2471"/>
      <c r="D38" s="2471"/>
      <c r="E38" s="2472" t="s">
        <v>710</v>
      </c>
      <c r="F38" s="2472"/>
      <c r="G38" s="5"/>
    </row>
    <row r="39" spans="1:7" ht="12" customHeight="1">
      <c r="A39" s="12" t="s">
        <v>711</v>
      </c>
      <c r="B39" s="2473" t="s">
        <v>712</v>
      </c>
      <c r="C39" s="2473"/>
      <c r="D39" s="2473"/>
      <c r="E39" s="2473"/>
      <c r="F39" s="2473"/>
      <c r="G39" s="5"/>
    </row>
  </sheetData>
  <mergeCells count="14">
    <mergeCell ref="A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A29:F29"/>
    <mergeCell ref="E32:F32"/>
    <mergeCell ref="E35:F35"/>
    <mergeCell ref="B37:F37"/>
  </mergeCells>
  <pageMargins left="0.7" right="0.7" top="0.75" bottom="0.75" header="0.3" footer="0.3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400-000000000000}">
  <sheetPr codeName="Sheet237"/>
  <dimension ref="A1:G41"/>
  <sheetViews>
    <sheetView topLeftCell="A28" workbookViewId="0">
      <selection sqref="A1:G41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2593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1935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1936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1716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2484" t="s">
        <v>685</v>
      </c>
      <c r="B9" s="2484"/>
      <c r="C9" s="2484"/>
      <c r="D9" s="2484"/>
      <c r="E9" s="2484"/>
      <c r="F9" s="2484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65" customHeight="1">
      <c r="A11" s="5"/>
      <c r="B11" s="4" t="s">
        <v>1937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2474" t="s">
        <v>702</v>
      </c>
      <c r="F12" s="2474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" customHeight="1">
      <c r="A14" s="5"/>
      <c r="B14" s="2" t="s">
        <v>1666</v>
      </c>
      <c r="C14" s="5"/>
      <c r="D14" s="2" t="s">
        <v>1483</v>
      </c>
      <c r="E14" s="2" t="s">
        <v>1938</v>
      </c>
      <c r="F14" s="5"/>
      <c r="G14" s="5"/>
    </row>
    <row r="15" spans="1:7" ht="12" customHeight="1">
      <c r="A15" s="5"/>
      <c r="B15" s="4" t="s">
        <v>1939</v>
      </c>
      <c r="C15" s="5"/>
      <c r="D15" s="12" t="s">
        <v>1665</v>
      </c>
      <c r="E15" s="3" t="s">
        <v>718</v>
      </c>
      <c r="F15" s="5"/>
      <c r="G15" s="5"/>
    </row>
    <row r="16" spans="1:7" ht="12" customHeight="1">
      <c r="A16" s="5"/>
      <c r="B16" s="5"/>
      <c r="C16" s="5"/>
      <c r="D16" s="5"/>
      <c r="E16" s="2474" t="s">
        <v>705</v>
      </c>
      <c r="F16" s="2474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12" t="s">
        <v>706</v>
      </c>
      <c r="B18" s="2474" t="s">
        <v>707</v>
      </c>
      <c r="C18" s="2474"/>
      <c r="D18" s="2474"/>
      <c r="E18" s="2474"/>
      <c r="F18" s="2474"/>
      <c r="G18" s="5"/>
    </row>
    <row r="19" spans="1:7" ht="12" customHeight="1">
      <c r="A19" s="12" t="s">
        <v>708</v>
      </c>
      <c r="B19" s="2471" t="s">
        <v>709</v>
      </c>
      <c r="C19" s="2471"/>
      <c r="D19" s="2471"/>
      <c r="E19" s="2472" t="s">
        <v>710</v>
      </c>
      <c r="F19" s="2472"/>
      <c r="G19" s="5"/>
    </row>
    <row r="20" spans="1:7" ht="12" customHeight="1">
      <c r="A20" s="12" t="s">
        <v>711</v>
      </c>
      <c r="B20" s="2473" t="s">
        <v>712</v>
      </c>
      <c r="C20" s="2473"/>
      <c r="D20" s="2473"/>
      <c r="E20" s="2473"/>
      <c r="F20" s="2473"/>
      <c r="G20" s="5"/>
    </row>
    <row r="21" spans="1:7" ht="12" customHeight="1">
      <c r="A21" s="12"/>
      <c r="B21" s="26"/>
      <c r="C21" s="26"/>
      <c r="D21" s="26"/>
      <c r="E21" s="26"/>
      <c r="F21" s="26"/>
      <c r="G21" s="5"/>
    </row>
    <row r="22" spans="1:7" ht="12" customHeight="1">
      <c r="A22" s="50" t="s">
        <v>2594</v>
      </c>
      <c r="B22" s="26"/>
      <c r="C22" s="26"/>
      <c r="D22" s="26"/>
      <c r="E22" s="26"/>
      <c r="F22" s="26"/>
      <c r="G22" s="5"/>
    </row>
    <row r="23" spans="1:7" ht="12" customHeight="1">
      <c r="A23" s="12"/>
      <c r="B23" s="26"/>
      <c r="C23" s="26"/>
      <c r="D23" s="26"/>
      <c r="E23" s="26"/>
      <c r="F23" s="26"/>
      <c r="G23" s="5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1786</v>
      </c>
      <c r="F26" s="5"/>
      <c r="G26" s="5"/>
    </row>
    <row r="27" spans="1:7" ht="12" customHeight="1">
      <c r="A27" s="5"/>
      <c r="B27" s="3" t="s">
        <v>1480</v>
      </c>
      <c r="C27" s="3" t="s">
        <v>678</v>
      </c>
      <c r="D27" s="12" t="s">
        <v>675</v>
      </c>
      <c r="E27" s="3" t="s">
        <v>1787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2" t="s">
        <v>675</v>
      </c>
      <c r="E28" s="3" t="s">
        <v>1669</v>
      </c>
      <c r="F28" s="5"/>
      <c r="G28" s="5"/>
    </row>
    <row r="29" spans="1:7" ht="12" customHeight="1">
      <c r="A29" s="5"/>
      <c r="B29" s="5"/>
      <c r="C29" s="5"/>
      <c r="D29" s="5"/>
      <c r="E29" s="5"/>
      <c r="F29" s="5"/>
      <c r="G29" s="5"/>
    </row>
    <row r="30" spans="1:7" ht="12" customHeight="1">
      <c r="A30" s="2484" t="s">
        <v>685</v>
      </c>
      <c r="B30" s="2484"/>
      <c r="C30" s="2484"/>
      <c r="D30" s="2484"/>
      <c r="E30" s="2484"/>
      <c r="F30" s="2484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65" customHeight="1">
      <c r="A32" s="5"/>
      <c r="B32" s="4" t="s">
        <v>1940</v>
      </c>
      <c r="C32" s="5"/>
      <c r="D32" s="12" t="s">
        <v>1423</v>
      </c>
      <c r="E32" s="12">
        <v>1</v>
      </c>
      <c r="F32" s="5"/>
      <c r="G32" s="5"/>
    </row>
    <row r="33" spans="1:7" ht="12" customHeight="1">
      <c r="A33" s="5"/>
      <c r="B33" s="5"/>
      <c r="C33" s="5"/>
      <c r="D33" s="5"/>
      <c r="E33" s="2474" t="s">
        <v>702</v>
      </c>
      <c r="F33" s="2474"/>
      <c r="G33" s="5"/>
    </row>
    <row r="34" spans="1:7" ht="12" customHeight="1">
      <c r="A34" s="12" t="s">
        <v>703</v>
      </c>
      <c r="B34" s="3" t="s">
        <v>704</v>
      </c>
      <c r="C34" s="5"/>
      <c r="D34" s="5"/>
      <c r="E34" s="5"/>
      <c r="F34" s="5"/>
      <c r="G34" s="5"/>
    </row>
    <row r="35" spans="1:7" ht="23.4" customHeight="1">
      <c r="A35" s="5"/>
      <c r="B35" s="2" t="s">
        <v>1666</v>
      </c>
      <c r="C35" s="5"/>
      <c r="D35" s="2" t="s">
        <v>1483</v>
      </c>
      <c r="E35" s="2" t="s">
        <v>1928</v>
      </c>
      <c r="F35" s="5"/>
      <c r="G35" s="5"/>
    </row>
    <row r="36" spans="1:7" ht="12" customHeight="1">
      <c r="A36" s="5"/>
      <c r="B36" s="4" t="s">
        <v>1939</v>
      </c>
      <c r="C36" s="5"/>
      <c r="D36" s="12" t="s">
        <v>1665</v>
      </c>
      <c r="E36" s="3" t="s">
        <v>802</v>
      </c>
      <c r="F36" s="5"/>
      <c r="G36" s="5"/>
    </row>
    <row r="37" spans="1:7" ht="12" customHeight="1">
      <c r="A37" s="5"/>
      <c r="B37" s="5"/>
      <c r="C37" s="5"/>
      <c r="D37" s="5"/>
      <c r="E37" s="2474" t="s">
        <v>705</v>
      </c>
      <c r="F37" s="2474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2474" t="s">
        <v>707</v>
      </c>
      <c r="C39" s="2474"/>
      <c r="D39" s="2474"/>
      <c r="E39" s="2474"/>
      <c r="F39" s="2474"/>
      <c r="G39" s="5"/>
    </row>
    <row r="40" spans="1:7" ht="12" customHeight="1">
      <c r="A40" s="12" t="s">
        <v>708</v>
      </c>
      <c r="B40" s="2471" t="s">
        <v>709</v>
      </c>
      <c r="C40" s="2471"/>
      <c r="D40" s="2471"/>
      <c r="E40" s="2472" t="s">
        <v>710</v>
      </c>
      <c r="F40" s="2472"/>
      <c r="G40" s="5"/>
    </row>
    <row r="41" spans="1:7" ht="12" customHeight="1">
      <c r="A41" s="12" t="s">
        <v>711</v>
      </c>
      <c r="B41" s="2473" t="s">
        <v>712</v>
      </c>
      <c r="C41" s="2473"/>
      <c r="D41" s="2473"/>
      <c r="E41" s="2473"/>
      <c r="F41" s="2473"/>
      <c r="G41" s="5"/>
    </row>
  </sheetData>
  <mergeCells count="14">
    <mergeCell ref="A9:F9"/>
    <mergeCell ref="E12:F12"/>
    <mergeCell ref="E16:F16"/>
    <mergeCell ref="B18:F18"/>
    <mergeCell ref="B19:D19"/>
    <mergeCell ref="E19:F19"/>
    <mergeCell ref="B40:D40"/>
    <mergeCell ref="E40:F40"/>
    <mergeCell ref="B41:F41"/>
    <mergeCell ref="B20:F20"/>
    <mergeCell ref="A30:F30"/>
    <mergeCell ref="E33:F33"/>
    <mergeCell ref="E37:F37"/>
    <mergeCell ref="B39:F39"/>
  </mergeCells>
  <pageMargins left="0.7" right="0.7" top="0.75" bottom="0.75" header="0.3" footer="0.3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500-000000000000}">
  <sheetPr codeName="Sheet238"/>
  <dimension ref="A1:G41"/>
  <sheetViews>
    <sheetView workbookViewId="0">
      <selection activeCell="G41" sqref="A1:G41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2595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1941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1567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1942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2484" t="s">
        <v>685</v>
      </c>
      <c r="B9" s="2484"/>
      <c r="C9" s="2484"/>
      <c r="D9" s="2484"/>
      <c r="E9" s="2484"/>
      <c r="F9" s="2484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65" customHeight="1">
      <c r="A11" s="5"/>
      <c r="B11" s="4" t="s">
        <v>1943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2474" t="s">
        <v>702</v>
      </c>
      <c r="F12" s="2474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" customHeight="1">
      <c r="A14" s="5"/>
      <c r="B14" s="2" t="s">
        <v>1666</v>
      </c>
      <c r="C14" s="5"/>
      <c r="D14" s="2" t="s">
        <v>1483</v>
      </c>
      <c r="E14" s="2" t="s">
        <v>1928</v>
      </c>
      <c r="F14" s="5"/>
      <c r="G14" s="5"/>
    </row>
    <row r="15" spans="1:7" ht="12" customHeight="1">
      <c r="A15" s="5"/>
      <c r="B15" s="4" t="s">
        <v>1939</v>
      </c>
      <c r="C15" s="5"/>
      <c r="D15" s="12" t="s">
        <v>1665</v>
      </c>
      <c r="E15" s="3" t="s">
        <v>802</v>
      </c>
      <c r="F15" s="5"/>
      <c r="G15" s="5"/>
    </row>
    <row r="16" spans="1:7" ht="12" customHeight="1">
      <c r="A16" s="5"/>
      <c r="B16" s="5"/>
      <c r="C16" s="5"/>
      <c r="D16" s="5"/>
      <c r="E16" s="2474" t="s">
        <v>705</v>
      </c>
      <c r="F16" s="2474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12" t="s">
        <v>706</v>
      </c>
      <c r="B18" s="2474" t="s">
        <v>707</v>
      </c>
      <c r="C18" s="2474"/>
      <c r="D18" s="2474"/>
      <c r="E18" s="2474"/>
      <c r="F18" s="2474"/>
      <c r="G18" s="5"/>
    </row>
    <row r="19" spans="1:7" ht="12" customHeight="1">
      <c r="A19" s="12" t="s">
        <v>708</v>
      </c>
      <c r="B19" s="2471" t="s">
        <v>709</v>
      </c>
      <c r="C19" s="2471"/>
      <c r="D19" s="2471"/>
      <c r="E19" s="2472" t="s">
        <v>710</v>
      </c>
      <c r="F19" s="2472"/>
      <c r="G19" s="5"/>
    </row>
    <row r="20" spans="1:7" ht="12" customHeight="1">
      <c r="A20" s="12" t="s">
        <v>711</v>
      </c>
      <c r="B20" s="2473" t="s">
        <v>712</v>
      </c>
      <c r="C20" s="2473"/>
      <c r="D20" s="2473"/>
      <c r="E20" s="2473"/>
      <c r="F20" s="2473"/>
      <c r="G20" s="5"/>
    </row>
    <row r="21" spans="1:7" ht="12" customHeight="1">
      <c r="A21" s="12"/>
      <c r="B21" s="26"/>
      <c r="C21" s="26"/>
      <c r="D21" s="26"/>
      <c r="E21" s="26"/>
      <c r="F21" s="26"/>
      <c r="G21" s="5"/>
    </row>
    <row r="22" spans="1:7" ht="12" customHeight="1">
      <c r="A22" s="50" t="s">
        <v>2596</v>
      </c>
      <c r="B22" s="26"/>
      <c r="C22" s="26"/>
      <c r="D22" s="26"/>
      <c r="E22" s="26"/>
      <c r="F22" s="26"/>
      <c r="G22" s="5"/>
    </row>
    <row r="23" spans="1:7" ht="12" customHeight="1">
      <c r="A23" s="12"/>
      <c r="B23" s="26"/>
      <c r="C23" s="26"/>
      <c r="D23" s="26"/>
      <c r="E23" s="26"/>
      <c r="F23" s="26"/>
      <c r="G23" s="5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1921</v>
      </c>
      <c r="F26" s="5"/>
      <c r="G26" s="5"/>
    </row>
    <row r="27" spans="1:7" ht="12" customHeight="1">
      <c r="A27" s="5"/>
      <c r="B27" s="3" t="s">
        <v>1480</v>
      </c>
      <c r="C27" s="3" t="s">
        <v>678</v>
      </c>
      <c r="D27" s="12" t="s">
        <v>675</v>
      </c>
      <c r="E27" s="3" t="s">
        <v>1922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2" t="s">
        <v>675</v>
      </c>
      <c r="E28" s="3" t="s">
        <v>1648</v>
      </c>
      <c r="F28" s="5"/>
      <c r="G28" s="5"/>
    </row>
    <row r="29" spans="1:7" ht="12" customHeight="1">
      <c r="A29" s="5"/>
      <c r="B29" s="5"/>
      <c r="C29" s="5"/>
      <c r="D29" s="5"/>
      <c r="E29" s="5"/>
      <c r="F29" s="5"/>
      <c r="G29" s="5"/>
    </row>
    <row r="30" spans="1:7" ht="12" customHeight="1">
      <c r="A30" s="2484" t="s">
        <v>685</v>
      </c>
      <c r="B30" s="2484"/>
      <c r="C30" s="2484"/>
      <c r="D30" s="2484"/>
      <c r="E30" s="2484"/>
      <c r="F30" s="2484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65" customHeight="1">
      <c r="A32" s="5"/>
      <c r="B32" s="4" t="s">
        <v>1944</v>
      </c>
      <c r="C32" s="5"/>
      <c r="D32" s="12" t="s">
        <v>1423</v>
      </c>
      <c r="E32" s="12">
        <v>1</v>
      </c>
      <c r="F32" s="5"/>
      <c r="G32" s="5"/>
    </row>
    <row r="33" spans="1:7" ht="12" customHeight="1">
      <c r="A33" s="5"/>
      <c r="B33" s="5"/>
      <c r="C33" s="5"/>
      <c r="D33" s="5"/>
      <c r="E33" s="2474" t="s">
        <v>702</v>
      </c>
      <c r="F33" s="2474"/>
      <c r="G33" s="5"/>
    </row>
    <row r="34" spans="1:7" ht="12" customHeight="1">
      <c r="A34" s="12" t="s">
        <v>703</v>
      </c>
      <c r="B34" s="3" t="s">
        <v>704</v>
      </c>
      <c r="C34" s="5"/>
      <c r="D34" s="5"/>
      <c r="E34" s="5"/>
      <c r="F34" s="5"/>
      <c r="G34" s="5"/>
    </row>
    <row r="35" spans="1:7" ht="23.4" customHeight="1">
      <c r="A35" s="5"/>
      <c r="B35" s="2" t="s">
        <v>1666</v>
      </c>
      <c r="C35" s="5"/>
      <c r="D35" s="2" t="s">
        <v>1483</v>
      </c>
      <c r="E35" s="2" t="s">
        <v>1945</v>
      </c>
      <c r="F35" s="5"/>
      <c r="G35" s="5"/>
    </row>
    <row r="36" spans="1:7" ht="12" customHeight="1">
      <c r="A36" s="5"/>
      <c r="B36" s="4" t="s">
        <v>1939</v>
      </c>
      <c r="C36" s="5"/>
      <c r="D36" s="12" t="s">
        <v>1665</v>
      </c>
      <c r="E36" s="3" t="s">
        <v>793</v>
      </c>
      <c r="F36" s="5"/>
      <c r="G36" s="5"/>
    </row>
    <row r="37" spans="1:7" ht="12" customHeight="1">
      <c r="A37" s="5"/>
      <c r="B37" s="5"/>
      <c r="C37" s="5"/>
      <c r="D37" s="5"/>
      <c r="E37" s="2474" t="s">
        <v>705</v>
      </c>
      <c r="F37" s="2474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2474" t="s">
        <v>707</v>
      </c>
      <c r="C39" s="2474"/>
      <c r="D39" s="2474"/>
      <c r="E39" s="2474"/>
      <c r="F39" s="2474"/>
      <c r="G39" s="5"/>
    </row>
    <row r="40" spans="1:7" ht="12" customHeight="1">
      <c r="A40" s="12" t="s">
        <v>708</v>
      </c>
      <c r="B40" s="2471" t="s">
        <v>709</v>
      </c>
      <c r="C40" s="2471"/>
      <c r="D40" s="2471"/>
      <c r="E40" s="2472" t="s">
        <v>710</v>
      </c>
      <c r="F40" s="2472"/>
      <c r="G40" s="5"/>
    </row>
    <row r="41" spans="1:7" ht="12" customHeight="1">
      <c r="A41" s="12" t="s">
        <v>711</v>
      </c>
      <c r="B41" s="2473" t="s">
        <v>712</v>
      </c>
      <c r="C41" s="2473"/>
      <c r="D41" s="2473"/>
      <c r="E41" s="2473"/>
      <c r="F41" s="2473"/>
      <c r="G41" s="5"/>
    </row>
  </sheetData>
  <mergeCells count="14">
    <mergeCell ref="A9:F9"/>
    <mergeCell ref="E12:F12"/>
    <mergeCell ref="E16:F16"/>
    <mergeCell ref="B18:F18"/>
    <mergeCell ref="B19:D19"/>
    <mergeCell ref="E19:F19"/>
    <mergeCell ref="B40:D40"/>
    <mergeCell ref="E40:F40"/>
    <mergeCell ref="B41:F41"/>
    <mergeCell ref="B20:F20"/>
    <mergeCell ref="A30:F30"/>
    <mergeCell ref="E33:F33"/>
    <mergeCell ref="E37:F37"/>
    <mergeCell ref="B39:F39"/>
  </mergeCells>
  <pageMargins left="0.7" right="0.7" top="0.75" bottom="0.75" header="0.3" footer="0.3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600-000000000000}">
  <sheetPr codeName="Sheet239"/>
  <dimension ref="A1:G41"/>
  <sheetViews>
    <sheetView workbookViewId="0">
      <selection activeCell="G41" sqref="A1:G41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2597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1946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1947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1948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2484" t="s">
        <v>685</v>
      </c>
      <c r="B9" s="2484"/>
      <c r="C9" s="2484"/>
      <c r="D9" s="2484"/>
      <c r="E9" s="2484"/>
      <c r="F9" s="2484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65" customHeight="1">
      <c r="A11" s="5"/>
      <c r="B11" s="4" t="s">
        <v>1949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2474" t="s">
        <v>702</v>
      </c>
      <c r="F12" s="2474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" customHeight="1">
      <c r="A14" s="5"/>
      <c r="B14" s="2" t="s">
        <v>1666</v>
      </c>
      <c r="C14" s="5"/>
      <c r="D14" s="2" t="s">
        <v>1483</v>
      </c>
      <c r="E14" s="2" t="s">
        <v>1278</v>
      </c>
      <c r="F14" s="5"/>
      <c r="G14" s="5"/>
    </row>
    <row r="15" spans="1:7" ht="12" customHeight="1">
      <c r="A15" s="5"/>
      <c r="B15" s="4" t="s">
        <v>1939</v>
      </c>
      <c r="C15" s="5"/>
      <c r="D15" s="12" t="s">
        <v>1665</v>
      </c>
      <c r="E15" s="3" t="s">
        <v>775</v>
      </c>
      <c r="F15" s="5"/>
      <c r="G15" s="5"/>
    </row>
    <row r="16" spans="1:7" ht="12" customHeight="1">
      <c r="A16" s="5"/>
      <c r="B16" s="5"/>
      <c r="C16" s="5"/>
      <c r="D16" s="5"/>
      <c r="E16" s="2474" t="s">
        <v>705</v>
      </c>
      <c r="F16" s="2474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12" t="s">
        <v>706</v>
      </c>
      <c r="B18" s="2474" t="s">
        <v>707</v>
      </c>
      <c r="C18" s="2474"/>
      <c r="D18" s="2474"/>
      <c r="E18" s="2474"/>
      <c r="F18" s="2474"/>
      <c r="G18" s="5"/>
    </row>
    <row r="19" spans="1:7" ht="12" customHeight="1">
      <c r="A19" s="12" t="s">
        <v>708</v>
      </c>
      <c r="B19" s="2471" t="s">
        <v>709</v>
      </c>
      <c r="C19" s="2471"/>
      <c r="D19" s="2471"/>
      <c r="E19" s="2472" t="s">
        <v>710</v>
      </c>
      <c r="F19" s="2472"/>
      <c r="G19" s="5"/>
    </row>
    <row r="20" spans="1:7" ht="12" customHeight="1">
      <c r="A20" s="12" t="s">
        <v>711</v>
      </c>
      <c r="B20" s="2473" t="s">
        <v>712</v>
      </c>
      <c r="C20" s="2473"/>
      <c r="D20" s="2473"/>
      <c r="E20" s="2473"/>
      <c r="F20" s="2473"/>
      <c r="G20" s="5"/>
    </row>
    <row r="21" spans="1:7" ht="12" customHeight="1">
      <c r="A21" s="12"/>
      <c r="B21" s="26"/>
      <c r="C21" s="26"/>
      <c r="D21" s="26"/>
      <c r="E21" s="26"/>
      <c r="F21" s="26"/>
      <c r="G21" s="5"/>
    </row>
    <row r="22" spans="1:7" ht="12" customHeight="1">
      <c r="A22" s="50" t="s">
        <v>2598</v>
      </c>
      <c r="B22" s="26"/>
      <c r="C22" s="26"/>
      <c r="D22" s="26"/>
      <c r="E22" s="26"/>
      <c r="F22" s="26"/>
      <c r="G22" s="5"/>
    </row>
    <row r="23" spans="1:7" ht="12" customHeight="1">
      <c r="A23" s="12"/>
      <c r="B23" s="26"/>
      <c r="C23" s="26"/>
      <c r="D23" s="26"/>
      <c r="E23" s="26"/>
      <c r="F23" s="26"/>
      <c r="G23" s="5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879</v>
      </c>
      <c r="F26" s="5"/>
      <c r="G26" s="5"/>
    </row>
    <row r="27" spans="1:7" ht="12" customHeight="1">
      <c r="A27" s="5"/>
      <c r="B27" s="3" t="s">
        <v>1480</v>
      </c>
      <c r="C27" s="3" t="s">
        <v>678</v>
      </c>
      <c r="D27" s="12" t="s">
        <v>675</v>
      </c>
      <c r="E27" s="3" t="s">
        <v>756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2" t="s">
        <v>675</v>
      </c>
      <c r="E28" s="3" t="s">
        <v>718</v>
      </c>
      <c r="F28" s="5"/>
      <c r="G28" s="5"/>
    </row>
    <row r="29" spans="1:7" ht="12" customHeight="1">
      <c r="A29" s="5"/>
      <c r="B29" s="5"/>
      <c r="C29" s="5"/>
      <c r="D29" s="5"/>
      <c r="E29" s="5"/>
      <c r="F29" s="5"/>
      <c r="G29" s="5"/>
    </row>
    <row r="30" spans="1:7" ht="12" customHeight="1">
      <c r="A30" s="2484" t="s">
        <v>685</v>
      </c>
      <c r="B30" s="2484"/>
      <c r="C30" s="2484"/>
      <c r="D30" s="2484"/>
      <c r="E30" s="2484"/>
      <c r="F30" s="2484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65" customHeight="1">
      <c r="A32" s="5"/>
      <c r="B32" s="4" t="s">
        <v>1950</v>
      </c>
      <c r="C32" s="5"/>
      <c r="D32" s="12" t="s">
        <v>1423</v>
      </c>
      <c r="E32" s="12">
        <v>1</v>
      </c>
      <c r="F32" s="5"/>
      <c r="G32" s="5"/>
    </row>
    <row r="33" spans="1:7" ht="12" customHeight="1">
      <c r="A33" s="5"/>
      <c r="B33" s="5"/>
      <c r="C33" s="5"/>
      <c r="D33" s="5"/>
      <c r="E33" s="2474" t="s">
        <v>702</v>
      </c>
      <c r="F33" s="2474"/>
      <c r="G33" s="5"/>
    </row>
    <row r="34" spans="1:7" ht="12" customHeight="1">
      <c r="A34" s="12" t="s">
        <v>703</v>
      </c>
      <c r="B34" s="3" t="s">
        <v>704</v>
      </c>
      <c r="C34" s="5"/>
      <c r="D34" s="5"/>
      <c r="E34" s="5"/>
      <c r="F34" s="5"/>
      <c r="G34" s="5"/>
    </row>
    <row r="35" spans="1:7" ht="23.4" customHeight="1">
      <c r="A35" s="5"/>
      <c r="B35" s="2" t="s">
        <v>1666</v>
      </c>
      <c r="C35" s="5"/>
      <c r="D35" s="2" t="s">
        <v>1483</v>
      </c>
      <c r="E35" s="2" t="s">
        <v>1278</v>
      </c>
      <c r="F35" s="5"/>
      <c r="G35" s="5"/>
    </row>
    <row r="36" spans="1:7" ht="12" customHeight="1">
      <c r="A36" s="5"/>
      <c r="B36" s="4" t="s">
        <v>1939</v>
      </c>
      <c r="C36" s="5"/>
      <c r="D36" s="12" t="s">
        <v>1665</v>
      </c>
      <c r="E36" s="3" t="s">
        <v>775</v>
      </c>
      <c r="F36" s="5"/>
      <c r="G36" s="5"/>
    </row>
    <row r="37" spans="1:7" ht="12" customHeight="1">
      <c r="A37" s="5"/>
      <c r="B37" s="5"/>
      <c r="C37" s="5"/>
      <c r="D37" s="5"/>
      <c r="E37" s="2474" t="s">
        <v>705</v>
      </c>
      <c r="F37" s="2474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2474" t="s">
        <v>707</v>
      </c>
      <c r="C39" s="2474"/>
      <c r="D39" s="2474"/>
      <c r="E39" s="2474"/>
      <c r="F39" s="2474"/>
      <c r="G39" s="5"/>
    </row>
    <row r="40" spans="1:7" ht="12" customHeight="1">
      <c r="A40" s="12" t="s">
        <v>708</v>
      </c>
      <c r="B40" s="2471" t="s">
        <v>709</v>
      </c>
      <c r="C40" s="2471"/>
      <c r="D40" s="2471"/>
      <c r="E40" s="2472" t="s">
        <v>710</v>
      </c>
      <c r="F40" s="2472"/>
      <c r="G40" s="5"/>
    </row>
    <row r="41" spans="1:7" ht="12" customHeight="1">
      <c r="A41" s="12" t="s">
        <v>711</v>
      </c>
      <c r="B41" s="2473" t="s">
        <v>712</v>
      </c>
      <c r="C41" s="2473"/>
      <c r="D41" s="2473"/>
      <c r="E41" s="2473"/>
      <c r="F41" s="2473"/>
      <c r="G41" s="5"/>
    </row>
  </sheetData>
  <mergeCells count="14">
    <mergeCell ref="A9:F9"/>
    <mergeCell ref="E12:F12"/>
    <mergeCell ref="E16:F16"/>
    <mergeCell ref="B18:F18"/>
    <mergeCell ref="B19:D19"/>
    <mergeCell ref="E19:F19"/>
    <mergeCell ref="B40:D40"/>
    <mergeCell ref="E40:F40"/>
    <mergeCell ref="B41:F41"/>
    <mergeCell ref="B20:F20"/>
    <mergeCell ref="A30:F30"/>
    <mergeCell ref="E33:F33"/>
    <mergeCell ref="E37:F37"/>
    <mergeCell ref="B39:F39"/>
  </mergeCells>
  <pageMargins left="0.7" right="0.7" top="0.75" bottom="0.75" header="0.3" footer="0.3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700-000000000000}">
  <sheetPr codeName="Sheet240"/>
  <dimension ref="A1:G41"/>
  <sheetViews>
    <sheetView workbookViewId="0">
      <selection activeCell="G41" sqref="A1:G41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2599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879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756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718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2484" t="s">
        <v>685</v>
      </c>
      <c r="B9" s="2484"/>
      <c r="C9" s="2484"/>
      <c r="D9" s="2484"/>
      <c r="E9" s="2484"/>
      <c r="F9" s="2484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65" customHeight="1">
      <c r="A11" s="5"/>
      <c r="B11" s="4" t="s">
        <v>1951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2474" t="s">
        <v>702</v>
      </c>
      <c r="F12" s="2474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" customHeight="1">
      <c r="A14" s="5"/>
      <c r="B14" s="2" t="s">
        <v>1666</v>
      </c>
      <c r="C14" s="5"/>
      <c r="D14" s="2" t="s">
        <v>1483</v>
      </c>
      <c r="E14" s="2" t="s">
        <v>1278</v>
      </c>
      <c r="F14" s="5"/>
      <c r="G14" s="5"/>
    </row>
    <row r="15" spans="1:7" ht="12" customHeight="1">
      <c r="A15" s="5"/>
      <c r="B15" s="4" t="s">
        <v>1939</v>
      </c>
      <c r="C15" s="5"/>
      <c r="D15" s="12" t="s">
        <v>1665</v>
      </c>
      <c r="E15" s="3" t="s">
        <v>775</v>
      </c>
      <c r="F15" s="5"/>
      <c r="G15" s="5"/>
    </row>
    <row r="16" spans="1:7" ht="12" customHeight="1">
      <c r="A16" s="5"/>
      <c r="B16" s="5"/>
      <c r="C16" s="5"/>
      <c r="D16" s="5"/>
      <c r="E16" s="2474" t="s">
        <v>705</v>
      </c>
      <c r="F16" s="2474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12" t="s">
        <v>706</v>
      </c>
      <c r="B18" s="2474" t="s">
        <v>707</v>
      </c>
      <c r="C18" s="2474"/>
      <c r="D18" s="2474"/>
      <c r="E18" s="2474"/>
      <c r="F18" s="2474"/>
      <c r="G18" s="5"/>
    </row>
    <row r="19" spans="1:7" ht="12" customHeight="1">
      <c r="A19" s="12" t="s">
        <v>708</v>
      </c>
      <c r="B19" s="2471" t="s">
        <v>709</v>
      </c>
      <c r="C19" s="2471"/>
      <c r="D19" s="2471"/>
      <c r="E19" s="2472" t="s">
        <v>710</v>
      </c>
      <c r="F19" s="2472"/>
      <c r="G19" s="5"/>
    </row>
    <row r="20" spans="1:7" ht="12" customHeight="1">
      <c r="A20" s="12" t="s">
        <v>711</v>
      </c>
      <c r="B20" s="2473" t="s">
        <v>712</v>
      </c>
      <c r="C20" s="2473"/>
      <c r="D20" s="2473"/>
      <c r="E20" s="2473"/>
      <c r="F20" s="2473"/>
      <c r="G20" s="5"/>
    </row>
    <row r="21" spans="1:7" ht="12" customHeight="1">
      <c r="A21" s="12"/>
      <c r="B21" s="26"/>
      <c r="C21" s="26"/>
      <c r="D21" s="26"/>
      <c r="E21" s="26"/>
      <c r="F21" s="26"/>
      <c r="G21" s="5"/>
    </row>
    <row r="22" spans="1:7" ht="12" customHeight="1">
      <c r="A22" s="50" t="s">
        <v>2600</v>
      </c>
      <c r="B22" s="26"/>
      <c r="C22" s="26"/>
      <c r="D22" s="26"/>
      <c r="E22" s="26"/>
      <c r="F22" s="26"/>
      <c r="G22" s="5"/>
    </row>
    <row r="23" spans="1:7" ht="12" customHeight="1">
      <c r="A23" s="12"/>
      <c r="B23" s="26"/>
      <c r="C23" s="26"/>
      <c r="D23" s="26"/>
      <c r="E23" s="26"/>
      <c r="F23" s="26"/>
      <c r="G23" s="5"/>
    </row>
    <row r="24" spans="1:7" ht="34.950000000000003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1952</v>
      </c>
      <c r="F26" s="5"/>
      <c r="G26" s="5"/>
    </row>
    <row r="27" spans="1:7" ht="12" customHeight="1">
      <c r="A27" s="5"/>
      <c r="B27" s="3" t="s">
        <v>1480</v>
      </c>
      <c r="C27" s="3" t="s">
        <v>678</v>
      </c>
      <c r="D27" s="12" t="s">
        <v>675</v>
      </c>
      <c r="E27" s="3" t="s">
        <v>912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2" t="s">
        <v>675</v>
      </c>
      <c r="E28" s="3" t="s">
        <v>942</v>
      </c>
      <c r="F28" s="5"/>
      <c r="G28" s="5"/>
    </row>
    <row r="29" spans="1:7" ht="12" customHeight="1">
      <c r="A29" s="5"/>
      <c r="B29" s="5"/>
      <c r="C29" s="5"/>
      <c r="D29" s="5"/>
      <c r="E29" s="5"/>
      <c r="F29" s="5"/>
      <c r="G29" s="5"/>
    </row>
    <row r="30" spans="1:7" ht="12" customHeight="1">
      <c r="A30" s="2484" t="s">
        <v>685</v>
      </c>
      <c r="B30" s="2484"/>
      <c r="C30" s="2484"/>
      <c r="D30" s="2484"/>
      <c r="E30" s="2484"/>
      <c r="F30" s="2484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95" customHeight="1">
      <c r="A32" s="5"/>
      <c r="B32" s="4" t="s">
        <v>1953</v>
      </c>
      <c r="C32" s="5"/>
      <c r="D32" s="12" t="s">
        <v>1423</v>
      </c>
      <c r="E32" s="12">
        <v>1</v>
      </c>
      <c r="F32" s="5"/>
      <c r="G32" s="5"/>
    </row>
    <row r="33" spans="1:7" ht="12" customHeight="1">
      <c r="A33" s="5"/>
      <c r="B33" s="5"/>
      <c r="C33" s="5"/>
      <c r="D33" s="5"/>
      <c r="E33" s="2474" t="s">
        <v>702</v>
      </c>
      <c r="F33" s="2474"/>
      <c r="G33" s="5"/>
    </row>
    <row r="34" spans="1:7" ht="12" customHeight="1">
      <c r="A34" s="12" t="s">
        <v>703</v>
      </c>
      <c r="B34" s="3" t="s">
        <v>704</v>
      </c>
      <c r="C34" s="5"/>
      <c r="D34" s="5"/>
      <c r="E34" s="5"/>
      <c r="F34" s="5"/>
      <c r="G34" s="5"/>
    </row>
    <row r="35" spans="1:7" ht="23.4" customHeight="1">
      <c r="A35" s="5"/>
      <c r="B35" s="2" t="s">
        <v>1666</v>
      </c>
      <c r="C35" s="5"/>
      <c r="D35" s="2" t="s">
        <v>1483</v>
      </c>
      <c r="E35" s="2" t="s">
        <v>1322</v>
      </c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2474" t="s">
        <v>705</v>
      </c>
      <c r="F37" s="2474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2474" t="s">
        <v>707</v>
      </c>
      <c r="C39" s="2474"/>
      <c r="D39" s="2474"/>
      <c r="E39" s="2474"/>
      <c r="F39" s="2474"/>
      <c r="G39" s="5"/>
    </row>
    <row r="40" spans="1:7" ht="12" customHeight="1">
      <c r="A40" s="12" t="s">
        <v>708</v>
      </c>
      <c r="B40" s="2471" t="s">
        <v>709</v>
      </c>
      <c r="C40" s="2471"/>
      <c r="D40" s="2471"/>
      <c r="E40" s="2472" t="s">
        <v>710</v>
      </c>
      <c r="F40" s="2472"/>
      <c r="G40" s="5"/>
    </row>
    <row r="41" spans="1:7" ht="12" customHeight="1">
      <c r="A41" s="12" t="s">
        <v>711</v>
      </c>
      <c r="B41" s="2473" t="s">
        <v>712</v>
      </c>
      <c r="C41" s="2473"/>
      <c r="D41" s="2473"/>
      <c r="E41" s="2473"/>
      <c r="F41" s="2473"/>
      <c r="G41" s="5"/>
    </row>
  </sheetData>
  <mergeCells count="14">
    <mergeCell ref="A9:F9"/>
    <mergeCell ref="E12:F12"/>
    <mergeCell ref="E16:F16"/>
    <mergeCell ref="B18:F18"/>
    <mergeCell ref="B19:D19"/>
    <mergeCell ref="E19:F19"/>
    <mergeCell ref="B40:D40"/>
    <mergeCell ref="E40:F40"/>
    <mergeCell ref="B41:F41"/>
    <mergeCell ref="B20:F20"/>
    <mergeCell ref="A30:F30"/>
    <mergeCell ref="E33:F33"/>
    <mergeCell ref="E37:F37"/>
    <mergeCell ref="B39:F39"/>
  </mergeCells>
  <pageMargins left="0.7" right="0.7" top="0.75" bottom="0.75" header="0.3" footer="0.3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800-000000000000}">
  <sheetPr codeName="Sheet241"/>
  <dimension ref="A1:G41"/>
  <sheetViews>
    <sheetView topLeftCell="A25" workbookViewId="0">
      <selection sqref="A1:G41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5" t="s">
        <v>2601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1562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1460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895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2484" t="s">
        <v>685</v>
      </c>
      <c r="B9" s="2484"/>
      <c r="C9" s="2484"/>
      <c r="D9" s="2484"/>
      <c r="E9" s="2484"/>
      <c r="F9" s="2484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65" customHeight="1">
      <c r="A11" s="5"/>
      <c r="B11" s="4" t="s">
        <v>1954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2474" t="s">
        <v>702</v>
      </c>
      <c r="F12" s="2474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" customHeight="1">
      <c r="A14" s="5"/>
      <c r="B14" s="2" t="s">
        <v>1666</v>
      </c>
      <c r="C14" s="5"/>
      <c r="D14" s="2" t="s">
        <v>1483</v>
      </c>
      <c r="E14" s="2" t="s">
        <v>1955</v>
      </c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2474" t="s">
        <v>705</v>
      </c>
      <c r="F16" s="2474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12" t="s">
        <v>706</v>
      </c>
      <c r="B18" s="2474" t="s">
        <v>707</v>
      </c>
      <c r="C18" s="2474"/>
      <c r="D18" s="2474"/>
      <c r="E18" s="2474"/>
      <c r="F18" s="2474"/>
      <c r="G18" s="5"/>
    </row>
    <row r="19" spans="1:7" ht="12" customHeight="1">
      <c r="A19" s="12" t="s">
        <v>708</v>
      </c>
      <c r="B19" s="2471" t="s">
        <v>709</v>
      </c>
      <c r="C19" s="2471"/>
      <c r="D19" s="2471"/>
      <c r="E19" s="2472" t="s">
        <v>710</v>
      </c>
      <c r="F19" s="2472"/>
      <c r="G19" s="5"/>
    </row>
    <row r="20" spans="1:7" ht="12" customHeight="1">
      <c r="A20" s="12" t="s">
        <v>711</v>
      </c>
      <c r="B20" s="2473" t="s">
        <v>712</v>
      </c>
      <c r="C20" s="2473"/>
      <c r="D20" s="2473"/>
      <c r="E20" s="2473"/>
      <c r="F20" s="2473"/>
      <c r="G20" s="5"/>
    </row>
    <row r="21" spans="1:7" ht="12" customHeight="1">
      <c r="A21" s="12"/>
      <c r="B21" s="26"/>
      <c r="C21" s="26"/>
      <c r="D21" s="26"/>
      <c r="E21" s="26"/>
      <c r="F21" s="26"/>
      <c r="G21" s="5"/>
    </row>
    <row r="22" spans="1:7" ht="12" customHeight="1">
      <c r="A22" s="50" t="s">
        <v>2602</v>
      </c>
      <c r="B22" s="26"/>
      <c r="C22" s="26"/>
      <c r="D22" s="26"/>
      <c r="E22" s="26"/>
      <c r="F22" s="26"/>
      <c r="G22" s="5"/>
    </row>
    <row r="23" spans="1:7" ht="12" customHeight="1">
      <c r="A23" s="12"/>
      <c r="B23" s="26"/>
      <c r="C23" s="26"/>
      <c r="D23" s="26"/>
      <c r="E23" s="26"/>
      <c r="F23" s="26"/>
      <c r="G23" s="5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1956</v>
      </c>
      <c r="F26" s="5"/>
      <c r="G26" s="5"/>
    </row>
    <row r="27" spans="1:7" ht="12" customHeight="1">
      <c r="A27" s="5"/>
      <c r="B27" s="3" t="s">
        <v>1480</v>
      </c>
      <c r="C27" s="3" t="s">
        <v>678</v>
      </c>
      <c r="D27" s="12" t="s">
        <v>675</v>
      </c>
      <c r="E27" s="3" t="s">
        <v>1957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2" t="s">
        <v>675</v>
      </c>
      <c r="E28" s="3" t="s">
        <v>863</v>
      </c>
      <c r="F28" s="5"/>
      <c r="G28" s="5"/>
    </row>
    <row r="29" spans="1:7" ht="12" customHeight="1">
      <c r="A29" s="5"/>
      <c r="B29" s="5"/>
      <c r="C29" s="5"/>
      <c r="D29" s="5"/>
      <c r="E29" s="5"/>
      <c r="F29" s="5"/>
      <c r="G29" s="5"/>
    </row>
    <row r="30" spans="1:7" ht="12" customHeight="1">
      <c r="A30" s="2484" t="s">
        <v>685</v>
      </c>
      <c r="B30" s="2484"/>
      <c r="C30" s="2484"/>
      <c r="D30" s="2484"/>
      <c r="E30" s="2484"/>
      <c r="F30" s="2484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65" customHeight="1">
      <c r="A32" s="5"/>
      <c r="B32" s="4" t="s">
        <v>1958</v>
      </c>
      <c r="C32" s="5"/>
      <c r="D32" s="12" t="s">
        <v>1423</v>
      </c>
      <c r="E32" s="12">
        <v>1</v>
      </c>
      <c r="F32" s="5"/>
      <c r="G32" s="5"/>
    </row>
    <row r="33" spans="1:7" ht="12" customHeight="1">
      <c r="A33" s="5"/>
      <c r="B33" s="5"/>
      <c r="C33" s="5"/>
      <c r="D33" s="5"/>
      <c r="E33" s="2474" t="s">
        <v>702</v>
      </c>
      <c r="F33" s="2474"/>
      <c r="G33" s="5"/>
    </row>
    <row r="34" spans="1:7" ht="12" customHeight="1">
      <c r="A34" s="12" t="s">
        <v>703</v>
      </c>
      <c r="B34" s="3" t="s">
        <v>704</v>
      </c>
      <c r="C34" s="5"/>
      <c r="D34" s="5"/>
      <c r="E34" s="5"/>
      <c r="F34" s="5"/>
      <c r="G34" s="5"/>
    </row>
    <row r="35" spans="1:7" ht="23.4" customHeight="1">
      <c r="A35" s="5"/>
      <c r="B35" s="2" t="s">
        <v>1666</v>
      </c>
      <c r="C35" s="5"/>
      <c r="D35" s="2" t="s">
        <v>1483</v>
      </c>
      <c r="E35" s="2" t="s">
        <v>1959</v>
      </c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2474" t="s">
        <v>705</v>
      </c>
      <c r="F37" s="2474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2474" t="s">
        <v>707</v>
      </c>
      <c r="C39" s="2474"/>
      <c r="D39" s="2474"/>
      <c r="E39" s="2474"/>
      <c r="F39" s="2474"/>
      <c r="G39" s="5"/>
    </row>
    <row r="40" spans="1:7" ht="12" customHeight="1">
      <c r="A40" s="12" t="s">
        <v>708</v>
      </c>
      <c r="B40" s="2471" t="s">
        <v>709</v>
      </c>
      <c r="C40" s="2471"/>
      <c r="D40" s="2471"/>
      <c r="E40" s="2472" t="s">
        <v>710</v>
      </c>
      <c r="F40" s="2472"/>
      <c r="G40" s="5"/>
    </row>
    <row r="41" spans="1:7" ht="12" customHeight="1">
      <c r="A41" s="12" t="s">
        <v>711</v>
      </c>
      <c r="B41" s="2473" t="s">
        <v>712</v>
      </c>
      <c r="C41" s="2473"/>
      <c r="D41" s="2473"/>
      <c r="E41" s="2473"/>
      <c r="F41" s="2473"/>
      <c r="G41" s="5"/>
    </row>
  </sheetData>
  <mergeCells count="14">
    <mergeCell ref="A9:F9"/>
    <mergeCell ref="E12:F12"/>
    <mergeCell ref="E16:F16"/>
    <mergeCell ref="B18:F18"/>
    <mergeCell ref="B19:D19"/>
    <mergeCell ref="E19:F19"/>
    <mergeCell ref="B40:D40"/>
    <mergeCell ref="E40:F40"/>
    <mergeCell ref="B41:F41"/>
    <mergeCell ref="B20:F20"/>
    <mergeCell ref="A30:F30"/>
    <mergeCell ref="E33:F33"/>
    <mergeCell ref="E37:F37"/>
    <mergeCell ref="B39:F39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7"/>
  <dimension ref="A1:G45"/>
  <sheetViews>
    <sheetView topLeftCell="A25" workbookViewId="0">
      <selection sqref="A1:G45"/>
    </sheetView>
  </sheetViews>
  <sheetFormatPr defaultRowHeight="14.4"/>
  <cols>
    <col min="1" max="1" width="5.33203125" customWidth="1"/>
    <col min="2" max="2" width="21" customWidth="1"/>
    <col min="3" max="3" width="8.44140625" customWidth="1"/>
    <col min="4" max="4" width="11.33203125" customWidth="1"/>
    <col min="5" max="5" width="14.6640625" customWidth="1"/>
    <col min="6" max="6" width="14.44140625" customWidth="1"/>
    <col min="7" max="7" width="21.44140625" customWidth="1"/>
  </cols>
  <sheetData>
    <row r="1" spans="1:7">
      <c r="A1" s="65" t="s">
        <v>2154</v>
      </c>
      <c r="B1" s="57"/>
      <c r="C1" s="57"/>
      <c r="D1" s="57"/>
      <c r="E1" s="57"/>
      <c r="F1" s="57"/>
      <c r="G1" s="57"/>
    </row>
    <row r="2" spans="1:7">
      <c r="A2" s="50"/>
    </row>
    <row r="3" spans="1:7" ht="31.5" customHeight="1">
      <c r="A3" s="9" t="s">
        <v>1003</v>
      </c>
      <c r="B3" s="19" t="s">
        <v>1004</v>
      </c>
      <c r="C3" s="9" t="s">
        <v>1005</v>
      </c>
      <c r="D3" s="9" t="s">
        <v>1006</v>
      </c>
      <c r="E3" s="9" t="s">
        <v>1007</v>
      </c>
      <c r="F3" s="8" t="s">
        <v>669</v>
      </c>
      <c r="G3" s="8" t="s">
        <v>670</v>
      </c>
    </row>
    <row r="4" spans="1:7" ht="10.95" customHeight="1">
      <c r="A4" s="10" t="s">
        <v>671</v>
      </c>
      <c r="B4" s="10" t="s">
        <v>672</v>
      </c>
      <c r="C4" s="5"/>
      <c r="D4" s="5"/>
      <c r="E4" s="5"/>
      <c r="F4" s="5"/>
      <c r="G4" s="5"/>
    </row>
    <row r="5" spans="1:7" ht="12.45" customHeight="1">
      <c r="A5" s="5"/>
      <c r="B5" s="10" t="s">
        <v>673</v>
      </c>
      <c r="C5" s="10" t="s">
        <v>674</v>
      </c>
      <c r="D5" s="11" t="s">
        <v>675</v>
      </c>
      <c r="E5" s="11" t="s">
        <v>718</v>
      </c>
      <c r="F5" s="5"/>
      <c r="G5" s="5"/>
    </row>
    <row r="6" spans="1:7" ht="12.45" customHeight="1">
      <c r="A6" s="5"/>
      <c r="B6" s="10" t="s">
        <v>816</v>
      </c>
      <c r="C6" s="10" t="s">
        <v>678</v>
      </c>
      <c r="D6" s="11" t="s">
        <v>675</v>
      </c>
      <c r="E6" s="11" t="s">
        <v>741</v>
      </c>
      <c r="F6" s="5"/>
      <c r="G6" s="5"/>
    </row>
    <row r="7" spans="1:7" ht="12.45" customHeight="1">
      <c r="A7" s="5"/>
      <c r="B7" s="10" t="s">
        <v>680</v>
      </c>
      <c r="C7" s="10" t="s">
        <v>681</v>
      </c>
      <c r="D7" s="11" t="s">
        <v>675</v>
      </c>
      <c r="E7" s="11" t="s">
        <v>779</v>
      </c>
      <c r="F7" s="5"/>
      <c r="G7" s="5"/>
    </row>
    <row r="8" spans="1:7" ht="12.45" customHeight="1">
      <c r="A8" s="5"/>
      <c r="B8" s="10" t="s">
        <v>683</v>
      </c>
      <c r="C8" s="10" t="s">
        <v>684</v>
      </c>
      <c r="D8" s="11" t="s">
        <v>675</v>
      </c>
      <c r="E8" s="11" t="s">
        <v>811</v>
      </c>
      <c r="F8" s="5"/>
      <c r="G8" s="5"/>
    </row>
    <row r="9" spans="1:7" ht="10.95" customHeight="1">
      <c r="A9" s="5"/>
      <c r="B9" s="5"/>
      <c r="C9" s="5"/>
      <c r="D9" s="5"/>
      <c r="E9" s="2477" t="s">
        <v>685</v>
      </c>
      <c r="F9" s="2477"/>
      <c r="G9" s="5"/>
    </row>
    <row r="10" spans="1:7" ht="10.95" customHeight="1">
      <c r="A10" s="10" t="s">
        <v>686</v>
      </c>
      <c r="B10" s="10" t="s">
        <v>687</v>
      </c>
      <c r="C10" s="5"/>
      <c r="D10" s="5"/>
      <c r="E10" s="5"/>
      <c r="F10" s="5"/>
      <c r="G10" s="5"/>
    </row>
    <row r="11" spans="1:7" ht="12.45" customHeight="1">
      <c r="A11" s="5"/>
      <c r="B11" s="10" t="s">
        <v>742</v>
      </c>
      <c r="C11" s="5"/>
      <c r="D11" s="11" t="s">
        <v>692</v>
      </c>
      <c r="E11" s="10" t="s">
        <v>1025</v>
      </c>
      <c r="F11" s="5"/>
      <c r="G11" s="5"/>
    </row>
    <row r="12" spans="1:7" ht="12.45" customHeight="1">
      <c r="A12" s="5"/>
      <c r="B12" s="10" t="s">
        <v>818</v>
      </c>
      <c r="C12" s="5"/>
      <c r="D12" s="11" t="s">
        <v>690</v>
      </c>
      <c r="E12" s="10" t="s">
        <v>880</v>
      </c>
      <c r="F12" s="5"/>
      <c r="G12" s="5"/>
    </row>
    <row r="13" spans="1:7" ht="12.45" customHeight="1">
      <c r="A13" s="5"/>
      <c r="B13" s="10" t="s">
        <v>806</v>
      </c>
      <c r="C13" s="5"/>
      <c r="D13" s="11" t="s">
        <v>692</v>
      </c>
      <c r="E13" s="10" t="s">
        <v>811</v>
      </c>
      <c r="F13" s="5"/>
      <c r="G13" s="5"/>
    </row>
    <row r="14" spans="1:7" ht="12.45" customHeight="1">
      <c r="A14" s="5"/>
      <c r="B14" s="10" t="s">
        <v>808</v>
      </c>
      <c r="C14" s="5"/>
      <c r="D14" s="11" t="s">
        <v>692</v>
      </c>
      <c r="E14" s="11" t="s">
        <v>801</v>
      </c>
      <c r="F14" s="5"/>
      <c r="G14" s="5"/>
    </row>
    <row r="15" spans="1:7" ht="10.95" customHeight="1">
      <c r="A15" s="5"/>
      <c r="B15" s="5"/>
      <c r="C15" s="5"/>
      <c r="D15" s="5"/>
      <c r="E15" s="2477" t="s">
        <v>702</v>
      </c>
      <c r="F15" s="2477"/>
      <c r="G15" s="5"/>
    </row>
    <row r="16" spans="1:7" ht="10.95" customHeight="1">
      <c r="A16" s="10" t="s">
        <v>703</v>
      </c>
      <c r="B16" s="10" t="s">
        <v>704</v>
      </c>
      <c r="C16" s="5"/>
      <c r="D16" s="5"/>
      <c r="E16" s="5"/>
      <c r="F16" s="5"/>
      <c r="G16" s="5"/>
    </row>
    <row r="17" spans="1:7" ht="10.95" customHeight="1">
      <c r="A17" s="5"/>
      <c r="B17" s="5"/>
      <c r="C17" s="5"/>
      <c r="D17" s="5"/>
      <c r="E17" s="5"/>
      <c r="F17" s="5"/>
      <c r="G17" s="5"/>
    </row>
    <row r="18" spans="1:7" ht="10.95" customHeight="1">
      <c r="A18" s="5"/>
      <c r="B18" s="5"/>
      <c r="C18" s="5"/>
      <c r="D18" s="5"/>
      <c r="E18" s="2477" t="s">
        <v>705</v>
      </c>
      <c r="F18" s="2477"/>
      <c r="G18" s="5"/>
    </row>
    <row r="19" spans="1:7" ht="10.95" customHeight="1">
      <c r="A19" s="5"/>
      <c r="B19" s="5"/>
      <c r="C19" s="5"/>
      <c r="D19" s="5"/>
      <c r="E19" s="5"/>
      <c r="F19" s="5"/>
      <c r="G19" s="5"/>
    </row>
    <row r="20" spans="1:7" ht="10.95" customHeight="1">
      <c r="A20" s="10" t="s">
        <v>706</v>
      </c>
      <c r="B20" s="2477" t="s">
        <v>707</v>
      </c>
      <c r="C20" s="2477"/>
      <c r="D20" s="2477"/>
      <c r="E20" s="2477"/>
      <c r="F20" s="2477"/>
      <c r="G20" s="5"/>
    </row>
    <row r="21" spans="1:7" ht="12" customHeight="1">
      <c r="A21" s="10" t="s">
        <v>708</v>
      </c>
      <c r="B21" s="2471" t="s">
        <v>876</v>
      </c>
      <c r="C21" s="2471"/>
      <c r="D21" s="2471"/>
      <c r="E21" s="2475" t="s">
        <v>710</v>
      </c>
      <c r="F21" s="2475"/>
      <c r="G21" s="5"/>
    </row>
    <row r="22" spans="1:7" ht="10.95" customHeight="1">
      <c r="A22" s="10" t="s">
        <v>711</v>
      </c>
      <c r="B22" s="2476" t="s">
        <v>712</v>
      </c>
      <c r="C22" s="2476"/>
      <c r="D22" s="2476"/>
      <c r="E22" s="2476"/>
      <c r="F22" s="2476"/>
      <c r="G22" s="5"/>
    </row>
    <row r="23" spans="1:7" ht="10.95" customHeight="1">
      <c r="A23" s="64"/>
      <c r="B23" s="27"/>
      <c r="C23" s="27"/>
      <c r="D23" s="27"/>
      <c r="E23" s="27"/>
      <c r="F23" s="27"/>
      <c r="G23" s="5"/>
    </row>
    <row r="24" spans="1:7" ht="16.5" customHeight="1">
      <c r="A24" s="65" t="s">
        <v>2155</v>
      </c>
      <c r="B24" s="63"/>
      <c r="C24" s="27"/>
      <c r="D24" s="27"/>
      <c r="E24" s="27"/>
      <c r="F24" s="27"/>
      <c r="G24" s="5"/>
    </row>
    <row r="25" spans="1:7" ht="10.95" customHeight="1">
      <c r="A25" s="51"/>
      <c r="B25" s="27"/>
      <c r="C25" s="27"/>
      <c r="D25" s="27"/>
      <c r="E25" s="27"/>
      <c r="F25" s="27"/>
      <c r="G25" s="5"/>
    </row>
    <row r="26" spans="1:7" ht="31.5" customHeight="1">
      <c r="A26" s="9" t="s">
        <v>1003</v>
      </c>
      <c r="B26" s="19" t="s">
        <v>1004</v>
      </c>
      <c r="C26" s="9" t="s">
        <v>1005</v>
      </c>
      <c r="D26" s="9" t="s">
        <v>1006</v>
      </c>
      <c r="E26" s="9" t="s">
        <v>1007</v>
      </c>
      <c r="F26" s="8" t="s">
        <v>669</v>
      </c>
      <c r="G26" s="8" t="s">
        <v>670</v>
      </c>
    </row>
    <row r="27" spans="1:7" ht="10.95" customHeight="1">
      <c r="A27" s="10" t="s">
        <v>671</v>
      </c>
      <c r="B27" s="10" t="s">
        <v>672</v>
      </c>
      <c r="C27" s="5"/>
      <c r="D27" s="5"/>
      <c r="E27" s="5"/>
      <c r="F27" s="5"/>
      <c r="G27" s="5"/>
    </row>
    <row r="28" spans="1:7" ht="12.45" customHeight="1">
      <c r="A28" s="5"/>
      <c r="B28" s="10" t="s">
        <v>673</v>
      </c>
      <c r="C28" s="10" t="s">
        <v>674</v>
      </c>
      <c r="D28" s="11" t="s">
        <v>675</v>
      </c>
      <c r="E28" s="11" t="s">
        <v>718</v>
      </c>
      <c r="F28" s="5"/>
      <c r="G28" s="5"/>
    </row>
    <row r="29" spans="1:7" ht="12.45" customHeight="1">
      <c r="A29" s="5"/>
      <c r="B29" s="10" t="s">
        <v>816</v>
      </c>
      <c r="C29" s="10" t="s">
        <v>678</v>
      </c>
      <c r="D29" s="11" t="s">
        <v>675</v>
      </c>
      <c r="E29" s="11" t="s">
        <v>741</v>
      </c>
      <c r="F29" s="5"/>
      <c r="G29" s="5"/>
    </row>
    <row r="30" spans="1:7" ht="12.45" customHeight="1">
      <c r="A30" s="5"/>
      <c r="B30" s="10" t="s">
        <v>680</v>
      </c>
      <c r="C30" s="10" t="s">
        <v>681</v>
      </c>
      <c r="D30" s="11" t="s">
        <v>675</v>
      </c>
      <c r="E30" s="11" t="s">
        <v>779</v>
      </c>
      <c r="F30" s="5"/>
      <c r="G30" s="5"/>
    </row>
    <row r="31" spans="1:7" ht="12.45" customHeight="1">
      <c r="A31" s="5"/>
      <c r="B31" s="10" t="s">
        <v>683</v>
      </c>
      <c r="C31" s="10" t="s">
        <v>684</v>
      </c>
      <c r="D31" s="11" t="s">
        <v>675</v>
      </c>
      <c r="E31" s="11" t="s">
        <v>811</v>
      </c>
      <c r="F31" s="5"/>
      <c r="G31" s="5"/>
    </row>
    <row r="32" spans="1:7" ht="10.95" customHeight="1">
      <c r="A32" s="5"/>
      <c r="B32" s="5"/>
      <c r="C32" s="5"/>
      <c r="D32" s="5"/>
      <c r="E32" s="2477" t="s">
        <v>685</v>
      </c>
      <c r="F32" s="2477"/>
      <c r="G32" s="5"/>
    </row>
    <row r="33" spans="1:7" ht="10.95" customHeight="1">
      <c r="A33" s="10" t="s">
        <v>686</v>
      </c>
      <c r="B33" s="10" t="s">
        <v>687</v>
      </c>
      <c r="C33" s="5"/>
      <c r="D33" s="5"/>
      <c r="E33" s="5"/>
      <c r="F33" s="5"/>
      <c r="G33" s="5"/>
    </row>
    <row r="34" spans="1:7" ht="12.45" customHeight="1">
      <c r="A34" s="5"/>
      <c r="B34" s="10" t="s">
        <v>742</v>
      </c>
      <c r="C34" s="5"/>
      <c r="D34" s="11" t="s">
        <v>692</v>
      </c>
      <c r="E34" s="10" t="s">
        <v>1025</v>
      </c>
      <c r="F34" s="5"/>
      <c r="G34" s="5"/>
    </row>
    <row r="35" spans="1:7" ht="12.45" customHeight="1">
      <c r="A35" s="5"/>
      <c r="B35" s="10" t="s">
        <v>1033</v>
      </c>
      <c r="C35" s="5"/>
      <c r="D35" s="11" t="s">
        <v>690</v>
      </c>
      <c r="E35" s="10" t="s">
        <v>865</v>
      </c>
      <c r="F35" s="5"/>
      <c r="G35" s="5"/>
    </row>
    <row r="36" spans="1:7" ht="12.45" customHeight="1">
      <c r="A36" s="5"/>
      <c r="B36" s="10" t="s">
        <v>806</v>
      </c>
      <c r="C36" s="5"/>
      <c r="D36" s="11" t="s">
        <v>692</v>
      </c>
      <c r="E36" s="11" t="s">
        <v>865</v>
      </c>
      <c r="F36" s="5"/>
      <c r="G36" s="5"/>
    </row>
    <row r="37" spans="1:7" ht="12.45" customHeight="1">
      <c r="A37" s="5"/>
      <c r="B37" s="10" t="s">
        <v>808</v>
      </c>
      <c r="C37" s="5"/>
      <c r="D37" s="11" t="s">
        <v>692</v>
      </c>
      <c r="E37" s="11" t="s">
        <v>865</v>
      </c>
      <c r="F37" s="5"/>
      <c r="G37" s="5"/>
    </row>
    <row r="38" spans="1:7" ht="10.95" customHeight="1">
      <c r="A38" s="5"/>
      <c r="B38" s="5"/>
      <c r="C38" s="5"/>
      <c r="D38" s="5"/>
      <c r="E38" s="2477" t="s">
        <v>702</v>
      </c>
      <c r="F38" s="2477"/>
      <c r="G38" s="5"/>
    </row>
    <row r="39" spans="1:7" ht="10.95" customHeight="1">
      <c r="A39" s="10" t="s">
        <v>703</v>
      </c>
      <c r="B39" s="10" t="s">
        <v>704</v>
      </c>
      <c r="C39" s="5"/>
      <c r="D39" s="5"/>
      <c r="E39" s="5"/>
      <c r="F39" s="5"/>
      <c r="G39" s="5"/>
    </row>
    <row r="40" spans="1:7" ht="10.95" customHeight="1">
      <c r="A40" s="5"/>
      <c r="B40" s="5"/>
      <c r="C40" s="5"/>
      <c r="D40" s="5"/>
      <c r="E40" s="5"/>
      <c r="F40" s="5"/>
      <c r="G40" s="5"/>
    </row>
    <row r="41" spans="1:7" ht="10.95" customHeight="1">
      <c r="A41" s="5"/>
      <c r="B41" s="5"/>
      <c r="C41" s="5"/>
      <c r="D41" s="5"/>
      <c r="E41" s="2477" t="s">
        <v>705</v>
      </c>
      <c r="F41" s="2477"/>
      <c r="G41" s="5"/>
    </row>
    <row r="42" spans="1:7" ht="10.95" customHeight="1">
      <c r="A42" s="5"/>
      <c r="B42" s="5"/>
      <c r="C42" s="5"/>
      <c r="D42" s="5"/>
      <c r="E42" s="5"/>
      <c r="F42" s="5"/>
      <c r="G42" s="5"/>
    </row>
    <row r="43" spans="1:7" ht="10.95" customHeight="1">
      <c r="A43" s="10" t="s">
        <v>706</v>
      </c>
      <c r="B43" s="2477" t="s">
        <v>707</v>
      </c>
      <c r="C43" s="2477"/>
      <c r="D43" s="2477"/>
      <c r="E43" s="2477"/>
      <c r="F43" s="2477"/>
      <c r="G43" s="5"/>
    </row>
    <row r="44" spans="1:7" ht="12" customHeight="1">
      <c r="A44" s="10" t="s">
        <v>708</v>
      </c>
      <c r="B44" s="2471" t="s">
        <v>876</v>
      </c>
      <c r="C44" s="2471"/>
      <c r="D44" s="2471"/>
      <c r="E44" s="2475" t="s">
        <v>710</v>
      </c>
      <c r="F44" s="2475"/>
      <c r="G44" s="5"/>
    </row>
    <row r="45" spans="1:7" ht="10.95" customHeight="1">
      <c r="A45" s="10" t="s">
        <v>711</v>
      </c>
      <c r="B45" s="2476" t="s">
        <v>712</v>
      </c>
      <c r="C45" s="2476"/>
      <c r="D45" s="2476"/>
      <c r="E45" s="2476"/>
      <c r="F45" s="2476"/>
      <c r="G45" s="5"/>
    </row>
  </sheetData>
  <mergeCells count="14">
    <mergeCell ref="E9:F9"/>
    <mergeCell ref="E15:F15"/>
    <mergeCell ref="E18:F18"/>
    <mergeCell ref="B20:F20"/>
    <mergeCell ref="B21:D21"/>
    <mergeCell ref="E21:F21"/>
    <mergeCell ref="B44:D44"/>
    <mergeCell ref="E44:F44"/>
    <mergeCell ref="B45:F45"/>
    <mergeCell ref="B22:F22"/>
    <mergeCell ref="E32:F32"/>
    <mergeCell ref="E38:F38"/>
    <mergeCell ref="E41:F41"/>
    <mergeCell ref="B43:F43"/>
  </mergeCells>
  <pageMargins left="0.7" right="0.7" top="0.75" bottom="0.75" header="0.3" footer="0.3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900-000000000000}">
  <sheetPr codeName="Sheet242"/>
  <dimension ref="A1:G41"/>
  <sheetViews>
    <sheetView topLeftCell="A28" workbookViewId="0">
      <selection sqref="A1:G41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2603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1960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1853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963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2484" t="s">
        <v>685</v>
      </c>
      <c r="B9" s="2484"/>
      <c r="C9" s="2484"/>
      <c r="D9" s="2484"/>
      <c r="E9" s="2484"/>
      <c r="F9" s="2484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65" customHeight="1">
      <c r="A11" s="5"/>
      <c r="B11" s="4" t="s">
        <v>1961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2474" t="s">
        <v>702</v>
      </c>
      <c r="F12" s="2474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" customHeight="1">
      <c r="A14" s="5"/>
      <c r="B14" s="2" t="s">
        <v>1666</v>
      </c>
      <c r="C14" s="5"/>
      <c r="D14" s="2" t="s">
        <v>1483</v>
      </c>
      <c r="E14" s="2" t="s">
        <v>1928</v>
      </c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2474" t="s">
        <v>705</v>
      </c>
      <c r="F16" s="2474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12" t="s">
        <v>706</v>
      </c>
      <c r="B18" s="2474" t="s">
        <v>707</v>
      </c>
      <c r="C18" s="2474"/>
      <c r="D18" s="2474"/>
      <c r="E18" s="2474"/>
      <c r="F18" s="2474"/>
      <c r="G18" s="5"/>
    </row>
    <row r="19" spans="1:7" ht="12" customHeight="1">
      <c r="A19" s="12" t="s">
        <v>708</v>
      </c>
      <c r="B19" s="2471" t="s">
        <v>709</v>
      </c>
      <c r="C19" s="2471"/>
      <c r="D19" s="2471"/>
      <c r="E19" s="2472" t="s">
        <v>710</v>
      </c>
      <c r="F19" s="2472"/>
      <c r="G19" s="5"/>
    </row>
    <row r="20" spans="1:7" ht="12" customHeight="1">
      <c r="A20" s="12" t="s">
        <v>711</v>
      </c>
      <c r="B20" s="2473" t="s">
        <v>712</v>
      </c>
      <c r="C20" s="2473"/>
      <c r="D20" s="2473"/>
      <c r="E20" s="2473"/>
      <c r="F20" s="2473"/>
      <c r="G20" s="5"/>
    </row>
    <row r="21" spans="1:7" ht="12" customHeight="1">
      <c r="A21" s="12"/>
      <c r="B21" s="26"/>
      <c r="C21" s="26"/>
      <c r="D21" s="26"/>
      <c r="E21" s="26"/>
      <c r="F21" s="26"/>
      <c r="G21" s="5"/>
    </row>
    <row r="22" spans="1:7" ht="12" customHeight="1">
      <c r="A22" s="50" t="s">
        <v>2604</v>
      </c>
      <c r="B22" s="26"/>
      <c r="C22" s="26"/>
      <c r="D22" s="26"/>
      <c r="E22" s="26"/>
      <c r="F22" s="26"/>
      <c r="G22" s="5"/>
    </row>
    <row r="23" spans="1:7" ht="12" customHeight="1">
      <c r="A23" s="12"/>
      <c r="B23" s="26"/>
      <c r="C23" s="26"/>
      <c r="D23" s="26"/>
      <c r="E23" s="26"/>
      <c r="F23" s="26"/>
      <c r="G23" s="5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1962</v>
      </c>
      <c r="F26" s="5"/>
      <c r="G26" s="5"/>
    </row>
    <row r="27" spans="1:7" ht="12" customHeight="1">
      <c r="A27" s="5"/>
      <c r="B27" s="3" t="s">
        <v>1480</v>
      </c>
      <c r="C27" s="3" t="s">
        <v>678</v>
      </c>
      <c r="D27" s="12" t="s">
        <v>675</v>
      </c>
      <c r="E27" s="3" t="s">
        <v>1963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2" t="s">
        <v>675</v>
      </c>
      <c r="E28" s="3" t="s">
        <v>1835</v>
      </c>
      <c r="F28" s="5"/>
      <c r="G28" s="5"/>
    </row>
    <row r="29" spans="1:7" ht="12" customHeight="1">
      <c r="A29" s="5"/>
      <c r="B29" s="5"/>
      <c r="C29" s="5"/>
      <c r="D29" s="5"/>
      <c r="E29" s="5"/>
      <c r="F29" s="5"/>
      <c r="G29" s="5"/>
    </row>
    <row r="30" spans="1:7" ht="12" customHeight="1">
      <c r="A30" s="2484" t="s">
        <v>685</v>
      </c>
      <c r="B30" s="2484"/>
      <c r="C30" s="2484"/>
      <c r="D30" s="2484"/>
      <c r="E30" s="2484"/>
      <c r="F30" s="2484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65" customHeight="1">
      <c r="A32" s="5"/>
      <c r="B32" s="4" t="s">
        <v>1964</v>
      </c>
      <c r="C32" s="5"/>
      <c r="D32" s="12" t="s">
        <v>1423</v>
      </c>
      <c r="E32" s="12">
        <v>1</v>
      </c>
      <c r="F32" s="5"/>
      <c r="G32" s="5"/>
    </row>
    <row r="33" spans="1:7" ht="12" customHeight="1">
      <c r="A33" s="5"/>
      <c r="B33" s="5"/>
      <c r="C33" s="5"/>
      <c r="D33" s="5"/>
      <c r="E33" s="2474" t="s">
        <v>702</v>
      </c>
      <c r="F33" s="2474"/>
      <c r="G33" s="5"/>
    </row>
    <row r="34" spans="1:7" ht="12" customHeight="1">
      <c r="A34" s="12" t="s">
        <v>703</v>
      </c>
      <c r="B34" s="3" t="s">
        <v>704</v>
      </c>
      <c r="C34" s="5"/>
      <c r="D34" s="5"/>
      <c r="E34" s="5"/>
      <c r="F34" s="5"/>
      <c r="G34" s="5"/>
    </row>
    <row r="35" spans="1:7" ht="23.4" customHeight="1">
      <c r="A35" s="5"/>
      <c r="B35" s="2" t="s">
        <v>1666</v>
      </c>
      <c r="C35" s="5"/>
      <c r="D35" s="2" t="s">
        <v>1483</v>
      </c>
      <c r="E35" s="2" t="s">
        <v>1928</v>
      </c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2474" t="s">
        <v>705</v>
      </c>
      <c r="F37" s="2474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2474" t="s">
        <v>707</v>
      </c>
      <c r="C39" s="2474"/>
      <c r="D39" s="2474"/>
      <c r="E39" s="2474"/>
      <c r="F39" s="2474"/>
      <c r="G39" s="5"/>
    </row>
    <row r="40" spans="1:7" ht="12" customHeight="1">
      <c r="A40" s="12" t="s">
        <v>708</v>
      </c>
      <c r="B40" s="2471" t="s">
        <v>709</v>
      </c>
      <c r="C40" s="2471"/>
      <c r="D40" s="2471"/>
      <c r="E40" s="2472" t="s">
        <v>710</v>
      </c>
      <c r="F40" s="2472"/>
      <c r="G40" s="5"/>
    </row>
    <row r="41" spans="1:7" ht="12" customHeight="1">
      <c r="A41" s="12" t="s">
        <v>711</v>
      </c>
      <c r="B41" s="2473" t="s">
        <v>712</v>
      </c>
      <c r="C41" s="2473"/>
      <c r="D41" s="2473"/>
      <c r="E41" s="2473"/>
      <c r="F41" s="2473"/>
      <c r="G41" s="5"/>
    </row>
  </sheetData>
  <mergeCells count="14">
    <mergeCell ref="A9:F9"/>
    <mergeCell ref="E12:F12"/>
    <mergeCell ref="E16:F16"/>
    <mergeCell ref="B18:F18"/>
    <mergeCell ref="B19:D19"/>
    <mergeCell ref="E19:F19"/>
    <mergeCell ref="B40:D40"/>
    <mergeCell ref="E40:F40"/>
    <mergeCell ref="B41:F41"/>
    <mergeCell ref="B20:F20"/>
    <mergeCell ref="A30:F30"/>
    <mergeCell ref="E33:F33"/>
    <mergeCell ref="E37:F37"/>
    <mergeCell ref="B39:F39"/>
  </mergeCells>
  <pageMargins left="0.7" right="0.7" top="0.75" bottom="0.75" header="0.3" footer="0.3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A00-000000000000}">
  <sheetPr codeName="Sheet243"/>
  <dimension ref="A1:G41"/>
  <sheetViews>
    <sheetView workbookViewId="0">
      <selection activeCell="G41" sqref="A1:G41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2605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1965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1966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1683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2484" t="s">
        <v>685</v>
      </c>
      <c r="B9" s="2484"/>
      <c r="C9" s="2484"/>
      <c r="D9" s="2484"/>
      <c r="E9" s="2484"/>
      <c r="F9" s="2484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65" customHeight="1">
      <c r="A11" s="5"/>
      <c r="B11" s="4" t="s">
        <v>1967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2474" t="s">
        <v>702</v>
      </c>
      <c r="F12" s="2474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" customHeight="1">
      <c r="A14" s="5"/>
      <c r="B14" s="2" t="s">
        <v>1666</v>
      </c>
      <c r="C14" s="5"/>
      <c r="D14" s="2" t="s">
        <v>1483</v>
      </c>
      <c r="E14" s="2" t="s">
        <v>1928</v>
      </c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2474" t="s">
        <v>705</v>
      </c>
      <c r="F16" s="2474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12" t="s">
        <v>706</v>
      </c>
      <c r="B18" s="2474" t="s">
        <v>707</v>
      </c>
      <c r="C18" s="2474"/>
      <c r="D18" s="2474"/>
      <c r="E18" s="2474"/>
      <c r="F18" s="2474"/>
      <c r="G18" s="5"/>
    </row>
    <row r="19" spans="1:7" ht="12" customHeight="1">
      <c r="A19" s="12" t="s">
        <v>708</v>
      </c>
      <c r="B19" s="2471" t="s">
        <v>709</v>
      </c>
      <c r="C19" s="2471"/>
      <c r="D19" s="2471"/>
      <c r="E19" s="2472" t="s">
        <v>710</v>
      </c>
      <c r="F19" s="2472"/>
      <c r="G19" s="5"/>
    </row>
    <row r="20" spans="1:7" ht="12" customHeight="1">
      <c r="A20" s="12" t="s">
        <v>711</v>
      </c>
      <c r="B20" s="2473" t="s">
        <v>712</v>
      </c>
      <c r="C20" s="2473"/>
      <c r="D20" s="2473"/>
      <c r="E20" s="2473"/>
      <c r="F20" s="2473"/>
      <c r="G20" s="5"/>
    </row>
    <row r="21" spans="1:7" ht="12" customHeight="1">
      <c r="A21" s="12"/>
      <c r="B21" s="26"/>
      <c r="C21" s="26"/>
      <c r="D21" s="26"/>
      <c r="E21" s="26"/>
      <c r="F21" s="26"/>
      <c r="G21" s="5"/>
    </row>
    <row r="22" spans="1:7" ht="12" customHeight="1">
      <c r="A22" s="50" t="s">
        <v>2606</v>
      </c>
      <c r="B22" s="26"/>
      <c r="C22" s="26"/>
      <c r="D22" s="26"/>
      <c r="E22" s="26"/>
      <c r="F22" s="26"/>
      <c r="G22" s="5"/>
    </row>
    <row r="23" spans="1:7" ht="12" customHeight="1">
      <c r="A23" s="12"/>
      <c r="B23" s="26"/>
      <c r="C23" s="26"/>
      <c r="D23" s="26"/>
      <c r="E23" s="26"/>
      <c r="F23" s="26"/>
      <c r="G23" s="5"/>
    </row>
    <row r="24" spans="1:7" ht="34.950000000000003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1968</v>
      </c>
      <c r="F26" s="5"/>
      <c r="G26" s="5"/>
    </row>
    <row r="27" spans="1:7" ht="12" customHeight="1">
      <c r="A27" s="5"/>
      <c r="B27" s="3" t="s">
        <v>1480</v>
      </c>
      <c r="C27" s="3" t="s">
        <v>678</v>
      </c>
      <c r="D27" s="12" t="s">
        <v>675</v>
      </c>
      <c r="E27" s="3" t="s">
        <v>1969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2" t="s">
        <v>675</v>
      </c>
      <c r="E28" s="3" t="s">
        <v>1801</v>
      </c>
      <c r="F28" s="5"/>
      <c r="G28" s="5"/>
    </row>
    <row r="29" spans="1:7" ht="12" customHeight="1">
      <c r="A29" s="5"/>
      <c r="B29" s="5"/>
      <c r="C29" s="5"/>
      <c r="D29" s="5"/>
      <c r="E29" s="5"/>
      <c r="F29" s="5"/>
      <c r="G29" s="5"/>
    </row>
    <row r="30" spans="1:7" ht="12" customHeight="1">
      <c r="A30" s="2484" t="s">
        <v>685</v>
      </c>
      <c r="B30" s="2484"/>
      <c r="C30" s="2484"/>
      <c r="D30" s="2484"/>
      <c r="E30" s="2484"/>
      <c r="F30" s="2484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95" customHeight="1">
      <c r="A32" s="5"/>
      <c r="B32" s="4" t="s">
        <v>1970</v>
      </c>
      <c r="C32" s="5"/>
      <c r="D32" s="12" t="s">
        <v>1423</v>
      </c>
      <c r="E32" s="12">
        <v>1</v>
      </c>
      <c r="F32" s="5"/>
      <c r="G32" s="5"/>
    </row>
    <row r="33" spans="1:7" ht="12" customHeight="1">
      <c r="A33" s="5"/>
      <c r="B33" s="5"/>
      <c r="C33" s="5"/>
      <c r="D33" s="5"/>
      <c r="E33" s="2474" t="s">
        <v>702</v>
      </c>
      <c r="F33" s="2474"/>
      <c r="G33" s="5"/>
    </row>
    <row r="34" spans="1:7" ht="12" customHeight="1">
      <c r="A34" s="12" t="s">
        <v>703</v>
      </c>
      <c r="B34" s="3" t="s">
        <v>704</v>
      </c>
      <c r="C34" s="5"/>
      <c r="D34" s="5"/>
      <c r="E34" s="5"/>
      <c r="F34" s="5"/>
      <c r="G34" s="5"/>
    </row>
    <row r="35" spans="1:7" ht="23.4" customHeight="1">
      <c r="A35" s="5"/>
      <c r="B35" s="2" t="s">
        <v>1666</v>
      </c>
      <c r="C35" s="5"/>
      <c r="D35" s="2" t="s">
        <v>1483</v>
      </c>
      <c r="E35" s="2" t="s">
        <v>1938</v>
      </c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2474" t="s">
        <v>705</v>
      </c>
      <c r="F37" s="2474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2474" t="s">
        <v>707</v>
      </c>
      <c r="C39" s="2474"/>
      <c r="D39" s="2474"/>
      <c r="E39" s="2474"/>
      <c r="F39" s="2474"/>
      <c r="G39" s="5"/>
    </row>
    <row r="40" spans="1:7" ht="12" customHeight="1">
      <c r="A40" s="12" t="s">
        <v>708</v>
      </c>
      <c r="B40" s="2471" t="s">
        <v>709</v>
      </c>
      <c r="C40" s="2471"/>
      <c r="D40" s="2471"/>
      <c r="E40" s="2472" t="s">
        <v>710</v>
      </c>
      <c r="F40" s="2472"/>
      <c r="G40" s="5"/>
    </row>
    <row r="41" spans="1:7" ht="12" customHeight="1">
      <c r="A41" s="12" t="s">
        <v>711</v>
      </c>
      <c r="B41" s="2473" t="s">
        <v>712</v>
      </c>
      <c r="C41" s="2473"/>
      <c r="D41" s="2473"/>
      <c r="E41" s="2473"/>
      <c r="F41" s="2473"/>
      <c r="G41" s="5"/>
    </row>
  </sheetData>
  <mergeCells count="14">
    <mergeCell ref="A9:F9"/>
    <mergeCell ref="E12:F12"/>
    <mergeCell ref="E16:F16"/>
    <mergeCell ref="B18:F18"/>
    <mergeCell ref="B19:D19"/>
    <mergeCell ref="E19:F19"/>
    <mergeCell ref="B40:D40"/>
    <mergeCell ref="E40:F40"/>
    <mergeCell ref="B41:F41"/>
    <mergeCell ref="B20:F20"/>
    <mergeCell ref="A30:F30"/>
    <mergeCell ref="E33:F33"/>
    <mergeCell ref="E37:F37"/>
    <mergeCell ref="B39:F39"/>
  </mergeCells>
  <pageMargins left="0.7" right="0.7" top="0.75" bottom="0.75" header="0.3" footer="0.3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B00-000000000000}">
  <sheetPr codeName="Sheet244"/>
  <dimension ref="A1:G41"/>
  <sheetViews>
    <sheetView topLeftCell="A22" workbookViewId="0"/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2607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1971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1972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1195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2484" t="s">
        <v>685</v>
      </c>
      <c r="B9" s="2484"/>
      <c r="C9" s="2484"/>
      <c r="D9" s="2484"/>
      <c r="E9" s="2484"/>
      <c r="F9" s="2484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65" customHeight="1">
      <c r="A11" s="5"/>
      <c r="B11" s="4" t="s">
        <v>1973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2474" t="s">
        <v>702</v>
      </c>
      <c r="F12" s="2474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" customHeight="1">
      <c r="A14" s="5"/>
      <c r="B14" s="2" t="s">
        <v>1666</v>
      </c>
      <c r="C14" s="5"/>
      <c r="D14" s="2" t="s">
        <v>1483</v>
      </c>
      <c r="E14" s="2" t="s">
        <v>1974</v>
      </c>
      <c r="F14" s="5"/>
      <c r="G14" s="5"/>
    </row>
    <row r="15" spans="1:7" ht="12" customHeight="1">
      <c r="A15" s="5"/>
      <c r="B15" s="4" t="s">
        <v>1939</v>
      </c>
      <c r="C15" s="5"/>
      <c r="D15" s="12" t="s">
        <v>1665</v>
      </c>
      <c r="E15" s="3" t="s">
        <v>1517</v>
      </c>
      <c r="F15" s="5"/>
      <c r="G15" s="5"/>
    </row>
    <row r="16" spans="1:7" ht="12" customHeight="1">
      <c r="A16" s="5"/>
      <c r="B16" s="5"/>
      <c r="C16" s="5"/>
      <c r="D16" s="5"/>
      <c r="E16" s="2474" t="s">
        <v>705</v>
      </c>
      <c r="F16" s="2474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12" t="s">
        <v>706</v>
      </c>
      <c r="B18" s="2474" t="s">
        <v>707</v>
      </c>
      <c r="C18" s="2474"/>
      <c r="D18" s="2474"/>
      <c r="E18" s="2474"/>
      <c r="F18" s="2474"/>
      <c r="G18" s="5"/>
    </row>
    <row r="19" spans="1:7" ht="12" customHeight="1">
      <c r="A19" s="12" t="s">
        <v>708</v>
      </c>
      <c r="B19" s="2471" t="s">
        <v>709</v>
      </c>
      <c r="C19" s="2471"/>
      <c r="D19" s="2471"/>
      <c r="E19" s="2472" t="s">
        <v>710</v>
      </c>
      <c r="F19" s="2472"/>
      <c r="G19" s="5"/>
    </row>
    <row r="20" spans="1:7" ht="12" customHeight="1">
      <c r="A20" s="12" t="s">
        <v>711</v>
      </c>
      <c r="B20" s="2473" t="s">
        <v>712</v>
      </c>
      <c r="C20" s="2473"/>
      <c r="D20" s="2473"/>
      <c r="E20" s="2473"/>
      <c r="F20" s="2473"/>
      <c r="G20" s="5"/>
    </row>
    <row r="21" spans="1:7" ht="12" customHeight="1">
      <c r="A21" s="12"/>
      <c r="B21" s="26"/>
      <c r="C21" s="26"/>
      <c r="D21" s="26"/>
      <c r="E21" s="26"/>
      <c r="F21" s="26"/>
      <c r="G21" s="5"/>
    </row>
    <row r="22" spans="1:7" ht="12" customHeight="1">
      <c r="A22" s="50" t="s">
        <v>2608</v>
      </c>
      <c r="B22" s="26"/>
      <c r="C22" s="26"/>
      <c r="D22" s="26"/>
      <c r="E22" s="26"/>
      <c r="F22" s="26"/>
      <c r="G22" s="5"/>
    </row>
    <row r="23" spans="1:7" ht="12" customHeight="1">
      <c r="A23" s="12"/>
      <c r="B23" s="26"/>
      <c r="C23" s="26"/>
      <c r="D23" s="26"/>
      <c r="E23" s="26"/>
      <c r="F23" s="26"/>
      <c r="G23" s="5"/>
    </row>
    <row r="24" spans="1:7" ht="34.950000000000003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1975</v>
      </c>
      <c r="F26" s="5"/>
      <c r="G26" s="5"/>
    </row>
    <row r="27" spans="1:7" ht="12" customHeight="1">
      <c r="A27" s="5"/>
      <c r="B27" s="3" t="s">
        <v>1480</v>
      </c>
      <c r="C27" s="3" t="s">
        <v>678</v>
      </c>
      <c r="D27" s="12" t="s">
        <v>675</v>
      </c>
      <c r="E27" s="3" t="s">
        <v>1976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2" t="s">
        <v>675</v>
      </c>
      <c r="E28" s="3" t="s">
        <v>894</v>
      </c>
      <c r="F28" s="5"/>
      <c r="G28" s="5"/>
    </row>
    <row r="29" spans="1:7" ht="12" customHeight="1">
      <c r="A29" s="5"/>
      <c r="B29" s="5"/>
      <c r="C29" s="5"/>
      <c r="D29" s="5"/>
      <c r="E29" s="5"/>
      <c r="F29" s="5"/>
      <c r="G29" s="5"/>
    </row>
    <row r="30" spans="1:7" ht="12" customHeight="1">
      <c r="A30" s="2484" t="s">
        <v>685</v>
      </c>
      <c r="B30" s="2484"/>
      <c r="C30" s="2484"/>
      <c r="D30" s="2484"/>
      <c r="E30" s="2484"/>
      <c r="F30" s="2484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95" customHeight="1">
      <c r="A32" s="5"/>
      <c r="B32" s="4" t="s">
        <v>1977</v>
      </c>
      <c r="C32" s="5"/>
      <c r="D32" s="12" t="s">
        <v>1423</v>
      </c>
      <c r="E32" s="12">
        <v>1</v>
      </c>
      <c r="F32" s="5"/>
      <c r="G32" s="5"/>
    </row>
    <row r="33" spans="1:7" ht="12" customHeight="1">
      <c r="A33" s="5"/>
      <c r="B33" s="5"/>
      <c r="C33" s="5"/>
      <c r="D33" s="5"/>
      <c r="E33" s="2474" t="s">
        <v>702</v>
      </c>
      <c r="F33" s="2474"/>
      <c r="G33" s="5"/>
    </row>
    <row r="34" spans="1:7" ht="12" customHeight="1">
      <c r="A34" s="12" t="s">
        <v>703</v>
      </c>
      <c r="B34" s="3" t="s">
        <v>704</v>
      </c>
      <c r="C34" s="5"/>
      <c r="D34" s="5"/>
      <c r="E34" s="5"/>
      <c r="F34" s="5"/>
      <c r="G34" s="5"/>
    </row>
    <row r="35" spans="1:7" ht="23.4" customHeight="1">
      <c r="A35" s="5"/>
      <c r="B35" s="2" t="s">
        <v>1666</v>
      </c>
      <c r="C35" s="5"/>
      <c r="D35" s="2" t="s">
        <v>1483</v>
      </c>
      <c r="E35" s="2" t="s">
        <v>1978</v>
      </c>
      <c r="F35" s="5"/>
      <c r="G35" s="5"/>
    </row>
    <row r="36" spans="1:7" ht="12" customHeight="1">
      <c r="A36" s="5"/>
      <c r="B36" s="4" t="s">
        <v>1939</v>
      </c>
      <c r="C36" s="5"/>
      <c r="D36" s="12" t="s">
        <v>1665</v>
      </c>
      <c r="E36" s="3" t="s">
        <v>1804</v>
      </c>
      <c r="F36" s="5"/>
      <c r="G36" s="5"/>
    </row>
    <row r="37" spans="1:7" ht="12" customHeight="1">
      <c r="A37" s="5"/>
      <c r="B37" s="5"/>
      <c r="C37" s="5"/>
      <c r="D37" s="5"/>
      <c r="E37" s="2474" t="s">
        <v>705</v>
      </c>
      <c r="F37" s="2474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2474" t="s">
        <v>707</v>
      </c>
      <c r="C39" s="2474"/>
      <c r="D39" s="2474"/>
      <c r="E39" s="2474"/>
      <c r="F39" s="2474"/>
      <c r="G39" s="5"/>
    </row>
    <row r="40" spans="1:7" ht="12" customHeight="1">
      <c r="A40" s="12" t="s">
        <v>708</v>
      </c>
      <c r="B40" s="2471" t="s">
        <v>709</v>
      </c>
      <c r="C40" s="2471"/>
      <c r="D40" s="2471"/>
      <c r="E40" s="2472" t="s">
        <v>710</v>
      </c>
      <c r="F40" s="2472"/>
      <c r="G40" s="5"/>
    </row>
    <row r="41" spans="1:7" ht="12.15" customHeight="1">
      <c r="A41" s="12" t="s">
        <v>711</v>
      </c>
      <c r="B41" s="2473" t="s">
        <v>712</v>
      </c>
      <c r="C41" s="2473"/>
      <c r="D41" s="2473"/>
      <c r="E41" s="2473"/>
      <c r="F41" s="2473"/>
      <c r="G41" s="5"/>
    </row>
  </sheetData>
  <mergeCells count="14">
    <mergeCell ref="A9:F9"/>
    <mergeCell ref="E12:F12"/>
    <mergeCell ref="E16:F16"/>
    <mergeCell ref="B18:F18"/>
    <mergeCell ref="B19:D19"/>
    <mergeCell ref="E19:F19"/>
    <mergeCell ref="B40:D40"/>
    <mergeCell ref="E40:F40"/>
    <mergeCell ref="B41:F41"/>
    <mergeCell ref="B20:F20"/>
    <mergeCell ref="A30:F30"/>
    <mergeCell ref="E33:F33"/>
    <mergeCell ref="E37:F37"/>
    <mergeCell ref="B39:F39"/>
  </mergeCells>
  <pageMargins left="0.7" right="0.7" top="0.75" bottom="0.75" header="0.3" footer="0.3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C00-000000000000}">
  <sheetPr codeName="Sheet245"/>
  <dimension ref="A1:G41"/>
  <sheetViews>
    <sheetView workbookViewId="0">
      <selection activeCell="G41" sqref="A1:G41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2609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1979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1980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1662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2484" t="s">
        <v>685</v>
      </c>
      <c r="B9" s="2484"/>
      <c r="C9" s="2484"/>
      <c r="D9" s="2484"/>
      <c r="E9" s="2484"/>
      <c r="F9" s="2484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65" customHeight="1">
      <c r="A11" s="5"/>
      <c r="B11" s="4" t="s">
        <v>1981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2474" t="s">
        <v>702</v>
      </c>
      <c r="F12" s="2474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" customHeight="1">
      <c r="A14" s="5"/>
      <c r="B14" s="2" t="s">
        <v>1666</v>
      </c>
      <c r="C14" s="5"/>
      <c r="D14" s="2" t="s">
        <v>1483</v>
      </c>
      <c r="E14" s="2" t="s">
        <v>1982</v>
      </c>
      <c r="F14" s="5"/>
      <c r="G14" s="5"/>
    </row>
    <row r="15" spans="1:7" ht="12" customHeight="1">
      <c r="A15" s="5"/>
      <c r="B15" s="4" t="s">
        <v>1939</v>
      </c>
      <c r="C15" s="5"/>
      <c r="D15" s="12" t="s">
        <v>1665</v>
      </c>
      <c r="E15" s="3" t="s">
        <v>1784</v>
      </c>
      <c r="F15" s="5"/>
      <c r="G15" s="5"/>
    </row>
    <row r="16" spans="1:7" ht="12" customHeight="1">
      <c r="A16" s="5"/>
      <c r="B16" s="5"/>
      <c r="C16" s="5"/>
      <c r="D16" s="5"/>
      <c r="E16" s="2474" t="s">
        <v>705</v>
      </c>
      <c r="F16" s="2474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12" t="s">
        <v>706</v>
      </c>
      <c r="B18" s="2474" t="s">
        <v>707</v>
      </c>
      <c r="C18" s="2474"/>
      <c r="D18" s="2474"/>
      <c r="E18" s="2474"/>
      <c r="F18" s="2474"/>
      <c r="G18" s="5"/>
    </row>
    <row r="19" spans="1:7" ht="12" customHeight="1">
      <c r="A19" s="12" t="s">
        <v>708</v>
      </c>
      <c r="B19" s="2471" t="s">
        <v>709</v>
      </c>
      <c r="C19" s="2471"/>
      <c r="D19" s="2471"/>
      <c r="E19" s="2472" t="s">
        <v>710</v>
      </c>
      <c r="F19" s="2472"/>
      <c r="G19" s="5"/>
    </row>
    <row r="20" spans="1:7" ht="12" customHeight="1">
      <c r="A20" s="12" t="s">
        <v>711</v>
      </c>
      <c r="B20" s="2473" t="s">
        <v>712</v>
      </c>
      <c r="C20" s="2473"/>
      <c r="D20" s="2473"/>
      <c r="E20" s="2473"/>
      <c r="F20" s="2473"/>
      <c r="G20" s="5"/>
    </row>
    <row r="21" spans="1:7" ht="12" customHeight="1">
      <c r="A21" s="12"/>
      <c r="B21" s="26"/>
      <c r="C21" s="26"/>
      <c r="D21" s="26"/>
      <c r="E21" s="26"/>
      <c r="F21" s="26"/>
      <c r="G21" s="5"/>
    </row>
    <row r="22" spans="1:7" ht="12" customHeight="1">
      <c r="A22" s="50" t="s">
        <v>2610</v>
      </c>
      <c r="B22" s="26"/>
      <c r="C22" s="26"/>
      <c r="D22" s="26"/>
      <c r="E22" s="26"/>
      <c r="F22" s="26"/>
      <c r="G22" s="5"/>
    </row>
    <row r="23" spans="1:7" ht="12" customHeight="1">
      <c r="A23" s="12"/>
      <c r="B23" s="26"/>
      <c r="C23" s="26"/>
      <c r="D23" s="26"/>
      <c r="E23" s="26"/>
      <c r="F23" s="26"/>
      <c r="G23" s="5"/>
    </row>
    <row r="24" spans="1:7" ht="34.950000000000003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1983</v>
      </c>
      <c r="F26" s="5"/>
      <c r="G26" s="5"/>
    </row>
    <row r="27" spans="1:7" ht="12" customHeight="1">
      <c r="A27" s="5"/>
      <c r="B27" s="3" t="s">
        <v>1480</v>
      </c>
      <c r="C27" s="3" t="s">
        <v>678</v>
      </c>
      <c r="D27" s="12" t="s">
        <v>675</v>
      </c>
      <c r="E27" s="3" t="s">
        <v>1984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2" t="s">
        <v>675</v>
      </c>
      <c r="E28" s="3" t="s">
        <v>1985</v>
      </c>
      <c r="F28" s="5"/>
      <c r="G28" s="5"/>
    </row>
    <row r="29" spans="1:7" ht="12" customHeight="1">
      <c r="A29" s="5"/>
      <c r="B29" s="5"/>
      <c r="C29" s="5"/>
      <c r="D29" s="5"/>
      <c r="E29" s="5"/>
      <c r="F29" s="5"/>
      <c r="G29" s="5"/>
    </row>
    <row r="30" spans="1:7" ht="12" customHeight="1">
      <c r="A30" s="2484" t="s">
        <v>685</v>
      </c>
      <c r="B30" s="2484"/>
      <c r="C30" s="2484"/>
      <c r="D30" s="2484"/>
      <c r="E30" s="2484"/>
      <c r="F30" s="2484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95" customHeight="1">
      <c r="A32" s="5"/>
      <c r="B32" s="4" t="s">
        <v>1986</v>
      </c>
      <c r="C32" s="5"/>
      <c r="D32" s="12" t="s">
        <v>1423</v>
      </c>
      <c r="E32" s="12">
        <v>1</v>
      </c>
      <c r="F32" s="5"/>
      <c r="G32" s="5"/>
    </row>
    <row r="33" spans="1:7" ht="12" customHeight="1">
      <c r="A33" s="5"/>
      <c r="B33" s="5"/>
      <c r="C33" s="5"/>
      <c r="D33" s="5"/>
      <c r="E33" s="2474" t="s">
        <v>702</v>
      </c>
      <c r="F33" s="2474"/>
      <c r="G33" s="5"/>
    </row>
    <row r="34" spans="1:7" ht="12" customHeight="1">
      <c r="A34" s="12" t="s">
        <v>703</v>
      </c>
      <c r="B34" s="3" t="s">
        <v>704</v>
      </c>
      <c r="C34" s="5"/>
      <c r="D34" s="5"/>
      <c r="E34" s="5"/>
      <c r="F34" s="5"/>
      <c r="G34" s="5"/>
    </row>
    <row r="35" spans="1:7" ht="23.4" customHeight="1">
      <c r="A35" s="5"/>
      <c r="B35" s="2" t="s">
        <v>1666</v>
      </c>
      <c r="C35" s="5"/>
      <c r="D35" s="2" t="s">
        <v>1483</v>
      </c>
      <c r="E35" s="2" t="s">
        <v>1987</v>
      </c>
      <c r="F35" s="5"/>
      <c r="G35" s="5"/>
    </row>
    <row r="36" spans="1:7" ht="12" customHeight="1">
      <c r="A36" s="5"/>
      <c r="B36" s="4" t="s">
        <v>1939</v>
      </c>
      <c r="C36" s="5"/>
      <c r="D36" s="12" t="s">
        <v>1665</v>
      </c>
      <c r="E36" s="3" t="s">
        <v>1988</v>
      </c>
      <c r="F36" s="5"/>
      <c r="G36" s="5"/>
    </row>
    <row r="37" spans="1:7" ht="12" customHeight="1">
      <c r="A37" s="5"/>
      <c r="B37" s="5"/>
      <c r="C37" s="5"/>
      <c r="D37" s="5"/>
      <c r="E37" s="2474" t="s">
        <v>705</v>
      </c>
      <c r="F37" s="2474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2474" t="s">
        <v>707</v>
      </c>
      <c r="C39" s="2474"/>
      <c r="D39" s="2474"/>
      <c r="E39" s="2474"/>
      <c r="F39" s="2474"/>
      <c r="G39" s="5"/>
    </row>
    <row r="40" spans="1:7" ht="12" customHeight="1">
      <c r="A40" s="12" t="s">
        <v>708</v>
      </c>
      <c r="B40" s="2471" t="s">
        <v>709</v>
      </c>
      <c r="C40" s="2471"/>
      <c r="D40" s="2471"/>
      <c r="E40" s="2472" t="s">
        <v>710</v>
      </c>
      <c r="F40" s="2472"/>
      <c r="G40" s="5"/>
    </row>
    <row r="41" spans="1:7" ht="12" customHeight="1">
      <c r="A41" s="12" t="s">
        <v>711</v>
      </c>
      <c r="B41" s="2473" t="s">
        <v>712</v>
      </c>
      <c r="C41" s="2473"/>
      <c r="D41" s="2473"/>
      <c r="E41" s="2473"/>
      <c r="F41" s="2473"/>
      <c r="G41" s="5"/>
    </row>
  </sheetData>
  <mergeCells count="14">
    <mergeCell ref="A9:F9"/>
    <mergeCell ref="E12:F12"/>
    <mergeCell ref="E16:F16"/>
    <mergeCell ref="B18:F18"/>
    <mergeCell ref="B19:D19"/>
    <mergeCell ref="E19:F19"/>
    <mergeCell ref="B40:D40"/>
    <mergeCell ref="E40:F40"/>
    <mergeCell ref="B41:F41"/>
    <mergeCell ref="B20:F20"/>
    <mergeCell ref="A30:F30"/>
    <mergeCell ref="E33:F33"/>
    <mergeCell ref="E37:F37"/>
    <mergeCell ref="B39:F39"/>
  </mergeCells>
  <pageMargins left="0.7" right="0.7" top="0.75" bottom="0.75" header="0.3" footer="0.3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D00-000000000000}">
  <sheetPr codeName="Sheet246"/>
  <dimension ref="A1:G41"/>
  <sheetViews>
    <sheetView workbookViewId="0">
      <selection activeCell="G41" sqref="A1:G41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2611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1989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1990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898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2484" t="s">
        <v>685</v>
      </c>
      <c r="B9" s="2484"/>
      <c r="C9" s="2484"/>
      <c r="D9" s="2484"/>
      <c r="E9" s="2484"/>
      <c r="F9" s="2484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65" customHeight="1">
      <c r="A11" s="5"/>
      <c r="B11" s="4" t="s">
        <v>1991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2474" t="s">
        <v>702</v>
      </c>
      <c r="F12" s="2474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" customHeight="1">
      <c r="A14" s="5"/>
      <c r="B14" s="2" t="s">
        <v>1666</v>
      </c>
      <c r="C14" s="5"/>
      <c r="D14" s="2" t="s">
        <v>1483</v>
      </c>
      <c r="E14" s="2" t="s">
        <v>1992</v>
      </c>
      <c r="F14" s="5"/>
      <c r="G14" s="5"/>
    </row>
    <row r="15" spans="1:7" ht="12" customHeight="1">
      <c r="A15" s="5"/>
      <c r="B15" s="4" t="s">
        <v>1939</v>
      </c>
      <c r="C15" s="5"/>
      <c r="D15" s="12" t="s">
        <v>1665</v>
      </c>
      <c r="E15" s="3" t="s">
        <v>1993</v>
      </c>
      <c r="F15" s="5"/>
      <c r="G15" s="5"/>
    </row>
    <row r="16" spans="1:7" ht="12" customHeight="1">
      <c r="A16" s="5"/>
      <c r="B16" s="5"/>
      <c r="C16" s="5"/>
      <c r="D16" s="5"/>
      <c r="E16" s="2474" t="s">
        <v>705</v>
      </c>
      <c r="F16" s="2474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12" t="s">
        <v>706</v>
      </c>
      <c r="B18" s="2474" t="s">
        <v>707</v>
      </c>
      <c r="C18" s="2474"/>
      <c r="D18" s="2474"/>
      <c r="E18" s="2474"/>
      <c r="F18" s="2474"/>
      <c r="G18" s="5"/>
    </row>
    <row r="19" spans="1:7" ht="12" customHeight="1">
      <c r="A19" s="12" t="s">
        <v>708</v>
      </c>
      <c r="B19" s="2471" t="s">
        <v>709</v>
      </c>
      <c r="C19" s="2471"/>
      <c r="D19" s="2471"/>
      <c r="E19" s="2472" t="s">
        <v>710</v>
      </c>
      <c r="F19" s="2472"/>
      <c r="G19" s="5"/>
    </row>
    <row r="20" spans="1:7" ht="12" customHeight="1">
      <c r="A20" s="12" t="s">
        <v>711</v>
      </c>
      <c r="B20" s="2473" t="s">
        <v>712</v>
      </c>
      <c r="C20" s="2473"/>
      <c r="D20" s="2473"/>
      <c r="E20" s="2473"/>
      <c r="F20" s="2473"/>
      <c r="G20" s="5"/>
    </row>
    <row r="21" spans="1:7" ht="12" customHeight="1">
      <c r="A21" s="12"/>
      <c r="B21" s="26"/>
      <c r="C21" s="26"/>
      <c r="D21" s="26"/>
      <c r="E21" s="26"/>
      <c r="F21" s="26"/>
      <c r="G21" s="5"/>
    </row>
    <row r="22" spans="1:7" ht="12" customHeight="1">
      <c r="A22" s="50" t="s">
        <v>2612</v>
      </c>
      <c r="B22" s="26"/>
      <c r="C22" s="26"/>
      <c r="D22" s="26"/>
      <c r="E22" s="26"/>
      <c r="F22" s="26"/>
      <c r="G22" s="5"/>
    </row>
    <row r="23" spans="1:7" ht="12" customHeight="1">
      <c r="A23" s="12"/>
      <c r="B23" s="26"/>
      <c r="C23" s="26"/>
      <c r="D23" s="26"/>
      <c r="E23" s="26"/>
      <c r="F23" s="26"/>
      <c r="G23" s="5"/>
    </row>
    <row r="24" spans="1:7" ht="34.950000000000003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1994</v>
      </c>
      <c r="F26" s="5"/>
      <c r="G26" s="5"/>
    </row>
    <row r="27" spans="1:7" ht="12" customHeight="1">
      <c r="A27" s="5"/>
      <c r="B27" s="3" t="s">
        <v>1480</v>
      </c>
      <c r="C27" s="3" t="s">
        <v>678</v>
      </c>
      <c r="D27" s="12" t="s">
        <v>675</v>
      </c>
      <c r="E27" s="3" t="s">
        <v>1995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2" t="s">
        <v>675</v>
      </c>
      <c r="E28" s="3" t="s">
        <v>941</v>
      </c>
      <c r="F28" s="5"/>
      <c r="G28" s="5"/>
    </row>
    <row r="29" spans="1:7" ht="12" customHeight="1">
      <c r="A29" s="5"/>
      <c r="B29" s="5"/>
      <c r="C29" s="5"/>
      <c r="D29" s="5"/>
      <c r="E29" s="5"/>
      <c r="F29" s="5"/>
      <c r="G29" s="5"/>
    </row>
    <row r="30" spans="1:7" ht="12" customHeight="1">
      <c r="A30" s="2484" t="s">
        <v>685</v>
      </c>
      <c r="B30" s="2484"/>
      <c r="C30" s="2484"/>
      <c r="D30" s="2484"/>
      <c r="E30" s="2484"/>
      <c r="F30" s="2484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95" customHeight="1">
      <c r="A32" s="5"/>
      <c r="B32" s="4" t="s">
        <v>1996</v>
      </c>
      <c r="C32" s="5"/>
      <c r="D32" s="12" t="s">
        <v>1423</v>
      </c>
      <c r="E32" s="12">
        <v>1</v>
      </c>
      <c r="F32" s="5"/>
      <c r="G32" s="5"/>
    </row>
    <row r="33" spans="1:7" ht="12" customHeight="1">
      <c r="A33" s="5"/>
      <c r="B33" s="5"/>
      <c r="C33" s="5"/>
      <c r="D33" s="5"/>
      <c r="E33" s="2474" t="s">
        <v>702</v>
      </c>
      <c r="F33" s="2474"/>
      <c r="G33" s="5"/>
    </row>
    <row r="34" spans="1:7" ht="12" customHeight="1">
      <c r="A34" s="12" t="s">
        <v>703</v>
      </c>
      <c r="B34" s="3" t="s">
        <v>704</v>
      </c>
      <c r="C34" s="5"/>
      <c r="D34" s="5"/>
      <c r="E34" s="5"/>
      <c r="F34" s="5"/>
      <c r="G34" s="5"/>
    </row>
    <row r="35" spans="1:7" ht="23.4" customHeight="1">
      <c r="A35" s="5"/>
      <c r="B35" s="2" t="s">
        <v>1666</v>
      </c>
      <c r="C35" s="5"/>
      <c r="D35" s="2" t="s">
        <v>1483</v>
      </c>
      <c r="E35" s="2" t="s">
        <v>1997</v>
      </c>
      <c r="F35" s="5"/>
      <c r="G35" s="5"/>
    </row>
    <row r="36" spans="1:7" ht="12" customHeight="1">
      <c r="A36" s="5"/>
      <c r="B36" s="4" t="s">
        <v>1939</v>
      </c>
      <c r="C36" s="5"/>
      <c r="D36" s="12" t="s">
        <v>1665</v>
      </c>
      <c r="E36" s="3" t="s">
        <v>1674</v>
      </c>
      <c r="F36" s="5"/>
      <c r="G36" s="5"/>
    </row>
    <row r="37" spans="1:7" ht="12" customHeight="1">
      <c r="A37" s="5"/>
      <c r="B37" s="5"/>
      <c r="C37" s="5"/>
      <c r="D37" s="5"/>
      <c r="E37" s="2474" t="s">
        <v>705</v>
      </c>
      <c r="F37" s="2474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2474" t="s">
        <v>707</v>
      </c>
      <c r="C39" s="2474"/>
      <c r="D39" s="2474"/>
      <c r="E39" s="2474"/>
      <c r="F39" s="2474"/>
      <c r="G39" s="5"/>
    </row>
    <row r="40" spans="1:7" ht="12" customHeight="1">
      <c r="A40" s="12" t="s">
        <v>708</v>
      </c>
      <c r="B40" s="2471" t="s">
        <v>709</v>
      </c>
      <c r="C40" s="2471"/>
      <c r="D40" s="2471"/>
      <c r="E40" s="2472" t="s">
        <v>710</v>
      </c>
      <c r="F40" s="2472"/>
      <c r="G40" s="5"/>
    </row>
    <row r="41" spans="1:7" ht="12" customHeight="1">
      <c r="A41" s="12" t="s">
        <v>711</v>
      </c>
      <c r="B41" s="2473" t="s">
        <v>712</v>
      </c>
      <c r="C41" s="2473"/>
      <c r="D41" s="2473"/>
      <c r="E41" s="2473"/>
      <c r="F41" s="2473"/>
      <c r="G41" s="5"/>
    </row>
  </sheetData>
  <mergeCells count="14">
    <mergeCell ref="A9:F9"/>
    <mergeCell ref="E12:F12"/>
    <mergeCell ref="E16:F16"/>
    <mergeCell ref="B18:F18"/>
    <mergeCell ref="B19:D19"/>
    <mergeCell ref="E19:F19"/>
    <mergeCell ref="B40:D40"/>
    <mergeCell ref="E40:F40"/>
    <mergeCell ref="B41:F41"/>
    <mergeCell ref="B20:F20"/>
    <mergeCell ref="A30:F30"/>
    <mergeCell ref="E33:F33"/>
    <mergeCell ref="E37:F37"/>
    <mergeCell ref="B39:F39"/>
  </mergeCells>
  <pageMargins left="0.7" right="0.7" top="0.75" bottom="0.75" header="0.3" footer="0.3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E00-000000000000}">
  <sheetPr codeName="Sheet247"/>
  <dimension ref="A1:G18"/>
  <sheetViews>
    <sheetView workbookViewId="0">
      <selection activeCell="G18" sqref="A1:G18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2613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1998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1999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922</v>
      </c>
      <c r="F7" s="5"/>
      <c r="G7" s="5"/>
    </row>
    <row r="8" spans="1:7" ht="12" customHeight="1">
      <c r="A8" s="2484" t="s">
        <v>685</v>
      </c>
      <c r="B8" s="2484"/>
      <c r="C8" s="2484"/>
      <c r="D8" s="2484"/>
      <c r="E8" s="2484"/>
      <c r="F8" s="2484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65" customHeight="1">
      <c r="A10" s="5"/>
      <c r="B10" s="4" t="s">
        <v>2000</v>
      </c>
      <c r="C10" s="5"/>
      <c r="D10" s="12" t="s">
        <v>1423</v>
      </c>
      <c r="E10" s="12">
        <v>1</v>
      </c>
      <c r="F10" s="5"/>
      <c r="G10" s="5"/>
    </row>
    <row r="11" spans="1:7" ht="12" customHeight="1">
      <c r="A11" s="5"/>
      <c r="B11" s="5"/>
      <c r="C11" s="5"/>
      <c r="D11" s="5"/>
      <c r="E11" s="2474" t="s">
        <v>702</v>
      </c>
      <c r="F11" s="2474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" customHeight="1">
      <c r="A13" s="5"/>
      <c r="B13" s="2" t="s">
        <v>1666</v>
      </c>
      <c r="C13" s="5"/>
      <c r="D13" s="2" t="s">
        <v>1483</v>
      </c>
      <c r="E13" s="2" t="s">
        <v>2001</v>
      </c>
      <c r="F13" s="5"/>
      <c r="G13" s="5"/>
    </row>
    <row r="14" spans="1:7" ht="12" customHeight="1">
      <c r="A14" s="5"/>
      <c r="B14" s="4" t="s">
        <v>1939</v>
      </c>
      <c r="C14" s="5"/>
      <c r="D14" s="12" t="s">
        <v>1665</v>
      </c>
      <c r="E14" s="3" t="s">
        <v>1085</v>
      </c>
      <c r="F14" s="5"/>
      <c r="G14" s="5"/>
    </row>
    <row r="15" spans="1:7" ht="12" customHeight="1">
      <c r="A15" s="5"/>
      <c r="B15" s="5"/>
      <c r="C15" s="5"/>
      <c r="D15" s="5"/>
      <c r="E15" s="2473" t="s">
        <v>705</v>
      </c>
      <c r="F15" s="2473"/>
      <c r="G15" s="5"/>
    </row>
    <row r="16" spans="1:7" ht="12" customHeight="1">
      <c r="A16" s="12" t="s">
        <v>706</v>
      </c>
      <c r="B16" s="2474" t="s">
        <v>707</v>
      </c>
      <c r="C16" s="2474"/>
      <c r="D16" s="2474"/>
      <c r="E16" s="2474"/>
      <c r="F16" s="2474"/>
      <c r="G16" s="5"/>
    </row>
    <row r="17" spans="1:7" ht="12" customHeight="1">
      <c r="A17" s="12" t="s">
        <v>708</v>
      </c>
      <c r="B17" s="2471" t="s">
        <v>709</v>
      </c>
      <c r="C17" s="2471"/>
      <c r="D17" s="2471"/>
      <c r="E17" s="2472" t="s">
        <v>710</v>
      </c>
      <c r="F17" s="2472"/>
      <c r="G17" s="5"/>
    </row>
    <row r="18" spans="1:7" ht="12" customHeight="1">
      <c r="A18" s="12" t="s">
        <v>711</v>
      </c>
      <c r="B18" s="2473" t="s">
        <v>712</v>
      </c>
      <c r="C18" s="2473"/>
      <c r="D18" s="2473"/>
      <c r="E18" s="2473"/>
      <c r="F18" s="2473"/>
      <c r="G18" s="5"/>
    </row>
  </sheetData>
  <mergeCells count="7">
    <mergeCell ref="B18:F18"/>
    <mergeCell ref="A8:F8"/>
    <mergeCell ref="E11:F11"/>
    <mergeCell ref="E15:F15"/>
    <mergeCell ref="B16:F16"/>
    <mergeCell ref="B17:D17"/>
    <mergeCell ref="E17:F17"/>
  </mergeCells>
  <pageMargins left="0.7" right="0.7" top="0.75" bottom="0.75" header="0.3" footer="0.3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F00-000000000000}">
  <sheetPr codeName="Sheet248">
    <tabColor rgb="FFFF0000"/>
  </sheetPr>
  <dimension ref="A1:G22"/>
  <sheetViews>
    <sheetView workbookViewId="0">
      <selection activeCell="G22" sqref="A1:G22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 ht="12" customHeight="1">
      <c r="A1" s="62" t="s">
        <v>2614</v>
      </c>
      <c r="B1" s="26"/>
      <c r="C1" s="26"/>
      <c r="D1" s="26"/>
      <c r="E1" s="26"/>
      <c r="F1" s="26"/>
      <c r="G1" s="5"/>
    </row>
    <row r="2" spans="1:7" ht="12" customHeight="1">
      <c r="A2" s="71"/>
      <c r="B2" s="26"/>
      <c r="C2" s="26"/>
      <c r="D2" s="26"/>
      <c r="E2" s="26"/>
      <c r="F2" s="26"/>
      <c r="G2" s="5"/>
    </row>
    <row r="3" spans="1:7" ht="12" customHeight="1">
      <c r="A3" s="55" t="s">
        <v>2615</v>
      </c>
      <c r="B3" s="26"/>
      <c r="C3" s="26"/>
      <c r="D3" s="26"/>
      <c r="E3" s="26"/>
      <c r="F3" s="26"/>
      <c r="G3" s="5"/>
    </row>
    <row r="4" spans="1:7" ht="35.1" customHeight="1">
      <c r="A4" s="6" t="s">
        <v>762</v>
      </c>
      <c r="B4" s="6" t="s">
        <v>763</v>
      </c>
      <c r="C4" s="6" t="s">
        <v>764</v>
      </c>
      <c r="D4" s="6" t="s">
        <v>765</v>
      </c>
      <c r="E4" s="6" t="s">
        <v>766</v>
      </c>
      <c r="F4" s="7" t="s">
        <v>767</v>
      </c>
      <c r="G4" s="7" t="s">
        <v>768</v>
      </c>
    </row>
    <row r="5" spans="1:7" ht="12" customHeight="1">
      <c r="A5" s="12" t="s">
        <v>671</v>
      </c>
      <c r="B5" s="3" t="s">
        <v>672</v>
      </c>
      <c r="C5" s="5"/>
      <c r="D5" s="5"/>
      <c r="E5" s="5"/>
      <c r="F5" s="5"/>
      <c r="G5" s="5"/>
    </row>
    <row r="6" spans="1:7" ht="12" customHeight="1">
      <c r="A6" s="5"/>
      <c r="B6" s="3" t="s">
        <v>673</v>
      </c>
      <c r="C6" s="3" t="s">
        <v>674</v>
      </c>
      <c r="D6" s="12" t="s">
        <v>675</v>
      </c>
      <c r="E6" s="3" t="s">
        <v>2002</v>
      </c>
      <c r="F6" s="5"/>
      <c r="G6" s="5"/>
    </row>
    <row r="7" spans="1:7" ht="12" customHeight="1">
      <c r="A7" s="5"/>
      <c r="B7" s="3" t="s">
        <v>1480</v>
      </c>
      <c r="C7" s="3" t="s">
        <v>678</v>
      </c>
      <c r="D7" s="12" t="s">
        <v>675</v>
      </c>
      <c r="E7" s="3" t="s">
        <v>1916</v>
      </c>
      <c r="F7" s="5"/>
      <c r="G7" s="5"/>
    </row>
    <row r="8" spans="1:7" ht="12" customHeight="1">
      <c r="A8" s="5"/>
      <c r="B8" s="3" t="s">
        <v>683</v>
      </c>
      <c r="C8" s="3" t="s">
        <v>684</v>
      </c>
      <c r="D8" s="12" t="s">
        <v>675</v>
      </c>
      <c r="E8" s="3" t="s">
        <v>823</v>
      </c>
      <c r="F8" s="5"/>
      <c r="G8" s="5"/>
    </row>
    <row r="9" spans="1:7" ht="12" customHeight="1">
      <c r="A9" s="2484" t="s">
        <v>685</v>
      </c>
      <c r="B9" s="2484"/>
      <c r="C9" s="2484"/>
      <c r="D9" s="2484"/>
      <c r="E9" s="2484"/>
      <c r="F9" s="2484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65" customHeight="1">
      <c r="A11" s="5"/>
      <c r="B11" s="3" t="s">
        <v>2003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2474" t="s">
        <v>702</v>
      </c>
      <c r="F12" s="2474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3" t="s">
        <v>1829</v>
      </c>
      <c r="C14" s="5"/>
      <c r="D14" s="2" t="s">
        <v>1483</v>
      </c>
      <c r="E14" s="2" t="s">
        <v>2004</v>
      </c>
      <c r="F14" s="5"/>
      <c r="G14" s="5"/>
    </row>
    <row r="15" spans="1:7" ht="23.4" customHeight="1">
      <c r="A15" s="5"/>
      <c r="B15" s="2" t="s">
        <v>2005</v>
      </c>
      <c r="C15" s="5"/>
      <c r="D15" s="2" t="s">
        <v>1483</v>
      </c>
      <c r="E15" s="2" t="s">
        <v>2006</v>
      </c>
      <c r="F15" s="5"/>
      <c r="G15" s="5"/>
    </row>
    <row r="16" spans="1:7" ht="23.4" customHeight="1">
      <c r="A16" s="5"/>
      <c r="B16" s="2" t="s">
        <v>2007</v>
      </c>
      <c r="C16" s="5"/>
      <c r="D16" s="2" t="s">
        <v>1483</v>
      </c>
      <c r="E16" s="2" t="s">
        <v>2008</v>
      </c>
      <c r="F16" s="5"/>
      <c r="G16" s="5"/>
    </row>
    <row r="17" spans="1:7" ht="23.4" customHeight="1">
      <c r="A17" s="5"/>
      <c r="B17" s="2" t="s">
        <v>1666</v>
      </c>
      <c r="C17" s="5"/>
      <c r="D17" s="2" t="s">
        <v>1483</v>
      </c>
      <c r="E17" s="2" t="s">
        <v>2009</v>
      </c>
      <c r="F17" s="5"/>
      <c r="G17" s="5"/>
    </row>
    <row r="18" spans="1:7" ht="12" customHeight="1">
      <c r="A18" s="5"/>
      <c r="B18" s="5"/>
      <c r="C18" s="5"/>
      <c r="D18" s="5"/>
      <c r="E18" s="2474" t="s">
        <v>705</v>
      </c>
      <c r="F18" s="2474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2474" t="s">
        <v>707</v>
      </c>
      <c r="C20" s="2474"/>
      <c r="D20" s="2474"/>
      <c r="E20" s="2474"/>
      <c r="F20" s="2474"/>
      <c r="G20" s="5"/>
    </row>
    <row r="21" spans="1:7" ht="12" customHeight="1">
      <c r="A21" s="12" t="s">
        <v>708</v>
      </c>
      <c r="B21" s="2471" t="s">
        <v>709</v>
      </c>
      <c r="C21" s="2471"/>
      <c r="D21" s="2471"/>
      <c r="E21" s="2472" t="s">
        <v>710</v>
      </c>
      <c r="F21" s="2472"/>
      <c r="G21" s="5"/>
    </row>
    <row r="22" spans="1:7" ht="12.15" customHeight="1">
      <c r="A22" s="12" t="s">
        <v>711</v>
      </c>
      <c r="B22" s="2473" t="s">
        <v>712</v>
      </c>
      <c r="C22" s="2473"/>
      <c r="D22" s="2473"/>
      <c r="E22" s="2473"/>
      <c r="F22" s="2473"/>
      <c r="G22" s="5"/>
    </row>
  </sheetData>
  <mergeCells count="7">
    <mergeCell ref="B22:F22"/>
    <mergeCell ref="A9:F9"/>
    <mergeCell ref="E12:F12"/>
    <mergeCell ref="E18:F18"/>
    <mergeCell ref="B20:F20"/>
    <mergeCell ref="B21:D21"/>
    <mergeCell ref="E21:F21"/>
  </mergeCells>
  <pageMargins left="0.7" right="0.7" top="0.75" bottom="0.75" header="0.3" footer="0.3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1-000000000000}">
  <sheetPr codeName="Sheet249"/>
  <dimension ref="A1:G42"/>
  <sheetViews>
    <sheetView workbookViewId="0">
      <selection activeCell="G42" sqref="A1:G42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2616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2010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2011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897</v>
      </c>
      <c r="F7" s="5"/>
      <c r="G7" s="5"/>
    </row>
    <row r="8" spans="1:7" ht="12" customHeight="1">
      <c r="A8" s="2484" t="s">
        <v>685</v>
      </c>
      <c r="B8" s="2484"/>
      <c r="C8" s="2484"/>
      <c r="D8" s="2484"/>
      <c r="E8" s="2484"/>
      <c r="F8" s="2484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65" customHeight="1">
      <c r="A10" s="5"/>
      <c r="B10" s="3" t="s">
        <v>2012</v>
      </c>
      <c r="C10" s="5"/>
      <c r="D10" s="12" t="s">
        <v>1423</v>
      </c>
      <c r="E10" s="12">
        <v>1</v>
      </c>
      <c r="F10" s="5"/>
      <c r="G10" s="5"/>
    </row>
    <row r="11" spans="1:7" ht="12" customHeight="1">
      <c r="A11" s="5"/>
      <c r="B11" s="5"/>
      <c r="C11" s="5"/>
      <c r="D11" s="5"/>
      <c r="E11" s="2474" t="s">
        <v>702</v>
      </c>
      <c r="F11" s="2474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35.1" customHeight="1">
      <c r="A13" s="5"/>
      <c r="B13" s="2" t="s">
        <v>1768</v>
      </c>
      <c r="C13" s="5"/>
      <c r="D13" s="2" t="s">
        <v>1483</v>
      </c>
      <c r="E13" s="2" t="s">
        <v>2013</v>
      </c>
      <c r="F13" s="5"/>
      <c r="G13" s="5"/>
    </row>
    <row r="14" spans="1:7" ht="23.4" customHeight="1">
      <c r="A14" s="5"/>
      <c r="B14" s="2" t="s">
        <v>2005</v>
      </c>
      <c r="C14" s="5"/>
      <c r="D14" s="2" t="s">
        <v>1483</v>
      </c>
      <c r="E14" s="2" t="s">
        <v>2014</v>
      </c>
      <c r="F14" s="5"/>
      <c r="G14" s="5"/>
    </row>
    <row r="15" spans="1:7" ht="23.4" customHeight="1">
      <c r="A15" s="5"/>
      <c r="B15" s="2" t="s">
        <v>2007</v>
      </c>
      <c r="C15" s="5"/>
      <c r="D15" s="2" t="s">
        <v>1483</v>
      </c>
      <c r="E15" s="2" t="s">
        <v>2015</v>
      </c>
      <c r="F15" s="5"/>
      <c r="G15" s="5"/>
    </row>
    <row r="16" spans="1:7" ht="23.4" customHeight="1">
      <c r="A16" s="5"/>
      <c r="B16" s="2" t="s">
        <v>1666</v>
      </c>
      <c r="C16" s="5"/>
      <c r="D16" s="2" t="s">
        <v>1483</v>
      </c>
      <c r="E16" s="2" t="s">
        <v>2016</v>
      </c>
      <c r="F16" s="5"/>
      <c r="G16" s="5"/>
    </row>
    <row r="17" spans="1:7" ht="12" customHeight="1">
      <c r="A17" s="5"/>
      <c r="B17" s="5"/>
      <c r="C17" s="5"/>
      <c r="D17" s="5"/>
      <c r="E17" s="2473" t="s">
        <v>705</v>
      </c>
      <c r="F17" s="2473"/>
      <c r="G17" s="5"/>
    </row>
    <row r="18" spans="1:7" ht="12" customHeight="1">
      <c r="A18" s="12" t="s">
        <v>706</v>
      </c>
      <c r="B18" s="2474" t="s">
        <v>707</v>
      </c>
      <c r="C18" s="2474"/>
      <c r="D18" s="2474"/>
      <c r="E18" s="2474"/>
      <c r="F18" s="2474"/>
      <c r="G18" s="5"/>
    </row>
    <row r="19" spans="1:7" ht="12" customHeight="1">
      <c r="A19" s="12" t="s">
        <v>708</v>
      </c>
      <c r="B19" s="2471" t="s">
        <v>709</v>
      </c>
      <c r="C19" s="2471"/>
      <c r="D19" s="2471"/>
      <c r="E19" s="2472" t="s">
        <v>710</v>
      </c>
      <c r="F19" s="2472"/>
      <c r="G19" s="5"/>
    </row>
    <row r="20" spans="1:7" ht="12" customHeight="1">
      <c r="A20" s="12" t="s">
        <v>711</v>
      </c>
      <c r="B20" s="2473" t="s">
        <v>712</v>
      </c>
      <c r="C20" s="2473"/>
      <c r="D20" s="2473"/>
      <c r="E20" s="2473"/>
      <c r="F20" s="2473"/>
      <c r="G20" s="5"/>
    </row>
    <row r="21" spans="1:7" ht="12" customHeight="1">
      <c r="A21" s="12"/>
      <c r="B21" s="26"/>
      <c r="C21" s="26"/>
      <c r="D21" s="26"/>
      <c r="E21" s="26"/>
      <c r="F21" s="26"/>
      <c r="G21" s="5"/>
    </row>
    <row r="22" spans="1:7" ht="12" customHeight="1">
      <c r="A22" s="50" t="s">
        <v>2617</v>
      </c>
      <c r="B22" s="26"/>
      <c r="C22" s="26"/>
      <c r="D22" s="26"/>
      <c r="E22" s="26"/>
      <c r="F22" s="26"/>
      <c r="G22" s="5"/>
    </row>
    <row r="23" spans="1:7" ht="12" customHeight="1">
      <c r="A23" s="12"/>
      <c r="B23" s="26"/>
      <c r="C23" s="26"/>
      <c r="D23" s="26"/>
      <c r="E23" s="26"/>
      <c r="F23" s="26"/>
      <c r="G23" s="5"/>
    </row>
    <row r="24" spans="1:7" ht="34.950000000000003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2017</v>
      </c>
      <c r="F26" s="5"/>
      <c r="G26" s="5"/>
    </row>
    <row r="27" spans="1:7" ht="12" customHeight="1">
      <c r="A27" s="5"/>
      <c r="B27" s="3" t="s">
        <v>1480</v>
      </c>
      <c r="C27" s="3" t="s">
        <v>678</v>
      </c>
      <c r="D27" s="12" t="s">
        <v>675</v>
      </c>
      <c r="E27" s="3" t="s">
        <v>2018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2" t="s">
        <v>675</v>
      </c>
      <c r="E28" s="3" t="s">
        <v>760</v>
      </c>
      <c r="F28" s="5"/>
      <c r="G28" s="5"/>
    </row>
    <row r="29" spans="1:7" ht="12" customHeight="1">
      <c r="A29" s="5"/>
      <c r="B29" s="5"/>
      <c r="C29" s="5"/>
      <c r="D29" s="5"/>
      <c r="E29" s="5"/>
      <c r="F29" s="5"/>
      <c r="G29" s="5"/>
    </row>
    <row r="30" spans="1:7" ht="12" customHeight="1">
      <c r="A30" s="2484" t="s">
        <v>685</v>
      </c>
      <c r="B30" s="2484"/>
      <c r="C30" s="2484"/>
      <c r="D30" s="2484"/>
      <c r="E30" s="2484"/>
      <c r="F30" s="2484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95" customHeight="1">
      <c r="A32" s="5"/>
      <c r="B32" s="3" t="s">
        <v>2019</v>
      </c>
      <c r="C32" s="5"/>
      <c r="D32" s="12" t="s">
        <v>1423</v>
      </c>
      <c r="E32" s="12">
        <v>1</v>
      </c>
      <c r="F32" s="5"/>
      <c r="G32" s="5"/>
    </row>
    <row r="33" spans="1:7" ht="12" customHeight="1">
      <c r="A33" s="5"/>
      <c r="B33" s="5"/>
      <c r="C33" s="5"/>
      <c r="D33" s="5"/>
      <c r="E33" s="2474" t="s">
        <v>702</v>
      </c>
      <c r="F33" s="2474"/>
      <c r="G33" s="5"/>
    </row>
    <row r="34" spans="1:7" ht="12" customHeight="1">
      <c r="A34" s="12" t="s">
        <v>703</v>
      </c>
      <c r="B34" s="3" t="s">
        <v>704</v>
      </c>
      <c r="C34" s="5"/>
      <c r="D34" s="5"/>
      <c r="E34" s="5"/>
      <c r="F34" s="5"/>
      <c r="G34" s="5"/>
    </row>
    <row r="35" spans="1:7" ht="34.950000000000003" customHeight="1">
      <c r="A35" s="5"/>
      <c r="B35" s="3" t="s">
        <v>1829</v>
      </c>
      <c r="C35" s="5"/>
      <c r="D35" s="2" t="s">
        <v>1483</v>
      </c>
      <c r="E35" s="2" t="s">
        <v>2020</v>
      </c>
      <c r="F35" s="5"/>
      <c r="G35" s="5"/>
    </row>
    <row r="36" spans="1:7" ht="23.4" customHeight="1">
      <c r="A36" s="5"/>
      <c r="B36" s="2" t="s">
        <v>2005</v>
      </c>
      <c r="C36" s="5"/>
      <c r="D36" s="2" t="s">
        <v>1483</v>
      </c>
      <c r="E36" s="2" t="s">
        <v>2021</v>
      </c>
      <c r="F36" s="5"/>
      <c r="G36" s="5"/>
    </row>
    <row r="37" spans="1:7" ht="23.4" customHeight="1">
      <c r="A37" s="5"/>
      <c r="B37" s="2" t="s">
        <v>2007</v>
      </c>
      <c r="C37" s="5"/>
      <c r="D37" s="2" t="s">
        <v>1483</v>
      </c>
      <c r="E37" s="2" t="s">
        <v>2022</v>
      </c>
      <c r="F37" s="5"/>
      <c r="G37" s="5"/>
    </row>
    <row r="38" spans="1:7" ht="23.4" customHeight="1">
      <c r="A38" s="5"/>
      <c r="B38" s="2" t="s">
        <v>1666</v>
      </c>
      <c r="C38" s="5"/>
      <c r="D38" s="2" t="s">
        <v>1483</v>
      </c>
      <c r="E38" s="2" t="s">
        <v>2023</v>
      </c>
      <c r="F38" s="5"/>
      <c r="G38" s="5"/>
    </row>
    <row r="39" spans="1:7" ht="12" customHeight="1">
      <c r="A39" s="5"/>
      <c r="B39" s="5"/>
      <c r="C39" s="5"/>
      <c r="D39" s="5"/>
      <c r="E39" s="2473" t="s">
        <v>705</v>
      </c>
      <c r="F39" s="2473"/>
      <c r="G39" s="5"/>
    </row>
    <row r="40" spans="1:7" ht="12" customHeight="1">
      <c r="A40" s="12" t="s">
        <v>706</v>
      </c>
      <c r="B40" s="2474" t="s">
        <v>707</v>
      </c>
      <c r="C40" s="2474"/>
      <c r="D40" s="2474"/>
      <c r="E40" s="2474"/>
      <c r="F40" s="2474"/>
      <c r="G40" s="5"/>
    </row>
    <row r="41" spans="1:7" ht="12" customHeight="1">
      <c r="A41" s="12" t="s">
        <v>708</v>
      </c>
      <c r="B41" s="2471" t="s">
        <v>709</v>
      </c>
      <c r="C41" s="2471"/>
      <c r="D41" s="2471"/>
      <c r="E41" s="2472" t="s">
        <v>710</v>
      </c>
      <c r="F41" s="2472"/>
      <c r="G41" s="5"/>
    </row>
    <row r="42" spans="1:7" ht="12" customHeight="1">
      <c r="A42" s="12" t="s">
        <v>711</v>
      </c>
      <c r="B42" s="2473" t="s">
        <v>712</v>
      </c>
      <c r="C42" s="2473"/>
      <c r="D42" s="2473"/>
      <c r="E42" s="2473"/>
      <c r="F42" s="2473"/>
      <c r="G42" s="5"/>
    </row>
  </sheetData>
  <mergeCells count="14">
    <mergeCell ref="A8:F8"/>
    <mergeCell ref="E11:F11"/>
    <mergeCell ref="E17:F17"/>
    <mergeCell ref="B18:F18"/>
    <mergeCell ref="B19:D19"/>
    <mergeCell ref="E19:F19"/>
    <mergeCell ref="B41:D41"/>
    <mergeCell ref="E41:F41"/>
    <mergeCell ref="B42:F42"/>
    <mergeCell ref="B20:F20"/>
    <mergeCell ref="A30:F30"/>
    <mergeCell ref="E33:F33"/>
    <mergeCell ref="E39:F39"/>
    <mergeCell ref="B40:F40"/>
  </mergeCells>
  <pageMargins left="0.7" right="0.7" top="0.75" bottom="0.75" header="0.3" footer="0.3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1-000000000000}">
  <sheetPr codeName="Sheet250"/>
  <dimension ref="A1:G42"/>
  <sheetViews>
    <sheetView workbookViewId="0">
      <selection activeCell="G42" sqref="A1:G42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2618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2024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2025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1287</v>
      </c>
      <c r="F7" s="5"/>
      <c r="G7" s="5"/>
    </row>
    <row r="8" spans="1:7" ht="12" customHeight="1">
      <c r="A8" s="2484" t="s">
        <v>685</v>
      </c>
      <c r="B8" s="2484"/>
      <c r="C8" s="2484"/>
      <c r="D8" s="2484"/>
      <c r="E8" s="2484"/>
      <c r="F8" s="2484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65" customHeight="1">
      <c r="A10" s="5"/>
      <c r="B10" s="3" t="s">
        <v>2026</v>
      </c>
      <c r="C10" s="5"/>
      <c r="D10" s="12" t="s">
        <v>1423</v>
      </c>
      <c r="E10" s="12">
        <v>1</v>
      </c>
      <c r="F10" s="5"/>
      <c r="G10" s="5"/>
    </row>
    <row r="11" spans="1:7" ht="12" customHeight="1">
      <c r="A11" s="5"/>
      <c r="B11" s="5"/>
      <c r="C11" s="5"/>
      <c r="D11" s="5"/>
      <c r="E11" s="2474" t="s">
        <v>702</v>
      </c>
      <c r="F11" s="2474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35.1" customHeight="1">
      <c r="A13" s="5"/>
      <c r="B13" s="2" t="s">
        <v>1768</v>
      </c>
      <c r="C13" s="5"/>
      <c r="D13" s="2" t="s">
        <v>1483</v>
      </c>
      <c r="E13" s="2" t="s">
        <v>2027</v>
      </c>
      <c r="F13" s="5"/>
      <c r="G13" s="5"/>
    </row>
    <row r="14" spans="1:7" ht="23.4" customHeight="1">
      <c r="A14" s="5"/>
      <c r="B14" s="2" t="s">
        <v>2005</v>
      </c>
      <c r="C14" s="5"/>
      <c r="D14" s="2" t="s">
        <v>1483</v>
      </c>
      <c r="E14" s="2" t="s">
        <v>2028</v>
      </c>
      <c r="F14" s="5"/>
      <c r="G14" s="5"/>
    </row>
    <row r="15" spans="1:7" ht="23.4" customHeight="1">
      <c r="A15" s="5"/>
      <c r="B15" s="2" t="s">
        <v>2007</v>
      </c>
      <c r="C15" s="5"/>
      <c r="D15" s="2" t="s">
        <v>1483</v>
      </c>
      <c r="E15" s="2" t="s">
        <v>2029</v>
      </c>
      <c r="F15" s="5"/>
      <c r="G15" s="5"/>
    </row>
    <row r="16" spans="1:7" ht="23.4" customHeight="1">
      <c r="A16" s="5"/>
      <c r="B16" s="2" t="s">
        <v>1666</v>
      </c>
      <c r="C16" s="5"/>
      <c r="D16" s="2" t="s">
        <v>1483</v>
      </c>
      <c r="E16" s="2" t="s">
        <v>2030</v>
      </c>
      <c r="F16" s="5"/>
      <c r="G16" s="5"/>
    </row>
    <row r="17" spans="1:7" ht="12" customHeight="1">
      <c r="A17" s="5"/>
      <c r="B17" s="5"/>
      <c r="C17" s="5"/>
      <c r="D17" s="5"/>
      <c r="E17" s="2473" t="s">
        <v>705</v>
      </c>
      <c r="F17" s="2473"/>
      <c r="G17" s="5"/>
    </row>
    <row r="18" spans="1:7" ht="12" customHeight="1">
      <c r="A18" s="12" t="s">
        <v>706</v>
      </c>
      <c r="B18" s="2474" t="s">
        <v>707</v>
      </c>
      <c r="C18" s="2474"/>
      <c r="D18" s="2474"/>
      <c r="E18" s="2474"/>
      <c r="F18" s="2474"/>
      <c r="G18" s="5"/>
    </row>
    <row r="19" spans="1:7" ht="12" customHeight="1">
      <c r="A19" s="12" t="s">
        <v>708</v>
      </c>
      <c r="B19" s="2471" t="s">
        <v>709</v>
      </c>
      <c r="C19" s="2471"/>
      <c r="D19" s="2471"/>
      <c r="E19" s="2472" t="s">
        <v>710</v>
      </c>
      <c r="F19" s="2472"/>
      <c r="G19" s="5"/>
    </row>
    <row r="20" spans="1:7" ht="12" customHeight="1">
      <c r="A20" s="12" t="s">
        <v>711</v>
      </c>
      <c r="B20" s="2473" t="s">
        <v>712</v>
      </c>
      <c r="C20" s="2473"/>
      <c r="D20" s="2473"/>
      <c r="E20" s="2473"/>
      <c r="F20" s="2473"/>
      <c r="G20" s="5"/>
    </row>
    <row r="21" spans="1:7" ht="12" customHeight="1">
      <c r="A21" s="12"/>
      <c r="B21" s="26"/>
      <c r="C21" s="26"/>
      <c r="D21" s="26"/>
      <c r="E21" s="26"/>
      <c r="F21" s="26"/>
      <c r="G21" s="5"/>
    </row>
    <row r="22" spans="1:7" ht="12" customHeight="1">
      <c r="A22" s="50" t="s">
        <v>2619</v>
      </c>
      <c r="B22" s="26"/>
      <c r="C22" s="26"/>
      <c r="D22" s="26"/>
      <c r="E22" s="26"/>
      <c r="F22" s="26"/>
      <c r="G22" s="5"/>
    </row>
    <row r="23" spans="1:7" ht="12" customHeight="1">
      <c r="A23" s="12"/>
      <c r="B23" s="26"/>
      <c r="C23" s="26"/>
      <c r="D23" s="26"/>
      <c r="E23" s="26"/>
      <c r="F23" s="26"/>
      <c r="G23" s="5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2031</v>
      </c>
      <c r="F26" s="5"/>
      <c r="G26" s="5"/>
    </row>
    <row r="27" spans="1:7" ht="12" customHeight="1">
      <c r="A27" s="5"/>
      <c r="B27" s="3" t="s">
        <v>1480</v>
      </c>
      <c r="C27" s="3" t="s">
        <v>678</v>
      </c>
      <c r="D27" s="12" t="s">
        <v>675</v>
      </c>
      <c r="E27" s="3" t="s">
        <v>2032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2" t="s">
        <v>675</v>
      </c>
      <c r="E28" s="3" t="s">
        <v>718</v>
      </c>
      <c r="F28" s="5"/>
      <c r="G28" s="5"/>
    </row>
    <row r="29" spans="1:7" ht="12" customHeight="1">
      <c r="A29" s="5"/>
      <c r="B29" s="5"/>
      <c r="C29" s="5"/>
      <c r="D29" s="5"/>
      <c r="E29" s="5"/>
      <c r="F29" s="5"/>
      <c r="G29" s="5"/>
    </row>
    <row r="30" spans="1:7" ht="12" customHeight="1">
      <c r="A30" s="2484" t="s">
        <v>685</v>
      </c>
      <c r="B30" s="2484"/>
      <c r="C30" s="2484"/>
      <c r="D30" s="2484"/>
      <c r="E30" s="2484"/>
      <c r="F30" s="2484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65" customHeight="1">
      <c r="A32" s="5"/>
      <c r="B32" s="3" t="s">
        <v>2033</v>
      </c>
      <c r="C32" s="5"/>
      <c r="D32" s="12" t="s">
        <v>1423</v>
      </c>
      <c r="E32" s="12">
        <v>1</v>
      </c>
      <c r="F32" s="5"/>
      <c r="G32" s="5"/>
    </row>
    <row r="33" spans="1:7" ht="12" customHeight="1">
      <c r="A33" s="5"/>
      <c r="B33" s="5"/>
      <c r="C33" s="5"/>
      <c r="D33" s="5"/>
      <c r="E33" s="2474" t="s">
        <v>702</v>
      </c>
      <c r="F33" s="2474"/>
      <c r="G33" s="5"/>
    </row>
    <row r="34" spans="1:7" ht="12" customHeight="1">
      <c r="A34" s="12" t="s">
        <v>703</v>
      </c>
      <c r="B34" s="3" t="s">
        <v>704</v>
      </c>
      <c r="C34" s="5"/>
      <c r="D34" s="5"/>
      <c r="E34" s="5"/>
      <c r="F34" s="5"/>
      <c r="G34" s="5"/>
    </row>
    <row r="35" spans="1:7" ht="34.950000000000003" customHeight="1">
      <c r="A35" s="5"/>
      <c r="B35" s="2" t="s">
        <v>1768</v>
      </c>
      <c r="C35" s="5"/>
      <c r="D35" s="2" t="s">
        <v>1483</v>
      </c>
      <c r="E35" s="2" t="s">
        <v>2034</v>
      </c>
      <c r="F35" s="5"/>
      <c r="G35" s="5"/>
    </row>
    <row r="36" spans="1:7" ht="23.4" customHeight="1">
      <c r="A36" s="5"/>
      <c r="B36" s="3" t="s">
        <v>2035</v>
      </c>
      <c r="C36" s="5"/>
      <c r="D36" s="2" t="s">
        <v>1483</v>
      </c>
      <c r="E36" s="2" t="s">
        <v>2036</v>
      </c>
      <c r="F36" s="5"/>
      <c r="G36" s="5"/>
    </row>
    <row r="37" spans="1:7" ht="23.4" customHeight="1">
      <c r="A37" s="5"/>
      <c r="B37" s="2" t="s">
        <v>2007</v>
      </c>
      <c r="C37" s="5"/>
      <c r="D37" s="2" t="s">
        <v>1483</v>
      </c>
      <c r="E37" s="2" t="s">
        <v>2037</v>
      </c>
      <c r="F37" s="5"/>
      <c r="G37" s="5"/>
    </row>
    <row r="38" spans="1:7" ht="23.4" customHeight="1">
      <c r="A38" s="5"/>
      <c r="B38" s="2" t="s">
        <v>1666</v>
      </c>
      <c r="C38" s="5"/>
      <c r="D38" s="2" t="s">
        <v>1483</v>
      </c>
      <c r="E38" s="2" t="s">
        <v>2038</v>
      </c>
      <c r="F38" s="5"/>
      <c r="G38" s="5"/>
    </row>
    <row r="39" spans="1:7" ht="12" customHeight="1">
      <c r="A39" s="5"/>
      <c r="B39" s="5"/>
      <c r="C39" s="5"/>
      <c r="D39" s="5"/>
      <c r="E39" s="2473" t="s">
        <v>705</v>
      </c>
      <c r="F39" s="2473"/>
      <c r="G39" s="5"/>
    </row>
    <row r="40" spans="1:7" ht="12" customHeight="1">
      <c r="A40" s="12" t="s">
        <v>706</v>
      </c>
      <c r="B40" s="2474" t="s">
        <v>707</v>
      </c>
      <c r="C40" s="2474"/>
      <c r="D40" s="2474"/>
      <c r="E40" s="2474"/>
      <c r="F40" s="2474"/>
      <c r="G40" s="5"/>
    </row>
    <row r="41" spans="1:7" ht="12" customHeight="1">
      <c r="A41" s="12" t="s">
        <v>708</v>
      </c>
      <c r="B41" s="2471" t="s">
        <v>709</v>
      </c>
      <c r="C41" s="2471"/>
      <c r="D41" s="2471"/>
      <c r="E41" s="2472" t="s">
        <v>710</v>
      </c>
      <c r="F41" s="2472"/>
      <c r="G41" s="5"/>
    </row>
    <row r="42" spans="1:7" ht="12" customHeight="1">
      <c r="A42" s="12" t="s">
        <v>711</v>
      </c>
      <c r="B42" s="2473" t="s">
        <v>712</v>
      </c>
      <c r="C42" s="2473"/>
      <c r="D42" s="2473"/>
      <c r="E42" s="2473"/>
      <c r="F42" s="2473"/>
      <c r="G42" s="5"/>
    </row>
  </sheetData>
  <mergeCells count="14">
    <mergeCell ref="A8:F8"/>
    <mergeCell ref="E11:F11"/>
    <mergeCell ref="E17:F17"/>
    <mergeCell ref="B18:F18"/>
    <mergeCell ref="B19:D19"/>
    <mergeCell ref="E19:F19"/>
    <mergeCell ref="B41:D41"/>
    <mergeCell ref="E41:F41"/>
    <mergeCell ref="B42:F42"/>
    <mergeCell ref="B20:F20"/>
    <mergeCell ref="A30:F30"/>
    <mergeCell ref="E33:F33"/>
    <mergeCell ref="E39:F39"/>
    <mergeCell ref="B40:F40"/>
  </mergeCells>
  <pageMargins left="0.7" right="0.7" top="0.75" bottom="0.75" header="0.3" footer="0.3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1-000000000000}">
  <sheetPr codeName="Sheet251"/>
  <dimension ref="A1:G42"/>
  <sheetViews>
    <sheetView workbookViewId="0">
      <selection activeCell="G42" sqref="A1:G42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2620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2039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2040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1589</v>
      </c>
      <c r="F7" s="5"/>
      <c r="G7" s="5"/>
    </row>
    <row r="8" spans="1:7" ht="12" customHeight="1">
      <c r="A8" s="2484" t="s">
        <v>685</v>
      </c>
      <c r="B8" s="2484"/>
      <c r="C8" s="2484"/>
      <c r="D8" s="2484"/>
      <c r="E8" s="2484"/>
      <c r="F8" s="2484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65" customHeight="1">
      <c r="A10" s="5"/>
      <c r="B10" s="3" t="s">
        <v>2041</v>
      </c>
      <c r="C10" s="5"/>
      <c r="D10" s="12" t="s">
        <v>1423</v>
      </c>
      <c r="E10" s="12">
        <v>1</v>
      </c>
      <c r="F10" s="5"/>
      <c r="G10" s="5"/>
    </row>
    <row r="11" spans="1:7" ht="12" customHeight="1">
      <c r="A11" s="5"/>
      <c r="B11" s="5"/>
      <c r="C11" s="5"/>
      <c r="D11" s="5"/>
      <c r="E11" s="2474" t="s">
        <v>702</v>
      </c>
      <c r="F11" s="2474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35.1" customHeight="1">
      <c r="A13" s="5"/>
      <c r="B13" s="2" t="s">
        <v>1768</v>
      </c>
      <c r="C13" s="5"/>
      <c r="D13" s="2" t="s">
        <v>1483</v>
      </c>
      <c r="E13" s="2" t="s">
        <v>2042</v>
      </c>
      <c r="F13" s="5"/>
      <c r="G13" s="5"/>
    </row>
    <row r="14" spans="1:7" ht="23.4" customHeight="1">
      <c r="A14" s="5"/>
      <c r="B14" s="2" t="s">
        <v>2005</v>
      </c>
      <c r="C14" s="5"/>
      <c r="D14" s="2" t="s">
        <v>1483</v>
      </c>
      <c r="E14" s="2" t="s">
        <v>2043</v>
      </c>
      <c r="F14" s="5"/>
      <c r="G14" s="5"/>
    </row>
    <row r="15" spans="1:7" ht="23.4" customHeight="1">
      <c r="A15" s="5"/>
      <c r="B15" s="2" t="s">
        <v>2007</v>
      </c>
      <c r="C15" s="5"/>
      <c r="D15" s="2" t="s">
        <v>1483</v>
      </c>
      <c r="E15" s="2" t="s">
        <v>2044</v>
      </c>
      <c r="F15" s="5"/>
      <c r="G15" s="5"/>
    </row>
    <row r="16" spans="1:7" ht="23.4" customHeight="1">
      <c r="A16" s="5"/>
      <c r="B16" s="2" t="s">
        <v>1666</v>
      </c>
      <c r="C16" s="5"/>
      <c r="D16" s="2" t="s">
        <v>1483</v>
      </c>
      <c r="E16" s="2" t="s">
        <v>2045</v>
      </c>
      <c r="F16" s="5"/>
      <c r="G16" s="5"/>
    </row>
    <row r="17" spans="1:7" ht="12" customHeight="1">
      <c r="A17" s="5"/>
      <c r="B17" s="5"/>
      <c r="C17" s="5"/>
      <c r="D17" s="5"/>
      <c r="E17" s="2473" t="s">
        <v>705</v>
      </c>
      <c r="F17" s="2473"/>
      <c r="G17" s="5"/>
    </row>
    <row r="18" spans="1:7" ht="12" customHeight="1">
      <c r="A18" s="12" t="s">
        <v>706</v>
      </c>
      <c r="B18" s="2474" t="s">
        <v>707</v>
      </c>
      <c r="C18" s="2474"/>
      <c r="D18" s="2474"/>
      <c r="E18" s="2474"/>
      <c r="F18" s="2474"/>
      <c r="G18" s="5"/>
    </row>
    <row r="19" spans="1:7" ht="12" customHeight="1">
      <c r="A19" s="12" t="s">
        <v>708</v>
      </c>
      <c r="B19" s="2471" t="s">
        <v>709</v>
      </c>
      <c r="C19" s="2471"/>
      <c r="D19" s="2471"/>
      <c r="E19" s="2472" t="s">
        <v>710</v>
      </c>
      <c r="F19" s="2472"/>
      <c r="G19" s="5"/>
    </row>
    <row r="20" spans="1:7" ht="12" customHeight="1">
      <c r="A20" s="12" t="s">
        <v>711</v>
      </c>
      <c r="B20" s="2473" t="s">
        <v>712</v>
      </c>
      <c r="C20" s="2473"/>
      <c r="D20" s="2473"/>
      <c r="E20" s="2473"/>
      <c r="F20" s="2473"/>
      <c r="G20" s="5"/>
    </row>
    <row r="21" spans="1:7" ht="12" customHeight="1">
      <c r="A21" s="12"/>
      <c r="B21" s="26"/>
      <c r="C21" s="26"/>
      <c r="D21" s="26"/>
      <c r="E21" s="26"/>
      <c r="F21" s="26"/>
      <c r="G21" s="5"/>
    </row>
    <row r="22" spans="1:7" ht="12" customHeight="1">
      <c r="A22" s="50" t="s">
        <v>2621</v>
      </c>
      <c r="B22" s="26"/>
      <c r="C22" s="26"/>
      <c r="D22" s="26"/>
      <c r="E22" s="26"/>
      <c r="F22" s="26"/>
      <c r="G22" s="5"/>
    </row>
    <row r="23" spans="1:7" ht="12" customHeight="1">
      <c r="A23" s="12"/>
      <c r="B23" s="26"/>
      <c r="C23" s="26"/>
      <c r="D23" s="26"/>
      <c r="E23" s="26"/>
      <c r="F23" s="26"/>
      <c r="G23" s="5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2046</v>
      </c>
      <c r="F26" s="5"/>
      <c r="G26" s="5"/>
    </row>
    <row r="27" spans="1:7" ht="12" customHeight="1">
      <c r="A27" s="5"/>
      <c r="B27" s="3" t="s">
        <v>1480</v>
      </c>
      <c r="C27" s="3" t="s">
        <v>678</v>
      </c>
      <c r="D27" s="12" t="s">
        <v>675</v>
      </c>
      <c r="E27" s="3" t="s">
        <v>2047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2" t="s">
        <v>675</v>
      </c>
      <c r="E28" s="3" t="s">
        <v>2048</v>
      </c>
      <c r="F28" s="5"/>
      <c r="G28" s="5"/>
    </row>
    <row r="29" spans="1:7" ht="12" customHeight="1">
      <c r="A29" s="5"/>
      <c r="B29" s="5"/>
      <c r="C29" s="5"/>
      <c r="D29" s="5"/>
      <c r="E29" s="5"/>
      <c r="F29" s="5"/>
      <c r="G29" s="5"/>
    </row>
    <row r="30" spans="1:7" ht="12" customHeight="1">
      <c r="A30" s="2484" t="s">
        <v>685</v>
      </c>
      <c r="B30" s="2484"/>
      <c r="C30" s="2484"/>
      <c r="D30" s="2484"/>
      <c r="E30" s="2484"/>
      <c r="F30" s="2484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65" customHeight="1">
      <c r="A32" s="5"/>
      <c r="B32" s="3" t="s">
        <v>2049</v>
      </c>
      <c r="C32" s="5"/>
      <c r="D32" s="12" t="s">
        <v>1423</v>
      </c>
      <c r="E32" s="12">
        <v>1</v>
      </c>
      <c r="F32" s="5"/>
      <c r="G32" s="5"/>
    </row>
    <row r="33" spans="1:7" ht="12" customHeight="1">
      <c r="A33" s="5"/>
      <c r="B33" s="5"/>
      <c r="C33" s="5"/>
      <c r="D33" s="5"/>
      <c r="E33" s="2474" t="s">
        <v>702</v>
      </c>
      <c r="F33" s="2474"/>
      <c r="G33" s="5"/>
    </row>
    <row r="34" spans="1:7" ht="12" customHeight="1">
      <c r="A34" s="12" t="s">
        <v>703</v>
      </c>
      <c r="B34" s="3" t="s">
        <v>704</v>
      </c>
      <c r="C34" s="5"/>
      <c r="D34" s="5"/>
      <c r="E34" s="5"/>
      <c r="F34" s="5"/>
      <c r="G34" s="5"/>
    </row>
    <row r="35" spans="1:7" ht="34.950000000000003" customHeight="1">
      <c r="A35" s="5"/>
      <c r="B35" s="2" t="s">
        <v>1768</v>
      </c>
      <c r="C35" s="5"/>
      <c r="D35" s="2" t="s">
        <v>1483</v>
      </c>
      <c r="E35" s="2" t="s">
        <v>2050</v>
      </c>
      <c r="F35" s="5"/>
      <c r="G35" s="5"/>
    </row>
    <row r="36" spans="1:7" ht="23.4" customHeight="1">
      <c r="A36" s="5"/>
      <c r="B36" s="3" t="s">
        <v>2035</v>
      </c>
      <c r="C36" s="5"/>
      <c r="D36" s="2" t="s">
        <v>1483</v>
      </c>
      <c r="E36" s="2" t="s">
        <v>2051</v>
      </c>
      <c r="F36" s="5"/>
      <c r="G36" s="5"/>
    </row>
    <row r="37" spans="1:7" ht="23.4" customHeight="1">
      <c r="A37" s="5"/>
      <c r="B37" s="2" t="s">
        <v>2007</v>
      </c>
      <c r="C37" s="5"/>
      <c r="D37" s="2" t="s">
        <v>1483</v>
      </c>
      <c r="E37" s="2" t="s">
        <v>2052</v>
      </c>
      <c r="F37" s="5"/>
      <c r="G37" s="5"/>
    </row>
    <row r="38" spans="1:7" ht="23.4" customHeight="1">
      <c r="A38" s="5"/>
      <c r="B38" s="2" t="s">
        <v>1666</v>
      </c>
      <c r="C38" s="5"/>
      <c r="D38" s="2" t="s">
        <v>1483</v>
      </c>
      <c r="E38" s="2" t="s">
        <v>2053</v>
      </c>
      <c r="F38" s="5"/>
      <c r="G38" s="5"/>
    </row>
    <row r="39" spans="1:7" ht="12" customHeight="1">
      <c r="A39" s="5"/>
      <c r="B39" s="5"/>
      <c r="C39" s="5"/>
      <c r="D39" s="5"/>
      <c r="E39" s="2473" t="s">
        <v>705</v>
      </c>
      <c r="F39" s="2473"/>
      <c r="G39" s="5"/>
    </row>
    <row r="40" spans="1:7" ht="12" customHeight="1">
      <c r="A40" s="12" t="s">
        <v>706</v>
      </c>
      <c r="B40" s="2474" t="s">
        <v>707</v>
      </c>
      <c r="C40" s="2474"/>
      <c r="D40" s="2474"/>
      <c r="E40" s="2474"/>
      <c r="F40" s="2474"/>
      <c r="G40" s="5"/>
    </row>
    <row r="41" spans="1:7" ht="12" customHeight="1">
      <c r="A41" s="12" t="s">
        <v>708</v>
      </c>
      <c r="B41" s="2471" t="s">
        <v>709</v>
      </c>
      <c r="C41" s="2471"/>
      <c r="D41" s="2471"/>
      <c r="E41" s="2472" t="s">
        <v>710</v>
      </c>
      <c r="F41" s="2472"/>
      <c r="G41" s="5"/>
    </row>
    <row r="42" spans="1:7" ht="12" customHeight="1">
      <c r="A42" s="12" t="s">
        <v>711</v>
      </c>
      <c r="B42" s="2473" t="s">
        <v>712</v>
      </c>
      <c r="C42" s="2473"/>
      <c r="D42" s="2473"/>
      <c r="E42" s="2473"/>
      <c r="F42" s="2473"/>
      <c r="G42" s="5"/>
    </row>
  </sheetData>
  <mergeCells count="14">
    <mergeCell ref="A8:F8"/>
    <mergeCell ref="E11:F11"/>
    <mergeCell ref="E17:F17"/>
    <mergeCell ref="B18:F18"/>
    <mergeCell ref="B19:D19"/>
    <mergeCell ref="E19:F19"/>
    <mergeCell ref="B41:D41"/>
    <mergeCell ref="E41:F41"/>
    <mergeCell ref="B42:F42"/>
    <mergeCell ref="B20:F20"/>
    <mergeCell ref="A30:F30"/>
    <mergeCell ref="E33:F33"/>
    <mergeCell ref="E39:F39"/>
    <mergeCell ref="B40:F40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18"/>
  <dimension ref="A1:G45"/>
  <sheetViews>
    <sheetView topLeftCell="A31" workbookViewId="0">
      <selection sqref="A1:G45"/>
    </sheetView>
  </sheetViews>
  <sheetFormatPr defaultRowHeight="14.4"/>
  <cols>
    <col min="1" max="1" width="5.33203125" customWidth="1"/>
    <col min="2" max="2" width="23.6640625" customWidth="1"/>
    <col min="3" max="3" width="5.6640625" customWidth="1"/>
    <col min="4" max="4" width="8.33203125" customWidth="1"/>
    <col min="5" max="5" width="11" customWidth="1"/>
    <col min="6" max="6" width="13.44140625" customWidth="1"/>
    <col min="7" max="7" width="14.88671875" customWidth="1"/>
  </cols>
  <sheetData>
    <row r="1" spans="1:7">
      <c r="A1" s="55" t="s">
        <v>2156</v>
      </c>
    </row>
    <row r="2" spans="1:7">
      <c r="A2" s="51"/>
    </row>
    <row r="3" spans="1:7" ht="31.5" customHeight="1">
      <c r="A3" s="9" t="s">
        <v>1003</v>
      </c>
      <c r="B3" s="19" t="s">
        <v>1004</v>
      </c>
      <c r="C3" s="9" t="s">
        <v>1005</v>
      </c>
      <c r="D3" s="9" t="s">
        <v>1006</v>
      </c>
      <c r="E3" s="9" t="s">
        <v>1007</v>
      </c>
      <c r="F3" s="8" t="s">
        <v>669</v>
      </c>
      <c r="G3" s="8" t="s">
        <v>670</v>
      </c>
    </row>
    <row r="4" spans="1:7" ht="10.95" customHeight="1">
      <c r="A4" s="10" t="s">
        <v>671</v>
      </c>
      <c r="B4" s="10" t="s">
        <v>672</v>
      </c>
      <c r="C4" s="5"/>
      <c r="D4" s="5"/>
      <c r="E4" s="5"/>
      <c r="F4" s="5"/>
      <c r="G4" s="5"/>
    </row>
    <row r="5" spans="1:7" ht="12.45" customHeight="1">
      <c r="A5" s="5"/>
      <c r="B5" s="10" t="s">
        <v>673</v>
      </c>
      <c r="C5" s="10" t="s">
        <v>674</v>
      </c>
      <c r="D5" s="11" t="s">
        <v>675</v>
      </c>
      <c r="E5" s="11" t="s">
        <v>718</v>
      </c>
      <c r="F5" s="5"/>
      <c r="G5" s="5"/>
    </row>
    <row r="6" spans="1:7" ht="12.45" customHeight="1">
      <c r="A6" s="5"/>
      <c r="B6" s="10" t="s">
        <v>816</v>
      </c>
      <c r="C6" s="10" t="s">
        <v>678</v>
      </c>
      <c r="D6" s="11" t="s">
        <v>675</v>
      </c>
      <c r="E6" s="11" t="s">
        <v>741</v>
      </c>
      <c r="F6" s="5"/>
      <c r="G6" s="5"/>
    </row>
    <row r="7" spans="1:7" ht="12.45" customHeight="1">
      <c r="A7" s="5"/>
      <c r="B7" s="10" t="s">
        <v>680</v>
      </c>
      <c r="C7" s="10" t="s">
        <v>681</v>
      </c>
      <c r="D7" s="11" t="s">
        <v>675</v>
      </c>
      <c r="E7" s="11" t="s">
        <v>779</v>
      </c>
      <c r="F7" s="5"/>
      <c r="G7" s="5"/>
    </row>
    <row r="8" spans="1:7" ht="12.45" customHeight="1">
      <c r="A8" s="5"/>
      <c r="B8" s="10" t="s">
        <v>683</v>
      </c>
      <c r="C8" s="10" t="s">
        <v>684</v>
      </c>
      <c r="D8" s="11" t="s">
        <v>675</v>
      </c>
      <c r="E8" s="11" t="s">
        <v>811</v>
      </c>
      <c r="F8" s="5"/>
      <c r="G8" s="5"/>
    </row>
    <row r="9" spans="1:7" ht="10.95" customHeight="1">
      <c r="A9" s="5"/>
      <c r="B9" s="5"/>
      <c r="C9" s="5"/>
      <c r="D9" s="5"/>
      <c r="E9" s="2477" t="s">
        <v>685</v>
      </c>
      <c r="F9" s="2477"/>
      <c r="G9" s="5"/>
    </row>
    <row r="10" spans="1:7" ht="10.95" customHeight="1">
      <c r="A10" s="10" t="s">
        <v>686</v>
      </c>
      <c r="B10" s="10" t="s">
        <v>687</v>
      </c>
      <c r="C10" s="5"/>
      <c r="D10" s="5"/>
      <c r="E10" s="5"/>
      <c r="F10" s="5"/>
      <c r="G10" s="5"/>
    </row>
    <row r="11" spans="1:7" ht="12.45" customHeight="1">
      <c r="A11" s="5"/>
      <c r="B11" s="10" t="s">
        <v>742</v>
      </c>
      <c r="C11" s="5"/>
      <c r="D11" s="11" t="s">
        <v>692</v>
      </c>
      <c r="E11" s="10" t="s">
        <v>1025</v>
      </c>
      <c r="F11" s="5"/>
      <c r="G11" s="5"/>
    </row>
    <row r="12" spans="1:7" ht="12.45" customHeight="1">
      <c r="A12" s="5"/>
      <c r="B12" s="10" t="s">
        <v>1033</v>
      </c>
      <c r="C12" s="5"/>
      <c r="D12" s="11" t="s">
        <v>690</v>
      </c>
      <c r="E12" s="10" t="s">
        <v>1034</v>
      </c>
      <c r="F12" s="5"/>
      <c r="G12" s="5"/>
    </row>
    <row r="13" spans="1:7" ht="12.45" customHeight="1">
      <c r="A13" s="5"/>
      <c r="B13" s="10" t="s">
        <v>806</v>
      </c>
      <c r="C13" s="5"/>
      <c r="D13" s="11" t="s">
        <v>692</v>
      </c>
      <c r="E13" s="11" t="s">
        <v>1034</v>
      </c>
      <c r="F13" s="5"/>
      <c r="G13" s="5"/>
    </row>
    <row r="14" spans="1:7" ht="12.45" customHeight="1">
      <c r="A14" s="5"/>
      <c r="B14" s="10" t="s">
        <v>808</v>
      </c>
      <c r="C14" s="5"/>
      <c r="D14" s="11" t="s">
        <v>692</v>
      </c>
      <c r="E14" s="11" t="s">
        <v>839</v>
      </c>
      <c r="F14" s="5"/>
      <c r="G14" s="5"/>
    </row>
    <row r="15" spans="1:7" ht="10.95" customHeight="1">
      <c r="A15" s="5"/>
      <c r="B15" s="5"/>
      <c r="C15" s="5"/>
      <c r="D15" s="5"/>
      <c r="E15" s="2477" t="s">
        <v>702</v>
      </c>
      <c r="F15" s="2477"/>
      <c r="G15" s="5"/>
    </row>
    <row r="16" spans="1:7" ht="10.95" customHeight="1">
      <c r="A16" s="10" t="s">
        <v>703</v>
      </c>
      <c r="B16" s="10" t="s">
        <v>704</v>
      </c>
      <c r="C16" s="5"/>
      <c r="D16" s="5"/>
      <c r="E16" s="5"/>
      <c r="F16" s="5"/>
      <c r="G16" s="5"/>
    </row>
    <row r="17" spans="1:7" ht="10.95" customHeight="1">
      <c r="A17" s="5"/>
      <c r="B17" s="5"/>
      <c r="C17" s="5"/>
      <c r="D17" s="5"/>
      <c r="E17" s="5"/>
      <c r="F17" s="5"/>
      <c r="G17" s="5"/>
    </row>
    <row r="18" spans="1:7" ht="10.95" customHeight="1">
      <c r="A18" s="5"/>
      <c r="B18" s="5"/>
      <c r="C18" s="5"/>
      <c r="D18" s="5"/>
      <c r="E18" s="2477" t="s">
        <v>705</v>
      </c>
      <c r="F18" s="2477"/>
      <c r="G18" s="5"/>
    </row>
    <row r="19" spans="1:7" ht="10.95" customHeight="1">
      <c r="A19" s="5"/>
      <c r="B19" s="5"/>
      <c r="C19" s="5"/>
      <c r="D19" s="5"/>
      <c r="E19" s="5"/>
      <c r="F19" s="5"/>
      <c r="G19" s="5"/>
    </row>
    <row r="20" spans="1:7" ht="10.95" customHeight="1">
      <c r="A20" s="10" t="s">
        <v>706</v>
      </c>
      <c r="B20" s="2477" t="s">
        <v>707</v>
      </c>
      <c r="C20" s="2477"/>
      <c r="D20" s="2477"/>
      <c r="E20" s="2477"/>
      <c r="F20" s="2477"/>
      <c r="G20" s="5"/>
    </row>
    <row r="21" spans="1:7" ht="12" customHeight="1">
      <c r="A21" s="10" t="s">
        <v>708</v>
      </c>
      <c r="B21" s="2471" t="s">
        <v>876</v>
      </c>
      <c r="C21" s="2471"/>
      <c r="D21" s="2471"/>
      <c r="E21" s="2475" t="s">
        <v>710</v>
      </c>
      <c r="F21" s="2475"/>
      <c r="G21" s="5"/>
    </row>
    <row r="22" spans="1:7" ht="10.95" customHeight="1">
      <c r="A22" s="10" t="s">
        <v>711</v>
      </c>
      <c r="B22" s="2476" t="s">
        <v>712</v>
      </c>
      <c r="C22" s="2476"/>
      <c r="D22" s="2476"/>
      <c r="E22" s="2476"/>
      <c r="F22" s="2476"/>
      <c r="G22" s="5"/>
    </row>
    <row r="23" spans="1:7" ht="10.95" customHeight="1">
      <c r="A23" s="10"/>
      <c r="B23" s="27"/>
      <c r="C23" s="27"/>
      <c r="D23" s="27"/>
      <c r="E23" s="27"/>
      <c r="F23" s="27"/>
      <c r="G23" s="5"/>
    </row>
    <row r="24" spans="1:7" ht="18" customHeight="1">
      <c r="A24" s="50" t="s">
        <v>2157</v>
      </c>
      <c r="B24" s="27"/>
      <c r="C24" s="27"/>
      <c r="D24" s="27"/>
      <c r="E24" s="27"/>
      <c r="F24" s="27"/>
      <c r="G24" s="5"/>
    </row>
    <row r="25" spans="1:7" ht="10.95" customHeight="1">
      <c r="A25" s="10"/>
      <c r="B25" s="27"/>
      <c r="C25" s="27"/>
      <c r="D25" s="27"/>
      <c r="E25" s="27"/>
      <c r="F25" s="27"/>
      <c r="G25" s="5"/>
    </row>
    <row r="26" spans="1:7" ht="31.5" customHeight="1">
      <c r="A26" s="9" t="s">
        <v>1003</v>
      </c>
      <c r="B26" s="19" t="s">
        <v>1004</v>
      </c>
      <c r="C26" s="9" t="s">
        <v>1005</v>
      </c>
      <c r="D26" s="9" t="s">
        <v>1006</v>
      </c>
      <c r="E26" s="9" t="s">
        <v>1007</v>
      </c>
      <c r="F26" s="8" t="s">
        <v>669</v>
      </c>
      <c r="G26" s="8" t="s">
        <v>670</v>
      </c>
    </row>
    <row r="27" spans="1:7" ht="10.95" customHeight="1">
      <c r="A27" s="10" t="s">
        <v>671</v>
      </c>
      <c r="B27" s="10" t="s">
        <v>672</v>
      </c>
      <c r="C27" s="5"/>
      <c r="D27" s="5"/>
      <c r="E27" s="5"/>
      <c r="F27" s="5"/>
      <c r="G27" s="5"/>
    </row>
    <row r="28" spans="1:7" ht="12.45" customHeight="1">
      <c r="A28" s="5"/>
      <c r="B28" s="10" t="s">
        <v>673</v>
      </c>
      <c r="C28" s="10" t="s">
        <v>674</v>
      </c>
      <c r="D28" s="11" t="s">
        <v>675</v>
      </c>
      <c r="E28" s="11" t="s">
        <v>845</v>
      </c>
      <c r="F28" s="5"/>
      <c r="G28" s="5"/>
    </row>
    <row r="29" spans="1:7" ht="12.45" customHeight="1">
      <c r="A29" s="5"/>
      <c r="B29" s="10" t="s">
        <v>816</v>
      </c>
      <c r="C29" s="10" t="s">
        <v>678</v>
      </c>
      <c r="D29" s="11" t="s">
        <v>675</v>
      </c>
      <c r="E29" s="11" t="s">
        <v>740</v>
      </c>
      <c r="F29" s="5"/>
      <c r="G29" s="5"/>
    </row>
    <row r="30" spans="1:7" ht="12.45" customHeight="1">
      <c r="A30" s="5"/>
      <c r="B30" s="10" t="s">
        <v>680</v>
      </c>
      <c r="C30" s="10" t="s">
        <v>681</v>
      </c>
      <c r="D30" s="11" t="s">
        <v>675</v>
      </c>
      <c r="E30" s="11" t="s">
        <v>811</v>
      </c>
      <c r="F30" s="5"/>
      <c r="G30" s="5"/>
    </row>
    <row r="31" spans="1:7" ht="12.45" customHeight="1">
      <c r="A31" s="5"/>
      <c r="B31" s="10" t="s">
        <v>683</v>
      </c>
      <c r="C31" s="10" t="s">
        <v>684</v>
      </c>
      <c r="D31" s="11" t="s">
        <v>675</v>
      </c>
      <c r="E31" s="11" t="s">
        <v>865</v>
      </c>
      <c r="F31" s="5"/>
      <c r="G31" s="5"/>
    </row>
    <row r="32" spans="1:7" ht="10.95" customHeight="1">
      <c r="A32" s="5"/>
      <c r="B32" s="5"/>
      <c r="C32" s="5"/>
      <c r="D32" s="5"/>
      <c r="E32" s="2477" t="s">
        <v>685</v>
      </c>
      <c r="F32" s="2477"/>
      <c r="G32" s="5"/>
    </row>
    <row r="33" spans="1:7" ht="10.95" customHeight="1">
      <c r="A33" s="10" t="s">
        <v>686</v>
      </c>
      <c r="B33" s="10" t="s">
        <v>687</v>
      </c>
      <c r="C33" s="5"/>
      <c r="D33" s="5"/>
      <c r="E33" s="5"/>
      <c r="F33" s="5"/>
      <c r="G33" s="5"/>
    </row>
    <row r="34" spans="1:7" ht="12.45" customHeight="1">
      <c r="A34" s="5"/>
      <c r="B34" s="10" t="s">
        <v>1035</v>
      </c>
      <c r="C34" s="5"/>
      <c r="D34" s="11" t="s">
        <v>692</v>
      </c>
      <c r="E34" s="10" t="s">
        <v>1036</v>
      </c>
      <c r="F34" s="5"/>
      <c r="G34" s="5"/>
    </row>
    <row r="35" spans="1:7" ht="12.45" customHeight="1">
      <c r="A35" s="5"/>
      <c r="B35" s="10" t="s">
        <v>738</v>
      </c>
      <c r="C35" s="5"/>
      <c r="D35" s="11" t="s">
        <v>690</v>
      </c>
      <c r="E35" s="10" t="s">
        <v>1037</v>
      </c>
      <c r="F35" s="5"/>
      <c r="G35" s="5"/>
    </row>
    <row r="36" spans="1:7" ht="12.45" customHeight="1">
      <c r="A36" s="5"/>
      <c r="B36" s="10" t="s">
        <v>808</v>
      </c>
      <c r="C36" s="5"/>
      <c r="D36" s="11" t="s">
        <v>692</v>
      </c>
      <c r="E36" s="10" t="s">
        <v>1038</v>
      </c>
      <c r="F36" s="5"/>
      <c r="G36" s="5"/>
    </row>
    <row r="37" spans="1:7" ht="12.45" customHeight="1">
      <c r="A37" s="5"/>
      <c r="B37" s="10" t="s">
        <v>1039</v>
      </c>
      <c r="C37" s="5"/>
      <c r="D37" s="11" t="s">
        <v>690</v>
      </c>
      <c r="E37" s="11" t="s">
        <v>1040</v>
      </c>
      <c r="F37" s="5"/>
      <c r="G37" s="5"/>
    </row>
    <row r="38" spans="1:7" ht="10.95" customHeight="1">
      <c r="A38" s="5"/>
      <c r="B38" s="5"/>
      <c r="C38" s="5"/>
      <c r="D38" s="5"/>
      <c r="E38" s="2477" t="s">
        <v>702</v>
      </c>
      <c r="F38" s="2477"/>
      <c r="G38" s="5"/>
    </row>
    <row r="39" spans="1:7" ht="10.95" customHeight="1">
      <c r="A39" s="10" t="s">
        <v>703</v>
      </c>
      <c r="B39" s="10" t="s">
        <v>704</v>
      </c>
      <c r="C39" s="5"/>
      <c r="D39" s="5"/>
      <c r="E39" s="5"/>
      <c r="F39" s="5"/>
      <c r="G39" s="5"/>
    </row>
    <row r="40" spans="1:7" ht="10.95" customHeight="1">
      <c r="A40" s="5"/>
      <c r="B40" s="5"/>
      <c r="C40" s="5"/>
      <c r="D40" s="5"/>
      <c r="E40" s="5"/>
      <c r="F40" s="5"/>
      <c r="G40" s="5"/>
    </row>
    <row r="41" spans="1:7" ht="10.95" customHeight="1">
      <c r="A41" s="5"/>
      <c r="B41" s="5"/>
      <c r="C41" s="5"/>
      <c r="D41" s="5"/>
      <c r="E41" s="2477" t="s">
        <v>705</v>
      </c>
      <c r="F41" s="2477"/>
      <c r="G41" s="5"/>
    </row>
    <row r="42" spans="1:7" ht="10.95" customHeight="1">
      <c r="A42" s="5"/>
      <c r="B42" s="5"/>
      <c r="C42" s="5"/>
      <c r="D42" s="5"/>
      <c r="E42" s="5"/>
      <c r="F42" s="5"/>
      <c r="G42" s="5"/>
    </row>
    <row r="43" spans="1:7" ht="10.95" customHeight="1">
      <c r="A43" s="10" t="s">
        <v>706</v>
      </c>
      <c r="B43" s="2477" t="s">
        <v>707</v>
      </c>
      <c r="C43" s="2477"/>
      <c r="D43" s="2477"/>
      <c r="E43" s="2477"/>
      <c r="F43" s="2477"/>
      <c r="G43" s="5"/>
    </row>
    <row r="44" spans="1:7" ht="10.95" customHeight="1">
      <c r="A44" s="10" t="s">
        <v>708</v>
      </c>
      <c r="B44" s="2478" t="s">
        <v>876</v>
      </c>
      <c r="C44" s="2478"/>
      <c r="D44" s="2478"/>
      <c r="E44" s="2475" t="s">
        <v>710</v>
      </c>
      <c r="F44" s="2475"/>
      <c r="G44" s="5"/>
    </row>
    <row r="45" spans="1:7" ht="10.95" customHeight="1">
      <c r="A45" s="10" t="s">
        <v>711</v>
      </c>
      <c r="B45" s="2476" t="s">
        <v>712</v>
      </c>
      <c r="C45" s="2476"/>
      <c r="D45" s="2476"/>
      <c r="E45" s="2476"/>
      <c r="F45" s="2476"/>
      <c r="G45" s="5"/>
    </row>
  </sheetData>
  <mergeCells count="14">
    <mergeCell ref="E9:F9"/>
    <mergeCell ref="E15:F15"/>
    <mergeCell ref="E18:F18"/>
    <mergeCell ref="B20:F20"/>
    <mergeCell ref="B21:D21"/>
    <mergeCell ref="E21:F21"/>
    <mergeCell ref="B44:D44"/>
    <mergeCell ref="E44:F44"/>
    <mergeCell ref="B45:F45"/>
    <mergeCell ref="B22:F22"/>
    <mergeCell ref="E32:F32"/>
    <mergeCell ref="E38:F38"/>
    <mergeCell ref="E41:F41"/>
    <mergeCell ref="B43:F43"/>
  </mergeCells>
  <pageMargins left="0.7" right="0.7" top="0.75" bottom="0.75" header="0.3" footer="0.3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1-000000000000}">
  <sheetPr codeName="Sheet252"/>
  <dimension ref="A1:G42"/>
  <sheetViews>
    <sheetView topLeftCell="A22" workbookViewId="0">
      <selection sqref="A1:G42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2622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2054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2055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830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2484" t="s">
        <v>685</v>
      </c>
      <c r="B9" s="2484"/>
      <c r="C9" s="2484"/>
      <c r="D9" s="2484"/>
      <c r="E9" s="2484"/>
      <c r="F9" s="2484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65" customHeight="1">
      <c r="A11" s="5"/>
      <c r="B11" s="3" t="s">
        <v>2056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2474" t="s">
        <v>702</v>
      </c>
      <c r="F12" s="2474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2057</v>
      </c>
      <c r="F14" s="5"/>
      <c r="G14" s="5"/>
    </row>
    <row r="15" spans="1:7" ht="23.4" customHeight="1">
      <c r="A15" s="5"/>
      <c r="B15" s="2" t="s">
        <v>2005</v>
      </c>
      <c r="C15" s="5"/>
      <c r="D15" s="2" t="s">
        <v>1483</v>
      </c>
      <c r="E15" s="2" t="s">
        <v>2058</v>
      </c>
      <c r="F15" s="5"/>
      <c r="G15" s="5"/>
    </row>
    <row r="16" spans="1:7" ht="23.4" customHeight="1">
      <c r="A16" s="5"/>
      <c r="B16" s="2" t="s">
        <v>2007</v>
      </c>
      <c r="C16" s="5"/>
      <c r="D16" s="2" t="s">
        <v>1483</v>
      </c>
      <c r="E16" s="2" t="s">
        <v>2059</v>
      </c>
      <c r="F16" s="5"/>
      <c r="G16" s="5"/>
    </row>
    <row r="17" spans="1:7" ht="23.4" customHeight="1">
      <c r="A17" s="5"/>
      <c r="B17" s="2" t="s">
        <v>1666</v>
      </c>
      <c r="C17" s="5"/>
      <c r="D17" s="2" t="s">
        <v>1483</v>
      </c>
      <c r="E17" s="2" t="s">
        <v>2060</v>
      </c>
      <c r="F17" s="5"/>
      <c r="G17" s="5"/>
    </row>
    <row r="18" spans="1:7" ht="12" customHeight="1">
      <c r="A18" s="5"/>
      <c r="B18" s="5"/>
      <c r="C18" s="5"/>
      <c r="D18" s="5"/>
      <c r="E18" s="2473" t="s">
        <v>705</v>
      </c>
      <c r="F18" s="2473"/>
      <c r="G18" s="5"/>
    </row>
    <row r="19" spans="1:7" ht="12" customHeight="1">
      <c r="A19" s="12" t="s">
        <v>706</v>
      </c>
      <c r="B19" s="2474" t="s">
        <v>707</v>
      </c>
      <c r="C19" s="2474"/>
      <c r="D19" s="2474"/>
      <c r="E19" s="2474"/>
      <c r="F19" s="2474"/>
      <c r="G19" s="5"/>
    </row>
    <row r="20" spans="1:7" ht="12" customHeight="1">
      <c r="A20" s="12" t="s">
        <v>708</v>
      </c>
      <c r="B20" s="2471" t="s">
        <v>709</v>
      </c>
      <c r="C20" s="2471"/>
      <c r="D20" s="2471"/>
      <c r="E20" s="2472" t="s">
        <v>710</v>
      </c>
      <c r="F20" s="2472"/>
      <c r="G20" s="5"/>
    </row>
    <row r="21" spans="1:7" ht="12" customHeight="1">
      <c r="A21" s="12" t="s">
        <v>711</v>
      </c>
      <c r="B21" s="2473" t="s">
        <v>712</v>
      </c>
      <c r="C21" s="2473"/>
      <c r="D21" s="2473"/>
      <c r="E21" s="2473"/>
      <c r="F21" s="2473"/>
      <c r="G21" s="5"/>
    </row>
    <row r="22" spans="1:7" ht="12" customHeight="1">
      <c r="A22" s="12"/>
      <c r="B22" s="26"/>
      <c r="C22" s="26"/>
      <c r="D22" s="26"/>
      <c r="E22" s="26"/>
      <c r="F22" s="26"/>
      <c r="G22" s="5"/>
    </row>
    <row r="23" spans="1:7" ht="12" customHeight="1">
      <c r="A23" s="50" t="s">
        <v>2623</v>
      </c>
      <c r="B23" s="26"/>
      <c r="C23" s="26"/>
      <c r="D23" s="26"/>
      <c r="E23" s="26"/>
      <c r="F23" s="26"/>
      <c r="G23" s="5"/>
    </row>
    <row r="24" spans="1:7" ht="12" customHeight="1">
      <c r="A24" s="12"/>
      <c r="B24" s="26"/>
      <c r="C24" s="26"/>
      <c r="D24" s="26"/>
      <c r="E24" s="26"/>
      <c r="F24" s="26"/>
      <c r="G24" s="5"/>
    </row>
    <row r="25" spans="1:7" ht="34.950000000000003" customHeight="1">
      <c r="A25" s="6" t="s">
        <v>762</v>
      </c>
      <c r="B25" s="6" t="s">
        <v>763</v>
      </c>
      <c r="C25" s="6" t="s">
        <v>764</v>
      </c>
      <c r="D25" s="6" t="s">
        <v>765</v>
      </c>
      <c r="E25" s="6" t="s">
        <v>766</v>
      </c>
      <c r="F25" s="7" t="s">
        <v>767</v>
      </c>
      <c r="G25" s="7" t="s">
        <v>768</v>
      </c>
    </row>
    <row r="26" spans="1:7" ht="12" customHeight="1">
      <c r="A26" s="12" t="s">
        <v>671</v>
      </c>
      <c r="B26" s="3" t="s">
        <v>672</v>
      </c>
      <c r="C26" s="5"/>
      <c r="D26" s="5"/>
      <c r="E26" s="5"/>
      <c r="F26" s="5"/>
      <c r="G26" s="5"/>
    </row>
    <row r="27" spans="1:7" ht="12" customHeight="1">
      <c r="A27" s="5"/>
      <c r="B27" s="3" t="s">
        <v>673</v>
      </c>
      <c r="C27" s="3" t="s">
        <v>674</v>
      </c>
      <c r="D27" s="12" t="s">
        <v>675</v>
      </c>
      <c r="E27" s="3" t="s">
        <v>2061</v>
      </c>
      <c r="F27" s="5"/>
      <c r="G27" s="5"/>
    </row>
    <row r="28" spans="1:7" ht="12" customHeight="1">
      <c r="A28" s="5"/>
      <c r="B28" s="3" t="s">
        <v>1480</v>
      </c>
      <c r="C28" s="3" t="s">
        <v>678</v>
      </c>
      <c r="D28" s="12" t="s">
        <v>675</v>
      </c>
      <c r="E28" s="3" t="s">
        <v>1624</v>
      </c>
      <c r="F28" s="5"/>
      <c r="G28" s="5"/>
    </row>
    <row r="29" spans="1:7" ht="12" customHeight="1">
      <c r="A29" s="5"/>
      <c r="B29" s="3" t="s">
        <v>683</v>
      </c>
      <c r="C29" s="3" t="s">
        <v>684</v>
      </c>
      <c r="D29" s="12" t="s">
        <v>675</v>
      </c>
      <c r="E29" s="3" t="s">
        <v>1141</v>
      </c>
      <c r="F29" s="5"/>
      <c r="G29" s="5"/>
    </row>
    <row r="30" spans="1:7" ht="12" customHeight="1">
      <c r="A30" s="2484" t="s">
        <v>685</v>
      </c>
      <c r="B30" s="2484"/>
      <c r="C30" s="2484"/>
      <c r="D30" s="2484"/>
      <c r="E30" s="2484"/>
      <c r="F30" s="2484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95" customHeight="1">
      <c r="A32" s="5"/>
      <c r="B32" s="3" t="s">
        <v>2062</v>
      </c>
      <c r="C32" s="5"/>
      <c r="D32" s="12" t="s">
        <v>1423</v>
      </c>
      <c r="E32" s="12">
        <v>1</v>
      </c>
      <c r="F32" s="5"/>
      <c r="G32" s="5"/>
    </row>
    <row r="33" spans="1:7" ht="12" customHeight="1">
      <c r="A33" s="5"/>
      <c r="B33" s="5"/>
      <c r="C33" s="5"/>
      <c r="D33" s="5"/>
      <c r="E33" s="2474" t="s">
        <v>702</v>
      </c>
      <c r="F33" s="2474"/>
      <c r="G33" s="5"/>
    </row>
    <row r="34" spans="1:7" ht="12" customHeight="1">
      <c r="A34" s="12" t="s">
        <v>703</v>
      </c>
      <c r="B34" s="3" t="s">
        <v>704</v>
      </c>
      <c r="C34" s="5"/>
      <c r="D34" s="5"/>
      <c r="E34" s="5"/>
      <c r="F34" s="5"/>
      <c r="G34" s="5"/>
    </row>
    <row r="35" spans="1:7" ht="34.950000000000003" customHeight="1">
      <c r="A35" s="5"/>
      <c r="B35" s="3" t="s">
        <v>1829</v>
      </c>
      <c r="C35" s="5"/>
      <c r="D35" s="2" t="s">
        <v>1483</v>
      </c>
      <c r="E35" s="2" t="s">
        <v>2063</v>
      </c>
      <c r="F35" s="5"/>
      <c r="G35" s="5"/>
    </row>
    <row r="36" spans="1:7" ht="23.4" customHeight="1">
      <c r="A36" s="5"/>
      <c r="B36" s="2" t="s">
        <v>2005</v>
      </c>
      <c r="C36" s="5"/>
      <c r="D36" s="2" t="s">
        <v>1483</v>
      </c>
      <c r="E36" s="2" t="s">
        <v>2064</v>
      </c>
      <c r="F36" s="5"/>
      <c r="G36" s="5"/>
    </row>
    <row r="37" spans="1:7" ht="23.4" customHeight="1">
      <c r="A37" s="5"/>
      <c r="B37" s="2" t="s">
        <v>2007</v>
      </c>
      <c r="C37" s="5"/>
      <c r="D37" s="2" t="s">
        <v>1483</v>
      </c>
      <c r="E37" s="2" t="s">
        <v>2065</v>
      </c>
      <c r="F37" s="5"/>
      <c r="G37" s="5"/>
    </row>
    <row r="38" spans="1:7" ht="23.4" customHeight="1">
      <c r="A38" s="5"/>
      <c r="B38" s="2" t="s">
        <v>1666</v>
      </c>
      <c r="C38" s="5"/>
      <c r="D38" s="2" t="s">
        <v>1483</v>
      </c>
      <c r="E38" s="2" t="s">
        <v>2066</v>
      </c>
      <c r="F38" s="5"/>
      <c r="G38" s="5"/>
    </row>
    <row r="39" spans="1:7" ht="12" customHeight="1">
      <c r="A39" s="5"/>
      <c r="B39" s="5"/>
      <c r="C39" s="5"/>
      <c r="D39" s="5"/>
      <c r="E39" s="2473" t="s">
        <v>705</v>
      </c>
      <c r="F39" s="2473"/>
      <c r="G39" s="5"/>
    </row>
    <row r="40" spans="1:7" ht="12" customHeight="1">
      <c r="A40" s="12" t="s">
        <v>706</v>
      </c>
      <c r="B40" s="2474" t="s">
        <v>707</v>
      </c>
      <c r="C40" s="2474"/>
      <c r="D40" s="2474"/>
      <c r="E40" s="2474"/>
      <c r="F40" s="2474"/>
      <c r="G40" s="5"/>
    </row>
    <row r="41" spans="1:7" ht="12" customHeight="1">
      <c r="A41" s="12" t="s">
        <v>708</v>
      </c>
      <c r="B41" s="2471" t="s">
        <v>709</v>
      </c>
      <c r="C41" s="2471"/>
      <c r="D41" s="2471"/>
      <c r="E41" s="2472" t="s">
        <v>710</v>
      </c>
      <c r="F41" s="2472"/>
      <c r="G41" s="5"/>
    </row>
    <row r="42" spans="1:7" ht="12" customHeight="1">
      <c r="A42" s="12" t="s">
        <v>711</v>
      </c>
      <c r="B42" s="2473" t="s">
        <v>712</v>
      </c>
      <c r="C42" s="2473"/>
      <c r="D42" s="2473"/>
      <c r="E42" s="2473"/>
      <c r="F42" s="2473"/>
      <c r="G42" s="5"/>
    </row>
  </sheetData>
  <mergeCells count="14">
    <mergeCell ref="A9:F9"/>
    <mergeCell ref="E12:F12"/>
    <mergeCell ref="E18:F18"/>
    <mergeCell ref="B19:F19"/>
    <mergeCell ref="B20:D20"/>
    <mergeCell ref="E20:F20"/>
    <mergeCell ref="B41:D41"/>
    <mergeCell ref="E41:F41"/>
    <mergeCell ref="B42:F42"/>
    <mergeCell ref="B21:F21"/>
    <mergeCell ref="A30:F30"/>
    <mergeCell ref="E33:F33"/>
    <mergeCell ref="E39:F39"/>
    <mergeCell ref="B40:F40"/>
  </mergeCells>
  <pageMargins left="0.7" right="0.7" top="0.75" bottom="0.75" header="0.3" footer="0.3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1-000000000000}">
  <sheetPr codeName="Sheet253"/>
  <dimension ref="A1:G41"/>
  <sheetViews>
    <sheetView topLeftCell="A22" workbookViewId="0">
      <selection sqref="A1:G41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2624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2067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2068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2069</v>
      </c>
      <c r="F7" s="5"/>
      <c r="G7" s="5"/>
    </row>
    <row r="8" spans="1:7" ht="12" customHeight="1">
      <c r="A8" s="2484" t="s">
        <v>685</v>
      </c>
      <c r="B8" s="2484"/>
      <c r="C8" s="2484"/>
      <c r="D8" s="2484"/>
      <c r="E8" s="2484"/>
      <c r="F8" s="2484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65" customHeight="1">
      <c r="A10" s="5"/>
      <c r="B10" s="3" t="s">
        <v>2070</v>
      </c>
      <c r="C10" s="5"/>
      <c r="D10" s="12" t="s">
        <v>1423</v>
      </c>
      <c r="E10" s="12">
        <v>1</v>
      </c>
      <c r="F10" s="5"/>
      <c r="G10" s="5"/>
    </row>
    <row r="11" spans="1:7" ht="12" customHeight="1">
      <c r="A11" s="5"/>
      <c r="B11" s="5"/>
      <c r="C11" s="5"/>
      <c r="D11" s="5"/>
      <c r="E11" s="2474" t="s">
        <v>702</v>
      </c>
      <c r="F11" s="2474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35.1" customHeight="1">
      <c r="A13" s="5"/>
      <c r="B13" s="2" t="s">
        <v>1768</v>
      </c>
      <c r="C13" s="5"/>
      <c r="D13" s="2" t="s">
        <v>1483</v>
      </c>
      <c r="E13" s="2" t="s">
        <v>2071</v>
      </c>
      <c r="F13" s="5"/>
      <c r="G13" s="5"/>
    </row>
    <row r="14" spans="1:7" ht="23.4" customHeight="1">
      <c r="A14" s="5"/>
      <c r="B14" s="2" t="s">
        <v>2005</v>
      </c>
      <c r="C14" s="5"/>
      <c r="D14" s="2" t="s">
        <v>1483</v>
      </c>
      <c r="E14" s="2" t="s">
        <v>2072</v>
      </c>
      <c r="F14" s="5"/>
      <c r="G14" s="5"/>
    </row>
    <row r="15" spans="1:7" ht="23.4" customHeight="1">
      <c r="A15" s="5"/>
      <c r="B15" s="2" t="s">
        <v>2007</v>
      </c>
      <c r="C15" s="5"/>
      <c r="D15" s="2" t="s">
        <v>1483</v>
      </c>
      <c r="E15" s="2" t="s">
        <v>2073</v>
      </c>
      <c r="F15" s="5"/>
      <c r="G15" s="5"/>
    </row>
    <row r="16" spans="1:7" ht="23.4" customHeight="1">
      <c r="A16" s="5"/>
      <c r="B16" s="2" t="s">
        <v>1666</v>
      </c>
      <c r="C16" s="5"/>
      <c r="D16" s="2" t="s">
        <v>1483</v>
      </c>
      <c r="E16" s="2" t="s">
        <v>2074</v>
      </c>
      <c r="F16" s="5"/>
      <c r="G16" s="5"/>
    </row>
    <row r="17" spans="1:7" ht="12" customHeight="1">
      <c r="A17" s="5"/>
      <c r="B17" s="5"/>
      <c r="C17" s="5"/>
      <c r="D17" s="5"/>
      <c r="E17" s="2473" t="s">
        <v>705</v>
      </c>
      <c r="F17" s="2473"/>
      <c r="G17" s="5"/>
    </row>
    <row r="18" spans="1:7" ht="12" customHeight="1">
      <c r="A18" s="12" t="s">
        <v>706</v>
      </c>
      <c r="B18" s="2474" t="s">
        <v>707</v>
      </c>
      <c r="C18" s="2474"/>
      <c r="D18" s="2474"/>
      <c r="E18" s="2474"/>
      <c r="F18" s="2474"/>
      <c r="G18" s="5"/>
    </row>
    <row r="19" spans="1:7" ht="12" customHeight="1">
      <c r="A19" s="12" t="s">
        <v>708</v>
      </c>
      <c r="B19" s="2471" t="s">
        <v>709</v>
      </c>
      <c r="C19" s="2471"/>
      <c r="D19" s="2471"/>
      <c r="E19" s="2472" t="s">
        <v>710</v>
      </c>
      <c r="F19" s="2472"/>
      <c r="G19" s="5"/>
    </row>
    <row r="20" spans="1:7" ht="12" customHeight="1">
      <c r="A20" s="12" t="s">
        <v>711</v>
      </c>
      <c r="B20" s="2473" t="s">
        <v>712</v>
      </c>
      <c r="C20" s="2473"/>
      <c r="D20" s="2473"/>
      <c r="E20" s="2473"/>
      <c r="F20" s="2473"/>
      <c r="G20" s="5"/>
    </row>
    <row r="21" spans="1:7" ht="12" customHeight="1">
      <c r="A21" s="12"/>
      <c r="B21" s="26"/>
      <c r="C21" s="26"/>
      <c r="D21" s="26"/>
      <c r="E21" s="26"/>
      <c r="F21" s="26"/>
      <c r="G21" s="5"/>
    </row>
    <row r="22" spans="1:7" ht="12" customHeight="1">
      <c r="A22" s="50" t="s">
        <v>2625</v>
      </c>
      <c r="B22" s="26"/>
      <c r="C22" s="26"/>
      <c r="D22" s="26"/>
      <c r="E22" s="26"/>
      <c r="F22" s="26"/>
      <c r="G22" s="5"/>
    </row>
    <row r="23" spans="1:7" ht="12" customHeight="1">
      <c r="A23" s="12"/>
      <c r="B23" s="26"/>
      <c r="C23" s="26"/>
      <c r="D23" s="26"/>
      <c r="E23" s="26"/>
      <c r="F23" s="26"/>
      <c r="G23" s="5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2075</v>
      </c>
      <c r="F26" s="5"/>
      <c r="G26" s="5"/>
    </row>
    <row r="27" spans="1:7" ht="12" customHeight="1">
      <c r="A27" s="5"/>
      <c r="B27" s="3" t="s">
        <v>1480</v>
      </c>
      <c r="C27" s="3" t="s">
        <v>678</v>
      </c>
      <c r="D27" s="12" t="s">
        <v>675</v>
      </c>
      <c r="E27" s="3" t="s">
        <v>2076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2" t="s">
        <v>675</v>
      </c>
      <c r="E28" s="3" t="s">
        <v>2077</v>
      </c>
      <c r="F28" s="5"/>
      <c r="G28" s="5"/>
    </row>
    <row r="29" spans="1:7" ht="12" customHeight="1">
      <c r="A29" s="2484" t="s">
        <v>685</v>
      </c>
      <c r="B29" s="2484"/>
      <c r="C29" s="2484"/>
      <c r="D29" s="2484"/>
      <c r="E29" s="2484"/>
      <c r="F29" s="2484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65" customHeight="1">
      <c r="A31" s="5"/>
      <c r="B31" s="3" t="s">
        <v>2078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2474" t="s">
        <v>702</v>
      </c>
      <c r="F32" s="2474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2079</v>
      </c>
      <c r="F34" s="5"/>
      <c r="G34" s="5"/>
    </row>
    <row r="35" spans="1:7" ht="23.4" customHeight="1">
      <c r="A35" s="5"/>
      <c r="B35" s="2" t="s">
        <v>2005</v>
      </c>
      <c r="C35" s="5"/>
      <c r="D35" s="2" t="s">
        <v>1483</v>
      </c>
      <c r="E35" s="2" t="s">
        <v>2080</v>
      </c>
      <c r="F35" s="5"/>
      <c r="G35" s="5"/>
    </row>
    <row r="36" spans="1:7" ht="23.4" customHeight="1">
      <c r="A36" s="5"/>
      <c r="B36" s="2" t="s">
        <v>2007</v>
      </c>
      <c r="C36" s="5"/>
      <c r="D36" s="2" t="s">
        <v>1483</v>
      </c>
      <c r="E36" s="2" t="s">
        <v>2081</v>
      </c>
      <c r="F36" s="5"/>
      <c r="G36" s="5"/>
    </row>
    <row r="37" spans="1:7" ht="23.4" customHeight="1">
      <c r="A37" s="5"/>
      <c r="B37" s="2" t="s">
        <v>1666</v>
      </c>
      <c r="C37" s="5"/>
      <c r="D37" s="2" t="s">
        <v>1483</v>
      </c>
      <c r="E37" s="2" t="s">
        <v>2082</v>
      </c>
      <c r="F37" s="5"/>
      <c r="G37" s="5"/>
    </row>
    <row r="38" spans="1:7" ht="12" customHeight="1">
      <c r="A38" s="5"/>
      <c r="B38" s="5"/>
      <c r="C38" s="5"/>
      <c r="D38" s="5"/>
      <c r="E38" s="2473" t="s">
        <v>705</v>
      </c>
      <c r="F38" s="2473"/>
      <c r="G38" s="5"/>
    </row>
    <row r="39" spans="1:7" ht="12" customHeight="1">
      <c r="A39" s="12" t="s">
        <v>706</v>
      </c>
      <c r="B39" s="2474" t="s">
        <v>707</v>
      </c>
      <c r="C39" s="2474"/>
      <c r="D39" s="2474"/>
      <c r="E39" s="2474"/>
      <c r="F39" s="2474"/>
      <c r="G39" s="5"/>
    </row>
    <row r="40" spans="1:7" ht="12" customHeight="1">
      <c r="A40" s="12" t="s">
        <v>708</v>
      </c>
      <c r="B40" s="2471" t="s">
        <v>709</v>
      </c>
      <c r="C40" s="2471"/>
      <c r="D40" s="2471"/>
      <c r="E40" s="2472" t="s">
        <v>710</v>
      </c>
      <c r="F40" s="2472"/>
      <c r="G40" s="5"/>
    </row>
    <row r="41" spans="1:7" ht="12" customHeight="1">
      <c r="A41" s="12" t="s">
        <v>711</v>
      </c>
      <c r="B41" s="2473" t="s">
        <v>712</v>
      </c>
      <c r="C41" s="2473"/>
      <c r="D41" s="2473"/>
      <c r="E41" s="2473"/>
      <c r="F41" s="2473"/>
      <c r="G41" s="5"/>
    </row>
  </sheetData>
  <mergeCells count="14">
    <mergeCell ref="A8:F8"/>
    <mergeCell ref="E11:F11"/>
    <mergeCell ref="E17:F17"/>
    <mergeCell ref="B18:F18"/>
    <mergeCell ref="B19:D19"/>
    <mergeCell ref="E19:F19"/>
    <mergeCell ref="B40:D40"/>
    <mergeCell ref="E40:F40"/>
    <mergeCell ref="B41:F41"/>
    <mergeCell ref="B20:F20"/>
    <mergeCell ref="A29:F29"/>
    <mergeCell ref="E32:F32"/>
    <mergeCell ref="E38:F38"/>
    <mergeCell ref="B39:F39"/>
  </mergeCells>
  <pageMargins left="0.7" right="0.7" top="0.75" bottom="0.75" header="0.3" footer="0.3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1-000000000000}">
  <sheetPr codeName="Sheet254"/>
  <dimension ref="A1:G20"/>
  <sheetViews>
    <sheetView workbookViewId="0">
      <selection activeCell="G20" sqref="A1:G20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2626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2083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2084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2085</v>
      </c>
      <c r="F7" s="5"/>
      <c r="G7" s="5"/>
    </row>
    <row r="8" spans="1:7" ht="12" customHeight="1">
      <c r="A8" s="2484" t="s">
        <v>685</v>
      </c>
      <c r="B8" s="2484"/>
      <c r="C8" s="2484"/>
      <c r="D8" s="2484"/>
      <c r="E8" s="2484"/>
      <c r="F8" s="2484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65" customHeight="1">
      <c r="A10" s="5"/>
      <c r="B10" s="3" t="s">
        <v>2086</v>
      </c>
      <c r="C10" s="5"/>
      <c r="D10" s="12" t="s">
        <v>1423</v>
      </c>
      <c r="E10" s="12">
        <v>1</v>
      </c>
      <c r="F10" s="5"/>
      <c r="G10" s="5"/>
    </row>
    <row r="11" spans="1:7" ht="12" customHeight="1">
      <c r="A11" s="5"/>
      <c r="B11" s="5"/>
      <c r="C11" s="5"/>
      <c r="D11" s="5"/>
      <c r="E11" s="2474" t="s">
        <v>702</v>
      </c>
      <c r="F11" s="2474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35.1" customHeight="1">
      <c r="A13" s="5"/>
      <c r="B13" s="2" t="s">
        <v>1768</v>
      </c>
      <c r="C13" s="5"/>
      <c r="D13" s="2" t="s">
        <v>1483</v>
      </c>
      <c r="E13" s="2" t="s">
        <v>2087</v>
      </c>
      <c r="F13" s="5"/>
      <c r="G13" s="5"/>
    </row>
    <row r="14" spans="1:7" ht="23.4" customHeight="1">
      <c r="A14" s="5"/>
      <c r="B14" s="2" t="s">
        <v>2005</v>
      </c>
      <c r="C14" s="5"/>
      <c r="D14" s="2" t="s">
        <v>1483</v>
      </c>
      <c r="E14" s="2" t="s">
        <v>2088</v>
      </c>
      <c r="F14" s="5"/>
      <c r="G14" s="5"/>
    </row>
    <row r="15" spans="1:7" ht="23.4" customHeight="1">
      <c r="A15" s="5"/>
      <c r="B15" s="2" t="s">
        <v>2007</v>
      </c>
      <c r="C15" s="5"/>
      <c r="D15" s="2" t="s">
        <v>1483</v>
      </c>
      <c r="E15" s="2" t="s">
        <v>2089</v>
      </c>
      <c r="F15" s="5"/>
      <c r="G15" s="5"/>
    </row>
    <row r="16" spans="1:7" ht="23.4" customHeight="1">
      <c r="A16" s="5"/>
      <c r="B16" s="2" t="s">
        <v>1666</v>
      </c>
      <c r="C16" s="5"/>
      <c r="D16" s="2" t="s">
        <v>1483</v>
      </c>
      <c r="E16" s="2" t="s">
        <v>2090</v>
      </c>
      <c r="F16" s="5"/>
      <c r="G16" s="5"/>
    </row>
    <row r="17" spans="1:7" ht="12" customHeight="1">
      <c r="A17" s="5"/>
      <c r="B17" s="5"/>
      <c r="C17" s="5"/>
      <c r="D17" s="5"/>
      <c r="E17" s="2473" t="s">
        <v>705</v>
      </c>
      <c r="F17" s="2473"/>
      <c r="G17" s="5"/>
    </row>
    <row r="18" spans="1:7" ht="12" customHeight="1">
      <c r="A18" s="12" t="s">
        <v>706</v>
      </c>
      <c r="B18" s="2474" t="s">
        <v>707</v>
      </c>
      <c r="C18" s="2474"/>
      <c r="D18" s="2474"/>
      <c r="E18" s="2474"/>
      <c r="F18" s="2474"/>
      <c r="G18" s="5"/>
    </row>
    <row r="19" spans="1:7" ht="12" customHeight="1">
      <c r="A19" s="12" t="s">
        <v>708</v>
      </c>
      <c r="B19" s="2471" t="s">
        <v>709</v>
      </c>
      <c r="C19" s="2471"/>
      <c r="D19" s="2471"/>
      <c r="E19" s="2472" t="s">
        <v>710</v>
      </c>
      <c r="F19" s="2472"/>
      <c r="G19" s="5"/>
    </row>
    <row r="20" spans="1:7" ht="12.15" customHeight="1">
      <c r="A20" s="12" t="s">
        <v>711</v>
      </c>
      <c r="B20" s="2473" t="s">
        <v>712</v>
      </c>
      <c r="C20" s="2473"/>
      <c r="D20" s="2473"/>
      <c r="E20" s="2473"/>
      <c r="F20" s="2473"/>
      <c r="G20" s="5"/>
    </row>
  </sheetData>
  <mergeCells count="7">
    <mergeCell ref="B20:F20"/>
    <mergeCell ref="A8:F8"/>
    <mergeCell ref="E11:F11"/>
    <mergeCell ref="E17:F17"/>
    <mergeCell ref="B18:F18"/>
    <mergeCell ref="B19:D19"/>
    <mergeCell ref="E19:F19"/>
  </mergeCells>
  <pageMargins left="0.7" right="0.7" top="0.75" bottom="0.75" header="0.3" footer="0.3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1-000000000000}">
  <sheetPr codeName="Sheet255">
    <tabColor rgb="FFFF0000"/>
  </sheetPr>
  <dimension ref="A1:G22"/>
  <sheetViews>
    <sheetView workbookViewId="0">
      <selection sqref="A1:G22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3" t="s">
        <v>2627</v>
      </c>
    </row>
    <row r="2" spans="1:7" ht="12.15" customHeight="1">
      <c r="A2" s="71"/>
      <c r="B2" s="38"/>
      <c r="C2" s="38"/>
      <c r="D2" s="38"/>
      <c r="E2" s="38"/>
      <c r="F2" s="38"/>
      <c r="G2" s="37"/>
    </row>
    <row r="3" spans="1:7" ht="12.15" customHeight="1">
      <c r="A3" s="50" t="s">
        <v>2628</v>
      </c>
      <c r="B3" s="38"/>
      <c r="C3" s="38"/>
      <c r="D3" s="38"/>
      <c r="E3" s="38"/>
      <c r="F3" s="38"/>
      <c r="G3" s="37"/>
    </row>
    <row r="4" spans="1:7" ht="12.15" customHeight="1">
      <c r="A4" s="118"/>
      <c r="B4" s="100"/>
      <c r="C4" s="100"/>
      <c r="D4" s="100"/>
      <c r="E4" s="100"/>
      <c r="F4" s="100"/>
      <c r="G4" s="95"/>
    </row>
    <row r="5" spans="1:7" ht="34.950000000000003" customHeight="1">
      <c r="A5" s="6" t="s">
        <v>762</v>
      </c>
      <c r="B5" s="6" t="s">
        <v>763</v>
      </c>
      <c r="C5" s="6" t="s">
        <v>764</v>
      </c>
      <c r="D5" s="6" t="s">
        <v>765</v>
      </c>
      <c r="E5" s="6" t="s">
        <v>766</v>
      </c>
      <c r="F5" s="7" t="s">
        <v>767</v>
      </c>
      <c r="G5" s="7" t="s">
        <v>768</v>
      </c>
    </row>
    <row r="6" spans="1:7" ht="12" customHeight="1">
      <c r="A6" s="12" t="s">
        <v>671</v>
      </c>
      <c r="B6" s="3" t="s">
        <v>672</v>
      </c>
      <c r="C6" s="5"/>
      <c r="D6" s="5"/>
      <c r="E6" s="5"/>
      <c r="F6" s="5"/>
      <c r="G6" s="5"/>
    </row>
    <row r="7" spans="1:7" ht="12" customHeight="1">
      <c r="A7" s="5"/>
      <c r="B7" s="3" t="s">
        <v>673</v>
      </c>
      <c r="C7" s="3" t="s">
        <v>674</v>
      </c>
      <c r="D7" s="12" t="s">
        <v>675</v>
      </c>
      <c r="E7" s="3" t="s">
        <v>868</v>
      </c>
      <c r="F7" s="5"/>
      <c r="G7" s="5"/>
    </row>
    <row r="8" spans="1:7" ht="12" customHeight="1">
      <c r="A8" s="5"/>
      <c r="B8" s="3" t="s">
        <v>683</v>
      </c>
      <c r="C8" s="3" t="s">
        <v>684</v>
      </c>
      <c r="D8" s="12" t="s">
        <v>675</v>
      </c>
      <c r="E8" s="3" t="s">
        <v>1337</v>
      </c>
      <c r="F8" s="5"/>
      <c r="G8" s="5"/>
    </row>
    <row r="9" spans="1:7" ht="12" customHeight="1">
      <c r="A9" s="2484" t="s">
        <v>685</v>
      </c>
      <c r="B9" s="2484"/>
      <c r="C9" s="2484"/>
      <c r="D9" s="2484"/>
      <c r="E9" s="2484"/>
      <c r="F9" s="2484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65" customHeight="1">
      <c r="A11" s="5"/>
      <c r="B11" s="3" t="s">
        <v>2091</v>
      </c>
      <c r="C11" s="5"/>
      <c r="D11" s="12" t="s">
        <v>883</v>
      </c>
      <c r="E11" s="3" t="s">
        <v>784</v>
      </c>
      <c r="F11" s="5"/>
      <c r="G11" s="5"/>
    </row>
    <row r="12" spans="1:7" ht="12" customHeight="1">
      <c r="A12" s="5"/>
      <c r="B12" s="3" t="s">
        <v>2092</v>
      </c>
      <c r="C12" s="5"/>
      <c r="D12" s="12" t="s">
        <v>2093</v>
      </c>
      <c r="E12" s="3" t="s">
        <v>699</v>
      </c>
      <c r="F12" s="5"/>
      <c r="G12" s="5"/>
    </row>
    <row r="13" spans="1:7" ht="12" customHeight="1">
      <c r="A13" s="5"/>
      <c r="B13" s="3" t="s">
        <v>2094</v>
      </c>
      <c r="C13" s="5"/>
      <c r="D13" s="12" t="s">
        <v>2093</v>
      </c>
      <c r="E13" s="3" t="s">
        <v>784</v>
      </c>
      <c r="F13" s="5"/>
      <c r="G13" s="5"/>
    </row>
    <row r="14" spans="1:7" ht="12" customHeight="1">
      <c r="A14" s="5"/>
      <c r="B14" s="5"/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2474" t="s">
        <v>702</v>
      </c>
      <c r="F15" s="2474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5"/>
      <c r="F18" s="5"/>
      <c r="G18" s="5"/>
    </row>
    <row r="19" spans="1:7" ht="12" customHeight="1">
      <c r="A19" s="5"/>
      <c r="B19" s="5"/>
      <c r="C19" s="5"/>
      <c r="D19" s="5"/>
      <c r="E19" s="2473" t="s">
        <v>705</v>
      </c>
      <c r="F19" s="2473"/>
      <c r="G19" s="5"/>
    </row>
    <row r="20" spans="1:7" ht="12" customHeight="1">
      <c r="A20" s="12" t="s">
        <v>706</v>
      </c>
      <c r="B20" s="2474" t="s">
        <v>707</v>
      </c>
      <c r="C20" s="2474"/>
      <c r="D20" s="2474"/>
      <c r="E20" s="2474"/>
      <c r="F20" s="2474"/>
      <c r="G20" s="5"/>
    </row>
    <row r="21" spans="1:7" ht="12" customHeight="1">
      <c r="A21" s="12" t="s">
        <v>708</v>
      </c>
      <c r="B21" s="2471" t="s">
        <v>709</v>
      </c>
      <c r="C21" s="2471"/>
      <c r="D21" s="2471"/>
      <c r="E21" s="2472" t="s">
        <v>710</v>
      </c>
      <c r="F21" s="2472"/>
      <c r="G21" s="5"/>
    </row>
    <row r="22" spans="1:7" ht="12.15" customHeight="1">
      <c r="A22" s="12" t="s">
        <v>711</v>
      </c>
      <c r="B22" s="2473" t="s">
        <v>712</v>
      </c>
      <c r="C22" s="2473"/>
      <c r="D22" s="2473"/>
      <c r="E22" s="2473"/>
      <c r="F22" s="2473"/>
      <c r="G22" s="5"/>
    </row>
  </sheetData>
  <mergeCells count="7">
    <mergeCell ref="B22:F22"/>
    <mergeCell ref="A9:F9"/>
    <mergeCell ref="E15:F15"/>
    <mergeCell ref="E19:F19"/>
    <mergeCell ref="B20:F20"/>
    <mergeCell ref="B21:D21"/>
    <mergeCell ref="E21:F21"/>
  </mergeCells>
  <pageMargins left="0.7" right="0.7" top="0.75" bottom="0.75" header="0.3" footer="0.3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1-000000000000}">
  <sheetPr codeName="Sheet256"/>
  <dimension ref="A1:G41"/>
  <sheetViews>
    <sheetView topLeftCell="A22" workbookViewId="0">
      <selection sqref="A1:G41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2629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868</v>
      </c>
      <c r="F5" s="5"/>
      <c r="G5" s="5"/>
    </row>
    <row r="6" spans="1:7" ht="12" customHeight="1">
      <c r="A6" s="5"/>
      <c r="B6" s="3" t="s">
        <v>683</v>
      </c>
      <c r="C6" s="3" t="s">
        <v>684</v>
      </c>
      <c r="D6" s="12" t="s">
        <v>675</v>
      </c>
      <c r="E6" s="3" t="s">
        <v>1337</v>
      </c>
      <c r="F6" s="5"/>
      <c r="G6" s="5"/>
    </row>
    <row r="7" spans="1:7" ht="12" customHeight="1">
      <c r="A7" s="2484" t="s">
        <v>685</v>
      </c>
      <c r="B7" s="2484"/>
      <c r="C7" s="2484"/>
      <c r="D7" s="2484"/>
      <c r="E7" s="2484"/>
      <c r="F7" s="2484"/>
      <c r="G7" s="5"/>
    </row>
    <row r="8" spans="1:7" ht="12" customHeight="1">
      <c r="A8" s="12" t="s">
        <v>686</v>
      </c>
      <c r="B8" s="3" t="s">
        <v>687</v>
      </c>
      <c r="C8" s="5"/>
      <c r="D8" s="5"/>
      <c r="E8" s="5"/>
      <c r="F8" s="5"/>
      <c r="G8" s="5"/>
    </row>
    <row r="9" spans="1:7" ht="13.65" customHeight="1">
      <c r="A9" s="5"/>
      <c r="B9" s="3" t="s">
        <v>2091</v>
      </c>
      <c r="C9" s="5"/>
      <c r="D9" s="12" t="s">
        <v>883</v>
      </c>
      <c r="E9" s="3" t="s">
        <v>783</v>
      </c>
      <c r="F9" s="5"/>
      <c r="G9" s="5"/>
    </row>
    <row r="10" spans="1:7" ht="12" customHeight="1">
      <c r="A10" s="5"/>
      <c r="B10" s="3" t="s">
        <v>2092</v>
      </c>
      <c r="C10" s="5"/>
      <c r="D10" s="12" t="s">
        <v>2093</v>
      </c>
      <c r="E10" s="3" t="s">
        <v>699</v>
      </c>
      <c r="F10" s="5"/>
      <c r="G10" s="5"/>
    </row>
    <row r="11" spans="1:7" ht="12" customHeight="1">
      <c r="A11" s="5"/>
      <c r="B11" s="3" t="s">
        <v>2094</v>
      </c>
      <c r="C11" s="5"/>
      <c r="D11" s="12" t="s">
        <v>2093</v>
      </c>
      <c r="E11" s="3" t="s">
        <v>784</v>
      </c>
      <c r="F11" s="5"/>
      <c r="G11" s="5"/>
    </row>
    <row r="12" spans="1:7" ht="12" customHeight="1">
      <c r="A12" s="5"/>
      <c r="B12" s="5"/>
      <c r="C12" s="5"/>
      <c r="D12" s="5"/>
      <c r="E12" s="5"/>
      <c r="F12" s="5"/>
      <c r="G12" s="5"/>
    </row>
    <row r="13" spans="1:7" ht="12" customHeight="1">
      <c r="A13" s="5"/>
      <c r="B13" s="5"/>
      <c r="C13" s="5"/>
      <c r="D13" s="5"/>
      <c r="E13" s="2474" t="s">
        <v>702</v>
      </c>
      <c r="F13" s="2474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2473" t="s">
        <v>705</v>
      </c>
      <c r="F17" s="2473"/>
      <c r="G17" s="5"/>
    </row>
    <row r="18" spans="1:7" ht="12" customHeight="1">
      <c r="A18" s="12" t="s">
        <v>706</v>
      </c>
      <c r="B18" s="2474" t="s">
        <v>707</v>
      </c>
      <c r="C18" s="2474"/>
      <c r="D18" s="2474"/>
      <c r="E18" s="2474"/>
      <c r="F18" s="2474"/>
      <c r="G18" s="5"/>
    </row>
    <row r="19" spans="1:7" ht="12" customHeight="1">
      <c r="A19" s="12" t="s">
        <v>708</v>
      </c>
      <c r="B19" s="2471" t="s">
        <v>709</v>
      </c>
      <c r="C19" s="2471"/>
      <c r="D19" s="2471"/>
      <c r="E19" s="2472" t="s">
        <v>710</v>
      </c>
      <c r="F19" s="2472"/>
      <c r="G19" s="5"/>
    </row>
    <row r="20" spans="1:7" ht="12" customHeight="1">
      <c r="A20" s="12" t="s">
        <v>711</v>
      </c>
      <c r="B20" s="2473" t="s">
        <v>712</v>
      </c>
      <c r="C20" s="2473"/>
      <c r="D20" s="2473"/>
      <c r="E20" s="2473"/>
      <c r="F20" s="2473"/>
      <c r="G20" s="5"/>
    </row>
    <row r="21" spans="1:7" ht="12" customHeight="1">
      <c r="A21" s="12"/>
      <c r="B21" s="26"/>
      <c r="C21" s="26"/>
      <c r="D21" s="26"/>
      <c r="E21" s="26"/>
      <c r="F21" s="26"/>
      <c r="G21" s="5"/>
    </row>
    <row r="22" spans="1:7" ht="12" customHeight="1">
      <c r="A22" s="50" t="s">
        <v>2630</v>
      </c>
      <c r="B22" s="26"/>
      <c r="C22" s="26"/>
      <c r="D22" s="26"/>
      <c r="E22" s="26"/>
      <c r="F22" s="26"/>
      <c r="G22" s="5"/>
    </row>
    <row r="23" spans="1:7" ht="12" customHeight="1">
      <c r="A23" s="12"/>
      <c r="B23" s="26"/>
      <c r="C23" s="26"/>
      <c r="D23" s="26"/>
      <c r="E23" s="26"/>
      <c r="F23" s="26"/>
      <c r="G23" s="5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868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1337</v>
      </c>
      <c r="F27" s="5"/>
      <c r="G27" s="5"/>
    </row>
    <row r="28" spans="1:7" ht="12" customHeight="1">
      <c r="A28" s="2484" t="s">
        <v>685</v>
      </c>
      <c r="B28" s="2484"/>
      <c r="C28" s="2484"/>
      <c r="D28" s="2484"/>
      <c r="E28" s="2484"/>
      <c r="F28" s="2484"/>
      <c r="G28" s="5"/>
    </row>
    <row r="29" spans="1:7" ht="12" customHeight="1">
      <c r="A29" s="12" t="s">
        <v>686</v>
      </c>
      <c r="B29" s="3" t="s">
        <v>687</v>
      </c>
      <c r="C29" s="5"/>
      <c r="D29" s="5"/>
      <c r="E29" s="5"/>
      <c r="F29" s="5"/>
      <c r="G29" s="5"/>
    </row>
    <row r="30" spans="1:7" ht="13.65" customHeight="1">
      <c r="A30" s="5"/>
      <c r="B30" s="3" t="s">
        <v>2091</v>
      </c>
      <c r="C30" s="5"/>
      <c r="D30" s="12" t="s">
        <v>883</v>
      </c>
      <c r="E30" s="3" t="s">
        <v>868</v>
      </c>
      <c r="F30" s="5"/>
      <c r="G30" s="5"/>
    </row>
    <row r="31" spans="1:7" ht="12" customHeight="1">
      <c r="A31" s="5"/>
      <c r="B31" s="3" t="s">
        <v>2092</v>
      </c>
      <c r="C31" s="5"/>
      <c r="D31" s="12" t="s">
        <v>2093</v>
      </c>
      <c r="E31" s="3" t="s">
        <v>699</v>
      </c>
      <c r="F31" s="5"/>
      <c r="G31" s="5"/>
    </row>
    <row r="32" spans="1:7" ht="12" customHeight="1">
      <c r="A32" s="5"/>
      <c r="B32" s="3" t="s">
        <v>2094</v>
      </c>
      <c r="C32" s="5"/>
      <c r="D32" s="12" t="s">
        <v>2093</v>
      </c>
      <c r="E32" s="3" t="s">
        <v>784</v>
      </c>
      <c r="F32" s="5"/>
      <c r="G32" s="5"/>
    </row>
    <row r="33" spans="1:7" ht="12" customHeight="1">
      <c r="A33" s="5"/>
      <c r="B33" s="5"/>
      <c r="C33" s="5"/>
      <c r="D33" s="5"/>
      <c r="E33" s="5"/>
      <c r="F33" s="5"/>
      <c r="G33" s="5"/>
    </row>
    <row r="34" spans="1:7" ht="12" customHeight="1">
      <c r="A34" s="5"/>
      <c r="B34" s="5"/>
      <c r="C34" s="5"/>
      <c r="D34" s="5"/>
      <c r="E34" s="2474" t="s">
        <v>702</v>
      </c>
      <c r="F34" s="2474"/>
      <c r="G34" s="5"/>
    </row>
    <row r="35" spans="1:7" ht="12" customHeight="1">
      <c r="A35" s="12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2473" t="s">
        <v>705</v>
      </c>
      <c r="F38" s="2473"/>
      <c r="G38" s="5"/>
    </row>
    <row r="39" spans="1:7" ht="12" customHeight="1">
      <c r="A39" s="12" t="s">
        <v>706</v>
      </c>
      <c r="B39" s="2474" t="s">
        <v>707</v>
      </c>
      <c r="C39" s="2474"/>
      <c r="D39" s="2474"/>
      <c r="E39" s="2474"/>
      <c r="F39" s="2474"/>
      <c r="G39" s="5"/>
    </row>
    <row r="40" spans="1:7" ht="12" customHeight="1">
      <c r="A40" s="12" t="s">
        <v>708</v>
      </c>
      <c r="B40" s="2471" t="s">
        <v>709</v>
      </c>
      <c r="C40" s="2471"/>
      <c r="D40" s="2471"/>
      <c r="E40" s="2472" t="s">
        <v>710</v>
      </c>
      <c r="F40" s="2472"/>
      <c r="G40" s="5"/>
    </row>
    <row r="41" spans="1:7" ht="12" customHeight="1">
      <c r="A41" s="12" t="s">
        <v>711</v>
      </c>
      <c r="B41" s="2473" t="s">
        <v>712</v>
      </c>
      <c r="C41" s="2473"/>
      <c r="D41" s="2473"/>
      <c r="E41" s="2473"/>
      <c r="F41" s="2473"/>
      <c r="G41" s="5"/>
    </row>
  </sheetData>
  <mergeCells count="14">
    <mergeCell ref="A7:F7"/>
    <mergeCell ref="E13:F13"/>
    <mergeCell ref="E17:F17"/>
    <mergeCell ref="B18:F18"/>
    <mergeCell ref="B19:D19"/>
    <mergeCell ref="E19:F19"/>
    <mergeCell ref="B40:D40"/>
    <mergeCell ref="E40:F40"/>
    <mergeCell ref="B41:F41"/>
    <mergeCell ref="B20:F20"/>
    <mergeCell ref="A28:F28"/>
    <mergeCell ref="E34:F34"/>
    <mergeCell ref="E38:F38"/>
    <mergeCell ref="B39:F39"/>
  </mergeCells>
  <pageMargins left="0.7" right="0.7" top="0.75" bottom="0.75" header="0.3" footer="0.3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1-000000000000}">
  <sheetPr codeName="Sheet257"/>
  <dimension ref="A1:G41"/>
  <sheetViews>
    <sheetView topLeftCell="A28" workbookViewId="0">
      <selection sqref="A1:G41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5" t="s">
        <v>2631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868</v>
      </c>
      <c r="F5" s="5"/>
      <c r="G5" s="5"/>
    </row>
    <row r="6" spans="1:7" ht="12" customHeight="1">
      <c r="A6" s="5"/>
      <c r="B6" s="3" t="s">
        <v>683</v>
      </c>
      <c r="C6" s="3" t="s">
        <v>684</v>
      </c>
      <c r="D6" s="12" t="s">
        <v>675</v>
      </c>
      <c r="E6" s="3" t="s">
        <v>1337</v>
      </c>
      <c r="F6" s="5"/>
      <c r="G6" s="5"/>
    </row>
    <row r="7" spans="1:7" ht="12" customHeight="1">
      <c r="A7" s="2484" t="s">
        <v>685</v>
      </c>
      <c r="B7" s="2484"/>
      <c r="C7" s="2484"/>
      <c r="D7" s="2484"/>
      <c r="E7" s="2484"/>
      <c r="F7" s="2484"/>
      <c r="G7" s="5"/>
    </row>
    <row r="8" spans="1:7" ht="12" customHeight="1">
      <c r="A8" s="12" t="s">
        <v>686</v>
      </c>
      <c r="B8" s="3" t="s">
        <v>687</v>
      </c>
      <c r="C8" s="5"/>
      <c r="D8" s="5"/>
      <c r="E8" s="5"/>
      <c r="F8" s="5"/>
      <c r="G8" s="5"/>
    </row>
    <row r="9" spans="1:7" ht="13.65" customHeight="1">
      <c r="A9" s="5"/>
      <c r="B9" s="3" t="s">
        <v>2091</v>
      </c>
      <c r="C9" s="5"/>
      <c r="D9" s="12" t="s">
        <v>883</v>
      </c>
      <c r="E9" s="3" t="s">
        <v>865</v>
      </c>
      <c r="F9" s="5"/>
      <c r="G9" s="5"/>
    </row>
    <row r="10" spans="1:7" ht="12" customHeight="1">
      <c r="A10" s="5"/>
      <c r="B10" s="3" t="s">
        <v>2092</v>
      </c>
      <c r="C10" s="5"/>
      <c r="D10" s="12" t="s">
        <v>2093</v>
      </c>
      <c r="E10" s="3" t="s">
        <v>699</v>
      </c>
      <c r="F10" s="5"/>
      <c r="G10" s="5"/>
    </row>
    <row r="11" spans="1:7" ht="12" customHeight="1">
      <c r="A11" s="5"/>
      <c r="B11" s="3" t="s">
        <v>2094</v>
      </c>
      <c r="C11" s="5"/>
      <c r="D11" s="12" t="s">
        <v>2093</v>
      </c>
      <c r="E11" s="3" t="s">
        <v>784</v>
      </c>
      <c r="F11" s="5"/>
      <c r="G11" s="5"/>
    </row>
    <row r="12" spans="1:7" ht="12" customHeight="1">
      <c r="A12" s="5"/>
      <c r="B12" s="5"/>
      <c r="C12" s="5"/>
      <c r="D12" s="5"/>
      <c r="E12" s="5"/>
      <c r="F12" s="5"/>
      <c r="G12" s="5"/>
    </row>
    <row r="13" spans="1:7" ht="12" customHeight="1">
      <c r="A13" s="5"/>
      <c r="B13" s="5"/>
      <c r="C13" s="5"/>
      <c r="D13" s="5"/>
      <c r="E13" s="2474" t="s">
        <v>702</v>
      </c>
      <c r="F13" s="2474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2473" t="s">
        <v>705</v>
      </c>
      <c r="F17" s="2473"/>
      <c r="G17" s="5"/>
    </row>
    <row r="18" spans="1:7" ht="12" customHeight="1">
      <c r="A18" s="12" t="s">
        <v>706</v>
      </c>
      <c r="B18" s="2474" t="s">
        <v>707</v>
      </c>
      <c r="C18" s="2474"/>
      <c r="D18" s="2474"/>
      <c r="E18" s="2474"/>
      <c r="F18" s="2474"/>
      <c r="G18" s="5"/>
    </row>
    <row r="19" spans="1:7" ht="12" customHeight="1">
      <c r="A19" s="12" t="s">
        <v>708</v>
      </c>
      <c r="B19" s="2471" t="s">
        <v>709</v>
      </c>
      <c r="C19" s="2471"/>
      <c r="D19" s="2471"/>
      <c r="E19" s="2472" t="s">
        <v>710</v>
      </c>
      <c r="F19" s="2472"/>
      <c r="G19" s="5"/>
    </row>
    <row r="20" spans="1:7" ht="12" customHeight="1">
      <c r="A20" s="12" t="s">
        <v>711</v>
      </c>
      <c r="B20" s="2473" t="s">
        <v>712</v>
      </c>
      <c r="C20" s="2473"/>
      <c r="D20" s="2473"/>
      <c r="E20" s="2473"/>
      <c r="F20" s="2473"/>
      <c r="G20" s="5"/>
    </row>
    <row r="21" spans="1:7" ht="12" customHeight="1">
      <c r="A21" s="12"/>
      <c r="B21" s="26"/>
      <c r="C21" s="26"/>
      <c r="D21" s="26"/>
      <c r="E21" s="26"/>
      <c r="F21" s="26"/>
      <c r="G21" s="5"/>
    </row>
    <row r="22" spans="1:7" ht="12" customHeight="1">
      <c r="A22" s="50" t="s">
        <v>2632</v>
      </c>
      <c r="B22" s="26"/>
      <c r="C22" s="26"/>
      <c r="D22" s="26"/>
      <c r="E22" s="26"/>
      <c r="F22" s="26"/>
      <c r="G22" s="5"/>
    </row>
    <row r="23" spans="1:7" ht="12" customHeight="1">
      <c r="A23" s="12"/>
      <c r="B23" s="26"/>
      <c r="C23" s="26"/>
      <c r="D23" s="26"/>
      <c r="E23" s="26"/>
      <c r="F23" s="26"/>
      <c r="G23" s="5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868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1337</v>
      </c>
      <c r="F27" s="5"/>
      <c r="G27" s="5"/>
    </row>
    <row r="28" spans="1:7" ht="12" customHeight="1">
      <c r="A28" s="2484" t="s">
        <v>685</v>
      </c>
      <c r="B28" s="2484"/>
      <c r="C28" s="2484"/>
      <c r="D28" s="2484"/>
      <c r="E28" s="2484"/>
      <c r="F28" s="2484"/>
      <c r="G28" s="5"/>
    </row>
    <row r="29" spans="1:7" ht="12" customHeight="1">
      <c r="A29" s="12" t="s">
        <v>686</v>
      </c>
      <c r="B29" s="3" t="s">
        <v>687</v>
      </c>
      <c r="C29" s="5"/>
      <c r="D29" s="5"/>
      <c r="E29" s="5"/>
      <c r="F29" s="5"/>
      <c r="G29" s="5"/>
    </row>
    <row r="30" spans="1:7" ht="13.65" customHeight="1">
      <c r="A30" s="5"/>
      <c r="B30" s="3" t="s">
        <v>2091</v>
      </c>
      <c r="C30" s="5"/>
      <c r="D30" s="12" t="s">
        <v>883</v>
      </c>
      <c r="E30" s="3" t="s">
        <v>1080</v>
      </c>
      <c r="F30" s="5"/>
      <c r="G30" s="5"/>
    </row>
    <row r="31" spans="1:7" ht="12" customHeight="1">
      <c r="A31" s="5"/>
      <c r="B31" s="3" t="s">
        <v>2092</v>
      </c>
      <c r="C31" s="5"/>
      <c r="D31" s="12" t="s">
        <v>2093</v>
      </c>
      <c r="E31" s="3" t="s">
        <v>699</v>
      </c>
      <c r="F31" s="5"/>
      <c r="G31" s="5"/>
    </row>
    <row r="32" spans="1:7" ht="12" customHeight="1">
      <c r="A32" s="5"/>
      <c r="B32" s="3" t="s">
        <v>2094</v>
      </c>
      <c r="C32" s="5"/>
      <c r="D32" s="12" t="s">
        <v>2093</v>
      </c>
      <c r="E32" s="3" t="s">
        <v>784</v>
      </c>
      <c r="F32" s="5"/>
      <c r="G32" s="5"/>
    </row>
    <row r="33" spans="1:7" ht="12" customHeight="1">
      <c r="A33" s="5"/>
      <c r="B33" s="5"/>
      <c r="C33" s="5"/>
      <c r="D33" s="5"/>
      <c r="E33" s="5"/>
      <c r="F33" s="5"/>
      <c r="G33" s="5"/>
    </row>
    <row r="34" spans="1:7" ht="12" customHeight="1">
      <c r="A34" s="5"/>
      <c r="B34" s="5"/>
      <c r="C34" s="5"/>
      <c r="D34" s="5"/>
      <c r="E34" s="2474" t="s">
        <v>702</v>
      </c>
      <c r="F34" s="2474"/>
      <c r="G34" s="5"/>
    </row>
    <row r="35" spans="1:7" ht="12" customHeight="1">
      <c r="A35" s="12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2473" t="s">
        <v>705</v>
      </c>
      <c r="F38" s="2473"/>
      <c r="G38" s="5"/>
    </row>
    <row r="39" spans="1:7" ht="12" customHeight="1">
      <c r="A39" s="12" t="s">
        <v>706</v>
      </c>
      <c r="B39" s="2474" t="s">
        <v>707</v>
      </c>
      <c r="C39" s="2474"/>
      <c r="D39" s="2474"/>
      <c r="E39" s="2474"/>
      <c r="F39" s="2474"/>
      <c r="G39" s="5"/>
    </row>
    <row r="40" spans="1:7" ht="12" customHeight="1">
      <c r="A40" s="12" t="s">
        <v>708</v>
      </c>
      <c r="B40" s="2471" t="s">
        <v>709</v>
      </c>
      <c r="C40" s="2471"/>
      <c r="D40" s="2471"/>
      <c r="E40" s="2472" t="s">
        <v>710</v>
      </c>
      <c r="F40" s="2472"/>
      <c r="G40" s="5"/>
    </row>
    <row r="41" spans="1:7" ht="12" customHeight="1">
      <c r="A41" s="12" t="s">
        <v>711</v>
      </c>
      <c r="B41" s="2473" t="s">
        <v>712</v>
      </c>
      <c r="C41" s="2473"/>
      <c r="D41" s="2473"/>
      <c r="E41" s="2473"/>
      <c r="F41" s="2473"/>
      <c r="G41" s="5"/>
    </row>
  </sheetData>
  <mergeCells count="14">
    <mergeCell ref="A7:F7"/>
    <mergeCell ref="E13:F13"/>
    <mergeCell ref="E17:F17"/>
    <mergeCell ref="B18:F18"/>
    <mergeCell ref="B19:D19"/>
    <mergeCell ref="E19:F19"/>
    <mergeCell ref="B40:D40"/>
    <mergeCell ref="E40:F40"/>
    <mergeCell ref="B41:F41"/>
    <mergeCell ref="B20:F20"/>
    <mergeCell ref="A28:F28"/>
    <mergeCell ref="E34:F34"/>
    <mergeCell ref="E38:F38"/>
    <mergeCell ref="B39:F39"/>
  </mergeCells>
  <pageMargins left="0.7" right="0.7" top="0.75" bottom="0.75" header="0.3" footer="0.3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1-000000000000}">
  <sheetPr codeName="Sheet258"/>
  <dimension ref="A1:G41"/>
  <sheetViews>
    <sheetView topLeftCell="A25" workbookViewId="0">
      <selection sqref="A1:G41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2633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868</v>
      </c>
      <c r="F5" s="5"/>
      <c r="G5" s="5"/>
    </row>
    <row r="6" spans="1:7" ht="12" customHeight="1">
      <c r="A6" s="5"/>
      <c r="B6" s="3" t="s">
        <v>683</v>
      </c>
      <c r="C6" s="3" t="s">
        <v>684</v>
      </c>
      <c r="D6" s="12" t="s">
        <v>675</v>
      </c>
      <c r="E6" s="3" t="s">
        <v>1337</v>
      </c>
      <c r="F6" s="5"/>
      <c r="G6" s="5"/>
    </row>
    <row r="7" spans="1:7" ht="12" customHeight="1">
      <c r="A7" s="2484" t="s">
        <v>685</v>
      </c>
      <c r="B7" s="2484"/>
      <c r="C7" s="2484"/>
      <c r="D7" s="2484"/>
      <c r="E7" s="2484"/>
      <c r="F7" s="2484"/>
      <c r="G7" s="5"/>
    </row>
    <row r="8" spans="1:7" ht="12" customHeight="1">
      <c r="A8" s="12" t="s">
        <v>686</v>
      </c>
      <c r="B8" s="3" t="s">
        <v>687</v>
      </c>
      <c r="C8" s="5"/>
      <c r="D8" s="5"/>
      <c r="E8" s="5"/>
      <c r="F8" s="5"/>
      <c r="G8" s="5"/>
    </row>
    <row r="9" spans="1:7" ht="13.65" customHeight="1">
      <c r="A9" s="5"/>
      <c r="B9" s="3" t="s">
        <v>2091</v>
      </c>
      <c r="C9" s="5"/>
      <c r="D9" s="12" t="s">
        <v>883</v>
      </c>
      <c r="E9" s="3" t="s">
        <v>1031</v>
      </c>
      <c r="F9" s="5"/>
      <c r="G9" s="5"/>
    </row>
    <row r="10" spans="1:7" ht="12" customHeight="1">
      <c r="A10" s="5"/>
      <c r="B10" s="3" t="s">
        <v>2092</v>
      </c>
      <c r="C10" s="5"/>
      <c r="D10" s="12" t="s">
        <v>2093</v>
      </c>
      <c r="E10" s="3" t="s">
        <v>699</v>
      </c>
      <c r="F10" s="5"/>
      <c r="G10" s="5"/>
    </row>
    <row r="11" spans="1:7" ht="12" customHeight="1">
      <c r="A11" s="5"/>
      <c r="B11" s="3" t="s">
        <v>2094</v>
      </c>
      <c r="C11" s="5"/>
      <c r="D11" s="12" t="s">
        <v>2093</v>
      </c>
      <c r="E11" s="3" t="s">
        <v>784</v>
      </c>
      <c r="F11" s="5"/>
      <c r="G11" s="5"/>
    </row>
    <row r="12" spans="1:7" ht="12" customHeight="1">
      <c r="A12" s="5"/>
      <c r="B12" s="5"/>
      <c r="C12" s="5"/>
      <c r="D12" s="5"/>
      <c r="E12" s="5"/>
      <c r="F12" s="5"/>
      <c r="G12" s="5"/>
    </row>
    <row r="13" spans="1:7" ht="12" customHeight="1">
      <c r="A13" s="5"/>
      <c r="B13" s="5"/>
      <c r="C13" s="5"/>
      <c r="D13" s="5"/>
      <c r="E13" s="2474" t="s">
        <v>702</v>
      </c>
      <c r="F13" s="2474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2473" t="s">
        <v>705</v>
      </c>
      <c r="F17" s="2473"/>
      <c r="G17" s="5"/>
    </row>
    <row r="18" spans="1:7" ht="12" customHeight="1">
      <c r="A18" s="12" t="s">
        <v>706</v>
      </c>
      <c r="B18" s="2474" t="s">
        <v>707</v>
      </c>
      <c r="C18" s="2474"/>
      <c r="D18" s="2474"/>
      <c r="E18" s="2474"/>
      <c r="F18" s="2474"/>
      <c r="G18" s="5"/>
    </row>
    <row r="19" spans="1:7" ht="12" customHeight="1">
      <c r="A19" s="12" t="s">
        <v>708</v>
      </c>
      <c r="B19" s="2471" t="s">
        <v>709</v>
      </c>
      <c r="C19" s="2471"/>
      <c r="D19" s="2471"/>
      <c r="E19" s="2472" t="s">
        <v>710</v>
      </c>
      <c r="F19" s="2472"/>
      <c r="G19" s="5"/>
    </row>
    <row r="20" spans="1:7" ht="12" customHeight="1">
      <c r="A20" s="12" t="s">
        <v>711</v>
      </c>
      <c r="B20" s="2473" t="s">
        <v>712</v>
      </c>
      <c r="C20" s="2473"/>
      <c r="D20" s="2473"/>
      <c r="E20" s="2473"/>
      <c r="F20" s="2473"/>
      <c r="G20" s="5"/>
    </row>
    <row r="21" spans="1:7" ht="12" customHeight="1">
      <c r="A21" s="12"/>
      <c r="B21" s="26"/>
      <c r="C21" s="26"/>
      <c r="D21" s="26"/>
      <c r="E21" s="26"/>
      <c r="F21" s="26"/>
      <c r="G21" s="5"/>
    </row>
    <row r="22" spans="1:7" ht="12" customHeight="1">
      <c r="A22" s="50" t="s">
        <v>2634</v>
      </c>
      <c r="B22" s="26"/>
      <c r="C22" s="26"/>
      <c r="D22" s="26"/>
      <c r="E22" s="26"/>
      <c r="F22" s="26"/>
      <c r="G22" s="5"/>
    </row>
    <row r="23" spans="1:7" ht="12" customHeight="1">
      <c r="A23" s="12"/>
      <c r="B23" s="26"/>
      <c r="C23" s="26"/>
      <c r="D23" s="26"/>
      <c r="E23" s="26"/>
      <c r="F23" s="26"/>
      <c r="G23" s="5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868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1337</v>
      </c>
      <c r="F27" s="5"/>
      <c r="G27" s="5"/>
    </row>
    <row r="28" spans="1:7" ht="12" customHeight="1">
      <c r="A28" s="2484" t="s">
        <v>685</v>
      </c>
      <c r="B28" s="2484"/>
      <c r="C28" s="2484"/>
      <c r="D28" s="2484"/>
      <c r="E28" s="2484"/>
      <c r="F28" s="2484"/>
      <c r="G28" s="5"/>
    </row>
    <row r="29" spans="1:7" ht="12" customHeight="1">
      <c r="A29" s="12" t="s">
        <v>686</v>
      </c>
      <c r="B29" s="3" t="s">
        <v>687</v>
      </c>
      <c r="C29" s="5"/>
      <c r="D29" s="5"/>
      <c r="E29" s="5"/>
      <c r="F29" s="5"/>
      <c r="G29" s="5"/>
    </row>
    <row r="30" spans="1:7" ht="13.65" customHeight="1">
      <c r="A30" s="5"/>
      <c r="B30" s="3" t="s">
        <v>2091</v>
      </c>
      <c r="C30" s="5"/>
      <c r="D30" s="12" t="s">
        <v>883</v>
      </c>
      <c r="E30" s="3" t="s">
        <v>914</v>
      </c>
      <c r="F30" s="5"/>
      <c r="G30" s="5"/>
    </row>
    <row r="31" spans="1:7" ht="12" customHeight="1">
      <c r="A31" s="5"/>
      <c r="B31" s="3" t="s">
        <v>2092</v>
      </c>
      <c r="C31" s="5"/>
      <c r="D31" s="12" t="s">
        <v>2093</v>
      </c>
      <c r="E31" s="3" t="s">
        <v>699</v>
      </c>
      <c r="F31" s="5"/>
      <c r="G31" s="5"/>
    </row>
    <row r="32" spans="1:7" ht="12" customHeight="1">
      <c r="A32" s="5"/>
      <c r="B32" s="3" t="s">
        <v>2094</v>
      </c>
      <c r="C32" s="5"/>
      <c r="D32" s="12" t="s">
        <v>2093</v>
      </c>
      <c r="E32" s="3" t="s">
        <v>784</v>
      </c>
      <c r="F32" s="5"/>
      <c r="G32" s="5"/>
    </row>
    <row r="33" spans="1:7" ht="12" customHeight="1">
      <c r="A33" s="5"/>
      <c r="B33" s="5"/>
      <c r="C33" s="5"/>
      <c r="D33" s="5"/>
      <c r="E33" s="5"/>
      <c r="F33" s="5"/>
      <c r="G33" s="5"/>
    </row>
    <row r="34" spans="1:7" ht="12" customHeight="1">
      <c r="A34" s="5"/>
      <c r="B34" s="5"/>
      <c r="C34" s="5"/>
      <c r="D34" s="5"/>
      <c r="E34" s="2474" t="s">
        <v>702</v>
      </c>
      <c r="F34" s="2474"/>
      <c r="G34" s="5"/>
    </row>
    <row r="35" spans="1:7" ht="12" customHeight="1">
      <c r="A35" s="12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2473" t="s">
        <v>705</v>
      </c>
      <c r="F38" s="2473"/>
      <c r="G38" s="5"/>
    </row>
    <row r="39" spans="1:7" ht="12" customHeight="1">
      <c r="A39" s="12" t="s">
        <v>706</v>
      </c>
      <c r="B39" s="2474" t="s">
        <v>707</v>
      </c>
      <c r="C39" s="2474"/>
      <c r="D39" s="2474"/>
      <c r="E39" s="2474"/>
      <c r="F39" s="2474"/>
      <c r="G39" s="5"/>
    </row>
    <row r="40" spans="1:7" ht="12" customHeight="1">
      <c r="A40" s="12" t="s">
        <v>708</v>
      </c>
      <c r="B40" s="2471" t="s">
        <v>709</v>
      </c>
      <c r="C40" s="2471"/>
      <c r="D40" s="2471"/>
      <c r="E40" s="2472" t="s">
        <v>710</v>
      </c>
      <c r="F40" s="2472"/>
      <c r="G40" s="5"/>
    </row>
    <row r="41" spans="1:7" ht="17.100000000000001" customHeight="1">
      <c r="A41" s="1" t="s">
        <v>711</v>
      </c>
      <c r="B41" s="2492" t="s">
        <v>712</v>
      </c>
      <c r="C41" s="2492"/>
      <c r="D41" s="2492"/>
      <c r="E41" s="2492"/>
      <c r="F41" s="2492"/>
      <c r="G41" s="5"/>
    </row>
  </sheetData>
  <mergeCells count="14">
    <mergeCell ref="A7:F7"/>
    <mergeCell ref="E13:F13"/>
    <mergeCell ref="E17:F17"/>
    <mergeCell ref="B18:F18"/>
    <mergeCell ref="B19:D19"/>
    <mergeCell ref="E19:F19"/>
    <mergeCell ref="B40:D40"/>
    <mergeCell ref="E40:F40"/>
    <mergeCell ref="B41:F41"/>
    <mergeCell ref="B20:F20"/>
    <mergeCell ref="A28:F28"/>
    <mergeCell ref="E34:F34"/>
    <mergeCell ref="E38:F38"/>
    <mergeCell ref="B39:F39"/>
  </mergeCells>
  <pageMargins left="0.7" right="0.7" top="0.75" bottom="0.75" header="0.3" footer="0.3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1-000000000000}">
  <sheetPr codeName="Sheet259"/>
  <dimension ref="A1:G41"/>
  <sheetViews>
    <sheetView topLeftCell="A19" workbookViewId="0">
      <selection sqref="A1:G41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2635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" t="s">
        <v>671</v>
      </c>
      <c r="B4" s="18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868</v>
      </c>
      <c r="F5" s="5"/>
      <c r="G5" s="5"/>
    </row>
    <row r="6" spans="1:7" ht="12" customHeight="1">
      <c r="A6" s="5"/>
      <c r="B6" s="3" t="s">
        <v>683</v>
      </c>
      <c r="C6" s="3" t="s">
        <v>684</v>
      </c>
      <c r="D6" s="12" t="s">
        <v>675</v>
      </c>
      <c r="E6" s="3" t="s">
        <v>1337</v>
      </c>
      <c r="F6" s="5"/>
      <c r="G6" s="5"/>
    </row>
    <row r="7" spans="1:7" ht="12" customHeight="1">
      <c r="A7" s="2484" t="s">
        <v>685</v>
      </c>
      <c r="B7" s="2484"/>
      <c r="C7" s="2484"/>
      <c r="D7" s="2484"/>
      <c r="E7" s="2484"/>
      <c r="F7" s="2484"/>
      <c r="G7" s="5"/>
    </row>
    <row r="8" spans="1:7" ht="12" customHeight="1">
      <c r="A8" s="1" t="s">
        <v>686</v>
      </c>
      <c r="B8" s="18" t="s">
        <v>687</v>
      </c>
      <c r="C8" s="5"/>
      <c r="D8" s="5"/>
      <c r="E8" s="5"/>
      <c r="F8" s="5"/>
      <c r="G8" s="5"/>
    </row>
    <row r="9" spans="1:7" ht="13.65" customHeight="1">
      <c r="A9" s="5"/>
      <c r="B9" s="3" t="s">
        <v>2091</v>
      </c>
      <c r="C9" s="5"/>
      <c r="D9" s="12" t="s">
        <v>883</v>
      </c>
      <c r="E9" s="3" t="s">
        <v>2095</v>
      </c>
      <c r="F9" s="5"/>
      <c r="G9" s="5"/>
    </row>
    <row r="10" spans="1:7" ht="12" customHeight="1">
      <c r="A10" s="5"/>
      <c r="B10" s="3" t="s">
        <v>2092</v>
      </c>
      <c r="C10" s="5"/>
      <c r="D10" s="12" t="s">
        <v>2093</v>
      </c>
      <c r="E10" s="3" t="s">
        <v>699</v>
      </c>
      <c r="F10" s="5"/>
      <c r="G10" s="5"/>
    </row>
    <row r="11" spans="1:7" ht="12" customHeight="1">
      <c r="A11" s="5"/>
      <c r="B11" s="3" t="s">
        <v>2094</v>
      </c>
      <c r="C11" s="5"/>
      <c r="D11" s="12" t="s">
        <v>2093</v>
      </c>
      <c r="E11" s="3" t="s">
        <v>784</v>
      </c>
      <c r="F11" s="5"/>
      <c r="G11" s="5"/>
    </row>
    <row r="12" spans="1:7" ht="12" customHeight="1">
      <c r="A12" s="5"/>
      <c r="B12" s="5"/>
      <c r="C12" s="5"/>
      <c r="D12" s="5"/>
      <c r="E12" s="5"/>
      <c r="F12" s="5"/>
      <c r="G12" s="5"/>
    </row>
    <row r="13" spans="1:7" ht="12" customHeight="1">
      <c r="A13" s="5"/>
      <c r="B13" s="5"/>
      <c r="C13" s="5"/>
      <c r="D13" s="5"/>
      <c r="E13" s="2474" t="s">
        <v>702</v>
      </c>
      <c r="F13" s="2474"/>
      <c r="G13" s="5"/>
    </row>
    <row r="14" spans="1:7" ht="12" customHeight="1">
      <c r="A14" s="1" t="s">
        <v>703</v>
      </c>
      <c r="B14" s="18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2473" t="s">
        <v>705</v>
      </c>
      <c r="F17" s="2473"/>
      <c r="G17" s="5"/>
    </row>
    <row r="18" spans="1:7" ht="12" customHeight="1">
      <c r="A18" s="12" t="s">
        <v>706</v>
      </c>
      <c r="B18" s="2474" t="s">
        <v>707</v>
      </c>
      <c r="C18" s="2474"/>
      <c r="D18" s="2474"/>
      <c r="E18" s="2474"/>
      <c r="F18" s="2474"/>
      <c r="G18" s="5"/>
    </row>
    <row r="19" spans="1:7" ht="12" customHeight="1">
      <c r="A19" s="12" t="s">
        <v>708</v>
      </c>
      <c r="B19" s="2471" t="s">
        <v>709</v>
      </c>
      <c r="C19" s="2471"/>
      <c r="D19" s="2471"/>
      <c r="E19" s="2472" t="s">
        <v>710</v>
      </c>
      <c r="F19" s="2472"/>
      <c r="G19" s="5"/>
    </row>
    <row r="20" spans="1:7" ht="19.649999999999999" customHeight="1">
      <c r="A20" s="1" t="s">
        <v>711</v>
      </c>
      <c r="B20" s="2492" t="s">
        <v>712</v>
      </c>
      <c r="C20" s="2492"/>
      <c r="D20" s="2492"/>
      <c r="E20" s="2492"/>
      <c r="F20" s="2492"/>
      <c r="G20" s="5"/>
    </row>
    <row r="21" spans="1:7" ht="19.649999999999999" customHeight="1">
      <c r="A21" s="1"/>
      <c r="B21" s="72"/>
      <c r="C21" s="72"/>
      <c r="D21" s="72"/>
      <c r="E21" s="72"/>
      <c r="F21" s="72"/>
      <c r="G21" s="5"/>
    </row>
    <row r="22" spans="1:7" ht="19.649999999999999" customHeight="1">
      <c r="A22" s="55" t="s">
        <v>2636</v>
      </c>
      <c r="B22" s="72"/>
      <c r="C22" s="72"/>
      <c r="D22" s="72"/>
      <c r="E22" s="72"/>
      <c r="F22" s="72"/>
      <c r="G22" s="5"/>
    </row>
    <row r="23" spans="1:7" ht="19.649999999999999" customHeight="1">
      <c r="A23" s="1"/>
      <c r="B23" s="72"/>
      <c r="C23" s="72"/>
      <c r="D23" s="72"/>
      <c r="E23" s="72"/>
      <c r="F23" s="72"/>
      <c r="G23" s="5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" t="s">
        <v>671</v>
      </c>
      <c r="B25" s="18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868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1337</v>
      </c>
      <c r="F27" s="5"/>
      <c r="G27" s="5"/>
    </row>
    <row r="28" spans="1:7" ht="12" customHeight="1">
      <c r="A28" s="5"/>
      <c r="B28" s="5"/>
      <c r="C28" s="5"/>
      <c r="D28" s="5"/>
      <c r="E28" s="2474" t="s">
        <v>685</v>
      </c>
      <c r="F28" s="2474"/>
      <c r="G28" s="5"/>
    </row>
    <row r="29" spans="1:7" ht="12" customHeight="1">
      <c r="A29" s="1" t="s">
        <v>686</v>
      </c>
      <c r="B29" s="18" t="s">
        <v>687</v>
      </c>
      <c r="C29" s="5"/>
      <c r="D29" s="5"/>
      <c r="E29" s="5"/>
      <c r="F29" s="5"/>
      <c r="G29" s="5"/>
    </row>
    <row r="30" spans="1:7" ht="13.65" customHeight="1">
      <c r="A30" s="5"/>
      <c r="B30" s="3" t="s">
        <v>2091</v>
      </c>
      <c r="C30" s="5"/>
      <c r="D30" s="12" t="s">
        <v>883</v>
      </c>
      <c r="E30" s="3" t="s">
        <v>2096</v>
      </c>
      <c r="F30" s="5"/>
      <c r="G30" s="5"/>
    </row>
    <row r="31" spans="1:7" ht="12" customHeight="1">
      <c r="A31" s="5"/>
      <c r="B31" s="3" t="s">
        <v>2092</v>
      </c>
      <c r="C31" s="5"/>
      <c r="D31" s="12" t="s">
        <v>2093</v>
      </c>
      <c r="E31" s="3" t="s">
        <v>699</v>
      </c>
      <c r="F31" s="5"/>
      <c r="G31" s="5"/>
    </row>
    <row r="32" spans="1:7" ht="12" customHeight="1">
      <c r="A32" s="5"/>
      <c r="B32" s="3" t="s">
        <v>2094</v>
      </c>
      <c r="C32" s="5"/>
      <c r="D32" s="12" t="s">
        <v>2093</v>
      </c>
      <c r="E32" s="3" t="s">
        <v>784</v>
      </c>
      <c r="F32" s="5"/>
      <c r="G32" s="5"/>
    </row>
    <row r="33" spans="1:7" ht="13.65" customHeight="1">
      <c r="A33" s="5"/>
      <c r="B33" s="5"/>
      <c r="C33" s="5"/>
      <c r="D33" s="5"/>
      <c r="E33" s="5"/>
      <c r="F33" s="5"/>
      <c r="G33" s="5"/>
    </row>
    <row r="34" spans="1:7" ht="12" customHeight="1">
      <c r="A34" s="5"/>
      <c r="B34" s="5"/>
      <c r="C34" s="5"/>
      <c r="D34" s="5"/>
      <c r="E34" s="2474" t="s">
        <v>702</v>
      </c>
      <c r="F34" s="2474"/>
      <c r="G34" s="5"/>
    </row>
    <row r="35" spans="1:7" ht="12" customHeight="1">
      <c r="A35" s="1" t="s">
        <v>703</v>
      </c>
      <c r="B35" s="18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2473" t="s">
        <v>705</v>
      </c>
      <c r="F38" s="2473"/>
      <c r="G38" s="5"/>
    </row>
    <row r="39" spans="1:7" ht="12" customHeight="1">
      <c r="A39" s="12" t="s">
        <v>706</v>
      </c>
      <c r="B39" s="2474" t="s">
        <v>707</v>
      </c>
      <c r="C39" s="2474"/>
      <c r="D39" s="2474"/>
      <c r="E39" s="2474"/>
      <c r="F39" s="2474"/>
      <c r="G39" s="5"/>
    </row>
    <row r="40" spans="1:7" ht="12" customHeight="1">
      <c r="A40" s="12" t="s">
        <v>708</v>
      </c>
      <c r="B40" s="2471" t="s">
        <v>709</v>
      </c>
      <c r="C40" s="2471"/>
      <c r="D40" s="2471"/>
      <c r="E40" s="2472" t="s">
        <v>710</v>
      </c>
      <c r="F40" s="2472"/>
      <c r="G40" s="5"/>
    </row>
    <row r="41" spans="1:7" ht="17.100000000000001" customHeight="1">
      <c r="A41" s="1" t="s">
        <v>711</v>
      </c>
      <c r="B41" s="2492" t="s">
        <v>712</v>
      </c>
      <c r="C41" s="2492"/>
      <c r="D41" s="2492"/>
      <c r="E41" s="2492"/>
      <c r="F41" s="2492"/>
      <c r="G41" s="5"/>
    </row>
  </sheetData>
  <mergeCells count="14">
    <mergeCell ref="A7:F7"/>
    <mergeCell ref="E13:F13"/>
    <mergeCell ref="E17:F17"/>
    <mergeCell ref="B18:F18"/>
    <mergeCell ref="B19:D19"/>
    <mergeCell ref="E19:F19"/>
    <mergeCell ref="B40:D40"/>
    <mergeCell ref="E40:F40"/>
    <mergeCell ref="B41:F41"/>
    <mergeCell ref="B20:F20"/>
    <mergeCell ref="E28:F28"/>
    <mergeCell ref="E34:F34"/>
    <mergeCell ref="E38:F38"/>
    <mergeCell ref="B39:F39"/>
  </mergeCells>
  <pageMargins left="0.7" right="0.7" top="0.75" bottom="0.75" header="0.3" footer="0.3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1-000000000000}">
  <sheetPr codeName="Sheet260"/>
  <dimension ref="A1:C13"/>
  <sheetViews>
    <sheetView workbookViewId="0">
      <selection activeCell="B19" sqref="B19"/>
    </sheetView>
  </sheetViews>
  <sheetFormatPr defaultRowHeight="14.4"/>
  <cols>
    <col min="1" max="1" width="5.6640625" style="78" customWidth="1"/>
    <col min="2" max="2" width="37.109375" customWidth="1"/>
    <col min="3" max="3" width="11.44140625" customWidth="1"/>
  </cols>
  <sheetData>
    <row r="1" spans="1:3" ht="17.850000000000001" customHeight="1">
      <c r="A1" s="80" t="s">
        <v>2097</v>
      </c>
      <c r="B1" s="24" t="s">
        <v>2098</v>
      </c>
      <c r="C1" s="24" t="s">
        <v>2099</v>
      </c>
    </row>
    <row r="2" spans="1:3" ht="14.4" customHeight="1">
      <c r="A2" s="80" t="s">
        <v>2100</v>
      </c>
      <c r="B2" s="24" t="s">
        <v>2101</v>
      </c>
      <c r="C2" s="24" t="s">
        <v>2099</v>
      </c>
    </row>
    <row r="3" spans="1:3" ht="14.4" customHeight="1">
      <c r="A3" s="80" t="s">
        <v>2102</v>
      </c>
      <c r="B3" s="24" t="s">
        <v>2103</v>
      </c>
      <c r="C3" s="24" t="s">
        <v>2099</v>
      </c>
    </row>
    <row r="4" spans="1:3" ht="14.7" customHeight="1">
      <c r="A4" s="80" t="s">
        <v>2104</v>
      </c>
      <c r="B4" s="24" t="s">
        <v>2105</v>
      </c>
      <c r="C4" s="24" t="s">
        <v>2099</v>
      </c>
    </row>
    <row r="5" spans="1:3" ht="14.7" customHeight="1">
      <c r="A5" s="80" t="s">
        <v>2106</v>
      </c>
      <c r="B5" s="24" t="s">
        <v>2107</v>
      </c>
      <c r="C5" s="24" t="s">
        <v>2099</v>
      </c>
    </row>
    <row r="6" spans="1:3" ht="14.4" customHeight="1">
      <c r="A6" s="80" t="s">
        <v>2108</v>
      </c>
      <c r="B6" s="24" t="s">
        <v>2109</v>
      </c>
      <c r="C6" s="24" t="s">
        <v>2099</v>
      </c>
    </row>
    <row r="7" spans="1:3" ht="14.4" customHeight="1">
      <c r="A7" s="80" t="s">
        <v>2110</v>
      </c>
      <c r="B7" s="24" t="s">
        <v>2111</v>
      </c>
      <c r="C7" s="24" t="s">
        <v>2112</v>
      </c>
    </row>
    <row r="8" spans="1:3" ht="14.7" customHeight="1">
      <c r="A8" s="80" t="s">
        <v>2113</v>
      </c>
      <c r="B8" s="24" t="s">
        <v>2114</v>
      </c>
      <c r="C8" s="24" t="s">
        <v>2099</v>
      </c>
    </row>
    <row r="9" spans="1:3" ht="14.7" customHeight="1">
      <c r="A9" s="80" t="s">
        <v>2115</v>
      </c>
      <c r="B9" s="24" t="s">
        <v>2116</v>
      </c>
      <c r="C9" s="24" t="s">
        <v>2117</v>
      </c>
    </row>
    <row r="10" spans="1:3" ht="14.4" customHeight="1">
      <c r="A10" s="80" t="s">
        <v>2118</v>
      </c>
      <c r="B10" s="24" t="s">
        <v>2119</v>
      </c>
      <c r="C10" s="24" t="s">
        <v>2099</v>
      </c>
    </row>
    <row r="11" spans="1:3" ht="14.4" customHeight="1">
      <c r="A11" s="80" t="s">
        <v>2120</v>
      </c>
      <c r="B11" s="24" t="s">
        <v>2121</v>
      </c>
      <c r="C11" s="24" t="s">
        <v>2099</v>
      </c>
    </row>
    <row r="12" spans="1:3" ht="14.4" customHeight="1">
      <c r="A12" s="80" t="s">
        <v>2122</v>
      </c>
      <c r="B12" s="24" t="s">
        <v>2123</v>
      </c>
      <c r="C12" s="24" t="s">
        <v>2124</v>
      </c>
    </row>
    <row r="13" spans="1:3" ht="31.35" customHeight="1">
      <c r="A13" s="81" t="s">
        <v>2125</v>
      </c>
      <c r="B13" s="25" t="s">
        <v>2126</v>
      </c>
      <c r="C13" s="25" t="s">
        <v>2124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9"/>
  <dimension ref="A1:G45"/>
  <sheetViews>
    <sheetView topLeftCell="A34" workbookViewId="0">
      <selection sqref="A1:G45"/>
    </sheetView>
  </sheetViews>
  <sheetFormatPr defaultRowHeight="14.4"/>
  <cols>
    <col min="1" max="1" width="5.33203125" customWidth="1"/>
    <col min="2" max="2" width="21" customWidth="1"/>
    <col min="3" max="3" width="8.44140625" customWidth="1"/>
    <col min="4" max="4" width="11.33203125" customWidth="1"/>
    <col min="5" max="5" width="14.6640625" customWidth="1"/>
    <col min="6" max="6" width="14.44140625" customWidth="1"/>
    <col min="7" max="7" width="16.6640625" customWidth="1"/>
  </cols>
  <sheetData>
    <row r="1" spans="1:7">
      <c r="A1" s="50" t="s">
        <v>2158</v>
      </c>
    </row>
    <row r="3" spans="1:7" ht="31.5" customHeight="1">
      <c r="A3" s="9" t="s">
        <v>1003</v>
      </c>
      <c r="B3" s="19" t="s">
        <v>1004</v>
      </c>
      <c r="C3" s="9" t="s">
        <v>1005</v>
      </c>
      <c r="D3" s="9" t="s">
        <v>1006</v>
      </c>
      <c r="E3" s="9" t="s">
        <v>1007</v>
      </c>
      <c r="F3" s="8" t="s">
        <v>669</v>
      </c>
      <c r="G3" s="8" t="s">
        <v>670</v>
      </c>
    </row>
    <row r="4" spans="1:7" ht="10.95" customHeight="1">
      <c r="A4" s="10" t="s">
        <v>671</v>
      </c>
      <c r="B4" s="10" t="s">
        <v>672</v>
      </c>
      <c r="C4" s="5"/>
      <c r="D4" s="5"/>
      <c r="E4" s="5"/>
      <c r="F4" s="5"/>
      <c r="G4" s="5"/>
    </row>
    <row r="5" spans="1:7" ht="12.45" customHeight="1">
      <c r="A5" s="5"/>
      <c r="B5" s="10" t="s">
        <v>673</v>
      </c>
      <c r="C5" s="10" t="s">
        <v>674</v>
      </c>
      <c r="D5" s="11" t="s">
        <v>675</v>
      </c>
      <c r="E5" s="11" t="s">
        <v>845</v>
      </c>
      <c r="F5" s="5"/>
      <c r="G5" s="5"/>
    </row>
    <row r="6" spans="1:7" ht="12.45" customHeight="1">
      <c r="A6" s="5"/>
      <c r="B6" s="10" t="s">
        <v>816</v>
      </c>
      <c r="C6" s="10" t="s">
        <v>678</v>
      </c>
      <c r="D6" s="11" t="s">
        <v>675</v>
      </c>
      <c r="E6" s="11" t="s">
        <v>740</v>
      </c>
      <c r="F6" s="5"/>
      <c r="G6" s="5"/>
    </row>
    <row r="7" spans="1:7" ht="12.45" customHeight="1">
      <c r="A7" s="5"/>
      <c r="B7" s="10" t="s">
        <v>680</v>
      </c>
      <c r="C7" s="10" t="s">
        <v>681</v>
      </c>
      <c r="D7" s="11" t="s">
        <v>675</v>
      </c>
      <c r="E7" s="11" t="s">
        <v>811</v>
      </c>
      <c r="F7" s="5"/>
      <c r="G7" s="5"/>
    </row>
    <row r="8" spans="1:7" ht="12.45" customHeight="1">
      <c r="A8" s="5"/>
      <c r="B8" s="10" t="s">
        <v>683</v>
      </c>
      <c r="C8" s="10" t="s">
        <v>684</v>
      </c>
      <c r="D8" s="11" t="s">
        <v>675</v>
      </c>
      <c r="E8" s="11" t="s">
        <v>865</v>
      </c>
      <c r="F8" s="5"/>
      <c r="G8" s="5"/>
    </row>
    <row r="9" spans="1:7" ht="10.95" customHeight="1">
      <c r="A9" s="5"/>
      <c r="B9" s="5"/>
      <c r="C9" s="5"/>
      <c r="D9" s="5"/>
      <c r="E9" s="2477" t="s">
        <v>685</v>
      </c>
      <c r="F9" s="2477"/>
      <c r="G9" s="5"/>
    </row>
    <row r="10" spans="1:7" ht="10.95" customHeight="1">
      <c r="A10" s="10" t="s">
        <v>686</v>
      </c>
      <c r="B10" s="10" t="s">
        <v>687</v>
      </c>
      <c r="C10" s="5"/>
      <c r="D10" s="5"/>
      <c r="E10" s="5"/>
      <c r="F10" s="5"/>
      <c r="G10" s="5"/>
    </row>
    <row r="11" spans="1:7" ht="12.45" customHeight="1">
      <c r="A11" s="5"/>
      <c r="B11" s="10" t="s">
        <v>1035</v>
      </c>
      <c r="C11" s="5"/>
      <c r="D11" s="11" t="s">
        <v>692</v>
      </c>
      <c r="E11" s="10" t="s">
        <v>1036</v>
      </c>
      <c r="F11" s="5"/>
      <c r="G11" s="5"/>
    </row>
    <row r="12" spans="1:7" ht="12.45" customHeight="1">
      <c r="A12" s="5"/>
      <c r="B12" s="10" t="s">
        <v>738</v>
      </c>
      <c r="C12" s="5"/>
      <c r="D12" s="11" t="s">
        <v>690</v>
      </c>
      <c r="E12" s="10" t="s">
        <v>1041</v>
      </c>
      <c r="F12" s="5"/>
      <c r="G12" s="5"/>
    </row>
    <row r="13" spans="1:7" ht="12.45" customHeight="1">
      <c r="A13" s="5"/>
      <c r="B13" s="10" t="s">
        <v>808</v>
      </c>
      <c r="C13" s="5"/>
      <c r="D13" s="11" t="s">
        <v>692</v>
      </c>
      <c r="E13" s="11" t="s">
        <v>1042</v>
      </c>
      <c r="F13" s="5"/>
      <c r="G13" s="5"/>
    </row>
    <row r="14" spans="1:7" ht="12.45" customHeight="1">
      <c r="A14" s="5"/>
      <c r="B14" s="10" t="s">
        <v>1043</v>
      </c>
      <c r="C14" s="5"/>
      <c r="D14" s="11" t="s">
        <v>690</v>
      </c>
      <c r="E14" s="11" t="s">
        <v>1040</v>
      </c>
      <c r="F14" s="5"/>
      <c r="G14" s="5"/>
    </row>
    <row r="15" spans="1:7" ht="10.95" customHeight="1">
      <c r="A15" s="5"/>
      <c r="B15" s="5"/>
      <c r="C15" s="5"/>
      <c r="D15" s="5"/>
      <c r="E15" s="2477" t="s">
        <v>702</v>
      </c>
      <c r="F15" s="2477"/>
      <c r="G15" s="5"/>
    </row>
    <row r="16" spans="1:7" ht="10.95" customHeight="1">
      <c r="A16" s="10" t="s">
        <v>703</v>
      </c>
      <c r="B16" s="10" t="s">
        <v>704</v>
      </c>
      <c r="C16" s="5"/>
      <c r="D16" s="5"/>
      <c r="E16" s="5"/>
      <c r="F16" s="5"/>
      <c r="G16" s="5"/>
    </row>
    <row r="17" spans="1:7" ht="10.95" customHeight="1">
      <c r="A17" s="5"/>
      <c r="B17" s="5"/>
      <c r="C17" s="5"/>
      <c r="D17" s="5"/>
      <c r="E17" s="5"/>
      <c r="F17" s="5"/>
      <c r="G17" s="5"/>
    </row>
    <row r="18" spans="1:7" ht="10.95" customHeight="1">
      <c r="A18" s="5"/>
      <c r="B18" s="5"/>
      <c r="C18" s="5"/>
      <c r="D18" s="5"/>
      <c r="E18" s="2477" t="s">
        <v>705</v>
      </c>
      <c r="F18" s="2477"/>
      <c r="G18" s="5"/>
    </row>
    <row r="19" spans="1:7" ht="10.95" customHeight="1">
      <c r="A19" s="5"/>
      <c r="B19" s="5"/>
      <c r="C19" s="5"/>
      <c r="D19" s="5"/>
      <c r="E19" s="5"/>
      <c r="F19" s="5"/>
      <c r="G19" s="5"/>
    </row>
    <row r="20" spans="1:7" ht="10.95" customHeight="1">
      <c r="A20" s="10" t="s">
        <v>706</v>
      </c>
      <c r="B20" s="2477" t="s">
        <v>707</v>
      </c>
      <c r="C20" s="2477"/>
      <c r="D20" s="2477"/>
      <c r="E20" s="2477"/>
      <c r="F20" s="2477"/>
      <c r="G20" s="5"/>
    </row>
    <row r="21" spans="1:7" ht="10.95" customHeight="1">
      <c r="A21" s="10" t="s">
        <v>708</v>
      </c>
      <c r="B21" s="2478" t="s">
        <v>876</v>
      </c>
      <c r="C21" s="2478"/>
      <c r="D21" s="2478"/>
      <c r="E21" s="2475" t="s">
        <v>710</v>
      </c>
      <c r="F21" s="2475"/>
      <c r="G21" s="5"/>
    </row>
    <row r="22" spans="1:7" ht="10.95" customHeight="1">
      <c r="A22" s="10" t="s">
        <v>711</v>
      </c>
      <c r="B22" s="2476" t="s">
        <v>712</v>
      </c>
      <c r="C22" s="2476"/>
      <c r="D22" s="2476"/>
      <c r="E22" s="2476"/>
      <c r="F22" s="2476"/>
      <c r="G22" s="5"/>
    </row>
    <row r="23" spans="1:7" ht="10.95" customHeight="1">
      <c r="A23" s="10"/>
      <c r="B23" s="27"/>
      <c r="C23" s="27"/>
      <c r="D23" s="27"/>
      <c r="E23" s="27"/>
      <c r="F23" s="27"/>
      <c r="G23" s="5"/>
    </row>
    <row r="24" spans="1:7" ht="16.5" customHeight="1">
      <c r="A24" s="50" t="s">
        <v>2159</v>
      </c>
      <c r="B24" s="27"/>
      <c r="C24" s="27"/>
      <c r="D24" s="27"/>
      <c r="E24" s="27"/>
      <c r="F24" s="27"/>
      <c r="G24" s="5"/>
    </row>
    <row r="25" spans="1:7" ht="10.95" customHeight="1">
      <c r="A25" s="10"/>
      <c r="B25" s="27"/>
      <c r="C25" s="27"/>
      <c r="D25" s="27"/>
      <c r="E25" s="27"/>
      <c r="F25" s="27"/>
      <c r="G25" s="5"/>
    </row>
    <row r="26" spans="1:7" ht="31.5" customHeight="1">
      <c r="A26" s="9" t="s">
        <v>1003</v>
      </c>
      <c r="B26" s="19" t="s">
        <v>1004</v>
      </c>
      <c r="C26" s="9" t="s">
        <v>1005</v>
      </c>
      <c r="D26" s="9" t="s">
        <v>1006</v>
      </c>
      <c r="E26" s="9" t="s">
        <v>1007</v>
      </c>
      <c r="F26" s="8" t="s">
        <v>669</v>
      </c>
      <c r="G26" s="8" t="s">
        <v>670</v>
      </c>
    </row>
    <row r="27" spans="1:7" ht="10.95" customHeight="1">
      <c r="A27" s="10" t="s">
        <v>671</v>
      </c>
      <c r="B27" s="10" t="s">
        <v>672</v>
      </c>
      <c r="C27" s="5"/>
      <c r="D27" s="5"/>
      <c r="E27" s="5"/>
      <c r="F27" s="5"/>
      <c r="G27" s="5"/>
    </row>
    <row r="28" spans="1:7" ht="12.45" customHeight="1">
      <c r="A28" s="5"/>
      <c r="B28" s="10" t="s">
        <v>673</v>
      </c>
      <c r="C28" s="10" t="s">
        <v>674</v>
      </c>
      <c r="D28" s="11" t="s">
        <v>675</v>
      </c>
      <c r="E28" s="11" t="s">
        <v>884</v>
      </c>
      <c r="F28" s="5"/>
      <c r="G28" s="5"/>
    </row>
    <row r="29" spans="1:7" ht="12.45" customHeight="1">
      <c r="A29" s="5"/>
      <c r="B29" s="10" t="s">
        <v>816</v>
      </c>
      <c r="C29" s="10" t="s">
        <v>678</v>
      </c>
      <c r="D29" s="11" t="s">
        <v>675</v>
      </c>
      <c r="E29" s="11" t="s">
        <v>889</v>
      </c>
      <c r="F29" s="5"/>
      <c r="G29" s="5"/>
    </row>
    <row r="30" spans="1:7" ht="12.45" customHeight="1">
      <c r="A30" s="5"/>
      <c r="B30" s="10" t="s">
        <v>680</v>
      </c>
      <c r="C30" s="10" t="s">
        <v>681</v>
      </c>
      <c r="D30" s="11" t="s">
        <v>675</v>
      </c>
      <c r="E30" s="11" t="s">
        <v>788</v>
      </c>
      <c r="F30" s="5"/>
      <c r="G30" s="5"/>
    </row>
    <row r="31" spans="1:7" ht="12.45" customHeight="1">
      <c r="A31" s="5"/>
      <c r="B31" s="10" t="s">
        <v>683</v>
      </c>
      <c r="C31" s="10" t="s">
        <v>684</v>
      </c>
      <c r="D31" s="11" t="s">
        <v>675</v>
      </c>
      <c r="E31" s="11" t="s">
        <v>1044</v>
      </c>
      <c r="F31" s="5"/>
      <c r="G31" s="5"/>
    </row>
    <row r="32" spans="1:7" ht="10.95" customHeight="1">
      <c r="A32" s="5"/>
      <c r="B32" s="5"/>
      <c r="C32" s="5"/>
      <c r="D32" s="5"/>
      <c r="E32" s="2477" t="s">
        <v>685</v>
      </c>
      <c r="F32" s="2477"/>
      <c r="G32" s="5"/>
    </row>
    <row r="33" spans="1:7" ht="10.95" customHeight="1">
      <c r="A33" s="10" t="s">
        <v>686</v>
      </c>
      <c r="B33" s="10" t="s">
        <v>687</v>
      </c>
      <c r="C33" s="5"/>
      <c r="D33" s="5"/>
      <c r="E33" s="5"/>
      <c r="F33" s="5"/>
      <c r="G33" s="5"/>
    </row>
    <row r="34" spans="1:7" ht="12.45" customHeight="1">
      <c r="A34" s="5"/>
      <c r="B34" s="10" t="s">
        <v>1045</v>
      </c>
      <c r="C34" s="5"/>
      <c r="D34" s="11" t="s">
        <v>692</v>
      </c>
      <c r="E34" s="10" t="s">
        <v>1036</v>
      </c>
      <c r="F34" s="5"/>
      <c r="G34" s="5"/>
    </row>
    <row r="35" spans="1:7" ht="12.45" customHeight="1">
      <c r="A35" s="5"/>
      <c r="B35" s="10" t="s">
        <v>738</v>
      </c>
      <c r="C35" s="5"/>
      <c r="D35" s="11" t="s">
        <v>690</v>
      </c>
      <c r="E35" s="10" t="s">
        <v>1046</v>
      </c>
      <c r="F35" s="5"/>
      <c r="G35" s="5"/>
    </row>
    <row r="36" spans="1:7" ht="12.45" customHeight="1">
      <c r="A36" s="5"/>
      <c r="B36" s="10" t="s">
        <v>808</v>
      </c>
      <c r="C36" s="5"/>
      <c r="D36" s="11" t="s">
        <v>692</v>
      </c>
      <c r="E36" s="11" t="s">
        <v>1047</v>
      </c>
      <c r="F36" s="5"/>
      <c r="G36" s="5"/>
    </row>
    <row r="37" spans="1:7" ht="12.45" customHeight="1">
      <c r="A37" s="5"/>
      <c r="B37" s="10" t="s">
        <v>1043</v>
      </c>
      <c r="C37" s="5"/>
      <c r="D37" s="11" t="s">
        <v>690</v>
      </c>
      <c r="E37" s="11" t="s">
        <v>1040</v>
      </c>
      <c r="F37" s="5"/>
      <c r="G37" s="5"/>
    </row>
    <row r="38" spans="1:7" ht="10.95" customHeight="1">
      <c r="A38" s="5"/>
      <c r="B38" s="5"/>
      <c r="C38" s="5"/>
      <c r="D38" s="5"/>
      <c r="E38" s="2477" t="s">
        <v>702</v>
      </c>
      <c r="F38" s="2477"/>
      <c r="G38" s="5"/>
    </row>
    <row r="39" spans="1:7" ht="10.95" customHeight="1">
      <c r="A39" s="10" t="s">
        <v>703</v>
      </c>
      <c r="B39" s="10" t="s">
        <v>704</v>
      </c>
      <c r="C39" s="5"/>
      <c r="D39" s="5"/>
      <c r="E39" s="5"/>
      <c r="F39" s="5"/>
      <c r="G39" s="5"/>
    </row>
    <row r="40" spans="1:7" ht="10.95" customHeight="1">
      <c r="A40" s="5"/>
      <c r="B40" s="5"/>
      <c r="C40" s="5"/>
      <c r="D40" s="5"/>
      <c r="E40" s="5"/>
      <c r="F40" s="5"/>
      <c r="G40" s="5"/>
    </row>
    <row r="41" spans="1:7" ht="10.95" customHeight="1">
      <c r="A41" s="5"/>
      <c r="B41" s="5"/>
      <c r="C41" s="5"/>
      <c r="D41" s="5"/>
      <c r="E41" s="2477" t="s">
        <v>705</v>
      </c>
      <c r="F41" s="2477"/>
      <c r="G41" s="5"/>
    </row>
    <row r="42" spans="1:7" ht="10.95" customHeight="1">
      <c r="A42" s="5"/>
      <c r="B42" s="5"/>
      <c r="C42" s="5"/>
      <c r="D42" s="5"/>
      <c r="E42" s="5"/>
      <c r="F42" s="5"/>
      <c r="G42" s="5"/>
    </row>
    <row r="43" spans="1:7" ht="10.95" customHeight="1">
      <c r="A43" s="10" t="s">
        <v>706</v>
      </c>
      <c r="B43" s="2477" t="s">
        <v>707</v>
      </c>
      <c r="C43" s="2477"/>
      <c r="D43" s="2477"/>
      <c r="E43" s="2477"/>
      <c r="F43" s="2477"/>
      <c r="G43" s="5"/>
    </row>
    <row r="44" spans="1:7" ht="12" customHeight="1">
      <c r="A44" s="10" t="s">
        <v>708</v>
      </c>
      <c r="B44" s="2471" t="s">
        <v>876</v>
      </c>
      <c r="C44" s="2471"/>
      <c r="D44" s="2471"/>
      <c r="E44" s="2475" t="s">
        <v>710</v>
      </c>
      <c r="F44" s="2475"/>
      <c r="G44" s="5"/>
    </row>
    <row r="45" spans="1:7" ht="10.95" customHeight="1">
      <c r="A45" s="10" t="s">
        <v>711</v>
      </c>
      <c r="B45" s="2476" t="s">
        <v>712</v>
      </c>
      <c r="C45" s="2476"/>
      <c r="D45" s="2476"/>
      <c r="E45" s="2476"/>
      <c r="F45" s="2476"/>
      <c r="G45" s="5"/>
    </row>
  </sheetData>
  <mergeCells count="14">
    <mergeCell ref="E9:F9"/>
    <mergeCell ref="E15:F15"/>
    <mergeCell ref="E18:F18"/>
    <mergeCell ref="B20:F20"/>
    <mergeCell ref="B21:D21"/>
    <mergeCell ref="E21:F21"/>
    <mergeCell ref="B44:D44"/>
    <mergeCell ref="E44:F44"/>
    <mergeCell ref="B45:F45"/>
    <mergeCell ref="B22:F22"/>
    <mergeCell ref="E32:F32"/>
    <mergeCell ref="E38:F38"/>
    <mergeCell ref="E41:F41"/>
    <mergeCell ref="B43:F43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0"/>
  <dimension ref="A1:G45"/>
  <sheetViews>
    <sheetView topLeftCell="A43" workbookViewId="0">
      <selection activeCell="G45" sqref="A1:G45"/>
    </sheetView>
  </sheetViews>
  <sheetFormatPr defaultRowHeight="14.4"/>
  <cols>
    <col min="1" max="1" width="5.33203125" customWidth="1"/>
    <col min="2" max="2" width="21" customWidth="1"/>
    <col min="3" max="3" width="8.44140625" customWidth="1"/>
    <col min="4" max="4" width="11.33203125" customWidth="1"/>
    <col min="5" max="5" width="14.6640625" customWidth="1"/>
    <col min="6" max="6" width="14.44140625" customWidth="1"/>
    <col min="7" max="7" width="16.6640625" customWidth="1"/>
  </cols>
  <sheetData>
    <row r="1" spans="1:7">
      <c r="A1" s="50" t="s">
        <v>2160</v>
      </c>
    </row>
    <row r="3" spans="1:7" ht="31.5" customHeight="1">
      <c r="A3" s="9" t="s">
        <v>1003</v>
      </c>
      <c r="B3" s="19" t="s">
        <v>1004</v>
      </c>
      <c r="C3" s="9" t="s">
        <v>1005</v>
      </c>
      <c r="D3" s="9" t="s">
        <v>1006</v>
      </c>
      <c r="E3" s="9" t="s">
        <v>1007</v>
      </c>
      <c r="F3" s="8" t="s">
        <v>669</v>
      </c>
      <c r="G3" s="8" t="s">
        <v>670</v>
      </c>
    </row>
    <row r="4" spans="1:7" ht="10.95" customHeight="1">
      <c r="A4" s="10" t="s">
        <v>671</v>
      </c>
      <c r="B4" s="10" t="s">
        <v>672</v>
      </c>
      <c r="C4" s="5"/>
      <c r="D4" s="5"/>
      <c r="E4" s="5"/>
      <c r="F4" s="5"/>
      <c r="G4" s="5"/>
    </row>
    <row r="5" spans="1:7" ht="12.45" customHeight="1">
      <c r="A5" s="5"/>
      <c r="B5" s="10" t="s">
        <v>673</v>
      </c>
      <c r="C5" s="10" t="s">
        <v>674</v>
      </c>
      <c r="D5" s="11" t="s">
        <v>675</v>
      </c>
      <c r="E5" s="11" t="s">
        <v>884</v>
      </c>
      <c r="F5" s="5"/>
      <c r="G5" s="5"/>
    </row>
    <row r="6" spans="1:7" ht="12.45" customHeight="1">
      <c r="A6" s="5"/>
      <c r="B6" s="10" t="s">
        <v>816</v>
      </c>
      <c r="C6" s="10" t="s">
        <v>678</v>
      </c>
      <c r="D6" s="11" t="s">
        <v>675</v>
      </c>
      <c r="E6" s="11" t="s">
        <v>889</v>
      </c>
      <c r="F6" s="5"/>
      <c r="G6" s="5"/>
    </row>
    <row r="7" spans="1:7" ht="12.45" customHeight="1">
      <c r="A7" s="5"/>
      <c r="B7" s="10" t="s">
        <v>680</v>
      </c>
      <c r="C7" s="10" t="s">
        <v>681</v>
      </c>
      <c r="D7" s="11" t="s">
        <v>675</v>
      </c>
      <c r="E7" s="11" t="s">
        <v>788</v>
      </c>
      <c r="F7" s="5"/>
      <c r="G7" s="5"/>
    </row>
    <row r="8" spans="1:7" ht="12.45" customHeight="1">
      <c r="A8" s="5"/>
      <c r="B8" s="10" t="s">
        <v>683</v>
      </c>
      <c r="C8" s="10" t="s">
        <v>684</v>
      </c>
      <c r="D8" s="11" t="s">
        <v>675</v>
      </c>
      <c r="E8" s="11" t="s">
        <v>1044</v>
      </c>
      <c r="F8" s="5"/>
      <c r="G8" s="5"/>
    </row>
    <row r="9" spans="1:7" ht="10.95" customHeight="1">
      <c r="A9" s="5"/>
      <c r="B9" s="5"/>
      <c r="C9" s="5"/>
      <c r="D9" s="5"/>
      <c r="E9" s="2477" t="s">
        <v>685</v>
      </c>
      <c r="F9" s="2477"/>
      <c r="G9" s="5"/>
    </row>
    <row r="10" spans="1:7" ht="10.95" customHeight="1">
      <c r="A10" s="10" t="s">
        <v>686</v>
      </c>
      <c r="B10" s="10" t="s">
        <v>687</v>
      </c>
      <c r="C10" s="5"/>
      <c r="D10" s="5"/>
      <c r="E10" s="5"/>
      <c r="F10" s="5"/>
      <c r="G10" s="5"/>
    </row>
    <row r="11" spans="1:7" ht="12.45" customHeight="1">
      <c r="A11" s="5"/>
      <c r="B11" s="10" t="s">
        <v>1045</v>
      </c>
      <c r="C11" s="5"/>
      <c r="D11" s="11" t="s">
        <v>692</v>
      </c>
      <c r="E11" s="10" t="s">
        <v>1036</v>
      </c>
      <c r="F11" s="5"/>
      <c r="G11" s="5"/>
    </row>
    <row r="12" spans="1:7" ht="12.45" customHeight="1">
      <c r="A12" s="5"/>
      <c r="B12" s="10" t="s">
        <v>738</v>
      </c>
      <c r="C12" s="5"/>
      <c r="D12" s="11" t="s">
        <v>690</v>
      </c>
      <c r="E12" s="10" t="s">
        <v>1048</v>
      </c>
      <c r="F12" s="5"/>
      <c r="G12" s="5"/>
    </row>
    <row r="13" spans="1:7" ht="12.45" customHeight="1">
      <c r="A13" s="5"/>
      <c r="B13" s="10" t="s">
        <v>808</v>
      </c>
      <c r="C13" s="5"/>
      <c r="D13" s="11" t="s">
        <v>692</v>
      </c>
      <c r="E13" s="11" t="s">
        <v>1049</v>
      </c>
      <c r="F13" s="5"/>
      <c r="G13" s="5"/>
    </row>
    <row r="14" spans="1:7" ht="12.45" customHeight="1">
      <c r="A14" s="5"/>
      <c r="B14" s="10" t="s">
        <v>1043</v>
      </c>
      <c r="C14" s="5"/>
      <c r="D14" s="11" t="s">
        <v>690</v>
      </c>
      <c r="E14" s="11" t="s">
        <v>1040</v>
      </c>
      <c r="F14" s="5"/>
      <c r="G14" s="5"/>
    </row>
    <row r="15" spans="1:7" ht="10.95" customHeight="1">
      <c r="A15" s="5"/>
      <c r="B15" s="5"/>
      <c r="C15" s="5"/>
      <c r="D15" s="5"/>
      <c r="E15" s="2477" t="s">
        <v>702</v>
      </c>
      <c r="F15" s="2477"/>
      <c r="G15" s="5"/>
    </row>
    <row r="16" spans="1:7" ht="10.95" customHeight="1">
      <c r="A16" s="10" t="s">
        <v>703</v>
      </c>
      <c r="B16" s="10" t="s">
        <v>704</v>
      </c>
      <c r="C16" s="5"/>
      <c r="D16" s="5"/>
      <c r="E16" s="5"/>
      <c r="F16" s="5"/>
      <c r="G16" s="5"/>
    </row>
    <row r="17" spans="1:7" ht="10.95" customHeight="1">
      <c r="A17" s="5"/>
      <c r="B17" s="5"/>
      <c r="C17" s="5"/>
      <c r="D17" s="5"/>
      <c r="E17" s="5"/>
      <c r="F17" s="5"/>
      <c r="G17" s="5"/>
    </row>
    <row r="18" spans="1:7" ht="10.95" customHeight="1">
      <c r="A18" s="5"/>
      <c r="B18" s="5"/>
      <c r="C18" s="5"/>
      <c r="D18" s="5"/>
      <c r="E18" s="2477" t="s">
        <v>705</v>
      </c>
      <c r="F18" s="2477"/>
      <c r="G18" s="5"/>
    </row>
    <row r="19" spans="1:7" ht="10.95" customHeight="1">
      <c r="A19" s="5"/>
      <c r="B19" s="5"/>
      <c r="C19" s="5"/>
      <c r="D19" s="5"/>
      <c r="E19" s="5"/>
      <c r="F19" s="5"/>
      <c r="G19" s="5"/>
    </row>
    <row r="20" spans="1:7" ht="10.95" customHeight="1">
      <c r="A20" s="10" t="s">
        <v>706</v>
      </c>
      <c r="B20" s="2477" t="s">
        <v>707</v>
      </c>
      <c r="C20" s="2477"/>
      <c r="D20" s="2477"/>
      <c r="E20" s="2477"/>
      <c r="F20" s="2477"/>
      <c r="G20" s="5"/>
    </row>
    <row r="21" spans="1:7" ht="12" customHeight="1">
      <c r="A21" s="10" t="s">
        <v>708</v>
      </c>
      <c r="B21" s="2471" t="s">
        <v>876</v>
      </c>
      <c r="C21" s="2471"/>
      <c r="D21" s="2471"/>
      <c r="E21" s="2475" t="s">
        <v>710</v>
      </c>
      <c r="F21" s="2475"/>
      <c r="G21" s="5"/>
    </row>
    <row r="22" spans="1:7" ht="10.95" customHeight="1">
      <c r="A22" s="10" t="s">
        <v>711</v>
      </c>
      <c r="B22" s="2476" t="s">
        <v>712</v>
      </c>
      <c r="C22" s="2476"/>
      <c r="D22" s="2476"/>
      <c r="E22" s="2476"/>
      <c r="F22" s="2476"/>
      <c r="G22" s="5"/>
    </row>
    <row r="23" spans="1:7" ht="10.95" customHeight="1">
      <c r="A23" s="10"/>
      <c r="B23" s="27"/>
      <c r="C23" s="27"/>
      <c r="D23" s="27"/>
      <c r="E23" s="27"/>
      <c r="F23" s="27"/>
      <c r="G23" s="5"/>
    </row>
    <row r="24" spans="1:7" ht="10.95" customHeight="1">
      <c r="A24" s="50" t="s">
        <v>2161</v>
      </c>
      <c r="B24" s="27"/>
      <c r="C24" s="27"/>
      <c r="D24" s="27"/>
      <c r="E24" s="27"/>
      <c r="F24" s="27"/>
      <c r="G24" s="5"/>
    </row>
    <row r="25" spans="1:7" ht="10.95" customHeight="1">
      <c r="A25" s="10"/>
      <c r="B25" s="27"/>
      <c r="C25" s="27"/>
      <c r="D25" s="27"/>
      <c r="E25" s="27"/>
      <c r="F25" s="27"/>
      <c r="G25" s="5"/>
    </row>
    <row r="26" spans="1:7" ht="31.5" customHeight="1">
      <c r="A26" s="9" t="s">
        <v>1003</v>
      </c>
      <c r="B26" s="19" t="s">
        <v>1004</v>
      </c>
      <c r="C26" s="9" t="s">
        <v>1005</v>
      </c>
      <c r="D26" s="9" t="s">
        <v>1006</v>
      </c>
      <c r="E26" s="9" t="s">
        <v>1007</v>
      </c>
      <c r="F26" s="8" t="s">
        <v>669</v>
      </c>
      <c r="G26" s="8" t="s">
        <v>670</v>
      </c>
    </row>
    <row r="27" spans="1:7" ht="10.95" customHeight="1">
      <c r="A27" s="10" t="s">
        <v>671</v>
      </c>
      <c r="B27" s="10" t="s">
        <v>672</v>
      </c>
      <c r="C27" s="5"/>
      <c r="D27" s="5"/>
      <c r="E27" s="5"/>
      <c r="F27" s="5"/>
      <c r="G27" s="5"/>
    </row>
    <row r="28" spans="1:7" ht="12.45" customHeight="1">
      <c r="A28" s="5"/>
      <c r="B28" s="10" t="s">
        <v>673</v>
      </c>
      <c r="C28" s="10" t="s">
        <v>674</v>
      </c>
      <c r="D28" s="11" t="s">
        <v>675</v>
      </c>
      <c r="E28" s="11" t="s">
        <v>718</v>
      </c>
      <c r="F28" s="5"/>
      <c r="G28" s="5"/>
    </row>
    <row r="29" spans="1:7" ht="12.45" customHeight="1">
      <c r="A29" s="5"/>
      <c r="B29" s="10" t="s">
        <v>816</v>
      </c>
      <c r="C29" s="10" t="s">
        <v>678</v>
      </c>
      <c r="D29" s="11" t="s">
        <v>675</v>
      </c>
      <c r="E29" s="11" t="s">
        <v>741</v>
      </c>
      <c r="F29" s="5"/>
      <c r="G29" s="5"/>
    </row>
    <row r="30" spans="1:7" ht="12.45" customHeight="1">
      <c r="A30" s="5"/>
      <c r="B30" s="10" t="s">
        <v>680</v>
      </c>
      <c r="C30" s="10" t="s">
        <v>681</v>
      </c>
      <c r="D30" s="11" t="s">
        <v>675</v>
      </c>
      <c r="E30" s="11" t="s">
        <v>779</v>
      </c>
      <c r="F30" s="5"/>
      <c r="G30" s="5"/>
    </row>
    <row r="31" spans="1:7" ht="12.45" customHeight="1">
      <c r="A31" s="5"/>
      <c r="B31" s="10" t="s">
        <v>683</v>
      </c>
      <c r="C31" s="10" t="s">
        <v>684</v>
      </c>
      <c r="D31" s="11" t="s">
        <v>675</v>
      </c>
      <c r="E31" s="11" t="s">
        <v>811</v>
      </c>
      <c r="F31" s="5"/>
      <c r="G31" s="5"/>
    </row>
    <row r="32" spans="1:7" ht="10.95" customHeight="1">
      <c r="A32" s="5"/>
      <c r="B32" s="5"/>
      <c r="C32" s="5"/>
      <c r="D32" s="5"/>
      <c r="E32" s="2477" t="s">
        <v>685</v>
      </c>
      <c r="F32" s="2477"/>
      <c r="G32" s="5"/>
    </row>
    <row r="33" spans="1:7" ht="10.95" customHeight="1">
      <c r="A33" s="10" t="s">
        <v>686</v>
      </c>
      <c r="B33" s="10" t="s">
        <v>687</v>
      </c>
      <c r="C33" s="5"/>
      <c r="D33" s="5"/>
      <c r="E33" s="5"/>
      <c r="F33" s="5"/>
      <c r="G33" s="5"/>
    </row>
    <row r="34" spans="1:7" ht="12.45" customHeight="1">
      <c r="A34" s="5"/>
      <c r="B34" s="10" t="s">
        <v>1050</v>
      </c>
      <c r="C34" s="5"/>
      <c r="D34" s="11" t="s">
        <v>692</v>
      </c>
      <c r="E34" s="10" t="s">
        <v>1036</v>
      </c>
      <c r="F34" s="5"/>
      <c r="G34" s="5"/>
    </row>
    <row r="35" spans="1:7" ht="12.45" customHeight="1">
      <c r="A35" s="5"/>
      <c r="B35" s="10" t="s">
        <v>738</v>
      </c>
      <c r="C35" s="5"/>
      <c r="D35" s="11" t="s">
        <v>690</v>
      </c>
      <c r="E35" s="10" t="s">
        <v>1051</v>
      </c>
      <c r="F35" s="5"/>
      <c r="G35" s="5"/>
    </row>
    <row r="36" spans="1:7" ht="12.45" customHeight="1">
      <c r="A36" s="5"/>
      <c r="B36" s="10" t="s">
        <v>808</v>
      </c>
      <c r="C36" s="5"/>
      <c r="D36" s="11" t="s">
        <v>692</v>
      </c>
      <c r="E36" s="11" t="s">
        <v>1052</v>
      </c>
      <c r="F36" s="5"/>
      <c r="G36" s="5"/>
    </row>
    <row r="37" spans="1:7" ht="12.45" customHeight="1">
      <c r="A37" s="5"/>
      <c r="B37" s="10" t="s">
        <v>1043</v>
      </c>
      <c r="C37" s="5"/>
      <c r="D37" s="11" t="s">
        <v>690</v>
      </c>
      <c r="E37" s="11" t="s">
        <v>1040</v>
      </c>
      <c r="F37" s="5"/>
      <c r="G37" s="5"/>
    </row>
    <row r="38" spans="1:7" ht="10.95" customHeight="1">
      <c r="A38" s="5"/>
      <c r="B38" s="5"/>
      <c r="C38" s="5"/>
      <c r="D38" s="5"/>
      <c r="E38" s="2477" t="s">
        <v>702</v>
      </c>
      <c r="F38" s="2477"/>
      <c r="G38" s="5"/>
    </row>
    <row r="39" spans="1:7" ht="10.95" customHeight="1">
      <c r="A39" s="10" t="s">
        <v>703</v>
      </c>
      <c r="B39" s="10" t="s">
        <v>704</v>
      </c>
      <c r="C39" s="5"/>
      <c r="D39" s="5"/>
      <c r="E39" s="5"/>
      <c r="F39" s="5"/>
      <c r="G39" s="5"/>
    </row>
    <row r="40" spans="1:7" ht="10.95" customHeight="1">
      <c r="A40" s="5"/>
      <c r="B40" s="5"/>
      <c r="C40" s="5"/>
      <c r="D40" s="5"/>
      <c r="E40" s="5"/>
      <c r="F40" s="5"/>
      <c r="G40" s="5"/>
    </row>
    <row r="41" spans="1:7" ht="10.95" customHeight="1">
      <c r="A41" s="5"/>
      <c r="B41" s="5"/>
      <c r="C41" s="5"/>
      <c r="D41" s="5"/>
      <c r="E41" s="2477" t="s">
        <v>705</v>
      </c>
      <c r="F41" s="2477"/>
      <c r="G41" s="5"/>
    </row>
    <row r="42" spans="1:7" ht="10.95" customHeight="1">
      <c r="A42" s="5"/>
      <c r="B42" s="5"/>
      <c r="C42" s="5"/>
      <c r="D42" s="5"/>
      <c r="E42" s="5"/>
      <c r="F42" s="5"/>
      <c r="G42" s="5"/>
    </row>
    <row r="43" spans="1:7" ht="10.95" customHeight="1">
      <c r="A43" s="10" t="s">
        <v>706</v>
      </c>
      <c r="B43" s="2477" t="s">
        <v>707</v>
      </c>
      <c r="C43" s="2477"/>
      <c r="D43" s="2477"/>
      <c r="E43" s="2477"/>
      <c r="F43" s="2477"/>
      <c r="G43" s="5"/>
    </row>
    <row r="44" spans="1:7" ht="10.95" customHeight="1">
      <c r="A44" s="10" t="s">
        <v>708</v>
      </c>
      <c r="B44" s="2478" t="s">
        <v>876</v>
      </c>
      <c r="C44" s="2478"/>
      <c r="D44" s="2478"/>
      <c r="E44" s="2475" t="s">
        <v>710</v>
      </c>
      <c r="F44" s="2475"/>
      <c r="G44" s="5"/>
    </row>
    <row r="45" spans="1:7" ht="10.95" customHeight="1">
      <c r="A45" s="10" t="s">
        <v>711</v>
      </c>
      <c r="B45" s="2476" t="s">
        <v>712</v>
      </c>
      <c r="C45" s="2476"/>
      <c r="D45" s="2476"/>
      <c r="E45" s="2476"/>
      <c r="F45" s="2476"/>
      <c r="G45" s="5"/>
    </row>
  </sheetData>
  <mergeCells count="14">
    <mergeCell ref="E9:F9"/>
    <mergeCell ref="E15:F15"/>
    <mergeCell ref="E18:F18"/>
    <mergeCell ref="B20:F20"/>
    <mergeCell ref="B21:D21"/>
    <mergeCell ref="E21:F21"/>
    <mergeCell ref="B44:D44"/>
    <mergeCell ref="E44:F44"/>
    <mergeCell ref="B45:F45"/>
    <mergeCell ref="B22:F22"/>
    <mergeCell ref="E32:F32"/>
    <mergeCell ref="E38:F38"/>
    <mergeCell ref="E41:F41"/>
    <mergeCell ref="B43:F43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1"/>
  <dimension ref="A1:G44"/>
  <sheetViews>
    <sheetView workbookViewId="0">
      <selection activeCell="G44" sqref="A1:G44"/>
    </sheetView>
  </sheetViews>
  <sheetFormatPr defaultRowHeight="14.4"/>
  <cols>
    <col min="1" max="1" width="5.33203125" customWidth="1"/>
    <col min="2" max="2" width="21" customWidth="1"/>
    <col min="3" max="3" width="8.44140625" customWidth="1"/>
    <col min="4" max="4" width="11.33203125" customWidth="1"/>
    <col min="5" max="5" width="14.6640625" customWidth="1"/>
    <col min="6" max="6" width="14.44140625" customWidth="1"/>
    <col min="7" max="7" width="16.6640625" customWidth="1"/>
  </cols>
  <sheetData>
    <row r="1" spans="1:7">
      <c r="A1" s="50" t="s">
        <v>2162</v>
      </c>
    </row>
    <row r="3" spans="1:7" ht="31.5" customHeight="1">
      <c r="A3" s="9" t="s">
        <v>1003</v>
      </c>
      <c r="B3" s="19" t="s">
        <v>1004</v>
      </c>
      <c r="C3" s="9" t="s">
        <v>1005</v>
      </c>
      <c r="D3" s="9" t="s">
        <v>1006</v>
      </c>
      <c r="E3" s="9" t="s">
        <v>1007</v>
      </c>
      <c r="F3" s="8" t="s">
        <v>669</v>
      </c>
      <c r="G3" s="8" t="s">
        <v>670</v>
      </c>
    </row>
    <row r="4" spans="1:7" ht="10.95" customHeight="1">
      <c r="A4" s="10" t="s">
        <v>671</v>
      </c>
      <c r="B4" s="10" t="s">
        <v>672</v>
      </c>
      <c r="C4" s="5"/>
      <c r="D4" s="5"/>
      <c r="E4" s="5"/>
      <c r="F4" s="5"/>
      <c r="G4" s="5"/>
    </row>
    <row r="5" spans="1:7" ht="12.45" customHeight="1">
      <c r="A5" s="5"/>
      <c r="B5" s="10" t="s">
        <v>673</v>
      </c>
      <c r="C5" s="10" t="s">
        <v>674</v>
      </c>
      <c r="D5" s="11" t="s">
        <v>675</v>
      </c>
      <c r="E5" s="11" t="s">
        <v>718</v>
      </c>
      <c r="F5" s="5"/>
      <c r="G5" s="5"/>
    </row>
    <row r="6" spans="1:7" ht="12.45" customHeight="1">
      <c r="A6" s="5"/>
      <c r="B6" s="10" t="s">
        <v>816</v>
      </c>
      <c r="C6" s="10" t="s">
        <v>678</v>
      </c>
      <c r="D6" s="11" t="s">
        <v>675</v>
      </c>
      <c r="E6" s="11" t="s">
        <v>741</v>
      </c>
      <c r="F6" s="5"/>
      <c r="G6" s="5"/>
    </row>
    <row r="7" spans="1:7" ht="12.45" customHeight="1">
      <c r="A7" s="5"/>
      <c r="B7" s="10" t="s">
        <v>680</v>
      </c>
      <c r="C7" s="10" t="s">
        <v>681</v>
      </c>
      <c r="D7" s="11" t="s">
        <v>675</v>
      </c>
      <c r="E7" s="11" t="s">
        <v>779</v>
      </c>
      <c r="F7" s="5"/>
      <c r="G7" s="5"/>
    </row>
    <row r="8" spans="1:7" ht="12.45" customHeight="1">
      <c r="A8" s="5"/>
      <c r="B8" s="10" t="s">
        <v>683</v>
      </c>
      <c r="C8" s="10" t="s">
        <v>684</v>
      </c>
      <c r="D8" s="11" t="s">
        <v>675</v>
      </c>
      <c r="E8" s="11" t="s">
        <v>811</v>
      </c>
      <c r="F8" s="5"/>
      <c r="G8" s="5"/>
    </row>
    <row r="9" spans="1:7" ht="10.95" customHeight="1">
      <c r="A9" s="5"/>
      <c r="B9" s="5"/>
      <c r="C9" s="5"/>
      <c r="D9" s="5"/>
      <c r="E9" s="2477" t="s">
        <v>685</v>
      </c>
      <c r="F9" s="2477"/>
      <c r="G9" s="5"/>
    </row>
    <row r="10" spans="1:7" ht="10.95" customHeight="1">
      <c r="A10" s="10" t="s">
        <v>686</v>
      </c>
      <c r="B10" s="10" t="s">
        <v>687</v>
      </c>
      <c r="C10" s="5"/>
      <c r="D10" s="5"/>
      <c r="E10" s="5"/>
      <c r="F10" s="5"/>
      <c r="G10" s="5"/>
    </row>
    <row r="11" spans="1:7" ht="12.45" customHeight="1">
      <c r="A11" s="5"/>
      <c r="B11" s="10" t="s">
        <v>1050</v>
      </c>
      <c r="C11" s="5"/>
      <c r="D11" s="11" t="s">
        <v>692</v>
      </c>
      <c r="E11" s="10" t="s">
        <v>1036</v>
      </c>
      <c r="F11" s="5"/>
      <c r="G11" s="5"/>
    </row>
    <row r="12" spans="1:7" ht="12.45" customHeight="1">
      <c r="A12" s="5"/>
      <c r="B12" s="10" t="s">
        <v>738</v>
      </c>
      <c r="C12" s="5"/>
      <c r="D12" s="11" t="s">
        <v>690</v>
      </c>
      <c r="E12" s="10" t="s">
        <v>1053</v>
      </c>
      <c r="F12" s="5"/>
      <c r="G12" s="5"/>
    </row>
    <row r="13" spans="1:7" ht="12.45" customHeight="1">
      <c r="A13" s="5"/>
      <c r="B13" s="10" t="s">
        <v>808</v>
      </c>
      <c r="C13" s="5"/>
      <c r="D13" s="11" t="s">
        <v>692</v>
      </c>
      <c r="E13" s="11" t="s">
        <v>1054</v>
      </c>
      <c r="F13" s="5"/>
      <c r="G13" s="5"/>
    </row>
    <row r="14" spans="1:7" ht="12.45" customHeight="1">
      <c r="A14" s="5"/>
      <c r="B14" s="10" t="s">
        <v>1043</v>
      </c>
      <c r="C14" s="5"/>
      <c r="D14" s="11" t="s">
        <v>690</v>
      </c>
      <c r="E14" s="11" t="s">
        <v>1040</v>
      </c>
      <c r="F14" s="5"/>
      <c r="G14" s="5"/>
    </row>
    <row r="15" spans="1:7" ht="10.95" customHeight="1">
      <c r="A15" s="5"/>
      <c r="B15" s="5"/>
      <c r="C15" s="5"/>
      <c r="D15" s="5"/>
      <c r="E15" s="2477" t="s">
        <v>702</v>
      </c>
      <c r="F15" s="2477"/>
      <c r="G15" s="5"/>
    </row>
    <row r="16" spans="1:7" ht="10.95" customHeight="1">
      <c r="A16" s="10" t="s">
        <v>703</v>
      </c>
      <c r="B16" s="10" t="s">
        <v>704</v>
      </c>
      <c r="C16" s="5"/>
      <c r="D16" s="5"/>
      <c r="E16" s="5"/>
      <c r="F16" s="5"/>
      <c r="G16" s="5"/>
    </row>
    <row r="17" spans="1:7" ht="10.95" customHeight="1">
      <c r="A17" s="5"/>
      <c r="B17" s="5"/>
      <c r="C17" s="5"/>
      <c r="D17" s="5"/>
      <c r="E17" s="5"/>
      <c r="F17" s="5"/>
      <c r="G17" s="5"/>
    </row>
    <row r="18" spans="1:7" ht="10.95" customHeight="1">
      <c r="A18" s="5"/>
      <c r="B18" s="5"/>
      <c r="C18" s="5"/>
      <c r="D18" s="5"/>
      <c r="E18" s="2477" t="s">
        <v>705</v>
      </c>
      <c r="F18" s="2477"/>
      <c r="G18" s="5"/>
    </row>
    <row r="19" spans="1:7" ht="10.95" customHeight="1">
      <c r="A19" s="5"/>
      <c r="B19" s="5"/>
      <c r="C19" s="5"/>
      <c r="D19" s="5"/>
      <c r="E19" s="5"/>
      <c r="F19" s="5"/>
      <c r="G19" s="5"/>
    </row>
    <row r="20" spans="1:7" ht="10.95" customHeight="1">
      <c r="A20" s="10" t="s">
        <v>706</v>
      </c>
      <c r="B20" s="2477" t="s">
        <v>707</v>
      </c>
      <c r="C20" s="2477"/>
      <c r="D20" s="2477"/>
      <c r="E20" s="2477"/>
      <c r="F20" s="2477"/>
      <c r="G20" s="5"/>
    </row>
    <row r="21" spans="1:7" ht="12" customHeight="1">
      <c r="A21" s="10" t="s">
        <v>708</v>
      </c>
      <c r="B21" s="2471" t="s">
        <v>876</v>
      </c>
      <c r="C21" s="2471"/>
      <c r="D21" s="2471"/>
      <c r="E21" s="2475" t="s">
        <v>710</v>
      </c>
      <c r="F21" s="2475"/>
      <c r="G21" s="5"/>
    </row>
    <row r="22" spans="1:7" ht="10.95" customHeight="1">
      <c r="A22" s="10" t="s">
        <v>711</v>
      </c>
      <c r="B22" s="2476" t="s">
        <v>712</v>
      </c>
      <c r="C22" s="2476"/>
      <c r="D22" s="2476"/>
      <c r="E22" s="2476"/>
      <c r="F22" s="2476"/>
      <c r="G22" s="5"/>
    </row>
    <row r="23" spans="1:7" ht="10.95" customHeight="1">
      <c r="A23" s="10"/>
      <c r="B23" s="27"/>
      <c r="C23" s="27"/>
      <c r="D23" s="27"/>
      <c r="E23" s="27"/>
      <c r="F23" s="27"/>
      <c r="G23" s="5"/>
    </row>
    <row r="24" spans="1:7" ht="10.95" customHeight="1">
      <c r="A24" s="50" t="s">
        <v>2163</v>
      </c>
      <c r="B24" s="27"/>
      <c r="C24" s="27"/>
      <c r="D24" s="27"/>
      <c r="E24" s="27"/>
      <c r="F24" s="27"/>
      <c r="G24" s="5"/>
    </row>
    <row r="25" spans="1:7" ht="10.95" customHeight="1">
      <c r="A25" s="10"/>
      <c r="B25" s="27"/>
      <c r="C25" s="27"/>
      <c r="D25" s="27"/>
      <c r="E25" s="27"/>
      <c r="F25" s="27"/>
      <c r="G25" s="5"/>
    </row>
    <row r="26" spans="1:7" ht="31.5" customHeight="1">
      <c r="A26" s="9" t="s">
        <v>1003</v>
      </c>
      <c r="B26" s="19" t="s">
        <v>1004</v>
      </c>
      <c r="C26" s="9" t="s">
        <v>1005</v>
      </c>
      <c r="D26" s="9" t="s">
        <v>1006</v>
      </c>
      <c r="E26" s="9" t="s">
        <v>1007</v>
      </c>
      <c r="F26" s="8" t="s">
        <v>669</v>
      </c>
      <c r="G26" s="8" t="s">
        <v>670</v>
      </c>
    </row>
    <row r="27" spans="1:7" ht="10.95" customHeight="1">
      <c r="A27" s="10" t="s">
        <v>671</v>
      </c>
      <c r="B27" s="10" t="s">
        <v>672</v>
      </c>
      <c r="C27" s="5"/>
      <c r="D27" s="5"/>
      <c r="E27" s="5"/>
      <c r="F27" s="5"/>
      <c r="G27" s="5"/>
    </row>
    <row r="28" spans="1:7" ht="12.45" customHeight="1">
      <c r="A28" s="5"/>
      <c r="B28" s="10" t="s">
        <v>673</v>
      </c>
      <c r="C28" s="10" t="s">
        <v>674</v>
      </c>
      <c r="D28" s="11" t="s">
        <v>675</v>
      </c>
      <c r="E28" s="11" t="s">
        <v>718</v>
      </c>
      <c r="F28" s="5"/>
      <c r="G28" s="5"/>
    </row>
    <row r="29" spans="1:7" ht="12.45" customHeight="1">
      <c r="A29" s="5"/>
      <c r="B29" s="10" t="s">
        <v>816</v>
      </c>
      <c r="C29" s="10" t="s">
        <v>678</v>
      </c>
      <c r="D29" s="11" t="s">
        <v>675</v>
      </c>
      <c r="E29" s="11" t="s">
        <v>741</v>
      </c>
      <c r="F29" s="5"/>
      <c r="G29" s="5"/>
    </row>
    <row r="30" spans="1:7" ht="12.45" customHeight="1">
      <c r="A30" s="5"/>
      <c r="B30" s="10" t="s">
        <v>680</v>
      </c>
      <c r="C30" s="10" t="s">
        <v>681</v>
      </c>
      <c r="D30" s="11" t="s">
        <v>675</v>
      </c>
      <c r="E30" s="11" t="s">
        <v>779</v>
      </c>
      <c r="F30" s="5"/>
      <c r="G30" s="5"/>
    </row>
    <row r="31" spans="1:7" ht="12.45" customHeight="1">
      <c r="A31" s="5"/>
      <c r="B31" s="10" t="s">
        <v>683</v>
      </c>
      <c r="C31" s="10" t="s">
        <v>684</v>
      </c>
      <c r="D31" s="11" t="s">
        <v>675</v>
      </c>
      <c r="E31" s="11" t="s">
        <v>811</v>
      </c>
      <c r="F31" s="5"/>
      <c r="G31" s="5"/>
    </row>
    <row r="32" spans="1:7" ht="10.95" customHeight="1">
      <c r="A32" s="5"/>
      <c r="B32" s="5"/>
      <c r="C32" s="5"/>
      <c r="D32" s="5"/>
      <c r="E32" s="2477" t="s">
        <v>685</v>
      </c>
      <c r="F32" s="2477"/>
      <c r="G32" s="5"/>
    </row>
    <row r="33" spans="1:7" ht="10.95" customHeight="1">
      <c r="A33" s="10" t="s">
        <v>686</v>
      </c>
      <c r="B33" s="10" t="s">
        <v>687</v>
      </c>
      <c r="C33" s="5"/>
      <c r="D33" s="5"/>
      <c r="E33" s="5"/>
      <c r="F33" s="5"/>
      <c r="G33" s="5"/>
    </row>
    <row r="34" spans="1:7" ht="12.45" customHeight="1">
      <c r="A34" s="5"/>
      <c r="B34" s="10" t="s">
        <v>1055</v>
      </c>
      <c r="C34" s="5"/>
      <c r="D34" s="11" t="s">
        <v>692</v>
      </c>
      <c r="E34" s="10" t="s">
        <v>744</v>
      </c>
      <c r="F34" s="5"/>
      <c r="G34" s="5"/>
    </row>
    <row r="35" spans="1:7" ht="12.45" customHeight="1">
      <c r="A35" s="5"/>
      <c r="B35" s="10" t="s">
        <v>738</v>
      </c>
      <c r="C35" s="5"/>
      <c r="D35" s="11" t="s">
        <v>690</v>
      </c>
      <c r="E35" s="10" t="s">
        <v>1056</v>
      </c>
      <c r="F35" s="5"/>
      <c r="G35" s="5"/>
    </row>
    <row r="36" spans="1:7" ht="12.45" customHeight="1">
      <c r="A36" s="5"/>
      <c r="B36" s="10" t="s">
        <v>808</v>
      </c>
      <c r="C36" s="5"/>
      <c r="D36" s="11" t="s">
        <v>692</v>
      </c>
      <c r="E36" s="11" t="s">
        <v>846</v>
      </c>
      <c r="F36" s="5"/>
      <c r="G36" s="5"/>
    </row>
    <row r="37" spans="1:7" ht="10.95" customHeight="1">
      <c r="A37" s="5"/>
      <c r="B37" s="5"/>
      <c r="C37" s="5"/>
      <c r="D37" s="5"/>
      <c r="E37" s="2477" t="s">
        <v>702</v>
      </c>
      <c r="F37" s="2477"/>
      <c r="G37" s="5"/>
    </row>
    <row r="38" spans="1:7" ht="10.95" customHeight="1">
      <c r="A38" s="10" t="s">
        <v>703</v>
      </c>
      <c r="B38" s="10" t="s">
        <v>704</v>
      </c>
      <c r="C38" s="5"/>
      <c r="D38" s="5"/>
      <c r="E38" s="5"/>
      <c r="F38" s="5"/>
      <c r="G38" s="5"/>
    </row>
    <row r="39" spans="1:7" ht="10.95" customHeight="1">
      <c r="A39" s="5"/>
      <c r="B39" s="5"/>
      <c r="C39" s="5"/>
      <c r="D39" s="5"/>
      <c r="E39" s="5"/>
      <c r="F39" s="5"/>
      <c r="G39" s="5"/>
    </row>
    <row r="40" spans="1:7" ht="10.95" customHeight="1">
      <c r="A40" s="5"/>
      <c r="B40" s="5"/>
      <c r="C40" s="5"/>
      <c r="D40" s="5"/>
      <c r="E40" s="2477" t="s">
        <v>705</v>
      </c>
      <c r="F40" s="2477"/>
      <c r="G40" s="5"/>
    </row>
    <row r="41" spans="1:7" ht="10.95" customHeight="1">
      <c r="A41" s="5"/>
      <c r="B41" s="5"/>
      <c r="C41" s="5"/>
      <c r="D41" s="5"/>
      <c r="E41" s="5"/>
      <c r="F41" s="5"/>
      <c r="G41" s="5"/>
    </row>
    <row r="42" spans="1:7" ht="10.95" customHeight="1">
      <c r="A42" s="10" t="s">
        <v>706</v>
      </c>
      <c r="B42" s="2477" t="s">
        <v>707</v>
      </c>
      <c r="C42" s="2477"/>
      <c r="D42" s="2477"/>
      <c r="E42" s="2477"/>
      <c r="F42" s="2477"/>
      <c r="G42" s="5"/>
    </row>
    <row r="43" spans="1:7" ht="12" customHeight="1">
      <c r="A43" s="10" t="s">
        <v>708</v>
      </c>
      <c r="B43" s="2471" t="s">
        <v>876</v>
      </c>
      <c r="C43" s="2471"/>
      <c r="D43" s="2471"/>
      <c r="E43" s="2475" t="s">
        <v>710</v>
      </c>
      <c r="F43" s="2475"/>
      <c r="G43" s="5"/>
    </row>
    <row r="44" spans="1:7" ht="10.95" customHeight="1">
      <c r="A44" s="10" t="s">
        <v>711</v>
      </c>
      <c r="B44" s="2476" t="s">
        <v>712</v>
      </c>
      <c r="C44" s="2476"/>
      <c r="D44" s="2476"/>
      <c r="E44" s="2476"/>
      <c r="F44" s="2476"/>
      <c r="G44" s="5"/>
    </row>
  </sheetData>
  <mergeCells count="14">
    <mergeCell ref="E9:F9"/>
    <mergeCell ref="E15:F15"/>
    <mergeCell ref="E18:F18"/>
    <mergeCell ref="B20:F20"/>
    <mergeCell ref="B21:D21"/>
    <mergeCell ref="E21:F21"/>
    <mergeCell ref="B43:D43"/>
    <mergeCell ref="E43:F43"/>
    <mergeCell ref="B44:F44"/>
    <mergeCell ref="B22:F22"/>
    <mergeCell ref="E32:F32"/>
    <mergeCell ref="E37:F37"/>
    <mergeCell ref="E40:F40"/>
    <mergeCell ref="B42:F4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/>
  </sheetPr>
  <dimension ref="A1:AO32"/>
  <sheetViews>
    <sheetView view="pageBreakPreview" topLeftCell="A4" zoomScale="80" zoomScaleNormal="90" zoomScaleSheetLayoutView="80" workbookViewId="0">
      <pane ySplit="1080" activePane="bottomLeft"/>
      <selection activeCell="L21" sqref="L21"/>
      <selection pane="bottomLeft" activeCell="J8" sqref="J8"/>
    </sheetView>
  </sheetViews>
  <sheetFormatPr defaultColWidth="9.109375" defaultRowHeight="14.4"/>
  <cols>
    <col min="1" max="1" width="6.5546875" style="191" customWidth="1"/>
    <col min="2" max="2" width="9.109375" style="191" hidden="1" customWidth="1"/>
    <col min="3" max="3" width="4.6640625" style="191" hidden="1" customWidth="1"/>
    <col min="4" max="4" width="5.5546875" style="191" customWidth="1"/>
    <col min="5" max="5" width="25.88671875" style="191" customWidth="1"/>
    <col min="6" max="8" width="9.33203125" style="191" bestFit="1" customWidth="1"/>
    <col min="9" max="10" width="10" style="191" bestFit="1" customWidth="1"/>
    <col min="11" max="11" width="9.88671875" style="191" customWidth="1"/>
    <col min="12" max="12" width="9.33203125" style="191" bestFit="1" customWidth="1"/>
    <col min="13" max="13" width="9.44140625" style="191" bestFit="1" customWidth="1"/>
    <col min="14" max="14" width="9.33203125" style="237" bestFit="1" customWidth="1"/>
    <col min="15" max="15" width="9.33203125" style="191" bestFit="1" customWidth="1"/>
    <col min="16" max="16" width="9.44140625" style="191" bestFit="1" customWidth="1"/>
    <col min="17" max="21" width="9.33203125" style="191" bestFit="1" customWidth="1"/>
    <col min="22" max="22" width="12.33203125" style="191" customWidth="1"/>
    <col min="23" max="23" width="12.109375" style="191" customWidth="1"/>
    <col min="24" max="24" width="12.33203125" style="191" bestFit="1" customWidth="1"/>
    <col min="25" max="29" width="0" style="191" hidden="1" customWidth="1"/>
    <col min="30" max="30" width="9.88671875" style="191" hidden="1" customWidth="1"/>
    <col min="31" max="31" width="2" style="191" hidden="1" customWidth="1"/>
    <col min="32" max="32" width="7.88671875" style="191" hidden="1" customWidth="1"/>
    <col min="33" max="33" width="9.109375" style="191" customWidth="1"/>
    <col min="34" max="36" width="9.109375" style="191"/>
    <col min="37" max="37" width="10.5546875" style="237" customWidth="1"/>
    <col min="38" max="39" width="13.6640625" style="191" customWidth="1"/>
    <col min="40" max="16384" width="9.109375" style="191"/>
  </cols>
  <sheetData>
    <row r="1" spans="1:39" ht="15" thickBot="1">
      <c r="V1" s="238"/>
    </row>
    <row r="2" spans="1:39" s="246" customFormat="1" ht="28.8" thickTop="1">
      <c r="A2" s="239"/>
      <c r="B2" s="240"/>
      <c r="C2" s="241"/>
      <c r="D2" s="242" t="s">
        <v>686</v>
      </c>
      <c r="E2" s="241" t="s">
        <v>4551</v>
      </c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V2" s="241"/>
      <c r="W2" s="241"/>
      <c r="X2" s="243"/>
      <c r="Y2" s="244"/>
      <c r="Z2" s="2046" t="s">
        <v>4552</v>
      </c>
      <c r="AA2" s="2047"/>
      <c r="AB2" s="2047"/>
      <c r="AC2" s="2047"/>
      <c r="AD2" s="2047"/>
      <c r="AE2" s="2048"/>
      <c r="AF2" s="240"/>
      <c r="AG2" s="2046" t="s">
        <v>4553</v>
      </c>
      <c r="AH2" s="2047"/>
      <c r="AI2" s="2047"/>
      <c r="AJ2" s="2047"/>
      <c r="AK2" s="2047"/>
      <c r="AL2" s="2048"/>
      <c r="AM2" s="245"/>
    </row>
    <row r="3" spans="1:39" s="246" customFormat="1" ht="13.8" thickBot="1">
      <c r="A3" s="247"/>
      <c r="C3" s="248"/>
      <c r="D3" s="249"/>
      <c r="E3" s="250"/>
      <c r="F3" s="251"/>
      <c r="G3" s="251"/>
      <c r="H3" s="251"/>
      <c r="I3" s="251"/>
      <c r="J3" s="251"/>
      <c r="K3" s="248"/>
      <c r="L3" s="251"/>
      <c r="M3" s="251"/>
      <c r="N3" s="251"/>
      <c r="O3" s="251"/>
      <c r="P3" s="251"/>
      <c r="Q3" s="248"/>
      <c r="R3" s="248"/>
      <c r="S3" s="248"/>
      <c r="T3" s="248"/>
      <c r="U3" s="248"/>
      <c r="V3" s="248"/>
      <c r="W3" s="248"/>
      <c r="X3" s="252"/>
      <c r="Y3" s="248"/>
      <c r="Z3" s="253"/>
      <c r="AA3" s="254"/>
      <c r="AB3" s="254"/>
      <c r="AC3" s="254"/>
      <c r="AD3" s="254"/>
      <c r="AE3" s="255"/>
      <c r="AG3" s="256"/>
      <c r="AH3" s="257"/>
      <c r="AI3" s="257"/>
      <c r="AJ3" s="257"/>
      <c r="AK3" s="258"/>
      <c r="AL3" s="259"/>
      <c r="AM3" s="260"/>
    </row>
    <row r="4" spans="1:39" s="246" customFormat="1" ht="13.8" thickTop="1">
      <c r="A4" s="247"/>
      <c r="C4" s="248"/>
      <c r="D4" s="261"/>
      <c r="E4" s="262"/>
      <c r="F4" s="2049" t="s">
        <v>4554</v>
      </c>
      <c r="G4" s="2050"/>
      <c r="H4" s="2050"/>
      <c r="I4" s="2050"/>
      <c r="J4" s="2050"/>
      <c r="K4" s="2051"/>
      <c r="L4" s="2052" t="s">
        <v>4555</v>
      </c>
      <c r="M4" s="2053"/>
      <c r="N4" s="2054"/>
      <c r="O4" s="2052" t="s">
        <v>4555</v>
      </c>
      <c r="P4" s="2053"/>
      <c r="Q4" s="2053"/>
      <c r="R4" s="2053"/>
      <c r="S4" s="2053"/>
      <c r="T4" s="2053"/>
      <c r="U4" s="2054"/>
      <c r="V4" s="261" t="s">
        <v>4556</v>
      </c>
      <c r="W4" s="263" t="s">
        <v>4556</v>
      </c>
      <c r="X4" s="264" t="s">
        <v>4557</v>
      </c>
      <c r="Y4" s="251"/>
      <c r="Z4" s="265"/>
      <c r="AA4" s="266"/>
      <c r="AB4" s="2049" t="s">
        <v>4554</v>
      </c>
      <c r="AC4" s="2050"/>
      <c r="AD4" s="2050"/>
      <c r="AE4" s="2051"/>
      <c r="AG4" s="2055" t="s">
        <v>4558</v>
      </c>
      <c r="AH4" s="2056"/>
      <c r="AI4" s="2056"/>
      <c r="AJ4" s="2056"/>
      <c r="AK4" s="2059" t="s">
        <v>4559</v>
      </c>
      <c r="AL4" s="2062" t="s">
        <v>4560</v>
      </c>
      <c r="AM4" s="267"/>
    </row>
    <row r="5" spans="1:39" s="246" customFormat="1" ht="13.2">
      <c r="A5" s="247"/>
      <c r="C5" s="248"/>
      <c r="D5" s="268" t="s">
        <v>2893</v>
      </c>
      <c r="E5" s="269" t="s">
        <v>4561</v>
      </c>
      <c r="F5" s="270" t="s">
        <v>4562</v>
      </c>
      <c r="G5" s="270" t="s">
        <v>4563</v>
      </c>
      <c r="H5" s="271" t="s">
        <v>4564</v>
      </c>
      <c r="I5" s="271" t="s">
        <v>4565</v>
      </c>
      <c r="J5" s="271" t="s">
        <v>4566</v>
      </c>
      <c r="K5" s="271" t="s">
        <v>4567</v>
      </c>
      <c r="L5" s="2043" t="s">
        <v>4568</v>
      </c>
      <c r="M5" s="2044"/>
      <c r="N5" s="2045"/>
      <c r="O5" s="2043" t="s">
        <v>4569</v>
      </c>
      <c r="P5" s="2044"/>
      <c r="Q5" s="2044"/>
      <c r="R5" s="2044"/>
      <c r="S5" s="2044"/>
      <c r="T5" s="2044"/>
      <c r="U5" s="2045"/>
      <c r="V5" s="268" t="s">
        <v>4570</v>
      </c>
      <c r="W5" s="272" t="s">
        <v>4570</v>
      </c>
      <c r="X5" s="273" t="s">
        <v>4570</v>
      </c>
      <c r="Y5" s="251"/>
      <c r="Z5" s="268" t="s">
        <v>2893</v>
      </c>
      <c r="AA5" s="269" t="s">
        <v>4561</v>
      </c>
      <c r="AB5" s="270" t="s">
        <v>4562</v>
      </c>
      <c r="AC5" s="270" t="s">
        <v>4563</v>
      </c>
      <c r="AD5" s="271" t="s">
        <v>4571</v>
      </c>
      <c r="AE5" s="272" t="s">
        <v>4567</v>
      </c>
      <c r="AG5" s="2057"/>
      <c r="AH5" s="2058"/>
      <c r="AI5" s="2058"/>
      <c r="AJ5" s="2058"/>
      <c r="AK5" s="2060"/>
      <c r="AL5" s="2063"/>
      <c r="AM5" s="267"/>
    </row>
    <row r="6" spans="1:39" s="246" customFormat="1" ht="13.8" thickBot="1">
      <c r="A6" s="247"/>
      <c r="C6" s="248"/>
      <c r="D6" s="274"/>
      <c r="E6" s="275"/>
      <c r="F6" s="276" t="s">
        <v>4572</v>
      </c>
      <c r="G6" s="276" t="str">
        <f>F6</f>
        <v>( m )</v>
      </c>
      <c r="H6" s="277" t="s">
        <v>4573</v>
      </c>
      <c r="I6" s="277" t="s">
        <v>853</v>
      </c>
      <c r="J6" s="277" t="s">
        <v>2970</v>
      </c>
      <c r="K6" s="278" t="s">
        <v>4574</v>
      </c>
      <c r="L6" s="279" t="s">
        <v>4575</v>
      </c>
      <c r="M6" s="280" t="s">
        <v>4576</v>
      </c>
      <c r="N6" s="281" t="s">
        <v>4577</v>
      </c>
      <c r="O6" s="282" t="s">
        <v>4575</v>
      </c>
      <c r="P6" s="280" t="str">
        <f>M6</f>
        <v>Kg/M'</v>
      </c>
      <c r="Q6" s="283" t="s">
        <v>4578</v>
      </c>
      <c r="R6" s="283" t="s">
        <v>4579</v>
      </c>
      <c r="S6" s="283" t="s">
        <v>4580</v>
      </c>
      <c r="T6" s="283" t="s">
        <v>4581</v>
      </c>
      <c r="U6" s="284" t="s">
        <v>4582</v>
      </c>
      <c r="V6" s="274" t="s">
        <v>4583</v>
      </c>
      <c r="W6" s="285" t="s">
        <v>4584</v>
      </c>
      <c r="X6" s="286"/>
      <c r="Y6" s="251"/>
      <c r="Z6" s="274"/>
      <c r="AA6" s="275"/>
      <c r="AB6" s="276" t="s">
        <v>4572</v>
      </c>
      <c r="AC6" s="276" t="str">
        <f>AB6</f>
        <v>( m )</v>
      </c>
      <c r="AD6" s="277" t="s">
        <v>4574</v>
      </c>
      <c r="AE6" s="287" t="s">
        <v>2646</v>
      </c>
      <c r="AG6" s="288">
        <v>1</v>
      </c>
      <c r="AH6" s="289">
        <v>2</v>
      </c>
      <c r="AI6" s="290">
        <v>3</v>
      </c>
      <c r="AJ6" s="290">
        <v>4</v>
      </c>
      <c r="AK6" s="2061"/>
      <c r="AL6" s="2064"/>
      <c r="AM6" s="267"/>
    </row>
    <row r="7" spans="1:39" s="246" customFormat="1" thickTop="1" thickBot="1">
      <c r="A7" s="247"/>
      <c r="C7" s="248"/>
      <c r="D7" s="291"/>
      <c r="E7" s="292" t="s">
        <v>4585</v>
      </c>
      <c r="F7" s="293"/>
      <c r="G7" s="293"/>
      <c r="H7" s="294"/>
      <c r="I7" s="294"/>
      <c r="J7" s="294"/>
      <c r="K7" s="295"/>
      <c r="L7" s="291"/>
      <c r="M7" s="293"/>
      <c r="N7" s="296"/>
      <c r="O7" s="297"/>
      <c r="P7" s="293"/>
      <c r="Q7" s="298"/>
      <c r="R7" s="298"/>
      <c r="S7" s="298"/>
      <c r="T7" s="298"/>
      <c r="U7" s="299"/>
      <c r="V7" s="291"/>
      <c r="W7" s="296"/>
      <c r="X7" s="300"/>
      <c r="Y7" s="248"/>
      <c r="Z7" s="291"/>
      <c r="AA7" s="292" t="s">
        <v>4585</v>
      </c>
      <c r="AB7" s="293"/>
      <c r="AC7" s="293"/>
      <c r="AD7" s="294"/>
      <c r="AE7" s="299"/>
      <c r="AG7" s="301"/>
      <c r="AH7" s="302"/>
      <c r="AI7" s="302"/>
      <c r="AJ7" s="302"/>
      <c r="AK7" s="302"/>
      <c r="AL7" s="303"/>
      <c r="AM7" s="260"/>
    </row>
    <row r="8" spans="1:39" s="246" customFormat="1" thickTop="1" thickBot="1">
      <c r="A8" s="247"/>
      <c r="C8" s="248"/>
      <c r="D8" s="304">
        <v>1</v>
      </c>
      <c r="E8" s="305" t="s">
        <v>4597</v>
      </c>
      <c r="F8" s="306">
        <v>0.4</v>
      </c>
      <c r="G8" s="306">
        <v>0.4</v>
      </c>
      <c r="H8" s="307">
        <f>F8*G8</f>
        <v>0.16000000000000003</v>
      </c>
      <c r="I8" s="307">
        <v>1</v>
      </c>
      <c r="J8" s="307">
        <f>'BACK-UP DATA'!H21</f>
        <v>21</v>
      </c>
      <c r="K8" s="308">
        <f>H8*I8*J8</f>
        <v>3.3600000000000008</v>
      </c>
      <c r="L8" s="309">
        <v>12</v>
      </c>
      <c r="M8" s="310">
        <f>0.006165*L8*L8</f>
        <v>0.8877600000000001</v>
      </c>
      <c r="N8" s="311">
        <v>6</v>
      </c>
      <c r="O8" s="312">
        <v>6</v>
      </c>
      <c r="P8" s="313">
        <f>0.006165*O8*O8</f>
        <v>0.22194000000000003</v>
      </c>
      <c r="Q8" s="314">
        <f>F8-0.05</f>
        <v>0.35000000000000003</v>
      </c>
      <c r="R8" s="314">
        <f>G8-0.05</f>
        <v>0.35000000000000003</v>
      </c>
      <c r="S8" s="314">
        <f>0.025*2</f>
        <v>0.05</v>
      </c>
      <c r="T8" s="314">
        <v>0.15</v>
      </c>
      <c r="U8" s="315">
        <f>(I8*J8)/T8</f>
        <v>140</v>
      </c>
      <c r="V8" s="316">
        <f>I8*N8*M8*J8</f>
        <v>111.85776000000001</v>
      </c>
      <c r="W8" s="317">
        <f>((Q8*2)+(R8*2)+S8)*P8*U8</f>
        <v>45.053820000000009</v>
      </c>
      <c r="X8" s="318">
        <f>V8+W8</f>
        <v>156.91158000000001</v>
      </c>
      <c r="Y8" s="248"/>
      <c r="Z8" s="304"/>
      <c r="AA8" s="319"/>
      <c r="AB8" s="306">
        <f>F8</f>
        <v>0.4</v>
      </c>
      <c r="AC8" s="306">
        <f>G8</f>
        <v>0.4</v>
      </c>
      <c r="AD8" s="307">
        <f>I8*J8</f>
        <v>21</v>
      </c>
      <c r="AE8" s="320">
        <f>AB8*AC8*AD8</f>
        <v>3.3600000000000008</v>
      </c>
      <c r="AG8" s="321">
        <f>AB8</f>
        <v>0.4</v>
      </c>
      <c r="AH8" s="319">
        <f>AG8</f>
        <v>0.4</v>
      </c>
      <c r="AI8" s="319">
        <f>AC8</f>
        <v>0.4</v>
      </c>
      <c r="AJ8" s="319">
        <f>AC8</f>
        <v>0.4</v>
      </c>
      <c r="AK8" s="319">
        <f>I8*J8</f>
        <v>21</v>
      </c>
      <c r="AL8" s="322">
        <f>((AG8+AH8+AI8+AJ8)*AK8)/1</f>
        <v>33.6</v>
      </c>
      <c r="AM8" s="323"/>
    </row>
    <row r="9" spans="1:39" s="246" customFormat="1" thickTop="1" thickBot="1">
      <c r="A9" s="247"/>
      <c r="C9" s="248"/>
      <c r="D9" s="304"/>
      <c r="E9" s="319"/>
      <c r="F9" s="306"/>
      <c r="G9" s="306"/>
      <c r="H9" s="307"/>
      <c r="I9" s="307"/>
      <c r="J9" s="307"/>
      <c r="K9" s="324">
        <f>SUM(K8:K8)</f>
        <v>3.3600000000000008</v>
      </c>
      <c r="L9" s="325"/>
      <c r="M9" s="310"/>
      <c r="N9" s="311"/>
      <c r="O9" s="312"/>
      <c r="P9" s="313"/>
      <c r="Q9" s="314"/>
      <c r="R9" s="314"/>
      <c r="S9" s="314"/>
      <c r="T9" s="314"/>
      <c r="U9" s="315"/>
      <c r="V9" s="316">
        <f>SUM(V8:V8)</f>
        <v>111.85776000000001</v>
      </c>
      <c r="W9" s="326">
        <f>SUM(W8:W8)</f>
        <v>45.053820000000009</v>
      </c>
      <c r="X9" s="327">
        <f>SUM(X8:X8)</f>
        <v>156.91158000000001</v>
      </c>
      <c r="Y9" s="248"/>
      <c r="Z9" s="304"/>
      <c r="AA9" s="319"/>
      <c r="AB9" s="306"/>
      <c r="AC9" s="306"/>
      <c r="AD9" s="307"/>
      <c r="AE9" s="320"/>
      <c r="AG9" s="321"/>
      <c r="AH9" s="319"/>
      <c r="AI9" s="319"/>
      <c r="AJ9" s="319"/>
      <c r="AK9" s="319"/>
      <c r="AL9" s="328">
        <f>SUM(AL8:AL8)</f>
        <v>33.6</v>
      </c>
      <c r="AM9" s="329">
        <f>AL9</f>
        <v>33.6</v>
      </c>
    </row>
    <row r="10" spans="1:39" s="246" customFormat="1" ht="13.8" hidden="1" thickBot="1">
      <c r="A10" s="247"/>
      <c r="C10" s="248"/>
      <c r="D10" s="330"/>
      <c r="E10" s="331"/>
      <c r="F10" s="332"/>
      <c r="G10" s="332"/>
      <c r="H10" s="333"/>
      <c r="I10" s="333"/>
      <c r="J10" s="333"/>
      <c r="K10" s="334"/>
      <c r="L10" s="330"/>
      <c r="M10" s="335"/>
      <c r="N10" s="336"/>
      <c r="O10" s="337"/>
      <c r="P10" s="313"/>
      <c r="Q10" s="314"/>
      <c r="R10" s="314"/>
      <c r="S10" s="314"/>
      <c r="T10" s="338"/>
      <c r="U10" s="339"/>
      <c r="V10" s="340"/>
      <c r="W10" s="341"/>
      <c r="X10" s="342"/>
      <c r="Y10" s="248"/>
      <c r="Z10" s="330"/>
      <c r="AA10" s="331"/>
      <c r="AB10" s="332"/>
      <c r="AC10" s="332"/>
      <c r="AD10" s="333"/>
      <c r="AE10" s="343"/>
      <c r="AG10" s="344"/>
      <c r="AH10" s="331"/>
      <c r="AI10" s="331"/>
      <c r="AJ10" s="331"/>
      <c r="AK10" s="331"/>
      <c r="AL10" s="345"/>
      <c r="AM10" s="323"/>
    </row>
    <row r="11" spans="1:39" s="246" customFormat="1" hidden="1" thickTop="1" thickBot="1">
      <c r="A11" s="247"/>
      <c r="B11" s="246" t="s">
        <v>4533</v>
      </c>
      <c r="C11" s="246" t="s">
        <v>3693</v>
      </c>
      <c r="D11" s="367"/>
      <c r="E11" s="368" t="s">
        <v>4586</v>
      </c>
      <c r="F11" s="298"/>
      <c r="G11" s="298"/>
      <c r="H11" s="295"/>
      <c r="I11" s="295"/>
      <c r="J11" s="295"/>
      <c r="K11" s="369"/>
      <c r="L11" s="367"/>
      <c r="M11" s="370"/>
      <c r="N11" s="299"/>
      <c r="O11" s="371"/>
      <c r="P11" s="372"/>
      <c r="Q11" s="298"/>
      <c r="R11" s="298"/>
      <c r="S11" s="298"/>
      <c r="T11" s="298"/>
      <c r="U11" s="299"/>
      <c r="V11" s="367"/>
      <c r="W11" s="299"/>
      <c r="X11" s="373"/>
      <c r="Y11" s="248"/>
      <c r="Z11" s="367"/>
      <c r="AA11" s="368" t="s">
        <v>4588</v>
      </c>
      <c r="AB11" s="298"/>
      <c r="AC11" s="298"/>
      <c r="AD11" s="295"/>
      <c r="AE11" s="374"/>
      <c r="AG11" s="375"/>
      <c r="AH11" s="376"/>
      <c r="AI11" s="376"/>
      <c r="AJ11" s="376"/>
      <c r="AK11" s="377"/>
      <c r="AL11" s="378"/>
      <c r="AM11" s="323"/>
    </row>
    <row r="12" spans="1:39" s="246" customFormat="1" ht="13.8" hidden="1" thickTop="1">
      <c r="A12" s="247"/>
      <c r="C12" s="248"/>
      <c r="D12" s="330"/>
      <c r="E12" s="346"/>
      <c r="F12" s="332"/>
      <c r="G12" s="332"/>
      <c r="H12" s="333"/>
      <c r="I12" s="333"/>
      <c r="J12" s="333"/>
      <c r="K12" s="347"/>
      <c r="L12" s="348"/>
      <c r="M12" s="335"/>
      <c r="N12" s="349"/>
      <c r="O12" s="337"/>
      <c r="P12" s="350"/>
      <c r="Q12" s="338"/>
      <c r="R12" s="338"/>
      <c r="S12" s="338"/>
      <c r="T12" s="338"/>
      <c r="U12" s="351"/>
      <c r="V12" s="316"/>
      <c r="W12" s="317"/>
      <c r="X12" s="352"/>
      <c r="Y12" s="353"/>
      <c r="Z12" s="330"/>
      <c r="AA12" s="331"/>
      <c r="AB12" s="332"/>
      <c r="AC12" s="332"/>
      <c r="AD12" s="333"/>
      <c r="AE12" s="354"/>
      <c r="AF12" s="355"/>
      <c r="AG12" s="344"/>
      <c r="AH12" s="331"/>
      <c r="AI12" s="331"/>
      <c r="AJ12" s="331"/>
      <c r="AK12" s="331"/>
      <c r="AL12" s="356"/>
      <c r="AM12" s="323"/>
    </row>
    <row r="13" spans="1:39" s="358" customFormat="1" ht="13.8" hidden="1" thickBot="1">
      <c r="A13" s="357"/>
      <c r="C13" s="359"/>
      <c r="D13" s="360">
        <v>1</v>
      </c>
      <c r="E13" s="305" t="s">
        <v>4587</v>
      </c>
      <c r="F13" s="306">
        <v>0.15</v>
      </c>
      <c r="G13" s="306">
        <v>0.15</v>
      </c>
      <c r="H13" s="307">
        <f>F13*G13</f>
        <v>2.2499999999999999E-2</v>
      </c>
      <c r="I13" s="307" t="e">
        <f>'BACK-UP DATA'!#REF!</f>
        <v>#REF!</v>
      </c>
      <c r="J13" s="307"/>
      <c r="K13" s="308" t="e">
        <f>H13*I13</f>
        <v>#REF!</v>
      </c>
      <c r="L13" s="309">
        <v>8</v>
      </c>
      <c r="M13" s="310">
        <f>0.006165*L13*L13</f>
        <v>0.39456000000000002</v>
      </c>
      <c r="N13" s="311">
        <v>4</v>
      </c>
      <c r="O13" s="312">
        <v>6</v>
      </c>
      <c r="P13" s="313">
        <f>0.006165*O13*O13</f>
        <v>0.22194000000000003</v>
      </c>
      <c r="Q13" s="314">
        <f>F13-0.05</f>
        <v>9.9999999999999992E-2</v>
      </c>
      <c r="R13" s="314">
        <f>G13-0.05</f>
        <v>9.9999999999999992E-2</v>
      </c>
      <c r="S13" s="314">
        <f>0.025*2</f>
        <v>0.05</v>
      </c>
      <c r="T13" s="314">
        <f>T8</f>
        <v>0.15</v>
      </c>
      <c r="U13" s="315" t="e">
        <f>(I13/T13)+1</f>
        <v>#REF!</v>
      </c>
      <c r="V13" s="316" t="e">
        <f>I13*N13*M13</f>
        <v>#REF!</v>
      </c>
      <c r="W13" s="317" t="e">
        <f>((Q13*2)+(R13*2)+S13)*P13*U13</f>
        <v>#REF!</v>
      </c>
      <c r="X13" s="318" t="e">
        <f>V13+W13</f>
        <v>#REF!</v>
      </c>
      <c r="Y13" s="359"/>
      <c r="Z13" s="360"/>
      <c r="AA13" s="319"/>
      <c r="AB13" s="306">
        <f>F13</f>
        <v>0.15</v>
      </c>
      <c r="AC13" s="306">
        <f>G13</f>
        <v>0.15</v>
      </c>
      <c r="AD13" s="307" t="e">
        <f>I13*J13</f>
        <v>#REF!</v>
      </c>
      <c r="AE13" s="320" t="e">
        <f>AB13*AC13*AD13</f>
        <v>#REF!</v>
      </c>
      <c r="AG13" s="321">
        <f>G13</f>
        <v>0.15</v>
      </c>
      <c r="AH13" s="319">
        <f>AG13</f>
        <v>0.15</v>
      </c>
      <c r="AI13" s="319"/>
      <c r="AJ13" s="319"/>
      <c r="AK13" s="319" t="e">
        <f>I13</f>
        <v>#REF!</v>
      </c>
      <c r="AL13" s="322" t="e">
        <f>((AG13+AH13)*AK13)/1</f>
        <v>#REF!</v>
      </c>
      <c r="AM13" s="361"/>
    </row>
    <row r="14" spans="1:39" s="246" customFormat="1" hidden="1" thickTop="1" thickBot="1">
      <c r="A14" s="247"/>
      <c r="B14" s="246" t="s">
        <v>4533</v>
      </c>
      <c r="C14" s="246" t="s">
        <v>3693</v>
      </c>
      <c r="D14" s="367"/>
      <c r="E14" s="368" t="s">
        <v>4588</v>
      </c>
      <c r="F14" s="298"/>
      <c r="G14" s="298"/>
      <c r="H14" s="295"/>
      <c r="I14" s="295"/>
      <c r="J14" s="295"/>
      <c r="K14" s="369"/>
      <c r="L14" s="367"/>
      <c r="M14" s="370"/>
      <c r="N14" s="299"/>
      <c r="O14" s="371"/>
      <c r="P14" s="372"/>
      <c r="Q14" s="298"/>
      <c r="R14" s="298"/>
      <c r="S14" s="298"/>
      <c r="T14" s="298"/>
      <c r="U14" s="299"/>
      <c r="V14" s="367"/>
      <c r="W14" s="299"/>
      <c r="X14" s="373"/>
      <c r="Y14" s="248"/>
      <c r="Z14" s="367"/>
      <c r="AA14" s="368" t="s">
        <v>4588</v>
      </c>
      <c r="AB14" s="298"/>
      <c r="AC14" s="298"/>
      <c r="AD14" s="295"/>
      <c r="AE14" s="374"/>
      <c r="AG14" s="375"/>
      <c r="AH14" s="376"/>
      <c r="AI14" s="376"/>
      <c r="AJ14" s="376"/>
      <c r="AK14" s="377"/>
      <c r="AL14" s="378"/>
      <c r="AM14" s="323"/>
    </row>
    <row r="15" spans="1:39" s="246" customFormat="1" ht="13.8" hidden="1" thickTop="1">
      <c r="A15" s="247"/>
      <c r="C15" s="248"/>
      <c r="D15" s="304"/>
      <c r="E15" s="319"/>
      <c r="F15" s="306"/>
      <c r="G15" s="306"/>
      <c r="H15" s="307"/>
      <c r="I15" s="307"/>
      <c r="J15" s="307"/>
      <c r="K15" s="379"/>
      <c r="L15" s="380"/>
      <c r="M15" s="310"/>
      <c r="N15" s="381"/>
      <c r="O15" s="312"/>
      <c r="P15" s="313"/>
      <c r="Q15" s="314"/>
      <c r="R15" s="314"/>
      <c r="S15" s="314"/>
      <c r="T15" s="314"/>
      <c r="U15" s="315"/>
      <c r="V15" s="316"/>
      <c r="W15" s="317"/>
      <c r="X15" s="382"/>
      <c r="Y15" s="248"/>
      <c r="Z15" s="304"/>
      <c r="AA15" s="319"/>
      <c r="AB15" s="306"/>
      <c r="AC15" s="306"/>
      <c r="AD15" s="307"/>
      <c r="AE15" s="320"/>
      <c r="AG15" s="321"/>
      <c r="AH15" s="319"/>
      <c r="AI15" s="319"/>
      <c r="AJ15" s="319"/>
      <c r="AK15" s="319"/>
      <c r="AL15" s="383"/>
      <c r="AM15" s="323"/>
    </row>
    <row r="16" spans="1:39" s="246" customFormat="1" ht="13.2" hidden="1">
      <c r="A16" s="247"/>
      <c r="C16" s="248"/>
      <c r="D16" s="304"/>
      <c r="E16" s="305" t="s">
        <v>4602</v>
      </c>
      <c r="F16" s="306">
        <v>0.1</v>
      </c>
      <c r="G16" s="306">
        <v>0.15</v>
      </c>
      <c r="H16" s="307">
        <f>F16*G16</f>
        <v>1.4999999999999999E-2</v>
      </c>
      <c r="I16" s="307">
        <v>0.45</v>
      </c>
      <c r="J16" s="307">
        <f>30/1</f>
        <v>30</v>
      </c>
      <c r="K16" s="308">
        <f>H16*I16*J16</f>
        <v>0.20249999999999999</v>
      </c>
      <c r="L16" s="380">
        <v>10</v>
      </c>
      <c r="M16" s="310">
        <f>0.006165*L16*L16</f>
        <v>0.61650000000000005</v>
      </c>
      <c r="N16" s="381">
        <v>4</v>
      </c>
      <c r="O16" s="312">
        <v>6</v>
      </c>
      <c r="P16" s="313">
        <f>0.006165*O16*O16</f>
        <v>0.22194000000000003</v>
      </c>
      <c r="Q16" s="314">
        <f>F16-0.05</f>
        <v>0.05</v>
      </c>
      <c r="R16" s="314">
        <f>G16-0.05</f>
        <v>9.9999999999999992E-2</v>
      </c>
      <c r="S16" s="314">
        <f>0.025*2</f>
        <v>0.05</v>
      </c>
      <c r="T16" s="314">
        <v>0.15</v>
      </c>
      <c r="U16" s="315">
        <f>(I16/T16)</f>
        <v>3</v>
      </c>
      <c r="V16" s="316">
        <f>I16*N16*M16</f>
        <v>1.1097000000000001</v>
      </c>
      <c r="W16" s="317">
        <f>((Q16*2)+(R16*2)+S16)*P16*U16</f>
        <v>0.23303699999999999</v>
      </c>
      <c r="X16" s="318">
        <f>V16+W16</f>
        <v>1.3427370000000001</v>
      </c>
      <c r="Y16" s="248"/>
      <c r="Z16" s="304">
        <v>2</v>
      </c>
      <c r="AA16" s="319" t="str">
        <f t="shared" ref="AA16" si="0">E16</f>
        <v xml:space="preserve"> Balok 10x15 cm</v>
      </c>
      <c r="AB16" s="306">
        <f t="shared" ref="AB16" si="1">F16</f>
        <v>0.1</v>
      </c>
      <c r="AC16" s="306">
        <f t="shared" ref="AC16" si="2">G16</f>
        <v>0.15</v>
      </c>
      <c r="AD16" s="307">
        <f>I16</f>
        <v>0.45</v>
      </c>
      <c r="AE16" s="320">
        <f>AB16*AC16*AD16</f>
        <v>6.7499999999999999E-3</v>
      </c>
      <c r="AG16" s="321">
        <f>AC16</f>
        <v>0.15</v>
      </c>
      <c r="AH16" s="319">
        <f>AC16</f>
        <v>0.15</v>
      </c>
      <c r="AI16" s="319"/>
      <c r="AJ16" s="319"/>
      <c r="AK16" s="319">
        <f>AD16</f>
        <v>0.45</v>
      </c>
      <c r="AL16" s="322">
        <f>((AG16+AH16+AI16+AJ16)*AK16)/1</f>
        <v>0.13500000000000001</v>
      </c>
      <c r="AM16" s="323"/>
    </row>
    <row r="17" spans="1:41" s="246" customFormat="1" ht="13.8" hidden="1" thickBot="1">
      <c r="A17" s="247"/>
      <c r="C17" s="248"/>
      <c r="D17" s="304"/>
      <c r="E17" s="319"/>
      <c r="F17" s="306"/>
      <c r="G17" s="306"/>
      <c r="H17" s="307"/>
      <c r="I17" s="307"/>
      <c r="J17" s="307"/>
      <c r="K17" s="379"/>
      <c r="L17" s="380"/>
      <c r="M17" s="310"/>
      <c r="N17" s="381"/>
      <c r="O17" s="312"/>
      <c r="P17" s="313"/>
      <c r="Q17" s="314"/>
      <c r="R17" s="314"/>
      <c r="S17" s="314"/>
      <c r="T17" s="314"/>
      <c r="U17" s="315"/>
      <c r="V17" s="316"/>
      <c r="W17" s="317"/>
      <c r="X17" s="382"/>
      <c r="Y17" s="248"/>
      <c r="Z17" s="304"/>
      <c r="AA17" s="319"/>
      <c r="AB17" s="306"/>
      <c r="AC17" s="306"/>
      <c r="AD17" s="307"/>
      <c r="AE17" s="320"/>
      <c r="AG17" s="321"/>
      <c r="AH17" s="319"/>
      <c r="AI17" s="319"/>
      <c r="AJ17" s="319"/>
      <c r="AK17" s="319"/>
      <c r="AL17" s="383"/>
      <c r="AM17" s="323"/>
    </row>
    <row r="18" spans="1:41" s="246" customFormat="1" ht="13.8" hidden="1" thickBot="1">
      <c r="A18" s="247"/>
      <c r="C18" s="248"/>
      <c r="D18" s="304"/>
      <c r="E18" s="305" t="s">
        <v>4605</v>
      </c>
      <c r="F18" s="306">
        <v>0.2</v>
      </c>
      <c r="G18" s="306">
        <v>0.3</v>
      </c>
      <c r="H18" s="307">
        <f>F18*G18</f>
        <v>0.06</v>
      </c>
      <c r="I18" s="307">
        <v>1.4</v>
      </c>
      <c r="J18" s="307">
        <v>3</v>
      </c>
      <c r="K18" s="308">
        <f>H18*I18*J18</f>
        <v>0.252</v>
      </c>
      <c r="L18" s="384">
        <v>12</v>
      </c>
      <c r="M18" s="310">
        <f>0.006165*L18*L18</f>
        <v>0.8877600000000001</v>
      </c>
      <c r="N18" s="381">
        <v>6</v>
      </c>
      <c r="O18" s="312">
        <v>6</v>
      </c>
      <c r="P18" s="313">
        <f>0.006165*O18*O18</f>
        <v>0.22194000000000003</v>
      </c>
      <c r="Q18" s="314">
        <f>F18-0.05</f>
        <v>0.15000000000000002</v>
      </c>
      <c r="R18" s="314">
        <f>G18-0.05</f>
        <v>0.25</v>
      </c>
      <c r="S18" s="314">
        <f>0.025*2</f>
        <v>0.05</v>
      </c>
      <c r="T18" s="314">
        <f>T16</f>
        <v>0.15</v>
      </c>
      <c r="U18" s="315">
        <f>(I18/T18)</f>
        <v>9.3333333333333339</v>
      </c>
      <c r="V18" s="316">
        <f>I18*N18*M18</f>
        <v>7.4571839999999998</v>
      </c>
      <c r="W18" s="326">
        <f>((Q18*2)+(R18*2)+S18)*P18*U18</f>
        <v>1.7607240000000004</v>
      </c>
      <c r="X18" s="327">
        <f>V18+W18</f>
        <v>9.2179079999999995</v>
      </c>
      <c r="Y18" s="248"/>
      <c r="Z18" s="304">
        <v>2</v>
      </c>
      <c r="AA18" s="319" t="str">
        <f>E18</f>
        <v>Balok 20x30Cm</v>
      </c>
      <c r="AB18" s="306">
        <f>F18</f>
        <v>0.2</v>
      </c>
      <c r="AC18" s="306">
        <f>G18</f>
        <v>0.3</v>
      </c>
      <c r="AD18" s="307">
        <f>I18</f>
        <v>1.4</v>
      </c>
      <c r="AE18" s="320">
        <f>AB18*AC18*AD18</f>
        <v>8.3999999999999991E-2</v>
      </c>
      <c r="AG18" s="321">
        <f>AC18</f>
        <v>0.3</v>
      </c>
      <c r="AH18" s="319">
        <f>AC18</f>
        <v>0.3</v>
      </c>
      <c r="AI18" s="319"/>
      <c r="AJ18" s="319"/>
      <c r="AK18" s="385">
        <f>AD18</f>
        <v>1.4</v>
      </c>
      <c r="AL18" s="386">
        <f>((AG18+AH18+AI18+AJ18)*AK18)/1</f>
        <v>0.84</v>
      </c>
      <c r="AM18" s="329">
        <f>AL18</f>
        <v>0.84</v>
      </c>
    </row>
    <row r="19" spans="1:41" s="246" customFormat="1" ht="13.2" hidden="1">
      <c r="A19" s="247"/>
      <c r="C19" s="248"/>
      <c r="D19" s="304"/>
      <c r="E19" s="319"/>
      <c r="F19" s="306"/>
      <c r="G19" s="306"/>
      <c r="H19" s="307"/>
      <c r="I19" s="307"/>
      <c r="J19" s="307"/>
      <c r="K19" s="379"/>
      <c r="L19" s="380"/>
      <c r="M19" s="310"/>
      <c r="N19" s="381"/>
      <c r="O19" s="312"/>
      <c r="P19" s="313"/>
      <c r="Q19" s="314"/>
      <c r="R19" s="314"/>
      <c r="S19" s="314"/>
      <c r="T19" s="314"/>
      <c r="U19" s="315"/>
      <c r="V19" s="316"/>
      <c r="W19" s="317"/>
      <c r="X19" s="382"/>
      <c r="Y19" s="248"/>
      <c r="Z19" s="304"/>
      <c r="AA19" s="319"/>
      <c r="AB19" s="306"/>
      <c r="AC19" s="306"/>
      <c r="AD19" s="307"/>
      <c r="AE19" s="320"/>
      <c r="AG19" s="321"/>
      <c r="AH19" s="319"/>
      <c r="AI19" s="319"/>
      <c r="AJ19" s="319"/>
      <c r="AK19" s="319"/>
      <c r="AL19" s="383"/>
      <c r="AM19" s="323"/>
    </row>
    <row r="20" spans="1:41" s="246" customFormat="1" ht="13.8" hidden="1" thickBot="1">
      <c r="A20" s="247"/>
      <c r="C20" s="248"/>
      <c r="D20" s="304"/>
      <c r="E20" s="319"/>
      <c r="F20" s="306"/>
      <c r="G20" s="306"/>
      <c r="H20" s="307"/>
      <c r="I20" s="307"/>
      <c r="J20" s="307"/>
      <c r="K20" s="308"/>
      <c r="L20" s="380"/>
      <c r="M20" s="310"/>
      <c r="N20" s="381"/>
      <c r="O20" s="312"/>
      <c r="P20" s="313"/>
      <c r="Q20" s="314"/>
      <c r="R20" s="314"/>
      <c r="S20" s="314"/>
      <c r="T20" s="314"/>
      <c r="U20" s="315"/>
      <c r="V20" s="340"/>
      <c r="W20" s="341"/>
      <c r="X20" s="318"/>
      <c r="Y20" s="248"/>
      <c r="Z20" s="304"/>
      <c r="AA20" s="319"/>
      <c r="AB20" s="306"/>
      <c r="AC20" s="306"/>
      <c r="AD20" s="307"/>
      <c r="AE20" s="320"/>
      <c r="AG20" s="321"/>
      <c r="AH20" s="319"/>
      <c r="AI20" s="319"/>
      <c r="AJ20" s="319"/>
      <c r="AK20" s="319"/>
      <c r="AL20" s="322"/>
      <c r="AM20" s="323"/>
    </row>
    <row r="21" spans="1:41" s="246" customFormat="1" hidden="1" thickTop="1" thickBot="1">
      <c r="A21" s="247"/>
      <c r="D21" s="367"/>
      <c r="E21" s="368" t="s">
        <v>4589</v>
      </c>
      <c r="F21" s="298"/>
      <c r="G21" s="298"/>
      <c r="H21" s="295"/>
      <c r="I21" s="295"/>
      <c r="J21" s="295"/>
      <c r="K21" s="295"/>
      <c r="L21" s="367"/>
      <c r="M21" s="298"/>
      <c r="N21" s="299"/>
      <c r="O21" s="371"/>
      <c r="P21" s="298"/>
      <c r="Q21" s="298"/>
      <c r="R21" s="298"/>
      <c r="S21" s="298"/>
      <c r="T21" s="298"/>
      <c r="U21" s="299"/>
      <c r="V21" s="367"/>
      <c r="W21" s="299"/>
      <c r="X21" s="373"/>
      <c r="Y21" s="248"/>
      <c r="Z21" s="367"/>
      <c r="AA21" s="368" t="s">
        <v>4585</v>
      </c>
      <c r="AB21" s="298"/>
      <c r="AC21" s="298"/>
      <c r="AD21" s="295"/>
      <c r="AE21" s="299"/>
      <c r="AG21" s="387"/>
      <c r="AH21" s="388"/>
      <c r="AI21" s="388"/>
      <c r="AJ21" s="388"/>
      <c r="AK21" s="388"/>
      <c r="AL21" s="389"/>
      <c r="AM21" s="323"/>
    </row>
    <row r="22" spans="1:41" s="246" customFormat="1" ht="13.8" hidden="1" thickTop="1">
      <c r="A22" s="247"/>
      <c r="B22" s="390"/>
      <c r="C22" s="390"/>
      <c r="D22" s="304"/>
      <c r="E22" s="319"/>
      <c r="F22" s="306"/>
      <c r="G22" s="306"/>
      <c r="H22" s="307"/>
      <c r="I22" s="307"/>
      <c r="J22" s="307"/>
      <c r="K22" s="308"/>
      <c r="L22" s="309"/>
      <c r="M22" s="391"/>
      <c r="N22" s="311"/>
      <c r="O22" s="392"/>
      <c r="P22" s="313"/>
      <c r="Q22" s="314"/>
      <c r="R22" s="314"/>
      <c r="S22" s="314"/>
      <c r="T22" s="314"/>
      <c r="U22" s="315"/>
      <c r="V22" s="316"/>
      <c r="W22" s="317"/>
      <c r="X22" s="318"/>
      <c r="Y22" s="248"/>
      <c r="Z22" s="304"/>
      <c r="AA22" s="319"/>
      <c r="AB22" s="306"/>
      <c r="AC22" s="306"/>
      <c r="AD22" s="307"/>
      <c r="AE22" s="320"/>
      <c r="AG22" s="393"/>
      <c r="AH22" s="394"/>
      <c r="AI22" s="394"/>
      <c r="AJ22" s="394"/>
      <c r="AK22" s="394"/>
      <c r="AL22" s="395"/>
      <c r="AM22" s="323"/>
    </row>
    <row r="23" spans="1:41" s="246" customFormat="1" ht="13.2" hidden="1">
      <c r="A23" s="247"/>
      <c r="B23" s="390"/>
      <c r="C23" s="390"/>
      <c r="D23" s="304"/>
      <c r="E23" s="319"/>
      <c r="F23" s="306"/>
      <c r="G23" s="306"/>
      <c r="H23" s="307"/>
      <c r="I23" s="307"/>
      <c r="J23" s="307"/>
      <c r="K23" s="308"/>
      <c r="L23" s="309"/>
      <c r="M23" s="391"/>
      <c r="N23" s="311"/>
      <c r="O23" s="392"/>
      <c r="P23" s="313"/>
      <c r="Q23" s="314"/>
      <c r="R23" s="314"/>
      <c r="S23" s="314"/>
      <c r="T23" s="314"/>
      <c r="U23" s="315"/>
      <c r="V23" s="316"/>
      <c r="W23" s="317"/>
      <c r="X23" s="318"/>
      <c r="Y23" s="248"/>
      <c r="Z23" s="304"/>
      <c r="AA23" s="319"/>
      <c r="AB23" s="306"/>
      <c r="AC23" s="306"/>
      <c r="AD23" s="307"/>
      <c r="AE23" s="320"/>
      <c r="AG23" s="321"/>
      <c r="AH23" s="319"/>
      <c r="AI23" s="319"/>
      <c r="AJ23" s="319"/>
      <c r="AK23" s="319"/>
      <c r="AL23" s="322"/>
      <c r="AM23" s="323"/>
      <c r="AO23" s="246">
        <f>655.58*20*10*10*0.006165</f>
        <v>8083.3014000000003</v>
      </c>
    </row>
    <row r="24" spans="1:41" s="246" customFormat="1" ht="13.2" hidden="1">
      <c r="A24" s="247"/>
      <c r="B24" s="390"/>
      <c r="C24" s="390"/>
      <c r="D24" s="304">
        <v>1</v>
      </c>
      <c r="E24" s="319" t="s">
        <v>4603</v>
      </c>
      <c r="F24" s="307">
        <v>0.1</v>
      </c>
      <c r="G24" s="306">
        <v>0.9</v>
      </c>
      <c r="H24" s="307"/>
      <c r="I24" s="306">
        <v>30</v>
      </c>
      <c r="J24" s="307"/>
      <c r="K24" s="396">
        <f>F24*G24*I24</f>
        <v>2.7</v>
      </c>
      <c r="L24" s="309">
        <v>10</v>
      </c>
      <c r="M24" s="391">
        <f>0.006165*L24*L24</f>
        <v>0.61650000000000005</v>
      </c>
      <c r="N24" s="311">
        <f>(I24/0.2)*1</f>
        <v>150</v>
      </c>
      <c r="O24" s="392">
        <v>10</v>
      </c>
      <c r="P24" s="313">
        <f>0.006165*O24*O24</f>
        <v>0.61650000000000005</v>
      </c>
      <c r="Q24" s="314"/>
      <c r="R24" s="314"/>
      <c r="S24" s="314"/>
      <c r="T24" s="314"/>
      <c r="U24" s="315">
        <f>(F24/0.2)*1</f>
        <v>0.5</v>
      </c>
      <c r="V24" s="316">
        <f>(F24-0.05)*N24*M24</f>
        <v>4.6237500000000002</v>
      </c>
      <c r="W24" s="317">
        <f>(I24-0.05)*U24*P24</f>
        <v>9.2320875000000004</v>
      </c>
      <c r="X24" s="397">
        <f>V24+W24</f>
        <v>13.8558375</v>
      </c>
      <c r="Y24" s="248"/>
      <c r="Z24" s="304">
        <f t="shared" ref="Z24:AC26" si="3">D24</f>
        <v>1</v>
      </c>
      <c r="AA24" s="319" t="str">
        <f t="shared" si="3"/>
        <v>Dinding Drainase</v>
      </c>
      <c r="AB24" s="306">
        <f t="shared" si="3"/>
        <v>0.1</v>
      </c>
      <c r="AC24" s="306">
        <f t="shared" si="3"/>
        <v>0.9</v>
      </c>
      <c r="AD24" s="307">
        <f>I24</f>
        <v>30</v>
      </c>
      <c r="AE24" s="320">
        <f>AB24*AC24*AD24</f>
        <v>2.7</v>
      </c>
      <c r="AG24" s="321">
        <f>F24</f>
        <v>0.1</v>
      </c>
      <c r="AH24" s="319">
        <f>AD24</f>
        <v>30</v>
      </c>
      <c r="AI24" s="319"/>
      <c r="AJ24" s="319">
        <v>0</v>
      </c>
      <c r="AK24" s="319"/>
      <c r="AL24" s="322">
        <f>AG24*AH24/2</f>
        <v>1.5</v>
      </c>
      <c r="AM24" s="323"/>
    </row>
    <row r="25" spans="1:41" s="246" customFormat="1" ht="13.2" hidden="1">
      <c r="A25" s="247"/>
      <c r="B25" s="390"/>
      <c r="C25" s="390"/>
      <c r="D25" s="304"/>
      <c r="E25" s="319"/>
      <c r="F25" s="307"/>
      <c r="G25" s="306"/>
      <c r="H25" s="307"/>
      <c r="I25" s="306"/>
      <c r="J25" s="307"/>
      <c r="K25" s="427"/>
      <c r="L25" s="309"/>
      <c r="M25" s="391"/>
      <c r="N25" s="311"/>
      <c r="O25" s="392"/>
      <c r="P25" s="313"/>
      <c r="Q25" s="314"/>
      <c r="R25" s="314"/>
      <c r="S25" s="314"/>
      <c r="T25" s="314"/>
      <c r="U25" s="315"/>
      <c r="V25" s="316"/>
      <c r="W25" s="317"/>
      <c r="X25" s="342"/>
      <c r="Y25" s="248"/>
      <c r="Z25" s="304"/>
      <c r="AA25" s="319"/>
      <c r="AB25" s="306"/>
      <c r="AC25" s="306"/>
      <c r="AD25" s="307"/>
      <c r="AE25" s="320"/>
      <c r="AG25" s="321"/>
      <c r="AH25" s="319"/>
      <c r="AI25" s="319"/>
      <c r="AJ25" s="319"/>
      <c r="AK25" s="319"/>
      <c r="AL25" s="322"/>
      <c r="AM25" s="323"/>
    </row>
    <row r="26" spans="1:41" s="246" customFormat="1" ht="13.2" hidden="1">
      <c r="A26" s="247"/>
      <c r="B26" s="390"/>
      <c r="C26" s="390"/>
      <c r="D26" s="304">
        <v>2</v>
      </c>
      <c r="E26" s="319" t="s">
        <v>4604</v>
      </c>
      <c r="F26" s="307">
        <v>1.4</v>
      </c>
      <c r="G26" s="306">
        <v>0.2</v>
      </c>
      <c r="H26" s="307"/>
      <c r="I26" s="306">
        <v>5</v>
      </c>
      <c r="J26" s="307"/>
      <c r="K26" s="396">
        <f>F26*G26*I26</f>
        <v>1.4</v>
      </c>
      <c r="L26" s="309">
        <v>10</v>
      </c>
      <c r="M26" s="391">
        <f>0.006165*L26*L26</f>
        <v>0.61650000000000005</v>
      </c>
      <c r="N26" s="311">
        <f>(I26/0.2)*1</f>
        <v>25</v>
      </c>
      <c r="O26" s="392">
        <v>10</v>
      </c>
      <c r="P26" s="313">
        <f>0.006165*O26*O26</f>
        <v>0.61650000000000005</v>
      </c>
      <c r="Q26" s="314"/>
      <c r="R26" s="314"/>
      <c r="S26" s="314"/>
      <c r="T26" s="314"/>
      <c r="U26" s="315">
        <f>(F26/0.15)*2</f>
        <v>18.666666666666668</v>
      </c>
      <c r="V26" s="316">
        <f>(F26-0.05)*N26*M26</f>
        <v>20.806875000000002</v>
      </c>
      <c r="W26" s="317">
        <f>(I26-0.05)*U26*P26</f>
        <v>56.964600000000011</v>
      </c>
      <c r="X26" s="397">
        <f>V26+W26</f>
        <v>77.771475000000009</v>
      </c>
      <c r="Y26" s="248"/>
      <c r="Z26" s="304">
        <f t="shared" si="3"/>
        <v>2</v>
      </c>
      <c r="AA26" s="319" t="str">
        <f t="shared" si="3"/>
        <v>Jembatan</v>
      </c>
      <c r="AB26" s="306">
        <f t="shared" si="3"/>
        <v>1.4</v>
      </c>
      <c r="AC26" s="306">
        <f t="shared" si="3"/>
        <v>0.2</v>
      </c>
      <c r="AD26" s="307">
        <f>I26</f>
        <v>5</v>
      </c>
      <c r="AE26" s="320">
        <f>AB26*AC26*AD26</f>
        <v>1.4</v>
      </c>
      <c r="AG26" s="321">
        <f>F26</f>
        <v>1.4</v>
      </c>
      <c r="AH26" s="319">
        <f>AD26</f>
        <v>5</v>
      </c>
      <c r="AI26" s="319"/>
      <c r="AJ26" s="319">
        <v>0</v>
      </c>
      <c r="AK26" s="319"/>
      <c r="AL26" s="322">
        <f>AG26*AH26/1</f>
        <v>7</v>
      </c>
      <c r="AM26" s="323"/>
    </row>
    <row r="27" spans="1:41" s="246" customFormat="1" ht="13.8" hidden="1" thickBot="1">
      <c r="A27" s="247"/>
      <c r="B27" s="390"/>
      <c r="C27" s="390"/>
      <c r="D27" s="304"/>
      <c r="E27" s="319" t="s">
        <v>4604</v>
      </c>
      <c r="F27" s="307">
        <v>2</v>
      </c>
      <c r="G27" s="306">
        <v>0.2</v>
      </c>
      <c r="H27" s="307"/>
      <c r="I27" s="306">
        <v>5</v>
      </c>
      <c r="J27" s="307"/>
      <c r="K27" s="396">
        <f>F27*G27*I27</f>
        <v>2</v>
      </c>
      <c r="L27" s="309">
        <v>10</v>
      </c>
      <c r="M27" s="391">
        <f>0.006165*L27*L27</f>
        <v>0.61650000000000005</v>
      </c>
      <c r="N27" s="311">
        <f>(I27/0.2)*1</f>
        <v>25</v>
      </c>
      <c r="O27" s="392">
        <v>10</v>
      </c>
      <c r="P27" s="313">
        <f>0.006165*O27*O27</f>
        <v>0.61650000000000005</v>
      </c>
      <c r="Q27" s="314"/>
      <c r="R27" s="314"/>
      <c r="S27" s="314"/>
      <c r="T27" s="314"/>
      <c r="U27" s="315">
        <f>(F27/0.3)*1</f>
        <v>6.666666666666667</v>
      </c>
      <c r="V27" s="316">
        <f>(F27-0.05)*N27*M27</f>
        <v>30.054375000000004</v>
      </c>
      <c r="W27" s="317">
        <f>(I27-0.05)*U27*P27</f>
        <v>20.3445</v>
      </c>
      <c r="X27" s="397">
        <f>V27+W27</f>
        <v>50.398875000000004</v>
      </c>
      <c r="Y27" s="248"/>
      <c r="Z27" s="304">
        <f t="shared" ref="Z27" si="4">D27</f>
        <v>0</v>
      </c>
      <c r="AA27" s="319" t="str">
        <f t="shared" ref="AA27" si="5">E27</f>
        <v>Jembatan</v>
      </c>
      <c r="AB27" s="306">
        <f t="shared" ref="AB27" si="6">F27</f>
        <v>2</v>
      </c>
      <c r="AC27" s="306">
        <f t="shared" ref="AC27" si="7">G27</f>
        <v>0.2</v>
      </c>
      <c r="AD27" s="307">
        <f>I27</f>
        <v>5</v>
      </c>
      <c r="AE27" s="320">
        <f>AB27*AC27*AD27</f>
        <v>2</v>
      </c>
      <c r="AG27" s="321">
        <f>F27</f>
        <v>2</v>
      </c>
      <c r="AH27" s="319">
        <f>AD27</f>
        <v>5</v>
      </c>
      <c r="AI27" s="319"/>
      <c r="AJ27" s="319">
        <v>0</v>
      </c>
      <c r="AK27" s="319"/>
      <c r="AL27" s="322">
        <f>AG27*AH27/1</f>
        <v>10</v>
      </c>
      <c r="AM27" s="323"/>
    </row>
    <row r="28" spans="1:41" s="246" customFormat="1" ht="13.8" hidden="1" thickBot="1">
      <c r="A28" s="247"/>
      <c r="B28" s="390"/>
      <c r="C28" s="390"/>
      <c r="D28" s="304"/>
      <c r="E28" s="319"/>
      <c r="F28" s="306"/>
      <c r="G28" s="306"/>
      <c r="H28" s="307"/>
      <c r="I28" s="307"/>
      <c r="J28" s="307"/>
      <c r="K28" s="324">
        <f>SUM(K26:K27)</f>
        <v>3.4</v>
      </c>
      <c r="L28" s="325"/>
      <c r="M28" s="391"/>
      <c r="N28" s="311"/>
      <c r="O28" s="392"/>
      <c r="P28" s="313"/>
      <c r="Q28" s="314"/>
      <c r="R28" s="314"/>
      <c r="S28" s="314"/>
      <c r="T28" s="314"/>
      <c r="U28" s="315"/>
      <c r="V28" s="398"/>
      <c r="W28" s="320"/>
      <c r="X28" s="399">
        <f>SUM(X26:X27)</f>
        <v>128.17035000000001</v>
      </c>
      <c r="Y28" s="248"/>
      <c r="Z28" s="304"/>
      <c r="AA28" s="319"/>
      <c r="AB28" s="306"/>
      <c r="AC28" s="306"/>
      <c r="AD28" s="307"/>
      <c r="AE28" s="320"/>
      <c r="AG28" s="321"/>
      <c r="AH28" s="319"/>
      <c r="AI28" s="319"/>
      <c r="AJ28" s="319"/>
      <c r="AK28" s="385"/>
      <c r="AL28" s="324">
        <f>SUM(AL26:AL27)</f>
        <v>17</v>
      </c>
      <c r="AM28" s="400">
        <f>AL28</f>
        <v>17</v>
      </c>
    </row>
    <row r="29" spans="1:41" s="246" customFormat="1" ht="13.8" hidden="1" thickBot="1">
      <c r="A29" s="247"/>
      <c r="B29" s="390"/>
      <c r="C29" s="390"/>
      <c r="D29" s="304"/>
      <c r="E29" s="319"/>
      <c r="F29" s="306"/>
      <c r="G29" s="306"/>
      <c r="H29" s="307"/>
      <c r="I29" s="307"/>
      <c r="J29" s="307"/>
      <c r="K29" s="400"/>
      <c r="L29" s="325"/>
      <c r="M29" s="391"/>
      <c r="N29" s="311"/>
      <c r="O29" s="392"/>
      <c r="P29" s="313"/>
      <c r="Q29" s="314"/>
      <c r="R29" s="314"/>
      <c r="S29" s="314"/>
      <c r="T29" s="314"/>
      <c r="U29" s="315"/>
      <c r="V29" s="398"/>
      <c r="W29" s="320"/>
      <c r="X29" s="401"/>
      <c r="Y29" s="248"/>
      <c r="Z29" s="304"/>
      <c r="AA29" s="319"/>
      <c r="AB29" s="306"/>
      <c r="AC29" s="306"/>
      <c r="AD29" s="307"/>
      <c r="AE29" s="320"/>
      <c r="AG29" s="321"/>
      <c r="AH29" s="319"/>
      <c r="AI29" s="319"/>
      <c r="AJ29" s="319"/>
      <c r="AK29" s="385"/>
      <c r="AL29" s="400"/>
      <c r="AM29" s="400"/>
    </row>
    <row r="30" spans="1:41" s="246" customFormat="1" hidden="1" thickTop="1" thickBot="1">
      <c r="A30" s="247"/>
      <c r="D30" s="402"/>
      <c r="E30" s="368" t="s">
        <v>4590</v>
      </c>
      <c r="F30" s="403"/>
      <c r="G30" s="403"/>
      <c r="H30" s="403"/>
      <c r="I30" s="403"/>
      <c r="J30" s="403"/>
      <c r="K30" s="254"/>
      <c r="L30" s="402"/>
      <c r="M30" s="403"/>
      <c r="N30" s="403"/>
      <c r="O30" s="404"/>
      <c r="P30" s="403"/>
      <c r="Q30" s="403"/>
      <c r="R30" s="403"/>
      <c r="S30" s="403"/>
      <c r="T30" s="403"/>
      <c r="U30" s="403"/>
      <c r="V30" s="405"/>
      <c r="W30" s="406"/>
      <c r="X30" s="407"/>
      <c r="Y30" s="403"/>
      <c r="Z30" s="403"/>
      <c r="AA30" s="403" t="str">
        <f>E30</f>
        <v xml:space="preserve">PONDASI </v>
      </c>
      <c r="AB30" s="403"/>
      <c r="AC30" s="403"/>
      <c r="AD30" s="403"/>
      <c r="AE30" s="403"/>
      <c r="AF30" s="403"/>
      <c r="AG30" s="402"/>
      <c r="AH30" s="403"/>
      <c r="AI30" s="403"/>
      <c r="AL30" s="255"/>
    </row>
    <row r="31" spans="1:41" s="246" customFormat="1" ht="13.8" hidden="1" thickTop="1">
      <c r="A31" s="247"/>
      <c r="D31" s="304">
        <v>1</v>
      </c>
      <c r="E31" s="408" t="s">
        <v>4596</v>
      </c>
      <c r="F31" s="409">
        <v>1</v>
      </c>
      <c r="G31" s="409">
        <v>0.2</v>
      </c>
      <c r="H31" s="410">
        <f>F31*G31</f>
        <v>0.2</v>
      </c>
      <c r="I31" s="410">
        <v>1</v>
      </c>
      <c r="J31" s="410">
        <f>J8</f>
        <v>21</v>
      </c>
      <c r="K31" s="424">
        <f>F31*I31*G31*J31</f>
        <v>4.2</v>
      </c>
      <c r="L31" s="411"/>
      <c r="M31" s="310"/>
      <c r="N31" s="412"/>
      <c r="O31" s="413">
        <v>10</v>
      </c>
      <c r="P31" s="414">
        <f>0.006165*O31*O31</f>
        <v>0.61650000000000005</v>
      </c>
      <c r="Q31" s="415">
        <f>((I31-0.05)*2)+0.3</f>
        <v>2.1999999999999997</v>
      </c>
      <c r="R31" s="415">
        <f>(G31-0.05)*2</f>
        <v>0.30000000000000004</v>
      </c>
      <c r="S31" s="415"/>
      <c r="T31" s="415">
        <v>0.15</v>
      </c>
      <c r="U31" s="416">
        <v>18</v>
      </c>
      <c r="V31" s="417">
        <f>M31*N31</f>
        <v>0</v>
      </c>
      <c r="W31" s="418">
        <f>(Q31+R31)*U31*P31</f>
        <v>27.742500000000003</v>
      </c>
      <c r="X31" s="425">
        <f>W31*J31</f>
        <v>582.59250000000009</v>
      </c>
      <c r="Y31" s="248"/>
      <c r="Z31" s="362">
        <f>D31</f>
        <v>1</v>
      </c>
      <c r="AA31" s="365" t="str">
        <f>E31</f>
        <v xml:space="preserve">PONDASI TAPAK  </v>
      </c>
      <c r="AB31" s="363">
        <f>F31</f>
        <v>1</v>
      </c>
      <c r="AC31" s="363">
        <f>G31</f>
        <v>0.2</v>
      </c>
      <c r="AD31" s="364">
        <f>I31</f>
        <v>1</v>
      </c>
      <c r="AE31" s="366">
        <f>AB31*AC31*AD31</f>
        <v>0.2</v>
      </c>
      <c r="AG31" s="419">
        <f>F31</f>
        <v>1</v>
      </c>
      <c r="AH31" s="365">
        <f>AG31</f>
        <v>1</v>
      </c>
      <c r="AI31" s="420">
        <f>I31</f>
        <v>1</v>
      </c>
      <c r="AJ31" s="420">
        <f>AI31</f>
        <v>1</v>
      </c>
      <c r="AK31" s="420">
        <f>(AG31+AH31+AI31+AJ31)*0.2</f>
        <v>0.8</v>
      </c>
      <c r="AL31" s="426">
        <f>AK31*J31/1</f>
        <v>16.8</v>
      </c>
      <c r="AM31" s="323"/>
    </row>
    <row r="32" spans="1:41" s="246" customFormat="1" ht="13.2">
      <c r="N32" s="421"/>
      <c r="O32" s="422"/>
      <c r="AK32" s="421"/>
    </row>
  </sheetData>
  <mergeCells count="11">
    <mergeCell ref="O5:U5"/>
    <mergeCell ref="Z2:AE2"/>
    <mergeCell ref="AG2:AL2"/>
    <mergeCell ref="F4:K4"/>
    <mergeCell ref="L4:N4"/>
    <mergeCell ref="O4:U4"/>
    <mergeCell ref="AB4:AE4"/>
    <mergeCell ref="AG4:AJ5"/>
    <mergeCell ref="AK4:AK6"/>
    <mergeCell ref="AL4:AL6"/>
    <mergeCell ref="L5:N5"/>
  </mergeCells>
  <pageMargins left="0.45" right="0.2" top="0.25" bottom="0.25" header="0.3" footer="0.3"/>
  <pageSetup paperSize="9" scale="50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2"/>
  <dimension ref="A1:G43"/>
  <sheetViews>
    <sheetView topLeftCell="A28" workbookViewId="0">
      <selection sqref="A1:G43"/>
    </sheetView>
  </sheetViews>
  <sheetFormatPr defaultRowHeight="14.4"/>
  <cols>
    <col min="1" max="1" width="5.33203125" customWidth="1"/>
    <col min="2" max="2" width="21" customWidth="1"/>
    <col min="3" max="3" width="8.44140625" customWidth="1"/>
    <col min="4" max="4" width="11.33203125" customWidth="1"/>
    <col min="5" max="5" width="14.6640625" customWidth="1"/>
    <col min="6" max="6" width="14.44140625" customWidth="1"/>
    <col min="7" max="7" width="16.6640625" customWidth="1"/>
  </cols>
  <sheetData>
    <row r="1" spans="1:7">
      <c r="A1" s="50" t="s">
        <v>2164</v>
      </c>
    </row>
    <row r="3" spans="1:7" ht="31.5" customHeight="1">
      <c r="A3" s="9" t="s">
        <v>1003</v>
      </c>
      <c r="B3" s="19" t="s">
        <v>1004</v>
      </c>
      <c r="C3" s="9" t="s">
        <v>1005</v>
      </c>
      <c r="D3" s="9" t="s">
        <v>1006</v>
      </c>
      <c r="E3" s="9" t="s">
        <v>1007</v>
      </c>
      <c r="F3" s="8" t="s">
        <v>669</v>
      </c>
      <c r="G3" s="8" t="s">
        <v>670</v>
      </c>
    </row>
    <row r="4" spans="1:7" ht="10.95" customHeight="1">
      <c r="A4" s="10" t="s">
        <v>671</v>
      </c>
      <c r="B4" s="10" t="s">
        <v>672</v>
      </c>
      <c r="C4" s="5"/>
      <c r="D4" s="5"/>
      <c r="E4" s="5"/>
      <c r="F4" s="5"/>
      <c r="G4" s="5"/>
    </row>
    <row r="5" spans="1:7" ht="12.45" customHeight="1">
      <c r="A5" s="5"/>
      <c r="B5" s="10" t="s">
        <v>673</v>
      </c>
      <c r="C5" s="10" t="s">
        <v>674</v>
      </c>
      <c r="D5" s="11" t="s">
        <v>675</v>
      </c>
      <c r="E5" s="11" t="s">
        <v>718</v>
      </c>
      <c r="F5" s="5"/>
      <c r="G5" s="5"/>
    </row>
    <row r="6" spans="1:7" ht="12.45" customHeight="1">
      <c r="A6" s="5"/>
      <c r="B6" s="10" t="s">
        <v>816</v>
      </c>
      <c r="C6" s="10" t="s">
        <v>678</v>
      </c>
      <c r="D6" s="11" t="s">
        <v>675</v>
      </c>
      <c r="E6" s="11" t="s">
        <v>741</v>
      </c>
      <c r="F6" s="5"/>
      <c r="G6" s="5"/>
    </row>
    <row r="7" spans="1:7" ht="12.45" customHeight="1">
      <c r="A7" s="5"/>
      <c r="B7" s="10" t="s">
        <v>680</v>
      </c>
      <c r="C7" s="10" t="s">
        <v>681</v>
      </c>
      <c r="D7" s="11" t="s">
        <v>675</v>
      </c>
      <c r="E7" s="11" t="s">
        <v>779</v>
      </c>
      <c r="F7" s="5"/>
      <c r="G7" s="5"/>
    </row>
    <row r="8" spans="1:7" ht="12.45" customHeight="1">
      <c r="A8" s="5"/>
      <c r="B8" s="10" t="s">
        <v>683</v>
      </c>
      <c r="C8" s="10" t="s">
        <v>684</v>
      </c>
      <c r="D8" s="11" t="s">
        <v>675</v>
      </c>
      <c r="E8" s="11" t="s">
        <v>811</v>
      </c>
      <c r="F8" s="5"/>
      <c r="G8" s="5"/>
    </row>
    <row r="9" spans="1:7" ht="10.95" customHeight="1">
      <c r="A9" s="5"/>
      <c r="B9" s="5"/>
      <c r="C9" s="5"/>
      <c r="D9" s="5"/>
      <c r="E9" s="2477" t="s">
        <v>685</v>
      </c>
      <c r="F9" s="2477"/>
      <c r="G9" s="5"/>
    </row>
    <row r="10" spans="1:7" ht="10.95" customHeight="1">
      <c r="A10" s="10" t="s">
        <v>686</v>
      </c>
      <c r="B10" s="10" t="s">
        <v>687</v>
      </c>
      <c r="C10" s="5"/>
      <c r="D10" s="5"/>
      <c r="E10" s="5"/>
      <c r="F10" s="5"/>
      <c r="G10" s="5"/>
    </row>
    <row r="11" spans="1:7" ht="12.45" customHeight="1">
      <c r="A11" s="5"/>
      <c r="B11" s="10" t="s">
        <v>1057</v>
      </c>
      <c r="C11" s="5"/>
      <c r="D11" s="11" t="s">
        <v>692</v>
      </c>
      <c r="E11" s="10" t="s">
        <v>744</v>
      </c>
      <c r="F11" s="5"/>
      <c r="G11" s="5"/>
    </row>
    <row r="12" spans="1:7" ht="12.45" customHeight="1">
      <c r="A12" s="5"/>
      <c r="B12" s="10" t="s">
        <v>738</v>
      </c>
      <c r="C12" s="5"/>
      <c r="D12" s="11" t="s">
        <v>690</v>
      </c>
      <c r="E12" s="10" t="s">
        <v>1056</v>
      </c>
      <c r="F12" s="5"/>
      <c r="G12" s="5"/>
    </row>
    <row r="13" spans="1:7" ht="12.45" customHeight="1">
      <c r="A13" s="5"/>
      <c r="B13" s="10" t="s">
        <v>808</v>
      </c>
      <c r="C13" s="5"/>
      <c r="D13" s="11" t="s">
        <v>692</v>
      </c>
      <c r="E13" s="11" t="s">
        <v>846</v>
      </c>
      <c r="F13" s="5"/>
      <c r="G13" s="5"/>
    </row>
    <row r="14" spans="1:7" ht="10.95" customHeight="1">
      <c r="A14" s="5"/>
      <c r="B14" s="5"/>
      <c r="C14" s="5"/>
      <c r="D14" s="5"/>
      <c r="E14" s="2477" t="s">
        <v>702</v>
      </c>
      <c r="F14" s="2477"/>
      <c r="G14" s="5"/>
    </row>
    <row r="15" spans="1:7" ht="10.95" customHeight="1">
      <c r="A15" s="10" t="s">
        <v>703</v>
      </c>
      <c r="B15" s="10" t="s">
        <v>704</v>
      </c>
      <c r="C15" s="5"/>
      <c r="D15" s="5"/>
      <c r="E15" s="5"/>
      <c r="F15" s="5"/>
      <c r="G15" s="5"/>
    </row>
    <row r="16" spans="1:7" ht="10.95" customHeight="1">
      <c r="A16" s="5"/>
      <c r="B16" s="5"/>
      <c r="C16" s="5"/>
      <c r="D16" s="5"/>
      <c r="E16" s="5"/>
      <c r="F16" s="5"/>
      <c r="G16" s="5"/>
    </row>
    <row r="17" spans="1:7" ht="10.95" customHeight="1">
      <c r="A17" s="5"/>
      <c r="B17" s="5"/>
      <c r="C17" s="5"/>
      <c r="D17" s="5"/>
      <c r="E17" s="2477" t="s">
        <v>705</v>
      </c>
      <c r="F17" s="2477"/>
      <c r="G17" s="5"/>
    </row>
    <row r="18" spans="1:7" ht="10.95" customHeight="1">
      <c r="A18" s="5"/>
      <c r="B18" s="5"/>
      <c r="C18" s="5"/>
      <c r="D18" s="5"/>
      <c r="E18" s="5"/>
      <c r="F18" s="5"/>
      <c r="G18" s="5"/>
    </row>
    <row r="19" spans="1:7" ht="10.95" customHeight="1">
      <c r="A19" s="10" t="s">
        <v>706</v>
      </c>
      <c r="B19" s="2477" t="s">
        <v>707</v>
      </c>
      <c r="C19" s="2477"/>
      <c r="D19" s="2477"/>
      <c r="E19" s="2477"/>
      <c r="F19" s="2477"/>
      <c r="G19" s="5"/>
    </row>
    <row r="20" spans="1:7" ht="12" customHeight="1">
      <c r="A20" s="10" t="s">
        <v>708</v>
      </c>
      <c r="B20" s="2471" t="s">
        <v>876</v>
      </c>
      <c r="C20" s="2471"/>
      <c r="D20" s="2471"/>
      <c r="E20" s="2475" t="s">
        <v>710</v>
      </c>
      <c r="F20" s="2475"/>
      <c r="G20" s="5"/>
    </row>
    <row r="21" spans="1:7" ht="10.95" customHeight="1">
      <c r="A21" s="10" t="s">
        <v>711</v>
      </c>
      <c r="B21" s="2476" t="s">
        <v>712</v>
      </c>
      <c r="C21" s="2476"/>
      <c r="D21" s="2476"/>
      <c r="E21" s="2476"/>
      <c r="F21" s="2476"/>
      <c r="G21" s="5"/>
    </row>
    <row r="22" spans="1:7" ht="10.95" customHeight="1">
      <c r="A22" s="10"/>
      <c r="B22" s="27"/>
      <c r="C22" s="27"/>
      <c r="D22" s="27"/>
      <c r="E22" s="27"/>
      <c r="F22" s="27"/>
      <c r="G22" s="5"/>
    </row>
    <row r="23" spans="1:7" ht="10.95" customHeight="1">
      <c r="A23" s="55" t="s">
        <v>2165</v>
      </c>
      <c r="B23" s="27"/>
      <c r="C23" s="27"/>
      <c r="D23" s="27"/>
      <c r="E23" s="27"/>
      <c r="F23" s="27"/>
      <c r="G23" s="5"/>
    </row>
    <row r="24" spans="1:7" ht="10.95" customHeight="1">
      <c r="A24" s="50"/>
      <c r="B24" s="27"/>
      <c r="C24" s="27"/>
      <c r="D24" s="27"/>
      <c r="E24" s="27"/>
      <c r="F24" s="27"/>
      <c r="G24" s="5"/>
    </row>
    <row r="25" spans="1:7" ht="31.5" customHeight="1">
      <c r="A25" s="9" t="s">
        <v>1003</v>
      </c>
      <c r="B25" s="19" t="s">
        <v>1004</v>
      </c>
      <c r="C25" s="9" t="s">
        <v>1005</v>
      </c>
      <c r="D25" s="9" t="s">
        <v>1006</v>
      </c>
      <c r="E25" s="9" t="s">
        <v>1007</v>
      </c>
      <c r="F25" s="8" t="s">
        <v>669</v>
      </c>
      <c r="G25" s="8" t="s">
        <v>670</v>
      </c>
    </row>
    <row r="26" spans="1:7" ht="10.95" customHeight="1">
      <c r="A26" s="10" t="s">
        <v>671</v>
      </c>
      <c r="B26" s="10" t="s">
        <v>672</v>
      </c>
      <c r="C26" s="5"/>
      <c r="D26" s="5"/>
      <c r="E26" s="5"/>
      <c r="F26" s="5"/>
      <c r="G26" s="5"/>
    </row>
    <row r="27" spans="1:7" ht="12.45" customHeight="1">
      <c r="A27" s="5"/>
      <c r="B27" s="10" t="s">
        <v>673</v>
      </c>
      <c r="C27" s="10" t="s">
        <v>674</v>
      </c>
      <c r="D27" s="11" t="s">
        <v>675</v>
      </c>
      <c r="E27" s="11" t="s">
        <v>718</v>
      </c>
      <c r="F27" s="5"/>
      <c r="G27" s="5"/>
    </row>
    <row r="28" spans="1:7" ht="12.45" customHeight="1">
      <c r="A28" s="5"/>
      <c r="B28" s="10" t="s">
        <v>816</v>
      </c>
      <c r="C28" s="10" t="s">
        <v>678</v>
      </c>
      <c r="D28" s="11" t="s">
        <v>675</v>
      </c>
      <c r="E28" s="11" t="s">
        <v>740</v>
      </c>
      <c r="F28" s="5"/>
      <c r="G28" s="5"/>
    </row>
    <row r="29" spans="1:7" ht="12.45" customHeight="1">
      <c r="A29" s="5"/>
      <c r="B29" s="10" t="s">
        <v>680</v>
      </c>
      <c r="C29" s="10" t="s">
        <v>681</v>
      </c>
      <c r="D29" s="11" t="s">
        <v>675</v>
      </c>
      <c r="E29" s="11" t="s">
        <v>811</v>
      </c>
      <c r="F29" s="5"/>
      <c r="G29" s="5"/>
    </row>
    <row r="30" spans="1:7" ht="12.45" customHeight="1">
      <c r="A30" s="5"/>
      <c r="B30" s="10" t="s">
        <v>683</v>
      </c>
      <c r="C30" s="10" t="s">
        <v>684</v>
      </c>
      <c r="D30" s="11" t="s">
        <v>675</v>
      </c>
      <c r="E30" s="11" t="s">
        <v>811</v>
      </c>
      <c r="F30" s="5"/>
      <c r="G30" s="5"/>
    </row>
    <row r="31" spans="1:7" ht="10.95" customHeight="1">
      <c r="A31" s="5"/>
      <c r="B31" s="5"/>
      <c r="C31" s="5"/>
      <c r="D31" s="5"/>
      <c r="E31" s="2477" t="s">
        <v>685</v>
      </c>
      <c r="F31" s="2477"/>
      <c r="G31" s="5"/>
    </row>
    <row r="32" spans="1:7" ht="10.95" customHeight="1">
      <c r="A32" s="10" t="s">
        <v>686</v>
      </c>
      <c r="B32" s="10" t="s">
        <v>687</v>
      </c>
      <c r="C32" s="5"/>
      <c r="D32" s="5"/>
      <c r="E32" s="5"/>
      <c r="F32" s="5"/>
      <c r="G32" s="5"/>
    </row>
    <row r="33" spans="1:7" ht="12.45" customHeight="1">
      <c r="A33" s="5"/>
      <c r="B33" s="10" t="s">
        <v>1055</v>
      </c>
      <c r="C33" s="5"/>
      <c r="D33" s="11" t="s">
        <v>692</v>
      </c>
      <c r="E33" s="10" t="s">
        <v>1025</v>
      </c>
      <c r="F33" s="5"/>
      <c r="G33" s="5"/>
    </row>
    <row r="34" spans="1:7" ht="12.45" customHeight="1">
      <c r="A34" s="5"/>
      <c r="B34" s="10" t="s">
        <v>738</v>
      </c>
      <c r="C34" s="5"/>
      <c r="D34" s="11" t="s">
        <v>690</v>
      </c>
      <c r="E34" s="10" t="s">
        <v>1058</v>
      </c>
      <c r="F34" s="5"/>
      <c r="G34" s="5"/>
    </row>
    <row r="35" spans="1:7" ht="12.45" customHeight="1">
      <c r="A35" s="5"/>
      <c r="B35" s="10" t="s">
        <v>808</v>
      </c>
      <c r="C35" s="5"/>
      <c r="D35" s="11" t="s">
        <v>692</v>
      </c>
      <c r="E35" s="11" t="s">
        <v>799</v>
      </c>
      <c r="F35" s="5"/>
      <c r="G35" s="5"/>
    </row>
    <row r="36" spans="1:7" ht="10.95" customHeight="1">
      <c r="A36" s="5"/>
      <c r="B36" s="5"/>
      <c r="C36" s="5"/>
      <c r="D36" s="5"/>
      <c r="E36" s="2477" t="s">
        <v>702</v>
      </c>
      <c r="F36" s="2477"/>
      <c r="G36" s="5"/>
    </row>
    <row r="37" spans="1:7" ht="10.95" customHeight="1">
      <c r="A37" s="10" t="s">
        <v>703</v>
      </c>
      <c r="B37" s="10" t="s">
        <v>704</v>
      </c>
      <c r="C37" s="5"/>
      <c r="D37" s="5"/>
      <c r="E37" s="5"/>
      <c r="F37" s="5"/>
      <c r="G37" s="5"/>
    </row>
    <row r="38" spans="1:7" ht="10.95" customHeight="1">
      <c r="A38" s="5"/>
      <c r="B38" s="5"/>
      <c r="C38" s="5"/>
      <c r="D38" s="5"/>
      <c r="E38" s="5"/>
      <c r="F38" s="5"/>
      <c r="G38" s="5"/>
    </row>
    <row r="39" spans="1:7" ht="10.95" customHeight="1">
      <c r="A39" s="5"/>
      <c r="B39" s="5"/>
      <c r="C39" s="5"/>
      <c r="D39" s="5"/>
      <c r="E39" s="2477" t="s">
        <v>705</v>
      </c>
      <c r="F39" s="2477"/>
      <c r="G39" s="5"/>
    </row>
    <row r="40" spans="1:7" ht="10.95" customHeight="1">
      <c r="A40" s="5"/>
      <c r="B40" s="5"/>
      <c r="C40" s="5"/>
      <c r="D40" s="5"/>
      <c r="E40" s="5"/>
      <c r="F40" s="5"/>
      <c r="G40" s="5"/>
    </row>
    <row r="41" spans="1:7" ht="10.95" customHeight="1">
      <c r="A41" s="10" t="s">
        <v>706</v>
      </c>
      <c r="B41" s="2477" t="s">
        <v>707</v>
      </c>
      <c r="C41" s="2477"/>
      <c r="D41" s="2477"/>
      <c r="E41" s="2477"/>
      <c r="F41" s="2477"/>
      <c r="G41" s="5"/>
    </row>
    <row r="42" spans="1:7" ht="12" customHeight="1">
      <c r="A42" s="10" t="s">
        <v>708</v>
      </c>
      <c r="B42" s="2471" t="s">
        <v>876</v>
      </c>
      <c r="C42" s="2471"/>
      <c r="D42" s="2471"/>
      <c r="E42" s="2475" t="s">
        <v>710</v>
      </c>
      <c r="F42" s="2475"/>
      <c r="G42" s="5"/>
    </row>
    <row r="43" spans="1:7" ht="10.95" customHeight="1">
      <c r="A43" s="10" t="s">
        <v>711</v>
      </c>
      <c r="B43" s="2476" t="s">
        <v>712</v>
      </c>
      <c r="C43" s="2476"/>
      <c r="D43" s="2476"/>
      <c r="E43" s="2476"/>
      <c r="F43" s="2476"/>
      <c r="G43" s="5"/>
    </row>
  </sheetData>
  <mergeCells count="14">
    <mergeCell ref="E9:F9"/>
    <mergeCell ref="E14:F14"/>
    <mergeCell ref="E17:F17"/>
    <mergeCell ref="B19:F19"/>
    <mergeCell ref="B20:D20"/>
    <mergeCell ref="E20:F20"/>
    <mergeCell ref="B42:D42"/>
    <mergeCell ref="E42:F42"/>
    <mergeCell ref="B43:F43"/>
    <mergeCell ref="B21:F21"/>
    <mergeCell ref="E31:F31"/>
    <mergeCell ref="E36:F36"/>
    <mergeCell ref="E39:F39"/>
    <mergeCell ref="B41:F41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23">
    <tabColor rgb="FFFF0000"/>
  </sheetPr>
  <dimension ref="A1:G43"/>
  <sheetViews>
    <sheetView workbookViewId="0">
      <selection activeCell="G43" sqref="A1:G43"/>
    </sheetView>
  </sheetViews>
  <sheetFormatPr defaultRowHeight="14.4"/>
  <cols>
    <col min="1" max="1" width="5.33203125" customWidth="1"/>
    <col min="2" max="2" width="21" customWidth="1"/>
    <col min="3" max="3" width="8.6640625" customWidth="1"/>
    <col min="4" max="4" width="11" customWidth="1"/>
    <col min="5" max="5" width="14.6640625" customWidth="1"/>
    <col min="6" max="6" width="14.44140625" customWidth="1"/>
    <col min="7" max="7" width="16.5546875" customWidth="1"/>
  </cols>
  <sheetData>
    <row r="1" spans="1:7">
      <c r="A1" s="53" t="s">
        <v>2166</v>
      </c>
    </row>
    <row r="2" spans="1:7">
      <c r="A2" s="54"/>
    </row>
    <row r="3" spans="1:7">
      <c r="A3" s="50" t="s">
        <v>2167</v>
      </c>
    </row>
    <row r="5" spans="1:7" ht="35.1" customHeight="1">
      <c r="A5" s="18" t="s">
        <v>1003</v>
      </c>
      <c r="B5" s="1" t="s">
        <v>1059</v>
      </c>
      <c r="C5" s="18" t="s">
        <v>1005</v>
      </c>
      <c r="D5" s="18" t="s">
        <v>1006</v>
      </c>
      <c r="E5" s="18" t="s">
        <v>1007</v>
      </c>
      <c r="F5" s="7" t="s">
        <v>767</v>
      </c>
      <c r="G5" s="7" t="s">
        <v>768</v>
      </c>
    </row>
    <row r="6" spans="1:7" ht="12" customHeight="1">
      <c r="A6" s="3" t="s">
        <v>671</v>
      </c>
      <c r="B6" s="3" t="s">
        <v>672</v>
      </c>
      <c r="C6" s="5"/>
      <c r="D6" s="5"/>
      <c r="E6" s="5"/>
      <c r="F6" s="5"/>
      <c r="G6" s="5"/>
    </row>
    <row r="7" spans="1:7" ht="15" customHeight="1">
      <c r="A7" s="5"/>
      <c r="B7" s="13" t="s">
        <v>673</v>
      </c>
      <c r="C7" s="3" t="s">
        <v>674</v>
      </c>
      <c r="D7" s="12" t="s">
        <v>675</v>
      </c>
      <c r="E7" s="13" t="s">
        <v>718</v>
      </c>
      <c r="F7" s="5"/>
      <c r="G7" s="5"/>
    </row>
    <row r="8" spans="1:7" ht="15.15" customHeight="1">
      <c r="A8" s="5"/>
      <c r="B8" s="13" t="s">
        <v>816</v>
      </c>
      <c r="C8" s="3" t="s">
        <v>681</v>
      </c>
      <c r="D8" s="12" t="s">
        <v>675</v>
      </c>
      <c r="E8" s="13" t="s">
        <v>740</v>
      </c>
      <c r="F8" s="5"/>
      <c r="G8" s="5"/>
    </row>
    <row r="9" spans="1:7" ht="15" customHeight="1">
      <c r="A9" s="5"/>
      <c r="B9" s="13" t="s">
        <v>680</v>
      </c>
      <c r="C9" s="3" t="s">
        <v>681</v>
      </c>
      <c r="D9" s="12" t="s">
        <v>675</v>
      </c>
      <c r="E9" s="13" t="s">
        <v>811</v>
      </c>
      <c r="F9" s="5"/>
      <c r="G9" s="5"/>
    </row>
    <row r="10" spans="1:7" ht="15" customHeight="1">
      <c r="A10" s="5"/>
      <c r="B10" s="13" t="s">
        <v>683</v>
      </c>
      <c r="C10" s="3" t="s">
        <v>684</v>
      </c>
      <c r="D10" s="12" t="s">
        <v>675</v>
      </c>
      <c r="E10" s="13" t="s">
        <v>811</v>
      </c>
      <c r="F10" s="5"/>
      <c r="G10" s="5"/>
    </row>
    <row r="11" spans="1:7" ht="12" customHeight="1">
      <c r="A11" s="5"/>
      <c r="B11" s="5"/>
      <c r="C11" s="5"/>
      <c r="D11" s="5"/>
      <c r="E11" s="2474" t="s">
        <v>685</v>
      </c>
      <c r="F11" s="2474"/>
      <c r="G11" s="5"/>
    </row>
    <row r="12" spans="1:7" ht="12" customHeight="1">
      <c r="A12" s="3" t="s">
        <v>686</v>
      </c>
      <c r="B12" s="3" t="s">
        <v>687</v>
      </c>
      <c r="C12" s="5"/>
      <c r="D12" s="5"/>
      <c r="E12" s="5"/>
      <c r="F12" s="5"/>
      <c r="G12" s="5"/>
    </row>
    <row r="13" spans="1:7" ht="15.15" customHeight="1">
      <c r="A13" s="5"/>
      <c r="B13" s="3" t="s">
        <v>1060</v>
      </c>
      <c r="C13" s="5"/>
      <c r="D13" s="12" t="s">
        <v>690</v>
      </c>
      <c r="E13" s="13" t="s">
        <v>1061</v>
      </c>
      <c r="F13" s="5"/>
      <c r="G13" s="5"/>
    </row>
    <row r="14" spans="1:7" ht="15" customHeight="1">
      <c r="A14" s="5"/>
      <c r="B14" s="3" t="s">
        <v>1062</v>
      </c>
      <c r="C14" s="5"/>
      <c r="D14" s="11" t="s">
        <v>692</v>
      </c>
      <c r="E14" s="13" t="s">
        <v>1044</v>
      </c>
      <c r="F14" s="5"/>
      <c r="G14" s="5"/>
    </row>
    <row r="15" spans="1:7" ht="12" customHeight="1">
      <c r="A15" s="5"/>
      <c r="B15" s="5"/>
      <c r="C15" s="5"/>
      <c r="D15" s="5"/>
      <c r="E15" s="2474" t="s">
        <v>702</v>
      </c>
      <c r="F15" s="2474"/>
      <c r="G15" s="5"/>
    </row>
    <row r="16" spans="1:7" ht="12" customHeight="1">
      <c r="A16" s="3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2474" t="s">
        <v>705</v>
      </c>
      <c r="F18" s="2474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3" t="s">
        <v>706</v>
      </c>
      <c r="B20" s="2474" t="s">
        <v>707</v>
      </c>
      <c r="C20" s="2474"/>
      <c r="D20" s="2474"/>
      <c r="E20" s="2474"/>
      <c r="F20" s="2474"/>
      <c r="G20" s="5"/>
    </row>
    <row r="21" spans="1:7" ht="12" customHeight="1">
      <c r="A21" s="3" t="s">
        <v>708</v>
      </c>
      <c r="B21" s="2471" t="s">
        <v>876</v>
      </c>
      <c r="C21" s="2471"/>
      <c r="D21" s="2471"/>
      <c r="E21" s="2472" t="s">
        <v>710</v>
      </c>
      <c r="F21" s="2472"/>
      <c r="G21" s="5"/>
    </row>
    <row r="22" spans="1:7" ht="12" customHeight="1">
      <c r="A22" s="3" t="s">
        <v>711</v>
      </c>
      <c r="B22" s="2473" t="s">
        <v>712</v>
      </c>
      <c r="C22" s="2473"/>
      <c r="D22" s="2473"/>
      <c r="E22" s="2473"/>
      <c r="F22" s="2473"/>
      <c r="G22" s="5"/>
    </row>
    <row r="23" spans="1:7" ht="12" customHeight="1">
      <c r="A23" s="3"/>
      <c r="B23" s="26"/>
      <c r="C23" s="26"/>
      <c r="D23" s="26"/>
      <c r="E23" s="26"/>
      <c r="F23" s="26"/>
      <c r="G23" s="5"/>
    </row>
    <row r="24" spans="1:7" ht="12" customHeight="1">
      <c r="A24" s="50" t="s">
        <v>2168</v>
      </c>
      <c r="B24" s="26"/>
      <c r="C24" s="26"/>
      <c r="D24" s="26"/>
      <c r="E24" s="26"/>
      <c r="F24" s="26"/>
      <c r="G24" s="5"/>
    </row>
    <row r="25" spans="1:7" ht="12" customHeight="1">
      <c r="A25" s="3"/>
      <c r="B25" s="26"/>
      <c r="C25" s="26"/>
      <c r="D25" s="26"/>
      <c r="E25" s="26"/>
      <c r="F25" s="26"/>
      <c r="G25" s="5"/>
    </row>
    <row r="26" spans="1:7" ht="35.1" customHeight="1">
      <c r="A26" s="18" t="s">
        <v>1003</v>
      </c>
      <c r="B26" s="1" t="s">
        <v>1004</v>
      </c>
      <c r="C26" s="18" t="s">
        <v>1005</v>
      </c>
      <c r="D26" s="18" t="s">
        <v>1006</v>
      </c>
      <c r="E26" s="18" t="s">
        <v>1007</v>
      </c>
      <c r="F26" s="7" t="s">
        <v>767</v>
      </c>
      <c r="G26" s="7" t="s">
        <v>768</v>
      </c>
    </row>
    <row r="27" spans="1:7" ht="12" customHeight="1">
      <c r="A27" s="3" t="s">
        <v>671</v>
      </c>
      <c r="B27" s="3" t="s">
        <v>672</v>
      </c>
      <c r="C27" s="5"/>
      <c r="D27" s="5"/>
      <c r="E27" s="5"/>
      <c r="F27" s="5"/>
      <c r="G27" s="5"/>
    </row>
    <row r="28" spans="1:7" ht="15" customHeight="1">
      <c r="A28" s="5"/>
      <c r="B28" s="13" t="s">
        <v>673</v>
      </c>
      <c r="C28" s="3" t="s">
        <v>674</v>
      </c>
      <c r="D28" s="12" t="s">
        <v>675</v>
      </c>
      <c r="E28" s="13" t="s">
        <v>718</v>
      </c>
      <c r="F28" s="5"/>
      <c r="G28" s="5"/>
    </row>
    <row r="29" spans="1:7" ht="15" customHeight="1">
      <c r="A29" s="5"/>
      <c r="B29" s="13" t="s">
        <v>816</v>
      </c>
      <c r="C29" s="3" t="s">
        <v>681</v>
      </c>
      <c r="D29" s="12" t="s">
        <v>675</v>
      </c>
      <c r="E29" s="13" t="s">
        <v>740</v>
      </c>
      <c r="F29" s="5"/>
      <c r="G29" s="5"/>
    </row>
    <row r="30" spans="1:7" ht="15.15" customHeight="1">
      <c r="A30" s="5"/>
      <c r="B30" s="13" t="s">
        <v>680</v>
      </c>
      <c r="C30" s="3" t="s">
        <v>681</v>
      </c>
      <c r="D30" s="12" t="s">
        <v>675</v>
      </c>
      <c r="E30" s="13" t="s">
        <v>811</v>
      </c>
      <c r="F30" s="5"/>
      <c r="G30" s="5"/>
    </row>
    <row r="31" spans="1:7" ht="15" customHeight="1">
      <c r="A31" s="5"/>
      <c r="B31" s="13" t="s">
        <v>683</v>
      </c>
      <c r="C31" s="3" t="s">
        <v>684</v>
      </c>
      <c r="D31" s="12" t="s">
        <v>675</v>
      </c>
      <c r="E31" s="13" t="s">
        <v>811</v>
      </c>
      <c r="F31" s="5"/>
      <c r="G31" s="5"/>
    </row>
    <row r="32" spans="1:7" ht="12" customHeight="1">
      <c r="A32" s="5"/>
      <c r="B32" s="5"/>
      <c r="C32" s="5"/>
      <c r="D32" s="5"/>
      <c r="E32" s="2474" t="s">
        <v>685</v>
      </c>
      <c r="F32" s="2474"/>
      <c r="G32" s="5"/>
    </row>
    <row r="33" spans="1:7" ht="12" customHeight="1">
      <c r="A33" s="3" t="s">
        <v>686</v>
      </c>
      <c r="B33" s="3" t="s">
        <v>687</v>
      </c>
      <c r="C33" s="5"/>
      <c r="D33" s="5"/>
      <c r="E33" s="5"/>
      <c r="F33" s="5"/>
      <c r="G33" s="5"/>
    </row>
    <row r="34" spans="1:7" ht="15" customHeight="1">
      <c r="A34" s="5"/>
      <c r="B34" s="3" t="s">
        <v>1060</v>
      </c>
      <c r="C34" s="5"/>
      <c r="D34" s="12" t="s">
        <v>690</v>
      </c>
      <c r="E34" s="13" t="s">
        <v>1063</v>
      </c>
      <c r="F34" s="5"/>
      <c r="G34" s="5"/>
    </row>
    <row r="35" spans="1:7" ht="15.15" customHeight="1">
      <c r="A35" s="5"/>
      <c r="B35" s="3" t="s">
        <v>1062</v>
      </c>
      <c r="C35" s="5"/>
      <c r="D35" s="11" t="s">
        <v>692</v>
      </c>
      <c r="E35" s="13" t="s">
        <v>682</v>
      </c>
      <c r="F35" s="5"/>
      <c r="G35" s="5"/>
    </row>
    <row r="36" spans="1:7" ht="12" customHeight="1">
      <c r="A36" s="5"/>
      <c r="B36" s="5"/>
      <c r="C36" s="5"/>
      <c r="D36" s="5"/>
      <c r="E36" s="2474" t="s">
        <v>702</v>
      </c>
      <c r="F36" s="2474"/>
      <c r="G36" s="5"/>
    </row>
    <row r="37" spans="1:7" ht="12" customHeight="1">
      <c r="A37" s="3" t="s">
        <v>703</v>
      </c>
      <c r="B37" s="3" t="s">
        <v>704</v>
      </c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8" customHeight="1">
      <c r="A39" s="5"/>
      <c r="B39" s="5"/>
      <c r="C39" s="5"/>
      <c r="D39" s="5"/>
      <c r="E39" s="2474" t="s">
        <v>705</v>
      </c>
      <c r="F39" s="2474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3" t="s">
        <v>706</v>
      </c>
      <c r="B41" s="2474" t="s">
        <v>707</v>
      </c>
      <c r="C41" s="2474"/>
      <c r="D41" s="2474"/>
      <c r="E41" s="2474"/>
      <c r="F41" s="2474"/>
      <c r="G41" s="5"/>
    </row>
    <row r="42" spans="1:7" ht="12" customHeight="1">
      <c r="A42" s="3" t="s">
        <v>708</v>
      </c>
      <c r="B42" s="2471" t="s">
        <v>876</v>
      </c>
      <c r="C42" s="2471"/>
      <c r="D42" s="2471"/>
      <c r="E42" s="2472" t="s">
        <v>710</v>
      </c>
      <c r="F42" s="2472"/>
      <c r="G42" s="5"/>
    </row>
    <row r="43" spans="1:7" ht="12" customHeight="1">
      <c r="A43" s="3" t="s">
        <v>711</v>
      </c>
      <c r="B43" s="2473" t="s">
        <v>712</v>
      </c>
      <c r="C43" s="2473"/>
      <c r="D43" s="2473"/>
      <c r="E43" s="2473"/>
      <c r="F43" s="2473"/>
      <c r="G43" s="5"/>
    </row>
  </sheetData>
  <mergeCells count="14">
    <mergeCell ref="E11:F11"/>
    <mergeCell ref="E15:F15"/>
    <mergeCell ref="E18:F18"/>
    <mergeCell ref="B20:F20"/>
    <mergeCell ref="B21:D21"/>
    <mergeCell ref="E21:F21"/>
    <mergeCell ref="B42:D42"/>
    <mergeCell ref="E42:F42"/>
    <mergeCell ref="B43:F43"/>
    <mergeCell ref="B22:F22"/>
    <mergeCell ref="E32:F32"/>
    <mergeCell ref="E36:F36"/>
    <mergeCell ref="E39:F39"/>
    <mergeCell ref="B41:F41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24"/>
  <dimension ref="A1:G41"/>
  <sheetViews>
    <sheetView topLeftCell="A28" workbookViewId="0">
      <selection sqref="A1:G41"/>
    </sheetView>
  </sheetViews>
  <sheetFormatPr defaultRowHeight="14.4"/>
  <cols>
    <col min="1" max="1" width="5.33203125" customWidth="1"/>
    <col min="2" max="2" width="21" customWidth="1"/>
    <col min="3" max="3" width="8.6640625" customWidth="1"/>
    <col min="4" max="4" width="11" customWidth="1"/>
    <col min="5" max="5" width="14.6640625" customWidth="1"/>
    <col min="6" max="6" width="14.44140625" customWidth="1"/>
    <col min="7" max="7" width="16.5546875" customWidth="1"/>
  </cols>
  <sheetData>
    <row r="1" spans="1:7">
      <c r="A1" s="50" t="s">
        <v>2169</v>
      </c>
    </row>
    <row r="3" spans="1:7" ht="35.1" customHeight="1">
      <c r="A3" s="18" t="s">
        <v>1003</v>
      </c>
      <c r="B3" s="1" t="s">
        <v>1004</v>
      </c>
      <c r="C3" s="18" t="s">
        <v>1005</v>
      </c>
      <c r="D3" s="18" t="s">
        <v>1006</v>
      </c>
      <c r="E3" s="18" t="s">
        <v>1007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5" customHeight="1">
      <c r="A5" s="5"/>
      <c r="B5" s="13" t="s">
        <v>673</v>
      </c>
      <c r="C5" s="3" t="s">
        <v>674</v>
      </c>
      <c r="D5" s="12" t="s">
        <v>675</v>
      </c>
      <c r="E5" s="13" t="s">
        <v>718</v>
      </c>
      <c r="F5" s="5"/>
      <c r="G5" s="5"/>
    </row>
    <row r="6" spans="1:7" ht="15.15" customHeight="1">
      <c r="A6" s="5"/>
      <c r="B6" s="13" t="s">
        <v>816</v>
      </c>
      <c r="C6" s="3" t="s">
        <v>681</v>
      </c>
      <c r="D6" s="12" t="s">
        <v>675</v>
      </c>
      <c r="E6" s="13" t="s">
        <v>740</v>
      </c>
      <c r="F6" s="5"/>
      <c r="G6" s="5"/>
    </row>
    <row r="7" spans="1:7" ht="15" customHeight="1">
      <c r="A7" s="5"/>
      <c r="B7" s="13" t="s">
        <v>680</v>
      </c>
      <c r="C7" s="3" t="s">
        <v>681</v>
      </c>
      <c r="D7" s="12" t="s">
        <v>675</v>
      </c>
      <c r="E7" s="13" t="s">
        <v>811</v>
      </c>
      <c r="F7" s="5"/>
      <c r="G7" s="5"/>
    </row>
    <row r="8" spans="1:7" ht="15.15" customHeight="1">
      <c r="A8" s="5"/>
      <c r="B8" s="13" t="s">
        <v>683</v>
      </c>
      <c r="C8" s="3" t="s">
        <v>684</v>
      </c>
      <c r="D8" s="12" t="s">
        <v>675</v>
      </c>
      <c r="E8" s="13" t="s">
        <v>811</v>
      </c>
      <c r="F8" s="5"/>
      <c r="G8" s="5"/>
    </row>
    <row r="9" spans="1:7" ht="12" customHeight="1">
      <c r="A9" s="5"/>
      <c r="B9" s="5"/>
      <c r="C9" s="5"/>
      <c r="D9" s="5"/>
      <c r="E9" s="2474" t="s">
        <v>685</v>
      </c>
      <c r="F9" s="2474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5" customHeight="1">
      <c r="A11" s="5"/>
      <c r="B11" s="3" t="s">
        <v>1060</v>
      </c>
      <c r="C11" s="5"/>
      <c r="D11" s="12" t="s">
        <v>690</v>
      </c>
      <c r="E11" s="13" t="s">
        <v>1064</v>
      </c>
      <c r="F11" s="5"/>
      <c r="G11" s="5"/>
    </row>
    <row r="12" spans="1:7" ht="15" customHeight="1">
      <c r="A12" s="5"/>
      <c r="B12" s="3" t="s">
        <v>1062</v>
      </c>
      <c r="C12" s="5"/>
      <c r="D12" s="11" t="s">
        <v>692</v>
      </c>
      <c r="E12" s="13" t="s">
        <v>1065</v>
      </c>
      <c r="F12" s="5"/>
      <c r="G12" s="5"/>
    </row>
    <row r="13" spans="1:7" ht="12" customHeight="1">
      <c r="A13" s="5"/>
      <c r="B13" s="5"/>
      <c r="C13" s="5"/>
      <c r="D13" s="5"/>
      <c r="E13" s="2474" t="s">
        <v>702</v>
      </c>
      <c r="F13" s="2474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2474" t="s">
        <v>705</v>
      </c>
      <c r="F16" s="2474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2474" t="s">
        <v>707</v>
      </c>
      <c r="C18" s="2474"/>
      <c r="D18" s="2474"/>
      <c r="E18" s="2474"/>
      <c r="F18" s="2474"/>
      <c r="G18" s="5"/>
    </row>
    <row r="19" spans="1:7" ht="12" customHeight="1">
      <c r="A19" s="3" t="s">
        <v>708</v>
      </c>
      <c r="B19" s="2471" t="s">
        <v>876</v>
      </c>
      <c r="C19" s="2471"/>
      <c r="D19" s="2471"/>
      <c r="E19" s="2472" t="s">
        <v>710</v>
      </c>
      <c r="F19" s="2472"/>
      <c r="G19" s="5"/>
    </row>
    <row r="20" spans="1:7" ht="12" customHeight="1">
      <c r="A20" s="3" t="s">
        <v>711</v>
      </c>
      <c r="B20" s="2473" t="s">
        <v>712</v>
      </c>
      <c r="C20" s="2473"/>
      <c r="D20" s="2473"/>
      <c r="E20" s="2473"/>
      <c r="F20" s="2473"/>
      <c r="G20" s="5"/>
    </row>
    <row r="21" spans="1:7" ht="12" customHeight="1">
      <c r="A21" s="3"/>
      <c r="B21" s="26"/>
      <c r="C21" s="26"/>
      <c r="D21" s="26"/>
      <c r="E21" s="26"/>
      <c r="F21" s="26"/>
      <c r="G21" s="5"/>
    </row>
    <row r="22" spans="1:7" ht="15.75" customHeight="1">
      <c r="A22" s="50" t="s">
        <v>2170</v>
      </c>
      <c r="B22" s="26"/>
      <c r="C22" s="26"/>
      <c r="D22" s="26"/>
      <c r="E22" s="26"/>
      <c r="F22" s="26"/>
      <c r="G22" s="5"/>
    </row>
    <row r="23" spans="1:7" ht="12" customHeight="1">
      <c r="A23" s="3"/>
      <c r="B23" s="26"/>
      <c r="C23" s="26"/>
      <c r="D23" s="26"/>
      <c r="E23" s="26"/>
      <c r="F23" s="26"/>
      <c r="G23" s="5"/>
    </row>
    <row r="24" spans="1:7" ht="35.1" customHeight="1">
      <c r="A24" s="18" t="s">
        <v>1003</v>
      </c>
      <c r="B24" s="1" t="s">
        <v>1004</v>
      </c>
      <c r="C24" s="18" t="s">
        <v>1005</v>
      </c>
      <c r="D24" s="18" t="s">
        <v>1006</v>
      </c>
      <c r="E24" s="18" t="s">
        <v>1007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5.15" customHeight="1">
      <c r="A26" s="5"/>
      <c r="B26" s="13" t="s">
        <v>673</v>
      </c>
      <c r="C26" s="3" t="s">
        <v>674</v>
      </c>
      <c r="D26" s="12" t="s">
        <v>675</v>
      </c>
      <c r="E26" s="13" t="s">
        <v>718</v>
      </c>
      <c r="F26" s="5"/>
      <c r="G26" s="5"/>
    </row>
    <row r="27" spans="1:7" ht="15" customHeight="1">
      <c r="A27" s="5"/>
      <c r="B27" s="13" t="s">
        <v>816</v>
      </c>
      <c r="C27" s="3" t="s">
        <v>681</v>
      </c>
      <c r="D27" s="12" t="s">
        <v>675</v>
      </c>
      <c r="E27" s="13" t="s">
        <v>740</v>
      </c>
      <c r="F27" s="5"/>
      <c r="G27" s="5"/>
    </row>
    <row r="28" spans="1:7" ht="15" customHeight="1">
      <c r="A28" s="5"/>
      <c r="B28" s="13" t="s">
        <v>680</v>
      </c>
      <c r="C28" s="3" t="s">
        <v>681</v>
      </c>
      <c r="D28" s="12" t="s">
        <v>675</v>
      </c>
      <c r="E28" s="13" t="s">
        <v>811</v>
      </c>
      <c r="F28" s="5"/>
      <c r="G28" s="5"/>
    </row>
    <row r="29" spans="1:7" ht="15.15" customHeight="1">
      <c r="A29" s="5"/>
      <c r="B29" s="13" t="s">
        <v>683</v>
      </c>
      <c r="C29" s="3" t="s">
        <v>684</v>
      </c>
      <c r="D29" s="12" t="s">
        <v>675</v>
      </c>
      <c r="E29" s="13" t="s">
        <v>811</v>
      </c>
      <c r="F29" s="5"/>
      <c r="G29" s="5"/>
    </row>
    <row r="30" spans="1:7" ht="12" customHeight="1">
      <c r="A30" s="5"/>
      <c r="B30" s="5"/>
      <c r="C30" s="5"/>
      <c r="D30" s="5"/>
      <c r="E30" s="2474" t="s">
        <v>685</v>
      </c>
      <c r="F30" s="2474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5" customHeight="1">
      <c r="A32" s="5"/>
      <c r="B32" s="3" t="s">
        <v>1060</v>
      </c>
      <c r="C32" s="5"/>
      <c r="D32" s="12" t="s">
        <v>690</v>
      </c>
      <c r="E32" s="13" t="s">
        <v>1066</v>
      </c>
      <c r="F32" s="5"/>
      <c r="G32" s="5"/>
    </row>
    <row r="33" spans="1:7" ht="15" customHeight="1">
      <c r="A33" s="5"/>
      <c r="B33" s="3" t="s">
        <v>1062</v>
      </c>
      <c r="C33" s="5"/>
      <c r="D33" s="11" t="s">
        <v>692</v>
      </c>
      <c r="E33" s="13" t="s">
        <v>915</v>
      </c>
      <c r="F33" s="5"/>
      <c r="G33" s="5"/>
    </row>
    <row r="34" spans="1:7" ht="12" customHeight="1">
      <c r="A34" s="5"/>
      <c r="B34" s="5"/>
      <c r="C34" s="5"/>
      <c r="D34" s="5"/>
      <c r="E34" s="2474" t="s">
        <v>702</v>
      </c>
      <c r="F34" s="2474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2474" t="s">
        <v>705</v>
      </c>
      <c r="F37" s="2474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2474" t="s">
        <v>707</v>
      </c>
      <c r="C39" s="2474"/>
      <c r="D39" s="2474"/>
      <c r="E39" s="2474"/>
      <c r="F39" s="2474"/>
      <c r="G39" s="5"/>
    </row>
    <row r="40" spans="1:7" ht="12" customHeight="1">
      <c r="A40" s="3" t="s">
        <v>708</v>
      </c>
      <c r="B40" s="2471" t="s">
        <v>876</v>
      </c>
      <c r="C40" s="2471"/>
      <c r="D40" s="2471"/>
      <c r="E40" s="2472" t="s">
        <v>710</v>
      </c>
      <c r="F40" s="2472"/>
      <c r="G40" s="5"/>
    </row>
    <row r="41" spans="1:7" ht="12.15" customHeight="1">
      <c r="A41" s="3" t="s">
        <v>711</v>
      </c>
      <c r="B41" s="2473" t="s">
        <v>712</v>
      </c>
      <c r="C41" s="2473"/>
      <c r="D41" s="2473"/>
      <c r="E41" s="2473"/>
      <c r="F41" s="2473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25"/>
  <dimension ref="A1:G41"/>
  <sheetViews>
    <sheetView workbookViewId="0">
      <selection activeCell="G41" sqref="A1:G41"/>
    </sheetView>
  </sheetViews>
  <sheetFormatPr defaultRowHeight="14.4"/>
  <cols>
    <col min="1" max="1" width="5.33203125" customWidth="1"/>
    <col min="2" max="2" width="21" customWidth="1"/>
    <col min="3" max="3" width="8.6640625" customWidth="1"/>
    <col min="4" max="4" width="11" customWidth="1"/>
    <col min="5" max="5" width="14.6640625" customWidth="1"/>
    <col min="6" max="6" width="14.44140625" customWidth="1"/>
    <col min="7" max="7" width="16.5546875" customWidth="1"/>
  </cols>
  <sheetData>
    <row r="1" spans="1:7">
      <c r="A1" s="50" t="s">
        <v>2171</v>
      </c>
    </row>
    <row r="3" spans="1:7" ht="35.1" customHeight="1">
      <c r="A3" s="18" t="s">
        <v>1003</v>
      </c>
      <c r="B3" s="1" t="s">
        <v>1004</v>
      </c>
      <c r="C3" s="18" t="s">
        <v>1005</v>
      </c>
      <c r="D3" s="18" t="s">
        <v>1006</v>
      </c>
      <c r="E3" s="18" t="s">
        <v>1007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5" customHeight="1">
      <c r="A5" s="5"/>
      <c r="B5" s="13" t="s">
        <v>673</v>
      </c>
      <c r="C5" s="3" t="s">
        <v>674</v>
      </c>
      <c r="D5" s="12" t="s">
        <v>675</v>
      </c>
      <c r="E5" s="13" t="s">
        <v>718</v>
      </c>
      <c r="F5" s="5"/>
      <c r="G5" s="5"/>
    </row>
    <row r="6" spans="1:7" ht="15.15" customHeight="1">
      <c r="A6" s="5"/>
      <c r="B6" s="13" t="s">
        <v>816</v>
      </c>
      <c r="C6" s="3" t="s">
        <v>681</v>
      </c>
      <c r="D6" s="12" t="s">
        <v>675</v>
      </c>
      <c r="E6" s="13" t="s">
        <v>740</v>
      </c>
      <c r="F6" s="5"/>
      <c r="G6" s="5"/>
    </row>
    <row r="7" spans="1:7" ht="15" customHeight="1">
      <c r="A7" s="5"/>
      <c r="B7" s="13" t="s">
        <v>680</v>
      </c>
      <c r="C7" s="3" t="s">
        <v>681</v>
      </c>
      <c r="D7" s="12" t="s">
        <v>675</v>
      </c>
      <c r="E7" s="13" t="s">
        <v>811</v>
      </c>
      <c r="F7" s="5"/>
      <c r="G7" s="5"/>
    </row>
    <row r="8" spans="1:7" ht="15.15" customHeight="1">
      <c r="A8" s="5"/>
      <c r="B8" s="13" t="s">
        <v>683</v>
      </c>
      <c r="C8" s="3" t="s">
        <v>684</v>
      </c>
      <c r="D8" s="12" t="s">
        <v>675</v>
      </c>
      <c r="E8" s="13" t="s">
        <v>811</v>
      </c>
      <c r="F8" s="5"/>
      <c r="G8" s="5"/>
    </row>
    <row r="9" spans="1:7" ht="12" customHeight="1">
      <c r="A9" s="5"/>
      <c r="B9" s="5"/>
      <c r="C9" s="5"/>
      <c r="D9" s="5"/>
      <c r="E9" s="2474" t="s">
        <v>685</v>
      </c>
      <c r="F9" s="2474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5" customHeight="1">
      <c r="A11" s="5"/>
      <c r="B11" s="3" t="s">
        <v>1060</v>
      </c>
      <c r="C11" s="5"/>
      <c r="D11" s="12" t="s">
        <v>690</v>
      </c>
      <c r="E11" s="13" t="s">
        <v>1067</v>
      </c>
      <c r="F11" s="5"/>
      <c r="G11" s="5"/>
    </row>
    <row r="12" spans="1:7" ht="15" customHeight="1">
      <c r="A12" s="5"/>
      <c r="B12" s="3" t="s">
        <v>1062</v>
      </c>
      <c r="C12" s="5"/>
      <c r="D12" s="11" t="s">
        <v>692</v>
      </c>
      <c r="E12" s="13" t="s">
        <v>858</v>
      </c>
      <c r="F12" s="5"/>
      <c r="G12" s="5"/>
    </row>
    <row r="13" spans="1:7" ht="12" customHeight="1">
      <c r="A13" s="5"/>
      <c r="B13" s="5"/>
      <c r="C13" s="5"/>
      <c r="D13" s="5"/>
      <c r="E13" s="2474" t="s">
        <v>702</v>
      </c>
      <c r="F13" s="2474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2474" t="s">
        <v>705</v>
      </c>
      <c r="F16" s="2474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2474" t="s">
        <v>707</v>
      </c>
      <c r="C18" s="2474"/>
      <c r="D18" s="2474"/>
      <c r="E18" s="2474"/>
      <c r="F18" s="2474"/>
      <c r="G18" s="5"/>
    </row>
    <row r="19" spans="1:7" ht="12" customHeight="1">
      <c r="A19" s="3" t="s">
        <v>708</v>
      </c>
      <c r="B19" s="2471" t="s">
        <v>876</v>
      </c>
      <c r="C19" s="2471"/>
      <c r="D19" s="2471"/>
      <c r="E19" s="2472" t="s">
        <v>710</v>
      </c>
      <c r="F19" s="2472"/>
      <c r="G19" s="5"/>
    </row>
    <row r="20" spans="1:7" ht="12" customHeight="1">
      <c r="A20" s="3" t="s">
        <v>711</v>
      </c>
      <c r="B20" s="2473" t="s">
        <v>712</v>
      </c>
      <c r="C20" s="2473"/>
      <c r="D20" s="2473"/>
      <c r="E20" s="2473"/>
      <c r="F20" s="2473"/>
      <c r="G20" s="5"/>
    </row>
    <row r="21" spans="1:7" ht="12" customHeight="1">
      <c r="A21" s="3"/>
      <c r="B21" s="26"/>
      <c r="C21" s="26"/>
      <c r="D21" s="26"/>
      <c r="E21" s="26"/>
      <c r="F21" s="26"/>
      <c r="G21" s="5"/>
    </row>
    <row r="22" spans="1:7" ht="12" customHeight="1">
      <c r="A22" s="50" t="s">
        <v>2172</v>
      </c>
      <c r="B22" s="26"/>
      <c r="C22" s="26"/>
      <c r="D22" s="26"/>
      <c r="E22" s="26"/>
      <c r="F22" s="26"/>
      <c r="G22" s="5"/>
    </row>
    <row r="23" spans="1:7" ht="12" customHeight="1">
      <c r="A23" s="3"/>
      <c r="B23" s="26"/>
      <c r="C23" s="26"/>
      <c r="D23" s="26"/>
      <c r="E23" s="26"/>
      <c r="F23" s="26"/>
      <c r="G23" s="5"/>
    </row>
    <row r="24" spans="1:7" ht="35.1" customHeight="1">
      <c r="A24" s="18" t="s">
        <v>1003</v>
      </c>
      <c r="B24" s="1" t="s">
        <v>1004</v>
      </c>
      <c r="C24" s="18" t="s">
        <v>1005</v>
      </c>
      <c r="D24" s="18" t="s">
        <v>1006</v>
      </c>
      <c r="E24" s="18" t="s">
        <v>1007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5.15" customHeight="1">
      <c r="A26" s="5"/>
      <c r="B26" s="13" t="s">
        <v>673</v>
      </c>
      <c r="C26" s="3" t="s">
        <v>674</v>
      </c>
      <c r="D26" s="12" t="s">
        <v>675</v>
      </c>
      <c r="E26" s="13" t="s">
        <v>718</v>
      </c>
      <c r="F26" s="5"/>
      <c r="G26" s="5"/>
    </row>
    <row r="27" spans="1:7" ht="15" customHeight="1">
      <c r="A27" s="5"/>
      <c r="B27" s="13" t="s">
        <v>816</v>
      </c>
      <c r="C27" s="3" t="s">
        <v>681</v>
      </c>
      <c r="D27" s="12" t="s">
        <v>675</v>
      </c>
      <c r="E27" s="13" t="s">
        <v>740</v>
      </c>
      <c r="F27" s="5"/>
      <c r="G27" s="5"/>
    </row>
    <row r="28" spans="1:7" ht="15" customHeight="1">
      <c r="A28" s="5"/>
      <c r="B28" s="13" t="s">
        <v>680</v>
      </c>
      <c r="C28" s="3" t="s">
        <v>681</v>
      </c>
      <c r="D28" s="12" t="s">
        <v>675</v>
      </c>
      <c r="E28" s="13" t="s">
        <v>811</v>
      </c>
      <c r="F28" s="5"/>
      <c r="G28" s="5"/>
    </row>
    <row r="29" spans="1:7" ht="15.15" customHeight="1">
      <c r="A29" s="5"/>
      <c r="B29" s="13" t="s">
        <v>683</v>
      </c>
      <c r="C29" s="3" t="s">
        <v>684</v>
      </c>
      <c r="D29" s="12" t="s">
        <v>675</v>
      </c>
      <c r="E29" s="13" t="s">
        <v>811</v>
      </c>
      <c r="F29" s="5"/>
      <c r="G29" s="5"/>
    </row>
    <row r="30" spans="1:7" ht="12" customHeight="1">
      <c r="A30" s="5"/>
      <c r="B30" s="5"/>
      <c r="C30" s="5"/>
      <c r="D30" s="5"/>
      <c r="E30" s="2474" t="s">
        <v>685</v>
      </c>
      <c r="F30" s="2474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5" customHeight="1">
      <c r="A32" s="5"/>
      <c r="B32" s="3" t="s">
        <v>1060</v>
      </c>
      <c r="C32" s="5"/>
      <c r="D32" s="12" t="s">
        <v>690</v>
      </c>
      <c r="E32" s="13" t="s">
        <v>1068</v>
      </c>
      <c r="F32" s="5"/>
      <c r="G32" s="5"/>
    </row>
    <row r="33" spans="1:7" ht="15" customHeight="1">
      <c r="A33" s="5"/>
      <c r="B33" s="3" t="s">
        <v>1062</v>
      </c>
      <c r="C33" s="5"/>
      <c r="D33" s="11" t="s">
        <v>692</v>
      </c>
      <c r="E33" s="13" t="s">
        <v>1069</v>
      </c>
      <c r="F33" s="5"/>
      <c r="G33" s="5"/>
    </row>
    <row r="34" spans="1:7" ht="12" customHeight="1">
      <c r="A34" s="5"/>
      <c r="B34" s="5"/>
      <c r="C34" s="5"/>
      <c r="D34" s="5"/>
      <c r="E34" s="2474" t="s">
        <v>702</v>
      </c>
      <c r="F34" s="2474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2474" t="s">
        <v>705</v>
      </c>
      <c r="F37" s="2474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2474" t="s">
        <v>707</v>
      </c>
      <c r="C39" s="2474"/>
      <c r="D39" s="2474"/>
      <c r="E39" s="2474"/>
      <c r="F39" s="2474"/>
      <c r="G39" s="5"/>
    </row>
    <row r="40" spans="1:7" ht="12" customHeight="1">
      <c r="A40" s="3" t="s">
        <v>708</v>
      </c>
      <c r="B40" s="2471" t="s">
        <v>876</v>
      </c>
      <c r="C40" s="2471"/>
      <c r="D40" s="2471"/>
      <c r="E40" s="2472" t="s">
        <v>710</v>
      </c>
      <c r="F40" s="2472"/>
      <c r="G40" s="5"/>
    </row>
    <row r="41" spans="1:7" ht="12.15" customHeight="1">
      <c r="A41" s="3" t="s">
        <v>711</v>
      </c>
      <c r="B41" s="2473" t="s">
        <v>712</v>
      </c>
      <c r="C41" s="2473"/>
      <c r="D41" s="2473"/>
      <c r="E41" s="2473"/>
      <c r="F41" s="2473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26"/>
  <dimension ref="A1:G41"/>
  <sheetViews>
    <sheetView workbookViewId="0">
      <selection activeCell="G41" sqref="A1:G41"/>
    </sheetView>
  </sheetViews>
  <sheetFormatPr defaultRowHeight="14.4"/>
  <cols>
    <col min="1" max="1" width="5.33203125" customWidth="1"/>
    <col min="2" max="2" width="21" customWidth="1"/>
    <col min="3" max="3" width="8.6640625" customWidth="1"/>
    <col min="4" max="4" width="11" customWidth="1"/>
    <col min="5" max="5" width="14.6640625" customWidth="1"/>
    <col min="6" max="6" width="14.44140625" customWidth="1"/>
    <col min="7" max="7" width="16.5546875" customWidth="1"/>
  </cols>
  <sheetData>
    <row r="1" spans="1:7">
      <c r="A1" s="50" t="s">
        <v>2173</v>
      </c>
    </row>
    <row r="3" spans="1:7" ht="35.1" customHeight="1">
      <c r="A3" s="18" t="s">
        <v>1003</v>
      </c>
      <c r="B3" s="1" t="s">
        <v>1004</v>
      </c>
      <c r="C3" s="18" t="s">
        <v>1005</v>
      </c>
      <c r="D3" s="18" t="s">
        <v>1006</v>
      </c>
      <c r="E3" s="18" t="s">
        <v>1007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5" customHeight="1">
      <c r="A5" s="5"/>
      <c r="B5" s="13" t="s">
        <v>673</v>
      </c>
      <c r="C5" s="3" t="s">
        <v>674</v>
      </c>
      <c r="D5" s="12" t="s">
        <v>675</v>
      </c>
      <c r="E5" s="13" t="s">
        <v>718</v>
      </c>
      <c r="F5" s="5"/>
      <c r="G5" s="5"/>
    </row>
    <row r="6" spans="1:7" ht="15.15" customHeight="1">
      <c r="A6" s="5"/>
      <c r="B6" s="13" t="s">
        <v>816</v>
      </c>
      <c r="C6" s="3" t="s">
        <v>681</v>
      </c>
      <c r="D6" s="12" t="s">
        <v>675</v>
      </c>
      <c r="E6" s="13" t="s">
        <v>740</v>
      </c>
      <c r="F6" s="5"/>
      <c r="G6" s="5"/>
    </row>
    <row r="7" spans="1:7" ht="15" customHeight="1">
      <c r="A7" s="5"/>
      <c r="B7" s="13" t="s">
        <v>680</v>
      </c>
      <c r="C7" s="3" t="s">
        <v>681</v>
      </c>
      <c r="D7" s="12" t="s">
        <v>675</v>
      </c>
      <c r="E7" s="13" t="s">
        <v>811</v>
      </c>
      <c r="F7" s="5"/>
      <c r="G7" s="5"/>
    </row>
    <row r="8" spans="1:7" ht="15.15" customHeight="1">
      <c r="A8" s="5"/>
      <c r="B8" s="13" t="s">
        <v>683</v>
      </c>
      <c r="C8" s="3" t="s">
        <v>684</v>
      </c>
      <c r="D8" s="12" t="s">
        <v>675</v>
      </c>
      <c r="E8" s="13" t="s">
        <v>811</v>
      </c>
      <c r="F8" s="5"/>
      <c r="G8" s="5"/>
    </row>
    <row r="9" spans="1:7" ht="12" customHeight="1">
      <c r="A9" s="5"/>
      <c r="B9" s="5"/>
      <c r="C9" s="5"/>
      <c r="D9" s="5"/>
      <c r="E9" s="2474" t="s">
        <v>685</v>
      </c>
      <c r="F9" s="2474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5" customHeight="1">
      <c r="A11" s="5"/>
      <c r="B11" s="3" t="s">
        <v>1060</v>
      </c>
      <c r="C11" s="5"/>
      <c r="D11" s="12" t="s">
        <v>690</v>
      </c>
      <c r="E11" s="13" t="s">
        <v>1070</v>
      </c>
      <c r="F11" s="5"/>
      <c r="G11" s="5"/>
    </row>
    <row r="12" spans="1:7" ht="15" customHeight="1">
      <c r="A12" s="5"/>
      <c r="B12" s="3" t="s">
        <v>1062</v>
      </c>
      <c r="C12" s="5"/>
      <c r="D12" s="11" t="s">
        <v>692</v>
      </c>
      <c r="E12" s="13" t="s">
        <v>839</v>
      </c>
      <c r="F12" s="5"/>
      <c r="G12" s="5"/>
    </row>
    <row r="13" spans="1:7" ht="12" customHeight="1">
      <c r="A13" s="5"/>
      <c r="B13" s="5"/>
      <c r="C13" s="5"/>
      <c r="D13" s="5"/>
      <c r="E13" s="2474" t="s">
        <v>702</v>
      </c>
      <c r="F13" s="2474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2474" t="s">
        <v>705</v>
      </c>
      <c r="F16" s="2474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2474" t="s">
        <v>707</v>
      </c>
      <c r="C18" s="2474"/>
      <c r="D18" s="2474"/>
      <c r="E18" s="2474"/>
      <c r="F18" s="2474"/>
      <c r="G18" s="5"/>
    </row>
    <row r="19" spans="1:7" ht="12" customHeight="1">
      <c r="A19" s="3" t="s">
        <v>708</v>
      </c>
      <c r="B19" s="2471" t="s">
        <v>876</v>
      </c>
      <c r="C19" s="2471"/>
      <c r="D19" s="2471"/>
      <c r="E19" s="2472" t="s">
        <v>710</v>
      </c>
      <c r="F19" s="2472"/>
      <c r="G19" s="5"/>
    </row>
    <row r="20" spans="1:7" ht="12" customHeight="1">
      <c r="A20" s="3" t="s">
        <v>711</v>
      </c>
      <c r="B20" s="2473" t="s">
        <v>712</v>
      </c>
      <c r="C20" s="2473"/>
      <c r="D20" s="2473"/>
      <c r="E20" s="2473"/>
      <c r="F20" s="2473"/>
      <c r="G20" s="5"/>
    </row>
    <row r="21" spans="1:7" ht="12" customHeight="1">
      <c r="A21" s="3"/>
      <c r="B21" s="26"/>
      <c r="C21" s="26"/>
      <c r="D21" s="26"/>
      <c r="E21" s="26"/>
      <c r="F21" s="26"/>
      <c r="G21" s="5"/>
    </row>
    <row r="22" spans="1:7" ht="12" customHeight="1">
      <c r="A22" s="50" t="s">
        <v>2174</v>
      </c>
      <c r="B22" s="26"/>
      <c r="C22" s="26"/>
      <c r="D22" s="26"/>
      <c r="E22" s="26"/>
      <c r="F22" s="26"/>
      <c r="G22" s="5"/>
    </row>
    <row r="23" spans="1:7" ht="12" customHeight="1">
      <c r="A23" s="3"/>
      <c r="B23" s="26"/>
      <c r="C23" s="26"/>
      <c r="D23" s="26"/>
      <c r="E23" s="26"/>
      <c r="F23" s="26"/>
      <c r="G23" s="5"/>
    </row>
    <row r="24" spans="1:7" ht="35.1" customHeight="1">
      <c r="A24" s="18" t="s">
        <v>1003</v>
      </c>
      <c r="B24" s="1" t="s">
        <v>1004</v>
      </c>
      <c r="C24" s="18" t="s">
        <v>1005</v>
      </c>
      <c r="D24" s="18" t="s">
        <v>1006</v>
      </c>
      <c r="E24" s="18" t="s">
        <v>1007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5" customHeight="1">
      <c r="A26" s="5"/>
      <c r="B26" s="13" t="s">
        <v>673</v>
      </c>
      <c r="C26" s="3" t="s">
        <v>674</v>
      </c>
      <c r="D26" s="12" t="s">
        <v>675</v>
      </c>
      <c r="E26" s="13" t="s">
        <v>718</v>
      </c>
      <c r="F26" s="5"/>
      <c r="G26" s="5"/>
    </row>
    <row r="27" spans="1:7" ht="15" customHeight="1">
      <c r="A27" s="5"/>
      <c r="B27" s="13" t="s">
        <v>816</v>
      </c>
      <c r="C27" s="3" t="s">
        <v>681</v>
      </c>
      <c r="D27" s="12" t="s">
        <v>675</v>
      </c>
      <c r="E27" s="13" t="s">
        <v>740</v>
      </c>
      <c r="F27" s="5"/>
      <c r="G27" s="5"/>
    </row>
    <row r="28" spans="1:7" ht="15.15" customHeight="1">
      <c r="A28" s="5"/>
      <c r="B28" s="13" t="s">
        <v>680</v>
      </c>
      <c r="C28" s="3" t="s">
        <v>681</v>
      </c>
      <c r="D28" s="12" t="s">
        <v>675</v>
      </c>
      <c r="E28" s="13" t="s">
        <v>811</v>
      </c>
      <c r="F28" s="5"/>
      <c r="G28" s="5"/>
    </row>
    <row r="29" spans="1:7" ht="15" customHeight="1">
      <c r="A29" s="5"/>
      <c r="B29" s="13" t="s">
        <v>683</v>
      </c>
      <c r="C29" s="3" t="s">
        <v>684</v>
      </c>
      <c r="D29" s="12" t="s">
        <v>675</v>
      </c>
      <c r="E29" s="13" t="s">
        <v>811</v>
      </c>
      <c r="F29" s="5"/>
      <c r="G29" s="5"/>
    </row>
    <row r="30" spans="1:7" ht="12" customHeight="1">
      <c r="A30" s="5"/>
      <c r="B30" s="5"/>
      <c r="C30" s="5"/>
      <c r="D30" s="5"/>
      <c r="E30" s="2474" t="s">
        <v>685</v>
      </c>
      <c r="F30" s="2474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5" customHeight="1">
      <c r="A32" s="5"/>
      <c r="B32" s="3" t="s">
        <v>1060</v>
      </c>
      <c r="C32" s="5"/>
      <c r="D32" s="12" t="s">
        <v>690</v>
      </c>
      <c r="E32" s="13" t="s">
        <v>1071</v>
      </c>
      <c r="F32" s="5"/>
      <c r="G32" s="5"/>
    </row>
    <row r="33" spans="1:7" ht="15.15" customHeight="1">
      <c r="A33" s="5"/>
      <c r="B33" s="3" t="s">
        <v>1062</v>
      </c>
      <c r="C33" s="5"/>
      <c r="D33" s="11" t="s">
        <v>692</v>
      </c>
      <c r="E33" s="13" t="s">
        <v>1072</v>
      </c>
      <c r="F33" s="5"/>
      <c r="G33" s="5"/>
    </row>
    <row r="34" spans="1:7" ht="12" customHeight="1">
      <c r="A34" s="5"/>
      <c r="B34" s="5"/>
      <c r="C34" s="5"/>
      <c r="D34" s="5"/>
      <c r="E34" s="2474" t="s">
        <v>702</v>
      </c>
      <c r="F34" s="2474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2474" t="s">
        <v>705</v>
      </c>
      <c r="F37" s="2474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2474" t="s">
        <v>707</v>
      </c>
      <c r="C39" s="2474"/>
      <c r="D39" s="2474"/>
      <c r="E39" s="2474"/>
      <c r="F39" s="2474"/>
      <c r="G39" s="5"/>
    </row>
    <row r="40" spans="1:7" ht="12" customHeight="1">
      <c r="A40" s="3" t="s">
        <v>708</v>
      </c>
      <c r="B40" s="2471" t="s">
        <v>876</v>
      </c>
      <c r="C40" s="2471"/>
      <c r="D40" s="2471"/>
      <c r="E40" s="2472" t="s">
        <v>710</v>
      </c>
      <c r="F40" s="2472"/>
      <c r="G40" s="5"/>
    </row>
    <row r="41" spans="1:7" ht="12" customHeight="1">
      <c r="A41" s="3" t="s">
        <v>711</v>
      </c>
      <c r="B41" s="2473" t="s">
        <v>712</v>
      </c>
      <c r="C41" s="2473"/>
      <c r="D41" s="2473"/>
      <c r="E41" s="2473"/>
      <c r="F41" s="2473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27"/>
  <dimension ref="A1:G43"/>
  <sheetViews>
    <sheetView workbookViewId="0">
      <selection activeCell="G43" sqref="A1:G43"/>
    </sheetView>
  </sheetViews>
  <sheetFormatPr defaultRowHeight="14.4"/>
  <cols>
    <col min="1" max="1" width="5.33203125" customWidth="1"/>
    <col min="2" max="2" width="21" customWidth="1"/>
    <col min="3" max="3" width="8.6640625" customWidth="1"/>
    <col min="4" max="4" width="11" customWidth="1"/>
    <col min="5" max="5" width="14.6640625" customWidth="1"/>
    <col min="6" max="6" width="14.44140625" customWidth="1"/>
    <col min="7" max="7" width="16.5546875" customWidth="1"/>
  </cols>
  <sheetData>
    <row r="1" spans="1:7">
      <c r="A1" s="50" t="s">
        <v>2175</v>
      </c>
    </row>
    <row r="3" spans="1:7" ht="35.1" customHeight="1">
      <c r="A3" s="18" t="s">
        <v>1003</v>
      </c>
      <c r="B3" s="1" t="s">
        <v>1004</v>
      </c>
      <c r="C3" s="18" t="s">
        <v>1005</v>
      </c>
      <c r="D3" s="18" t="s">
        <v>1006</v>
      </c>
      <c r="E3" s="18" t="s">
        <v>1007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5" customHeight="1">
      <c r="A5" s="5"/>
      <c r="B5" s="13" t="s">
        <v>673</v>
      </c>
      <c r="C5" s="3" t="s">
        <v>674</v>
      </c>
      <c r="D5" s="12" t="s">
        <v>675</v>
      </c>
      <c r="E5" s="13" t="s">
        <v>1073</v>
      </c>
      <c r="F5" s="5"/>
      <c r="G5" s="5"/>
    </row>
    <row r="6" spans="1:7" ht="15.15" customHeight="1">
      <c r="A6" s="5"/>
      <c r="B6" s="13" t="s">
        <v>816</v>
      </c>
      <c r="C6" s="3" t="s">
        <v>681</v>
      </c>
      <c r="D6" s="12" t="s">
        <v>675</v>
      </c>
      <c r="E6" s="13" t="s">
        <v>889</v>
      </c>
      <c r="F6" s="5"/>
      <c r="G6" s="5"/>
    </row>
    <row r="7" spans="1:7" ht="15" customHeight="1">
      <c r="A7" s="5"/>
      <c r="B7" s="13" t="s">
        <v>680</v>
      </c>
      <c r="C7" s="3" t="s">
        <v>681</v>
      </c>
      <c r="D7" s="12" t="s">
        <v>675</v>
      </c>
      <c r="E7" s="13" t="s">
        <v>788</v>
      </c>
      <c r="F7" s="5"/>
      <c r="G7" s="5"/>
    </row>
    <row r="8" spans="1:7" ht="15.15" customHeight="1">
      <c r="A8" s="5"/>
      <c r="B8" s="13" t="s">
        <v>683</v>
      </c>
      <c r="C8" s="3" t="s">
        <v>684</v>
      </c>
      <c r="D8" s="12" t="s">
        <v>675</v>
      </c>
      <c r="E8" s="13" t="s">
        <v>865</v>
      </c>
      <c r="F8" s="5"/>
      <c r="G8" s="5"/>
    </row>
    <row r="9" spans="1:7" ht="12" customHeight="1">
      <c r="A9" s="5"/>
      <c r="B9" s="5"/>
      <c r="C9" s="5"/>
      <c r="D9" s="5"/>
      <c r="E9" s="2474" t="s">
        <v>685</v>
      </c>
      <c r="F9" s="2474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5" customHeight="1">
      <c r="A11" s="5"/>
      <c r="B11" s="3" t="s">
        <v>1060</v>
      </c>
      <c r="C11" s="5"/>
      <c r="D11" s="12" t="s">
        <v>690</v>
      </c>
      <c r="E11" s="13" t="s">
        <v>1074</v>
      </c>
      <c r="F11" s="5"/>
      <c r="G11" s="5"/>
    </row>
    <row r="12" spans="1:7" ht="15" customHeight="1">
      <c r="A12" s="5"/>
      <c r="B12" s="3" t="s">
        <v>1075</v>
      </c>
      <c r="C12" s="5"/>
      <c r="D12" s="11" t="s">
        <v>692</v>
      </c>
      <c r="E12" s="13" t="s">
        <v>852</v>
      </c>
      <c r="F12" s="5"/>
      <c r="G12" s="5"/>
    </row>
    <row r="13" spans="1:7" ht="15.15" customHeight="1">
      <c r="A13" s="5"/>
      <c r="B13" s="3" t="s">
        <v>1076</v>
      </c>
      <c r="C13" s="5"/>
      <c r="D13" s="11" t="s">
        <v>692</v>
      </c>
      <c r="E13" s="13" t="s">
        <v>901</v>
      </c>
      <c r="F13" s="5"/>
      <c r="G13" s="5"/>
    </row>
    <row r="14" spans="1:7" ht="12" customHeight="1">
      <c r="A14" s="5"/>
      <c r="B14" s="5"/>
      <c r="C14" s="5"/>
      <c r="D14" s="5"/>
      <c r="E14" s="2474" t="s">
        <v>702</v>
      </c>
      <c r="F14" s="2474"/>
      <c r="G14" s="5"/>
    </row>
    <row r="15" spans="1:7" ht="12" customHeight="1">
      <c r="A15" s="3" t="s">
        <v>703</v>
      </c>
      <c r="B15" s="3" t="s">
        <v>704</v>
      </c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2474" t="s">
        <v>705</v>
      </c>
      <c r="F17" s="2474"/>
      <c r="G17" s="5"/>
    </row>
    <row r="18" spans="1:7" ht="12" customHeight="1">
      <c r="A18" s="5"/>
      <c r="B18" s="5"/>
      <c r="C18" s="5"/>
      <c r="D18" s="5"/>
      <c r="E18" s="5"/>
      <c r="F18" s="5"/>
      <c r="G18" s="5"/>
    </row>
    <row r="19" spans="1:7" ht="12" customHeight="1">
      <c r="A19" s="3" t="s">
        <v>706</v>
      </c>
      <c r="B19" s="2474" t="s">
        <v>707</v>
      </c>
      <c r="C19" s="2474"/>
      <c r="D19" s="2474"/>
      <c r="E19" s="2474"/>
      <c r="F19" s="2474"/>
      <c r="G19" s="5"/>
    </row>
    <row r="20" spans="1:7" ht="12" customHeight="1">
      <c r="A20" s="3" t="s">
        <v>708</v>
      </c>
      <c r="B20" s="2471" t="s">
        <v>876</v>
      </c>
      <c r="C20" s="2471"/>
      <c r="D20" s="2471"/>
      <c r="E20" s="2472" t="s">
        <v>710</v>
      </c>
      <c r="F20" s="2472"/>
      <c r="G20" s="5"/>
    </row>
    <row r="21" spans="1:7" ht="12" customHeight="1">
      <c r="A21" s="3" t="s">
        <v>711</v>
      </c>
      <c r="B21" s="2473" t="s">
        <v>712</v>
      </c>
      <c r="C21" s="2473"/>
      <c r="D21" s="2473"/>
      <c r="E21" s="2473"/>
      <c r="F21" s="2473"/>
      <c r="G21" s="5"/>
    </row>
    <row r="22" spans="1:7" ht="12" customHeight="1">
      <c r="A22" s="3"/>
      <c r="B22" s="26"/>
      <c r="C22" s="26"/>
      <c r="D22" s="26"/>
      <c r="E22" s="26"/>
      <c r="F22" s="26"/>
      <c r="G22" s="5"/>
    </row>
    <row r="23" spans="1:7" ht="12" customHeight="1">
      <c r="A23" s="50" t="s">
        <v>2176</v>
      </c>
      <c r="B23" s="26"/>
      <c r="C23" s="26"/>
      <c r="D23" s="26"/>
      <c r="E23" s="26"/>
      <c r="F23" s="26"/>
      <c r="G23" s="5"/>
    </row>
    <row r="24" spans="1:7" ht="12" customHeight="1">
      <c r="A24" s="3"/>
      <c r="B24" s="26"/>
      <c r="C24" s="26"/>
      <c r="D24" s="26"/>
      <c r="E24" s="26"/>
      <c r="F24" s="26"/>
      <c r="G24" s="5"/>
    </row>
    <row r="25" spans="1:7" ht="35.1" customHeight="1">
      <c r="A25" s="18" t="s">
        <v>1003</v>
      </c>
      <c r="B25" s="1" t="s">
        <v>1004</v>
      </c>
      <c r="C25" s="18" t="s">
        <v>1005</v>
      </c>
      <c r="D25" s="18" t="s">
        <v>1006</v>
      </c>
      <c r="E25" s="18" t="s">
        <v>1007</v>
      </c>
      <c r="F25" s="7" t="s">
        <v>767</v>
      </c>
      <c r="G25" s="7" t="s">
        <v>768</v>
      </c>
    </row>
    <row r="26" spans="1:7" ht="12" customHeight="1">
      <c r="A26" s="3" t="s">
        <v>671</v>
      </c>
      <c r="B26" s="3" t="s">
        <v>672</v>
      </c>
      <c r="C26" s="5"/>
      <c r="D26" s="5"/>
      <c r="E26" s="5"/>
      <c r="F26" s="5"/>
      <c r="G26" s="5"/>
    </row>
    <row r="27" spans="1:7" ht="15" customHeight="1">
      <c r="A27" s="5"/>
      <c r="B27" s="13" t="s">
        <v>673</v>
      </c>
      <c r="C27" s="3" t="s">
        <v>674</v>
      </c>
      <c r="D27" s="12" t="s">
        <v>675</v>
      </c>
      <c r="E27" s="13" t="s">
        <v>1073</v>
      </c>
      <c r="F27" s="5"/>
      <c r="G27" s="5"/>
    </row>
    <row r="28" spans="1:7" ht="15.15" customHeight="1">
      <c r="A28" s="5"/>
      <c r="B28" s="13" t="s">
        <v>816</v>
      </c>
      <c r="C28" s="3" t="s">
        <v>681</v>
      </c>
      <c r="D28" s="12" t="s">
        <v>675</v>
      </c>
      <c r="E28" s="13" t="s">
        <v>889</v>
      </c>
      <c r="F28" s="5"/>
      <c r="G28" s="5"/>
    </row>
    <row r="29" spans="1:7" ht="15" customHeight="1">
      <c r="A29" s="5"/>
      <c r="B29" s="13" t="s">
        <v>680</v>
      </c>
      <c r="C29" s="3" t="s">
        <v>681</v>
      </c>
      <c r="D29" s="12" t="s">
        <v>675</v>
      </c>
      <c r="E29" s="13" t="s">
        <v>788</v>
      </c>
      <c r="F29" s="5"/>
      <c r="G29" s="5"/>
    </row>
    <row r="30" spans="1:7" ht="15" customHeight="1">
      <c r="A30" s="5"/>
      <c r="B30" s="13" t="s">
        <v>683</v>
      </c>
      <c r="C30" s="3" t="s">
        <v>684</v>
      </c>
      <c r="D30" s="12" t="s">
        <v>675</v>
      </c>
      <c r="E30" s="13" t="s">
        <v>865</v>
      </c>
      <c r="F30" s="5"/>
      <c r="G30" s="5"/>
    </row>
    <row r="31" spans="1:7" ht="12" customHeight="1">
      <c r="A31" s="5"/>
      <c r="B31" s="5"/>
      <c r="C31" s="5"/>
      <c r="D31" s="5"/>
      <c r="E31" s="2474" t="s">
        <v>685</v>
      </c>
      <c r="F31" s="2474"/>
      <c r="G31" s="5"/>
    </row>
    <row r="32" spans="1:7" ht="12" customHeight="1">
      <c r="A32" s="3" t="s">
        <v>686</v>
      </c>
      <c r="B32" s="3" t="s">
        <v>687</v>
      </c>
      <c r="C32" s="5"/>
      <c r="D32" s="5"/>
      <c r="E32" s="5"/>
      <c r="F32" s="5"/>
      <c r="G32" s="5"/>
    </row>
    <row r="33" spans="1:7" ht="15.15" customHeight="1">
      <c r="A33" s="5"/>
      <c r="B33" s="3" t="s">
        <v>1060</v>
      </c>
      <c r="C33" s="5"/>
      <c r="D33" s="12" t="s">
        <v>690</v>
      </c>
      <c r="E33" s="13" t="s">
        <v>879</v>
      </c>
      <c r="F33" s="5"/>
      <c r="G33" s="5"/>
    </row>
    <row r="34" spans="1:7" ht="15" customHeight="1">
      <c r="A34" s="5"/>
      <c r="B34" s="3" t="s">
        <v>1075</v>
      </c>
      <c r="C34" s="5"/>
      <c r="D34" s="11" t="s">
        <v>692</v>
      </c>
      <c r="E34" s="13" t="s">
        <v>693</v>
      </c>
      <c r="F34" s="5"/>
      <c r="G34" s="5"/>
    </row>
    <row r="35" spans="1:7" ht="15.15" customHeight="1">
      <c r="A35" s="5"/>
      <c r="B35" s="3" t="s">
        <v>1076</v>
      </c>
      <c r="C35" s="5"/>
      <c r="D35" s="11" t="s">
        <v>692</v>
      </c>
      <c r="E35" s="13" t="s">
        <v>682</v>
      </c>
      <c r="F35" s="5"/>
      <c r="G35" s="5"/>
    </row>
    <row r="36" spans="1:7" ht="12" customHeight="1">
      <c r="A36" s="5"/>
      <c r="B36" s="5"/>
      <c r="C36" s="5"/>
      <c r="D36" s="5"/>
      <c r="E36" s="2474" t="s">
        <v>702</v>
      </c>
      <c r="F36" s="2474"/>
      <c r="G36" s="5"/>
    </row>
    <row r="37" spans="1:7" ht="12" customHeight="1">
      <c r="A37" s="3" t="s">
        <v>703</v>
      </c>
      <c r="B37" s="3" t="s">
        <v>704</v>
      </c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5"/>
      <c r="B39" s="5"/>
      <c r="C39" s="5"/>
      <c r="D39" s="5"/>
      <c r="E39" s="2474" t="s">
        <v>705</v>
      </c>
      <c r="F39" s="2474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3" t="s">
        <v>706</v>
      </c>
      <c r="B41" s="2474" t="s">
        <v>707</v>
      </c>
      <c r="C41" s="2474"/>
      <c r="D41" s="2474"/>
      <c r="E41" s="2474"/>
      <c r="F41" s="2474"/>
      <c r="G41" s="5"/>
    </row>
    <row r="42" spans="1:7" ht="12" customHeight="1">
      <c r="A42" s="3" t="s">
        <v>708</v>
      </c>
      <c r="B42" s="2471" t="s">
        <v>876</v>
      </c>
      <c r="C42" s="2471"/>
      <c r="D42" s="2471"/>
      <c r="E42" s="2472" t="s">
        <v>710</v>
      </c>
      <c r="F42" s="2472"/>
      <c r="G42" s="5"/>
    </row>
    <row r="43" spans="1:7" ht="12" customHeight="1">
      <c r="A43" s="3" t="s">
        <v>711</v>
      </c>
      <c r="B43" s="2473" t="s">
        <v>712</v>
      </c>
      <c r="C43" s="2473"/>
      <c r="D43" s="2473"/>
      <c r="E43" s="2473"/>
      <c r="F43" s="2473"/>
      <c r="G43" s="5"/>
    </row>
  </sheetData>
  <mergeCells count="14">
    <mergeCell ref="E9:F9"/>
    <mergeCell ref="E14:F14"/>
    <mergeCell ref="E17:F17"/>
    <mergeCell ref="B19:F19"/>
    <mergeCell ref="B20:D20"/>
    <mergeCell ref="E20:F20"/>
    <mergeCell ref="B42:D42"/>
    <mergeCell ref="E42:F42"/>
    <mergeCell ref="B43:F43"/>
    <mergeCell ref="B21:F21"/>
    <mergeCell ref="E31:F31"/>
    <mergeCell ref="E36:F36"/>
    <mergeCell ref="E39:F39"/>
    <mergeCell ref="B41:F41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28"/>
  <dimension ref="A1:G43"/>
  <sheetViews>
    <sheetView workbookViewId="0">
      <selection activeCell="G43" sqref="A1:G43"/>
    </sheetView>
  </sheetViews>
  <sheetFormatPr defaultRowHeight="14.4"/>
  <cols>
    <col min="1" max="1" width="5.33203125" customWidth="1"/>
    <col min="2" max="2" width="21" customWidth="1"/>
    <col min="3" max="3" width="8.6640625" customWidth="1"/>
    <col min="4" max="4" width="11.33203125" customWidth="1"/>
    <col min="5" max="6" width="14.44140625" customWidth="1"/>
    <col min="7" max="7" width="16.5546875" customWidth="1"/>
  </cols>
  <sheetData>
    <row r="1" spans="1:7">
      <c r="A1" s="50" t="s">
        <v>2177</v>
      </c>
    </row>
    <row r="3" spans="1:7" ht="35.1" customHeight="1">
      <c r="A3" s="18" t="s">
        <v>1003</v>
      </c>
      <c r="B3" s="1" t="s">
        <v>1004</v>
      </c>
      <c r="C3" s="18" t="s">
        <v>1005</v>
      </c>
      <c r="D3" s="18" t="s">
        <v>1006</v>
      </c>
      <c r="E3" s="18" t="s">
        <v>1007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5" customHeight="1">
      <c r="A5" s="5"/>
      <c r="B5" s="13" t="s">
        <v>673</v>
      </c>
      <c r="C5" s="3" t="s">
        <v>674</v>
      </c>
      <c r="D5" s="12" t="s">
        <v>675</v>
      </c>
      <c r="E5" s="13" t="s">
        <v>1073</v>
      </c>
      <c r="F5" s="5"/>
      <c r="G5" s="5"/>
    </row>
    <row r="6" spans="1:7" ht="15.15" customHeight="1">
      <c r="A6" s="5"/>
      <c r="B6" s="13" t="s">
        <v>816</v>
      </c>
      <c r="C6" s="3" t="s">
        <v>681</v>
      </c>
      <c r="D6" s="12" t="s">
        <v>675</v>
      </c>
      <c r="E6" s="13" t="s">
        <v>889</v>
      </c>
      <c r="F6" s="5"/>
      <c r="G6" s="5"/>
    </row>
    <row r="7" spans="1:7" ht="15" customHeight="1">
      <c r="A7" s="5"/>
      <c r="B7" s="13" t="s">
        <v>680</v>
      </c>
      <c r="C7" s="3" t="s">
        <v>681</v>
      </c>
      <c r="D7" s="12" t="s">
        <v>675</v>
      </c>
      <c r="E7" s="13" t="s">
        <v>788</v>
      </c>
      <c r="F7" s="5"/>
      <c r="G7" s="5"/>
    </row>
    <row r="8" spans="1:7" ht="15.15" customHeight="1">
      <c r="A8" s="5"/>
      <c r="B8" s="13" t="s">
        <v>683</v>
      </c>
      <c r="C8" s="3" t="s">
        <v>684</v>
      </c>
      <c r="D8" s="12" t="s">
        <v>675</v>
      </c>
      <c r="E8" s="13" t="s">
        <v>865</v>
      </c>
      <c r="F8" s="5"/>
      <c r="G8" s="5"/>
    </row>
    <row r="9" spans="1:7" ht="12" customHeight="1">
      <c r="A9" s="5"/>
      <c r="B9" s="5"/>
      <c r="C9" s="5"/>
      <c r="D9" s="5"/>
      <c r="E9" s="2474" t="s">
        <v>685</v>
      </c>
      <c r="F9" s="2474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5" customHeight="1">
      <c r="A11" s="5"/>
      <c r="B11" s="3" t="s">
        <v>1077</v>
      </c>
      <c r="C11" s="5"/>
      <c r="D11" s="11" t="s">
        <v>692</v>
      </c>
      <c r="E11" s="13" t="s">
        <v>695</v>
      </c>
      <c r="F11" s="5"/>
      <c r="G11" s="5"/>
    </row>
    <row r="12" spans="1:7" ht="15" customHeight="1">
      <c r="A12" s="5"/>
      <c r="B12" s="3" t="s">
        <v>1075</v>
      </c>
      <c r="C12" s="5"/>
      <c r="D12" s="11" t="s">
        <v>692</v>
      </c>
      <c r="E12" s="13" t="s">
        <v>695</v>
      </c>
      <c r="F12" s="5"/>
      <c r="G12" s="5"/>
    </row>
    <row r="13" spans="1:7" ht="15.15" customHeight="1">
      <c r="A13" s="5"/>
      <c r="B13" s="3" t="s">
        <v>1076</v>
      </c>
      <c r="C13" s="5"/>
      <c r="D13" s="11" t="s">
        <v>692</v>
      </c>
      <c r="E13" s="13" t="s">
        <v>695</v>
      </c>
      <c r="F13" s="5"/>
      <c r="G13" s="5"/>
    </row>
    <row r="14" spans="1:7" ht="12" customHeight="1">
      <c r="A14" s="5"/>
      <c r="B14" s="5"/>
      <c r="C14" s="5"/>
      <c r="D14" s="5"/>
      <c r="E14" s="2474" t="s">
        <v>702</v>
      </c>
      <c r="F14" s="2474"/>
      <c r="G14" s="5"/>
    </row>
    <row r="15" spans="1:7" ht="12" customHeight="1">
      <c r="A15" s="3" t="s">
        <v>703</v>
      </c>
      <c r="B15" s="3" t="s">
        <v>704</v>
      </c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2474" t="s">
        <v>705</v>
      </c>
      <c r="F17" s="2474"/>
      <c r="G17" s="5"/>
    </row>
    <row r="18" spans="1:7" ht="12" customHeight="1">
      <c r="A18" s="5"/>
      <c r="B18" s="5"/>
      <c r="C18" s="5"/>
      <c r="D18" s="5"/>
      <c r="E18" s="5"/>
      <c r="F18" s="5"/>
      <c r="G18" s="5"/>
    </row>
    <row r="19" spans="1:7" ht="12" customHeight="1">
      <c r="A19" s="3" t="s">
        <v>706</v>
      </c>
      <c r="B19" s="2474" t="s">
        <v>707</v>
      </c>
      <c r="C19" s="2474"/>
      <c r="D19" s="2474"/>
      <c r="E19" s="2474"/>
      <c r="F19" s="2474"/>
      <c r="G19" s="5"/>
    </row>
    <row r="20" spans="1:7" ht="12" customHeight="1">
      <c r="A20" s="3" t="s">
        <v>708</v>
      </c>
      <c r="B20" s="2471" t="s">
        <v>876</v>
      </c>
      <c r="C20" s="2471"/>
      <c r="D20" s="2471"/>
      <c r="E20" s="2472" t="s">
        <v>710</v>
      </c>
      <c r="F20" s="2472"/>
      <c r="G20" s="5"/>
    </row>
    <row r="21" spans="1:7" ht="12" customHeight="1">
      <c r="A21" s="3" t="s">
        <v>711</v>
      </c>
      <c r="B21" s="2473" t="s">
        <v>712</v>
      </c>
      <c r="C21" s="2473"/>
      <c r="D21" s="2473"/>
      <c r="E21" s="2473"/>
      <c r="F21" s="2473"/>
      <c r="G21" s="5"/>
    </row>
    <row r="22" spans="1:7" ht="12" customHeight="1">
      <c r="A22" s="3"/>
      <c r="B22" s="26"/>
      <c r="C22" s="26"/>
      <c r="D22" s="26"/>
      <c r="E22" s="26"/>
      <c r="F22" s="26"/>
      <c r="G22" s="5"/>
    </row>
    <row r="23" spans="1:7" ht="12" customHeight="1">
      <c r="A23" s="50" t="s">
        <v>2178</v>
      </c>
      <c r="B23" s="26"/>
      <c r="C23" s="26"/>
      <c r="D23" s="26"/>
      <c r="E23" s="26"/>
      <c r="F23" s="26"/>
      <c r="G23" s="5"/>
    </row>
    <row r="24" spans="1:7" ht="12" customHeight="1">
      <c r="A24" s="3"/>
      <c r="B24" s="26"/>
      <c r="C24" s="26"/>
      <c r="D24" s="26"/>
      <c r="E24" s="26"/>
      <c r="F24" s="26"/>
      <c r="G24" s="5"/>
    </row>
    <row r="25" spans="1:7" ht="34.950000000000003" customHeight="1">
      <c r="A25" s="18" t="s">
        <v>1003</v>
      </c>
      <c r="B25" s="1" t="s">
        <v>1004</v>
      </c>
      <c r="C25" s="18" t="s">
        <v>1005</v>
      </c>
      <c r="D25" s="18" t="s">
        <v>1006</v>
      </c>
      <c r="E25" s="18" t="s">
        <v>1007</v>
      </c>
      <c r="F25" s="7" t="s">
        <v>767</v>
      </c>
      <c r="G25" s="7" t="s">
        <v>768</v>
      </c>
    </row>
    <row r="26" spans="1:7" ht="12" customHeight="1">
      <c r="A26" s="3" t="s">
        <v>671</v>
      </c>
      <c r="B26" s="3" t="s">
        <v>672</v>
      </c>
      <c r="C26" s="5"/>
      <c r="D26" s="5"/>
      <c r="E26" s="5"/>
      <c r="F26" s="5"/>
      <c r="G26" s="5"/>
    </row>
    <row r="27" spans="1:7" ht="15.15" customHeight="1">
      <c r="A27" s="5"/>
      <c r="B27" s="13" t="s">
        <v>673</v>
      </c>
      <c r="C27" s="3" t="s">
        <v>674</v>
      </c>
      <c r="D27" s="12" t="s">
        <v>675</v>
      </c>
      <c r="E27" s="13" t="s">
        <v>1073</v>
      </c>
      <c r="F27" s="5"/>
      <c r="G27" s="5"/>
    </row>
    <row r="28" spans="1:7" ht="15" customHeight="1">
      <c r="A28" s="5"/>
      <c r="B28" s="13" t="s">
        <v>816</v>
      </c>
      <c r="C28" s="3" t="s">
        <v>681</v>
      </c>
      <c r="D28" s="12" t="s">
        <v>675</v>
      </c>
      <c r="E28" s="13" t="s">
        <v>889</v>
      </c>
      <c r="F28" s="5"/>
      <c r="G28" s="5"/>
    </row>
    <row r="29" spans="1:7" ht="15.15" customHeight="1">
      <c r="A29" s="5"/>
      <c r="B29" s="13" t="s">
        <v>680</v>
      </c>
      <c r="C29" s="3" t="s">
        <v>681</v>
      </c>
      <c r="D29" s="12" t="s">
        <v>675</v>
      </c>
      <c r="E29" s="13" t="s">
        <v>788</v>
      </c>
      <c r="F29" s="5"/>
      <c r="G29" s="5"/>
    </row>
    <row r="30" spans="1:7" ht="15" customHeight="1">
      <c r="A30" s="5"/>
      <c r="B30" s="13" t="s">
        <v>683</v>
      </c>
      <c r="C30" s="3" t="s">
        <v>684</v>
      </c>
      <c r="D30" s="12" t="s">
        <v>675</v>
      </c>
      <c r="E30" s="13" t="s">
        <v>865</v>
      </c>
      <c r="F30" s="5"/>
      <c r="G30" s="5"/>
    </row>
    <row r="31" spans="1:7" ht="12" customHeight="1">
      <c r="A31" s="5"/>
      <c r="B31" s="5"/>
      <c r="C31" s="5"/>
      <c r="D31" s="5"/>
      <c r="E31" s="2474" t="s">
        <v>685</v>
      </c>
      <c r="F31" s="2474"/>
      <c r="G31" s="5"/>
    </row>
    <row r="32" spans="1:7" ht="12" customHeight="1">
      <c r="A32" s="3" t="s">
        <v>686</v>
      </c>
      <c r="B32" s="3" t="s">
        <v>687</v>
      </c>
      <c r="C32" s="5"/>
      <c r="D32" s="5"/>
      <c r="E32" s="5"/>
      <c r="F32" s="5"/>
      <c r="G32" s="5"/>
    </row>
    <row r="33" spans="1:7" ht="15" customHeight="1">
      <c r="A33" s="5"/>
      <c r="B33" s="3" t="s">
        <v>1077</v>
      </c>
      <c r="C33" s="5"/>
      <c r="D33" s="11" t="s">
        <v>692</v>
      </c>
      <c r="E33" s="13" t="s">
        <v>730</v>
      </c>
      <c r="F33" s="5"/>
      <c r="G33" s="5"/>
    </row>
    <row r="34" spans="1:7" ht="15.15" customHeight="1">
      <c r="A34" s="5"/>
      <c r="B34" s="3" t="s">
        <v>1075</v>
      </c>
      <c r="C34" s="5"/>
      <c r="D34" s="11" t="s">
        <v>692</v>
      </c>
      <c r="E34" s="13" t="s">
        <v>730</v>
      </c>
      <c r="F34" s="5"/>
      <c r="G34" s="5"/>
    </row>
    <row r="35" spans="1:7" ht="15" customHeight="1">
      <c r="A35" s="5"/>
      <c r="B35" s="3" t="s">
        <v>1076</v>
      </c>
      <c r="C35" s="5"/>
      <c r="D35" s="11" t="s">
        <v>692</v>
      </c>
      <c r="E35" s="13" t="s">
        <v>811</v>
      </c>
      <c r="F35" s="5"/>
      <c r="G35" s="5"/>
    </row>
    <row r="36" spans="1:7" ht="12" customHeight="1">
      <c r="A36" s="5"/>
      <c r="B36" s="5"/>
      <c r="C36" s="5"/>
      <c r="D36" s="5"/>
      <c r="E36" s="2474" t="s">
        <v>702</v>
      </c>
      <c r="F36" s="2474"/>
      <c r="G36" s="5"/>
    </row>
    <row r="37" spans="1:7" ht="12" customHeight="1">
      <c r="A37" s="3" t="s">
        <v>703</v>
      </c>
      <c r="B37" s="3" t="s">
        <v>704</v>
      </c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5"/>
      <c r="B39" s="5"/>
      <c r="C39" s="5"/>
      <c r="D39" s="5"/>
      <c r="E39" s="2474" t="s">
        <v>705</v>
      </c>
      <c r="F39" s="2474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3" t="s">
        <v>706</v>
      </c>
      <c r="B41" s="2474" t="s">
        <v>707</v>
      </c>
      <c r="C41" s="2474"/>
      <c r="D41" s="2474"/>
      <c r="E41" s="2474"/>
      <c r="F41" s="2474"/>
      <c r="G41" s="5"/>
    </row>
    <row r="42" spans="1:7" ht="12" customHeight="1">
      <c r="A42" s="3" t="s">
        <v>708</v>
      </c>
      <c r="B42" s="2471" t="s">
        <v>876</v>
      </c>
      <c r="C42" s="2471"/>
      <c r="D42" s="2471"/>
      <c r="E42" s="2472" t="s">
        <v>710</v>
      </c>
      <c r="F42" s="2472"/>
      <c r="G42" s="5"/>
    </row>
    <row r="43" spans="1:7" ht="12" customHeight="1">
      <c r="A43" s="3" t="s">
        <v>711</v>
      </c>
      <c r="B43" s="2473" t="s">
        <v>712</v>
      </c>
      <c r="C43" s="2473"/>
      <c r="D43" s="2473"/>
      <c r="E43" s="2473"/>
      <c r="F43" s="2473"/>
      <c r="G43" s="5"/>
    </row>
  </sheetData>
  <mergeCells count="14">
    <mergeCell ref="E9:F9"/>
    <mergeCell ref="E14:F14"/>
    <mergeCell ref="E17:F17"/>
    <mergeCell ref="B19:F19"/>
    <mergeCell ref="B20:D20"/>
    <mergeCell ref="E20:F20"/>
    <mergeCell ref="B42:D42"/>
    <mergeCell ref="E42:F42"/>
    <mergeCell ref="B43:F43"/>
    <mergeCell ref="B21:F21"/>
    <mergeCell ref="E31:F31"/>
    <mergeCell ref="E36:F36"/>
    <mergeCell ref="E39:F39"/>
    <mergeCell ref="B41:F41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29"/>
  <dimension ref="A1:G41"/>
  <sheetViews>
    <sheetView topLeftCell="A16" workbookViewId="0">
      <selection activeCell="G41" sqref="A1:G41"/>
    </sheetView>
  </sheetViews>
  <sheetFormatPr defaultRowHeight="14.4"/>
  <cols>
    <col min="1" max="1" width="5.33203125" customWidth="1"/>
    <col min="2" max="2" width="21" customWidth="1"/>
    <col min="3" max="3" width="8.6640625" customWidth="1"/>
    <col min="4" max="4" width="11" customWidth="1"/>
    <col min="5" max="5" width="14.6640625" customWidth="1"/>
    <col min="6" max="6" width="14.44140625" customWidth="1"/>
    <col min="7" max="7" width="16.5546875" customWidth="1"/>
  </cols>
  <sheetData>
    <row r="1" spans="1:7">
      <c r="A1" s="50" t="s">
        <v>2178</v>
      </c>
    </row>
    <row r="3" spans="1:7" ht="35.1" customHeight="1">
      <c r="A3" s="18" t="s">
        <v>1003</v>
      </c>
      <c r="B3" s="1" t="s">
        <v>1004</v>
      </c>
      <c r="C3" s="18" t="s">
        <v>1005</v>
      </c>
      <c r="D3" s="18" t="s">
        <v>1006</v>
      </c>
      <c r="E3" s="18" t="s">
        <v>1007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5" customHeight="1">
      <c r="A5" s="5"/>
      <c r="B5" s="13" t="s">
        <v>673</v>
      </c>
      <c r="C5" s="3" t="s">
        <v>674</v>
      </c>
      <c r="D5" s="12" t="s">
        <v>675</v>
      </c>
      <c r="E5" s="13" t="s">
        <v>676</v>
      </c>
      <c r="F5" s="5"/>
      <c r="G5" s="5"/>
    </row>
    <row r="6" spans="1:7" ht="15.15" customHeight="1">
      <c r="A6" s="5"/>
      <c r="B6" s="13" t="s">
        <v>816</v>
      </c>
      <c r="C6" s="3" t="s">
        <v>681</v>
      </c>
      <c r="D6" s="12" t="s">
        <v>675</v>
      </c>
      <c r="E6" s="13" t="s">
        <v>679</v>
      </c>
      <c r="F6" s="5"/>
      <c r="G6" s="5"/>
    </row>
    <row r="7" spans="1:7" ht="15" customHeight="1">
      <c r="A7" s="5"/>
      <c r="B7" s="13" t="s">
        <v>680</v>
      </c>
      <c r="C7" s="3" t="s">
        <v>681</v>
      </c>
      <c r="D7" s="12" t="s">
        <v>675</v>
      </c>
      <c r="E7" s="13" t="s">
        <v>682</v>
      </c>
      <c r="F7" s="5"/>
      <c r="G7" s="5"/>
    </row>
    <row r="8" spans="1:7" ht="15.15" customHeight="1">
      <c r="A8" s="5"/>
      <c r="B8" s="13" t="s">
        <v>683</v>
      </c>
      <c r="C8" s="3" t="s">
        <v>684</v>
      </c>
      <c r="D8" s="12" t="s">
        <v>675</v>
      </c>
      <c r="E8" s="13" t="s">
        <v>895</v>
      </c>
      <c r="F8" s="5"/>
      <c r="G8" s="5"/>
    </row>
    <row r="9" spans="1:7" ht="12" customHeight="1">
      <c r="A9" s="5"/>
      <c r="B9" s="5"/>
      <c r="C9" s="5"/>
      <c r="D9" s="5"/>
      <c r="E9" s="2474" t="s">
        <v>685</v>
      </c>
      <c r="F9" s="2474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5" customHeight="1">
      <c r="A11" s="5"/>
      <c r="B11" s="3" t="s">
        <v>1060</v>
      </c>
      <c r="C11" s="5"/>
      <c r="D11" s="12" t="s">
        <v>690</v>
      </c>
      <c r="E11" s="13" t="s">
        <v>1078</v>
      </c>
      <c r="F11" s="5"/>
      <c r="G11" s="5"/>
    </row>
    <row r="12" spans="1:7" ht="15" customHeight="1">
      <c r="A12" s="5"/>
      <c r="B12" s="3" t="s">
        <v>1062</v>
      </c>
      <c r="C12" s="5"/>
      <c r="D12" s="11" t="s">
        <v>692</v>
      </c>
      <c r="E12" s="13" t="s">
        <v>1069</v>
      </c>
      <c r="F12" s="5"/>
      <c r="G12" s="5"/>
    </row>
    <row r="13" spans="1:7" ht="12" customHeight="1">
      <c r="A13" s="5"/>
      <c r="B13" s="5"/>
      <c r="C13" s="5"/>
      <c r="D13" s="5"/>
      <c r="E13" s="2474" t="s">
        <v>702</v>
      </c>
      <c r="F13" s="2474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2474" t="s">
        <v>705</v>
      </c>
      <c r="F16" s="2474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2474" t="s">
        <v>707</v>
      </c>
      <c r="C18" s="2474"/>
      <c r="D18" s="2474"/>
      <c r="E18" s="2474"/>
      <c r="F18" s="2474"/>
      <c r="G18" s="5"/>
    </row>
    <row r="19" spans="1:7" ht="12" customHeight="1">
      <c r="A19" s="3" t="s">
        <v>708</v>
      </c>
      <c r="B19" s="2471" t="s">
        <v>876</v>
      </c>
      <c r="C19" s="2471"/>
      <c r="D19" s="2471"/>
      <c r="E19" s="2472" t="s">
        <v>710</v>
      </c>
      <c r="F19" s="2472"/>
      <c r="G19" s="5"/>
    </row>
    <row r="20" spans="1:7" ht="12" customHeight="1">
      <c r="A20" s="3" t="s">
        <v>711</v>
      </c>
      <c r="B20" s="2473" t="s">
        <v>712</v>
      </c>
      <c r="C20" s="2473"/>
      <c r="D20" s="2473"/>
      <c r="E20" s="2473"/>
      <c r="F20" s="2473"/>
      <c r="G20" s="5"/>
    </row>
    <row r="21" spans="1:7" ht="12" customHeight="1">
      <c r="A21" s="3"/>
      <c r="B21" s="26"/>
      <c r="C21" s="26"/>
      <c r="D21" s="26"/>
      <c r="E21" s="26"/>
      <c r="F21" s="26"/>
      <c r="G21" s="5"/>
    </row>
    <row r="22" spans="1:7" ht="12" customHeight="1">
      <c r="A22" s="50" t="s">
        <v>2179</v>
      </c>
      <c r="B22" s="26"/>
      <c r="C22" s="26"/>
      <c r="D22" s="26"/>
      <c r="E22" s="26"/>
      <c r="F22" s="26"/>
      <c r="G22" s="5"/>
    </row>
    <row r="23" spans="1:7" ht="12" customHeight="1">
      <c r="A23" s="3"/>
      <c r="B23" s="26"/>
      <c r="C23" s="26"/>
      <c r="D23" s="26"/>
      <c r="E23" s="26"/>
      <c r="F23" s="26"/>
      <c r="G23" s="5"/>
    </row>
    <row r="24" spans="1:7" ht="35.1" customHeight="1">
      <c r="A24" s="18" t="s">
        <v>1003</v>
      </c>
      <c r="B24" s="1" t="s">
        <v>1004</v>
      </c>
      <c r="C24" s="18" t="s">
        <v>1005</v>
      </c>
      <c r="D24" s="18" t="s">
        <v>1006</v>
      </c>
      <c r="E24" s="18" t="s">
        <v>1007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5.15" customHeight="1">
      <c r="A26" s="5"/>
      <c r="B26" s="13" t="s">
        <v>673</v>
      </c>
      <c r="C26" s="3" t="s">
        <v>674</v>
      </c>
      <c r="D26" s="12" t="s">
        <v>675</v>
      </c>
      <c r="E26" s="13" t="s">
        <v>857</v>
      </c>
      <c r="F26" s="5"/>
      <c r="G26" s="5"/>
    </row>
    <row r="27" spans="1:7" ht="15" customHeight="1">
      <c r="A27" s="5"/>
      <c r="B27" s="13" t="s">
        <v>816</v>
      </c>
      <c r="C27" s="3" t="s">
        <v>681</v>
      </c>
      <c r="D27" s="12" t="s">
        <v>675</v>
      </c>
      <c r="E27" s="13" t="s">
        <v>679</v>
      </c>
      <c r="F27" s="5"/>
      <c r="G27" s="5"/>
    </row>
    <row r="28" spans="1:7" ht="15" customHeight="1">
      <c r="A28" s="5"/>
      <c r="B28" s="13" t="s">
        <v>680</v>
      </c>
      <c r="C28" s="3" t="s">
        <v>681</v>
      </c>
      <c r="D28" s="12" t="s">
        <v>675</v>
      </c>
      <c r="E28" s="13" t="s">
        <v>682</v>
      </c>
      <c r="F28" s="5"/>
      <c r="G28" s="5"/>
    </row>
    <row r="29" spans="1:7" ht="15.15" customHeight="1">
      <c r="A29" s="5"/>
      <c r="B29" s="13" t="s">
        <v>683</v>
      </c>
      <c r="C29" s="3" t="s">
        <v>684</v>
      </c>
      <c r="D29" s="12" t="s">
        <v>675</v>
      </c>
      <c r="E29" s="13" t="s">
        <v>901</v>
      </c>
      <c r="F29" s="5"/>
      <c r="G29" s="5"/>
    </row>
    <row r="30" spans="1:7" ht="12" customHeight="1">
      <c r="A30" s="5"/>
      <c r="B30" s="5"/>
      <c r="C30" s="5"/>
      <c r="D30" s="5"/>
      <c r="E30" s="2474" t="s">
        <v>685</v>
      </c>
      <c r="F30" s="2474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5" customHeight="1">
      <c r="A32" s="5"/>
      <c r="B32" s="3" t="s">
        <v>1060</v>
      </c>
      <c r="C32" s="5"/>
      <c r="D32" s="12" t="s">
        <v>690</v>
      </c>
      <c r="E32" s="13" t="s">
        <v>1079</v>
      </c>
      <c r="F32" s="5"/>
      <c r="G32" s="5"/>
    </row>
    <row r="33" spans="1:7" ht="15" customHeight="1">
      <c r="A33" s="5"/>
      <c r="B33" s="3" t="s">
        <v>1062</v>
      </c>
      <c r="C33" s="5"/>
      <c r="D33" s="11" t="s">
        <v>692</v>
      </c>
      <c r="E33" s="13" t="s">
        <v>1080</v>
      </c>
      <c r="F33" s="5"/>
      <c r="G33" s="5"/>
    </row>
    <row r="34" spans="1:7" ht="12" customHeight="1">
      <c r="A34" s="5"/>
      <c r="B34" s="5"/>
      <c r="C34" s="5"/>
      <c r="D34" s="5"/>
      <c r="E34" s="2474" t="s">
        <v>702</v>
      </c>
      <c r="F34" s="2474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2474" t="s">
        <v>705</v>
      </c>
      <c r="F37" s="2474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2474" t="s">
        <v>707</v>
      </c>
      <c r="C39" s="2474"/>
      <c r="D39" s="2474"/>
      <c r="E39" s="2474"/>
      <c r="F39" s="2474"/>
      <c r="G39" s="5"/>
    </row>
    <row r="40" spans="1:7" ht="12" customHeight="1">
      <c r="A40" s="3" t="s">
        <v>708</v>
      </c>
      <c r="B40" s="2471" t="s">
        <v>876</v>
      </c>
      <c r="C40" s="2471"/>
      <c r="D40" s="2471"/>
      <c r="E40" s="2472" t="s">
        <v>710</v>
      </c>
      <c r="F40" s="2472"/>
      <c r="G40" s="5"/>
    </row>
    <row r="41" spans="1:7" ht="12.15" customHeight="1">
      <c r="A41" s="3" t="s">
        <v>711</v>
      </c>
      <c r="B41" s="2473" t="s">
        <v>712</v>
      </c>
      <c r="C41" s="2473"/>
      <c r="D41" s="2473"/>
      <c r="E41" s="2473"/>
      <c r="F41" s="2473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0"/>
  <dimension ref="A1:G41"/>
  <sheetViews>
    <sheetView topLeftCell="A22" workbookViewId="0">
      <selection activeCell="B52" sqref="B52"/>
    </sheetView>
  </sheetViews>
  <sheetFormatPr defaultRowHeight="14.4"/>
  <cols>
    <col min="1" max="1" width="5.33203125" customWidth="1"/>
    <col min="2" max="2" width="21" customWidth="1"/>
    <col min="3" max="3" width="8.6640625" customWidth="1"/>
    <col min="4" max="4" width="11" customWidth="1"/>
    <col min="5" max="5" width="14.6640625" customWidth="1"/>
    <col min="6" max="6" width="14.44140625" customWidth="1"/>
    <col min="7" max="7" width="16.5546875" customWidth="1"/>
  </cols>
  <sheetData>
    <row r="1" spans="1:7">
      <c r="A1" s="50" t="s">
        <v>2180</v>
      </c>
    </row>
    <row r="3" spans="1:7" ht="35.1" customHeight="1">
      <c r="A3" s="18" t="s">
        <v>1003</v>
      </c>
      <c r="B3" s="1" t="s">
        <v>1004</v>
      </c>
      <c r="C3" s="18" t="s">
        <v>1005</v>
      </c>
      <c r="D3" s="18" t="s">
        <v>1006</v>
      </c>
      <c r="E3" s="18" t="s">
        <v>1007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65" customHeight="1">
      <c r="A5" s="5"/>
      <c r="B5" s="3" t="s">
        <v>673</v>
      </c>
      <c r="C5" s="3" t="s">
        <v>674</v>
      </c>
      <c r="D5" s="12" t="s">
        <v>675</v>
      </c>
      <c r="E5" s="3" t="s">
        <v>676</v>
      </c>
      <c r="F5" s="5"/>
      <c r="G5" s="5"/>
    </row>
    <row r="6" spans="1:7" ht="13.95" customHeight="1">
      <c r="A6" s="5"/>
      <c r="B6" s="3" t="s">
        <v>816</v>
      </c>
      <c r="C6" s="3" t="s">
        <v>681</v>
      </c>
      <c r="D6" s="12" t="s">
        <v>675</v>
      </c>
      <c r="E6" s="3" t="s">
        <v>679</v>
      </c>
      <c r="F6" s="5"/>
      <c r="G6" s="5"/>
    </row>
    <row r="7" spans="1:7" ht="13.65" customHeight="1">
      <c r="A7" s="5"/>
      <c r="B7" s="3" t="s">
        <v>680</v>
      </c>
      <c r="C7" s="3" t="s">
        <v>681</v>
      </c>
      <c r="D7" s="12" t="s">
        <v>675</v>
      </c>
      <c r="E7" s="3" t="s">
        <v>682</v>
      </c>
      <c r="F7" s="5"/>
      <c r="G7" s="5"/>
    </row>
    <row r="8" spans="1:7" ht="13.65" customHeight="1">
      <c r="A8" s="5"/>
      <c r="B8" s="3" t="s">
        <v>683</v>
      </c>
      <c r="C8" s="3" t="s">
        <v>684</v>
      </c>
      <c r="D8" s="12" t="s">
        <v>675</v>
      </c>
      <c r="E8" s="3" t="s">
        <v>895</v>
      </c>
      <c r="F8" s="5"/>
      <c r="G8" s="5"/>
    </row>
    <row r="9" spans="1:7" ht="12" customHeight="1">
      <c r="A9" s="5"/>
      <c r="B9" s="5"/>
      <c r="C9" s="5"/>
      <c r="D9" s="5"/>
      <c r="E9" s="2474" t="s">
        <v>685</v>
      </c>
      <c r="F9" s="2474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5" customHeight="1">
      <c r="A11" s="5"/>
      <c r="B11" s="3" t="s">
        <v>1060</v>
      </c>
      <c r="C11" s="5"/>
      <c r="D11" s="12" t="s">
        <v>690</v>
      </c>
      <c r="E11" s="3" t="s">
        <v>1030</v>
      </c>
      <c r="F11" s="5"/>
      <c r="G11" s="5"/>
    </row>
    <row r="12" spans="1:7" ht="13.65" customHeight="1">
      <c r="A12" s="5"/>
      <c r="B12" s="3" t="s">
        <v>1062</v>
      </c>
      <c r="C12" s="5"/>
      <c r="D12" s="12" t="s">
        <v>883</v>
      </c>
      <c r="E12" s="3" t="s">
        <v>799</v>
      </c>
      <c r="F12" s="5"/>
      <c r="G12" s="5"/>
    </row>
    <row r="13" spans="1:7" ht="12" customHeight="1">
      <c r="A13" s="5"/>
      <c r="B13" s="5"/>
      <c r="C13" s="5"/>
      <c r="D13" s="5"/>
      <c r="E13" s="2474" t="s">
        <v>702</v>
      </c>
      <c r="F13" s="2474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2474" t="s">
        <v>705</v>
      </c>
      <c r="F16" s="2474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2474" t="s">
        <v>707</v>
      </c>
      <c r="C18" s="2474"/>
      <c r="D18" s="2474"/>
      <c r="E18" s="2474"/>
      <c r="F18" s="2474"/>
      <c r="G18" s="5"/>
    </row>
    <row r="19" spans="1:7" ht="12" customHeight="1">
      <c r="A19" s="3" t="s">
        <v>708</v>
      </c>
      <c r="B19" s="2471" t="s">
        <v>876</v>
      </c>
      <c r="C19" s="2471"/>
      <c r="D19" s="2471"/>
      <c r="E19" s="2472" t="s">
        <v>710</v>
      </c>
      <c r="F19" s="2472"/>
      <c r="G19" s="5"/>
    </row>
    <row r="20" spans="1:7" ht="12" customHeight="1">
      <c r="A20" s="3" t="s">
        <v>711</v>
      </c>
      <c r="B20" s="2473" t="s">
        <v>712</v>
      </c>
      <c r="C20" s="2473"/>
      <c r="D20" s="2473"/>
      <c r="E20" s="2473"/>
      <c r="F20" s="2473"/>
      <c r="G20" s="5"/>
    </row>
    <row r="21" spans="1:7" ht="12" customHeight="1">
      <c r="A21" s="3"/>
      <c r="B21" s="26"/>
      <c r="C21" s="26"/>
      <c r="D21" s="26"/>
      <c r="E21" s="26"/>
      <c r="F21" s="26"/>
      <c r="G21" s="5"/>
    </row>
    <row r="22" spans="1:7" ht="12" customHeight="1">
      <c r="A22" s="50" t="s">
        <v>2181</v>
      </c>
      <c r="B22" s="26"/>
      <c r="C22" s="26"/>
      <c r="D22" s="26"/>
      <c r="E22" s="26"/>
      <c r="F22" s="26"/>
      <c r="G22" s="5"/>
    </row>
    <row r="23" spans="1:7" ht="12" customHeight="1">
      <c r="A23" s="3"/>
      <c r="B23" s="26"/>
      <c r="C23" s="26"/>
      <c r="D23" s="26"/>
      <c r="E23" s="26"/>
      <c r="F23" s="26"/>
      <c r="G23" s="5"/>
    </row>
    <row r="24" spans="1:7" ht="34.950000000000003" customHeight="1">
      <c r="A24" s="18" t="s">
        <v>1003</v>
      </c>
      <c r="B24" s="1" t="s">
        <v>1004</v>
      </c>
      <c r="C24" s="18" t="s">
        <v>1005</v>
      </c>
      <c r="D24" s="18" t="s">
        <v>1006</v>
      </c>
      <c r="E24" s="18" t="s">
        <v>1007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5.15" customHeight="1">
      <c r="A26" s="5"/>
      <c r="B26" s="13" t="s">
        <v>673</v>
      </c>
      <c r="C26" s="3" t="s">
        <v>674</v>
      </c>
      <c r="D26" s="12" t="s">
        <v>675</v>
      </c>
      <c r="E26" s="13" t="s">
        <v>676</v>
      </c>
      <c r="F26" s="5"/>
      <c r="G26" s="5"/>
    </row>
    <row r="27" spans="1:7" ht="15" customHeight="1">
      <c r="A27" s="5"/>
      <c r="B27" s="13" t="s">
        <v>816</v>
      </c>
      <c r="C27" s="3" t="s">
        <v>681</v>
      </c>
      <c r="D27" s="12" t="s">
        <v>675</v>
      </c>
      <c r="E27" s="13" t="s">
        <v>679</v>
      </c>
      <c r="F27" s="5"/>
      <c r="G27" s="5"/>
    </row>
    <row r="28" spans="1:7" ht="15" customHeight="1">
      <c r="A28" s="5"/>
      <c r="B28" s="13" t="s">
        <v>680</v>
      </c>
      <c r="C28" s="3" t="s">
        <v>681</v>
      </c>
      <c r="D28" s="12" t="s">
        <v>675</v>
      </c>
      <c r="E28" s="13" t="s">
        <v>682</v>
      </c>
      <c r="F28" s="5"/>
      <c r="G28" s="5"/>
    </row>
    <row r="29" spans="1:7" ht="15.15" customHeight="1">
      <c r="A29" s="5"/>
      <c r="B29" s="13" t="s">
        <v>683</v>
      </c>
      <c r="C29" s="3" t="s">
        <v>684</v>
      </c>
      <c r="D29" s="12" t="s">
        <v>675</v>
      </c>
      <c r="E29" s="13" t="s">
        <v>895</v>
      </c>
      <c r="F29" s="5"/>
      <c r="G29" s="5"/>
    </row>
    <row r="30" spans="1:7" ht="12" customHeight="1">
      <c r="A30" s="5"/>
      <c r="B30" s="5"/>
      <c r="C30" s="5"/>
      <c r="D30" s="5"/>
      <c r="E30" s="2474" t="s">
        <v>685</v>
      </c>
      <c r="F30" s="2474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5" customHeight="1">
      <c r="A32" s="5"/>
      <c r="B32" s="3" t="s">
        <v>1060</v>
      </c>
      <c r="C32" s="5"/>
      <c r="D32" s="12" t="s">
        <v>690</v>
      </c>
      <c r="E32" s="13" t="s">
        <v>1081</v>
      </c>
      <c r="F32" s="5"/>
      <c r="G32" s="5"/>
    </row>
    <row r="33" spans="1:7" ht="15.15" customHeight="1">
      <c r="A33" s="5"/>
      <c r="B33" s="3" t="s">
        <v>1062</v>
      </c>
      <c r="C33" s="5"/>
      <c r="D33" s="11" t="s">
        <v>692</v>
      </c>
      <c r="E33" s="13" t="s">
        <v>846</v>
      </c>
      <c r="F33" s="5"/>
      <c r="G33" s="5"/>
    </row>
    <row r="34" spans="1:7" ht="12" customHeight="1">
      <c r="A34" s="5"/>
      <c r="B34" s="5"/>
      <c r="C34" s="5"/>
      <c r="D34" s="5"/>
      <c r="E34" s="2474" t="s">
        <v>702</v>
      </c>
      <c r="F34" s="2474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2474" t="s">
        <v>705</v>
      </c>
      <c r="F37" s="2474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2474" t="s">
        <v>707</v>
      </c>
      <c r="C39" s="2474"/>
      <c r="D39" s="2474"/>
      <c r="E39" s="2474"/>
      <c r="F39" s="2474"/>
      <c r="G39" s="5"/>
    </row>
    <row r="40" spans="1:7" ht="11.85" customHeight="1">
      <c r="A40" s="3" t="s">
        <v>708</v>
      </c>
      <c r="B40" s="2471" t="s">
        <v>876</v>
      </c>
      <c r="C40" s="2471"/>
      <c r="D40" s="2471"/>
      <c r="E40" s="2472" t="s">
        <v>710</v>
      </c>
      <c r="F40" s="2472"/>
      <c r="G40" s="5"/>
    </row>
    <row r="41" spans="1:7" ht="12.15" customHeight="1">
      <c r="A41" s="3" t="s">
        <v>711</v>
      </c>
      <c r="B41" s="2473" t="s">
        <v>712</v>
      </c>
      <c r="C41" s="2473"/>
      <c r="D41" s="2473"/>
      <c r="E41" s="2473"/>
      <c r="F41" s="2473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1"/>
  <dimension ref="A1:G42"/>
  <sheetViews>
    <sheetView topLeftCell="A22" workbookViewId="0">
      <selection sqref="A1:G42"/>
    </sheetView>
  </sheetViews>
  <sheetFormatPr defaultRowHeight="14.4"/>
  <cols>
    <col min="1" max="1" width="5.33203125" customWidth="1"/>
    <col min="2" max="2" width="21" customWidth="1"/>
    <col min="3" max="3" width="8.6640625" customWidth="1"/>
    <col min="4" max="4" width="11" customWidth="1"/>
    <col min="5" max="5" width="22" customWidth="1"/>
    <col min="6" max="6" width="14.44140625" customWidth="1"/>
    <col min="7" max="7" width="16.5546875" customWidth="1"/>
  </cols>
  <sheetData>
    <row r="1" spans="1:7">
      <c r="A1" s="50" t="s">
        <v>2182</v>
      </c>
    </row>
    <row r="3" spans="1:7" ht="35.1" customHeight="1">
      <c r="A3" s="18" t="s">
        <v>1003</v>
      </c>
      <c r="B3" s="1" t="s">
        <v>1004</v>
      </c>
      <c r="C3" s="18" t="s">
        <v>1005</v>
      </c>
      <c r="D3" s="110" t="s">
        <v>1006</v>
      </c>
      <c r="E3" s="110" t="s">
        <v>1007</v>
      </c>
      <c r="F3" s="91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86"/>
      <c r="E4" s="86"/>
      <c r="F4" s="87"/>
      <c r="G4" s="5"/>
    </row>
    <row r="5" spans="1:7" ht="15" customHeight="1">
      <c r="A5" s="5"/>
      <c r="B5" s="13" t="s">
        <v>673</v>
      </c>
      <c r="C5" s="3" t="s">
        <v>674</v>
      </c>
      <c r="D5" s="96" t="s">
        <v>675</v>
      </c>
      <c r="E5" s="111" t="s">
        <v>676</v>
      </c>
      <c r="F5" s="87"/>
      <c r="G5" s="5"/>
    </row>
    <row r="6" spans="1:7" ht="15.15" customHeight="1">
      <c r="A6" s="5"/>
      <c r="B6" s="13" t="s">
        <v>816</v>
      </c>
      <c r="C6" s="3" t="s">
        <v>681</v>
      </c>
      <c r="D6" s="96" t="s">
        <v>675</v>
      </c>
      <c r="E6" s="111" t="s">
        <v>679</v>
      </c>
      <c r="F6" s="87"/>
      <c r="G6" s="5"/>
    </row>
    <row r="7" spans="1:7" ht="15" customHeight="1">
      <c r="A7" s="5"/>
      <c r="B7" s="13" t="s">
        <v>680</v>
      </c>
      <c r="C7" s="3" t="s">
        <v>681</v>
      </c>
      <c r="D7" s="96" t="s">
        <v>675</v>
      </c>
      <c r="E7" s="111" t="s">
        <v>682</v>
      </c>
      <c r="F7" s="87"/>
      <c r="G7" s="5"/>
    </row>
    <row r="8" spans="1:7" ht="15.15" customHeight="1">
      <c r="A8" s="5"/>
      <c r="B8" s="13" t="s">
        <v>683</v>
      </c>
      <c r="C8" s="3" t="s">
        <v>684</v>
      </c>
      <c r="D8" s="96" t="s">
        <v>675</v>
      </c>
      <c r="E8" s="111" t="s">
        <v>895</v>
      </c>
      <c r="F8" s="87"/>
      <c r="G8" s="5"/>
    </row>
    <row r="9" spans="1:7" ht="12" customHeight="1">
      <c r="A9" s="5"/>
      <c r="B9" s="5"/>
      <c r="C9" s="5"/>
      <c r="D9" s="86"/>
      <c r="E9" s="96" t="s">
        <v>685</v>
      </c>
      <c r="F9" s="97"/>
      <c r="G9" s="5"/>
    </row>
    <row r="10" spans="1:7" ht="12" customHeight="1">
      <c r="A10" s="3" t="s">
        <v>686</v>
      </c>
      <c r="B10" s="3" t="s">
        <v>687</v>
      </c>
      <c r="C10" s="5"/>
      <c r="D10" s="86"/>
      <c r="E10" s="86"/>
      <c r="F10" s="87"/>
      <c r="G10" s="5"/>
    </row>
    <row r="11" spans="1:7" ht="15" customHeight="1">
      <c r="A11" s="5"/>
      <c r="B11" s="3" t="s">
        <v>1060</v>
      </c>
      <c r="C11" s="5"/>
      <c r="D11" s="96" t="s">
        <v>690</v>
      </c>
      <c r="E11" s="111" t="s">
        <v>1082</v>
      </c>
      <c r="F11" s="87"/>
      <c r="G11" s="5"/>
    </row>
    <row r="12" spans="1:7" ht="15" customHeight="1">
      <c r="A12" s="5"/>
      <c r="B12" s="3" t="s">
        <v>1062</v>
      </c>
      <c r="C12" s="5"/>
      <c r="D12" s="85" t="s">
        <v>692</v>
      </c>
      <c r="E12" s="111" t="s">
        <v>772</v>
      </c>
      <c r="F12" s="87"/>
      <c r="G12" s="5"/>
    </row>
    <row r="13" spans="1:7" ht="12" customHeight="1">
      <c r="A13" s="5"/>
      <c r="B13" s="5"/>
      <c r="C13" s="5"/>
      <c r="D13" s="87"/>
      <c r="E13" s="96" t="s">
        <v>702</v>
      </c>
      <c r="F13" s="97"/>
      <c r="G13" s="5"/>
    </row>
    <row r="14" spans="1:7" ht="12" customHeight="1">
      <c r="A14" s="3" t="s">
        <v>703</v>
      </c>
      <c r="B14" s="3" t="s">
        <v>704</v>
      </c>
      <c r="C14" s="5"/>
      <c r="D14" s="84"/>
      <c r="E14" s="86"/>
      <c r="F14" s="87"/>
      <c r="G14" s="5"/>
    </row>
    <row r="15" spans="1:7" ht="12" customHeight="1">
      <c r="A15" s="5"/>
      <c r="B15" s="5"/>
      <c r="C15" s="5"/>
      <c r="D15" s="84"/>
      <c r="E15" s="86"/>
      <c r="F15" s="87"/>
      <c r="G15" s="5"/>
    </row>
    <row r="16" spans="1:7" ht="12" customHeight="1">
      <c r="A16" s="5"/>
      <c r="B16" s="5"/>
      <c r="C16" s="5"/>
      <c r="D16" s="84"/>
      <c r="E16" s="96" t="s">
        <v>705</v>
      </c>
      <c r="F16" s="97"/>
      <c r="G16" s="5"/>
    </row>
    <row r="17" spans="1:7" ht="12" customHeight="1">
      <c r="A17" s="5"/>
      <c r="B17" s="5"/>
      <c r="C17" s="5"/>
      <c r="D17" s="84"/>
      <c r="E17" s="86"/>
      <c r="F17" s="87"/>
      <c r="G17" s="5"/>
    </row>
    <row r="18" spans="1:7" ht="12" customHeight="1">
      <c r="A18" s="3" t="s">
        <v>706</v>
      </c>
      <c r="B18" s="96" t="s">
        <v>707</v>
      </c>
      <c r="C18" s="102"/>
      <c r="D18" s="102"/>
      <c r="E18" s="102"/>
      <c r="F18" s="97"/>
      <c r="G18" s="5"/>
    </row>
    <row r="19" spans="1:7" ht="12" customHeight="1">
      <c r="A19" s="3" t="s">
        <v>708</v>
      </c>
      <c r="B19" s="92" t="s">
        <v>876</v>
      </c>
      <c r="C19" s="93"/>
      <c r="D19" s="94"/>
      <c r="E19" s="96" t="s">
        <v>710</v>
      </c>
      <c r="F19" s="97"/>
      <c r="G19" s="5"/>
    </row>
    <row r="20" spans="1:7" ht="12" customHeight="1">
      <c r="A20" s="3" t="s">
        <v>711</v>
      </c>
      <c r="B20" s="96" t="s">
        <v>712</v>
      </c>
      <c r="C20" s="102"/>
      <c r="D20" s="102"/>
      <c r="E20" s="102"/>
      <c r="F20" s="97"/>
      <c r="G20" s="5"/>
    </row>
    <row r="21" spans="1:7" ht="12" customHeight="1">
      <c r="A21" s="3"/>
      <c r="B21" s="26"/>
      <c r="C21" s="26"/>
      <c r="D21" s="26"/>
      <c r="E21" s="26"/>
      <c r="F21" s="26"/>
      <c r="G21" s="5"/>
    </row>
    <row r="22" spans="1:7" ht="12" customHeight="1">
      <c r="A22" s="50" t="s">
        <v>2183</v>
      </c>
      <c r="B22" s="26"/>
      <c r="C22" s="26"/>
      <c r="D22" s="26"/>
      <c r="E22" s="26"/>
      <c r="F22" s="26"/>
      <c r="G22" s="5"/>
    </row>
    <row r="23" spans="1:7" ht="12" customHeight="1">
      <c r="A23" s="3"/>
      <c r="B23" s="26"/>
      <c r="C23" s="26"/>
      <c r="D23" s="26"/>
      <c r="E23" s="26"/>
      <c r="F23" s="26"/>
      <c r="G23" s="5"/>
    </row>
    <row r="24" spans="1:7" ht="35.1" customHeight="1">
      <c r="A24" s="18" t="s">
        <v>1003</v>
      </c>
      <c r="B24" s="1" t="s">
        <v>1004</v>
      </c>
      <c r="C24" s="110" t="s">
        <v>1005</v>
      </c>
      <c r="D24" s="110" t="s">
        <v>1006</v>
      </c>
      <c r="E24" s="110" t="s">
        <v>1007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86"/>
      <c r="D25" s="86"/>
      <c r="E25" s="86"/>
      <c r="F25" s="5"/>
      <c r="G25" s="5"/>
    </row>
    <row r="26" spans="1:7" ht="15" customHeight="1">
      <c r="A26" s="5"/>
      <c r="B26" s="13" t="s">
        <v>673</v>
      </c>
      <c r="C26" s="96" t="s">
        <v>674</v>
      </c>
      <c r="D26" s="96" t="s">
        <v>675</v>
      </c>
      <c r="E26" s="111" t="s">
        <v>962</v>
      </c>
      <c r="F26" s="5"/>
      <c r="G26" s="5"/>
    </row>
    <row r="27" spans="1:7" ht="15" customHeight="1">
      <c r="A27" s="5"/>
      <c r="B27" s="13" t="s">
        <v>816</v>
      </c>
      <c r="C27" s="96" t="s">
        <v>681</v>
      </c>
      <c r="D27" s="96" t="s">
        <v>675</v>
      </c>
      <c r="E27" s="111" t="s">
        <v>941</v>
      </c>
      <c r="F27" s="5"/>
      <c r="G27" s="5"/>
    </row>
    <row r="28" spans="1:7" ht="15.15" customHeight="1">
      <c r="A28" s="5"/>
      <c r="B28" s="13" t="s">
        <v>680</v>
      </c>
      <c r="C28" s="96" t="s">
        <v>681</v>
      </c>
      <c r="D28" s="96" t="s">
        <v>675</v>
      </c>
      <c r="E28" s="111" t="s">
        <v>895</v>
      </c>
      <c r="F28" s="5"/>
      <c r="G28" s="5"/>
    </row>
    <row r="29" spans="1:7" ht="15" customHeight="1">
      <c r="A29" s="5"/>
      <c r="B29" s="13" t="s">
        <v>683</v>
      </c>
      <c r="C29" s="96" t="s">
        <v>684</v>
      </c>
      <c r="D29" s="96" t="s">
        <v>675</v>
      </c>
      <c r="E29" s="111" t="s">
        <v>895</v>
      </c>
      <c r="F29" s="5"/>
      <c r="G29" s="5"/>
    </row>
    <row r="30" spans="1:7" ht="12" customHeight="1">
      <c r="A30" s="5"/>
      <c r="B30" s="5"/>
      <c r="C30" s="86"/>
      <c r="D30" s="86"/>
      <c r="E30" s="96" t="s">
        <v>685</v>
      </c>
      <c r="F30" s="97"/>
      <c r="G30" s="5"/>
    </row>
    <row r="31" spans="1:7" ht="12" customHeight="1">
      <c r="A31" s="3" t="s">
        <v>686</v>
      </c>
      <c r="B31" s="3" t="s">
        <v>687</v>
      </c>
      <c r="C31" s="86"/>
      <c r="D31" s="86"/>
      <c r="E31" s="86"/>
      <c r="F31" s="5"/>
      <c r="G31" s="5"/>
    </row>
    <row r="32" spans="1:7" ht="15" customHeight="1">
      <c r="A32" s="5"/>
      <c r="B32" s="3" t="s">
        <v>1077</v>
      </c>
      <c r="C32" s="86"/>
      <c r="D32" s="85" t="s">
        <v>692</v>
      </c>
      <c r="E32" s="111" t="s">
        <v>695</v>
      </c>
      <c r="F32" s="5"/>
      <c r="G32" s="5"/>
    </row>
    <row r="33" spans="1:7" ht="15.15" customHeight="1">
      <c r="A33" s="5"/>
      <c r="B33" s="3" t="s">
        <v>1075</v>
      </c>
      <c r="C33" s="86"/>
      <c r="D33" s="85" t="s">
        <v>692</v>
      </c>
      <c r="E33" s="111" t="s">
        <v>695</v>
      </c>
      <c r="F33" s="5"/>
      <c r="G33" s="5"/>
    </row>
    <row r="34" spans="1:7" ht="15" customHeight="1">
      <c r="A34" s="5"/>
      <c r="B34" s="3" t="s">
        <v>1076</v>
      </c>
      <c r="C34" s="86"/>
      <c r="D34" s="85" t="s">
        <v>692</v>
      </c>
      <c r="E34" s="111" t="s">
        <v>865</v>
      </c>
      <c r="F34" s="5"/>
      <c r="G34" s="5"/>
    </row>
    <row r="35" spans="1:7" ht="12" customHeight="1">
      <c r="A35" s="5"/>
      <c r="B35" s="5"/>
      <c r="C35" s="83"/>
      <c r="D35" s="86"/>
      <c r="E35" s="96" t="s">
        <v>702</v>
      </c>
      <c r="F35" s="97"/>
      <c r="G35" s="5"/>
    </row>
    <row r="36" spans="1:7" ht="12" customHeight="1">
      <c r="A36" s="3" t="s">
        <v>703</v>
      </c>
      <c r="B36" s="3" t="s">
        <v>704</v>
      </c>
      <c r="C36" s="83"/>
      <c r="D36" s="86"/>
      <c r="E36" s="86"/>
      <c r="F36" s="5"/>
      <c r="G36" s="5"/>
    </row>
    <row r="37" spans="1:7" ht="12" customHeight="1">
      <c r="A37" s="5"/>
      <c r="B37" s="5"/>
      <c r="C37" s="83"/>
      <c r="D37" s="86"/>
      <c r="E37" s="86"/>
      <c r="F37" s="5"/>
      <c r="G37" s="5"/>
    </row>
    <row r="38" spans="1:7" ht="12" customHeight="1">
      <c r="A38" s="5"/>
      <c r="B38" s="5"/>
      <c r="C38" s="83"/>
      <c r="D38" s="86"/>
      <c r="E38" s="96" t="s">
        <v>705</v>
      </c>
      <c r="F38" s="97"/>
      <c r="G38" s="5"/>
    </row>
    <row r="39" spans="1:7" ht="12" customHeight="1">
      <c r="A39" s="5"/>
      <c r="B39" s="5"/>
      <c r="C39" s="83"/>
      <c r="D39" s="86"/>
      <c r="E39" s="86"/>
      <c r="F39" s="5"/>
      <c r="G39" s="5"/>
    </row>
    <row r="40" spans="1:7" ht="12" customHeight="1">
      <c r="A40" s="3" t="s">
        <v>706</v>
      </c>
      <c r="B40" s="96" t="s">
        <v>707</v>
      </c>
      <c r="C40" s="102"/>
      <c r="D40" s="102"/>
      <c r="E40" s="102"/>
      <c r="F40" s="97"/>
      <c r="G40" s="5"/>
    </row>
    <row r="41" spans="1:7" ht="12" customHeight="1">
      <c r="A41" s="3" t="s">
        <v>708</v>
      </c>
      <c r="B41" s="92" t="s">
        <v>876</v>
      </c>
      <c r="C41" s="93"/>
      <c r="D41" s="93"/>
      <c r="E41" s="96" t="s">
        <v>710</v>
      </c>
      <c r="F41" s="97"/>
      <c r="G41" s="5"/>
    </row>
    <row r="42" spans="1:7" ht="12" customHeight="1">
      <c r="A42" s="3" t="s">
        <v>711</v>
      </c>
      <c r="B42" s="96" t="s">
        <v>712</v>
      </c>
      <c r="C42" s="102"/>
      <c r="D42" s="102"/>
      <c r="E42" s="102"/>
      <c r="F42" s="97"/>
      <c r="G42" s="5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3"/>
  </sheetPr>
  <dimension ref="B3:M198"/>
  <sheetViews>
    <sheetView view="pageBreakPreview" topLeftCell="A13" zoomScaleNormal="110" zoomScaleSheetLayoutView="100" workbookViewId="0">
      <pane ySplit="576" activePane="bottomLeft"/>
      <selection activeCell="M13" sqref="M13"/>
      <selection pane="bottomLeft" activeCell="E29" sqref="E29"/>
    </sheetView>
  </sheetViews>
  <sheetFormatPr defaultColWidth="9.109375" defaultRowHeight="14.4"/>
  <cols>
    <col min="1" max="1" width="9.109375" style="191"/>
    <col min="2" max="2" width="3.6640625" style="196" customWidth="1"/>
    <col min="3" max="3" width="32.33203125" style="191" customWidth="1"/>
    <col min="4" max="4" width="1.109375" style="191" customWidth="1"/>
    <col min="5" max="5" width="8.6640625" style="191" customWidth="1"/>
    <col min="6" max="6" width="7" style="191" customWidth="1"/>
    <col min="7" max="7" width="7.5546875" style="191" customWidth="1"/>
    <col min="8" max="8" width="9.109375" style="191"/>
    <col min="9" max="9" width="2.6640625" style="191" customWidth="1"/>
    <col min="10" max="10" width="13.44140625" style="197" customWidth="1"/>
    <col min="11" max="11" width="7.5546875" style="191" customWidth="1"/>
    <col min="12" max="12" width="9.109375" style="191"/>
    <col min="13" max="13" width="19.109375" style="191" customWidth="1"/>
    <col min="14" max="14" width="14.44140625" style="191" customWidth="1"/>
    <col min="15" max="16384" width="9.109375" style="191"/>
  </cols>
  <sheetData>
    <row r="3" spans="2:13" ht="25.8">
      <c r="B3" s="2065" t="s">
        <v>4534</v>
      </c>
      <c r="C3" s="2065"/>
      <c r="D3" s="2065"/>
      <c r="E3" s="2065"/>
      <c r="F3" s="2065"/>
      <c r="G3" s="2065"/>
      <c r="H3" s="2065"/>
      <c r="I3" s="2065"/>
      <c r="J3" s="2065"/>
      <c r="K3" s="2065"/>
    </row>
    <row r="4" spans="2:13" ht="15.6" hidden="1">
      <c r="B4" s="192" t="s">
        <v>2892</v>
      </c>
      <c r="C4" s="193"/>
      <c r="D4" s="191" t="s">
        <v>4532</v>
      </c>
      <c r="E4" s="194" t="s">
        <v>4535</v>
      </c>
      <c r="F4" s="194"/>
      <c r="G4" s="194"/>
      <c r="H4" s="194"/>
      <c r="I4" s="194"/>
      <c r="J4" s="195"/>
    </row>
    <row r="5" spans="2:13" ht="15.6" hidden="1">
      <c r="B5" s="192" t="s">
        <v>4536</v>
      </c>
      <c r="D5" s="191" t="s">
        <v>4532</v>
      </c>
      <c r="E5" s="194" t="s">
        <v>4537</v>
      </c>
      <c r="F5" s="194"/>
      <c r="G5" s="194"/>
      <c r="H5" s="194"/>
      <c r="I5" s="194"/>
      <c r="J5" s="195"/>
    </row>
    <row r="6" spans="2:13" ht="15.6" hidden="1">
      <c r="B6" s="192" t="s">
        <v>4538</v>
      </c>
      <c r="D6" s="191" t="s">
        <v>4532</v>
      </c>
      <c r="E6" s="194"/>
      <c r="F6" s="194"/>
      <c r="G6" s="194"/>
      <c r="H6" s="194"/>
      <c r="I6" s="194"/>
      <c r="J6" s="195"/>
    </row>
    <row r="7" spans="2:13" ht="15.6" hidden="1">
      <c r="B7" s="192" t="s">
        <v>4539</v>
      </c>
      <c r="D7" s="191" t="s">
        <v>4532</v>
      </c>
      <c r="E7" s="194"/>
      <c r="F7" s="194"/>
      <c r="G7" s="194"/>
      <c r="H7" s="194"/>
      <c r="I7" s="194"/>
      <c r="J7" s="195"/>
    </row>
    <row r="8" spans="2:13" ht="15.6" hidden="1">
      <c r="B8" s="192" t="s">
        <v>4540</v>
      </c>
      <c r="D8" s="191" t="s">
        <v>4532</v>
      </c>
      <c r="E8" s="194"/>
      <c r="F8" s="194"/>
      <c r="G8" s="194"/>
      <c r="H8" s="194"/>
      <c r="I8" s="194"/>
      <c r="J8" s="195"/>
    </row>
    <row r="9" spans="2:13" ht="15.6" hidden="1">
      <c r="B9" s="192" t="s">
        <v>4541</v>
      </c>
      <c r="D9" s="191" t="s">
        <v>4532</v>
      </c>
      <c r="E9" s="194"/>
      <c r="F9" s="194"/>
      <c r="G9" s="194"/>
      <c r="H9" s="194"/>
      <c r="I9" s="194"/>
      <c r="J9" s="195"/>
    </row>
    <row r="10" spans="2:13" ht="15.6" hidden="1">
      <c r="B10" s="192" t="s">
        <v>4542</v>
      </c>
      <c r="D10" s="191" t="s">
        <v>4532</v>
      </c>
      <c r="E10" s="194"/>
      <c r="F10" s="194"/>
      <c r="G10" s="194"/>
      <c r="H10" s="194"/>
      <c r="I10" s="194"/>
      <c r="J10" s="195"/>
    </row>
    <row r="11" spans="2:13" ht="15.6" hidden="1">
      <c r="B11" s="192" t="s">
        <v>4543</v>
      </c>
      <c r="D11" s="191" t="s">
        <v>4532</v>
      </c>
      <c r="E11" s="194"/>
      <c r="F11" s="194"/>
      <c r="G11" s="194"/>
      <c r="H11" s="194"/>
      <c r="I11" s="194"/>
      <c r="J11" s="195"/>
    </row>
    <row r="12" spans="2:13" ht="15" thickBot="1"/>
    <row r="13" spans="2:13" ht="15" thickTop="1">
      <c r="B13" s="198" t="s">
        <v>4544</v>
      </c>
      <c r="C13" s="199" t="s">
        <v>4545</v>
      </c>
      <c r="D13" s="2066" t="s">
        <v>4546</v>
      </c>
      <c r="E13" s="2067"/>
      <c r="F13" s="199" t="s">
        <v>4547</v>
      </c>
      <c r="G13" s="199" t="s">
        <v>4548</v>
      </c>
      <c r="H13" s="2068" t="s">
        <v>4549</v>
      </c>
      <c r="I13" s="2069"/>
      <c r="J13" s="200" t="s">
        <v>4550</v>
      </c>
      <c r="K13" s="201" t="s">
        <v>1006</v>
      </c>
    </row>
    <row r="14" spans="2:13">
      <c r="B14" s="202"/>
      <c r="C14" s="203"/>
      <c r="D14" s="204"/>
      <c r="E14" s="205"/>
      <c r="F14" s="206"/>
      <c r="G14" s="206"/>
      <c r="H14" s="207"/>
      <c r="I14" s="205"/>
      <c r="J14" s="208"/>
      <c r="K14" s="209"/>
      <c r="M14" s="423" t="e">
        <f>#REF!</f>
        <v>#REF!</v>
      </c>
    </row>
    <row r="15" spans="2:13">
      <c r="B15" s="210">
        <v>1</v>
      </c>
      <c r="C15" s="218" t="s">
        <v>4619</v>
      </c>
      <c r="D15" s="212"/>
      <c r="E15" s="215">
        <v>40</v>
      </c>
      <c r="F15" s="213">
        <v>2.25</v>
      </c>
      <c r="G15" s="213">
        <v>0.1</v>
      </c>
      <c r="H15" s="214"/>
      <c r="I15" s="215"/>
      <c r="J15" s="216">
        <f>E15*F15*G15</f>
        <v>9</v>
      </c>
      <c r="K15" s="217" t="s">
        <v>2646</v>
      </c>
    </row>
    <row r="16" spans="2:13">
      <c r="B16" s="210"/>
      <c r="C16" s="218" t="s">
        <v>4620</v>
      </c>
      <c r="D16" s="212"/>
      <c r="E16" s="215">
        <v>10</v>
      </c>
      <c r="F16" s="213">
        <v>4.5599999999999996</v>
      </c>
      <c r="G16" s="213">
        <v>0.1</v>
      </c>
      <c r="H16" s="214">
        <v>2</v>
      </c>
      <c r="I16" s="215"/>
      <c r="J16" s="216">
        <f>H16*G16*F16*E16</f>
        <v>9.1199999999999992</v>
      </c>
      <c r="K16" s="217" t="s">
        <v>2646</v>
      </c>
    </row>
    <row r="17" spans="2:11">
      <c r="B17" s="210"/>
      <c r="C17" s="218" t="s">
        <v>4621</v>
      </c>
      <c r="D17" s="212"/>
      <c r="E17" s="215">
        <v>10</v>
      </c>
      <c r="F17" s="213">
        <v>10</v>
      </c>
      <c r="G17" s="213">
        <v>0.1</v>
      </c>
      <c r="H17" s="214"/>
      <c r="I17" s="215"/>
      <c r="J17" s="216">
        <f>E17*F17*G17</f>
        <v>10</v>
      </c>
      <c r="K17" s="217" t="s">
        <v>2646</v>
      </c>
    </row>
    <row r="18" spans="2:11">
      <c r="B18" s="210"/>
      <c r="C18" s="218" t="s">
        <v>4622</v>
      </c>
      <c r="D18" s="212"/>
      <c r="E18" s="215">
        <v>60</v>
      </c>
      <c r="F18" s="213">
        <v>1.2</v>
      </c>
      <c r="G18" s="213">
        <v>0.1</v>
      </c>
      <c r="H18" s="214"/>
      <c r="I18" s="215"/>
      <c r="J18" s="216">
        <f>E18*F18*G18</f>
        <v>7.2</v>
      </c>
      <c r="K18" s="217" t="s">
        <v>2646</v>
      </c>
    </row>
    <row r="19" spans="2:11">
      <c r="B19" s="210"/>
      <c r="C19" s="218"/>
      <c r="D19" s="212"/>
      <c r="E19" s="215"/>
      <c r="F19" s="213"/>
      <c r="G19" s="213"/>
      <c r="H19" s="214"/>
      <c r="I19" s="215"/>
      <c r="J19" s="216">
        <f>SUM(J15:J18)</f>
        <v>35.32</v>
      </c>
      <c r="K19" s="217" t="s">
        <v>2646</v>
      </c>
    </row>
    <row r="20" spans="2:11">
      <c r="B20" s="210"/>
      <c r="C20" s="218"/>
      <c r="D20" s="212"/>
      <c r="E20" s="215"/>
      <c r="F20" s="213"/>
      <c r="G20" s="213"/>
      <c r="H20" s="214"/>
      <c r="I20" s="215"/>
      <c r="J20" s="216"/>
      <c r="K20" s="217"/>
    </row>
    <row r="21" spans="2:11">
      <c r="B21" s="210">
        <v>2</v>
      </c>
      <c r="C21" s="218" t="s">
        <v>4623</v>
      </c>
      <c r="D21" s="212"/>
      <c r="E21" s="215">
        <v>0.4</v>
      </c>
      <c r="F21" s="213">
        <v>0.4</v>
      </c>
      <c r="G21" s="213">
        <v>1</v>
      </c>
      <c r="H21" s="214">
        <f>11+10</f>
        <v>21</v>
      </c>
      <c r="I21" s="215"/>
      <c r="J21" s="216">
        <f>H21*G21*F21*E21</f>
        <v>3.3600000000000003</v>
      </c>
      <c r="K21" s="217" t="s">
        <v>2646</v>
      </c>
    </row>
    <row r="22" spans="2:11">
      <c r="B22" s="210"/>
      <c r="C22" s="218"/>
      <c r="D22" s="212"/>
      <c r="E22" s="215"/>
      <c r="F22" s="213"/>
      <c r="G22" s="213"/>
      <c r="H22" s="214"/>
      <c r="I22" s="215"/>
      <c r="J22" s="216"/>
      <c r="K22" s="217"/>
    </row>
    <row r="23" spans="2:11">
      <c r="B23" s="210">
        <v>3</v>
      </c>
      <c r="C23" s="218" t="s">
        <v>4624</v>
      </c>
      <c r="D23" s="212"/>
      <c r="E23" s="215">
        <v>1</v>
      </c>
      <c r="F23" s="213"/>
      <c r="G23" s="213"/>
      <c r="H23" s="214">
        <f>H21</f>
        <v>21</v>
      </c>
      <c r="I23" s="215"/>
      <c r="J23" s="216">
        <f>H23*E23</f>
        <v>21</v>
      </c>
      <c r="K23" s="217" t="s">
        <v>2944</v>
      </c>
    </row>
    <row r="24" spans="2:11">
      <c r="B24" s="210"/>
      <c r="C24" s="218"/>
      <c r="D24" s="212"/>
      <c r="E24" s="215"/>
      <c r="F24" s="213"/>
      <c r="G24" s="213"/>
      <c r="H24" s="214"/>
      <c r="I24" s="215"/>
      <c r="J24" s="216"/>
      <c r="K24" s="217"/>
    </row>
    <row r="25" spans="2:11">
      <c r="B25" s="210">
        <v>4</v>
      </c>
      <c r="C25" s="218" t="s">
        <v>4625</v>
      </c>
      <c r="D25" s="212"/>
      <c r="E25" s="215">
        <v>0.4</v>
      </c>
      <c r="F25" s="213"/>
      <c r="G25" s="213">
        <v>0.5</v>
      </c>
      <c r="H25" s="214">
        <v>5</v>
      </c>
      <c r="I25" s="215"/>
      <c r="J25" s="216">
        <f>H25*G25*E25</f>
        <v>1</v>
      </c>
      <c r="K25" s="217" t="s">
        <v>2647</v>
      </c>
    </row>
    <row r="26" spans="2:11">
      <c r="B26" s="210"/>
      <c r="C26" s="218"/>
      <c r="D26" s="212"/>
      <c r="E26" s="215"/>
      <c r="F26" s="213"/>
      <c r="G26" s="213"/>
      <c r="H26" s="214">
        <f>H23</f>
        <v>21</v>
      </c>
      <c r="I26" s="215"/>
      <c r="J26" s="216">
        <f>H26*J25</f>
        <v>21</v>
      </c>
      <c r="K26" s="217" t="s">
        <v>2647</v>
      </c>
    </row>
    <row r="27" spans="2:11">
      <c r="B27" s="210"/>
      <c r="C27" s="218"/>
      <c r="D27" s="212"/>
      <c r="E27" s="215"/>
      <c r="F27" s="213"/>
      <c r="G27" s="213"/>
      <c r="H27" s="214"/>
      <c r="I27" s="215"/>
      <c r="J27" s="216"/>
      <c r="K27" s="217"/>
    </row>
    <row r="28" spans="2:11">
      <c r="B28" s="210">
        <v>5</v>
      </c>
      <c r="C28" s="218" t="s">
        <v>4626</v>
      </c>
      <c r="D28" s="212"/>
      <c r="E28" s="215">
        <f>67+7.5</f>
        <v>74.5</v>
      </c>
      <c r="F28" s="213"/>
      <c r="G28" s="213">
        <v>0.3</v>
      </c>
      <c r="H28" s="214"/>
      <c r="I28" s="215"/>
      <c r="J28" s="216">
        <f>G28*E28</f>
        <v>22.349999999999998</v>
      </c>
      <c r="K28" s="217" t="s">
        <v>2647</v>
      </c>
    </row>
    <row r="29" spans="2:11">
      <c r="B29" s="210"/>
      <c r="C29" s="218"/>
      <c r="D29" s="212"/>
      <c r="E29" s="215"/>
      <c r="F29" s="213"/>
      <c r="G29" s="213"/>
      <c r="H29" s="214"/>
      <c r="I29" s="215"/>
      <c r="J29" s="216"/>
      <c r="K29" s="217"/>
    </row>
    <row r="30" spans="2:11">
      <c r="B30" s="210">
        <v>6</v>
      </c>
      <c r="C30" s="218" t="s">
        <v>4653</v>
      </c>
      <c r="D30" s="212"/>
      <c r="E30" s="215"/>
      <c r="F30" s="213"/>
      <c r="G30" s="213"/>
      <c r="H30" s="214"/>
      <c r="I30" s="215"/>
      <c r="J30" s="216"/>
      <c r="K30" s="217"/>
    </row>
    <row r="31" spans="2:11">
      <c r="B31" s="210"/>
      <c r="C31" s="218" t="s">
        <v>4654</v>
      </c>
      <c r="D31" s="212"/>
      <c r="E31" s="215"/>
      <c r="F31" s="213"/>
      <c r="G31" s="213"/>
      <c r="H31" s="214"/>
      <c r="I31" s="215"/>
      <c r="J31" s="428">
        <v>6</v>
      </c>
      <c r="K31" s="217" t="s">
        <v>2666</v>
      </c>
    </row>
    <row r="32" spans="2:11">
      <c r="B32" s="210"/>
      <c r="C32" s="218" t="s">
        <v>4655</v>
      </c>
      <c r="D32" s="212"/>
      <c r="E32" s="215"/>
      <c r="F32" s="213"/>
      <c r="G32" s="213"/>
      <c r="H32" s="214"/>
      <c r="I32" s="215"/>
      <c r="J32" s="428">
        <f>(118+25)/0.3</f>
        <v>476.66666666666669</v>
      </c>
      <c r="K32" s="217" t="s">
        <v>2666</v>
      </c>
    </row>
    <row r="33" spans="2:13">
      <c r="B33" s="210"/>
      <c r="C33" s="218" t="s">
        <v>4656</v>
      </c>
      <c r="D33" s="212"/>
      <c r="E33" s="215">
        <f>58+5.9</f>
        <v>63.9</v>
      </c>
      <c r="F33" s="213">
        <v>2.25</v>
      </c>
      <c r="G33" s="213"/>
      <c r="H33" s="214"/>
      <c r="I33" s="215"/>
      <c r="J33" s="428">
        <f>F33*E33</f>
        <v>143.77500000000001</v>
      </c>
      <c r="K33" s="217" t="s">
        <v>2647</v>
      </c>
    </row>
    <row r="34" spans="2:13">
      <c r="B34" s="210"/>
      <c r="C34" s="218"/>
      <c r="D34" s="212"/>
      <c r="E34" s="215"/>
      <c r="F34" s="213"/>
      <c r="G34" s="213"/>
      <c r="H34" s="214"/>
      <c r="I34" s="215"/>
      <c r="J34" s="428"/>
      <c r="K34" s="217"/>
    </row>
    <row r="35" spans="2:13">
      <c r="B35" s="210"/>
      <c r="C35" s="218" t="s">
        <v>4707</v>
      </c>
      <c r="D35" s="212"/>
      <c r="E35" s="215"/>
      <c r="F35" s="213"/>
      <c r="G35" s="213"/>
      <c r="H35" s="214"/>
      <c r="I35" s="215"/>
      <c r="J35" s="428"/>
      <c r="K35" s="217"/>
    </row>
    <row r="36" spans="2:13">
      <c r="B36" s="210"/>
      <c r="C36" s="218" t="s">
        <v>4663</v>
      </c>
      <c r="D36" s="212"/>
      <c r="E36" s="215"/>
      <c r="F36" s="213"/>
      <c r="G36" s="213"/>
      <c r="H36" s="214"/>
      <c r="I36" s="215"/>
      <c r="J36" s="428">
        <v>27</v>
      </c>
      <c r="K36" s="217" t="s">
        <v>2666</v>
      </c>
    </row>
    <row r="37" spans="2:13">
      <c r="B37" s="210"/>
      <c r="C37" s="218" t="s">
        <v>4655</v>
      </c>
      <c r="D37" s="212"/>
      <c r="E37" s="215"/>
      <c r="F37" s="213"/>
      <c r="G37" s="213"/>
      <c r="H37" s="214"/>
      <c r="I37" s="215"/>
      <c r="J37" s="428">
        <f>30+(12/0.3)</f>
        <v>70</v>
      </c>
      <c r="K37" s="217" t="s">
        <v>2666</v>
      </c>
    </row>
    <row r="38" spans="2:13">
      <c r="B38" s="210"/>
      <c r="C38" s="218" t="s">
        <v>4664</v>
      </c>
      <c r="D38" s="212"/>
      <c r="E38" s="215"/>
      <c r="F38" s="213"/>
      <c r="G38" s="213"/>
      <c r="H38" s="214"/>
      <c r="I38" s="215"/>
      <c r="J38" s="428">
        <v>70</v>
      </c>
      <c r="K38" s="217" t="s">
        <v>2666</v>
      </c>
      <c r="M38" s="191">
        <f>12/0.2</f>
        <v>60</v>
      </c>
    </row>
    <row r="39" spans="2:13">
      <c r="B39" s="210"/>
      <c r="C39" s="218" t="s">
        <v>4668</v>
      </c>
      <c r="D39" s="212"/>
      <c r="E39" s="215"/>
      <c r="F39" s="213"/>
      <c r="G39" s="213"/>
      <c r="H39" s="214"/>
      <c r="I39" s="215"/>
      <c r="J39" s="428">
        <v>50</v>
      </c>
      <c r="K39" s="217" t="s">
        <v>2666</v>
      </c>
    </row>
    <row r="40" spans="2:13">
      <c r="B40" s="210"/>
      <c r="C40" s="218" t="s">
        <v>4675</v>
      </c>
      <c r="D40" s="212"/>
      <c r="E40" s="215"/>
      <c r="F40" s="213"/>
      <c r="G40" s="213"/>
      <c r="H40" s="214"/>
      <c r="I40" s="215"/>
      <c r="J40" s="428">
        <f>12/0.2</f>
        <v>60</v>
      </c>
      <c r="K40" s="217" t="s">
        <v>2666</v>
      </c>
    </row>
    <row r="41" spans="2:13">
      <c r="B41" s="210"/>
      <c r="C41" s="218" t="s">
        <v>4679</v>
      </c>
      <c r="D41" s="212"/>
      <c r="E41" s="215"/>
      <c r="F41" s="213"/>
      <c r="G41" s="213"/>
      <c r="H41" s="214"/>
      <c r="I41" s="215"/>
      <c r="J41" s="428">
        <v>120</v>
      </c>
      <c r="K41" s="217" t="s">
        <v>2666</v>
      </c>
    </row>
    <row r="42" spans="2:13">
      <c r="B42" s="210"/>
      <c r="C42" s="218" t="s">
        <v>4680</v>
      </c>
      <c r="D42" s="212"/>
      <c r="E42" s="215"/>
      <c r="F42" s="213"/>
      <c r="G42" s="213"/>
      <c r="H42" s="214"/>
      <c r="I42" s="215"/>
      <c r="J42" s="428">
        <v>20</v>
      </c>
      <c r="K42" s="217" t="s">
        <v>2666</v>
      </c>
    </row>
    <row r="43" spans="2:13">
      <c r="B43" s="210"/>
      <c r="C43" s="218" t="s">
        <v>4681</v>
      </c>
      <c r="D43" s="212"/>
      <c r="E43" s="215">
        <f>71.43+9.42</f>
        <v>80.850000000000009</v>
      </c>
      <c r="F43" s="213">
        <v>1.2</v>
      </c>
      <c r="G43" s="213"/>
      <c r="H43" s="214"/>
      <c r="I43" s="215"/>
      <c r="J43" s="216">
        <v>99</v>
      </c>
      <c r="K43" s="217" t="s">
        <v>2647</v>
      </c>
    </row>
    <row r="44" spans="2:13">
      <c r="B44" s="210"/>
      <c r="C44" s="218" t="s">
        <v>4682</v>
      </c>
      <c r="D44" s="212"/>
      <c r="E44" s="215"/>
      <c r="F44" s="213"/>
      <c r="G44" s="213"/>
      <c r="H44" s="214"/>
      <c r="I44" s="215"/>
      <c r="J44" s="216">
        <v>70</v>
      </c>
      <c r="K44" s="217" t="s">
        <v>2666</v>
      </c>
    </row>
    <row r="45" spans="2:13">
      <c r="B45" s="210"/>
      <c r="C45" s="218"/>
      <c r="D45" s="212"/>
      <c r="E45" s="215"/>
      <c r="F45" s="213"/>
      <c r="G45" s="213"/>
      <c r="H45" s="214"/>
      <c r="I45" s="215"/>
      <c r="J45" s="216"/>
      <c r="K45" s="217"/>
    </row>
    <row r="46" spans="2:13">
      <c r="B46" s="210"/>
      <c r="C46" s="218" t="s">
        <v>4708</v>
      </c>
      <c r="D46" s="212"/>
      <c r="E46" s="215"/>
      <c r="F46" s="213"/>
      <c r="G46" s="213"/>
      <c r="H46" s="214"/>
      <c r="I46" s="215"/>
      <c r="J46" s="216"/>
      <c r="K46" s="217"/>
    </row>
    <row r="47" spans="2:13">
      <c r="B47" s="210"/>
      <c r="C47" s="218" t="s">
        <v>4654</v>
      </c>
      <c r="D47" s="212"/>
      <c r="E47" s="215"/>
      <c r="F47" s="213"/>
      <c r="G47" s="213"/>
      <c r="H47" s="214"/>
      <c r="I47" s="215"/>
      <c r="J47" s="428">
        <v>11</v>
      </c>
      <c r="K47" s="217" t="s">
        <v>2666</v>
      </c>
    </row>
    <row r="48" spans="2:13">
      <c r="B48" s="210"/>
      <c r="C48" s="218" t="s">
        <v>4655</v>
      </c>
      <c r="D48" s="212"/>
      <c r="E48" s="215"/>
      <c r="F48" s="213"/>
      <c r="G48" s="213"/>
      <c r="H48" s="214"/>
      <c r="I48" s="215"/>
      <c r="J48" s="428">
        <f>200/0.3</f>
        <v>666.66666666666674</v>
      </c>
      <c r="K48" s="217" t="s">
        <v>2666</v>
      </c>
    </row>
    <row r="49" spans="2:11">
      <c r="B49" s="210"/>
      <c r="C49" s="218" t="s">
        <v>4680</v>
      </c>
      <c r="D49" s="212"/>
      <c r="E49" s="215"/>
      <c r="F49" s="213"/>
      <c r="G49" s="213"/>
      <c r="H49" s="214"/>
      <c r="I49" s="215"/>
      <c r="J49" s="216">
        <f>15/0.3</f>
        <v>50</v>
      </c>
      <c r="K49" s="217" t="s">
        <v>2666</v>
      </c>
    </row>
    <row r="50" spans="2:11">
      <c r="B50" s="210"/>
      <c r="C50" s="218" t="s">
        <v>4709</v>
      </c>
      <c r="D50" s="212"/>
      <c r="E50" s="215"/>
      <c r="F50" s="213"/>
      <c r="G50" s="213"/>
      <c r="H50" s="214"/>
      <c r="I50" s="215"/>
      <c r="J50" s="216">
        <v>8</v>
      </c>
      <c r="K50" s="217" t="s">
        <v>2666</v>
      </c>
    </row>
    <row r="51" spans="2:11">
      <c r="B51" s="210"/>
      <c r="C51" s="218" t="s">
        <v>4710</v>
      </c>
      <c r="D51" s="212"/>
      <c r="E51" s="215"/>
      <c r="F51" s="213"/>
      <c r="G51" s="213"/>
      <c r="H51" s="214"/>
      <c r="I51" s="215"/>
      <c r="J51" s="216">
        <v>60</v>
      </c>
      <c r="K51" s="217" t="s">
        <v>2666</v>
      </c>
    </row>
    <row r="52" spans="2:11">
      <c r="B52" s="210"/>
      <c r="C52" s="218" t="s">
        <v>4711</v>
      </c>
      <c r="D52" s="212"/>
      <c r="E52" s="215"/>
      <c r="F52" s="213"/>
      <c r="G52" s="213"/>
      <c r="H52" s="214"/>
      <c r="I52" s="215"/>
      <c r="J52" s="216">
        <v>20</v>
      </c>
      <c r="K52" s="217" t="s">
        <v>2666</v>
      </c>
    </row>
    <row r="53" spans="2:11">
      <c r="B53" s="210"/>
      <c r="C53" s="218" t="s">
        <v>4712</v>
      </c>
      <c r="D53" s="212"/>
      <c r="E53" s="215"/>
      <c r="F53" s="213"/>
      <c r="G53" s="213"/>
      <c r="H53" s="214"/>
      <c r="I53" s="215"/>
      <c r="J53" s="216">
        <v>20</v>
      </c>
      <c r="K53" s="217" t="s">
        <v>2666</v>
      </c>
    </row>
    <row r="54" spans="2:11">
      <c r="B54" s="210"/>
      <c r="C54" s="218" t="s">
        <v>4719</v>
      </c>
      <c r="D54" s="212"/>
      <c r="E54" s="215"/>
      <c r="F54" s="213"/>
      <c r="G54" s="213"/>
      <c r="H54" s="214"/>
      <c r="I54" s="215"/>
      <c r="J54" s="216">
        <v>30</v>
      </c>
      <c r="K54" s="217" t="s">
        <v>2666</v>
      </c>
    </row>
    <row r="55" spans="2:11">
      <c r="B55" s="210"/>
      <c r="C55" s="218" t="s">
        <v>4715</v>
      </c>
      <c r="D55" s="212"/>
      <c r="E55" s="215"/>
      <c r="F55" s="213"/>
      <c r="G55" s="213"/>
      <c r="H55" s="214"/>
      <c r="I55" s="215"/>
      <c r="J55" s="216">
        <v>3</v>
      </c>
      <c r="K55" s="217" t="s">
        <v>2666</v>
      </c>
    </row>
    <row r="56" spans="2:11">
      <c r="B56" s="210"/>
      <c r="C56" s="218"/>
      <c r="D56" s="212"/>
      <c r="E56" s="215"/>
      <c r="F56" s="213"/>
      <c r="G56" s="213"/>
      <c r="H56" s="214"/>
      <c r="I56" s="215"/>
      <c r="J56" s="216"/>
      <c r="K56" s="217"/>
    </row>
    <row r="57" spans="2:11">
      <c r="B57" s="210"/>
      <c r="C57" s="218" t="s">
        <v>4717</v>
      </c>
      <c r="D57" s="212"/>
      <c r="E57" s="215"/>
      <c r="F57" s="213"/>
      <c r="G57" s="213"/>
      <c r="H57" s="214"/>
      <c r="I57" s="215"/>
      <c r="J57" s="216"/>
      <c r="K57" s="217"/>
    </row>
    <row r="58" spans="2:11">
      <c r="B58" s="210"/>
      <c r="C58" s="218" t="s">
        <v>4716</v>
      </c>
      <c r="D58" s="212"/>
      <c r="E58" s="215"/>
      <c r="F58" s="213"/>
      <c r="G58" s="213"/>
      <c r="H58" s="214"/>
      <c r="I58" s="215"/>
      <c r="J58" s="216">
        <v>60</v>
      </c>
      <c r="K58" s="217" t="s">
        <v>2666</v>
      </c>
    </row>
    <row r="59" spans="2:11">
      <c r="B59" s="210"/>
      <c r="C59" s="218" t="s">
        <v>4711</v>
      </c>
      <c r="D59" s="212"/>
      <c r="E59" s="215"/>
      <c r="F59" s="213"/>
      <c r="G59" s="213"/>
      <c r="H59" s="214"/>
      <c r="I59" s="215"/>
      <c r="J59" s="216">
        <v>40</v>
      </c>
      <c r="K59" s="217" t="s">
        <v>2666</v>
      </c>
    </row>
    <row r="60" spans="2:11">
      <c r="B60" s="210"/>
      <c r="C60" s="218" t="s">
        <v>4719</v>
      </c>
      <c r="D60" s="212"/>
      <c r="E60" s="215"/>
      <c r="F60" s="213"/>
      <c r="G60" s="213"/>
      <c r="H60" s="214"/>
      <c r="I60" s="215"/>
      <c r="J60" s="216">
        <v>50</v>
      </c>
      <c r="K60" s="217" t="s">
        <v>2666</v>
      </c>
    </row>
    <row r="61" spans="2:11">
      <c r="B61" s="210"/>
      <c r="C61" s="218" t="s">
        <v>4680</v>
      </c>
      <c r="D61" s="212"/>
      <c r="E61" s="215"/>
      <c r="F61" s="213"/>
      <c r="G61" s="213"/>
      <c r="H61" s="214"/>
      <c r="I61" s="215"/>
      <c r="J61" s="216">
        <v>40</v>
      </c>
      <c r="K61" s="217" t="s">
        <v>2666</v>
      </c>
    </row>
    <row r="62" spans="2:11">
      <c r="B62" s="210"/>
      <c r="C62" s="218" t="s">
        <v>4682</v>
      </c>
      <c r="D62" s="212"/>
      <c r="E62" s="215"/>
      <c r="F62" s="213"/>
      <c r="G62" s="213"/>
      <c r="H62" s="214"/>
      <c r="I62" s="215"/>
      <c r="J62" s="216">
        <v>6</v>
      </c>
      <c r="K62" s="217" t="s">
        <v>2666</v>
      </c>
    </row>
    <row r="63" spans="2:11">
      <c r="B63" s="210"/>
      <c r="C63" s="218" t="s">
        <v>4721</v>
      </c>
      <c r="D63" s="212"/>
      <c r="E63" s="215"/>
      <c r="F63" s="213"/>
      <c r="G63" s="213"/>
      <c r="H63" s="214"/>
      <c r="I63" s="215"/>
      <c r="J63" s="216">
        <v>60</v>
      </c>
      <c r="K63" s="217" t="s">
        <v>2666</v>
      </c>
    </row>
    <row r="64" spans="2:11">
      <c r="B64" s="210"/>
      <c r="C64" s="218" t="s">
        <v>4722</v>
      </c>
      <c r="D64" s="212"/>
      <c r="E64" s="215"/>
      <c r="F64" s="213"/>
      <c r="G64" s="213"/>
      <c r="H64" s="214"/>
      <c r="I64" s="215"/>
      <c r="J64" s="216"/>
      <c r="K64" s="217"/>
    </row>
    <row r="65" spans="2:11">
      <c r="B65" s="210"/>
      <c r="C65" s="218"/>
      <c r="D65" s="212"/>
      <c r="E65" s="215"/>
      <c r="F65" s="213"/>
      <c r="G65" s="213"/>
      <c r="H65" s="214"/>
      <c r="I65" s="215"/>
      <c r="J65" s="216"/>
      <c r="K65" s="217"/>
    </row>
    <row r="66" spans="2:11">
      <c r="B66" s="210"/>
      <c r="C66" s="218"/>
      <c r="D66" s="212"/>
      <c r="E66" s="215"/>
      <c r="F66" s="213"/>
      <c r="G66" s="213"/>
      <c r="H66" s="214"/>
      <c r="I66" s="215"/>
      <c r="J66" s="216"/>
      <c r="K66" s="217"/>
    </row>
    <row r="67" spans="2:11">
      <c r="B67" s="210">
        <v>7</v>
      </c>
      <c r="C67" s="218" t="s">
        <v>4698</v>
      </c>
      <c r="D67" s="212"/>
      <c r="E67" s="215">
        <f>(0.87+0.72)/2</f>
        <v>0.79499999999999993</v>
      </c>
      <c r="F67" s="213">
        <f>(0.24+0.16)/2</f>
        <v>0.2</v>
      </c>
      <c r="G67" s="213"/>
      <c r="H67" s="214">
        <v>2</v>
      </c>
      <c r="I67" s="215"/>
      <c r="J67" s="216">
        <f>H67*F67*E67</f>
        <v>0.318</v>
      </c>
      <c r="K67" s="217" t="s">
        <v>2647</v>
      </c>
    </row>
    <row r="68" spans="2:11">
      <c r="B68" s="210"/>
      <c r="C68" s="218"/>
      <c r="D68" s="212"/>
      <c r="E68" s="215">
        <v>0.27</v>
      </c>
      <c r="F68" s="213">
        <v>0.2</v>
      </c>
      <c r="G68" s="213"/>
      <c r="H68" s="214">
        <v>2</v>
      </c>
      <c r="I68" s="215"/>
      <c r="J68" s="216">
        <f t="shared" ref="J68:J74" si="0">H68*F68*E68</f>
        <v>0.10800000000000001</v>
      </c>
      <c r="K68" s="217" t="s">
        <v>2647</v>
      </c>
    </row>
    <row r="69" spans="2:11">
      <c r="B69" s="210"/>
      <c r="C69" s="218"/>
      <c r="D69" s="212"/>
      <c r="E69" s="215">
        <v>0.42</v>
      </c>
      <c r="F69" s="213">
        <v>0.17</v>
      </c>
      <c r="G69" s="213"/>
      <c r="H69" s="214">
        <v>2</v>
      </c>
      <c r="I69" s="215"/>
      <c r="J69" s="216">
        <f t="shared" si="0"/>
        <v>0.14280000000000001</v>
      </c>
      <c r="K69" s="217" t="s">
        <v>2647</v>
      </c>
    </row>
    <row r="70" spans="2:11">
      <c r="B70" s="210"/>
      <c r="C70" s="218"/>
      <c r="D70" s="212"/>
      <c r="E70" s="215">
        <v>0.35</v>
      </c>
      <c r="F70" s="213">
        <v>0.38</v>
      </c>
      <c r="G70" s="213"/>
      <c r="H70" s="214">
        <v>2</v>
      </c>
      <c r="I70" s="215"/>
      <c r="J70" s="216">
        <f t="shared" si="0"/>
        <v>0.26599999999999996</v>
      </c>
      <c r="K70" s="217" t="s">
        <v>2647</v>
      </c>
    </row>
    <row r="71" spans="2:11">
      <c r="B71" s="210"/>
      <c r="C71" s="218"/>
      <c r="D71" s="212"/>
      <c r="E71" s="215">
        <v>0.65</v>
      </c>
      <c r="F71" s="213">
        <v>0.18</v>
      </c>
      <c r="G71" s="213"/>
      <c r="H71" s="214">
        <v>2</v>
      </c>
      <c r="I71" s="215"/>
      <c r="J71" s="216">
        <f t="shared" si="0"/>
        <v>0.23399999999999999</v>
      </c>
      <c r="K71" s="217" t="s">
        <v>2647</v>
      </c>
    </row>
    <row r="72" spans="2:11">
      <c r="B72" s="210"/>
      <c r="C72" s="218"/>
      <c r="D72" s="212"/>
      <c r="E72" s="215">
        <v>0.44</v>
      </c>
      <c r="F72" s="213">
        <v>0.18</v>
      </c>
      <c r="G72" s="213"/>
      <c r="H72" s="214">
        <v>2</v>
      </c>
      <c r="I72" s="215"/>
      <c r="J72" s="216">
        <f t="shared" si="0"/>
        <v>0.15839999999999999</v>
      </c>
      <c r="K72" s="217" t="s">
        <v>2647</v>
      </c>
    </row>
    <row r="73" spans="2:11">
      <c r="B73" s="210"/>
      <c r="C73" s="218"/>
      <c r="D73" s="212"/>
      <c r="E73" s="215">
        <v>0.25</v>
      </c>
      <c r="F73" s="213">
        <v>0.18</v>
      </c>
      <c r="G73" s="213"/>
      <c r="H73" s="214">
        <v>2</v>
      </c>
      <c r="I73" s="215"/>
      <c r="J73" s="216">
        <f t="shared" si="0"/>
        <v>0.09</v>
      </c>
      <c r="K73" s="217" t="s">
        <v>2647</v>
      </c>
    </row>
    <row r="74" spans="2:11">
      <c r="B74" s="210"/>
      <c r="C74" s="218"/>
      <c r="D74" s="212"/>
      <c r="E74" s="215">
        <f>0.17+0.85+0.1+0.24+0.44+0.88+0.5+0.5+0.2+0.23+0.23+0.23+0.3+0.7+0.7+0.2+0.3+0.5</f>
        <v>7.2700000000000014</v>
      </c>
      <c r="F74" s="213">
        <v>0.1</v>
      </c>
      <c r="G74" s="213"/>
      <c r="H74" s="214">
        <v>1</v>
      </c>
      <c r="I74" s="215"/>
      <c r="J74" s="216">
        <f t="shared" si="0"/>
        <v>0.7270000000000002</v>
      </c>
      <c r="K74" s="217" t="s">
        <v>2647</v>
      </c>
    </row>
    <row r="75" spans="2:11">
      <c r="B75" s="210"/>
      <c r="C75" s="218"/>
      <c r="D75" s="212"/>
      <c r="E75" s="215"/>
      <c r="F75" s="213"/>
      <c r="G75" s="213"/>
      <c r="H75" s="214"/>
      <c r="I75" s="215"/>
      <c r="J75" s="216">
        <f>SUM(J67:J74)</f>
        <v>2.0442</v>
      </c>
      <c r="K75" s="217" t="s">
        <v>2647</v>
      </c>
    </row>
    <row r="76" spans="2:11">
      <c r="B76" s="210"/>
      <c r="C76" s="218"/>
      <c r="D76" s="212"/>
      <c r="E76" s="215"/>
      <c r="F76" s="213"/>
      <c r="G76" s="213"/>
      <c r="H76" s="214"/>
      <c r="I76" s="215"/>
      <c r="J76" s="216"/>
      <c r="K76" s="217"/>
    </row>
    <row r="77" spans="2:11">
      <c r="B77" s="210">
        <v>8</v>
      </c>
      <c r="C77" s="218" t="s">
        <v>4699</v>
      </c>
      <c r="D77" s="212"/>
      <c r="E77" s="215">
        <v>0.93</v>
      </c>
      <c r="F77" s="213">
        <v>0.25</v>
      </c>
      <c r="G77" s="213"/>
      <c r="H77" s="214">
        <v>2</v>
      </c>
      <c r="I77" s="215"/>
      <c r="J77" s="216">
        <f t="shared" ref="J77:J84" si="1">H77*F77*E77</f>
        <v>0.46500000000000002</v>
      </c>
      <c r="K77" s="217" t="s">
        <v>2647</v>
      </c>
    </row>
    <row r="78" spans="2:11">
      <c r="B78" s="210"/>
      <c r="C78" s="218"/>
      <c r="D78" s="212"/>
      <c r="E78" s="215">
        <v>0.47</v>
      </c>
      <c r="F78" s="213">
        <v>0.25</v>
      </c>
      <c r="G78" s="213"/>
      <c r="H78" s="214">
        <v>2</v>
      </c>
      <c r="I78" s="215"/>
      <c r="J78" s="216">
        <f t="shared" si="1"/>
        <v>0.23499999999999999</v>
      </c>
      <c r="K78" s="217" t="s">
        <v>2647</v>
      </c>
    </row>
    <row r="79" spans="2:11">
      <c r="B79" s="210"/>
      <c r="C79" s="218"/>
      <c r="D79" s="212"/>
      <c r="E79" s="215">
        <v>0.55000000000000004</v>
      </c>
      <c r="F79" s="213">
        <v>0.2</v>
      </c>
      <c r="G79" s="213"/>
      <c r="H79" s="214">
        <v>2</v>
      </c>
      <c r="I79" s="215"/>
      <c r="J79" s="216">
        <f t="shared" si="1"/>
        <v>0.22000000000000003</v>
      </c>
      <c r="K79" s="217" t="s">
        <v>2647</v>
      </c>
    </row>
    <row r="80" spans="2:11">
      <c r="B80" s="210"/>
      <c r="C80" s="218"/>
      <c r="D80" s="212"/>
      <c r="E80" s="215">
        <v>0.64</v>
      </c>
      <c r="F80" s="213">
        <v>0.34</v>
      </c>
      <c r="G80" s="213"/>
      <c r="H80" s="214">
        <v>2</v>
      </c>
      <c r="I80" s="215"/>
      <c r="J80" s="216">
        <f t="shared" si="1"/>
        <v>0.43520000000000003</v>
      </c>
      <c r="K80" s="217" t="s">
        <v>2647</v>
      </c>
    </row>
    <row r="81" spans="2:11">
      <c r="B81" s="210"/>
      <c r="C81" s="218"/>
      <c r="D81" s="212"/>
      <c r="E81" s="215">
        <v>0.32</v>
      </c>
      <c r="F81" s="213">
        <v>0.27</v>
      </c>
      <c r="G81" s="213"/>
      <c r="H81" s="214">
        <v>2</v>
      </c>
      <c r="I81" s="215"/>
      <c r="J81" s="216">
        <f t="shared" si="1"/>
        <v>0.17280000000000001</v>
      </c>
      <c r="K81" s="217" t="s">
        <v>2647</v>
      </c>
    </row>
    <row r="82" spans="2:11">
      <c r="B82" s="210"/>
      <c r="C82" s="218"/>
      <c r="D82" s="212"/>
      <c r="E82" s="215">
        <v>0.3</v>
      </c>
      <c r="F82" s="213">
        <v>0.1</v>
      </c>
      <c r="G82" s="213"/>
      <c r="H82" s="214">
        <v>2</v>
      </c>
      <c r="I82" s="215"/>
      <c r="J82" s="216">
        <f t="shared" si="1"/>
        <v>0.06</v>
      </c>
      <c r="K82" s="217" t="s">
        <v>2647</v>
      </c>
    </row>
    <row r="83" spans="2:11">
      <c r="B83" s="210"/>
      <c r="C83" s="218"/>
      <c r="D83" s="212"/>
      <c r="E83" s="215">
        <v>0.3</v>
      </c>
      <c r="F83" s="213">
        <v>0.1</v>
      </c>
      <c r="G83" s="213"/>
      <c r="H83" s="214">
        <v>2</v>
      </c>
      <c r="I83" s="215"/>
      <c r="J83" s="216">
        <f t="shared" si="1"/>
        <v>0.06</v>
      </c>
      <c r="K83" s="217" t="s">
        <v>2647</v>
      </c>
    </row>
    <row r="84" spans="2:11">
      <c r="B84" s="210"/>
      <c r="C84" s="218"/>
      <c r="D84" s="212"/>
      <c r="E84" s="215">
        <f>1.76+0.79+0.96+1.3+0.4+0.4+0.2+0.4+0.4+0.28+0.12</f>
        <v>7.0100000000000016</v>
      </c>
      <c r="F84" s="213">
        <v>0.1</v>
      </c>
      <c r="G84" s="213"/>
      <c r="H84" s="214">
        <v>1</v>
      </c>
      <c r="I84" s="215"/>
      <c r="J84" s="216">
        <f t="shared" si="1"/>
        <v>0.70100000000000018</v>
      </c>
      <c r="K84" s="217" t="s">
        <v>2647</v>
      </c>
    </row>
    <row r="85" spans="2:11">
      <c r="B85" s="210"/>
      <c r="C85" s="218"/>
      <c r="D85" s="212"/>
      <c r="E85" s="215"/>
      <c r="F85" s="213"/>
      <c r="G85" s="213"/>
      <c r="H85" s="214"/>
      <c r="I85" s="215"/>
      <c r="J85" s="216">
        <f>SUM(J77:J84)</f>
        <v>2.3490000000000002</v>
      </c>
      <c r="K85" s="217" t="s">
        <v>2647</v>
      </c>
    </row>
    <row r="86" spans="2:11">
      <c r="B86" s="210"/>
      <c r="C86" s="218"/>
      <c r="D86" s="212"/>
      <c r="E86" s="215"/>
      <c r="F86" s="213"/>
      <c r="G86" s="213"/>
      <c r="H86" s="214"/>
      <c r="I86" s="215"/>
      <c r="J86" s="216"/>
      <c r="K86" s="217"/>
    </row>
    <row r="87" spans="2:11">
      <c r="B87" s="210">
        <v>9</v>
      </c>
      <c r="C87" s="218" t="s">
        <v>4700</v>
      </c>
      <c r="D87" s="212"/>
      <c r="E87" s="215">
        <v>0.79</v>
      </c>
      <c r="F87" s="213">
        <v>0.25</v>
      </c>
      <c r="G87" s="213"/>
      <c r="H87" s="214">
        <v>2</v>
      </c>
      <c r="I87" s="215"/>
      <c r="J87" s="216">
        <f t="shared" ref="J87:J95" si="2">H87*F87*E87</f>
        <v>0.39500000000000002</v>
      </c>
      <c r="K87" s="217" t="s">
        <v>2647</v>
      </c>
    </row>
    <row r="88" spans="2:11">
      <c r="B88" s="210"/>
      <c r="C88" s="218"/>
      <c r="D88" s="212"/>
      <c r="E88" s="215">
        <v>0.25</v>
      </c>
      <c r="F88" s="213">
        <v>0.25</v>
      </c>
      <c r="G88" s="213"/>
      <c r="H88" s="214">
        <v>2</v>
      </c>
      <c r="I88" s="215"/>
      <c r="J88" s="216">
        <f t="shared" si="2"/>
        <v>0.125</v>
      </c>
      <c r="K88" s="217" t="s">
        <v>2647</v>
      </c>
    </row>
    <row r="89" spans="2:11">
      <c r="B89" s="210"/>
      <c r="C89" s="218"/>
      <c r="D89" s="212"/>
      <c r="E89" s="215">
        <v>0.41</v>
      </c>
      <c r="F89" s="213">
        <v>0.23</v>
      </c>
      <c r="G89" s="213"/>
      <c r="H89" s="214">
        <v>2</v>
      </c>
      <c r="I89" s="215"/>
      <c r="J89" s="216">
        <f t="shared" si="2"/>
        <v>0.18859999999999999</v>
      </c>
      <c r="K89" s="217" t="s">
        <v>2647</v>
      </c>
    </row>
    <row r="90" spans="2:11">
      <c r="B90" s="210"/>
      <c r="C90" s="218"/>
      <c r="D90" s="212"/>
      <c r="E90" s="215">
        <v>0.27</v>
      </c>
      <c r="F90" s="213">
        <v>0.17</v>
      </c>
      <c r="G90" s="213"/>
      <c r="H90" s="214">
        <v>2</v>
      </c>
      <c r="I90" s="215"/>
      <c r="J90" s="216">
        <f t="shared" si="2"/>
        <v>9.1800000000000007E-2</v>
      </c>
      <c r="K90" s="217" t="s">
        <v>2647</v>
      </c>
    </row>
    <row r="91" spans="2:11">
      <c r="B91" s="210"/>
      <c r="C91" s="218"/>
      <c r="D91" s="212"/>
      <c r="E91" s="215">
        <v>0.25</v>
      </c>
      <c r="F91" s="213">
        <v>0.13</v>
      </c>
      <c r="G91" s="213"/>
      <c r="H91" s="214">
        <v>2</v>
      </c>
      <c r="I91" s="215"/>
      <c r="J91" s="216">
        <f t="shared" si="2"/>
        <v>6.5000000000000002E-2</v>
      </c>
      <c r="K91" s="217" t="s">
        <v>2647</v>
      </c>
    </row>
    <row r="92" spans="2:11">
      <c r="B92" s="210"/>
      <c r="C92" s="218"/>
      <c r="D92" s="212"/>
      <c r="E92" s="215">
        <v>0.25</v>
      </c>
      <c r="F92" s="213">
        <v>0.23</v>
      </c>
      <c r="G92" s="213"/>
      <c r="H92" s="214">
        <v>2</v>
      </c>
      <c r="I92" s="215"/>
      <c r="J92" s="216">
        <f t="shared" si="2"/>
        <v>0.115</v>
      </c>
      <c r="K92" s="217" t="s">
        <v>2647</v>
      </c>
    </row>
    <row r="93" spans="2:11">
      <c r="B93" s="210"/>
      <c r="C93" s="218"/>
      <c r="D93" s="212"/>
      <c r="E93" s="215">
        <v>0.48</v>
      </c>
      <c r="F93" s="213">
        <v>0.14000000000000001</v>
      </c>
      <c r="G93" s="213"/>
      <c r="H93" s="214">
        <v>2</v>
      </c>
      <c r="I93" s="215"/>
      <c r="J93" s="216">
        <f t="shared" si="2"/>
        <v>0.13440000000000002</v>
      </c>
      <c r="K93" s="217" t="s">
        <v>2647</v>
      </c>
    </row>
    <row r="94" spans="2:11">
      <c r="B94" s="210"/>
      <c r="C94" s="218"/>
      <c r="D94" s="212"/>
      <c r="E94" s="215">
        <v>0.19</v>
      </c>
      <c r="F94" s="213">
        <v>0.16</v>
      </c>
      <c r="G94" s="213"/>
      <c r="H94" s="214">
        <v>2</v>
      </c>
      <c r="I94" s="215"/>
      <c r="J94" s="216">
        <f t="shared" si="2"/>
        <v>6.08E-2</v>
      </c>
      <c r="K94" s="217" t="s">
        <v>2647</v>
      </c>
    </row>
    <row r="95" spans="2:11">
      <c r="B95" s="210"/>
      <c r="C95" s="218"/>
      <c r="D95" s="212"/>
      <c r="E95" s="215">
        <f>0.17+0.84+0.1+0.14+0.35+0.14+0.14+0.2+0.53+0.38+0.48+0.21+0.29+0.43+0.23+0.2+0.28+0.75</f>
        <v>5.8600000000000012</v>
      </c>
      <c r="F95" s="213">
        <v>0.1</v>
      </c>
      <c r="G95" s="213"/>
      <c r="H95" s="214">
        <v>1</v>
      </c>
      <c r="I95" s="215"/>
      <c r="J95" s="216">
        <f t="shared" si="2"/>
        <v>0.58600000000000019</v>
      </c>
      <c r="K95" s="217" t="s">
        <v>2647</v>
      </c>
    </row>
    <row r="96" spans="2:11">
      <c r="B96" s="210"/>
      <c r="C96" s="218"/>
      <c r="D96" s="212"/>
      <c r="E96" s="215"/>
      <c r="F96" s="213"/>
      <c r="G96" s="213"/>
      <c r="H96" s="214"/>
      <c r="I96" s="215"/>
      <c r="J96" s="216">
        <f>SUM(J87:J95)</f>
        <v>1.7616000000000001</v>
      </c>
      <c r="K96" s="217" t="s">
        <v>2647</v>
      </c>
    </row>
    <row r="97" spans="2:11">
      <c r="B97" s="210"/>
      <c r="C97" s="218"/>
      <c r="D97" s="212"/>
      <c r="E97" s="215"/>
      <c r="F97" s="213"/>
      <c r="G97" s="213"/>
      <c r="H97" s="214"/>
      <c r="I97" s="215"/>
      <c r="J97" s="216"/>
      <c r="K97" s="217"/>
    </row>
    <row r="98" spans="2:11">
      <c r="B98" s="210">
        <v>10</v>
      </c>
      <c r="C98" s="218" t="s">
        <v>4701</v>
      </c>
      <c r="D98" s="212"/>
      <c r="E98" s="215">
        <v>0.46</v>
      </c>
      <c r="F98" s="213">
        <v>0.25</v>
      </c>
      <c r="G98" s="213"/>
      <c r="H98" s="214">
        <v>2</v>
      </c>
      <c r="I98" s="215"/>
      <c r="J98" s="216">
        <f t="shared" ref="J98:J107" si="3">H98*F98*E98</f>
        <v>0.23</v>
      </c>
      <c r="K98" s="217" t="s">
        <v>2647</v>
      </c>
    </row>
    <row r="99" spans="2:11">
      <c r="B99" s="210"/>
      <c r="C99" s="218"/>
      <c r="D99" s="212"/>
      <c r="E99" s="215">
        <v>0.32</v>
      </c>
      <c r="F99" s="213">
        <v>0.35</v>
      </c>
      <c r="G99" s="213"/>
      <c r="H99" s="214">
        <v>2</v>
      </c>
      <c r="I99" s="215"/>
      <c r="J99" s="216">
        <f t="shared" si="3"/>
        <v>0.22399999999999998</v>
      </c>
      <c r="K99" s="217" t="s">
        <v>2647</v>
      </c>
    </row>
    <row r="100" spans="2:11">
      <c r="B100" s="210"/>
      <c r="C100" s="218"/>
      <c r="D100" s="212"/>
      <c r="E100" s="215">
        <v>0.54</v>
      </c>
      <c r="F100" s="213">
        <v>0.14000000000000001</v>
      </c>
      <c r="G100" s="213"/>
      <c r="H100" s="214">
        <v>2</v>
      </c>
      <c r="I100" s="215"/>
      <c r="J100" s="216">
        <f t="shared" si="3"/>
        <v>0.15120000000000003</v>
      </c>
      <c r="K100" s="217" t="s">
        <v>2647</v>
      </c>
    </row>
    <row r="101" spans="2:11">
      <c r="B101" s="210"/>
      <c r="C101" s="218"/>
      <c r="D101" s="212"/>
      <c r="E101" s="215">
        <v>0.4</v>
      </c>
      <c r="F101" s="213">
        <v>0.46</v>
      </c>
      <c r="G101" s="213"/>
      <c r="H101" s="214">
        <v>2</v>
      </c>
      <c r="I101" s="215"/>
      <c r="J101" s="216">
        <f t="shared" si="3"/>
        <v>0.36800000000000005</v>
      </c>
      <c r="K101" s="217" t="s">
        <v>2647</v>
      </c>
    </row>
    <row r="102" spans="2:11">
      <c r="B102" s="210"/>
      <c r="C102" s="218"/>
      <c r="D102" s="212"/>
      <c r="E102" s="215">
        <v>0.27</v>
      </c>
      <c r="F102" s="213">
        <v>0.19</v>
      </c>
      <c r="G102" s="213"/>
      <c r="H102" s="214">
        <v>2</v>
      </c>
      <c r="I102" s="215"/>
      <c r="J102" s="216">
        <f t="shared" si="3"/>
        <v>0.10260000000000001</v>
      </c>
      <c r="K102" s="217" t="s">
        <v>2647</v>
      </c>
    </row>
    <row r="103" spans="2:11">
      <c r="B103" s="210"/>
      <c r="C103" s="218"/>
      <c r="D103" s="212"/>
      <c r="E103" s="215">
        <v>0.39</v>
      </c>
      <c r="F103" s="213">
        <v>0.1</v>
      </c>
      <c r="G103" s="213"/>
      <c r="H103" s="214">
        <v>2</v>
      </c>
      <c r="I103" s="215"/>
      <c r="J103" s="216">
        <f t="shared" si="3"/>
        <v>7.8000000000000014E-2</v>
      </c>
      <c r="K103" s="217" t="s">
        <v>2647</v>
      </c>
    </row>
    <row r="104" spans="2:11">
      <c r="B104" s="210"/>
      <c r="C104" s="218"/>
      <c r="D104" s="212"/>
      <c r="E104" s="215">
        <v>0.21</v>
      </c>
      <c r="F104" s="213">
        <v>0.16</v>
      </c>
      <c r="G104" s="213"/>
      <c r="H104" s="214">
        <v>2</v>
      </c>
      <c r="I104" s="215"/>
      <c r="J104" s="216">
        <f t="shared" si="3"/>
        <v>6.7199999999999996E-2</v>
      </c>
      <c r="K104" s="217" t="s">
        <v>2647</v>
      </c>
    </row>
    <row r="105" spans="2:11">
      <c r="B105" s="210"/>
      <c r="C105" s="218"/>
      <c r="D105" s="212"/>
      <c r="E105" s="215">
        <v>0.1</v>
      </c>
      <c r="F105" s="213">
        <v>0.2</v>
      </c>
      <c r="G105" s="213"/>
      <c r="H105" s="214">
        <v>2</v>
      </c>
      <c r="I105" s="215"/>
      <c r="J105" s="216">
        <f t="shared" si="3"/>
        <v>4.0000000000000008E-2</v>
      </c>
      <c r="K105" s="217" t="s">
        <v>2647</v>
      </c>
    </row>
    <row r="106" spans="2:11">
      <c r="B106" s="210"/>
      <c r="C106" s="218"/>
      <c r="D106" s="212"/>
      <c r="E106" s="215">
        <v>0.46</v>
      </c>
      <c r="F106" s="213">
        <v>0.15</v>
      </c>
      <c r="G106" s="213"/>
      <c r="H106" s="214">
        <v>2</v>
      </c>
      <c r="I106" s="215"/>
      <c r="J106" s="216">
        <f t="shared" si="3"/>
        <v>0.13800000000000001</v>
      </c>
      <c r="K106" s="217" t="s">
        <v>2647</v>
      </c>
    </row>
    <row r="107" spans="2:11">
      <c r="B107" s="210"/>
      <c r="C107" s="218"/>
      <c r="D107" s="212"/>
      <c r="E107" s="215">
        <f>SUM(E98:E106)*2</f>
        <v>6.3000000000000007</v>
      </c>
      <c r="F107" s="213">
        <v>0.1</v>
      </c>
      <c r="G107" s="213"/>
      <c r="H107" s="214">
        <v>1</v>
      </c>
      <c r="I107" s="215"/>
      <c r="J107" s="216">
        <f t="shared" si="3"/>
        <v>0.63000000000000012</v>
      </c>
      <c r="K107" s="217" t="s">
        <v>2647</v>
      </c>
    </row>
    <row r="108" spans="2:11">
      <c r="B108" s="210"/>
      <c r="C108" s="218"/>
      <c r="D108" s="212"/>
      <c r="E108" s="215"/>
      <c r="F108" s="213"/>
      <c r="G108" s="213"/>
      <c r="H108" s="214"/>
      <c r="I108" s="215"/>
      <c r="J108" s="216">
        <f>SUM(J98:J107)</f>
        <v>2.0289999999999999</v>
      </c>
      <c r="K108" s="217" t="s">
        <v>2647</v>
      </c>
    </row>
    <row r="109" spans="2:11">
      <c r="B109" s="210"/>
      <c r="C109" s="218"/>
      <c r="D109" s="212"/>
      <c r="E109" s="215"/>
      <c r="F109" s="213"/>
      <c r="G109" s="213"/>
      <c r="H109" s="214"/>
      <c r="I109" s="215"/>
      <c r="J109" s="216"/>
      <c r="K109" s="217"/>
    </row>
    <row r="110" spans="2:11">
      <c r="B110" s="210">
        <v>11</v>
      </c>
      <c r="C110" s="218" t="s">
        <v>4690</v>
      </c>
      <c r="D110" s="212"/>
      <c r="E110" s="215">
        <v>0.54</v>
      </c>
      <c r="F110" s="213">
        <v>0.14000000000000001</v>
      </c>
      <c r="G110" s="213"/>
      <c r="H110" s="214">
        <v>2</v>
      </c>
      <c r="I110" s="215"/>
      <c r="J110" s="216">
        <f t="shared" ref="J110:J118" si="4">H110*F110*E110</f>
        <v>0.15120000000000003</v>
      </c>
      <c r="K110" s="217" t="s">
        <v>2647</v>
      </c>
    </row>
    <row r="111" spans="2:11">
      <c r="B111" s="210"/>
      <c r="C111" s="218"/>
      <c r="D111" s="212"/>
      <c r="E111" s="215">
        <v>0.19</v>
      </c>
      <c r="F111" s="213">
        <v>0.26</v>
      </c>
      <c r="G111" s="213"/>
      <c r="H111" s="214">
        <v>2</v>
      </c>
      <c r="I111" s="215"/>
      <c r="J111" s="216">
        <f t="shared" si="4"/>
        <v>9.8799999999999999E-2</v>
      </c>
      <c r="K111" s="217" t="s">
        <v>2647</v>
      </c>
    </row>
    <row r="112" spans="2:11">
      <c r="B112" s="210"/>
      <c r="C112" s="218"/>
      <c r="D112" s="212"/>
      <c r="E112" s="215">
        <v>0.84</v>
      </c>
      <c r="F112" s="213">
        <v>0.35</v>
      </c>
      <c r="G112" s="213"/>
      <c r="H112" s="214">
        <v>2</v>
      </c>
      <c r="I112" s="215"/>
      <c r="J112" s="216">
        <f t="shared" si="4"/>
        <v>0.58799999999999997</v>
      </c>
      <c r="K112" s="217" t="s">
        <v>2647</v>
      </c>
    </row>
    <row r="113" spans="2:11">
      <c r="B113" s="210"/>
      <c r="C113" s="218"/>
      <c r="D113" s="212"/>
      <c r="E113" s="215">
        <v>0.27</v>
      </c>
      <c r="F113" s="213">
        <v>0.22</v>
      </c>
      <c r="G113" s="213"/>
      <c r="H113" s="214">
        <v>2</v>
      </c>
      <c r="I113" s="215"/>
      <c r="J113" s="216">
        <f t="shared" si="4"/>
        <v>0.1188</v>
      </c>
      <c r="K113" s="217" t="s">
        <v>2647</v>
      </c>
    </row>
    <row r="114" spans="2:11">
      <c r="B114" s="210"/>
      <c r="C114" s="218"/>
      <c r="D114" s="212"/>
      <c r="E114" s="215">
        <v>0.52</v>
      </c>
      <c r="F114" s="213">
        <v>0.18</v>
      </c>
      <c r="G114" s="213"/>
      <c r="H114" s="214">
        <v>2</v>
      </c>
      <c r="I114" s="215"/>
      <c r="J114" s="216">
        <f t="shared" si="4"/>
        <v>0.18720000000000001</v>
      </c>
      <c r="K114" s="217" t="s">
        <v>2647</v>
      </c>
    </row>
    <row r="115" spans="2:11">
      <c r="B115" s="210"/>
      <c r="C115" s="218"/>
      <c r="D115" s="212"/>
      <c r="E115" s="215">
        <v>0.41</v>
      </c>
      <c r="F115" s="213">
        <v>0.17</v>
      </c>
      <c r="G115" s="213"/>
      <c r="H115" s="214">
        <v>2</v>
      </c>
      <c r="I115" s="215"/>
      <c r="J115" s="216">
        <f t="shared" si="4"/>
        <v>0.1394</v>
      </c>
      <c r="K115" s="217" t="s">
        <v>2647</v>
      </c>
    </row>
    <row r="116" spans="2:11">
      <c r="B116" s="210"/>
      <c r="C116" s="218"/>
      <c r="D116" s="212"/>
      <c r="E116" s="215">
        <v>0.39</v>
      </c>
      <c r="F116" s="213">
        <v>0.27</v>
      </c>
      <c r="G116" s="213"/>
      <c r="H116" s="214">
        <v>2</v>
      </c>
      <c r="I116" s="215"/>
      <c r="J116" s="216">
        <f t="shared" si="4"/>
        <v>0.21060000000000001</v>
      </c>
      <c r="K116" s="217" t="s">
        <v>2647</v>
      </c>
    </row>
    <row r="117" spans="2:11">
      <c r="B117" s="210"/>
      <c r="C117" s="218"/>
      <c r="D117" s="212"/>
      <c r="E117" s="215">
        <v>0.54</v>
      </c>
      <c r="F117" s="213">
        <v>0.17</v>
      </c>
      <c r="G117" s="213"/>
      <c r="H117" s="214">
        <v>2</v>
      </c>
      <c r="I117" s="215"/>
      <c r="J117" s="216">
        <f t="shared" si="4"/>
        <v>0.18360000000000001</v>
      </c>
      <c r="K117" s="217" t="s">
        <v>2647</v>
      </c>
    </row>
    <row r="118" spans="2:11">
      <c r="B118" s="210"/>
      <c r="C118" s="218"/>
      <c r="D118" s="212"/>
      <c r="E118" s="215">
        <f>SUM(E110:E117)*2</f>
        <v>7.4</v>
      </c>
      <c r="F118" s="213">
        <v>0.1</v>
      </c>
      <c r="G118" s="213"/>
      <c r="H118" s="214">
        <v>1</v>
      </c>
      <c r="I118" s="215"/>
      <c r="J118" s="216">
        <f t="shared" si="4"/>
        <v>0.7400000000000001</v>
      </c>
      <c r="K118" s="217" t="s">
        <v>2647</v>
      </c>
    </row>
    <row r="119" spans="2:11">
      <c r="B119" s="210"/>
      <c r="C119" s="218"/>
      <c r="D119" s="212"/>
      <c r="E119" s="215"/>
      <c r="F119" s="213"/>
      <c r="G119" s="213"/>
      <c r="H119" s="214"/>
      <c r="I119" s="215"/>
      <c r="J119" s="216">
        <f>SUM(J110:J118)</f>
        <v>2.4175999999999997</v>
      </c>
      <c r="K119" s="217" t="s">
        <v>2647</v>
      </c>
    </row>
    <row r="120" spans="2:11">
      <c r="B120" s="210"/>
      <c r="C120" s="218"/>
      <c r="D120" s="212"/>
      <c r="E120" s="215"/>
      <c r="F120" s="213"/>
      <c r="G120" s="213"/>
      <c r="H120" s="214"/>
      <c r="I120" s="215"/>
      <c r="J120" s="216"/>
      <c r="K120" s="217"/>
    </row>
    <row r="121" spans="2:11">
      <c r="B121" s="210">
        <v>12</v>
      </c>
      <c r="C121" s="218" t="s">
        <v>4689</v>
      </c>
      <c r="D121" s="212"/>
      <c r="E121" s="215">
        <v>0.93</v>
      </c>
      <c r="F121" s="213">
        <v>0.23</v>
      </c>
      <c r="G121" s="213"/>
      <c r="H121" s="214">
        <v>2</v>
      </c>
      <c r="I121" s="215"/>
      <c r="J121" s="216">
        <f t="shared" ref="J121:J127" si="5">H121*F121*E121</f>
        <v>0.42780000000000001</v>
      </c>
      <c r="K121" s="217" t="s">
        <v>2647</v>
      </c>
    </row>
    <row r="122" spans="2:11">
      <c r="B122" s="210"/>
      <c r="C122" s="218"/>
      <c r="D122" s="212"/>
      <c r="E122" s="215">
        <v>0.69</v>
      </c>
      <c r="F122" s="213">
        <v>0.23</v>
      </c>
      <c r="G122" s="213"/>
      <c r="H122" s="214">
        <v>2</v>
      </c>
      <c r="I122" s="215"/>
      <c r="J122" s="216">
        <f t="shared" si="5"/>
        <v>0.31740000000000002</v>
      </c>
      <c r="K122" s="217" t="s">
        <v>2647</v>
      </c>
    </row>
    <row r="123" spans="2:11">
      <c r="B123" s="210"/>
      <c r="C123" s="218"/>
      <c r="D123" s="212"/>
      <c r="E123" s="215">
        <v>0.39</v>
      </c>
      <c r="F123" s="213">
        <v>0.32</v>
      </c>
      <c r="G123" s="213"/>
      <c r="H123" s="214">
        <v>2</v>
      </c>
      <c r="I123" s="215"/>
      <c r="J123" s="216">
        <f t="shared" si="5"/>
        <v>0.24960000000000002</v>
      </c>
      <c r="K123" s="217" t="s">
        <v>2647</v>
      </c>
    </row>
    <row r="124" spans="2:11">
      <c r="B124" s="210"/>
      <c r="C124" s="218"/>
      <c r="D124" s="212"/>
      <c r="E124" s="215">
        <v>0.32</v>
      </c>
      <c r="F124" s="213">
        <v>0.42</v>
      </c>
      <c r="G124" s="213"/>
      <c r="H124" s="214">
        <v>2</v>
      </c>
      <c r="I124" s="215"/>
      <c r="J124" s="216">
        <f t="shared" si="5"/>
        <v>0.26879999999999998</v>
      </c>
      <c r="K124" s="217" t="s">
        <v>2647</v>
      </c>
    </row>
    <row r="125" spans="2:11">
      <c r="B125" s="210"/>
      <c r="C125" s="218"/>
      <c r="D125" s="212"/>
      <c r="E125" s="215">
        <v>0.2</v>
      </c>
      <c r="F125" s="213">
        <v>0.19</v>
      </c>
      <c r="G125" s="213"/>
      <c r="H125" s="214">
        <v>2</v>
      </c>
      <c r="I125" s="215"/>
      <c r="J125" s="216">
        <f t="shared" si="5"/>
        <v>7.6000000000000012E-2</v>
      </c>
      <c r="K125" s="217" t="s">
        <v>2647</v>
      </c>
    </row>
    <row r="126" spans="2:11">
      <c r="B126" s="210"/>
      <c r="C126" s="218"/>
      <c r="D126" s="212"/>
      <c r="E126" s="215">
        <v>0.31</v>
      </c>
      <c r="F126" s="213">
        <v>0.28000000000000003</v>
      </c>
      <c r="G126" s="213"/>
      <c r="H126" s="214">
        <v>2</v>
      </c>
      <c r="I126" s="215"/>
      <c r="J126" s="216">
        <f t="shared" si="5"/>
        <v>0.1736</v>
      </c>
      <c r="K126" s="217" t="s">
        <v>2647</v>
      </c>
    </row>
    <row r="127" spans="2:11">
      <c r="B127" s="210"/>
      <c r="C127" s="218"/>
      <c r="D127" s="212"/>
      <c r="E127" s="215">
        <f>SUM(E121:E126)*2.1</f>
        <v>5.9640000000000013</v>
      </c>
      <c r="F127" s="213">
        <v>0.1</v>
      </c>
      <c r="G127" s="213"/>
      <c r="H127" s="214">
        <v>1</v>
      </c>
      <c r="I127" s="215"/>
      <c r="J127" s="216">
        <f t="shared" si="5"/>
        <v>0.59640000000000015</v>
      </c>
      <c r="K127" s="217" t="s">
        <v>2647</v>
      </c>
    </row>
    <row r="128" spans="2:11">
      <c r="B128" s="210"/>
      <c r="C128" s="218"/>
      <c r="D128" s="212"/>
      <c r="E128" s="215"/>
      <c r="F128" s="213"/>
      <c r="G128" s="213"/>
      <c r="H128" s="214"/>
      <c r="I128" s="215"/>
      <c r="J128" s="216">
        <f>SUM(J121:J127)</f>
        <v>2.1096000000000004</v>
      </c>
      <c r="K128" s="217" t="s">
        <v>2647</v>
      </c>
    </row>
    <row r="129" spans="2:11">
      <c r="B129" s="210"/>
      <c r="C129" s="218"/>
      <c r="D129" s="212"/>
      <c r="E129" s="215"/>
      <c r="F129" s="213"/>
      <c r="G129" s="213"/>
      <c r="H129" s="214"/>
      <c r="I129" s="215"/>
      <c r="J129" s="216"/>
      <c r="K129" s="217"/>
    </row>
    <row r="130" spans="2:11">
      <c r="B130" s="210">
        <v>13</v>
      </c>
      <c r="C130" s="218" t="s">
        <v>4702</v>
      </c>
      <c r="D130" s="212"/>
      <c r="E130" s="215">
        <v>0.6</v>
      </c>
      <c r="F130" s="213">
        <v>0.22</v>
      </c>
      <c r="G130" s="213"/>
      <c r="H130" s="214">
        <v>2</v>
      </c>
      <c r="I130" s="215"/>
      <c r="J130" s="216">
        <f t="shared" ref="J130:J139" si="6">H130*F130*E130</f>
        <v>0.26400000000000001</v>
      </c>
      <c r="K130" s="217" t="s">
        <v>2647</v>
      </c>
    </row>
    <row r="131" spans="2:11">
      <c r="B131" s="210"/>
      <c r="C131" s="218"/>
      <c r="D131" s="212"/>
      <c r="E131" s="215">
        <v>0.46</v>
      </c>
      <c r="F131" s="213">
        <v>0.21</v>
      </c>
      <c r="G131" s="213"/>
      <c r="H131" s="214">
        <v>2</v>
      </c>
      <c r="I131" s="215"/>
      <c r="J131" s="216">
        <f t="shared" si="6"/>
        <v>0.19320000000000001</v>
      </c>
      <c r="K131" s="217" t="s">
        <v>2647</v>
      </c>
    </row>
    <row r="132" spans="2:11">
      <c r="B132" s="210"/>
      <c r="C132" s="218"/>
      <c r="D132" s="212"/>
      <c r="E132" s="215">
        <v>0.24</v>
      </c>
      <c r="F132" s="213">
        <v>0.27</v>
      </c>
      <c r="G132" s="213"/>
      <c r="H132" s="214">
        <v>2</v>
      </c>
      <c r="I132" s="215"/>
      <c r="J132" s="216">
        <f t="shared" si="6"/>
        <v>0.12959999999999999</v>
      </c>
      <c r="K132" s="217" t="s">
        <v>2647</v>
      </c>
    </row>
    <row r="133" spans="2:11">
      <c r="B133" s="210"/>
      <c r="C133" s="218"/>
      <c r="D133" s="212"/>
      <c r="E133" s="215">
        <v>0.32</v>
      </c>
      <c r="F133" s="213">
        <v>0.8</v>
      </c>
      <c r="G133" s="213"/>
      <c r="H133" s="214">
        <v>2</v>
      </c>
      <c r="I133" s="215"/>
      <c r="J133" s="216">
        <f t="shared" si="6"/>
        <v>0.51200000000000001</v>
      </c>
      <c r="K133" s="217" t="s">
        <v>2647</v>
      </c>
    </row>
    <row r="134" spans="2:11">
      <c r="B134" s="210"/>
      <c r="C134" s="218"/>
      <c r="D134" s="212"/>
      <c r="E134" s="215">
        <v>0.3</v>
      </c>
      <c r="F134" s="213">
        <v>0.1</v>
      </c>
      <c r="G134" s="213"/>
      <c r="H134" s="214">
        <v>2</v>
      </c>
      <c r="I134" s="215"/>
      <c r="J134" s="216">
        <f t="shared" si="6"/>
        <v>0.06</v>
      </c>
      <c r="K134" s="217" t="s">
        <v>2647</v>
      </c>
    </row>
    <row r="135" spans="2:11">
      <c r="B135" s="210"/>
      <c r="C135" s="218"/>
      <c r="D135" s="212"/>
      <c r="E135" s="215">
        <v>0.37</v>
      </c>
      <c r="F135" s="213">
        <v>0.26</v>
      </c>
      <c r="G135" s="213"/>
      <c r="H135" s="214">
        <v>2</v>
      </c>
      <c r="I135" s="215"/>
      <c r="J135" s="216">
        <f t="shared" si="6"/>
        <v>0.19240000000000002</v>
      </c>
      <c r="K135" s="217" t="s">
        <v>2647</v>
      </c>
    </row>
    <row r="136" spans="2:11">
      <c r="B136" s="210"/>
      <c r="C136" s="218"/>
      <c r="D136" s="212"/>
      <c r="E136" s="215">
        <v>0.57999999999999996</v>
      </c>
      <c r="F136" s="213">
        <v>0.3</v>
      </c>
      <c r="G136" s="213"/>
      <c r="H136" s="214">
        <v>2</v>
      </c>
      <c r="I136" s="215"/>
      <c r="J136" s="216">
        <f t="shared" si="6"/>
        <v>0.34799999999999998</v>
      </c>
      <c r="K136" s="217" t="s">
        <v>2647</v>
      </c>
    </row>
    <row r="137" spans="2:11">
      <c r="B137" s="210"/>
      <c r="C137" s="218"/>
      <c r="D137" s="212"/>
      <c r="E137" s="215">
        <v>0.48</v>
      </c>
      <c r="F137" s="213">
        <v>0.14000000000000001</v>
      </c>
      <c r="G137" s="213"/>
      <c r="H137" s="214">
        <v>2</v>
      </c>
      <c r="I137" s="215"/>
      <c r="J137" s="216">
        <f t="shared" si="6"/>
        <v>0.13440000000000002</v>
      </c>
      <c r="K137" s="217" t="s">
        <v>2647</v>
      </c>
    </row>
    <row r="138" spans="2:11">
      <c r="B138" s="210"/>
      <c r="C138" s="218"/>
      <c r="D138" s="212"/>
      <c r="E138" s="215">
        <v>0.43</v>
      </c>
      <c r="F138" s="213">
        <v>0.13</v>
      </c>
      <c r="G138" s="213"/>
      <c r="H138" s="214">
        <v>2</v>
      </c>
      <c r="I138" s="215"/>
      <c r="J138" s="216">
        <f t="shared" si="6"/>
        <v>0.1118</v>
      </c>
      <c r="K138" s="217" t="s">
        <v>2647</v>
      </c>
    </row>
    <row r="139" spans="2:11">
      <c r="B139" s="210"/>
      <c r="C139" s="218"/>
      <c r="D139" s="212"/>
      <c r="E139" s="215">
        <f>SUM(E130:E138)*2</f>
        <v>7.5600000000000005</v>
      </c>
      <c r="F139" s="213">
        <v>0.1</v>
      </c>
      <c r="G139" s="213"/>
      <c r="H139" s="214">
        <v>1</v>
      </c>
      <c r="I139" s="215"/>
      <c r="J139" s="216">
        <f t="shared" si="6"/>
        <v>0.75600000000000012</v>
      </c>
      <c r="K139" s="217" t="s">
        <v>2647</v>
      </c>
    </row>
    <row r="140" spans="2:11">
      <c r="B140" s="210"/>
      <c r="C140" s="218"/>
      <c r="D140" s="212"/>
      <c r="E140" s="215"/>
      <c r="F140" s="213"/>
      <c r="G140" s="213"/>
      <c r="H140" s="214"/>
      <c r="I140" s="215"/>
      <c r="J140" s="216">
        <f>SUM(J130:J139)</f>
        <v>2.7014</v>
      </c>
      <c r="K140" s="217" t="s">
        <v>2647</v>
      </c>
    </row>
    <row r="141" spans="2:11">
      <c r="B141" s="210"/>
      <c r="C141" s="218"/>
      <c r="D141" s="212"/>
      <c r="E141" s="215"/>
      <c r="F141" s="213"/>
      <c r="G141" s="213"/>
      <c r="H141" s="214"/>
      <c r="I141" s="215"/>
      <c r="J141" s="216"/>
      <c r="K141" s="217"/>
    </row>
    <row r="142" spans="2:11">
      <c r="B142" s="210">
        <v>14</v>
      </c>
      <c r="C142" s="218" t="s">
        <v>4703</v>
      </c>
      <c r="D142" s="212"/>
      <c r="E142" s="215">
        <v>0.3</v>
      </c>
      <c r="F142" s="213">
        <v>0.12</v>
      </c>
      <c r="G142" s="213"/>
      <c r="H142" s="214">
        <v>2</v>
      </c>
      <c r="I142" s="215"/>
      <c r="J142" s="216">
        <f t="shared" ref="J142:J150" si="7">H142*F142*E142</f>
        <v>7.1999999999999995E-2</v>
      </c>
      <c r="K142" s="217" t="s">
        <v>2647</v>
      </c>
    </row>
    <row r="143" spans="2:11">
      <c r="B143" s="210"/>
      <c r="C143" s="218"/>
      <c r="D143" s="212"/>
      <c r="E143" s="215">
        <v>0.65</v>
      </c>
      <c r="F143" s="213">
        <v>0.13</v>
      </c>
      <c r="G143" s="213"/>
      <c r="H143" s="214">
        <v>2</v>
      </c>
      <c r="I143" s="215"/>
      <c r="J143" s="216">
        <f t="shared" si="7"/>
        <v>0.16900000000000001</v>
      </c>
      <c r="K143" s="217" t="s">
        <v>2647</v>
      </c>
    </row>
    <row r="144" spans="2:11">
      <c r="B144" s="210"/>
      <c r="C144" s="218"/>
      <c r="D144" s="212"/>
      <c r="E144" s="215">
        <v>0.27</v>
      </c>
      <c r="F144" s="213">
        <v>0.37</v>
      </c>
      <c r="G144" s="213"/>
      <c r="H144" s="214">
        <v>2</v>
      </c>
      <c r="I144" s="215"/>
      <c r="J144" s="216">
        <f t="shared" si="7"/>
        <v>0.19980000000000001</v>
      </c>
      <c r="K144" s="217" t="s">
        <v>2647</v>
      </c>
    </row>
    <row r="145" spans="2:11">
      <c r="B145" s="210"/>
      <c r="C145" s="218"/>
      <c r="D145" s="212"/>
      <c r="E145" s="215">
        <v>0.48</v>
      </c>
      <c r="F145" s="213">
        <v>0.43</v>
      </c>
      <c r="G145" s="213"/>
      <c r="H145" s="214">
        <v>2</v>
      </c>
      <c r="I145" s="215"/>
      <c r="J145" s="216">
        <f t="shared" si="7"/>
        <v>0.4128</v>
      </c>
      <c r="K145" s="217" t="s">
        <v>2647</v>
      </c>
    </row>
    <row r="146" spans="2:11">
      <c r="B146" s="210"/>
      <c r="C146" s="218"/>
      <c r="D146" s="212"/>
      <c r="E146" s="215">
        <v>0.28000000000000003</v>
      </c>
      <c r="F146" s="213">
        <v>0.21</v>
      </c>
      <c r="G146" s="213"/>
      <c r="H146" s="214">
        <v>2</v>
      </c>
      <c r="I146" s="215"/>
      <c r="J146" s="216">
        <f t="shared" si="7"/>
        <v>0.11760000000000001</v>
      </c>
      <c r="K146" s="217" t="s">
        <v>2647</v>
      </c>
    </row>
    <row r="147" spans="2:11">
      <c r="B147" s="210"/>
      <c r="C147" s="218"/>
      <c r="D147" s="212"/>
      <c r="E147" s="215">
        <v>0.38</v>
      </c>
      <c r="F147" s="213">
        <v>0.26</v>
      </c>
      <c r="G147" s="213"/>
      <c r="H147" s="214">
        <v>2</v>
      </c>
      <c r="I147" s="215"/>
      <c r="J147" s="216">
        <f t="shared" si="7"/>
        <v>0.1976</v>
      </c>
      <c r="K147" s="217" t="s">
        <v>2647</v>
      </c>
    </row>
    <row r="148" spans="2:11">
      <c r="B148" s="210"/>
      <c r="C148" s="218"/>
      <c r="D148" s="212"/>
      <c r="E148" s="215">
        <v>0.44</v>
      </c>
      <c r="F148" s="213">
        <v>0.12</v>
      </c>
      <c r="G148" s="213"/>
      <c r="H148" s="214">
        <v>2</v>
      </c>
      <c r="I148" s="215"/>
      <c r="J148" s="216">
        <f t="shared" si="7"/>
        <v>0.1056</v>
      </c>
      <c r="K148" s="217" t="s">
        <v>2647</v>
      </c>
    </row>
    <row r="149" spans="2:11">
      <c r="B149" s="210"/>
      <c r="C149" s="218"/>
      <c r="D149" s="212"/>
      <c r="E149" s="215">
        <v>0.24</v>
      </c>
      <c r="F149" s="213">
        <v>0.12</v>
      </c>
      <c r="G149" s="213"/>
      <c r="H149" s="214">
        <v>2</v>
      </c>
      <c r="I149" s="215"/>
      <c r="J149" s="216">
        <f t="shared" si="7"/>
        <v>5.7599999999999998E-2</v>
      </c>
      <c r="K149" s="217" t="s">
        <v>2647</v>
      </c>
    </row>
    <row r="150" spans="2:11">
      <c r="B150" s="210"/>
      <c r="C150" s="218"/>
      <c r="D150" s="212"/>
      <c r="E150" s="215">
        <f>SUM(E142:E149)*2</f>
        <v>6.08</v>
      </c>
      <c r="F150" s="213">
        <v>0.1</v>
      </c>
      <c r="G150" s="213"/>
      <c r="H150" s="214">
        <v>1</v>
      </c>
      <c r="I150" s="215"/>
      <c r="J150" s="216">
        <f t="shared" si="7"/>
        <v>0.6080000000000001</v>
      </c>
      <c r="K150" s="217" t="s">
        <v>2647</v>
      </c>
    </row>
    <row r="151" spans="2:11">
      <c r="B151" s="210"/>
      <c r="C151" s="218"/>
      <c r="D151" s="212"/>
      <c r="E151" s="215"/>
      <c r="F151" s="213"/>
      <c r="G151" s="213"/>
      <c r="H151" s="214"/>
      <c r="I151" s="215"/>
      <c r="J151" s="216">
        <f>SUM(J142:J150)</f>
        <v>1.9400000000000002</v>
      </c>
      <c r="K151" s="217" t="s">
        <v>2647</v>
      </c>
    </row>
    <row r="152" spans="2:11">
      <c r="B152" s="210"/>
      <c r="C152" s="218"/>
      <c r="D152" s="212"/>
      <c r="E152" s="215"/>
      <c r="F152" s="213"/>
      <c r="G152" s="213"/>
      <c r="H152" s="214"/>
      <c r="I152" s="215"/>
      <c r="J152" s="216"/>
      <c r="K152" s="217"/>
    </row>
    <row r="153" spans="2:11">
      <c r="B153" s="210">
        <v>15</v>
      </c>
      <c r="C153" s="218" t="s">
        <v>4704</v>
      </c>
      <c r="D153" s="212"/>
      <c r="E153" s="215">
        <v>0.52</v>
      </c>
      <c r="F153" s="213">
        <v>0.16</v>
      </c>
      <c r="G153" s="213"/>
      <c r="H153" s="214">
        <v>2</v>
      </c>
      <c r="I153" s="215"/>
      <c r="J153" s="216">
        <f t="shared" ref="J153:J162" si="8">H153*F153*E153</f>
        <v>0.16640000000000002</v>
      </c>
      <c r="K153" s="217" t="s">
        <v>2647</v>
      </c>
    </row>
    <row r="154" spans="2:11">
      <c r="B154" s="210"/>
      <c r="C154" s="218"/>
      <c r="D154" s="212"/>
      <c r="E154" s="215">
        <v>0.49</v>
      </c>
      <c r="F154" s="213">
        <v>0.18</v>
      </c>
      <c r="G154" s="213"/>
      <c r="H154" s="214">
        <v>2</v>
      </c>
      <c r="I154" s="215"/>
      <c r="J154" s="216">
        <f t="shared" si="8"/>
        <v>0.1764</v>
      </c>
      <c r="K154" s="217" t="s">
        <v>2647</v>
      </c>
    </row>
    <row r="155" spans="2:11">
      <c r="B155" s="210"/>
      <c r="C155" s="218"/>
      <c r="D155" s="212"/>
      <c r="E155" s="215">
        <v>0.43</v>
      </c>
      <c r="F155" s="213">
        <v>0.37</v>
      </c>
      <c r="G155" s="213"/>
      <c r="H155" s="214">
        <v>2</v>
      </c>
      <c r="I155" s="215"/>
      <c r="J155" s="216">
        <f t="shared" si="8"/>
        <v>0.31819999999999998</v>
      </c>
      <c r="K155" s="217" t="s">
        <v>2647</v>
      </c>
    </row>
    <row r="156" spans="2:11">
      <c r="B156" s="210"/>
      <c r="C156" s="218"/>
      <c r="D156" s="212"/>
      <c r="E156" s="215">
        <v>0.62</v>
      </c>
      <c r="F156" s="213">
        <v>0.15</v>
      </c>
      <c r="G156" s="213"/>
      <c r="H156" s="214">
        <v>2</v>
      </c>
      <c r="I156" s="215"/>
      <c r="J156" s="216">
        <f t="shared" si="8"/>
        <v>0.186</v>
      </c>
      <c r="K156" s="217" t="s">
        <v>2647</v>
      </c>
    </row>
    <row r="157" spans="2:11">
      <c r="B157" s="210"/>
      <c r="C157" s="218"/>
      <c r="D157" s="212"/>
      <c r="E157" s="215">
        <v>0.39</v>
      </c>
      <c r="F157" s="213">
        <v>0.23</v>
      </c>
      <c r="G157" s="213"/>
      <c r="H157" s="214">
        <v>2</v>
      </c>
      <c r="I157" s="215"/>
      <c r="J157" s="216">
        <f t="shared" si="8"/>
        <v>0.1794</v>
      </c>
      <c r="K157" s="217" t="s">
        <v>2647</v>
      </c>
    </row>
    <row r="158" spans="2:11">
      <c r="B158" s="210"/>
      <c r="C158" s="218"/>
      <c r="D158" s="212"/>
      <c r="E158" s="215">
        <v>0.23</v>
      </c>
      <c r="F158" s="213">
        <v>0.27</v>
      </c>
      <c r="G158" s="213"/>
      <c r="H158" s="214">
        <v>2</v>
      </c>
      <c r="I158" s="215"/>
      <c r="J158" s="216">
        <f t="shared" si="8"/>
        <v>0.12420000000000002</v>
      </c>
      <c r="K158" s="217" t="s">
        <v>2647</v>
      </c>
    </row>
    <row r="159" spans="2:11">
      <c r="B159" s="210"/>
      <c r="C159" s="218"/>
      <c r="D159" s="212"/>
      <c r="E159" s="215">
        <v>0.44</v>
      </c>
      <c r="F159" s="213">
        <v>0.16</v>
      </c>
      <c r="G159" s="213"/>
      <c r="H159" s="214">
        <v>2</v>
      </c>
      <c r="I159" s="215"/>
      <c r="J159" s="216">
        <f t="shared" si="8"/>
        <v>0.14080000000000001</v>
      </c>
      <c r="K159" s="217" t="s">
        <v>2647</v>
      </c>
    </row>
    <row r="160" spans="2:11">
      <c r="B160" s="210"/>
      <c r="C160" s="218"/>
      <c r="D160" s="212"/>
      <c r="E160" s="215">
        <v>0.45</v>
      </c>
      <c r="F160" s="213">
        <v>0.28000000000000003</v>
      </c>
      <c r="G160" s="213"/>
      <c r="H160" s="214">
        <v>2</v>
      </c>
      <c r="I160" s="215"/>
      <c r="J160" s="216">
        <f t="shared" si="8"/>
        <v>0.25200000000000006</v>
      </c>
      <c r="K160" s="217" t="s">
        <v>2647</v>
      </c>
    </row>
    <row r="161" spans="2:11">
      <c r="B161" s="210"/>
      <c r="C161" s="218"/>
      <c r="D161" s="212"/>
      <c r="E161" s="215">
        <v>0.48</v>
      </c>
      <c r="F161" s="213">
        <v>0.14000000000000001</v>
      </c>
      <c r="G161" s="213"/>
      <c r="H161" s="214">
        <v>2</v>
      </c>
      <c r="I161" s="215"/>
      <c r="J161" s="216">
        <f t="shared" si="8"/>
        <v>0.13440000000000002</v>
      </c>
      <c r="K161" s="217" t="s">
        <v>2647</v>
      </c>
    </row>
    <row r="162" spans="2:11">
      <c r="B162" s="210"/>
      <c r="C162" s="218"/>
      <c r="D162" s="212"/>
      <c r="E162" s="215">
        <f>SUM(E153:E161)*2</f>
        <v>8.1000000000000014</v>
      </c>
      <c r="F162" s="213">
        <v>0.1</v>
      </c>
      <c r="G162" s="213"/>
      <c r="H162" s="214">
        <v>1</v>
      </c>
      <c r="I162" s="215"/>
      <c r="J162" s="216">
        <f t="shared" si="8"/>
        <v>0.81000000000000016</v>
      </c>
      <c r="K162" s="217" t="s">
        <v>2647</v>
      </c>
    </row>
    <row r="163" spans="2:11">
      <c r="B163" s="210"/>
      <c r="C163" s="218"/>
      <c r="D163" s="212"/>
      <c r="E163" s="215"/>
      <c r="F163" s="213"/>
      <c r="G163" s="213"/>
      <c r="H163" s="214"/>
      <c r="I163" s="215"/>
      <c r="J163" s="216">
        <f>SUM(J153:J162)</f>
        <v>2.4878000000000005</v>
      </c>
      <c r="K163" s="217" t="s">
        <v>2647</v>
      </c>
    </row>
    <row r="164" spans="2:11">
      <c r="B164" s="210"/>
      <c r="C164" s="218"/>
      <c r="D164" s="212"/>
      <c r="E164" s="215"/>
      <c r="F164" s="213"/>
      <c r="G164" s="213"/>
      <c r="H164" s="214"/>
      <c r="I164" s="215"/>
      <c r="J164" s="216"/>
      <c r="K164" s="217"/>
    </row>
    <row r="165" spans="2:11">
      <c r="B165" s="210">
        <v>16</v>
      </c>
      <c r="C165" s="218" t="s">
        <v>4705</v>
      </c>
      <c r="D165" s="212"/>
      <c r="E165" s="215">
        <v>0.17</v>
      </c>
      <c r="F165" s="213">
        <v>0.09</v>
      </c>
      <c r="G165" s="213"/>
      <c r="H165" s="214">
        <v>2</v>
      </c>
      <c r="I165" s="215"/>
      <c r="J165" s="216">
        <f t="shared" ref="J165:J173" si="9">H165*F165*E165</f>
        <v>3.0600000000000002E-2</v>
      </c>
      <c r="K165" s="217" t="s">
        <v>2647</v>
      </c>
    </row>
    <row r="166" spans="2:11">
      <c r="B166" s="210"/>
      <c r="C166" s="218"/>
      <c r="D166" s="212"/>
      <c r="E166" s="215">
        <v>0.76</v>
      </c>
      <c r="F166" s="213">
        <v>0.13</v>
      </c>
      <c r="G166" s="213"/>
      <c r="H166" s="214">
        <v>2</v>
      </c>
      <c r="I166" s="215"/>
      <c r="J166" s="216">
        <f t="shared" si="9"/>
        <v>0.1976</v>
      </c>
      <c r="K166" s="217" t="s">
        <v>2647</v>
      </c>
    </row>
    <row r="167" spans="2:11">
      <c r="B167" s="210"/>
      <c r="C167" s="218"/>
      <c r="D167" s="212"/>
      <c r="E167" s="215">
        <v>0.28000000000000003</v>
      </c>
      <c r="F167" s="213">
        <v>0.45</v>
      </c>
      <c r="G167" s="213"/>
      <c r="H167" s="214">
        <v>2</v>
      </c>
      <c r="I167" s="215"/>
      <c r="J167" s="216">
        <f t="shared" si="9"/>
        <v>0.25200000000000006</v>
      </c>
      <c r="K167" s="217" t="s">
        <v>2647</v>
      </c>
    </row>
    <row r="168" spans="2:11">
      <c r="B168" s="210"/>
      <c r="C168" s="218"/>
      <c r="D168" s="212"/>
      <c r="E168" s="215">
        <v>0.37</v>
      </c>
      <c r="F168" s="213">
        <v>0.32</v>
      </c>
      <c r="G168" s="213"/>
      <c r="H168" s="214">
        <v>2</v>
      </c>
      <c r="I168" s="215"/>
      <c r="J168" s="216">
        <f t="shared" si="9"/>
        <v>0.23680000000000001</v>
      </c>
      <c r="K168" s="217" t="s">
        <v>2647</v>
      </c>
    </row>
    <row r="169" spans="2:11">
      <c r="B169" s="210"/>
      <c r="C169" s="218"/>
      <c r="D169" s="212"/>
      <c r="E169" s="215">
        <v>0.31</v>
      </c>
      <c r="F169" s="213">
        <v>0.2</v>
      </c>
      <c r="G169" s="213"/>
      <c r="H169" s="214">
        <v>2</v>
      </c>
      <c r="I169" s="215"/>
      <c r="J169" s="216">
        <f t="shared" si="9"/>
        <v>0.124</v>
      </c>
      <c r="K169" s="217" t="s">
        <v>2647</v>
      </c>
    </row>
    <row r="170" spans="2:11">
      <c r="B170" s="210"/>
      <c r="C170" s="218"/>
      <c r="D170" s="212"/>
      <c r="E170" s="215">
        <v>0.18</v>
      </c>
      <c r="F170" s="213">
        <v>0.32</v>
      </c>
      <c r="G170" s="213"/>
      <c r="H170" s="214">
        <v>2</v>
      </c>
      <c r="I170" s="215"/>
      <c r="J170" s="216">
        <f t="shared" si="9"/>
        <v>0.1152</v>
      </c>
      <c r="K170" s="217" t="s">
        <v>2647</v>
      </c>
    </row>
    <row r="171" spans="2:11">
      <c r="B171" s="210"/>
      <c r="C171" s="218"/>
      <c r="D171" s="212"/>
      <c r="E171" s="215">
        <v>0.76</v>
      </c>
      <c r="F171" s="213">
        <v>0.13</v>
      </c>
      <c r="G171" s="213"/>
      <c r="H171" s="214">
        <v>2</v>
      </c>
      <c r="I171" s="215"/>
      <c r="J171" s="216">
        <f t="shared" si="9"/>
        <v>0.1976</v>
      </c>
      <c r="K171" s="217" t="s">
        <v>2647</v>
      </c>
    </row>
    <row r="172" spans="2:11">
      <c r="B172" s="210"/>
      <c r="C172" s="218"/>
      <c r="D172" s="212"/>
      <c r="E172" s="215">
        <v>0.96</v>
      </c>
      <c r="F172" s="213">
        <v>0.15</v>
      </c>
      <c r="G172" s="213"/>
      <c r="H172" s="214">
        <v>2</v>
      </c>
      <c r="I172" s="215"/>
      <c r="J172" s="216">
        <f t="shared" si="9"/>
        <v>0.28799999999999998</v>
      </c>
      <c r="K172" s="217" t="s">
        <v>2647</v>
      </c>
    </row>
    <row r="173" spans="2:11">
      <c r="B173" s="210"/>
      <c r="C173" s="218"/>
      <c r="D173" s="212"/>
      <c r="E173" s="215">
        <f>SUM(E165:E172)*2</f>
        <v>7.58</v>
      </c>
      <c r="F173" s="213">
        <v>0.1</v>
      </c>
      <c r="G173" s="213"/>
      <c r="H173" s="214">
        <v>2</v>
      </c>
      <c r="I173" s="215"/>
      <c r="J173" s="216">
        <f t="shared" si="9"/>
        <v>1.516</v>
      </c>
      <c r="K173" s="217" t="s">
        <v>2647</v>
      </c>
    </row>
    <row r="174" spans="2:11">
      <c r="B174" s="210"/>
      <c r="C174" s="218"/>
      <c r="D174" s="212"/>
      <c r="E174" s="215"/>
      <c r="F174" s="213"/>
      <c r="G174" s="213"/>
      <c r="H174" s="214"/>
      <c r="I174" s="215"/>
      <c r="J174" s="216">
        <f>SUM(J165:J173)</f>
        <v>2.9577999999999998</v>
      </c>
      <c r="K174" s="217" t="s">
        <v>2647</v>
      </c>
    </row>
    <row r="175" spans="2:11">
      <c r="B175" s="210"/>
      <c r="C175" s="218"/>
      <c r="D175" s="212"/>
      <c r="E175" s="215"/>
      <c r="F175" s="213"/>
      <c r="G175" s="213"/>
      <c r="H175" s="214"/>
      <c r="I175" s="215"/>
      <c r="J175" s="216"/>
      <c r="K175" s="217"/>
    </row>
    <row r="176" spans="2:11">
      <c r="B176" s="210">
        <v>17</v>
      </c>
      <c r="C176" s="218" t="s">
        <v>4706</v>
      </c>
      <c r="D176" s="212"/>
      <c r="E176" s="215">
        <v>0.3</v>
      </c>
      <c r="F176" s="213">
        <v>0.19</v>
      </c>
      <c r="G176" s="213"/>
      <c r="H176" s="214">
        <v>2</v>
      </c>
      <c r="I176" s="215"/>
      <c r="J176" s="216">
        <f t="shared" ref="J176:J188" si="10">H176*F176*E176</f>
        <v>0.11399999999999999</v>
      </c>
      <c r="K176" s="217" t="s">
        <v>2647</v>
      </c>
    </row>
    <row r="177" spans="2:11">
      <c r="B177" s="210"/>
      <c r="C177" s="218"/>
      <c r="D177" s="212"/>
      <c r="E177" s="215">
        <v>0.43</v>
      </c>
      <c r="F177" s="213">
        <v>0.13</v>
      </c>
      <c r="G177" s="213"/>
      <c r="H177" s="214">
        <v>2</v>
      </c>
      <c r="I177" s="215"/>
      <c r="J177" s="216">
        <f t="shared" si="10"/>
        <v>0.1118</v>
      </c>
      <c r="K177" s="217" t="s">
        <v>2647</v>
      </c>
    </row>
    <row r="178" spans="2:11">
      <c r="B178" s="210"/>
      <c r="C178" s="218"/>
      <c r="D178" s="212"/>
      <c r="E178" s="215">
        <v>0.44</v>
      </c>
      <c r="F178" s="213">
        <v>0.26</v>
      </c>
      <c r="G178" s="213"/>
      <c r="H178" s="214">
        <v>2</v>
      </c>
      <c r="I178" s="215"/>
      <c r="J178" s="216">
        <f t="shared" si="10"/>
        <v>0.2288</v>
      </c>
      <c r="K178" s="217" t="s">
        <v>2647</v>
      </c>
    </row>
    <row r="179" spans="2:11">
      <c r="B179" s="210"/>
      <c r="C179" s="218"/>
      <c r="D179" s="212"/>
      <c r="E179" s="215">
        <v>0.39</v>
      </c>
      <c r="F179" s="213">
        <v>0.28000000000000003</v>
      </c>
      <c r="G179" s="213"/>
      <c r="H179" s="214">
        <v>2</v>
      </c>
      <c r="I179" s="215"/>
      <c r="J179" s="216">
        <f t="shared" si="10"/>
        <v>0.21840000000000004</v>
      </c>
      <c r="K179" s="217" t="s">
        <v>2647</v>
      </c>
    </row>
    <row r="180" spans="2:11">
      <c r="B180" s="210"/>
      <c r="C180" s="218"/>
      <c r="D180" s="212"/>
      <c r="E180" s="215">
        <v>0.62</v>
      </c>
      <c r="F180" s="213">
        <v>0.16</v>
      </c>
      <c r="G180" s="213"/>
      <c r="H180" s="214">
        <v>2</v>
      </c>
      <c r="I180" s="215"/>
      <c r="J180" s="216">
        <f t="shared" si="10"/>
        <v>0.19839999999999999</v>
      </c>
      <c r="K180" s="217" t="s">
        <v>2647</v>
      </c>
    </row>
    <row r="181" spans="2:11">
      <c r="B181" s="210"/>
      <c r="C181" s="218"/>
      <c r="D181" s="212"/>
      <c r="E181" s="215">
        <v>0.39</v>
      </c>
      <c r="F181" s="213">
        <v>0.42</v>
      </c>
      <c r="G181" s="213"/>
      <c r="H181" s="214">
        <v>2</v>
      </c>
      <c r="I181" s="215"/>
      <c r="J181" s="216">
        <f t="shared" si="10"/>
        <v>0.3276</v>
      </c>
      <c r="K181" s="217" t="s">
        <v>2647</v>
      </c>
    </row>
    <row r="182" spans="2:11">
      <c r="B182" s="210"/>
      <c r="C182" s="218"/>
      <c r="D182" s="212"/>
      <c r="E182" s="215">
        <v>0.23</v>
      </c>
      <c r="F182" s="213">
        <v>0.22</v>
      </c>
      <c r="G182" s="213"/>
      <c r="H182" s="214">
        <v>2</v>
      </c>
      <c r="I182" s="215"/>
      <c r="J182" s="216">
        <f t="shared" si="10"/>
        <v>0.1012</v>
      </c>
      <c r="K182" s="217" t="s">
        <v>2647</v>
      </c>
    </row>
    <row r="183" spans="2:11">
      <c r="B183" s="210"/>
      <c r="C183" s="218"/>
      <c r="D183" s="212"/>
      <c r="E183" s="215">
        <v>0.23</v>
      </c>
      <c r="F183" s="213">
        <v>0.11</v>
      </c>
      <c r="G183" s="213"/>
      <c r="H183" s="214">
        <v>2</v>
      </c>
      <c r="I183" s="215"/>
      <c r="J183" s="216">
        <f t="shared" si="10"/>
        <v>5.0599999999999999E-2</v>
      </c>
      <c r="K183" s="217" t="s">
        <v>2647</v>
      </c>
    </row>
    <row r="184" spans="2:11">
      <c r="B184" s="210"/>
      <c r="C184" s="218"/>
      <c r="D184" s="212"/>
      <c r="E184" s="215">
        <v>0.4</v>
      </c>
      <c r="F184" s="213">
        <v>0.1</v>
      </c>
      <c r="G184" s="213"/>
      <c r="H184" s="214">
        <v>2</v>
      </c>
      <c r="I184" s="215"/>
      <c r="J184" s="216">
        <f t="shared" si="10"/>
        <v>8.0000000000000016E-2</v>
      </c>
      <c r="K184" s="217" t="s">
        <v>2647</v>
      </c>
    </row>
    <row r="185" spans="2:11">
      <c r="B185" s="210"/>
      <c r="C185" s="218"/>
      <c r="D185" s="212"/>
      <c r="E185" s="215">
        <v>0.4</v>
      </c>
      <c r="F185" s="213">
        <v>0.2</v>
      </c>
      <c r="G185" s="213"/>
      <c r="H185" s="214">
        <v>2</v>
      </c>
      <c r="I185" s="215"/>
      <c r="J185" s="216">
        <f t="shared" si="10"/>
        <v>0.16000000000000003</v>
      </c>
      <c r="K185" s="217" t="s">
        <v>2647</v>
      </c>
    </row>
    <row r="186" spans="2:11">
      <c r="B186" s="210"/>
      <c r="C186" s="218"/>
      <c r="D186" s="212"/>
      <c r="E186" s="215">
        <v>0.56000000000000005</v>
      </c>
      <c r="F186" s="213">
        <v>0.15</v>
      </c>
      <c r="G186" s="213"/>
      <c r="H186" s="214">
        <v>2</v>
      </c>
      <c r="I186" s="215"/>
      <c r="J186" s="216">
        <f t="shared" si="10"/>
        <v>0.16800000000000001</v>
      </c>
      <c r="K186" s="217" t="s">
        <v>2647</v>
      </c>
    </row>
    <row r="187" spans="2:11">
      <c r="B187" s="210"/>
      <c r="C187" s="218"/>
      <c r="D187" s="212"/>
      <c r="E187" s="215">
        <v>0.32</v>
      </c>
      <c r="F187" s="213">
        <v>0.32</v>
      </c>
      <c r="G187" s="213"/>
      <c r="H187" s="214">
        <v>2</v>
      </c>
      <c r="I187" s="215"/>
      <c r="J187" s="216">
        <f t="shared" si="10"/>
        <v>0.20480000000000001</v>
      </c>
      <c r="K187" s="217" t="s">
        <v>2647</v>
      </c>
    </row>
    <row r="188" spans="2:11">
      <c r="B188" s="210"/>
      <c r="C188" s="218"/>
      <c r="D188" s="212"/>
      <c r="E188" s="215">
        <f>SUM(E176:E187)*2</f>
        <v>9.4200000000000017</v>
      </c>
      <c r="F188" s="213">
        <v>0.1</v>
      </c>
      <c r="G188" s="213"/>
      <c r="H188" s="214">
        <v>1</v>
      </c>
      <c r="I188" s="215"/>
      <c r="J188" s="216">
        <f t="shared" si="10"/>
        <v>0.94200000000000017</v>
      </c>
      <c r="K188" s="217" t="s">
        <v>2647</v>
      </c>
    </row>
    <row r="189" spans="2:11">
      <c r="B189" s="210"/>
      <c r="C189" s="218"/>
      <c r="D189" s="212"/>
      <c r="E189" s="215"/>
      <c r="F189" s="213"/>
      <c r="G189" s="213"/>
      <c r="H189" s="214"/>
      <c r="I189" s="215"/>
      <c r="J189" s="216">
        <f>SUM(J176:J188)</f>
        <v>2.9056000000000006</v>
      </c>
      <c r="K189" s="217" t="s">
        <v>2647</v>
      </c>
    </row>
    <row r="190" spans="2:11">
      <c r="B190" s="210"/>
      <c r="C190" s="211"/>
      <c r="D190" s="212"/>
      <c r="E190" s="215"/>
      <c r="F190" s="213"/>
      <c r="G190" s="213"/>
      <c r="H190" s="214"/>
      <c r="I190" s="219"/>
      <c r="J190" s="216"/>
      <c r="K190" s="217"/>
    </row>
    <row r="191" spans="2:11">
      <c r="B191" s="210"/>
      <c r="C191" s="218"/>
      <c r="D191" s="212"/>
      <c r="E191" s="215"/>
      <c r="F191" s="213"/>
      <c r="G191" s="213"/>
      <c r="H191" s="214"/>
      <c r="I191" s="215"/>
      <c r="J191" s="216"/>
      <c r="K191" s="220"/>
    </row>
    <row r="192" spans="2:11">
      <c r="B192" s="210"/>
      <c r="C192" s="211"/>
      <c r="D192" s="212"/>
      <c r="E192" s="215"/>
      <c r="F192" s="213"/>
      <c r="G192" s="213"/>
      <c r="H192" s="214"/>
      <c r="I192" s="215"/>
      <c r="J192" s="216"/>
      <c r="K192" s="217"/>
    </row>
    <row r="193" spans="2:11">
      <c r="B193" s="210"/>
      <c r="C193" s="218"/>
      <c r="D193" s="212"/>
      <c r="E193" s="215"/>
      <c r="F193" s="213"/>
      <c r="G193" s="213"/>
      <c r="H193" s="214"/>
      <c r="I193" s="215"/>
      <c r="J193" s="216"/>
      <c r="K193" s="220"/>
    </row>
    <row r="194" spans="2:11">
      <c r="B194" s="210"/>
      <c r="C194" s="211"/>
      <c r="D194" s="212"/>
      <c r="E194" s="215"/>
      <c r="F194" s="213"/>
      <c r="G194" s="213"/>
      <c r="H194" s="214"/>
      <c r="I194" s="215"/>
      <c r="J194" s="216"/>
      <c r="K194" s="217"/>
    </row>
    <row r="195" spans="2:11">
      <c r="B195" s="210"/>
      <c r="C195" s="218"/>
      <c r="D195" s="212"/>
      <c r="E195" s="215"/>
      <c r="F195" s="213"/>
      <c r="G195" s="213"/>
      <c r="H195" s="214"/>
      <c r="I195" s="215"/>
      <c r="J195" s="216"/>
      <c r="K195" s="220"/>
    </row>
    <row r="196" spans="2:11">
      <c r="B196" s="221"/>
      <c r="C196" s="222"/>
      <c r="D196" s="223"/>
      <c r="E196" s="224"/>
      <c r="F196" s="225"/>
      <c r="G196" s="225"/>
      <c r="H196" s="226"/>
      <c r="I196" s="224"/>
      <c r="J196" s="227"/>
      <c r="K196" s="228"/>
    </row>
    <row r="197" spans="2:11" ht="15" thickBot="1">
      <c r="B197" s="229"/>
      <c r="C197" s="230"/>
      <c r="D197" s="231"/>
      <c r="E197" s="232"/>
      <c r="F197" s="233"/>
      <c r="G197" s="233"/>
      <c r="H197" s="234"/>
      <c r="I197" s="232"/>
      <c r="J197" s="235"/>
      <c r="K197" s="236"/>
    </row>
    <row r="198" spans="2:11" ht="15" thickTop="1"/>
  </sheetData>
  <mergeCells count="3">
    <mergeCell ref="B3:K3"/>
    <mergeCell ref="D13:E13"/>
    <mergeCell ref="H13:I13"/>
  </mergeCells>
  <pageMargins left="0.7" right="0.2" top="0.5" bottom="0.5" header="0.3" footer="0.3"/>
  <pageSetup paperSize="9" scale="95" orientation="portrait" horizontalDpi="4294967293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32"/>
  <dimension ref="A1:G41"/>
  <sheetViews>
    <sheetView topLeftCell="A31" workbookViewId="0">
      <selection sqref="A1:G41"/>
    </sheetView>
  </sheetViews>
  <sheetFormatPr defaultRowHeight="14.4"/>
  <cols>
    <col min="1" max="1" width="5.33203125" customWidth="1"/>
    <col min="2" max="2" width="21" customWidth="1"/>
    <col min="3" max="3" width="8.6640625" customWidth="1"/>
    <col min="4" max="4" width="11" customWidth="1"/>
    <col min="5" max="5" width="14.6640625" customWidth="1"/>
    <col min="6" max="6" width="14.44140625" customWidth="1"/>
    <col min="7" max="7" width="16.5546875" customWidth="1"/>
  </cols>
  <sheetData>
    <row r="1" spans="1:7">
      <c r="A1" s="50" t="s">
        <v>2184</v>
      </c>
    </row>
    <row r="3" spans="1:7" ht="35.1" customHeight="1">
      <c r="A3" s="18" t="s">
        <v>1003</v>
      </c>
      <c r="B3" s="1" t="s">
        <v>1004</v>
      </c>
      <c r="C3" s="18" t="s">
        <v>1005</v>
      </c>
      <c r="D3" s="18" t="s">
        <v>1006</v>
      </c>
      <c r="E3" s="18" t="s">
        <v>1007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5" customHeight="1">
      <c r="A5" s="5"/>
      <c r="B5" s="13" t="s">
        <v>673</v>
      </c>
      <c r="C5" s="3" t="s">
        <v>674</v>
      </c>
      <c r="D5" s="12" t="s">
        <v>675</v>
      </c>
      <c r="E5" s="13" t="s">
        <v>740</v>
      </c>
      <c r="F5" s="5"/>
      <c r="G5" s="5"/>
    </row>
    <row r="6" spans="1:7" ht="15.15" customHeight="1">
      <c r="A6" s="5"/>
      <c r="B6" s="13" t="s">
        <v>816</v>
      </c>
      <c r="C6" s="3" t="s">
        <v>681</v>
      </c>
      <c r="D6" s="12" t="s">
        <v>675</v>
      </c>
      <c r="E6" s="13" t="s">
        <v>817</v>
      </c>
      <c r="F6" s="5"/>
      <c r="G6" s="5"/>
    </row>
    <row r="7" spans="1:7" ht="15" customHeight="1">
      <c r="A7" s="5"/>
      <c r="B7" s="13" t="s">
        <v>680</v>
      </c>
      <c r="C7" s="3" t="s">
        <v>681</v>
      </c>
      <c r="D7" s="12" t="s">
        <v>675</v>
      </c>
      <c r="E7" s="13" t="s">
        <v>868</v>
      </c>
      <c r="F7" s="5"/>
      <c r="G7" s="5"/>
    </row>
    <row r="8" spans="1:7" ht="15.15" customHeight="1">
      <c r="A8" s="5"/>
      <c r="B8" s="13" t="s">
        <v>683</v>
      </c>
      <c r="C8" s="3" t="s">
        <v>684</v>
      </c>
      <c r="D8" s="12" t="s">
        <v>675</v>
      </c>
      <c r="E8" s="13" t="s">
        <v>868</v>
      </c>
      <c r="F8" s="5"/>
      <c r="G8" s="5"/>
    </row>
    <row r="9" spans="1:7" ht="12" customHeight="1">
      <c r="A9" s="5"/>
      <c r="B9" s="5"/>
      <c r="C9" s="5"/>
      <c r="D9" s="5"/>
      <c r="E9" s="2474" t="s">
        <v>685</v>
      </c>
      <c r="F9" s="2474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5" customHeight="1">
      <c r="A11" s="5"/>
      <c r="B11" s="3" t="s">
        <v>1083</v>
      </c>
      <c r="C11" s="5"/>
      <c r="D11" s="12" t="s">
        <v>690</v>
      </c>
      <c r="E11" s="13" t="s">
        <v>1067</v>
      </c>
      <c r="F11" s="5"/>
      <c r="G11" s="5"/>
    </row>
    <row r="12" spans="1:7" ht="15" customHeight="1">
      <c r="A12" s="5"/>
      <c r="B12" s="3" t="s">
        <v>1084</v>
      </c>
      <c r="C12" s="5"/>
      <c r="D12" s="11" t="s">
        <v>692</v>
      </c>
      <c r="E12" s="13" t="s">
        <v>858</v>
      </c>
      <c r="F12" s="5"/>
      <c r="G12" s="5"/>
    </row>
    <row r="13" spans="1:7" ht="12" customHeight="1">
      <c r="A13" s="5"/>
      <c r="B13" s="5"/>
      <c r="C13" s="5"/>
      <c r="D13" s="5"/>
      <c r="E13" s="2474" t="s">
        <v>702</v>
      </c>
      <c r="F13" s="2474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2474" t="s">
        <v>705</v>
      </c>
      <c r="F16" s="2474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2474" t="s">
        <v>707</v>
      </c>
      <c r="C18" s="2474"/>
      <c r="D18" s="2474"/>
      <c r="E18" s="2474"/>
      <c r="F18" s="2474"/>
      <c r="G18" s="5"/>
    </row>
    <row r="19" spans="1:7" ht="12" customHeight="1">
      <c r="A19" s="3" t="s">
        <v>708</v>
      </c>
      <c r="B19" s="2471" t="s">
        <v>876</v>
      </c>
      <c r="C19" s="2471"/>
      <c r="D19" s="2471"/>
      <c r="E19" s="2472" t="s">
        <v>710</v>
      </c>
      <c r="F19" s="2472"/>
      <c r="G19" s="5"/>
    </row>
    <row r="20" spans="1:7" ht="12" customHeight="1">
      <c r="A20" s="3" t="s">
        <v>711</v>
      </c>
      <c r="B20" s="2473" t="s">
        <v>712</v>
      </c>
      <c r="C20" s="2473"/>
      <c r="D20" s="2473"/>
      <c r="E20" s="2473"/>
      <c r="F20" s="2473"/>
      <c r="G20" s="5"/>
    </row>
    <row r="21" spans="1:7" ht="12" customHeight="1">
      <c r="A21" s="3"/>
      <c r="B21" s="26"/>
      <c r="C21" s="26"/>
      <c r="D21" s="26"/>
      <c r="E21" s="26"/>
      <c r="F21" s="26"/>
      <c r="G21" s="5"/>
    </row>
    <row r="22" spans="1:7" ht="12" customHeight="1">
      <c r="A22" s="50" t="s">
        <v>2185</v>
      </c>
      <c r="B22" s="26"/>
      <c r="C22" s="26"/>
      <c r="D22" s="26"/>
      <c r="E22" s="26"/>
      <c r="F22" s="26"/>
      <c r="G22" s="5"/>
    </row>
    <row r="23" spans="1:7" ht="12" customHeight="1">
      <c r="A23" s="3"/>
      <c r="B23" s="26"/>
      <c r="C23" s="26"/>
      <c r="D23" s="26"/>
      <c r="E23" s="26"/>
      <c r="F23" s="26"/>
      <c r="G23" s="5"/>
    </row>
    <row r="24" spans="1:7" ht="34.950000000000003" customHeight="1">
      <c r="A24" s="18" t="s">
        <v>1003</v>
      </c>
      <c r="B24" s="1" t="s">
        <v>1004</v>
      </c>
      <c r="C24" s="18" t="s">
        <v>1005</v>
      </c>
      <c r="D24" s="18" t="s">
        <v>1006</v>
      </c>
      <c r="E24" s="18" t="s">
        <v>1007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5.15" customHeight="1">
      <c r="A26" s="5"/>
      <c r="B26" s="13" t="s">
        <v>673</v>
      </c>
      <c r="C26" s="3" t="s">
        <v>674</v>
      </c>
      <c r="D26" s="12" t="s">
        <v>675</v>
      </c>
      <c r="E26" s="3" t="s">
        <v>735</v>
      </c>
      <c r="F26" s="5"/>
      <c r="G26" s="5"/>
    </row>
    <row r="27" spans="1:7" ht="15" customHeight="1">
      <c r="A27" s="5"/>
      <c r="B27" s="13" t="s">
        <v>816</v>
      </c>
      <c r="C27" s="3" t="s">
        <v>681</v>
      </c>
      <c r="D27" s="12" t="s">
        <v>675</v>
      </c>
      <c r="E27" s="3" t="s">
        <v>676</v>
      </c>
      <c r="F27" s="5"/>
      <c r="G27" s="5"/>
    </row>
    <row r="28" spans="1:7" ht="15.15" customHeight="1">
      <c r="A28" s="5"/>
      <c r="B28" s="13" t="s">
        <v>680</v>
      </c>
      <c r="C28" s="3" t="s">
        <v>681</v>
      </c>
      <c r="D28" s="12" t="s">
        <v>675</v>
      </c>
      <c r="E28" s="3" t="s">
        <v>805</v>
      </c>
      <c r="F28" s="5"/>
      <c r="G28" s="5"/>
    </row>
    <row r="29" spans="1:7" ht="15" customHeight="1">
      <c r="A29" s="5"/>
      <c r="B29" s="13" t="s">
        <v>683</v>
      </c>
      <c r="C29" s="3" t="s">
        <v>684</v>
      </c>
      <c r="D29" s="12" t="s">
        <v>675</v>
      </c>
      <c r="E29" s="3" t="s">
        <v>783</v>
      </c>
      <c r="F29" s="5"/>
      <c r="G29" s="5"/>
    </row>
    <row r="30" spans="1:7" ht="12" customHeight="1">
      <c r="A30" s="5"/>
      <c r="B30" s="5"/>
      <c r="C30" s="5"/>
      <c r="D30" s="5"/>
      <c r="E30" s="2474" t="s">
        <v>685</v>
      </c>
      <c r="F30" s="2474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5" customHeight="1">
      <c r="A32" s="5"/>
      <c r="B32" s="3" t="s">
        <v>790</v>
      </c>
      <c r="C32" s="5"/>
      <c r="D32" s="12" t="s">
        <v>690</v>
      </c>
      <c r="E32" s="3" t="s">
        <v>802</v>
      </c>
      <c r="F32" s="5"/>
      <c r="G32" s="5"/>
    </row>
    <row r="33" spans="1:7" ht="15.15" customHeight="1">
      <c r="A33" s="5"/>
      <c r="B33" s="3" t="s">
        <v>739</v>
      </c>
      <c r="C33" s="5"/>
      <c r="D33" s="11" t="s">
        <v>692</v>
      </c>
      <c r="E33" s="3" t="s">
        <v>901</v>
      </c>
      <c r="F33" s="5"/>
      <c r="G33" s="5"/>
    </row>
    <row r="34" spans="1:7" ht="12" customHeight="1">
      <c r="A34" s="5"/>
      <c r="B34" s="5"/>
      <c r="C34" s="5"/>
      <c r="D34" s="5"/>
      <c r="E34" s="2474" t="s">
        <v>702</v>
      </c>
      <c r="F34" s="2474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2474" t="s">
        <v>705</v>
      </c>
      <c r="F37" s="2474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2474" t="s">
        <v>707</v>
      </c>
      <c r="C39" s="2474"/>
      <c r="D39" s="2474"/>
      <c r="E39" s="2474"/>
      <c r="F39" s="2474"/>
      <c r="G39" s="5"/>
    </row>
    <row r="40" spans="1:7" ht="12" customHeight="1">
      <c r="A40" s="3" t="s">
        <v>708</v>
      </c>
      <c r="B40" s="2471" t="s">
        <v>876</v>
      </c>
      <c r="C40" s="2471"/>
      <c r="D40" s="2471"/>
      <c r="E40" s="2472" t="s">
        <v>710</v>
      </c>
      <c r="F40" s="2472"/>
      <c r="G40" s="5"/>
    </row>
    <row r="41" spans="1:7" ht="12" customHeight="1">
      <c r="A41" s="3" t="s">
        <v>711</v>
      </c>
      <c r="B41" s="2473" t="s">
        <v>712</v>
      </c>
      <c r="C41" s="2473"/>
      <c r="D41" s="2473"/>
      <c r="E41" s="2473"/>
      <c r="F41" s="2473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33"/>
  <dimension ref="A1:G41"/>
  <sheetViews>
    <sheetView workbookViewId="0">
      <selection activeCell="G41" sqref="A1:G41"/>
    </sheetView>
  </sheetViews>
  <sheetFormatPr defaultRowHeight="14.4"/>
  <cols>
    <col min="1" max="1" width="5.33203125" customWidth="1"/>
    <col min="2" max="2" width="21" customWidth="1"/>
    <col min="3" max="3" width="8.6640625" customWidth="1"/>
    <col min="4" max="4" width="11" customWidth="1"/>
    <col min="5" max="5" width="14.6640625" customWidth="1"/>
    <col min="6" max="6" width="14.44140625" customWidth="1"/>
    <col min="7" max="7" width="16.5546875" customWidth="1"/>
  </cols>
  <sheetData>
    <row r="1" spans="1:7">
      <c r="A1" s="50" t="s">
        <v>2186</v>
      </c>
    </row>
    <row r="3" spans="1:7" ht="34.950000000000003" customHeight="1">
      <c r="A3" s="18" t="s">
        <v>1003</v>
      </c>
      <c r="B3" s="1" t="s">
        <v>1004</v>
      </c>
      <c r="C3" s="18" t="s">
        <v>1005</v>
      </c>
      <c r="D3" s="18" t="s">
        <v>1006</v>
      </c>
      <c r="E3" s="18" t="s">
        <v>1007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5.15" customHeight="1">
      <c r="A5" s="5"/>
      <c r="B5" s="13" t="s">
        <v>673</v>
      </c>
      <c r="C5" s="3" t="s">
        <v>674</v>
      </c>
      <c r="D5" s="12" t="s">
        <v>675</v>
      </c>
      <c r="E5" s="3" t="s">
        <v>838</v>
      </c>
      <c r="F5" s="5"/>
      <c r="G5" s="5"/>
    </row>
    <row r="6" spans="1:7" ht="15" customHeight="1">
      <c r="A6" s="5"/>
      <c r="B6" s="13" t="s">
        <v>816</v>
      </c>
      <c r="C6" s="3" t="s">
        <v>681</v>
      </c>
      <c r="D6" s="12" t="s">
        <v>675</v>
      </c>
      <c r="E6" s="3" t="s">
        <v>1085</v>
      </c>
      <c r="F6" s="5"/>
      <c r="G6" s="5"/>
    </row>
    <row r="7" spans="1:7" ht="15" customHeight="1">
      <c r="A7" s="5"/>
      <c r="B7" s="13" t="s">
        <v>680</v>
      </c>
      <c r="C7" s="3" t="s">
        <v>681</v>
      </c>
      <c r="D7" s="12" t="s">
        <v>675</v>
      </c>
      <c r="E7" s="3" t="s">
        <v>1065</v>
      </c>
      <c r="F7" s="5"/>
      <c r="G7" s="5"/>
    </row>
    <row r="8" spans="1:7" ht="15.15" customHeight="1">
      <c r="A8" s="5"/>
      <c r="B8" s="13" t="s">
        <v>683</v>
      </c>
      <c r="C8" s="3" t="s">
        <v>684</v>
      </c>
      <c r="D8" s="12" t="s">
        <v>675</v>
      </c>
      <c r="E8" s="3" t="s">
        <v>1065</v>
      </c>
      <c r="F8" s="5"/>
      <c r="G8" s="5"/>
    </row>
    <row r="9" spans="1:7" ht="12" customHeight="1">
      <c r="A9" s="5"/>
      <c r="B9" s="5"/>
      <c r="C9" s="5"/>
      <c r="D9" s="5"/>
      <c r="E9" s="2474" t="s">
        <v>685</v>
      </c>
      <c r="F9" s="2474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5" customHeight="1">
      <c r="A11" s="5"/>
      <c r="B11" s="3" t="s">
        <v>790</v>
      </c>
      <c r="C11" s="5"/>
      <c r="D11" s="12" t="s">
        <v>690</v>
      </c>
      <c r="E11" s="3" t="s">
        <v>998</v>
      </c>
      <c r="F11" s="5"/>
      <c r="G11" s="5"/>
    </row>
    <row r="12" spans="1:7" ht="15.15" customHeight="1">
      <c r="A12" s="5"/>
      <c r="B12" s="3" t="s">
        <v>1086</v>
      </c>
      <c r="C12" s="5"/>
      <c r="D12" s="12" t="s">
        <v>690</v>
      </c>
      <c r="E12" s="3" t="s">
        <v>952</v>
      </c>
      <c r="F12" s="5"/>
      <c r="G12" s="5"/>
    </row>
    <row r="13" spans="1:7" ht="12" customHeight="1">
      <c r="A13" s="5"/>
      <c r="B13" s="5"/>
      <c r="C13" s="5"/>
      <c r="D13" s="5"/>
      <c r="E13" s="2474" t="s">
        <v>702</v>
      </c>
      <c r="F13" s="2474"/>
      <c r="G13" s="5"/>
    </row>
    <row r="14" spans="1:7" ht="11.85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2474" t="s">
        <v>705</v>
      </c>
      <c r="F16" s="2474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2474" t="s">
        <v>707</v>
      </c>
      <c r="C18" s="2474"/>
      <c r="D18" s="2474"/>
      <c r="E18" s="2474"/>
      <c r="F18" s="2474"/>
      <c r="G18" s="5"/>
    </row>
    <row r="19" spans="1:7" ht="12" customHeight="1">
      <c r="A19" s="3" t="s">
        <v>708</v>
      </c>
      <c r="B19" s="2471" t="s">
        <v>876</v>
      </c>
      <c r="C19" s="2471"/>
      <c r="D19" s="2471"/>
      <c r="E19" s="2472" t="s">
        <v>710</v>
      </c>
      <c r="F19" s="2472"/>
      <c r="G19" s="5"/>
    </row>
    <row r="20" spans="1:7" ht="12.15" customHeight="1">
      <c r="A20" s="3" t="s">
        <v>711</v>
      </c>
      <c r="B20" s="2473" t="s">
        <v>712</v>
      </c>
      <c r="C20" s="2473"/>
      <c r="D20" s="2473"/>
      <c r="E20" s="2473"/>
      <c r="F20" s="2473"/>
      <c r="G20" s="5"/>
    </row>
    <row r="21" spans="1:7" ht="12.15" customHeight="1">
      <c r="A21" s="3"/>
      <c r="B21" s="26"/>
      <c r="C21" s="26"/>
      <c r="D21" s="26"/>
      <c r="E21" s="26"/>
      <c r="F21" s="26"/>
      <c r="G21" s="5"/>
    </row>
    <row r="22" spans="1:7" ht="12.15" customHeight="1">
      <c r="A22" s="50" t="s">
        <v>2187</v>
      </c>
      <c r="B22" s="26"/>
      <c r="C22" s="26"/>
      <c r="D22" s="26"/>
      <c r="E22" s="26"/>
      <c r="F22" s="26"/>
      <c r="G22" s="5"/>
    </row>
    <row r="23" spans="1:7" ht="12.15" customHeight="1">
      <c r="A23" s="3"/>
      <c r="B23" s="26"/>
      <c r="C23" s="26"/>
      <c r="D23" s="26"/>
      <c r="E23" s="26"/>
      <c r="F23" s="26"/>
      <c r="G23" s="5"/>
    </row>
    <row r="24" spans="1:7" ht="34.950000000000003" customHeight="1">
      <c r="A24" s="18" t="s">
        <v>1003</v>
      </c>
      <c r="B24" s="1" t="s">
        <v>1004</v>
      </c>
      <c r="C24" s="18" t="s">
        <v>1005</v>
      </c>
      <c r="D24" s="18" t="s">
        <v>1006</v>
      </c>
      <c r="E24" s="18" t="s">
        <v>1007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5.15" customHeight="1">
      <c r="A26" s="5"/>
      <c r="B26" s="13" t="s">
        <v>673</v>
      </c>
      <c r="C26" s="3" t="s">
        <v>674</v>
      </c>
      <c r="D26" s="12" t="s">
        <v>675</v>
      </c>
      <c r="E26" s="3" t="s">
        <v>838</v>
      </c>
      <c r="F26" s="5"/>
      <c r="G26" s="5"/>
    </row>
    <row r="27" spans="1:7" ht="15" customHeight="1">
      <c r="A27" s="5"/>
      <c r="B27" s="13" t="s">
        <v>816</v>
      </c>
      <c r="C27" s="3" t="s">
        <v>681</v>
      </c>
      <c r="D27" s="12" t="s">
        <v>675</v>
      </c>
      <c r="E27" s="3" t="s">
        <v>1085</v>
      </c>
      <c r="F27" s="5"/>
      <c r="G27" s="5"/>
    </row>
    <row r="28" spans="1:7" ht="15" customHeight="1">
      <c r="A28" s="5"/>
      <c r="B28" s="13" t="s">
        <v>680</v>
      </c>
      <c r="C28" s="3" t="s">
        <v>681</v>
      </c>
      <c r="D28" s="12" t="s">
        <v>675</v>
      </c>
      <c r="E28" s="3" t="s">
        <v>1065</v>
      </c>
      <c r="F28" s="5"/>
      <c r="G28" s="5"/>
    </row>
    <row r="29" spans="1:7" ht="15.15" customHeight="1">
      <c r="A29" s="5"/>
      <c r="B29" s="13" t="s">
        <v>683</v>
      </c>
      <c r="C29" s="3" t="s">
        <v>684</v>
      </c>
      <c r="D29" s="12" t="s">
        <v>675</v>
      </c>
      <c r="E29" s="3" t="s">
        <v>1065</v>
      </c>
      <c r="F29" s="5"/>
      <c r="G29" s="5"/>
    </row>
    <row r="30" spans="1:7" ht="12" customHeight="1">
      <c r="A30" s="5"/>
      <c r="B30" s="5"/>
      <c r="C30" s="5"/>
      <c r="D30" s="5"/>
      <c r="E30" s="2474" t="s">
        <v>685</v>
      </c>
      <c r="F30" s="2474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5" customHeight="1">
      <c r="A32" s="5"/>
      <c r="B32" s="3" t="s">
        <v>790</v>
      </c>
      <c r="C32" s="5"/>
      <c r="D32" s="12" t="s">
        <v>690</v>
      </c>
      <c r="E32" s="3" t="s">
        <v>998</v>
      </c>
      <c r="F32" s="5"/>
      <c r="G32" s="5"/>
    </row>
    <row r="33" spans="1:7" ht="15.15" customHeight="1">
      <c r="A33" s="5"/>
      <c r="B33" s="3" t="s">
        <v>1087</v>
      </c>
      <c r="C33" s="5"/>
      <c r="D33" s="12" t="s">
        <v>690</v>
      </c>
      <c r="E33" s="3" t="s">
        <v>952</v>
      </c>
      <c r="F33" s="5"/>
      <c r="G33" s="5"/>
    </row>
    <row r="34" spans="1:7" ht="12" customHeight="1">
      <c r="A34" s="5"/>
      <c r="B34" s="5"/>
      <c r="C34" s="5"/>
      <c r="D34" s="5"/>
      <c r="E34" s="2474" t="s">
        <v>702</v>
      </c>
      <c r="F34" s="2474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2474" t="s">
        <v>705</v>
      </c>
      <c r="F37" s="2474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2474" t="s">
        <v>707</v>
      </c>
      <c r="C39" s="2474"/>
      <c r="D39" s="2474"/>
      <c r="E39" s="2474"/>
      <c r="F39" s="2474"/>
      <c r="G39" s="5"/>
    </row>
    <row r="40" spans="1:7" ht="12" customHeight="1">
      <c r="A40" s="3" t="s">
        <v>708</v>
      </c>
      <c r="B40" s="2471" t="s">
        <v>876</v>
      </c>
      <c r="C40" s="2471"/>
      <c r="D40" s="2471"/>
      <c r="E40" s="2472" t="s">
        <v>710</v>
      </c>
      <c r="F40" s="2472"/>
      <c r="G40" s="5"/>
    </row>
    <row r="41" spans="1:7" ht="12" customHeight="1">
      <c r="A41" s="3" t="s">
        <v>711</v>
      </c>
      <c r="B41" s="2473" t="s">
        <v>712</v>
      </c>
      <c r="C41" s="2473"/>
      <c r="D41" s="2473"/>
      <c r="E41" s="2473"/>
      <c r="F41" s="2473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34"/>
  <dimension ref="A1:G40"/>
  <sheetViews>
    <sheetView topLeftCell="A19" workbookViewId="0">
      <selection sqref="A1:G40"/>
    </sheetView>
  </sheetViews>
  <sheetFormatPr defaultRowHeight="14.4"/>
  <cols>
    <col min="1" max="1" width="5.33203125" customWidth="1"/>
    <col min="2" max="2" width="21" customWidth="1"/>
    <col min="3" max="3" width="8.6640625" customWidth="1"/>
    <col min="4" max="4" width="11" customWidth="1"/>
    <col min="5" max="5" width="14.6640625" customWidth="1"/>
    <col min="6" max="6" width="14.44140625" customWidth="1"/>
    <col min="7" max="7" width="16.5546875" customWidth="1"/>
  </cols>
  <sheetData>
    <row r="1" spans="1:7">
      <c r="A1" s="50" t="s">
        <v>2188</v>
      </c>
    </row>
    <row r="3" spans="1:7" ht="35.1" customHeight="1">
      <c r="A3" s="18" t="s">
        <v>1003</v>
      </c>
      <c r="B3" s="1" t="s">
        <v>1004</v>
      </c>
      <c r="C3" s="18" t="s">
        <v>1005</v>
      </c>
      <c r="D3" s="18" t="s">
        <v>1006</v>
      </c>
      <c r="E3" s="18" t="s">
        <v>1007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5" customHeight="1">
      <c r="A5" s="5"/>
      <c r="B5" s="13" t="s">
        <v>673</v>
      </c>
      <c r="C5" s="3" t="s">
        <v>674</v>
      </c>
      <c r="D5" s="12" t="s">
        <v>675</v>
      </c>
      <c r="E5" s="3" t="s">
        <v>718</v>
      </c>
      <c r="F5" s="5"/>
      <c r="G5" s="5"/>
    </row>
    <row r="6" spans="1:7" ht="15.15" customHeight="1">
      <c r="A6" s="5"/>
      <c r="B6" s="13" t="s">
        <v>816</v>
      </c>
      <c r="C6" s="3" t="s">
        <v>681</v>
      </c>
      <c r="D6" s="12" t="s">
        <v>675</v>
      </c>
      <c r="E6" s="3" t="s">
        <v>741</v>
      </c>
      <c r="F6" s="5"/>
      <c r="G6" s="5"/>
    </row>
    <row r="7" spans="1:7" ht="15" customHeight="1">
      <c r="A7" s="5"/>
      <c r="B7" s="13" t="s">
        <v>680</v>
      </c>
      <c r="C7" s="3" t="s">
        <v>681</v>
      </c>
      <c r="D7" s="12" t="s">
        <v>675</v>
      </c>
      <c r="E7" s="3" t="s">
        <v>779</v>
      </c>
      <c r="F7" s="5"/>
      <c r="G7" s="5"/>
    </row>
    <row r="8" spans="1:7" ht="15.15" customHeight="1">
      <c r="A8" s="5"/>
      <c r="B8" s="13" t="s">
        <v>683</v>
      </c>
      <c r="C8" s="3" t="s">
        <v>684</v>
      </c>
      <c r="D8" s="12" t="s">
        <v>675</v>
      </c>
      <c r="E8" s="3" t="s">
        <v>811</v>
      </c>
      <c r="F8" s="5"/>
      <c r="G8" s="5"/>
    </row>
    <row r="9" spans="1:7" ht="12" customHeight="1">
      <c r="A9" s="5"/>
      <c r="B9" s="5"/>
      <c r="C9" s="5"/>
      <c r="D9" s="5"/>
      <c r="E9" s="2474" t="s">
        <v>685</v>
      </c>
      <c r="F9" s="2474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5" customHeight="1">
      <c r="A11" s="5"/>
      <c r="B11" s="3" t="s">
        <v>790</v>
      </c>
      <c r="C11" s="5"/>
      <c r="D11" s="12" t="s">
        <v>690</v>
      </c>
      <c r="E11" s="3" t="s">
        <v>1088</v>
      </c>
      <c r="F11" s="5"/>
      <c r="G11" s="5"/>
    </row>
    <row r="12" spans="1:7" ht="15" customHeight="1">
      <c r="A12" s="5"/>
      <c r="B12" s="3" t="s">
        <v>739</v>
      </c>
      <c r="C12" s="5"/>
      <c r="D12" s="12" t="s">
        <v>690</v>
      </c>
      <c r="E12" s="3" t="s">
        <v>891</v>
      </c>
      <c r="F12" s="5"/>
      <c r="G12" s="5"/>
    </row>
    <row r="13" spans="1:7" ht="12" customHeight="1">
      <c r="A13" s="5"/>
      <c r="B13" s="5"/>
      <c r="C13" s="5"/>
      <c r="D13" s="5"/>
      <c r="E13" s="2474" t="s">
        <v>702</v>
      </c>
      <c r="F13" s="2474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2474" t="s">
        <v>705</v>
      </c>
      <c r="F16" s="2474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2474" t="s">
        <v>707</v>
      </c>
      <c r="C18" s="2474"/>
      <c r="D18" s="2474"/>
      <c r="E18" s="2474"/>
      <c r="F18" s="2474"/>
      <c r="G18" s="5"/>
    </row>
    <row r="19" spans="1:7" ht="12" customHeight="1">
      <c r="A19" s="3" t="s">
        <v>708</v>
      </c>
      <c r="B19" s="2471" t="s">
        <v>876</v>
      </c>
      <c r="C19" s="2471"/>
      <c r="D19" s="2471"/>
      <c r="E19" s="2472" t="s">
        <v>710</v>
      </c>
      <c r="F19" s="2472"/>
      <c r="G19" s="5"/>
    </row>
    <row r="20" spans="1:7" ht="12" customHeight="1">
      <c r="A20" s="3" t="s">
        <v>711</v>
      </c>
      <c r="B20" s="2473" t="s">
        <v>712</v>
      </c>
      <c r="C20" s="2473"/>
      <c r="D20" s="2473"/>
      <c r="E20" s="2473"/>
      <c r="F20" s="2473"/>
      <c r="G20" s="5"/>
    </row>
    <row r="21" spans="1:7" ht="12" customHeight="1">
      <c r="A21" s="3"/>
      <c r="B21" s="26"/>
      <c r="C21" s="26"/>
      <c r="D21" s="26"/>
      <c r="E21" s="26"/>
      <c r="F21" s="26"/>
      <c r="G21" s="5"/>
    </row>
    <row r="22" spans="1:7" ht="12" customHeight="1">
      <c r="A22" s="50" t="s">
        <v>2189</v>
      </c>
      <c r="B22" s="26"/>
      <c r="C22" s="26"/>
      <c r="D22" s="26"/>
      <c r="E22" s="26"/>
      <c r="F22" s="26"/>
      <c r="G22" s="5"/>
    </row>
    <row r="23" spans="1:7" ht="12" customHeight="1">
      <c r="A23" s="3"/>
      <c r="B23" s="26"/>
      <c r="C23" s="26"/>
      <c r="D23" s="26"/>
      <c r="E23" s="26"/>
      <c r="F23" s="26"/>
      <c r="G23" s="5"/>
    </row>
    <row r="24" spans="1:7" ht="35.1" customHeight="1">
      <c r="A24" s="18" t="s">
        <v>1003</v>
      </c>
      <c r="B24" s="1" t="s">
        <v>1004</v>
      </c>
      <c r="C24" s="18" t="s">
        <v>1005</v>
      </c>
      <c r="D24" s="18" t="s">
        <v>1006</v>
      </c>
      <c r="E24" s="18" t="s">
        <v>1007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5" customHeight="1">
      <c r="A26" s="5"/>
      <c r="B26" s="13" t="s">
        <v>673</v>
      </c>
      <c r="C26" s="3" t="s">
        <v>674</v>
      </c>
      <c r="D26" s="12" t="s">
        <v>675</v>
      </c>
      <c r="E26" s="3" t="s">
        <v>740</v>
      </c>
      <c r="F26" s="5"/>
      <c r="G26" s="5"/>
    </row>
    <row r="27" spans="1:7" ht="15" customHeight="1">
      <c r="A27" s="5"/>
      <c r="B27" s="13" t="s">
        <v>816</v>
      </c>
      <c r="C27" s="3" t="s">
        <v>681</v>
      </c>
      <c r="D27" s="12" t="s">
        <v>675</v>
      </c>
      <c r="E27" s="3" t="s">
        <v>817</v>
      </c>
      <c r="F27" s="5"/>
      <c r="G27" s="5"/>
    </row>
    <row r="28" spans="1:7" ht="15.15" customHeight="1">
      <c r="A28" s="5"/>
      <c r="B28" s="13" t="s">
        <v>680</v>
      </c>
      <c r="C28" s="3" t="s">
        <v>681</v>
      </c>
      <c r="D28" s="12" t="s">
        <v>675</v>
      </c>
      <c r="E28" s="3" t="s">
        <v>868</v>
      </c>
      <c r="F28" s="5"/>
      <c r="G28" s="5"/>
    </row>
    <row r="29" spans="1:7" ht="15" customHeight="1">
      <c r="A29" s="5"/>
      <c r="B29" s="13" t="s">
        <v>683</v>
      </c>
      <c r="C29" s="3" t="s">
        <v>684</v>
      </c>
      <c r="D29" s="12" t="s">
        <v>675</v>
      </c>
      <c r="E29" s="3" t="s">
        <v>868</v>
      </c>
      <c r="F29" s="5"/>
      <c r="G29" s="5"/>
    </row>
    <row r="30" spans="1:7" ht="12" customHeight="1">
      <c r="A30" s="5"/>
      <c r="B30" s="5"/>
      <c r="C30" s="5"/>
      <c r="D30" s="5"/>
      <c r="E30" s="2474" t="s">
        <v>685</v>
      </c>
      <c r="F30" s="2474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5.15" customHeight="1">
      <c r="A32" s="5"/>
      <c r="B32" s="3" t="s">
        <v>790</v>
      </c>
      <c r="C32" s="5"/>
      <c r="D32" s="12" t="s">
        <v>690</v>
      </c>
      <c r="E32" s="3" t="s">
        <v>1089</v>
      </c>
      <c r="F32" s="5"/>
      <c r="G32" s="5"/>
    </row>
    <row r="33" spans="1:7" ht="12" customHeight="1">
      <c r="A33" s="5"/>
      <c r="B33" s="5"/>
      <c r="C33" s="5"/>
      <c r="D33" s="5"/>
      <c r="E33" s="2474" t="s">
        <v>702</v>
      </c>
      <c r="F33" s="2474"/>
      <c r="G33" s="5"/>
    </row>
    <row r="34" spans="1:7" ht="12" customHeight="1">
      <c r="A34" s="3" t="s">
        <v>703</v>
      </c>
      <c r="B34" s="3" t="s">
        <v>704</v>
      </c>
      <c r="C34" s="5"/>
      <c r="D34" s="5"/>
      <c r="E34" s="5"/>
      <c r="F34" s="5"/>
      <c r="G34" s="5"/>
    </row>
    <row r="35" spans="1:7" ht="12" customHeight="1">
      <c r="A35" s="5"/>
      <c r="B35" s="5"/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2474" t="s">
        <v>705</v>
      </c>
      <c r="F36" s="2474"/>
      <c r="G36" s="5"/>
    </row>
    <row r="37" spans="1:7" ht="12" customHeight="1">
      <c r="A37" s="5"/>
      <c r="B37" s="5"/>
      <c r="C37" s="5"/>
      <c r="D37" s="5"/>
      <c r="E37" s="5"/>
      <c r="F37" s="5"/>
      <c r="G37" s="5"/>
    </row>
    <row r="38" spans="1:7" ht="12" customHeight="1">
      <c r="A38" s="3" t="s">
        <v>706</v>
      </c>
      <c r="B38" s="2474" t="s">
        <v>707</v>
      </c>
      <c r="C38" s="2474"/>
      <c r="D38" s="2474"/>
      <c r="E38" s="2474"/>
      <c r="F38" s="2474"/>
      <c r="G38" s="5"/>
    </row>
    <row r="39" spans="1:7" ht="12" customHeight="1">
      <c r="A39" s="3" t="s">
        <v>708</v>
      </c>
      <c r="B39" s="2471" t="s">
        <v>876</v>
      </c>
      <c r="C39" s="2471"/>
      <c r="D39" s="2471"/>
      <c r="E39" s="2472" t="s">
        <v>710</v>
      </c>
      <c r="F39" s="2472"/>
      <c r="G39" s="5"/>
    </row>
    <row r="40" spans="1:7" ht="12" customHeight="1">
      <c r="A40" s="3" t="s">
        <v>711</v>
      </c>
      <c r="B40" s="2473" t="s">
        <v>712</v>
      </c>
      <c r="C40" s="2473"/>
      <c r="D40" s="2473"/>
      <c r="E40" s="2473"/>
      <c r="F40" s="2473"/>
      <c r="G40" s="5"/>
    </row>
  </sheetData>
  <mergeCells count="14">
    <mergeCell ref="E9:F9"/>
    <mergeCell ref="E13:F13"/>
    <mergeCell ref="E16:F16"/>
    <mergeCell ref="B18:F18"/>
    <mergeCell ref="B19:D19"/>
    <mergeCell ref="E19:F19"/>
    <mergeCell ref="B39:D39"/>
    <mergeCell ref="E39:F39"/>
    <mergeCell ref="B40:F40"/>
    <mergeCell ref="B20:F20"/>
    <mergeCell ref="E30:F30"/>
    <mergeCell ref="E33:F33"/>
    <mergeCell ref="E36:F36"/>
    <mergeCell ref="B38:F38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35"/>
  <dimension ref="A1:G40"/>
  <sheetViews>
    <sheetView workbookViewId="0">
      <selection activeCell="G40" sqref="A1:G40"/>
    </sheetView>
  </sheetViews>
  <sheetFormatPr defaultRowHeight="14.4"/>
  <cols>
    <col min="1" max="1" width="5.33203125" customWidth="1"/>
    <col min="2" max="2" width="21" customWidth="1"/>
    <col min="3" max="3" width="8.6640625" customWidth="1"/>
    <col min="4" max="4" width="11" customWidth="1"/>
    <col min="5" max="5" width="14.6640625" customWidth="1"/>
    <col min="6" max="6" width="14.44140625" customWidth="1"/>
    <col min="7" max="7" width="16.5546875" customWidth="1"/>
  </cols>
  <sheetData>
    <row r="1" spans="1:7">
      <c r="A1" s="50" t="s">
        <v>2190</v>
      </c>
    </row>
    <row r="3" spans="1:7" ht="35.1" customHeight="1">
      <c r="A3" s="18" t="s">
        <v>1003</v>
      </c>
      <c r="B3" s="1" t="s">
        <v>1004</v>
      </c>
      <c r="C3" s="18" t="s">
        <v>1005</v>
      </c>
      <c r="D3" s="18" t="s">
        <v>1006</v>
      </c>
      <c r="E3" s="18" t="s">
        <v>1007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5" customHeight="1">
      <c r="A5" s="5"/>
      <c r="B5" s="13" t="s">
        <v>673</v>
      </c>
      <c r="C5" s="3" t="s">
        <v>674</v>
      </c>
      <c r="D5" s="12" t="s">
        <v>675</v>
      </c>
      <c r="E5" s="3" t="s">
        <v>854</v>
      </c>
      <c r="F5" s="5"/>
      <c r="G5" s="5"/>
    </row>
    <row r="6" spans="1:7" ht="15.15" customHeight="1">
      <c r="A6" s="5"/>
      <c r="B6" s="13" t="s">
        <v>816</v>
      </c>
      <c r="C6" s="3" t="s">
        <v>681</v>
      </c>
      <c r="D6" s="12" t="s">
        <v>675</v>
      </c>
      <c r="E6" s="3" t="s">
        <v>846</v>
      </c>
      <c r="F6" s="5"/>
      <c r="G6" s="5"/>
    </row>
    <row r="7" spans="1:7" ht="15" customHeight="1">
      <c r="A7" s="5"/>
      <c r="B7" s="13" t="s">
        <v>680</v>
      </c>
      <c r="C7" s="3" t="s">
        <v>681</v>
      </c>
      <c r="D7" s="12" t="s">
        <v>675</v>
      </c>
      <c r="E7" s="3" t="s">
        <v>783</v>
      </c>
      <c r="F7" s="5"/>
      <c r="G7" s="5"/>
    </row>
    <row r="8" spans="1:7" ht="15.15" customHeight="1">
      <c r="A8" s="5"/>
      <c r="B8" s="13" t="s">
        <v>683</v>
      </c>
      <c r="C8" s="3" t="s">
        <v>684</v>
      </c>
      <c r="D8" s="12" t="s">
        <v>675</v>
      </c>
      <c r="E8" s="3" t="s">
        <v>783</v>
      </c>
      <c r="F8" s="5"/>
      <c r="G8" s="5"/>
    </row>
    <row r="9" spans="1:7" ht="12" customHeight="1">
      <c r="A9" s="5"/>
      <c r="B9" s="5"/>
      <c r="C9" s="5"/>
      <c r="D9" s="5"/>
      <c r="E9" s="2474" t="s">
        <v>685</v>
      </c>
      <c r="F9" s="2474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5" customHeight="1">
      <c r="A11" s="5"/>
      <c r="B11" s="3" t="s">
        <v>790</v>
      </c>
      <c r="C11" s="5"/>
      <c r="D11" s="12" t="s">
        <v>690</v>
      </c>
      <c r="E11" s="3" t="s">
        <v>886</v>
      </c>
      <c r="F11" s="5"/>
      <c r="G11" s="5"/>
    </row>
    <row r="12" spans="1:7" ht="12" customHeight="1">
      <c r="A12" s="5"/>
      <c r="B12" s="5"/>
      <c r="C12" s="5"/>
      <c r="D12" s="5"/>
      <c r="E12" s="2474" t="s">
        <v>702</v>
      </c>
      <c r="F12" s="2474"/>
      <c r="G12" s="5"/>
    </row>
    <row r="13" spans="1:7" ht="12" customHeight="1">
      <c r="A13" s="3" t="s">
        <v>703</v>
      </c>
      <c r="B13" s="3" t="s">
        <v>704</v>
      </c>
      <c r="C13" s="5"/>
      <c r="D13" s="5"/>
      <c r="E13" s="5"/>
      <c r="F13" s="5"/>
      <c r="G13" s="5"/>
    </row>
    <row r="14" spans="1:7" ht="12" customHeight="1">
      <c r="A14" s="5"/>
      <c r="B14" s="5"/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2474" t="s">
        <v>705</v>
      </c>
      <c r="F15" s="2474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3" t="s">
        <v>706</v>
      </c>
      <c r="B17" s="2474" t="s">
        <v>707</v>
      </c>
      <c r="C17" s="2474"/>
      <c r="D17" s="2474"/>
      <c r="E17" s="2474"/>
      <c r="F17" s="2474"/>
      <c r="G17" s="5"/>
    </row>
    <row r="18" spans="1:7" ht="12" customHeight="1">
      <c r="A18" s="3" t="s">
        <v>708</v>
      </c>
      <c r="B18" s="2471" t="s">
        <v>876</v>
      </c>
      <c r="C18" s="2471"/>
      <c r="D18" s="2471"/>
      <c r="E18" s="2472" t="s">
        <v>710</v>
      </c>
      <c r="F18" s="2472"/>
      <c r="G18" s="5"/>
    </row>
    <row r="19" spans="1:7" ht="12" customHeight="1">
      <c r="A19" s="3" t="s">
        <v>711</v>
      </c>
      <c r="B19" s="2473" t="s">
        <v>712</v>
      </c>
      <c r="C19" s="2473"/>
      <c r="D19" s="2473"/>
      <c r="E19" s="2473"/>
      <c r="F19" s="2473"/>
      <c r="G19" s="5"/>
    </row>
    <row r="20" spans="1:7" ht="12" customHeight="1">
      <c r="A20" s="3"/>
      <c r="B20" s="26"/>
      <c r="C20" s="26"/>
      <c r="D20" s="26"/>
      <c r="E20" s="26"/>
      <c r="F20" s="26"/>
      <c r="G20" s="5"/>
    </row>
    <row r="21" spans="1:7" ht="12" customHeight="1">
      <c r="A21" s="50" t="s">
        <v>2191</v>
      </c>
      <c r="B21" s="26"/>
      <c r="C21" s="26"/>
      <c r="D21" s="26"/>
      <c r="E21" s="26"/>
      <c r="F21" s="26"/>
      <c r="G21" s="5"/>
    </row>
    <row r="22" spans="1:7" ht="12" customHeight="1">
      <c r="A22" s="3"/>
      <c r="B22" s="26"/>
      <c r="C22" s="26"/>
      <c r="D22" s="26"/>
      <c r="E22" s="26"/>
      <c r="F22" s="26"/>
      <c r="G22" s="5"/>
    </row>
    <row r="23" spans="1:7" ht="34.950000000000003" customHeight="1">
      <c r="A23" s="18" t="s">
        <v>1003</v>
      </c>
      <c r="B23" s="1" t="s">
        <v>1004</v>
      </c>
      <c r="C23" s="18" t="s">
        <v>1005</v>
      </c>
      <c r="D23" s="18" t="s">
        <v>1006</v>
      </c>
      <c r="E23" s="18" t="s">
        <v>1007</v>
      </c>
      <c r="F23" s="7" t="s">
        <v>767</v>
      </c>
      <c r="G23" s="7" t="s">
        <v>768</v>
      </c>
    </row>
    <row r="24" spans="1:7" ht="12" customHeight="1">
      <c r="A24" s="3" t="s">
        <v>671</v>
      </c>
      <c r="B24" s="3" t="s">
        <v>672</v>
      </c>
      <c r="C24" s="5"/>
      <c r="D24" s="5"/>
      <c r="E24" s="5"/>
      <c r="F24" s="5"/>
      <c r="G24" s="5"/>
    </row>
    <row r="25" spans="1:7" ht="15.15" customHeight="1">
      <c r="A25" s="5"/>
      <c r="B25" s="13" t="s">
        <v>673</v>
      </c>
      <c r="C25" s="3" t="s">
        <v>674</v>
      </c>
      <c r="D25" s="12" t="s">
        <v>675</v>
      </c>
      <c r="E25" s="3" t="s">
        <v>718</v>
      </c>
      <c r="F25" s="5"/>
      <c r="G25" s="5"/>
    </row>
    <row r="26" spans="1:7" ht="15" customHeight="1">
      <c r="A26" s="5"/>
      <c r="B26" s="13" t="s">
        <v>816</v>
      </c>
      <c r="C26" s="3" t="s">
        <v>681</v>
      </c>
      <c r="D26" s="12" t="s">
        <v>675</v>
      </c>
      <c r="E26" s="3" t="s">
        <v>740</v>
      </c>
      <c r="F26" s="5"/>
      <c r="G26" s="5"/>
    </row>
    <row r="27" spans="1:7" ht="15" customHeight="1">
      <c r="A27" s="5"/>
      <c r="B27" s="13" t="s">
        <v>680</v>
      </c>
      <c r="C27" s="3" t="s">
        <v>681</v>
      </c>
      <c r="D27" s="12" t="s">
        <v>675</v>
      </c>
      <c r="E27" s="3" t="s">
        <v>811</v>
      </c>
      <c r="F27" s="5"/>
      <c r="G27" s="5"/>
    </row>
    <row r="28" spans="1:7" ht="15.15" customHeight="1">
      <c r="A28" s="5"/>
      <c r="B28" s="13" t="s">
        <v>683</v>
      </c>
      <c r="C28" s="3" t="s">
        <v>684</v>
      </c>
      <c r="D28" s="12" t="s">
        <v>675</v>
      </c>
      <c r="E28" s="3" t="s">
        <v>811</v>
      </c>
      <c r="F28" s="5"/>
      <c r="G28" s="5"/>
    </row>
    <row r="29" spans="1:7" ht="12" customHeight="1">
      <c r="A29" s="5"/>
      <c r="B29" s="5"/>
      <c r="C29" s="5"/>
      <c r="D29" s="5"/>
      <c r="E29" s="2474" t="s">
        <v>685</v>
      </c>
      <c r="F29" s="2474"/>
      <c r="G29" s="5"/>
    </row>
    <row r="30" spans="1:7" ht="12" customHeight="1">
      <c r="A30" s="3" t="s">
        <v>686</v>
      </c>
      <c r="B30" s="3" t="s">
        <v>687</v>
      </c>
      <c r="C30" s="5"/>
      <c r="D30" s="5"/>
      <c r="E30" s="5"/>
      <c r="F30" s="5"/>
      <c r="G30" s="5"/>
    </row>
    <row r="31" spans="1:7" ht="15" customHeight="1">
      <c r="A31" s="5"/>
      <c r="B31" s="3" t="s">
        <v>790</v>
      </c>
      <c r="C31" s="5"/>
      <c r="D31" s="12" t="s">
        <v>690</v>
      </c>
      <c r="E31" s="3" t="s">
        <v>1090</v>
      </c>
      <c r="F31" s="5"/>
      <c r="G31" s="5"/>
    </row>
    <row r="32" spans="1:7" ht="15" customHeight="1">
      <c r="A32" s="5"/>
      <c r="B32" s="3" t="s">
        <v>739</v>
      </c>
      <c r="C32" s="5"/>
      <c r="D32" s="11" t="s">
        <v>692</v>
      </c>
      <c r="E32" s="3" t="s">
        <v>788</v>
      </c>
      <c r="F32" s="5"/>
      <c r="G32" s="5"/>
    </row>
    <row r="33" spans="1:7" ht="12" customHeight="1">
      <c r="A33" s="5"/>
      <c r="B33" s="5"/>
      <c r="C33" s="5"/>
      <c r="D33" s="5"/>
      <c r="E33" s="2474" t="s">
        <v>702</v>
      </c>
      <c r="F33" s="2474"/>
      <c r="G33" s="5"/>
    </row>
    <row r="34" spans="1:7" ht="12" customHeight="1">
      <c r="A34" s="3" t="s">
        <v>703</v>
      </c>
      <c r="B34" s="3" t="s">
        <v>704</v>
      </c>
      <c r="C34" s="5"/>
      <c r="D34" s="5"/>
      <c r="E34" s="5"/>
      <c r="F34" s="5"/>
      <c r="G34" s="5"/>
    </row>
    <row r="35" spans="1:7" ht="12" customHeight="1">
      <c r="A35" s="5"/>
      <c r="B35" s="5"/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2474" t="s">
        <v>705</v>
      </c>
      <c r="F36" s="2474"/>
      <c r="G36" s="5"/>
    </row>
    <row r="37" spans="1:7" ht="12" customHeight="1">
      <c r="A37" s="5"/>
      <c r="B37" s="5"/>
      <c r="C37" s="5"/>
      <c r="D37" s="5"/>
      <c r="E37" s="5"/>
      <c r="F37" s="5"/>
      <c r="G37" s="5"/>
    </row>
    <row r="38" spans="1:7" ht="12" customHeight="1">
      <c r="A38" s="3" t="s">
        <v>706</v>
      </c>
      <c r="B38" s="2474" t="s">
        <v>707</v>
      </c>
      <c r="C38" s="2474"/>
      <c r="D38" s="2474"/>
      <c r="E38" s="2474"/>
      <c r="F38" s="2474"/>
      <c r="G38" s="5"/>
    </row>
    <row r="39" spans="1:7" ht="12" customHeight="1">
      <c r="A39" s="3" t="s">
        <v>708</v>
      </c>
      <c r="B39" s="2471" t="s">
        <v>876</v>
      </c>
      <c r="C39" s="2471"/>
      <c r="D39" s="2471"/>
      <c r="E39" s="2472" t="s">
        <v>710</v>
      </c>
      <c r="F39" s="2472"/>
      <c r="G39" s="5"/>
    </row>
    <row r="40" spans="1:7" ht="12.15" customHeight="1">
      <c r="A40" s="3" t="s">
        <v>711</v>
      </c>
      <c r="B40" s="2473" t="s">
        <v>712</v>
      </c>
      <c r="C40" s="2473"/>
      <c r="D40" s="2473"/>
      <c r="E40" s="2473"/>
      <c r="F40" s="2473"/>
      <c r="G40" s="5"/>
    </row>
  </sheetData>
  <mergeCells count="14">
    <mergeCell ref="E9:F9"/>
    <mergeCell ref="E12:F12"/>
    <mergeCell ref="E15:F15"/>
    <mergeCell ref="B17:F17"/>
    <mergeCell ref="B18:D18"/>
    <mergeCell ref="E18:F18"/>
    <mergeCell ref="B39:D39"/>
    <mergeCell ref="E39:F39"/>
    <mergeCell ref="B40:F40"/>
    <mergeCell ref="B19:F19"/>
    <mergeCell ref="E29:F29"/>
    <mergeCell ref="E33:F33"/>
    <mergeCell ref="E36:F36"/>
    <mergeCell ref="B38:F38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36"/>
  <dimension ref="A1:G19"/>
  <sheetViews>
    <sheetView workbookViewId="0">
      <selection sqref="A1:G19"/>
    </sheetView>
  </sheetViews>
  <sheetFormatPr defaultRowHeight="14.4"/>
  <cols>
    <col min="1" max="1" width="5.33203125" customWidth="1"/>
    <col min="2" max="2" width="21" customWidth="1"/>
    <col min="3" max="3" width="5.33203125" customWidth="1"/>
    <col min="4" max="4" width="10.88671875" customWidth="1"/>
    <col min="5" max="5" width="14.6640625" customWidth="1"/>
    <col min="6" max="6" width="14.33203125" customWidth="1"/>
    <col min="7" max="7" width="16.5546875" customWidth="1"/>
  </cols>
  <sheetData>
    <row r="1" spans="1:7">
      <c r="A1" s="50" t="s">
        <v>2192</v>
      </c>
    </row>
    <row r="3" spans="1:7" ht="35.1" customHeight="1">
      <c r="A3" s="18" t="s">
        <v>1003</v>
      </c>
      <c r="B3" s="1" t="s">
        <v>1004</v>
      </c>
      <c r="C3" s="110" t="s">
        <v>1005</v>
      </c>
      <c r="D3" s="110" t="s">
        <v>1006</v>
      </c>
      <c r="E3" s="110" t="s">
        <v>1007</v>
      </c>
      <c r="F3" s="91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86"/>
      <c r="D4" s="86"/>
      <c r="E4" s="86"/>
      <c r="F4" s="86"/>
      <c r="G4" s="5"/>
    </row>
    <row r="5" spans="1:7" ht="15" customHeight="1">
      <c r="A5" s="5"/>
      <c r="B5" s="13" t="s">
        <v>673</v>
      </c>
      <c r="C5" s="96" t="s">
        <v>674</v>
      </c>
      <c r="D5" s="96" t="s">
        <v>675</v>
      </c>
      <c r="E5" s="96" t="s">
        <v>679</v>
      </c>
      <c r="F5" s="86"/>
      <c r="G5" s="5"/>
    </row>
    <row r="6" spans="1:7" ht="15.15" customHeight="1">
      <c r="A6" s="5"/>
      <c r="B6" s="13" t="s">
        <v>816</v>
      </c>
      <c r="C6" s="96" t="s">
        <v>681</v>
      </c>
      <c r="D6" s="96" t="s">
        <v>675</v>
      </c>
      <c r="E6" s="96" t="s">
        <v>741</v>
      </c>
      <c r="F6" s="86"/>
      <c r="G6" s="5"/>
    </row>
    <row r="7" spans="1:7" ht="15" customHeight="1">
      <c r="A7" s="5"/>
      <c r="B7" s="13" t="s">
        <v>680</v>
      </c>
      <c r="C7" s="96" t="s">
        <v>681</v>
      </c>
      <c r="D7" s="96" t="s">
        <v>675</v>
      </c>
      <c r="E7" s="96" t="s">
        <v>779</v>
      </c>
      <c r="F7" s="86"/>
      <c r="G7" s="5"/>
    </row>
    <row r="8" spans="1:7" ht="15.15" customHeight="1">
      <c r="A8" s="5"/>
      <c r="B8" s="13" t="s">
        <v>683</v>
      </c>
      <c r="C8" s="96" t="s">
        <v>684</v>
      </c>
      <c r="D8" s="96" t="s">
        <v>675</v>
      </c>
      <c r="E8" s="96" t="s">
        <v>779</v>
      </c>
      <c r="F8" s="86"/>
      <c r="G8" s="5"/>
    </row>
    <row r="9" spans="1:7" ht="12" customHeight="1">
      <c r="A9" s="5"/>
      <c r="B9" s="5"/>
      <c r="C9" s="86"/>
      <c r="D9" s="86"/>
      <c r="E9" s="96" t="s">
        <v>685</v>
      </c>
      <c r="F9" s="102"/>
      <c r="G9" s="5"/>
    </row>
    <row r="10" spans="1:7" ht="12" customHeight="1">
      <c r="A10" s="3" t="s">
        <v>686</v>
      </c>
      <c r="B10" s="3" t="s">
        <v>687</v>
      </c>
      <c r="C10" s="86"/>
      <c r="D10" s="86"/>
      <c r="E10" s="86"/>
      <c r="F10" s="86"/>
      <c r="G10" s="5"/>
    </row>
    <row r="11" spans="1:7" ht="15" customHeight="1">
      <c r="A11" s="5"/>
      <c r="B11" s="3" t="s">
        <v>790</v>
      </c>
      <c r="C11" s="86"/>
      <c r="D11" s="96" t="s">
        <v>690</v>
      </c>
      <c r="E11" s="96" t="s">
        <v>1091</v>
      </c>
      <c r="F11" s="86"/>
      <c r="G11" s="5"/>
    </row>
    <row r="12" spans="1:7" ht="12" customHeight="1">
      <c r="A12" s="5"/>
      <c r="B12" s="5"/>
      <c r="C12" s="86"/>
      <c r="D12" s="86"/>
      <c r="E12" s="96" t="s">
        <v>702</v>
      </c>
      <c r="F12" s="102"/>
      <c r="G12" s="5"/>
    </row>
    <row r="13" spans="1:7" ht="12" customHeight="1">
      <c r="A13" s="3" t="s">
        <v>703</v>
      </c>
      <c r="B13" s="3" t="s">
        <v>704</v>
      </c>
      <c r="C13" s="86"/>
      <c r="D13" s="86"/>
      <c r="E13" s="86"/>
      <c r="F13" s="86"/>
      <c r="G13" s="5"/>
    </row>
    <row r="14" spans="1:7" ht="12" customHeight="1">
      <c r="A14" s="5"/>
      <c r="B14" s="5"/>
      <c r="C14" s="86"/>
      <c r="D14" s="86"/>
      <c r="E14" s="86"/>
      <c r="F14" s="86"/>
      <c r="G14" s="5"/>
    </row>
    <row r="15" spans="1:7" ht="12" customHeight="1">
      <c r="A15" s="5"/>
      <c r="B15" s="5"/>
      <c r="C15" s="86"/>
      <c r="D15" s="86"/>
      <c r="E15" s="96" t="s">
        <v>705</v>
      </c>
      <c r="F15" s="102"/>
      <c r="G15" s="5"/>
    </row>
    <row r="16" spans="1:7" ht="12" customHeight="1">
      <c r="A16" s="5"/>
      <c r="B16" s="5"/>
      <c r="C16" s="86"/>
      <c r="D16" s="86"/>
      <c r="E16" s="86"/>
      <c r="F16" s="86"/>
      <c r="G16" s="5"/>
    </row>
    <row r="17" spans="1:7" ht="12" customHeight="1">
      <c r="A17" s="3" t="s">
        <v>706</v>
      </c>
      <c r="B17" s="96" t="s">
        <v>707</v>
      </c>
      <c r="C17" s="102"/>
      <c r="D17" s="102"/>
      <c r="E17" s="102"/>
      <c r="F17" s="102"/>
      <c r="G17" s="5"/>
    </row>
    <row r="18" spans="1:7" ht="12" customHeight="1">
      <c r="A18" s="3" t="s">
        <v>708</v>
      </c>
      <c r="B18" s="92" t="s">
        <v>876</v>
      </c>
      <c r="C18" s="93"/>
      <c r="D18" s="93"/>
      <c r="E18" s="96" t="s">
        <v>710</v>
      </c>
      <c r="F18" s="102"/>
      <c r="G18" s="5"/>
    </row>
    <row r="19" spans="1:7" ht="12" customHeight="1">
      <c r="A19" s="3" t="s">
        <v>711</v>
      </c>
      <c r="B19" s="96" t="s">
        <v>712</v>
      </c>
      <c r="C19" s="102"/>
      <c r="D19" s="102"/>
      <c r="E19" s="102"/>
      <c r="F19" s="102"/>
      <c r="G19" s="5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37">
    <tabColor theme="9" tint="-0.249977111117893"/>
  </sheetPr>
  <dimension ref="A1:G23"/>
  <sheetViews>
    <sheetView workbookViewId="0">
      <selection sqref="A1:G23"/>
    </sheetView>
  </sheetViews>
  <sheetFormatPr defaultRowHeight="14.4"/>
  <cols>
    <col min="1" max="1" width="4.5546875" customWidth="1"/>
    <col min="2" max="2" width="21" customWidth="1"/>
    <col min="3" max="3" width="7" customWidth="1"/>
    <col min="4" max="4" width="5.5546875" customWidth="1"/>
    <col min="5" max="5" width="12.109375" customWidth="1"/>
    <col min="6" max="6" width="15.5546875" customWidth="1"/>
    <col min="7" max="7" width="16.5546875" customWidth="1"/>
  </cols>
  <sheetData>
    <row r="1" spans="1:7" ht="12" customHeight="1">
      <c r="A1" s="112" t="s">
        <v>2193</v>
      </c>
      <c r="B1" s="38"/>
      <c r="C1" s="38"/>
      <c r="D1" s="38"/>
      <c r="E1" s="38"/>
      <c r="F1" s="38"/>
      <c r="G1" s="37"/>
    </row>
    <row r="2" spans="1:7" ht="12" customHeight="1">
      <c r="A2" s="112"/>
      <c r="B2" s="38"/>
      <c r="C2" s="38"/>
      <c r="D2" s="38"/>
      <c r="E2" s="38"/>
      <c r="F2" s="38"/>
      <c r="G2" s="37"/>
    </row>
    <row r="3" spans="1:7" ht="12" customHeight="1">
      <c r="A3" s="50" t="s">
        <v>2194</v>
      </c>
      <c r="B3" s="38"/>
      <c r="C3" s="38"/>
      <c r="D3" s="38"/>
      <c r="E3" s="38"/>
      <c r="F3" s="38"/>
      <c r="G3" s="37"/>
    </row>
    <row r="4" spans="1:7" ht="12" customHeight="1">
      <c r="A4" s="100"/>
      <c r="B4" s="100"/>
      <c r="C4" s="100"/>
      <c r="D4" s="100"/>
      <c r="E4" s="100"/>
      <c r="F4" s="100"/>
      <c r="G4" s="95"/>
    </row>
    <row r="5" spans="1:7" ht="35.1" customHeight="1">
      <c r="A5" s="6" t="s">
        <v>762</v>
      </c>
      <c r="B5" s="91" t="s">
        <v>763</v>
      </c>
      <c r="C5" s="6" t="s">
        <v>764</v>
      </c>
      <c r="D5" s="91" t="s">
        <v>765</v>
      </c>
      <c r="E5" s="91" t="s">
        <v>766</v>
      </c>
      <c r="F5" s="91" t="s">
        <v>767</v>
      </c>
      <c r="G5" s="113" t="s">
        <v>768</v>
      </c>
    </row>
    <row r="6" spans="1:7" ht="12" customHeight="1">
      <c r="A6" s="12" t="s">
        <v>671</v>
      </c>
      <c r="B6" s="96" t="s">
        <v>672</v>
      </c>
      <c r="C6" s="5"/>
      <c r="D6" s="86"/>
      <c r="E6" s="86"/>
      <c r="F6" s="86"/>
      <c r="G6" s="89"/>
    </row>
    <row r="7" spans="1:7" ht="13.65" customHeight="1">
      <c r="A7" s="5"/>
      <c r="B7" s="96" t="s">
        <v>673</v>
      </c>
      <c r="C7" s="3" t="s">
        <v>674</v>
      </c>
      <c r="D7" s="96" t="s">
        <v>675</v>
      </c>
      <c r="E7" s="96" t="s">
        <v>746</v>
      </c>
      <c r="F7" s="86"/>
      <c r="G7" s="89"/>
    </row>
    <row r="8" spans="1:7" ht="13.65" customHeight="1">
      <c r="A8" s="5"/>
      <c r="B8" s="96" t="s">
        <v>816</v>
      </c>
      <c r="C8" s="3" t="s">
        <v>678</v>
      </c>
      <c r="D8" s="96" t="s">
        <v>675</v>
      </c>
      <c r="E8" s="96" t="s">
        <v>787</v>
      </c>
      <c r="F8" s="86"/>
      <c r="G8" s="89"/>
    </row>
    <row r="9" spans="1:7" ht="13.95" customHeight="1">
      <c r="A9" s="5"/>
      <c r="B9" s="96" t="s">
        <v>751</v>
      </c>
      <c r="C9" s="3" t="s">
        <v>681</v>
      </c>
      <c r="D9" s="96" t="s">
        <v>675</v>
      </c>
      <c r="E9" s="96" t="s">
        <v>901</v>
      </c>
      <c r="F9" s="86"/>
      <c r="G9" s="89"/>
    </row>
    <row r="10" spans="1:7" ht="13.65" customHeight="1">
      <c r="A10" s="5"/>
      <c r="B10" s="96" t="s">
        <v>683</v>
      </c>
      <c r="C10" s="3" t="s">
        <v>684</v>
      </c>
      <c r="D10" s="96" t="s">
        <v>675</v>
      </c>
      <c r="E10" s="96" t="s">
        <v>901</v>
      </c>
      <c r="F10" s="86"/>
      <c r="G10" s="89"/>
    </row>
    <row r="11" spans="1:7" ht="12" customHeight="1">
      <c r="A11" s="5"/>
      <c r="B11" s="86"/>
      <c r="C11" s="5"/>
      <c r="D11" s="86"/>
      <c r="E11" s="96" t="s">
        <v>685</v>
      </c>
      <c r="F11" s="102"/>
      <c r="G11" s="89"/>
    </row>
    <row r="12" spans="1:7" ht="12" customHeight="1">
      <c r="A12" s="12" t="s">
        <v>686</v>
      </c>
      <c r="B12" s="96" t="s">
        <v>687</v>
      </c>
      <c r="C12" s="5"/>
      <c r="D12" s="86"/>
      <c r="E12" s="86"/>
      <c r="F12" s="86"/>
      <c r="G12" s="89"/>
    </row>
    <row r="13" spans="1:7" ht="13.65" customHeight="1">
      <c r="A13" s="5"/>
      <c r="B13" s="96" t="s">
        <v>1092</v>
      </c>
      <c r="C13" s="5"/>
      <c r="D13" s="96" t="s">
        <v>743</v>
      </c>
      <c r="E13" s="96" t="s">
        <v>1093</v>
      </c>
      <c r="F13" s="86"/>
      <c r="G13" s="89"/>
    </row>
    <row r="14" spans="1:7" ht="13.95" customHeight="1">
      <c r="A14" s="5"/>
      <c r="B14" s="96" t="s">
        <v>818</v>
      </c>
      <c r="C14" s="5"/>
      <c r="D14" s="96" t="s">
        <v>773</v>
      </c>
      <c r="E14" s="96" t="s">
        <v>1094</v>
      </c>
      <c r="F14" s="86"/>
      <c r="G14" s="89"/>
    </row>
    <row r="15" spans="1:7" ht="13.65" customHeight="1">
      <c r="A15" s="5"/>
      <c r="B15" s="96" t="s">
        <v>739</v>
      </c>
      <c r="C15" s="5"/>
      <c r="D15" s="96" t="s">
        <v>881</v>
      </c>
      <c r="E15" s="96" t="s">
        <v>795</v>
      </c>
      <c r="F15" s="86"/>
      <c r="G15" s="89"/>
    </row>
    <row r="16" spans="1:7" ht="12" customHeight="1">
      <c r="A16" s="5"/>
      <c r="B16" s="86"/>
      <c r="C16" s="5"/>
      <c r="D16" s="86"/>
      <c r="E16" s="96" t="s">
        <v>702</v>
      </c>
      <c r="F16" s="102"/>
      <c r="G16" s="89"/>
    </row>
    <row r="17" spans="1:7" ht="12" customHeight="1">
      <c r="A17" s="12" t="s">
        <v>703</v>
      </c>
      <c r="B17" s="96" t="s">
        <v>704</v>
      </c>
      <c r="C17" s="5"/>
      <c r="D17" s="86"/>
      <c r="E17" s="86"/>
      <c r="F17" s="86"/>
      <c r="G17" s="89"/>
    </row>
    <row r="18" spans="1:7" ht="12" customHeight="1">
      <c r="A18" s="5"/>
      <c r="B18" s="86"/>
      <c r="C18" s="5"/>
      <c r="D18" s="86"/>
      <c r="E18" s="86"/>
      <c r="F18" s="86"/>
      <c r="G18" s="89"/>
    </row>
    <row r="19" spans="1:7" ht="12" customHeight="1">
      <c r="A19" s="5"/>
      <c r="B19" s="86"/>
      <c r="C19" s="5"/>
      <c r="D19" s="86"/>
      <c r="E19" s="96" t="s">
        <v>705</v>
      </c>
      <c r="F19" s="102"/>
      <c r="G19" s="89"/>
    </row>
    <row r="20" spans="1:7" ht="12" customHeight="1">
      <c r="A20" s="5"/>
      <c r="B20" s="86"/>
      <c r="C20" s="5"/>
      <c r="D20" s="86"/>
      <c r="E20" s="86"/>
      <c r="F20" s="86"/>
      <c r="G20" s="89"/>
    </row>
    <row r="21" spans="1:7" ht="12" customHeight="1">
      <c r="A21" s="12" t="s">
        <v>706</v>
      </c>
      <c r="B21" s="96" t="s">
        <v>707</v>
      </c>
      <c r="C21" s="102"/>
      <c r="D21" s="102"/>
      <c r="E21" s="102"/>
      <c r="F21" s="102"/>
      <c r="G21" s="89"/>
    </row>
    <row r="22" spans="1:7" ht="12" customHeight="1">
      <c r="A22" s="12" t="s">
        <v>708</v>
      </c>
      <c r="B22" s="92" t="s">
        <v>876</v>
      </c>
      <c r="C22" s="93"/>
      <c r="D22" s="93"/>
      <c r="E22" s="96" t="s">
        <v>710</v>
      </c>
      <c r="F22" s="102"/>
      <c r="G22" s="89"/>
    </row>
    <row r="23" spans="1:7" ht="12" customHeight="1">
      <c r="A23" s="12" t="s">
        <v>711</v>
      </c>
      <c r="B23" s="96" t="s">
        <v>712</v>
      </c>
      <c r="C23" s="102"/>
      <c r="D23" s="102"/>
      <c r="E23" s="102"/>
      <c r="F23" s="102"/>
      <c r="G23" s="89"/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38"/>
  <dimension ref="A1:G43"/>
  <sheetViews>
    <sheetView topLeftCell="A25" workbookViewId="0">
      <selection sqref="A1:G43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2195</v>
      </c>
    </row>
    <row r="3" spans="1:7" ht="34.950000000000003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5" customHeight="1">
      <c r="A5" s="5"/>
      <c r="B5" s="3" t="s">
        <v>673</v>
      </c>
      <c r="C5" s="3" t="s">
        <v>674</v>
      </c>
      <c r="D5" s="12" t="s">
        <v>675</v>
      </c>
      <c r="E5" s="3" t="s">
        <v>746</v>
      </c>
      <c r="F5" s="5"/>
      <c r="G5" s="5"/>
    </row>
    <row r="6" spans="1:7" ht="13.65" customHeight="1">
      <c r="A6" s="5"/>
      <c r="B6" s="3" t="s">
        <v>816</v>
      </c>
      <c r="C6" s="3" t="s">
        <v>678</v>
      </c>
      <c r="D6" s="12" t="s">
        <v>675</v>
      </c>
      <c r="E6" s="3" t="s">
        <v>787</v>
      </c>
      <c r="F6" s="5"/>
      <c r="G6" s="5"/>
    </row>
    <row r="7" spans="1:7" ht="13.95" customHeight="1">
      <c r="A7" s="5"/>
      <c r="B7" s="3" t="s">
        <v>751</v>
      </c>
      <c r="C7" s="3" t="s">
        <v>681</v>
      </c>
      <c r="D7" s="12" t="s">
        <v>675</v>
      </c>
      <c r="E7" s="3" t="s">
        <v>901</v>
      </c>
      <c r="F7" s="5"/>
      <c r="G7" s="5"/>
    </row>
    <row r="8" spans="1:7" ht="13.65" customHeight="1">
      <c r="A8" s="5"/>
      <c r="B8" s="3" t="s">
        <v>683</v>
      </c>
      <c r="C8" s="3" t="s">
        <v>684</v>
      </c>
      <c r="D8" s="12" t="s">
        <v>675</v>
      </c>
      <c r="E8" s="3" t="s">
        <v>901</v>
      </c>
      <c r="F8" s="5"/>
      <c r="G8" s="5"/>
    </row>
    <row r="9" spans="1:7" ht="12" customHeight="1">
      <c r="A9" s="5"/>
      <c r="B9" s="5"/>
      <c r="C9" s="5"/>
      <c r="D9" s="5"/>
      <c r="E9" s="2474" t="s">
        <v>685</v>
      </c>
      <c r="F9" s="2474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65" customHeight="1">
      <c r="A11" s="5"/>
      <c r="B11" s="3" t="s">
        <v>1092</v>
      </c>
      <c r="C11" s="5"/>
      <c r="D11" s="12" t="s">
        <v>743</v>
      </c>
      <c r="E11" s="3" t="s">
        <v>1095</v>
      </c>
      <c r="F11" s="5"/>
      <c r="G11" s="5"/>
    </row>
    <row r="12" spans="1:7" ht="13.95" customHeight="1">
      <c r="A12" s="5"/>
      <c r="B12" s="3" t="s">
        <v>818</v>
      </c>
      <c r="C12" s="5"/>
      <c r="D12" s="12" t="s">
        <v>773</v>
      </c>
      <c r="E12" s="3" t="s">
        <v>1096</v>
      </c>
      <c r="F12" s="5"/>
      <c r="G12" s="5"/>
    </row>
    <row r="13" spans="1:7" ht="13.65" customHeight="1">
      <c r="A13" s="5"/>
      <c r="B13" s="3" t="s">
        <v>739</v>
      </c>
      <c r="C13" s="5"/>
      <c r="D13" s="12" t="s">
        <v>881</v>
      </c>
      <c r="E13" s="3" t="s">
        <v>795</v>
      </c>
      <c r="F13" s="5"/>
      <c r="G13" s="5"/>
    </row>
    <row r="14" spans="1:7" ht="12" customHeight="1">
      <c r="A14" s="5"/>
      <c r="B14" s="5"/>
      <c r="C14" s="5"/>
      <c r="D14" s="5"/>
      <c r="E14" s="2474" t="s">
        <v>702</v>
      </c>
      <c r="F14" s="2474"/>
      <c r="G14" s="5"/>
    </row>
    <row r="15" spans="1:7" ht="12" customHeight="1">
      <c r="A15" s="12" t="s">
        <v>703</v>
      </c>
      <c r="B15" s="3" t="s">
        <v>704</v>
      </c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2474" t="s">
        <v>705</v>
      </c>
      <c r="F17" s="2474"/>
      <c r="G17" s="5"/>
    </row>
    <row r="18" spans="1:7" ht="12" customHeight="1">
      <c r="A18" s="5"/>
      <c r="B18" s="5"/>
      <c r="C18" s="5"/>
      <c r="D18" s="5"/>
      <c r="E18" s="5"/>
      <c r="F18" s="5"/>
      <c r="G18" s="5"/>
    </row>
    <row r="19" spans="1:7" ht="12" customHeight="1">
      <c r="A19" s="12" t="s">
        <v>706</v>
      </c>
      <c r="B19" s="2474" t="s">
        <v>707</v>
      </c>
      <c r="C19" s="2474"/>
      <c r="D19" s="2474"/>
      <c r="E19" s="2474"/>
      <c r="F19" s="2474"/>
      <c r="G19" s="5"/>
    </row>
    <row r="20" spans="1:7" ht="12" customHeight="1">
      <c r="A20" s="12" t="s">
        <v>708</v>
      </c>
      <c r="B20" s="2471" t="s">
        <v>876</v>
      </c>
      <c r="C20" s="2471"/>
      <c r="D20" s="2471"/>
      <c r="E20" s="2472" t="s">
        <v>710</v>
      </c>
      <c r="F20" s="2472"/>
      <c r="G20" s="5"/>
    </row>
    <row r="21" spans="1:7" ht="12" customHeight="1">
      <c r="A21" s="12" t="s">
        <v>711</v>
      </c>
      <c r="B21" s="2473" t="s">
        <v>712</v>
      </c>
      <c r="C21" s="2473"/>
      <c r="D21" s="2473"/>
      <c r="E21" s="2473"/>
      <c r="F21" s="2473"/>
      <c r="G21" s="5"/>
    </row>
    <row r="22" spans="1:7" ht="12" customHeight="1">
      <c r="A22" s="12"/>
      <c r="B22" s="26"/>
      <c r="C22" s="26"/>
      <c r="D22" s="26"/>
      <c r="E22" s="26"/>
      <c r="F22" s="26"/>
      <c r="G22" s="5"/>
    </row>
    <row r="23" spans="1:7" ht="12" customHeight="1">
      <c r="A23" s="50" t="s">
        <v>2196</v>
      </c>
      <c r="B23" s="26"/>
      <c r="C23" s="26"/>
      <c r="D23" s="26"/>
      <c r="E23" s="26"/>
      <c r="F23" s="26"/>
      <c r="G23" s="5"/>
    </row>
    <row r="24" spans="1:7" ht="12" customHeight="1">
      <c r="A24" s="12"/>
      <c r="B24" s="26"/>
      <c r="C24" s="26"/>
      <c r="D24" s="26"/>
      <c r="E24" s="26"/>
      <c r="F24" s="26"/>
      <c r="G24" s="5"/>
    </row>
    <row r="25" spans="1:7" ht="35.1" customHeight="1">
      <c r="A25" s="6" t="s">
        <v>762</v>
      </c>
      <c r="B25" s="6" t="s">
        <v>763</v>
      </c>
      <c r="C25" s="6" t="s">
        <v>764</v>
      </c>
      <c r="D25" s="6" t="s">
        <v>765</v>
      </c>
      <c r="E25" s="6" t="s">
        <v>766</v>
      </c>
      <c r="F25" s="7" t="s">
        <v>767</v>
      </c>
      <c r="G25" s="7" t="s">
        <v>768</v>
      </c>
    </row>
    <row r="26" spans="1:7" ht="12" customHeight="1">
      <c r="A26" s="12" t="s">
        <v>671</v>
      </c>
      <c r="B26" s="3" t="s">
        <v>672</v>
      </c>
      <c r="C26" s="5"/>
      <c r="D26" s="5"/>
      <c r="E26" s="5"/>
      <c r="F26" s="5"/>
      <c r="G26" s="5"/>
    </row>
    <row r="27" spans="1:7" ht="13.65" customHeight="1">
      <c r="A27" s="5"/>
      <c r="B27" s="3" t="s">
        <v>673</v>
      </c>
      <c r="C27" s="3" t="s">
        <v>674</v>
      </c>
      <c r="D27" s="12" t="s">
        <v>675</v>
      </c>
      <c r="E27" s="3" t="s">
        <v>878</v>
      </c>
      <c r="F27" s="5"/>
      <c r="G27" s="5"/>
    </row>
    <row r="28" spans="1:7" ht="13.95" customHeight="1">
      <c r="A28" s="5"/>
      <c r="B28" s="3" t="s">
        <v>816</v>
      </c>
      <c r="C28" s="3" t="s">
        <v>678</v>
      </c>
      <c r="D28" s="12" t="s">
        <v>675</v>
      </c>
      <c r="E28" s="3" t="s">
        <v>807</v>
      </c>
      <c r="F28" s="5"/>
      <c r="G28" s="5"/>
    </row>
    <row r="29" spans="1:7" ht="13.65" customHeight="1">
      <c r="A29" s="5"/>
      <c r="B29" s="3" t="s">
        <v>751</v>
      </c>
      <c r="C29" s="3" t="s">
        <v>681</v>
      </c>
      <c r="D29" s="12" t="s">
        <v>675</v>
      </c>
      <c r="E29" s="3" t="s">
        <v>1034</v>
      </c>
      <c r="F29" s="5"/>
      <c r="G29" s="5"/>
    </row>
    <row r="30" spans="1:7" ht="13.65" customHeight="1">
      <c r="A30" s="5"/>
      <c r="B30" s="3" t="s">
        <v>683</v>
      </c>
      <c r="C30" s="3" t="s">
        <v>684</v>
      </c>
      <c r="D30" s="12" t="s">
        <v>675</v>
      </c>
      <c r="E30" s="3" t="s">
        <v>1034</v>
      </c>
      <c r="F30" s="5"/>
      <c r="G30" s="5"/>
    </row>
    <row r="31" spans="1:7" ht="12" customHeight="1">
      <c r="A31" s="5"/>
      <c r="B31" s="5"/>
      <c r="C31" s="5"/>
      <c r="D31" s="5"/>
      <c r="E31" s="2474" t="s">
        <v>685</v>
      </c>
      <c r="F31" s="2474"/>
      <c r="G31" s="5"/>
    </row>
    <row r="32" spans="1:7" ht="12" customHeight="1">
      <c r="A32" s="12" t="s">
        <v>686</v>
      </c>
      <c r="B32" s="3" t="s">
        <v>687</v>
      </c>
      <c r="C32" s="5"/>
      <c r="D32" s="5"/>
      <c r="E32" s="5"/>
      <c r="F32" s="5"/>
      <c r="G32" s="5"/>
    </row>
    <row r="33" spans="1:7" ht="13.95" customHeight="1">
      <c r="A33" s="5"/>
      <c r="B33" s="3" t="s">
        <v>1092</v>
      </c>
      <c r="C33" s="5"/>
      <c r="D33" s="12" t="s">
        <v>743</v>
      </c>
      <c r="E33" s="3" t="s">
        <v>1097</v>
      </c>
      <c r="F33" s="5"/>
      <c r="G33" s="5"/>
    </row>
    <row r="34" spans="1:7" ht="13.65" customHeight="1">
      <c r="A34" s="5"/>
      <c r="B34" s="3" t="s">
        <v>818</v>
      </c>
      <c r="C34" s="5"/>
      <c r="D34" s="12" t="s">
        <v>773</v>
      </c>
      <c r="E34" s="3" t="s">
        <v>1098</v>
      </c>
      <c r="F34" s="5"/>
      <c r="G34" s="5"/>
    </row>
    <row r="35" spans="1:7" ht="13.95" customHeight="1">
      <c r="A35" s="5"/>
      <c r="B35" s="3" t="s">
        <v>739</v>
      </c>
      <c r="C35" s="5"/>
      <c r="D35" s="12" t="s">
        <v>881</v>
      </c>
      <c r="E35" s="3" t="s">
        <v>795</v>
      </c>
      <c r="F35" s="5"/>
      <c r="G35" s="5"/>
    </row>
    <row r="36" spans="1:7" ht="12" customHeight="1">
      <c r="A36" s="5"/>
      <c r="B36" s="5"/>
      <c r="C36" s="5"/>
      <c r="D36" s="5"/>
      <c r="E36" s="2474" t="s">
        <v>702</v>
      </c>
      <c r="F36" s="2474"/>
      <c r="G36" s="5"/>
    </row>
    <row r="37" spans="1:7" ht="12" customHeight="1">
      <c r="A37" s="12" t="s">
        <v>703</v>
      </c>
      <c r="B37" s="3" t="s">
        <v>704</v>
      </c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5"/>
      <c r="B39" s="5"/>
      <c r="C39" s="5"/>
      <c r="D39" s="5"/>
      <c r="E39" s="2474" t="s">
        <v>705</v>
      </c>
      <c r="F39" s="2474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12" t="s">
        <v>706</v>
      </c>
      <c r="B41" s="2474" t="s">
        <v>707</v>
      </c>
      <c r="C41" s="2474"/>
      <c r="D41" s="2474"/>
      <c r="E41" s="2474"/>
      <c r="F41" s="2474"/>
      <c r="G41" s="5"/>
    </row>
    <row r="42" spans="1:7" ht="12" customHeight="1">
      <c r="A42" s="12" t="s">
        <v>708</v>
      </c>
      <c r="B42" s="2471" t="s">
        <v>876</v>
      </c>
      <c r="C42" s="2471"/>
      <c r="D42" s="2471"/>
      <c r="E42" s="2472" t="s">
        <v>710</v>
      </c>
      <c r="F42" s="2472"/>
      <c r="G42" s="5"/>
    </row>
    <row r="43" spans="1:7" ht="12" customHeight="1">
      <c r="A43" s="12" t="s">
        <v>711</v>
      </c>
      <c r="B43" s="2473" t="s">
        <v>712</v>
      </c>
      <c r="C43" s="2473"/>
      <c r="D43" s="2473"/>
      <c r="E43" s="2473"/>
      <c r="F43" s="2473"/>
      <c r="G43" s="5"/>
    </row>
  </sheetData>
  <mergeCells count="14">
    <mergeCell ref="E9:F9"/>
    <mergeCell ref="E14:F14"/>
    <mergeCell ref="E17:F17"/>
    <mergeCell ref="B19:F19"/>
    <mergeCell ref="B20:D20"/>
    <mergeCell ref="E20:F20"/>
    <mergeCell ref="B42:D42"/>
    <mergeCell ref="E42:F42"/>
    <mergeCell ref="B43:F43"/>
    <mergeCell ref="B21:F21"/>
    <mergeCell ref="E31:F31"/>
    <mergeCell ref="E36:F36"/>
    <mergeCell ref="E39:F39"/>
    <mergeCell ref="B41:F41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39"/>
  <dimension ref="A1:G45"/>
  <sheetViews>
    <sheetView topLeftCell="A31" workbookViewId="0">
      <selection sqref="A1:G45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2197</v>
      </c>
    </row>
    <row r="3" spans="1:7" ht="34.950000000000003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5" customHeight="1">
      <c r="A5" s="5"/>
      <c r="B5" s="3" t="s">
        <v>673</v>
      </c>
      <c r="C5" s="3" t="s">
        <v>674</v>
      </c>
      <c r="D5" s="12" t="s">
        <v>675</v>
      </c>
      <c r="E5" s="3" t="s">
        <v>746</v>
      </c>
      <c r="F5" s="5"/>
      <c r="G5" s="5"/>
    </row>
    <row r="6" spans="1:7" ht="13.65" customHeight="1">
      <c r="A6" s="5"/>
      <c r="B6" s="3" t="s">
        <v>816</v>
      </c>
      <c r="C6" s="3" t="s">
        <v>678</v>
      </c>
      <c r="D6" s="12" t="s">
        <v>675</v>
      </c>
      <c r="E6" s="3" t="s">
        <v>787</v>
      </c>
      <c r="F6" s="5"/>
      <c r="G6" s="5"/>
    </row>
    <row r="7" spans="1:7" ht="13.65" customHeight="1">
      <c r="A7" s="5"/>
      <c r="B7" s="3" t="s">
        <v>751</v>
      </c>
      <c r="C7" s="3" t="s">
        <v>681</v>
      </c>
      <c r="D7" s="12" t="s">
        <v>675</v>
      </c>
      <c r="E7" s="3" t="s">
        <v>901</v>
      </c>
      <c r="F7" s="5"/>
      <c r="G7" s="5"/>
    </row>
    <row r="8" spans="1:7" ht="13.95" customHeight="1">
      <c r="A8" s="5"/>
      <c r="B8" s="3" t="s">
        <v>683</v>
      </c>
      <c r="C8" s="3" t="s">
        <v>684</v>
      </c>
      <c r="D8" s="12" t="s">
        <v>675</v>
      </c>
      <c r="E8" s="3" t="s">
        <v>901</v>
      </c>
      <c r="F8" s="5"/>
      <c r="G8" s="5"/>
    </row>
    <row r="9" spans="1:7" ht="12" customHeight="1">
      <c r="A9" s="5"/>
      <c r="B9" s="5"/>
      <c r="C9" s="5"/>
      <c r="D9" s="5"/>
      <c r="E9" s="2474" t="s">
        <v>685</v>
      </c>
      <c r="F9" s="2474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65" customHeight="1">
      <c r="A11" s="5"/>
      <c r="B11" s="3" t="s">
        <v>1099</v>
      </c>
      <c r="C11" s="5"/>
      <c r="D11" s="12" t="s">
        <v>743</v>
      </c>
      <c r="E11" s="12" t="s">
        <v>1093</v>
      </c>
      <c r="F11" s="5"/>
      <c r="G11" s="5"/>
    </row>
    <row r="12" spans="1:7" ht="13.95" customHeight="1">
      <c r="A12" s="5"/>
      <c r="B12" s="3" t="s">
        <v>818</v>
      </c>
      <c r="C12" s="5"/>
      <c r="D12" s="12" t="s">
        <v>773</v>
      </c>
      <c r="E12" s="12" t="s">
        <v>1094</v>
      </c>
      <c r="F12" s="5"/>
      <c r="G12" s="5"/>
    </row>
    <row r="13" spans="1:7" ht="13.65" customHeight="1">
      <c r="A13" s="5"/>
      <c r="B13" s="3" t="s">
        <v>1100</v>
      </c>
      <c r="C13" s="5"/>
      <c r="D13" s="12" t="s">
        <v>690</v>
      </c>
      <c r="E13" s="12" t="s">
        <v>1101</v>
      </c>
      <c r="F13" s="5"/>
      <c r="G13" s="5"/>
    </row>
    <row r="14" spans="1:7" ht="13.65" customHeight="1">
      <c r="A14" s="5"/>
      <c r="B14" s="3" t="s">
        <v>739</v>
      </c>
      <c r="C14" s="5"/>
      <c r="D14" s="12" t="s">
        <v>881</v>
      </c>
      <c r="E14" s="3" t="s">
        <v>795</v>
      </c>
      <c r="F14" s="5"/>
      <c r="G14" s="5"/>
    </row>
    <row r="15" spans="1:7" ht="12" customHeight="1">
      <c r="A15" s="5"/>
      <c r="B15" s="5"/>
      <c r="C15" s="5"/>
      <c r="D15" s="5"/>
      <c r="E15" s="2474" t="s">
        <v>702</v>
      </c>
      <c r="F15" s="2474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2474" t="s">
        <v>705</v>
      </c>
      <c r="F18" s="2474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2474" t="s">
        <v>707</v>
      </c>
      <c r="C20" s="2474"/>
      <c r="D20" s="2474"/>
      <c r="E20" s="2474"/>
      <c r="F20" s="2474"/>
      <c r="G20" s="5"/>
    </row>
    <row r="21" spans="1:7" ht="12" customHeight="1">
      <c r="A21" s="12" t="s">
        <v>708</v>
      </c>
      <c r="B21" s="2471" t="s">
        <v>876</v>
      </c>
      <c r="C21" s="2471"/>
      <c r="D21" s="2471"/>
      <c r="E21" s="2472" t="s">
        <v>710</v>
      </c>
      <c r="F21" s="2472"/>
      <c r="G21" s="5"/>
    </row>
    <row r="22" spans="1:7" ht="12" customHeight="1">
      <c r="A22" s="12" t="s">
        <v>711</v>
      </c>
      <c r="B22" s="2473" t="s">
        <v>712</v>
      </c>
      <c r="C22" s="2473"/>
      <c r="D22" s="2473"/>
      <c r="E22" s="2473"/>
      <c r="F22" s="2473"/>
      <c r="G22" s="5"/>
    </row>
    <row r="23" spans="1:7" ht="12" customHeight="1">
      <c r="A23" s="12"/>
      <c r="B23" s="26"/>
      <c r="C23" s="26"/>
      <c r="D23" s="26"/>
      <c r="E23" s="26"/>
      <c r="F23" s="26"/>
      <c r="G23" s="5"/>
    </row>
    <row r="24" spans="1:7" ht="12" customHeight="1">
      <c r="A24" s="50" t="s">
        <v>2198</v>
      </c>
      <c r="B24" s="26"/>
      <c r="C24" s="26"/>
      <c r="D24" s="26"/>
      <c r="E24" s="26"/>
      <c r="F24" s="26"/>
      <c r="G24" s="5"/>
    </row>
    <row r="25" spans="1:7" ht="12" customHeight="1">
      <c r="A25" s="12"/>
      <c r="B25" s="26"/>
      <c r="C25" s="26"/>
      <c r="D25" s="26"/>
      <c r="E25" s="26"/>
      <c r="F25" s="26"/>
      <c r="G25" s="5"/>
    </row>
    <row r="26" spans="1:7" ht="34.950000000000003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95" customHeight="1">
      <c r="A28" s="5"/>
      <c r="B28" s="3" t="s">
        <v>673</v>
      </c>
      <c r="C28" s="3" t="s">
        <v>674</v>
      </c>
      <c r="D28" s="12" t="s">
        <v>675</v>
      </c>
      <c r="E28" s="3" t="s">
        <v>857</v>
      </c>
      <c r="F28" s="5"/>
      <c r="G28" s="5"/>
    </row>
    <row r="29" spans="1:7" ht="13.65" customHeight="1">
      <c r="A29" s="5"/>
      <c r="B29" s="3" t="s">
        <v>816</v>
      </c>
      <c r="C29" s="3" t="s">
        <v>678</v>
      </c>
      <c r="D29" s="12" t="s">
        <v>675</v>
      </c>
      <c r="E29" s="12" t="s">
        <v>1102</v>
      </c>
      <c r="F29" s="5"/>
      <c r="G29" s="5"/>
    </row>
    <row r="30" spans="1:7" ht="13.65" customHeight="1">
      <c r="A30" s="5"/>
      <c r="B30" s="3" t="s">
        <v>751</v>
      </c>
      <c r="C30" s="3" t="s">
        <v>681</v>
      </c>
      <c r="D30" s="12" t="s">
        <v>675</v>
      </c>
      <c r="E30" s="3" t="s">
        <v>901</v>
      </c>
      <c r="F30" s="5"/>
      <c r="G30" s="5"/>
    </row>
    <row r="31" spans="1:7" ht="13.95" customHeight="1">
      <c r="A31" s="5"/>
      <c r="B31" s="3" t="s">
        <v>683</v>
      </c>
      <c r="C31" s="3" t="s">
        <v>684</v>
      </c>
      <c r="D31" s="12" t="s">
        <v>675</v>
      </c>
      <c r="E31" s="3" t="s">
        <v>901</v>
      </c>
      <c r="F31" s="5"/>
      <c r="G31" s="5"/>
    </row>
    <row r="32" spans="1:7" ht="12" customHeight="1">
      <c r="A32" s="5"/>
      <c r="B32" s="5"/>
      <c r="C32" s="5"/>
      <c r="D32" s="5"/>
      <c r="E32" s="2474" t="s">
        <v>685</v>
      </c>
      <c r="F32" s="2474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65" customHeight="1">
      <c r="A34" s="5"/>
      <c r="B34" s="3" t="s">
        <v>1099</v>
      </c>
      <c r="C34" s="5"/>
      <c r="D34" s="12" t="s">
        <v>743</v>
      </c>
      <c r="E34" s="3" t="s">
        <v>1095</v>
      </c>
      <c r="F34" s="5"/>
      <c r="G34" s="5"/>
    </row>
    <row r="35" spans="1:7" ht="13.65" customHeight="1">
      <c r="A35" s="5"/>
      <c r="B35" s="3" t="s">
        <v>818</v>
      </c>
      <c r="C35" s="5"/>
      <c r="D35" s="12" t="s">
        <v>773</v>
      </c>
      <c r="E35" s="3" t="s">
        <v>1096</v>
      </c>
      <c r="F35" s="5"/>
      <c r="G35" s="5"/>
    </row>
    <row r="36" spans="1:7" ht="13.95" customHeight="1">
      <c r="A36" s="5"/>
      <c r="B36" s="3" t="s">
        <v>1100</v>
      </c>
      <c r="C36" s="5"/>
      <c r="D36" s="12" t="s">
        <v>690</v>
      </c>
      <c r="E36" s="12" t="s">
        <v>750</v>
      </c>
      <c r="F36" s="5"/>
      <c r="G36" s="5"/>
    </row>
    <row r="37" spans="1:7" ht="13.65" customHeight="1">
      <c r="A37" s="5"/>
      <c r="B37" s="3" t="s">
        <v>739</v>
      </c>
      <c r="C37" s="5"/>
      <c r="D37" s="12" t="s">
        <v>881</v>
      </c>
      <c r="E37" s="3" t="s">
        <v>795</v>
      </c>
      <c r="F37" s="5"/>
      <c r="G37" s="5"/>
    </row>
    <row r="38" spans="1:7" ht="12" customHeight="1">
      <c r="A38" s="5"/>
      <c r="B38" s="5"/>
      <c r="C38" s="5"/>
      <c r="D38" s="5"/>
      <c r="E38" s="2474" t="s">
        <v>702</v>
      </c>
      <c r="F38" s="2474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2474" t="s">
        <v>705</v>
      </c>
      <c r="F41" s="2474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2474" t="s">
        <v>707</v>
      </c>
      <c r="C43" s="2474"/>
      <c r="D43" s="2474"/>
      <c r="E43" s="2474"/>
      <c r="F43" s="2474"/>
      <c r="G43" s="5"/>
    </row>
    <row r="44" spans="1:7" ht="12" customHeight="1">
      <c r="A44" s="12" t="s">
        <v>708</v>
      </c>
      <c r="B44" s="2471" t="s">
        <v>876</v>
      </c>
      <c r="C44" s="2471"/>
      <c r="D44" s="2471"/>
      <c r="E44" s="2472" t="s">
        <v>710</v>
      </c>
      <c r="F44" s="2472"/>
      <c r="G44" s="5"/>
    </row>
    <row r="45" spans="1:7" ht="12" customHeight="1">
      <c r="A45" s="12" t="s">
        <v>711</v>
      </c>
      <c r="B45" s="2473" t="s">
        <v>712</v>
      </c>
      <c r="C45" s="2473"/>
      <c r="D45" s="2473"/>
      <c r="E45" s="2473"/>
      <c r="F45" s="2473"/>
      <c r="G45" s="5"/>
    </row>
  </sheetData>
  <mergeCells count="14">
    <mergeCell ref="E9:F9"/>
    <mergeCell ref="E15:F15"/>
    <mergeCell ref="E18:F18"/>
    <mergeCell ref="B20:F20"/>
    <mergeCell ref="B21:D21"/>
    <mergeCell ref="E21:F21"/>
    <mergeCell ref="B44:D44"/>
    <mergeCell ref="E44:F44"/>
    <mergeCell ref="B45:F45"/>
    <mergeCell ref="B22:F22"/>
    <mergeCell ref="E32:F32"/>
    <mergeCell ref="E38:F38"/>
    <mergeCell ref="E41:F41"/>
    <mergeCell ref="B43:F43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0"/>
  <dimension ref="A1:G45"/>
  <sheetViews>
    <sheetView topLeftCell="A31" workbookViewId="0">
      <selection sqref="A1:G45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2199</v>
      </c>
    </row>
    <row r="3" spans="1:7" ht="34.950000000000003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5" customHeight="1">
      <c r="A5" s="5"/>
      <c r="B5" s="3" t="s">
        <v>673</v>
      </c>
      <c r="C5" s="3" t="s">
        <v>674</v>
      </c>
      <c r="D5" s="12" t="s">
        <v>675</v>
      </c>
      <c r="E5" s="3" t="s">
        <v>878</v>
      </c>
      <c r="F5" s="5"/>
      <c r="G5" s="5"/>
    </row>
    <row r="6" spans="1:7" ht="13.65" customHeight="1">
      <c r="A6" s="5"/>
      <c r="B6" s="3" t="s">
        <v>816</v>
      </c>
      <c r="C6" s="3" t="s">
        <v>678</v>
      </c>
      <c r="D6" s="12" t="s">
        <v>675</v>
      </c>
      <c r="E6" s="3" t="s">
        <v>807</v>
      </c>
      <c r="F6" s="5"/>
      <c r="G6" s="5"/>
    </row>
    <row r="7" spans="1:7" ht="13.65" customHeight="1">
      <c r="A7" s="5"/>
      <c r="B7" s="3" t="s">
        <v>751</v>
      </c>
      <c r="C7" s="3" t="s">
        <v>681</v>
      </c>
      <c r="D7" s="12" t="s">
        <v>675</v>
      </c>
      <c r="E7" s="3" t="s">
        <v>1034</v>
      </c>
      <c r="F7" s="5"/>
      <c r="G7" s="5"/>
    </row>
    <row r="8" spans="1:7" ht="13.95" customHeight="1">
      <c r="A8" s="5"/>
      <c r="B8" s="3" t="s">
        <v>683</v>
      </c>
      <c r="C8" s="3" t="s">
        <v>684</v>
      </c>
      <c r="D8" s="12" t="s">
        <v>675</v>
      </c>
      <c r="E8" s="3" t="s">
        <v>1034</v>
      </c>
      <c r="F8" s="5"/>
      <c r="G8" s="5"/>
    </row>
    <row r="9" spans="1:7" ht="12" customHeight="1">
      <c r="A9" s="5"/>
      <c r="B9" s="5"/>
      <c r="C9" s="5"/>
      <c r="D9" s="5"/>
      <c r="E9" s="2474" t="s">
        <v>685</v>
      </c>
      <c r="F9" s="2474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65" customHeight="1">
      <c r="A11" s="5"/>
      <c r="B11" s="3" t="s">
        <v>1099</v>
      </c>
      <c r="C11" s="5"/>
      <c r="D11" s="12" t="s">
        <v>743</v>
      </c>
      <c r="E11" s="3" t="s">
        <v>1097</v>
      </c>
      <c r="F11" s="5"/>
      <c r="G11" s="5"/>
    </row>
    <row r="12" spans="1:7" ht="13.95" customHeight="1">
      <c r="A12" s="5"/>
      <c r="B12" s="3" t="s">
        <v>818</v>
      </c>
      <c r="C12" s="5"/>
      <c r="D12" s="12" t="s">
        <v>773</v>
      </c>
      <c r="E12" s="3" t="s">
        <v>1098</v>
      </c>
      <c r="F12" s="5"/>
      <c r="G12" s="5"/>
    </row>
    <row r="13" spans="1:7" ht="13.65" customHeight="1">
      <c r="A13" s="5"/>
      <c r="B13" s="3" t="s">
        <v>1100</v>
      </c>
      <c r="C13" s="5"/>
      <c r="D13" s="12" t="s">
        <v>690</v>
      </c>
      <c r="E13" s="12" t="s">
        <v>1103</v>
      </c>
      <c r="F13" s="5"/>
      <c r="G13" s="5"/>
    </row>
    <row r="14" spans="1:7" ht="13.65" customHeight="1">
      <c r="A14" s="5"/>
      <c r="B14" s="3" t="s">
        <v>739</v>
      </c>
      <c r="C14" s="5"/>
      <c r="D14" s="12" t="s">
        <v>881</v>
      </c>
      <c r="E14" s="3" t="s">
        <v>795</v>
      </c>
      <c r="F14" s="5"/>
      <c r="G14" s="5"/>
    </row>
    <row r="15" spans="1:7" ht="12" customHeight="1">
      <c r="A15" s="5"/>
      <c r="B15" s="5"/>
      <c r="C15" s="5"/>
      <c r="D15" s="5"/>
      <c r="E15" s="2474" t="s">
        <v>702</v>
      </c>
      <c r="F15" s="2474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2474" t="s">
        <v>705</v>
      </c>
      <c r="F18" s="2474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2474" t="s">
        <v>707</v>
      </c>
      <c r="C20" s="2474"/>
      <c r="D20" s="2474"/>
      <c r="E20" s="2474"/>
      <c r="F20" s="2474"/>
      <c r="G20" s="5"/>
    </row>
    <row r="21" spans="1:7" ht="12" customHeight="1">
      <c r="A21" s="12" t="s">
        <v>708</v>
      </c>
      <c r="B21" s="2471" t="s">
        <v>876</v>
      </c>
      <c r="C21" s="2471"/>
      <c r="D21" s="2471"/>
      <c r="E21" s="2472" t="s">
        <v>710</v>
      </c>
      <c r="F21" s="2472"/>
      <c r="G21" s="5"/>
    </row>
    <row r="22" spans="1:7" ht="12" customHeight="1">
      <c r="A22" s="12" t="s">
        <v>711</v>
      </c>
      <c r="B22" s="2473" t="s">
        <v>712</v>
      </c>
      <c r="C22" s="2473"/>
      <c r="D22" s="2473"/>
      <c r="E22" s="2473"/>
      <c r="F22" s="2473"/>
      <c r="G22" s="5"/>
    </row>
    <row r="23" spans="1:7" ht="12" customHeight="1">
      <c r="A23" s="12"/>
      <c r="B23" s="26"/>
      <c r="C23" s="26"/>
      <c r="D23" s="26"/>
      <c r="E23" s="26"/>
      <c r="F23" s="26"/>
      <c r="G23" s="5"/>
    </row>
    <row r="24" spans="1:7" ht="12" customHeight="1">
      <c r="A24" s="50" t="s">
        <v>2200</v>
      </c>
      <c r="B24" s="26"/>
      <c r="C24" s="26"/>
      <c r="D24" s="26"/>
      <c r="E24" s="26"/>
      <c r="F24" s="26"/>
      <c r="G24" s="5"/>
    </row>
    <row r="25" spans="1:7" ht="12" customHeight="1">
      <c r="A25" s="12"/>
      <c r="B25" s="26"/>
      <c r="C25" s="26"/>
      <c r="D25" s="26"/>
      <c r="E25" s="26"/>
      <c r="F25" s="26"/>
      <c r="G25" s="5"/>
    </row>
    <row r="26" spans="1:7" ht="34.950000000000003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95" customHeight="1">
      <c r="A28" s="5"/>
      <c r="B28" s="3" t="s">
        <v>673</v>
      </c>
      <c r="C28" s="3" t="s">
        <v>674</v>
      </c>
      <c r="D28" s="12" t="s">
        <v>675</v>
      </c>
      <c r="E28" s="3" t="s">
        <v>746</v>
      </c>
      <c r="F28" s="5"/>
      <c r="G28" s="5"/>
    </row>
    <row r="29" spans="1:7" ht="13.65" customHeight="1">
      <c r="A29" s="5"/>
      <c r="B29" s="3" t="s">
        <v>816</v>
      </c>
      <c r="C29" s="3" t="s">
        <v>678</v>
      </c>
      <c r="D29" s="12" t="s">
        <v>675</v>
      </c>
      <c r="E29" s="3" t="s">
        <v>787</v>
      </c>
      <c r="F29" s="5"/>
      <c r="G29" s="5"/>
    </row>
    <row r="30" spans="1:7" ht="13.65" customHeight="1">
      <c r="A30" s="5"/>
      <c r="B30" s="3" t="s">
        <v>751</v>
      </c>
      <c r="C30" s="3" t="s">
        <v>681</v>
      </c>
      <c r="D30" s="12" t="s">
        <v>675</v>
      </c>
      <c r="E30" s="3" t="s">
        <v>901</v>
      </c>
      <c r="F30" s="5"/>
      <c r="G30" s="5"/>
    </row>
    <row r="31" spans="1:7" ht="13.95" customHeight="1">
      <c r="A31" s="5"/>
      <c r="B31" s="3" t="s">
        <v>683</v>
      </c>
      <c r="C31" s="3" t="s">
        <v>684</v>
      </c>
      <c r="D31" s="12" t="s">
        <v>675</v>
      </c>
      <c r="E31" s="3" t="s">
        <v>901</v>
      </c>
      <c r="F31" s="5"/>
      <c r="G31" s="5"/>
    </row>
    <row r="32" spans="1:7" ht="12" customHeight="1">
      <c r="A32" s="5"/>
      <c r="B32" s="5"/>
      <c r="C32" s="5"/>
      <c r="D32" s="5"/>
      <c r="E32" s="2474" t="s">
        <v>685</v>
      </c>
      <c r="F32" s="2474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65" customHeight="1">
      <c r="A34" s="5"/>
      <c r="B34" s="3" t="s">
        <v>1104</v>
      </c>
      <c r="C34" s="5"/>
      <c r="D34" s="12" t="s">
        <v>743</v>
      </c>
      <c r="E34" s="12" t="s">
        <v>1093</v>
      </c>
      <c r="F34" s="5"/>
      <c r="G34" s="5"/>
    </row>
    <row r="35" spans="1:7" ht="13.65" customHeight="1">
      <c r="A35" s="5"/>
      <c r="B35" s="3" t="s">
        <v>818</v>
      </c>
      <c r="C35" s="5"/>
      <c r="D35" s="12" t="s">
        <v>773</v>
      </c>
      <c r="E35" s="12" t="s">
        <v>1094</v>
      </c>
      <c r="F35" s="5"/>
      <c r="G35" s="5"/>
    </row>
    <row r="36" spans="1:7" ht="13.95" customHeight="1">
      <c r="A36" s="5"/>
      <c r="B36" s="3" t="s">
        <v>1100</v>
      </c>
      <c r="C36" s="5"/>
      <c r="D36" s="12" t="s">
        <v>690</v>
      </c>
      <c r="E36" s="12" t="s">
        <v>1101</v>
      </c>
      <c r="F36" s="5"/>
      <c r="G36" s="5"/>
    </row>
    <row r="37" spans="1:7" ht="13.65" customHeight="1">
      <c r="A37" s="5"/>
      <c r="B37" s="3" t="s">
        <v>739</v>
      </c>
      <c r="C37" s="5"/>
      <c r="D37" s="12" t="s">
        <v>881</v>
      </c>
      <c r="E37" s="3" t="s">
        <v>795</v>
      </c>
      <c r="F37" s="5"/>
      <c r="G37" s="5"/>
    </row>
    <row r="38" spans="1:7" ht="12" customHeight="1">
      <c r="A38" s="5"/>
      <c r="B38" s="5"/>
      <c r="C38" s="5"/>
      <c r="D38" s="5"/>
      <c r="E38" s="2474" t="s">
        <v>702</v>
      </c>
      <c r="F38" s="2474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2474" t="s">
        <v>705</v>
      </c>
      <c r="F41" s="2474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2474" t="s">
        <v>707</v>
      </c>
      <c r="C43" s="2474"/>
      <c r="D43" s="2474"/>
      <c r="E43" s="2474"/>
      <c r="F43" s="2474"/>
      <c r="G43" s="5"/>
    </row>
    <row r="44" spans="1:7" ht="12" customHeight="1">
      <c r="A44" s="12" t="s">
        <v>708</v>
      </c>
      <c r="B44" s="2471" t="s">
        <v>876</v>
      </c>
      <c r="C44" s="2471"/>
      <c r="D44" s="2471"/>
      <c r="E44" s="2472" t="s">
        <v>710</v>
      </c>
      <c r="F44" s="2472"/>
      <c r="G44" s="5"/>
    </row>
    <row r="45" spans="1:7" ht="12" customHeight="1">
      <c r="A45" s="12" t="s">
        <v>711</v>
      </c>
      <c r="B45" s="2473" t="s">
        <v>712</v>
      </c>
      <c r="C45" s="2473"/>
      <c r="D45" s="2473"/>
      <c r="E45" s="2473"/>
      <c r="F45" s="2473"/>
      <c r="G45" s="5"/>
    </row>
  </sheetData>
  <mergeCells count="14">
    <mergeCell ref="E9:F9"/>
    <mergeCell ref="E15:F15"/>
    <mergeCell ref="E18:F18"/>
    <mergeCell ref="B20:F20"/>
    <mergeCell ref="B21:D21"/>
    <mergeCell ref="E21:F21"/>
    <mergeCell ref="B44:D44"/>
    <mergeCell ref="E44:F44"/>
    <mergeCell ref="B45:F45"/>
    <mergeCell ref="B22:F22"/>
    <mergeCell ref="E32:F32"/>
    <mergeCell ref="E38:F38"/>
    <mergeCell ref="E41:F41"/>
    <mergeCell ref="B43:F43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1"/>
  <dimension ref="A1:G45"/>
  <sheetViews>
    <sheetView topLeftCell="A10" workbookViewId="0">
      <selection activeCell="I32" sqref="I32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2201</v>
      </c>
    </row>
    <row r="3" spans="1:7" ht="34.950000000000003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5" customHeight="1">
      <c r="A5" s="5"/>
      <c r="B5" s="3" t="s">
        <v>673</v>
      </c>
      <c r="C5" s="3" t="s">
        <v>674</v>
      </c>
      <c r="D5" s="12" t="s">
        <v>675</v>
      </c>
      <c r="E5" s="3" t="s">
        <v>857</v>
      </c>
      <c r="F5" s="5"/>
      <c r="G5" s="5"/>
    </row>
    <row r="6" spans="1:7" ht="13.65" customHeight="1">
      <c r="A6" s="5"/>
      <c r="B6" s="3" t="s">
        <v>816</v>
      </c>
      <c r="C6" s="3" t="s">
        <v>678</v>
      </c>
      <c r="D6" s="12" t="s">
        <v>675</v>
      </c>
      <c r="E6" s="3" t="s">
        <v>1105</v>
      </c>
      <c r="F6" s="5"/>
      <c r="G6" s="5"/>
    </row>
    <row r="7" spans="1:7" ht="13.65" customHeight="1">
      <c r="A7" s="5"/>
      <c r="B7" s="3" t="s">
        <v>751</v>
      </c>
      <c r="C7" s="3" t="s">
        <v>681</v>
      </c>
      <c r="D7" s="12" t="s">
        <v>675</v>
      </c>
      <c r="E7" s="3" t="s">
        <v>901</v>
      </c>
      <c r="F7" s="5"/>
      <c r="G7" s="5"/>
    </row>
    <row r="8" spans="1:7" ht="13.95" customHeight="1">
      <c r="A8" s="5"/>
      <c r="B8" s="3" t="s">
        <v>683</v>
      </c>
      <c r="C8" s="3" t="s">
        <v>684</v>
      </c>
      <c r="D8" s="12" t="s">
        <v>675</v>
      </c>
      <c r="E8" s="3" t="s">
        <v>901</v>
      </c>
      <c r="F8" s="5"/>
      <c r="G8" s="5"/>
    </row>
    <row r="9" spans="1:7" ht="12" customHeight="1">
      <c r="A9" s="5"/>
      <c r="B9" s="5"/>
      <c r="C9" s="5"/>
      <c r="D9" s="5"/>
      <c r="E9" s="2474" t="s">
        <v>685</v>
      </c>
      <c r="F9" s="2474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65" customHeight="1">
      <c r="A11" s="5"/>
      <c r="B11" s="3" t="s">
        <v>1104</v>
      </c>
      <c r="C11" s="5"/>
      <c r="D11" s="12" t="s">
        <v>743</v>
      </c>
      <c r="E11" s="3" t="s">
        <v>1095</v>
      </c>
      <c r="F11" s="5"/>
      <c r="G11" s="5"/>
    </row>
    <row r="12" spans="1:7" ht="13.95" customHeight="1">
      <c r="A12" s="5"/>
      <c r="B12" s="3" t="s">
        <v>818</v>
      </c>
      <c r="C12" s="5"/>
      <c r="D12" s="12" t="s">
        <v>773</v>
      </c>
      <c r="E12" s="3" t="s">
        <v>1096</v>
      </c>
      <c r="F12" s="5"/>
      <c r="G12" s="5"/>
    </row>
    <row r="13" spans="1:7" ht="13.65" customHeight="1">
      <c r="A13" s="5"/>
      <c r="B13" s="3" t="s">
        <v>1100</v>
      </c>
      <c r="C13" s="5"/>
      <c r="D13" s="12" t="s">
        <v>690</v>
      </c>
      <c r="E13" s="12" t="s">
        <v>750</v>
      </c>
      <c r="F13" s="5"/>
      <c r="G13" s="5"/>
    </row>
    <row r="14" spans="1:7" ht="13.65" customHeight="1">
      <c r="A14" s="5"/>
      <c r="B14" s="3" t="s">
        <v>739</v>
      </c>
      <c r="C14" s="5"/>
      <c r="D14" s="12" t="s">
        <v>881</v>
      </c>
      <c r="E14" s="3" t="s">
        <v>795</v>
      </c>
      <c r="F14" s="5"/>
      <c r="G14" s="5"/>
    </row>
    <row r="15" spans="1:7" ht="12" customHeight="1">
      <c r="A15" s="5"/>
      <c r="B15" s="5"/>
      <c r="C15" s="5"/>
      <c r="D15" s="5"/>
      <c r="E15" s="2474" t="s">
        <v>702</v>
      </c>
      <c r="F15" s="2474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2474" t="s">
        <v>705</v>
      </c>
      <c r="F18" s="2474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2474" t="s">
        <v>707</v>
      </c>
      <c r="C20" s="2474"/>
      <c r="D20" s="2474"/>
      <c r="E20" s="2474"/>
      <c r="F20" s="2474"/>
      <c r="G20" s="5"/>
    </row>
    <row r="21" spans="1:7" ht="12" customHeight="1">
      <c r="A21" s="12" t="s">
        <v>708</v>
      </c>
      <c r="B21" s="2471" t="s">
        <v>876</v>
      </c>
      <c r="C21" s="2471"/>
      <c r="D21" s="2471"/>
      <c r="E21" s="2472" t="s">
        <v>710</v>
      </c>
      <c r="F21" s="2472"/>
      <c r="G21" s="5"/>
    </row>
    <row r="22" spans="1:7" ht="12" customHeight="1">
      <c r="A22" s="12" t="s">
        <v>711</v>
      </c>
      <c r="B22" s="2473" t="s">
        <v>712</v>
      </c>
      <c r="C22" s="2473"/>
      <c r="D22" s="2473"/>
      <c r="E22" s="2473"/>
      <c r="F22" s="2473"/>
      <c r="G22" s="5"/>
    </row>
    <row r="23" spans="1:7" ht="12" customHeight="1">
      <c r="A23" s="12"/>
      <c r="B23" s="26"/>
      <c r="C23" s="26"/>
      <c r="D23" s="26"/>
      <c r="E23" s="26"/>
      <c r="F23" s="26"/>
      <c r="G23" s="5"/>
    </row>
    <row r="24" spans="1:7" ht="12" customHeight="1">
      <c r="A24" s="50" t="s">
        <v>2202</v>
      </c>
      <c r="B24" s="26"/>
      <c r="C24" s="26"/>
      <c r="D24" s="26"/>
      <c r="E24" s="26"/>
      <c r="F24" s="26"/>
      <c r="G24" s="5"/>
    </row>
    <row r="25" spans="1:7" ht="12" customHeight="1">
      <c r="A25" s="12"/>
      <c r="B25" s="26"/>
      <c r="C25" s="26"/>
      <c r="D25" s="26"/>
      <c r="E25" s="26"/>
      <c r="F25" s="26"/>
      <c r="G25" s="5"/>
    </row>
    <row r="26" spans="1:7" ht="34.950000000000003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95" customHeight="1">
      <c r="A28" s="5"/>
      <c r="B28" s="3" t="s">
        <v>673</v>
      </c>
      <c r="C28" s="3" t="s">
        <v>674</v>
      </c>
      <c r="D28" s="12" t="s">
        <v>675</v>
      </c>
      <c r="E28" s="3" t="s">
        <v>746</v>
      </c>
      <c r="F28" s="5"/>
      <c r="G28" s="5"/>
    </row>
    <row r="29" spans="1:7" ht="13.65" customHeight="1">
      <c r="A29" s="5"/>
      <c r="B29" s="3" t="s">
        <v>816</v>
      </c>
      <c r="C29" s="3" t="s">
        <v>678</v>
      </c>
      <c r="D29" s="12" t="s">
        <v>675</v>
      </c>
      <c r="E29" s="3" t="s">
        <v>787</v>
      </c>
      <c r="F29" s="5"/>
      <c r="G29" s="5"/>
    </row>
    <row r="30" spans="1:7" ht="13.65" customHeight="1">
      <c r="A30" s="5"/>
      <c r="B30" s="3" t="s">
        <v>751</v>
      </c>
      <c r="C30" s="3" t="s">
        <v>681</v>
      </c>
      <c r="D30" s="12" t="s">
        <v>675</v>
      </c>
      <c r="E30" s="3" t="s">
        <v>901</v>
      </c>
      <c r="F30" s="5"/>
      <c r="G30" s="5"/>
    </row>
    <row r="31" spans="1:7" ht="13.95" customHeight="1">
      <c r="A31" s="5"/>
      <c r="B31" s="3" t="s">
        <v>683</v>
      </c>
      <c r="C31" s="3" t="s">
        <v>684</v>
      </c>
      <c r="D31" s="12" t="s">
        <v>675</v>
      </c>
      <c r="E31" s="3" t="s">
        <v>901</v>
      </c>
      <c r="F31" s="5"/>
      <c r="G31" s="5"/>
    </row>
    <row r="32" spans="1:7" ht="12" customHeight="1">
      <c r="A32" s="5"/>
      <c r="B32" s="5"/>
      <c r="C32" s="5"/>
      <c r="D32" s="5"/>
      <c r="E32" s="2474" t="s">
        <v>685</v>
      </c>
      <c r="F32" s="2474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65" customHeight="1">
      <c r="A34" s="5"/>
      <c r="B34" s="3" t="s">
        <v>1106</v>
      </c>
      <c r="C34" s="5"/>
      <c r="D34" s="12" t="s">
        <v>743</v>
      </c>
      <c r="E34" s="12" t="s">
        <v>1093</v>
      </c>
      <c r="F34" s="5"/>
      <c r="G34" s="5"/>
    </row>
    <row r="35" spans="1:7" ht="13.65" customHeight="1">
      <c r="A35" s="5"/>
      <c r="B35" s="3" t="s">
        <v>818</v>
      </c>
      <c r="C35" s="5"/>
      <c r="D35" s="12" t="s">
        <v>773</v>
      </c>
      <c r="E35" s="12" t="s">
        <v>1094</v>
      </c>
      <c r="F35" s="5"/>
      <c r="G35" s="5"/>
    </row>
    <row r="36" spans="1:7" ht="13.95" customHeight="1">
      <c r="A36" s="5"/>
      <c r="B36" s="3" t="s">
        <v>1100</v>
      </c>
      <c r="C36" s="5"/>
      <c r="D36" s="12" t="s">
        <v>690</v>
      </c>
      <c r="E36" s="12" t="s">
        <v>1101</v>
      </c>
      <c r="F36" s="5"/>
      <c r="G36" s="5"/>
    </row>
    <row r="37" spans="1:7" ht="13.65" customHeight="1">
      <c r="A37" s="5"/>
      <c r="B37" s="3" t="s">
        <v>739</v>
      </c>
      <c r="C37" s="5"/>
      <c r="D37" s="12" t="s">
        <v>881</v>
      </c>
      <c r="E37" s="3" t="s">
        <v>795</v>
      </c>
      <c r="F37" s="5"/>
      <c r="G37" s="5"/>
    </row>
    <row r="38" spans="1:7" ht="12" customHeight="1">
      <c r="A38" s="5"/>
      <c r="B38" s="5"/>
      <c r="C38" s="5"/>
      <c r="D38" s="5"/>
      <c r="E38" s="2474" t="s">
        <v>702</v>
      </c>
      <c r="F38" s="2474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2474" t="s">
        <v>705</v>
      </c>
      <c r="F41" s="2474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2474" t="s">
        <v>707</v>
      </c>
      <c r="C43" s="2474"/>
      <c r="D43" s="2474"/>
      <c r="E43" s="2474"/>
      <c r="F43" s="2474"/>
      <c r="G43" s="5"/>
    </row>
    <row r="44" spans="1:7" ht="12" customHeight="1">
      <c r="A44" s="12" t="s">
        <v>708</v>
      </c>
      <c r="B44" s="2471" t="s">
        <v>876</v>
      </c>
      <c r="C44" s="2471"/>
      <c r="D44" s="2471"/>
      <c r="E44" s="2472" t="s">
        <v>710</v>
      </c>
      <c r="F44" s="2472"/>
      <c r="G44" s="5"/>
    </row>
    <row r="45" spans="1:7" ht="12" customHeight="1">
      <c r="A45" s="12" t="s">
        <v>711</v>
      </c>
      <c r="B45" s="2473" t="s">
        <v>712</v>
      </c>
      <c r="C45" s="2473"/>
      <c r="D45" s="2473"/>
      <c r="E45" s="2473"/>
      <c r="F45" s="2473"/>
      <c r="G45" s="5"/>
    </row>
  </sheetData>
  <mergeCells count="14">
    <mergeCell ref="E9:F9"/>
    <mergeCell ref="E15:F15"/>
    <mergeCell ref="E18:F18"/>
    <mergeCell ref="B20:F20"/>
    <mergeCell ref="B21:D21"/>
    <mergeCell ref="E21:F21"/>
    <mergeCell ref="B44:D44"/>
    <mergeCell ref="E44:F44"/>
    <mergeCell ref="B45:F45"/>
    <mergeCell ref="B22:F22"/>
    <mergeCell ref="E32:F32"/>
    <mergeCell ref="E38:F38"/>
    <mergeCell ref="E41:F41"/>
    <mergeCell ref="B43:F4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tabColor rgb="FFFFC000"/>
  </sheetPr>
  <dimension ref="A1:L581"/>
  <sheetViews>
    <sheetView view="pageBreakPreview" topLeftCell="B84" zoomScale="110" zoomScaleSheetLayoutView="110" workbookViewId="0">
      <selection activeCell="E558" sqref="E558"/>
    </sheetView>
  </sheetViews>
  <sheetFormatPr defaultColWidth="9.109375" defaultRowHeight="13.8"/>
  <cols>
    <col min="1" max="1" width="8.44140625" style="429" customWidth="1"/>
    <col min="2" max="2" width="16.6640625" style="488" customWidth="1"/>
    <col min="3" max="3" width="84.6640625" style="491" customWidth="1"/>
    <col min="4" max="4" width="18.5546875" style="490" customWidth="1"/>
    <col min="5" max="5" width="14.44140625" style="429" customWidth="1"/>
    <col min="6" max="6" width="18" style="430" customWidth="1"/>
    <col min="7" max="7" width="20" style="429" customWidth="1"/>
    <col min="8" max="8" width="9.109375" style="429"/>
    <col min="9" max="9" width="14.5546875" style="431" bestFit="1" customWidth="1"/>
    <col min="10" max="16384" width="9.109375" style="429"/>
  </cols>
  <sheetData>
    <row r="1" spans="2:7" ht="34.5" customHeight="1">
      <c r="B1" s="2070" t="s">
        <v>4765</v>
      </c>
      <c r="C1" s="2070"/>
      <c r="D1" s="2070"/>
    </row>
    <row r="2" spans="2:7" ht="34.5" customHeight="1">
      <c r="B2" s="432" t="s">
        <v>3492</v>
      </c>
      <c r="C2" s="433" t="s">
        <v>3491</v>
      </c>
      <c r="D2" s="432" t="s">
        <v>3493</v>
      </c>
      <c r="E2" s="1916" t="s">
        <v>5344</v>
      </c>
    </row>
    <row r="3" spans="2:7" ht="18" customHeight="1">
      <c r="B3" s="434" t="str">
        <f>Analisa!B4</f>
        <v>A.2.2.1</v>
      </c>
      <c r="C3" s="435" t="str">
        <f>Analisa!C4</f>
        <v>HARGA SATUAN PEKERJAAN PERSIAPAN</v>
      </c>
      <c r="D3" s="436"/>
    </row>
    <row r="4" spans="2:7" ht="18" customHeight="1">
      <c r="B4" s="437" t="str">
        <f>Analisa!B5</f>
        <v>A. 2.2.1.1</v>
      </c>
      <c r="C4" s="438" t="str">
        <f>Analisa!C5</f>
        <v>Pembuatan 1 m2 pagar sementara dari kayu tinggi 2 meter</v>
      </c>
      <c r="D4" s="439">
        <f>Analisa!$H$24</f>
        <v>717709.84</v>
      </c>
      <c r="F4" s="440"/>
      <c r="G4" s="441"/>
    </row>
    <row r="5" spans="2:7" ht="18" customHeight="1">
      <c r="B5" s="437" t="str">
        <f>Analisa!B26</f>
        <v>A. 2.2.1.2</v>
      </c>
      <c r="C5" s="438" t="str">
        <f>Analisa!C26</f>
        <v>Pembuatan 1 m2  pagar sementara dari seng gelombang tinggi 2 meter</v>
      </c>
      <c r="D5" s="439">
        <f>Analisa!$H$46</f>
        <v>688888.03</v>
      </c>
      <c r="F5" s="440"/>
      <c r="G5" s="441"/>
    </row>
    <row r="6" spans="2:7" ht="18" customHeight="1">
      <c r="B6" s="437" t="str">
        <f>Analisa!B48</f>
        <v>A. 2.2.1.3</v>
      </c>
      <c r="C6" s="438" t="str">
        <f>Analisa!C48</f>
        <v>Pembuatan 1 m2  pagar sementara dari kawat duri tinggi 1.8 meter</v>
      </c>
      <c r="D6" s="439">
        <f>Analisa!$H$66</f>
        <v>242643.23</v>
      </c>
      <c r="F6" s="440"/>
      <c r="G6" s="441"/>
    </row>
    <row r="7" spans="2:7" ht="18" customHeight="1">
      <c r="B7" s="974" t="str">
        <f>Analisa!B68</f>
        <v>A. 2.2.1.4</v>
      </c>
      <c r="C7" s="977" t="str">
        <f>Analisa!C68</f>
        <v>Pengukuran dan pemasangan 1 m’ Bouwplank</v>
      </c>
      <c r="D7" s="976">
        <f>Analisa!$H$83</f>
        <v>179841.41</v>
      </c>
      <c r="F7" s="440"/>
      <c r="G7" s="441"/>
    </row>
    <row r="8" spans="2:7" ht="18" customHeight="1">
      <c r="B8" s="437" t="str">
        <f>Analisa!B85</f>
        <v>A. 2.2.1.5</v>
      </c>
      <c r="C8" s="438" t="str">
        <f>Analisa!C85</f>
        <v>Pembuatan 1 m2 kantor sementara lantai plesteran</v>
      </c>
      <c r="D8" s="439">
        <f>Analisa!$H$112</f>
        <v>2534980.0499999998</v>
      </c>
      <c r="F8" s="440"/>
      <c r="G8" s="441"/>
    </row>
    <row r="9" spans="2:7" ht="18" customHeight="1">
      <c r="B9" s="437" t="str">
        <f>Analisa!B114</f>
        <v>A. 2.2.1.6</v>
      </c>
      <c r="C9" s="438" t="str">
        <f>Analisa!C114</f>
        <v>Pembuatan 1 m2 rumah jaga (konstruksi kayu )</v>
      </c>
      <c r="D9" s="439">
        <f>Analisa!$H$130</f>
        <v>2780505.87</v>
      </c>
      <c r="F9" s="440"/>
      <c r="G9" s="441"/>
    </row>
    <row r="10" spans="2:7" ht="18" customHeight="1">
      <c r="B10" s="437" t="str">
        <f>Analisa!B132</f>
        <v>A. 2.2.1.7</v>
      </c>
      <c r="C10" s="438" t="str">
        <f>Analisa!C132</f>
        <v>Pembuatan 1 m2 gudang semen dan peralatan</v>
      </c>
      <c r="D10" s="439">
        <f>Analisa!$H$152</f>
        <v>2424514.9900000002</v>
      </c>
      <c r="F10" s="440"/>
      <c r="G10" s="441"/>
    </row>
    <row r="11" spans="2:7" ht="18" customHeight="1">
      <c r="B11" s="437" t="str">
        <f>Analisa!B154</f>
        <v>A. 2.2.1.8</v>
      </c>
      <c r="C11" s="438" t="str">
        <f>Analisa!C154</f>
        <v>Pembuatan 1 m2 bedeng pekerja</v>
      </c>
      <c r="D11" s="439">
        <f>Analisa!$H$174</f>
        <v>2334712.52</v>
      </c>
      <c r="F11" s="440"/>
      <c r="G11" s="441"/>
    </row>
    <row r="12" spans="2:7" ht="18" customHeight="1">
      <c r="B12" s="437" t="str">
        <f>Analisa!B176</f>
        <v>A. 2.2.1.9</v>
      </c>
      <c r="C12" s="438" t="str">
        <f>Analisa!C176</f>
        <v>Pembersihan 1 m2 lapangan dan perataan</v>
      </c>
      <c r="D12" s="439">
        <f>Analisa!$H$186</f>
        <v>30187.5</v>
      </c>
      <c r="F12" s="440"/>
      <c r="G12" s="441"/>
    </row>
    <row r="13" spans="2:7" ht="18" customHeight="1">
      <c r="B13" s="437" t="str">
        <f>Analisa!B188</f>
        <v>A. 2.2.1.10</v>
      </c>
      <c r="C13" s="438" t="str">
        <f>Analisa!C188</f>
        <v>Pembuatan 1 m2 steger/perancah dari bambu</v>
      </c>
      <c r="D13" s="439">
        <f>Analisa!$H$202</f>
        <v>490611.34</v>
      </c>
      <c r="F13" s="440"/>
      <c r="G13" s="441"/>
    </row>
    <row r="14" spans="2:7" ht="18" customHeight="1">
      <c r="B14" s="437" t="str">
        <f>Analisa!B204</f>
        <v>A. 2.2.1.11</v>
      </c>
      <c r="C14" s="438" t="str">
        <f>Analisa!C204</f>
        <v>Pembuatan 1 buah kotak adukan ukuran 40cm x50cm x25cm</v>
      </c>
      <c r="D14" s="439">
        <f>Analisa!I217</f>
        <v>333425.63640000002</v>
      </c>
      <c r="F14" s="440"/>
      <c r="G14" s="441"/>
    </row>
    <row r="15" spans="2:7" ht="18" customHeight="1">
      <c r="B15" s="437" t="str">
        <f>Analisa!B242</f>
        <v>A. 2.2.1.12</v>
      </c>
      <c r="C15" s="438" t="str">
        <f>Analisa!C242</f>
        <v>Pembuatan 1 m2 jalan sementara</v>
      </c>
      <c r="D15" s="439">
        <f>Analisa!$H$255</f>
        <v>273691.25</v>
      </c>
      <c r="F15" s="440"/>
      <c r="G15" s="441"/>
    </row>
    <row r="16" spans="2:7" ht="18" customHeight="1">
      <c r="B16" s="974" t="str">
        <f>Analisa!B257</f>
        <v>A. 2.2.1.13</v>
      </c>
      <c r="C16" s="977" t="str">
        <f>Analisa!C257</f>
        <v>Pembongkaran 1 m3 beton bertulang</v>
      </c>
      <c r="D16" s="976">
        <f>Analisa!$H$267</f>
        <v>2472442.5</v>
      </c>
      <c r="E16" s="441">
        <f>Analisa!M267</f>
        <v>2472442.5</v>
      </c>
      <c r="F16" s="440"/>
      <c r="G16" s="441"/>
    </row>
    <row r="17" spans="2:7" ht="18" customHeight="1">
      <c r="B17" s="437" t="str">
        <f>Analisa!B269</f>
        <v>A. 2.2.1.14</v>
      </c>
      <c r="C17" s="438" t="str">
        <f>Analisa!C269</f>
        <v>Pembongkaran 1 m3 dinding tembok bata</v>
      </c>
      <c r="D17" s="439">
        <f>Analisa!$H$279</f>
        <v>1236221.25</v>
      </c>
      <c r="F17" s="440"/>
      <c r="G17" s="441"/>
    </row>
    <row r="18" spans="2:7" ht="18" customHeight="1">
      <c r="B18" s="437" t="str">
        <f>Analisa!B308</f>
        <v>A. 2.2.1.15</v>
      </c>
      <c r="C18" s="438" t="str">
        <f>Analisa!C308</f>
        <v xml:space="preserve">Pemasangan 1 m2  pagar kawat jaring galvanis </v>
      </c>
      <c r="D18" s="439">
        <f>Analisa!$H$321</f>
        <v>70567.48</v>
      </c>
      <c r="F18" s="440"/>
      <c r="G18" s="441"/>
    </row>
    <row r="19" spans="2:7" ht="18" customHeight="1">
      <c r="B19" s="437" t="str">
        <f>Analisa!B323</f>
        <v>A. 2.2.1.16</v>
      </c>
      <c r="C19" s="438" t="str">
        <f>Analisa!C323</f>
        <v>Pemasangan 1 m2 panel beton pracetak 5x45x240 cm</v>
      </c>
      <c r="D19" s="439">
        <f>Analisa!$H$340</f>
        <v>638778.6</v>
      </c>
      <c r="F19" s="440"/>
      <c r="G19" s="441"/>
    </row>
    <row r="20" spans="2:7" ht="18" customHeight="1">
      <c r="B20" s="437"/>
      <c r="C20" s="438"/>
      <c r="D20" s="442"/>
      <c r="F20" s="440"/>
      <c r="G20" s="441"/>
    </row>
    <row r="21" spans="2:7" ht="18" customHeight="1">
      <c r="B21" s="443" t="str">
        <f>Analisa!B342</f>
        <v>A.2.3.1</v>
      </c>
      <c r="C21" s="444" t="str">
        <f>Analisa!C342</f>
        <v>HARGA SATUAN PEKERJAAN TANAH</v>
      </c>
      <c r="D21" s="442"/>
      <c r="F21" s="440"/>
      <c r="G21" s="441"/>
    </row>
    <row r="22" spans="2:7" ht="18" customHeight="1">
      <c r="B22" s="717" t="str">
        <f>Analisa!B343</f>
        <v>A.2.3.1.1</v>
      </c>
      <c r="C22" s="718" t="str">
        <f>Analisa!C343</f>
        <v>Penggalian 1 m3 tanah biasa sedalam 1 m</v>
      </c>
      <c r="D22" s="719">
        <f>Analisa!$H$353</f>
        <v>135843.75</v>
      </c>
      <c r="E22" s="441">
        <f>Analisa!M353</f>
        <v>135843.75</v>
      </c>
      <c r="F22" s="440"/>
      <c r="G22" s="441"/>
    </row>
    <row r="23" spans="2:7" ht="18" customHeight="1">
      <c r="B23" s="437" t="str">
        <f>Analisa!B355</f>
        <v>A.2.3.1.2</v>
      </c>
      <c r="C23" s="438" t="str">
        <f>Analisa!C355</f>
        <v>Penggalian 1 m3 tanah biasa sedalam 2 m</v>
      </c>
      <c r="D23" s="439">
        <f>Analisa!$H$365</f>
        <v>166893.75</v>
      </c>
      <c r="F23" s="440"/>
      <c r="G23" s="441"/>
    </row>
    <row r="24" spans="2:7" ht="18" customHeight="1">
      <c r="B24" s="437" t="str">
        <f>Analisa!B367</f>
        <v>A.2.3.1.3</v>
      </c>
      <c r="C24" s="438" t="str">
        <f>Analisa!C367</f>
        <v>Penggalian 1 m3 tanah biasa sedalam 3 m</v>
      </c>
      <c r="D24" s="439">
        <f>Analisa!$H$377</f>
        <v>198461.25</v>
      </c>
      <c r="E24" s="441"/>
      <c r="F24" s="440"/>
      <c r="G24" s="441"/>
    </row>
    <row r="25" spans="2:7" ht="18" customHeight="1">
      <c r="B25" s="437" t="str">
        <f>Analisa!B379</f>
        <v>A.2.3.1.4</v>
      </c>
      <c r="C25" s="438" t="str">
        <f>Analisa!C379</f>
        <v>Penggalian 1 m3 tanah keras sedalam 1 m</v>
      </c>
      <c r="D25" s="439">
        <f>Analisa!$H$389</f>
        <v>180780</v>
      </c>
      <c r="F25" s="440"/>
      <c r="G25" s="441"/>
    </row>
    <row r="26" spans="2:7" ht="18" customHeight="1">
      <c r="B26" s="437" t="str">
        <f>Analisa!B391</f>
        <v>A.2.3.1.5</v>
      </c>
      <c r="C26" s="438" t="str">
        <f>Analisa!C391</f>
        <v>Penggalian 1 m3 tanah cadas sedalam 1 m</v>
      </c>
      <c r="D26" s="439">
        <f>Analisa!$H$401</f>
        <v>274275</v>
      </c>
      <c r="F26" s="440"/>
      <c r="G26" s="441"/>
    </row>
    <row r="27" spans="2:7" ht="18" customHeight="1">
      <c r="B27" s="437" t="str">
        <f>Analisa!B403</f>
        <v>A.2.3.1.6</v>
      </c>
      <c r="C27" s="438" t="str">
        <f>Analisa!C403</f>
        <v>Penggalian 1 m3 tanah lumpur sedalam 1 m</v>
      </c>
      <c r="D27" s="439">
        <f>Analisa!$H$413</f>
        <v>218643.75</v>
      </c>
      <c r="F27" s="440"/>
      <c r="G27" s="441"/>
    </row>
    <row r="28" spans="2:7" ht="18" customHeight="1">
      <c r="B28" s="437" t="str">
        <f>Analisa!B415</f>
        <v>A.2.3.1.7</v>
      </c>
      <c r="C28" s="438" t="str">
        <f>Analisa!C415</f>
        <v>Pengerjaan stripping 1 m2 tanah tebing setinggi 1 meter</v>
      </c>
      <c r="D28" s="439">
        <f>Analisa!$H$425</f>
        <v>9918.75</v>
      </c>
      <c r="F28" s="440"/>
      <c r="G28" s="441"/>
    </row>
    <row r="29" spans="2:7" ht="18" customHeight="1">
      <c r="B29" s="437" t="str">
        <f>Analisa!B427</f>
        <v>A.2.3.1.8</v>
      </c>
      <c r="C29" s="438" t="str">
        <f>Analisa!C427</f>
        <v>Pembuangan 1 m3 tanah sejauh 30 meter</v>
      </c>
      <c r="D29" s="439">
        <f>Analisa!$H$437</f>
        <v>59512.5</v>
      </c>
      <c r="F29" s="440"/>
      <c r="G29" s="441"/>
    </row>
    <row r="30" spans="2:7" ht="18" customHeight="1">
      <c r="B30" s="717" t="str">
        <f>Analisa!B439</f>
        <v>A.2.3.1.9</v>
      </c>
      <c r="C30" s="718" t="str">
        <f>Analisa!C439</f>
        <v>Pengurugan kembali 1 m3 galian tanah</v>
      </c>
      <c r="D30" s="719">
        <f>Analisa!$H$449</f>
        <v>99187.5</v>
      </c>
      <c r="E30" s="441">
        <f>Analisa!M449</f>
        <v>99187.5</v>
      </c>
      <c r="F30" s="440"/>
      <c r="G30" s="441"/>
    </row>
    <row r="31" spans="2:7" ht="18" customHeight="1">
      <c r="B31" s="437" t="str">
        <f>Analisa!B451</f>
        <v>A.2.3.1.10</v>
      </c>
      <c r="C31" s="438" t="str">
        <f>Analisa!C451</f>
        <v>Pemadatan tanah 1 m3 tanah ( per 20 cm)</v>
      </c>
      <c r="D31" s="439">
        <f>Analisa!$H$461</f>
        <v>99187.5</v>
      </c>
      <c r="F31" s="440"/>
      <c r="G31" s="441"/>
    </row>
    <row r="32" spans="2:7" ht="18" customHeight="1">
      <c r="B32" s="717" t="str">
        <f>Analisa!B463</f>
        <v>A.2.3.1.11</v>
      </c>
      <c r="C32" s="718" t="str">
        <f>Analisa!C463</f>
        <v>Pengurugan 1 m3 dengan pasir urug</v>
      </c>
      <c r="D32" s="719">
        <f>Analisa!$H$474</f>
        <v>265103.52</v>
      </c>
      <c r="E32" s="441">
        <f>Analisa!M474</f>
        <v>265103.51999999996</v>
      </c>
      <c r="F32" s="440"/>
      <c r="G32" s="441"/>
    </row>
    <row r="33" spans="2:7" ht="18" customHeight="1">
      <c r="B33" s="717" t="str">
        <f>Analisa!B476</f>
        <v>A.2.3.1.11. A</v>
      </c>
      <c r="C33" s="718" t="str">
        <f>Analisa!C476</f>
        <v>Pengurugan 1 m3 dengan tanah urug</v>
      </c>
      <c r="D33" s="719">
        <f>Analisa!$H$487</f>
        <v>216915.3</v>
      </c>
      <c r="E33" s="441">
        <f>Analisa!M487</f>
        <v>216915.3</v>
      </c>
      <c r="F33" s="440"/>
      <c r="G33" s="441"/>
    </row>
    <row r="34" spans="2:7" ht="18" customHeight="1">
      <c r="B34" s="717" t="str">
        <f>Analisa!B489</f>
        <v>A.2.3.1.11. B</v>
      </c>
      <c r="C34" s="718" t="str">
        <f>Analisa!C489</f>
        <v>Pengurugan 1 m3 dengan tanah humus</v>
      </c>
      <c r="D34" s="719">
        <f>Analisa!H500</f>
        <v>349933.5</v>
      </c>
      <c r="F34" s="440"/>
      <c r="G34" s="441"/>
    </row>
    <row r="35" spans="2:7" ht="18" customHeight="1">
      <c r="B35" s="437" t="str">
        <f>Analisa!B502</f>
        <v>A.2.3.1.12</v>
      </c>
      <c r="C35" s="438" t="str">
        <f>Analisa!C502</f>
        <v>Pemasangan 1 m3 lapisan pudel campuran 1KP:3PP:7TL</v>
      </c>
      <c r="D35" s="439">
        <f>Analisa!I517</f>
        <v>480089.44200000004</v>
      </c>
      <c r="F35" s="440"/>
      <c r="G35" s="441"/>
    </row>
    <row r="36" spans="2:7" ht="18" customHeight="1">
      <c r="B36" s="437" t="str">
        <f>Analisa!B519</f>
        <v>A.2.3.1.13</v>
      </c>
      <c r="C36" s="438" t="str">
        <f>Analisa!C519</f>
        <v>Pemasangan 1 m2 lapisan ijuk tebal 10 cm untuk bidang resapan</v>
      </c>
      <c r="D36" s="439">
        <f>Analisa!$H$530</f>
        <v>271573.65000000002</v>
      </c>
      <c r="F36" s="440"/>
      <c r="G36" s="441"/>
    </row>
    <row r="37" spans="2:7" ht="18" customHeight="1">
      <c r="B37" s="437" t="str">
        <f>Analisa!B532</f>
        <v>A.2.3.1.14</v>
      </c>
      <c r="C37" s="438" t="str">
        <f>Analisa!C532</f>
        <v>Pengurugan  1 m3 sirtu padat</v>
      </c>
      <c r="D37" s="439">
        <f>Analisa!$H$543</f>
        <v>355535.61</v>
      </c>
      <c r="F37" s="440"/>
      <c r="G37" s="441"/>
    </row>
    <row r="38" spans="2:7" ht="18" customHeight="1">
      <c r="B38" s="437"/>
      <c r="C38" s="438"/>
      <c r="D38" s="439"/>
      <c r="F38" s="440"/>
      <c r="G38" s="441"/>
    </row>
    <row r="39" spans="2:7" ht="18" customHeight="1">
      <c r="B39" s="443" t="str">
        <f>Analisa!B545</f>
        <v xml:space="preserve">A.3.2.1 </v>
      </c>
      <c r="C39" s="444" t="str">
        <f>Analisa!C545</f>
        <v>HARGA SATUAN PEKERJAAN PONDASI</v>
      </c>
      <c r="D39" s="439"/>
      <c r="F39" s="440"/>
      <c r="G39" s="441"/>
    </row>
    <row r="40" spans="2:7" ht="18" customHeight="1">
      <c r="B40" s="437" t="str">
        <f>Analisa!B546</f>
        <v>A.3.2.1.1</v>
      </c>
      <c r="C40" s="438" t="str">
        <f>Analisa!C546</f>
        <v xml:space="preserve"> Pemasangan 1 m3 pondasi batu belah campuran 1SP : 3PP</v>
      </c>
      <c r="D40" s="439">
        <f>Analisa!$H$561</f>
        <v>1470440.09</v>
      </c>
      <c r="F40" s="440"/>
      <c r="G40" s="441"/>
    </row>
    <row r="41" spans="2:7" ht="18" customHeight="1">
      <c r="B41" s="437" t="str">
        <f>Analisa!B563</f>
        <v>A.3.2.1.2</v>
      </c>
      <c r="C41" s="438" t="str">
        <f>Analisa!C563</f>
        <v>Pemasangan 1 m3 pondasi batu belah campuran 1SP : 4PP</v>
      </c>
      <c r="D41" s="439">
        <f>Analisa!$H$578</f>
        <v>1408191.97</v>
      </c>
      <c r="F41" s="440"/>
      <c r="G41" s="441"/>
    </row>
    <row r="42" spans="2:7" ht="18" customHeight="1">
      <c r="B42" s="717" t="str">
        <f>Analisa!B580</f>
        <v>A.3.2.1.3</v>
      </c>
      <c r="C42" s="718" t="str">
        <f>Analisa!C580</f>
        <v>Pemasangan 1 m3 pondasi batu belah campuran 1SP : 5PP</v>
      </c>
      <c r="D42" s="719">
        <f>Analisa!$H$595</f>
        <v>1365041.8</v>
      </c>
      <c r="E42" s="441">
        <f>Analisa!M595</f>
        <v>1357676.5358</v>
      </c>
      <c r="F42" s="440"/>
      <c r="G42" s="441"/>
    </row>
    <row r="43" spans="2:7" ht="18" customHeight="1">
      <c r="B43" s="437" t="str">
        <f>Analisa!B597</f>
        <v>A.3.2.1.4</v>
      </c>
      <c r="C43" s="438" t="str">
        <f>Analisa!C597</f>
        <v>Pemasangan 1 m3 pondasi batu belah campuran 1SP : 6PP</v>
      </c>
      <c r="D43" s="439">
        <f>Analisa!$H$612</f>
        <v>1334703.5</v>
      </c>
      <c r="F43" s="440"/>
      <c r="G43" s="441"/>
    </row>
    <row r="44" spans="2:7" ht="18" customHeight="1">
      <c r="B44" s="437" t="str">
        <f>Analisa!B614</f>
        <v>A.3.2.1.5</v>
      </c>
      <c r="C44" s="438" t="str">
        <f>Analisa!C614</f>
        <v>Pemasangan 1 m3 pondasi batu belah campuran 1SP : 8PP</v>
      </c>
      <c r="D44" s="439">
        <f>Analisa!$H$629</f>
        <v>1293124.8500000001</v>
      </c>
      <c r="F44" s="440"/>
      <c r="G44" s="441"/>
    </row>
    <row r="45" spans="2:7" ht="18" customHeight="1">
      <c r="B45" s="437" t="str">
        <f>Analisa!B631</f>
        <v>A.3.2.1.9</v>
      </c>
      <c r="C45" s="438" t="str">
        <f>Analisa!C631</f>
        <v>Pemasangan 1 m3 batu kosong (anstamping)</v>
      </c>
      <c r="D45" s="439">
        <f>Analisa!$H$645</f>
        <v>843304.12</v>
      </c>
      <c r="F45" s="440"/>
      <c r="G45" s="441"/>
    </row>
    <row r="46" spans="2:7" ht="18" customHeight="1">
      <c r="B46" s="437" t="str">
        <f>Analisa!B647</f>
        <v>A.3.2.1.10</v>
      </c>
      <c r="C46" s="438" t="str">
        <f>Analisa!C647</f>
        <v>Pemasangan 1 m3 pondasi siklop 60% beton campuran 1SP : 2PP</v>
      </c>
      <c r="D46" s="439">
        <f>Analisa!$H$665</f>
        <v>3861195.79</v>
      </c>
      <c r="F46" s="440"/>
      <c r="G46" s="441"/>
    </row>
    <row r="47" spans="2:7" ht="18" customHeight="1">
      <c r="B47" s="437" t="str">
        <f>Analisa!B667</f>
        <v>A.3.2.1.11</v>
      </c>
      <c r="C47" s="438" t="str">
        <f>Analisa!C667</f>
        <v>Pemasangan 1 m3 pondasi sumuran diameter 100 cm</v>
      </c>
      <c r="D47" s="439">
        <f>Analisa!$H$683</f>
        <v>1372133.37</v>
      </c>
      <c r="F47" s="440"/>
      <c r="G47" s="441"/>
    </row>
    <row r="48" spans="2:7" ht="18" customHeight="1">
      <c r="B48" s="437" t="str">
        <f>Analisa!B685</f>
        <v>A.3.2.1.12</v>
      </c>
      <c r="C48" s="438" t="str">
        <f>Analisa!C685</f>
        <v>Pemasangan 1 m3 Bronjong</v>
      </c>
      <c r="D48" s="439">
        <f>Analisa!I700</f>
        <v>1696596.15</v>
      </c>
      <c r="F48" s="440"/>
      <c r="G48" s="441"/>
    </row>
    <row r="49" spans="2:7" ht="18" customHeight="1">
      <c r="B49" s="437"/>
      <c r="C49" s="438"/>
      <c r="D49" s="439"/>
      <c r="G49" s="441"/>
    </row>
    <row r="50" spans="2:7" ht="18" customHeight="1">
      <c r="B50" s="443" t="str">
        <f>Analisa!B702</f>
        <v>A.4.1.1</v>
      </c>
      <c r="C50" s="444" t="str">
        <f>Analisa!C702</f>
        <v>HARGA SATUAN PEKERJAAN BETON</v>
      </c>
      <c r="D50" s="442"/>
      <c r="G50" s="441"/>
    </row>
    <row r="51" spans="2:7" ht="18" customHeight="1">
      <c r="B51" s="717" t="str">
        <f>Analisa!B703</f>
        <v>A.4.1.1.1</v>
      </c>
      <c r="C51" s="720" t="str">
        <f>Analisa!C703</f>
        <v>Membuat 1 m3 beton mutu f’= 7.4 MPa (K 100). slump (12 ± 2) cm. w/c = 0.87</v>
      </c>
      <c r="D51" s="719">
        <f>Analisa!$H$719</f>
        <v>1298044.5</v>
      </c>
      <c r="E51" s="441">
        <f>Analisa!M719</f>
        <v>1284667.8744249998</v>
      </c>
      <c r="F51" s="440"/>
      <c r="G51" s="446"/>
    </row>
    <row r="52" spans="2:7" ht="18" customHeight="1">
      <c r="B52" s="974" t="str">
        <f>Analisa!B721</f>
        <v>A.4.1.1.2</v>
      </c>
      <c r="C52" s="975" t="str">
        <f>Analisa!C721</f>
        <v>Membuat 1 m3 beton mutu f’= 9.8 MPa (K 125). slump (12 ± 2) cm. w/c = 0.78</v>
      </c>
      <c r="D52" s="976">
        <f>Analisa!$H$737</f>
        <v>1344105.47</v>
      </c>
      <c r="F52" s="440"/>
      <c r="G52" s="441"/>
    </row>
    <row r="53" spans="2:7" ht="18" customHeight="1">
      <c r="B53" s="437" t="str">
        <f>Analisa!B739</f>
        <v xml:space="preserve">A.4.1.1.3 </v>
      </c>
      <c r="C53" s="445" t="str">
        <f>Analisa!C739</f>
        <v>Membuat 1 m3 beton mutu f’= 12.2 MPa (K 150). slump (12 ± 2) cm. w/c = 0.72</v>
      </c>
      <c r="D53" s="439">
        <f>Analisa!$H$755</f>
        <v>1380105.73</v>
      </c>
      <c r="F53" s="440"/>
      <c r="G53" s="441"/>
    </row>
    <row r="54" spans="2:7" ht="18" customHeight="1">
      <c r="B54" s="437" t="str">
        <f>Analisa!B759</f>
        <v>A.4.1.1.4</v>
      </c>
      <c r="C54" s="445" t="str">
        <f>Analisa!C759</f>
        <v>Membuat 1 m3 lantai kerja beton mutu f’c = 7.4 MPa (K 100). slump (3-6) cm w/c = 0.87</v>
      </c>
      <c r="D54" s="439">
        <f>Analisa!$H$775</f>
        <v>1177579.83</v>
      </c>
      <c r="F54" s="440"/>
      <c r="G54" s="441"/>
    </row>
    <row r="55" spans="2:7" ht="18" customHeight="1">
      <c r="B55" s="717" t="str">
        <f>Analisa!B777</f>
        <v>A.4.1.1.5</v>
      </c>
      <c r="C55" s="720" t="str">
        <f>Analisa!C777</f>
        <v>Membuat 1 m3 beton mutu f’  = 14.5 MPa (K 175). slump (12 ±2) cm. w/c = 0.66</v>
      </c>
      <c r="D55" s="719">
        <f>Analisa!$H$793</f>
        <v>1477199.01</v>
      </c>
      <c r="F55" s="440"/>
      <c r="G55" s="441"/>
    </row>
    <row r="56" spans="2:7" ht="18" customHeight="1">
      <c r="B56" s="437" t="str">
        <f>Analisa!B795</f>
        <v>A.4.1.1.6</v>
      </c>
      <c r="C56" s="445" t="str">
        <f>Analisa!C795</f>
        <v>Membuat 1 m3 beton mutu f’= 16.9 MPa (K 200). slump (12 ± 2) cm. w/c = 0.61</v>
      </c>
      <c r="D56" s="439">
        <f>Analisa!$H$811</f>
        <v>1517962.57</v>
      </c>
      <c r="F56" s="440"/>
      <c r="G56" s="441"/>
    </row>
    <row r="57" spans="2:7" ht="18" customHeight="1">
      <c r="B57" s="437" t="str">
        <f>Analisa!B813</f>
        <v>A.4.1.1.7</v>
      </c>
      <c r="C57" s="445" t="str">
        <f>Analisa!C813</f>
        <v>Membuat 1 m3 beton mutu f’  = 19.3 MPa (K 225). slump (12 ± 2) cm. w/c = 0.58</v>
      </c>
      <c r="D57" s="439">
        <f>Analisa!$H$829</f>
        <v>1549451.55</v>
      </c>
      <c r="F57" s="440"/>
      <c r="G57" s="441"/>
    </row>
    <row r="58" spans="2:7" ht="18" customHeight="1">
      <c r="B58" s="717" t="str">
        <f>Analisa!B831</f>
        <v>A.4.1.1.8</v>
      </c>
      <c r="C58" s="720" t="str">
        <f>Analisa!C831</f>
        <v xml:space="preserve"> Membuat 1 m3 beton mutu f’= 21.7 MPa (K 250). slump (12 ± 2) cm. w/c = 0.56</v>
      </c>
      <c r="D58" s="719">
        <f>Analisa!$H$847</f>
        <v>1569066.21</v>
      </c>
      <c r="F58" s="440"/>
      <c r="G58" s="441"/>
    </row>
    <row r="59" spans="2:7" ht="18" customHeight="1">
      <c r="B59" s="717" t="str">
        <f>Analisa!B849</f>
        <v>A.4.1.1.9</v>
      </c>
      <c r="C59" s="720" t="str">
        <f>Analisa!C849</f>
        <v>Membuat 1 m3 beton mutu f’ = 24.0 MPa (K 275). slump (12 ± 2) cm. w/c = 0.53</v>
      </c>
      <c r="D59" s="719">
        <f>Analisa!$H$865</f>
        <v>1602944.4</v>
      </c>
      <c r="E59" s="441">
        <f>Analisa!M865</f>
        <v>1580956.9075500001</v>
      </c>
      <c r="F59" s="440"/>
      <c r="G59" s="441"/>
    </row>
    <row r="60" spans="2:7" ht="18" customHeight="1">
      <c r="B60" s="437" t="str">
        <f>Analisa!B867</f>
        <v>A.4.1.1.10</v>
      </c>
      <c r="C60" s="445" t="str">
        <f>Analisa!C867</f>
        <v>Membuat 1 m3 beton mutu f’c = 26.4 MPa (K 300). slump (12 ± 2) cm. w/c = 0.52</v>
      </c>
      <c r="D60" s="439">
        <f>Analisa!$H$883</f>
        <v>1613345.7</v>
      </c>
      <c r="F60" s="440"/>
      <c r="G60" s="441"/>
    </row>
    <row r="61" spans="2:7" ht="18" customHeight="1">
      <c r="B61" s="437" t="str">
        <f>Analisa!B885</f>
        <v>A.4.1.1.11</v>
      </c>
      <c r="C61" s="445" t="str">
        <f>Analisa!C885</f>
        <v xml:space="preserve"> Membuat 1 m3 beton mutu f’c = 28.8 MPa (K 325). slump (12 ± 2) cm. w/c = 0.49</v>
      </c>
      <c r="D61" s="439">
        <f>Analisa!$H$901</f>
        <v>1754504.64</v>
      </c>
      <c r="F61" s="440"/>
      <c r="G61" s="441"/>
    </row>
    <row r="62" spans="2:7" ht="18" customHeight="1">
      <c r="B62" s="437" t="str">
        <f>Analisa!B903</f>
        <v>A.4.1.1.12</v>
      </c>
      <c r="C62" s="445" t="str">
        <f>Analisa!C903</f>
        <v>Membuat 1 m3 beton mutu f’c = 31.2 MPa (K 350). slump (12 ± 2) cm. w/c = 0.48</v>
      </c>
      <c r="D62" s="439">
        <f>Analisa!$H$919</f>
        <v>1768216.79</v>
      </c>
      <c r="F62" s="440"/>
      <c r="G62" s="441"/>
    </row>
    <row r="63" spans="2:7" ht="18" customHeight="1">
      <c r="B63" s="437" t="str">
        <f>Analisa!B921</f>
        <v>A.4.1.1.13</v>
      </c>
      <c r="C63" s="438" t="str">
        <f>Analisa!C921</f>
        <v>Membuat 1 m3 beton kedap air dengan strorox – 100</v>
      </c>
      <c r="D63" s="439">
        <f>Analisa!$H$937</f>
        <v>1638217.83</v>
      </c>
      <c r="F63" s="440"/>
      <c r="G63" s="441"/>
    </row>
    <row r="64" spans="2:7" ht="18" customHeight="1">
      <c r="B64" s="437" t="str">
        <f>Analisa!B939</f>
        <v>A.4.1.1.14</v>
      </c>
      <c r="C64" s="438" t="str">
        <f>Analisa!C939</f>
        <v>Pemasangan 1 m’ PVC Waterstop lebar 150 mm</v>
      </c>
      <c r="D64" s="439">
        <f>Analisa!$H$952</f>
        <v>95999.7</v>
      </c>
      <c r="F64" s="440"/>
      <c r="G64" s="441"/>
    </row>
    <row r="65" spans="2:7" ht="18" customHeight="1">
      <c r="B65" s="437" t="str">
        <f>Analisa!B954</f>
        <v>A.4.1.1.15</v>
      </c>
      <c r="C65" s="438" t="str">
        <f>Analisa!C954</f>
        <v>Pemasangan 1 m’ PVC Waterstop lebar 200 mm</v>
      </c>
      <c r="D65" s="439">
        <f>Analisa!$H$967</f>
        <v>125975.6</v>
      </c>
      <c r="F65" s="440"/>
      <c r="G65" s="441"/>
    </row>
    <row r="66" spans="2:7" ht="18" customHeight="1">
      <c r="B66" s="437" t="str">
        <f>Analisa!B969</f>
        <v>A.4.1.1.16</v>
      </c>
      <c r="C66" s="438" t="str">
        <f>Analisa!C969</f>
        <v xml:space="preserve"> Membuat 1 m’ PVC Waterstop lebar 320 mm</v>
      </c>
      <c r="D66" s="439">
        <f>Analisa!$H$982</f>
        <v>212059.71</v>
      </c>
      <c r="F66" s="440"/>
      <c r="G66" s="441"/>
    </row>
    <row r="67" spans="2:7" ht="18" customHeight="1">
      <c r="B67" s="698" t="str">
        <f>Analisa!B984</f>
        <v>A.4.1.1.17</v>
      </c>
      <c r="C67" s="696" t="str">
        <f>Analisa!C984</f>
        <v xml:space="preserve">Pembesian 1 kg dengan besi polos </v>
      </c>
      <c r="D67" s="699">
        <f>Analisa!$H$999</f>
        <v>21993.13</v>
      </c>
      <c r="E67" s="441">
        <f>Analisa!M999</f>
        <v>12798.21</v>
      </c>
      <c r="F67" s="440"/>
      <c r="G67" s="441"/>
    </row>
    <row r="68" spans="2:7" ht="18" customHeight="1">
      <c r="B68" s="700" t="str">
        <f>Analisa!B1001</f>
        <v>A.4.1.1.17  B</v>
      </c>
      <c r="C68" s="697" t="str">
        <f>Analisa!C1001</f>
        <v>Pembesian 1 kg dengan besi ulir</v>
      </c>
      <c r="D68" s="701">
        <f>Analisa!$H$1016</f>
        <v>24166.63</v>
      </c>
      <c r="E68" s="441">
        <f>Analisa!M1016</f>
        <v>13916.91</v>
      </c>
      <c r="F68" s="440"/>
      <c r="G68" s="441"/>
    </row>
    <row r="69" spans="2:7" ht="18" customHeight="1">
      <c r="B69" s="437" t="str">
        <f>Analisa!B1018</f>
        <v>A.4.1.1.19</v>
      </c>
      <c r="C69" s="438" t="str">
        <f>Analisa!C1018</f>
        <v>Pemasangan 10 kg jaring kawat baja (wiremesh)</v>
      </c>
      <c r="D69" s="439">
        <f>Analisa!$H$1033</f>
        <v>21912.66</v>
      </c>
      <c r="F69" s="440"/>
      <c r="G69" s="441"/>
    </row>
    <row r="70" spans="2:7" ht="18" customHeight="1">
      <c r="B70" s="437" t="str">
        <f>Analisa!B1035</f>
        <v>A.4.1.1.20</v>
      </c>
      <c r="C70" s="438" t="str">
        <f>Analisa!C1035</f>
        <v>Pemasangan 1 m2  bekisting untuk pondasi</v>
      </c>
      <c r="D70" s="439">
        <f>Analisa!$H$1050</f>
        <v>455616.21</v>
      </c>
      <c r="F70" s="440"/>
      <c r="G70" s="441"/>
    </row>
    <row r="71" spans="2:7" ht="18" customHeight="1">
      <c r="B71" s="717" t="str">
        <f>Analisa!$B$1052</f>
        <v>A.4.1.1.20 A</v>
      </c>
      <c r="C71" s="718" t="str">
        <f>Analisa!$C$1052</f>
        <v>Pemasangan 1 m2  bekisting untuk pondasi (2x pakai)</v>
      </c>
      <c r="D71" s="719">
        <f>Analisa!$H$1068</f>
        <v>307566.36</v>
      </c>
      <c r="E71" s="441">
        <f>Analisa!M1068</f>
        <v>304379.36658969999</v>
      </c>
      <c r="F71" s="440"/>
      <c r="G71" s="441"/>
    </row>
    <row r="72" spans="2:7" ht="18" customHeight="1">
      <c r="B72" s="437" t="str">
        <f>Analisa!B1070</f>
        <v>A.4.1.1.21</v>
      </c>
      <c r="C72" s="438" t="str">
        <f>Analisa!C1070</f>
        <v>Pemasangan 1 m2  bekisting untuk sloof</v>
      </c>
      <c r="D72" s="439">
        <f>Analisa!$H$1085</f>
        <v>491553.71</v>
      </c>
      <c r="F72" s="440"/>
      <c r="G72" s="441"/>
    </row>
    <row r="73" spans="2:7" ht="18" customHeight="1">
      <c r="B73" s="717" t="str">
        <f>Analisa!$B$1087</f>
        <v>A.4.1.1.21 A</v>
      </c>
      <c r="C73" s="718" t="str">
        <f>Analisa!$C$1087</f>
        <v>Pemasangan 1 m2  bekisting untuk sloof (2x pakai)</v>
      </c>
      <c r="D73" s="719">
        <f>Analisa!$H$1103</f>
        <v>325535.11</v>
      </c>
      <c r="E73" s="441">
        <f>Analisa!M1103</f>
        <v>322348.11658969999</v>
      </c>
      <c r="F73" s="440"/>
      <c r="G73" s="441"/>
    </row>
    <row r="74" spans="2:7" ht="18" customHeight="1">
      <c r="B74" s="437" t="str">
        <f>Analisa!B1105</f>
        <v>A.4.1.1.22</v>
      </c>
      <c r="C74" s="438" t="str">
        <f>Analisa!C1105</f>
        <v xml:space="preserve"> Pemasangan 1 m2  bekisting untuk kolom</v>
      </c>
      <c r="D74" s="439">
        <f>Analisa!$H$1123</f>
        <v>762938.96</v>
      </c>
      <c r="F74" s="440"/>
      <c r="G74" s="441"/>
    </row>
    <row r="75" spans="2:7" ht="18" customHeight="1">
      <c r="B75" s="700" t="str">
        <f>Analisa!$B$1125</f>
        <v>A.4.1.1.22 A</v>
      </c>
      <c r="C75" s="697" t="str">
        <f>Analisa!$C$1125</f>
        <v xml:space="preserve"> Pemasangan 1 m2  bekisting untuk kolom (2x pakai)</v>
      </c>
      <c r="D75" s="701">
        <f>Analisa!$H$1144</f>
        <v>482701.1</v>
      </c>
      <c r="E75" s="441">
        <f>Analisa!M1144</f>
        <v>472910.92</v>
      </c>
      <c r="F75" s="440"/>
      <c r="G75" s="441"/>
    </row>
    <row r="76" spans="2:7" ht="18" customHeight="1">
      <c r="B76" s="450" t="str">
        <f>Analisa!B1146</f>
        <v>A.4.1.1.23</v>
      </c>
      <c r="C76" s="451" t="str">
        <f>Analisa!C1146</f>
        <v>Pemasangan 1 m2  bekisting untuk balok</v>
      </c>
      <c r="D76" s="452">
        <f>Analisa!$H$1164</f>
        <v>784501.46</v>
      </c>
      <c r="F76" s="440"/>
      <c r="G76" s="441"/>
    </row>
    <row r="77" spans="2:7" ht="18" customHeight="1">
      <c r="B77" s="450" t="str">
        <f>Analisa!$B$1166</f>
        <v>A.4.1.1.23 A</v>
      </c>
      <c r="C77" s="451" t="str">
        <f>Analisa!$C$1166</f>
        <v>Pemasangan 1 m2  bekisting untuk balok (2x pakai)</v>
      </c>
      <c r="D77" s="452">
        <f>Analisa!$H$1185</f>
        <v>493482.35</v>
      </c>
      <c r="F77" s="440"/>
      <c r="G77" s="441"/>
    </row>
    <row r="78" spans="2:7" ht="18" customHeight="1">
      <c r="B78" s="437" t="str">
        <f>Analisa!B1187</f>
        <v>A.4.1.1.24</v>
      </c>
      <c r="C78" s="438" t="str">
        <f>Analisa!C1187</f>
        <v>Pemasangan 1 m2  bekisting untuk lantai</v>
      </c>
      <c r="D78" s="439">
        <f>Analisa!$H$1205</f>
        <v>952550.96</v>
      </c>
      <c r="F78" s="440"/>
      <c r="G78" s="441"/>
    </row>
    <row r="79" spans="2:7" ht="18" customHeight="1">
      <c r="B79" s="717" t="str">
        <f>Analisa!$B$1208</f>
        <v>A.4.1.1.24 A</v>
      </c>
      <c r="C79" s="718" t="str">
        <f>Analisa!$C$1208</f>
        <v>Pemasangan 1 m2  bekisting untuk lantai (2x pakai)</v>
      </c>
      <c r="D79" s="719">
        <f>Analisa!$H$1227</f>
        <v>577507.1</v>
      </c>
      <c r="E79" s="441">
        <f>Analisa!M1227</f>
        <v>567716.92000000004</v>
      </c>
      <c r="F79" s="440"/>
      <c r="G79" s="441"/>
    </row>
    <row r="80" spans="2:7" ht="18" customHeight="1">
      <c r="B80" s="437" t="str">
        <f>Analisa!$B$1229</f>
        <v>A.4.1.1.24 B</v>
      </c>
      <c r="C80" s="438" t="str">
        <f>Analisa!$C$1229</f>
        <v>Pemasangan 1 m2  bekisting untuk lantai Steel Deck Superdyma 550Mpa</v>
      </c>
      <c r="D80" s="439">
        <f>Analisa!$H$1247</f>
        <v>701818.47</v>
      </c>
      <c r="F80" s="440"/>
      <c r="G80" s="441"/>
    </row>
    <row r="81" spans="2:7" ht="18" customHeight="1">
      <c r="B81" s="717" t="str">
        <f>Analisa!B1249</f>
        <v>A.4.1.1.25</v>
      </c>
      <c r="C81" s="718" t="str">
        <f>Analisa!C1249</f>
        <v>Pemasangan 1 m2 bekisting untuk dinding</v>
      </c>
      <c r="D81" s="719">
        <f>Analisa!$H$1267</f>
        <v>774404.46</v>
      </c>
      <c r="E81" s="441">
        <f>Analisa!M1267</f>
        <v>754824.1</v>
      </c>
      <c r="F81" s="440"/>
      <c r="G81" s="441"/>
    </row>
    <row r="82" spans="2:7" ht="18" customHeight="1">
      <c r="B82" s="717" t="str">
        <f>Analisa!B1269</f>
        <v>A.4.1.1.26</v>
      </c>
      <c r="C82" s="718" t="str">
        <f>Analisa!C1269</f>
        <v>Pemasangan 1 m2 bekisting untuk tangga</v>
      </c>
      <c r="D82" s="719">
        <f>Analisa!$H$1287</f>
        <v>690290.29</v>
      </c>
      <c r="E82" s="441">
        <f>Analisa!M1287</f>
        <v>671483.6</v>
      </c>
      <c r="F82" s="440"/>
      <c r="G82" s="441"/>
    </row>
    <row r="83" spans="2:7" ht="18" customHeight="1">
      <c r="B83" s="437" t="str">
        <f>Analisa!B1289</f>
        <v>A.4.1.1.27</v>
      </c>
      <c r="C83" s="438" t="str">
        <f>Analisa!C1289</f>
        <v>Pemasangan 1 m2  jembatan untuk pengecoran beton</v>
      </c>
      <c r="D83" s="439">
        <f>Analisa!$H$1304</f>
        <v>267633.77</v>
      </c>
      <c r="F83" s="440"/>
      <c r="G83" s="441"/>
    </row>
    <row r="84" spans="2:7" ht="18" customHeight="1">
      <c r="B84" s="717" t="str">
        <f>Analisa!B1306</f>
        <v>A.4.1.1.35</v>
      </c>
      <c r="C84" s="718" t="str">
        <f>Analisa!C1306</f>
        <v>Membuat 1 m’ kolom praktis beton bertulang (11 x 11) cm</v>
      </c>
      <c r="D84" s="719">
        <f>Analisa!$H$1327</f>
        <v>141377.06</v>
      </c>
      <c r="E84" s="441">
        <f>Analisa!M1327</f>
        <v>108074.47</v>
      </c>
      <c r="F84" s="440"/>
      <c r="G84" s="441"/>
    </row>
    <row r="85" spans="2:7" ht="18" customHeight="1">
      <c r="B85" s="437" t="str">
        <f>Analisa!B1353</f>
        <v>A.4.1.1.36</v>
      </c>
      <c r="C85" s="438" t="str">
        <f>Analisa!C1353</f>
        <v>Membuat 1 m’ ring balok beton bertulang (10 x 15) cm</v>
      </c>
      <c r="D85" s="439">
        <f>Analisa!$H$1374</f>
        <v>181847.06</v>
      </c>
      <c r="F85" s="440"/>
      <c r="G85" s="441"/>
    </row>
    <row r="86" spans="2:7" ht="18" customHeight="1">
      <c r="B86" s="437"/>
      <c r="C86" s="438"/>
      <c r="D86" s="439"/>
      <c r="F86" s="440"/>
      <c r="G86" s="441"/>
    </row>
    <row r="87" spans="2:7" ht="18" customHeight="1">
      <c r="B87" s="453" t="str">
        <f>Analisa!B1400</f>
        <v>A.4.1.2</v>
      </c>
      <c r="C87" s="454" t="str">
        <f>Analisa!C1400</f>
        <v xml:space="preserve"> HARGA SATUAN PEKERJAAN BETON PRACETAK</v>
      </c>
      <c r="D87" s="442"/>
      <c r="F87" s="440"/>
      <c r="G87" s="441"/>
    </row>
    <row r="88" spans="2:7" ht="18" customHeight="1">
      <c r="B88" s="437" t="str">
        <f>Analisa!B1401</f>
        <v>A.4.1.2.1</v>
      </c>
      <c r="C88" s="445" t="str">
        <f>Analisa!C1401</f>
        <v xml:space="preserve"> Pembuatan 1 m2  lahan produksi tebal 8cm beton f’c 14.5 Mpa (K 175) slump (12 ± 2)cm</v>
      </c>
      <c r="D88" s="439">
        <f>Analisa!$H$1417</f>
        <v>118202.83</v>
      </c>
      <c r="F88" s="440"/>
      <c r="G88" s="441"/>
    </row>
    <row r="89" spans="2:7" ht="18" customHeight="1">
      <c r="B89" s="437" t="str">
        <f>Analisa!B1419</f>
        <v>A.4.1.2.2</v>
      </c>
      <c r="C89" s="445" t="str">
        <f>Analisa!C1419</f>
        <v xml:space="preserve"> Pembuatan 1 m2  lahan produksi tebal 10 cm beton f’c 14.5 Mpa (K 175) slump (12 ±2) cm</v>
      </c>
      <c r="D89" s="439">
        <f>Analisa!$H$1435</f>
        <v>147805</v>
      </c>
      <c r="F89" s="440"/>
      <c r="G89" s="441"/>
    </row>
    <row r="90" spans="2:7" ht="18" customHeight="1">
      <c r="B90" s="437" t="str">
        <f>Analisa!B1437</f>
        <v>A.4.1.2.3</v>
      </c>
      <c r="C90" s="445" t="str">
        <f>Analisa!C1437</f>
        <v>Pembuatan 1 m2  lahan produksi tebal 12 cm beton f’c 14.5 Mpa (K 175) slump (12 ±2) cm</v>
      </c>
      <c r="D90" s="439">
        <f>Analisa!$H$1453</f>
        <v>164496.12</v>
      </c>
      <c r="F90" s="440"/>
      <c r="G90" s="441"/>
    </row>
    <row r="91" spans="2:7" ht="18" customHeight="1">
      <c r="B91" s="437" t="str">
        <f>Analisa!B1455</f>
        <v>A.4.1.2.4</v>
      </c>
      <c r="C91" s="445" t="str">
        <f>Analisa!C1455</f>
        <v xml:space="preserve"> Pembuatan 1 m2  lahan produksi tebal 15 cm beton f’c 14.5 Mpa (K 175) slump (12 ±2) cm</v>
      </c>
      <c r="D91" s="439">
        <f>Analisa!$H$1471</f>
        <v>221699.45</v>
      </c>
      <c r="F91" s="440"/>
      <c r="G91" s="441"/>
    </row>
    <row r="92" spans="2:7" ht="18" customHeight="1">
      <c r="B92" s="437" t="str">
        <f>Analisa!B1473</f>
        <v>A.4.1.2.5</v>
      </c>
      <c r="C92" s="438" t="str">
        <f>Analisa!C1473</f>
        <v>Pembuatan 1 m2 bekisting untuk plat beton pracetak ( 5 kali pakai)</v>
      </c>
      <c r="D92" s="439">
        <f>Analisa!$H$1491</f>
        <v>412606.43</v>
      </c>
      <c r="F92" s="440"/>
      <c r="G92" s="441"/>
    </row>
    <row r="93" spans="2:7" ht="18" customHeight="1">
      <c r="B93" s="437" t="str">
        <f>Analisa!B1493</f>
        <v>A.4.1.2.6</v>
      </c>
      <c r="C93" s="438" t="str">
        <f>Analisa!C1493</f>
        <v>Pembuatan 1 m2 bekisting untuk balok beton pracetak ( 10-12 kali pakai)</v>
      </c>
      <c r="D93" s="439">
        <f>Analisa!$H$1509</f>
        <v>72271.7</v>
      </c>
      <c r="F93" s="440"/>
      <c r="G93" s="441"/>
    </row>
    <row r="94" spans="2:7" ht="18" customHeight="1">
      <c r="B94" s="437" t="str">
        <f>Analisa!B1511</f>
        <v>A.4.1.2.7</v>
      </c>
      <c r="C94" s="438" t="str">
        <f>Analisa!C1511</f>
        <v>Pembuatan 1 m2 bekisting untuk kolom beton pracetak (10-12 kali pakai)</v>
      </c>
      <c r="D94" s="439">
        <f>Analisa!$H$1528</f>
        <v>68167</v>
      </c>
      <c r="F94" s="440"/>
      <c r="G94" s="441"/>
    </row>
    <row r="95" spans="2:7" ht="18" customHeight="1">
      <c r="B95" s="437" t="str">
        <f>Analisa!B1530</f>
        <v>A.4.1.2.8</v>
      </c>
      <c r="C95" s="438" t="str">
        <f>Analisa!C1530</f>
        <v xml:space="preserve"> Pemasangan dan membuka bekisting 1 buah komponen plat beton pracetak</v>
      </c>
      <c r="D95" s="439">
        <f>Analisa!$H$1541</f>
        <v>14307.15</v>
      </c>
      <c r="F95" s="440"/>
      <c r="G95" s="441"/>
    </row>
    <row r="96" spans="2:7" ht="18" customHeight="1">
      <c r="B96" s="437" t="str">
        <f>Analisa!B1543</f>
        <v>A.4.1.2.9</v>
      </c>
      <c r="C96" s="438" t="str">
        <f>Analisa!C1543</f>
        <v xml:space="preserve"> Pemasangan dan membuka bekisting 1 buah komponen balok beton pracetak</v>
      </c>
      <c r="D96" s="439">
        <f>Analisa!$H$1554</f>
        <v>23097.75</v>
      </c>
      <c r="F96" s="440"/>
      <c r="G96" s="441"/>
    </row>
    <row r="97" spans="1:12" ht="18" customHeight="1">
      <c r="B97" s="437" t="str">
        <f>Analisa!B1556</f>
        <v>A.4.1.2.10</v>
      </c>
      <c r="C97" s="438" t="str">
        <f>Analisa!C1556</f>
        <v>Pemasangan dan membuka bekisting 1 buah komponen Kolom beton pracetak</v>
      </c>
      <c r="D97" s="439">
        <f>Analisa!$H$1567</f>
        <v>18702.45</v>
      </c>
      <c r="F97" s="440"/>
      <c r="G97" s="441"/>
    </row>
    <row r="98" spans="1:12" ht="18" customHeight="1">
      <c r="B98" s="437" t="str">
        <f>Analisa!B1569</f>
        <v>A.4.1.2.11</v>
      </c>
      <c r="C98" s="438" t="str">
        <f>Analisa!C1569</f>
        <v xml:space="preserve"> Penuangan/menebar beton untuk 1 buah komponen plat pracetak</v>
      </c>
      <c r="D98" s="439">
        <f>Analisa!$H$1582</f>
        <v>119311.35</v>
      </c>
      <c r="F98" s="440"/>
      <c r="G98" s="441"/>
    </row>
    <row r="99" spans="1:12" ht="18" customHeight="1">
      <c r="B99" s="437" t="str">
        <f>Analisa!B1584</f>
        <v>A.4.1.2.12</v>
      </c>
      <c r="C99" s="438" t="str">
        <f>Analisa!C1584</f>
        <v>Penuangan/menebar beton untuk 1 buah komponen balok pracetak</v>
      </c>
      <c r="D99" s="439">
        <f>Analisa!$H$1597</f>
        <v>122722.25</v>
      </c>
      <c r="F99" s="440"/>
      <c r="G99" s="441"/>
    </row>
    <row r="100" spans="1:12" ht="18" customHeight="1">
      <c r="B100" s="437" t="str">
        <f>Analisa!B1599</f>
        <v>A.4.1.2.13</v>
      </c>
      <c r="C100" s="438" t="str">
        <f>Analisa!C1599</f>
        <v>Penuangan/menebar beton untuk 1 buah komponen kolom pracetak</v>
      </c>
      <c r="D100" s="439">
        <f>Analisa!$H$1612</f>
        <v>110561</v>
      </c>
      <c r="F100" s="440"/>
      <c r="G100" s="441"/>
    </row>
    <row r="101" spans="1:12" ht="18" customHeight="1">
      <c r="B101" s="437" t="str">
        <f>Analisa!B1614</f>
        <v>A.4.1.2.14</v>
      </c>
      <c r="C101" s="438" t="str">
        <f>Analisa!C1614</f>
        <v xml:space="preserve"> Mendirikan 1 buah komponen plat pracetak</v>
      </c>
      <c r="D101" s="439">
        <f>Analisa!$H$1633</f>
        <v>302661.59999999998</v>
      </c>
      <c r="F101" s="440"/>
      <c r="G101" s="441"/>
    </row>
    <row r="102" spans="1:12" ht="18" customHeight="1">
      <c r="B102" s="437" t="str">
        <f>Analisa!B1650</f>
        <v>A.4.1.2.15</v>
      </c>
      <c r="C102" s="438" t="str">
        <f>Analisa!C1650</f>
        <v>Mendirikan 1 buah komponen balok pracetak</v>
      </c>
      <c r="D102" s="439" t="e">
        <f>Analisa!$H$1671</f>
        <v>#REF!</v>
      </c>
      <c r="F102" s="440"/>
      <c r="G102" s="441"/>
    </row>
    <row r="103" spans="1:12" ht="18" customHeight="1">
      <c r="B103" s="437" t="str">
        <f>Analisa!B1673</f>
        <v>A.4.1.2.16</v>
      </c>
      <c r="C103" s="438" t="str">
        <f>Analisa!C1673</f>
        <v>Mendirikan 1 buah komponen kolom pracetak</v>
      </c>
      <c r="D103" s="439">
        <f>Analisa!$H$1694</f>
        <v>431886.18</v>
      </c>
      <c r="F103" s="440"/>
      <c r="G103" s="441"/>
    </row>
    <row r="104" spans="1:12" ht="18" customHeight="1">
      <c r="B104" s="437" t="str">
        <f>Analisa!B1696</f>
        <v>A.4.1.2.17</v>
      </c>
      <c r="C104" s="438" t="str">
        <f>Analisa!C1696</f>
        <v>Melangsir 1 buah komponen plat pracetak ( ± 20 m)</v>
      </c>
      <c r="D104" s="439">
        <f>Analisa!$H$1713</f>
        <v>60182.55</v>
      </c>
      <c r="F104" s="440"/>
      <c r="G104" s="441"/>
    </row>
    <row r="105" spans="1:12" ht="18" customHeight="1">
      <c r="B105" s="437" t="str">
        <f>Analisa!B1715</f>
        <v>A.4.1.2.18</v>
      </c>
      <c r="C105" s="438" t="str">
        <f>Analisa!C1715</f>
        <v>Melangsir 1 buah komponen balok pracetak ( ± 20 m)</v>
      </c>
      <c r="D105" s="439">
        <f>Analisa!$H$1732</f>
        <v>53449.95</v>
      </c>
      <c r="F105" s="440"/>
      <c r="G105" s="441"/>
    </row>
    <row r="106" spans="1:12" ht="18" customHeight="1">
      <c r="B106" s="437" t="str">
        <f>Analisa!B1734</f>
        <v>A.4.1.2.19</v>
      </c>
      <c r="C106" s="438" t="str">
        <f>Analisa!C1734</f>
        <v>Melangsir 1 buah komponen kolom pracetak ( ± 20 m)</v>
      </c>
      <c r="D106" s="439">
        <f>Analisa!$H$1751</f>
        <v>77072.53</v>
      </c>
      <c r="F106" s="440"/>
      <c r="G106" s="441"/>
    </row>
    <row r="107" spans="1:12" ht="18" customHeight="1">
      <c r="B107" s="437" t="str">
        <f>Analisa!B1753</f>
        <v>A.4.1.2.20</v>
      </c>
      <c r="C107" s="438" t="str">
        <f>Analisa!C1753</f>
        <v>Bahan 1 m3 grouting campuran</v>
      </c>
      <c r="D107" s="439">
        <f>Analisa!$H$1764</f>
        <v>10663720</v>
      </c>
      <c r="F107" s="440"/>
      <c r="G107" s="441"/>
    </row>
    <row r="108" spans="1:12" ht="18" customHeight="1">
      <c r="B108" s="437" t="str">
        <f>Analisa!B1766</f>
        <v>A.4.1.2.21</v>
      </c>
      <c r="C108" s="438" t="str">
        <f>Analisa!C1766</f>
        <v xml:space="preserve"> Bahan 1 m3 grouting tidak campuran</v>
      </c>
      <c r="D108" s="439">
        <f>Analisa!$H$1776</f>
        <v>30886.01</v>
      </c>
      <c r="F108" s="440"/>
      <c r="G108" s="441"/>
    </row>
    <row r="109" spans="1:12" ht="18" customHeight="1">
      <c r="B109" s="437" t="str">
        <f>Analisa!B1778</f>
        <v>A.4.1.2.22</v>
      </c>
      <c r="C109" s="438" t="str">
        <f>Analisa!C1778</f>
        <v xml:space="preserve"> Upah melakukan 1 titik grouting pada join pracetak</v>
      </c>
      <c r="D109" s="439">
        <f>Analisa!$H$1789</f>
        <v>108921.1</v>
      </c>
      <c r="F109" s="440"/>
      <c r="G109" s="441"/>
    </row>
    <row r="110" spans="1:12" ht="18" customHeight="1">
      <c r="B110" s="437" t="str">
        <f>Analisa!B1791</f>
        <v>A.4.1.2.23</v>
      </c>
      <c r="C110" s="438" t="str">
        <f>Analisa!C1791</f>
        <v xml:space="preserve">  Pemasangan 1 titik Bekisting join pracetak</v>
      </c>
      <c r="D110" s="439">
        <f>Analisa!$H$1806</f>
        <v>183609.7</v>
      </c>
      <c r="F110" s="440"/>
      <c r="G110" s="441"/>
    </row>
    <row r="111" spans="1:12" ht="18" customHeight="1">
      <c r="B111" s="437" t="str">
        <f>Analisa!B1808</f>
        <v>A.4.1.2.24</v>
      </c>
      <c r="C111" s="438" t="str">
        <f>Analisa!C1808</f>
        <v xml:space="preserve"> Upah 1 titik Join dengan Sling</v>
      </c>
      <c r="D111" s="439">
        <f>Analisa!$H$1820</f>
        <v>135418.25</v>
      </c>
      <c r="F111" s="440"/>
      <c r="G111" s="441"/>
    </row>
    <row r="112" spans="1:12" ht="18" customHeight="1">
      <c r="A112" s="845"/>
      <c r="B112" s="846"/>
      <c r="C112" s="847"/>
      <c r="D112" s="848"/>
      <c r="E112" s="845"/>
      <c r="F112" s="849"/>
      <c r="G112" s="850"/>
      <c r="H112" s="845"/>
      <c r="I112" s="851"/>
      <c r="J112" s="845"/>
      <c r="K112" s="845"/>
      <c r="L112" s="845"/>
    </row>
    <row r="113" spans="2:9" ht="18" customHeight="1">
      <c r="B113" s="453" t="str">
        <f>Analisa!B1822</f>
        <v>A.4.2.1</v>
      </c>
      <c r="C113" s="454" t="str">
        <f>Analisa!C1822</f>
        <v xml:space="preserve">HARGA SATUAN PEKERJAAN BESI DAN ALUMUNIUM </v>
      </c>
      <c r="D113" s="442"/>
      <c r="F113" s="440"/>
      <c r="G113" s="441"/>
    </row>
    <row r="114" spans="2:9" ht="18" customHeight="1">
      <c r="B114" s="717" t="str">
        <f>Analisa!B1823</f>
        <v>A.4.2.1.1</v>
      </c>
      <c r="C114" s="718" t="str">
        <f>Analisa!C1823</f>
        <v>Pemasangan 1 kg besi profil</v>
      </c>
      <c r="D114" s="719">
        <f>Analisa!$H$1836</f>
        <v>50105.5</v>
      </c>
      <c r="E114" s="441">
        <f>Analisa!M1836</f>
        <v>40921.910000000003</v>
      </c>
      <c r="F114" s="440"/>
      <c r="G114" s="441"/>
    </row>
    <row r="115" spans="2:9" ht="18" customHeight="1">
      <c r="B115" s="437" t="str">
        <f>Analisa!B1838</f>
        <v>A.4.2.1.2</v>
      </c>
      <c r="C115" s="438" t="str">
        <f>Analisa!C1838</f>
        <v>Pemasangan 1 kg rangka kuda-kuda baja IWF</v>
      </c>
      <c r="D115" s="439">
        <f>Analisa!$H$1851</f>
        <v>61479</v>
      </c>
      <c r="F115" s="440"/>
      <c r="G115" s="441"/>
    </row>
    <row r="116" spans="2:9" ht="18" customHeight="1">
      <c r="B116" s="437" t="str">
        <f>Analisa!B1853</f>
        <v>A.4.2.1.3</v>
      </c>
      <c r="C116" s="438" t="str">
        <f>Analisa!C1853</f>
        <v>Pengerjaan 100 kg pekerjaan perakitan</v>
      </c>
      <c r="D116" s="439">
        <f>Analisa!$H$1867</f>
        <v>73278</v>
      </c>
      <c r="F116" s="440"/>
      <c r="G116" s="441"/>
    </row>
    <row r="117" spans="2:9" ht="18" customHeight="1">
      <c r="B117" s="717" t="str">
        <f>Analisa!B1869</f>
        <v>A.4.2.1.4</v>
      </c>
      <c r="C117" s="718" t="str">
        <f>Analisa!C1869</f>
        <v>Pembuatan 1 m2 pintu besi plat baja tebal 2 mm rangkap rangka baja siku</v>
      </c>
      <c r="D117" s="719">
        <f>Analisa!$H$1884</f>
        <v>1328807.3500000001</v>
      </c>
      <c r="E117" s="441">
        <f>Analisa!M1884</f>
        <v>983027.28</v>
      </c>
      <c r="F117" s="440"/>
      <c r="G117" s="441"/>
      <c r="I117" s="455"/>
    </row>
    <row r="118" spans="2:9" ht="18" customHeight="1">
      <c r="B118" s="437" t="str">
        <f>Analisa!B1886</f>
        <v>A.4.2.1.5</v>
      </c>
      <c r="C118" s="438" t="str">
        <f>Analisa!C1886</f>
        <v>Pengerjaan 10 cm pengelasan dengan las listrik</v>
      </c>
      <c r="D118" s="439">
        <f>Analisa!$H$1906</f>
        <v>5671.9380000000001</v>
      </c>
      <c r="F118" s="440"/>
      <c r="G118" s="441"/>
    </row>
    <row r="119" spans="2:9" ht="18" customHeight="1">
      <c r="B119" s="437" t="str">
        <f>Analisa!B1908</f>
        <v>A.4.2.1.6</v>
      </c>
      <c r="C119" s="438" t="str">
        <f>Analisa!C1908</f>
        <v>Pembuatan 1 m2  rangka jendela besi scuare tube (25 x 5) cm</v>
      </c>
      <c r="D119" s="439">
        <f>Analisa!$H$1923</f>
        <v>1326659.57</v>
      </c>
      <c r="F119" s="440"/>
      <c r="G119" s="441"/>
    </row>
    <row r="120" spans="2:9" ht="18" customHeight="1">
      <c r="B120" s="717" t="str">
        <f>Analisa!B1925</f>
        <v>A.4.2.1.7</v>
      </c>
      <c r="C120" s="718" t="str">
        <f>Analisa!C1925</f>
        <v>Pemasangan 1 m2  pintu rolling door besi</v>
      </c>
      <c r="D120" s="719">
        <f>Analisa!$H$1938</f>
        <v>1248037.5</v>
      </c>
      <c r="F120" s="440"/>
      <c r="G120" s="441"/>
    </row>
    <row r="121" spans="2:9" ht="18" customHeight="1">
      <c r="B121" s="437" t="str">
        <f>Analisa!B1940</f>
        <v>A.4.2.1.8</v>
      </c>
      <c r="C121" s="438" t="str">
        <f>Analisa!C1940</f>
        <v xml:space="preserve">Pemasangan 1 m2  pintu lipat (folding door) </v>
      </c>
      <c r="D121" s="439">
        <f>Analisa!$H$1953</f>
        <v>1481591</v>
      </c>
      <c r="F121" s="440"/>
      <c r="G121" s="441"/>
    </row>
    <row r="122" spans="2:9" ht="18" customHeight="1">
      <c r="B122" s="437" t="str">
        <f>Analisa!B1955</f>
        <v>A.4.2.1.9</v>
      </c>
      <c r="C122" s="438" t="str">
        <f>Analisa!C1955</f>
        <v>Pemasangan 1 m2  sunscreen jalusi alluminium</v>
      </c>
      <c r="D122" s="439">
        <f>Analisa!$H$1968</f>
        <v>640032.5</v>
      </c>
      <c r="F122" s="440"/>
      <c r="G122" s="441"/>
    </row>
    <row r="123" spans="2:9" ht="18" customHeight="1">
      <c r="B123" s="437" t="str">
        <f>Analisa!B1970</f>
        <v>A.4.2.1.10</v>
      </c>
      <c r="C123" s="438" t="str">
        <f>Analisa!C1970</f>
        <v>Pemasangan 1 m2  rolling door alluminium</v>
      </c>
      <c r="D123" s="439">
        <f>Analisa!$H$1983</f>
        <v>1237342.5</v>
      </c>
      <c r="F123" s="440"/>
      <c r="G123" s="441"/>
    </row>
    <row r="124" spans="2:9" ht="18" customHeight="1">
      <c r="B124" s="437" t="str">
        <f>Analisa!B1985</f>
        <v>A.4.2.1.11</v>
      </c>
      <c r="C124" s="438" t="str">
        <f>Analisa!C1985</f>
        <v>Pemasangan 1 m kusen pintu alluminium 4 inch warna</v>
      </c>
      <c r="D124" s="439">
        <f>Analisa!$H$2000</f>
        <v>173247.62</v>
      </c>
      <c r="F124" s="440"/>
      <c r="G124" s="441"/>
    </row>
    <row r="125" spans="2:9" ht="18" customHeight="1">
      <c r="B125" s="437" t="str">
        <f>Analisa!B2002</f>
        <v>A.4.2.1.11 A</v>
      </c>
      <c r="C125" s="438" t="str">
        <f>Analisa!C2002</f>
        <v>Pemasangan 1 m kusen pintu alluminium 4 inch Silver</v>
      </c>
      <c r="D125" s="439">
        <f>Analisa!$H$2017</f>
        <v>159699.47</v>
      </c>
      <c r="F125" s="440"/>
      <c r="G125" s="441"/>
    </row>
    <row r="126" spans="2:9" ht="18" customHeight="1">
      <c r="B126" s="437" t="str">
        <f>Analisa!B2019</f>
        <v>A.4.2.1.11 B</v>
      </c>
      <c r="C126" s="438" t="str">
        <f>Analisa!C2019</f>
        <v>Pemasangan 1 m kusen pintu alluminium 3 inch warna</v>
      </c>
      <c r="D126" s="439">
        <f>Analisa!$H$2034</f>
        <v>159699.47</v>
      </c>
      <c r="F126" s="440"/>
      <c r="G126" s="441"/>
    </row>
    <row r="127" spans="2:9" ht="18" customHeight="1">
      <c r="B127" s="437" t="str">
        <f>Analisa!B2036</f>
        <v>A.4.2.1.11 C</v>
      </c>
      <c r="C127" s="438" t="str">
        <f>Analisa!C2036</f>
        <v>Pemasangan 1 m kusen pintu alluminium 3 inch Silver</v>
      </c>
      <c r="D127" s="439">
        <f>Analisa!$H$2051</f>
        <v>146151.32</v>
      </c>
      <c r="F127" s="440"/>
      <c r="G127" s="441"/>
    </row>
    <row r="128" spans="2:9" ht="18" customHeight="1">
      <c r="B128" s="437" t="str">
        <f>Analisa!B2053</f>
        <v>A.4.2.1.12</v>
      </c>
      <c r="C128" s="438" t="str">
        <f>Analisa!C2053</f>
        <v>Pemasangan 1 m2  pintu alluminium strip</v>
      </c>
      <c r="D128" s="439">
        <f>Analisa!$H$2067</f>
        <v>986728.64</v>
      </c>
      <c r="F128" s="440"/>
      <c r="G128" s="441"/>
    </row>
    <row r="129" spans="2:7" ht="18" customHeight="1">
      <c r="B129" s="437" t="str">
        <f>Analisa!B2069</f>
        <v>A.4.2.1.13</v>
      </c>
      <c r="C129" s="438" t="str">
        <f>Analisa!C2069</f>
        <v>Pemasangan 1 m2  pintu kaca rangka alluminium</v>
      </c>
      <c r="D129" s="439">
        <f>Analisa!$H$2084</f>
        <v>807292.76</v>
      </c>
      <c r="F129" s="440"/>
      <c r="G129" s="441"/>
    </row>
    <row r="130" spans="2:7" ht="18" customHeight="1">
      <c r="B130" s="437" t="str">
        <f>Analisa!B2086</f>
        <v>A.4.2.1.14</v>
      </c>
      <c r="C130" s="438" t="str">
        <f>Analisa!C2086</f>
        <v xml:space="preserve">Pemasangan 1 m2 Venetions blinds </v>
      </c>
      <c r="D130" s="439">
        <f>Analisa!$H$2099</f>
        <v>365498.75</v>
      </c>
      <c r="F130" s="440"/>
      <c r="G130" s="441"/>
    </row>
    <row r="131" spans="2:7" ht="18" customHeight="1">
      <c r="B131" s="437" t="str">
        <f>Analisa!B2101</f>
        <v>A.4.2.1.14 B</v>
      </c>
      <c r="C131" s="438" t="str">
        <f>Analisa!C2101</f>
        <v>Pemasangan 1 m2 Vertical blinds</v>
      </c>
      <c r="D131" s="439">
        <f>Analisa!$H$2114</f>
        <v>334707.5</v>
      </c>
      <c r="F131" s="440"/>
      <c r="G131" s="441"/>
    </row>
    <row r="132" spans="2:7" ht="18" customHeight="1">
      <c r="B132" s="437" t="str">
        <f>Analisa!B2116</f>
        <v>A.4.2.1.15</v>
      </c>
      <c r="C132" s="438" t="str">
        <f>Analisa!C2116</f>
        <v>Pemasangan 1 m2  terali besi strip (2 x 3) mm</v>
      </c>
      <c r="D132" s="439">
        <f>Analisa!$H$2130</f>
        <v>982491.36</v>
      </c>
      <c r="F132" s="440"/>
      <c r="G132" s="441"/>
    </row>
    <row r="133" spans="2:7" ht="18" customHeight="1">
      <c r="B133" s="437" t="str">
        <f>Analisa!B2132</f>
        <v>A.4.2.1.16</v>
      </c>
      <c r="C133" s="438" t="str">
        <f>Analisa!C2132</f>
        <v>Pemasangan 1 m2  kawat nyamuk</v>
      </c>
      <c r="D133" s="439">
        <f>Analisa!$H$2147</f>
        <v>747193.4</v>
      </c>
      <c r="F133" s="440"/>
      <c r="G133" s="441"/>
    </row>
    <row r="134" spans="2:7" ht="18" customHeight="1">
      <c r="B134" s="437" t="str">
        <f>Analisa!B2149</f>
        <v>A.4.2.1.17</v>
      </c>
      <c r="C134" s="438" t="str">
        <f>Analisa!C2149</f>
        <v>Pemasangan 1 m2  jendela nako &amp; tralis</v>
      </c>
      <c r="D134" s="439">
        <f>Analisa!$H$2164</f>
        <v>397091.95</v>
      </c>
      <c r="F134" s="440"/>
      <c r="G134" s="441"/>
    </row>
    <row r="135" spans="2:7" ht="18" customHeight="1">
      <c r="B135" s="447" t="str">
        <f>Analisa!B2166</f>
        <v>A.4.2.1.18</v>
      </c>
      <c r="C135" s="448" t="str">
        <f>Analisa!C2166</f>
        <v>Pemasangan 1 m’ talang datar/ jurai seng bjls 28 lebar 90 cm</v>
      </c>
      <c r="D135" s="449">
        <f>Analisa!$H$2181</f>
        <v>338920.44</v>
      </c>
      <c r="F135" s="440"/>
      <c r="G135" s="441"/>
    </row>
    <row r="136" spans="2:7" ht="18" customHeight="1">
      <c r="B136" s="450" t="str">
        <f>Analisa!B2183</f>
        <v>A.4.2.1.19</v>
      </c>
      <c r="C136" s="451" t="str">
        <f>Analisa!C2183</f>
        <v>Pemasangan 1 m talang ½ lingkaran D-15 cm. seng plat bjls 30 lebar 45 cm</v>
      </c>
      <c r="D136" s="452">
        <f>Analisa!$H$2198</f>
        <v>228929.02</v>
      </c>
      <c r="F136" s="440"/>
      <c r="G136" s="441"/>
    </row>
    <row r="137" spans="2:7" ht="18" customHeight="1">
      <c r="B137" s="437" t="str">
        <f>Analisa!B2200</f>
        <v>A.4.2.1.20</v>
      </c>
      <c r="C137" s="445" t="str">
        <f>Analisa!C2200</f>
        <v>Pemasangan 1 m2 rangka besi hollow 1x40.40.2mm modul 60x120 cm dinding partisi</v>
      </c>
      <c r="D137" s="439">
        <f>Analisa!$H$2214</f>
        <v>365797.75</v>
      </c>
      <c r="F137" s="440"/>
      <c r="G137" s="441"/>
    </row>
    <row r="138" spans="2:7" ht="18" customHeight="1">
      <c r="B138" s="437" t="str">
        <f>Analisa!B2266</f>
        <v>A.4.2.1.21.a</v>
      </c>
      <c r="C138" s="445" t="str">
        <f>Analisa!C2266</f>
        <v>Pemasangan 1 m2 rangka  Aluminium</v>
      </c>
      <c r="D138" s="439">
        <f>Analisa!H2281</f>
        <v>839684</v>
      </c>
      <c r="F138" s="440"/>
      <c r="G138" s="441"/>
    </row>
    <row r="139" spans="2:7" ht="18" customHeight="1">
      <c r="B139" s="437" t="str">
        <f>Analisa!B2249</f>
        <v>A.4.2.1.21.b</v>
      </c>
      <c r="C139" s="445" t="str">
        <f>Analisa!C2249</f>
        <v>Pemasangan 1 m2 rangka plafond besi hollow 1x40.40.2mm modul (60x60) cm</v>
      </c>
      <c r="D139" s="439">
        <f>Analisa!H2264</f>
        <v>452945.9</v>
      </c>
      <c r="F139" s="440"/>
      <c r="G139" s="441"/>
    </row>
    <row r="140" spans="2:7" ht="18" customHeight="1">
      <c r="B140" s="437" t="str">
        <f>Analisa!B2232</f>
        <v>A.4.2.1.21</v>
      </c>
      <c r="C140" s="438" t="str">
        <f>Analisa!C2232</f>
        <v>Pemasangan 1 m2 rangka plafond besi hollow 1x40.40.2mm modul (60x60) cm</v>
      </c>
      <c r="D140" s="439">
        <f>Analisa!$H$2247</f>
        <v>445556</v>
      </c>
      <c r="F140" s="440"/>
      <c r="G140" s="441"/>
    </row>
    <row r="141" spans="2:7" ht="18" customHeight="1">
      <c r="B141" s="437" t="str">
        <f>Analisa!B2283</f>
        <v>A.4.2.1.22 A</v>
      </c>
      <c r="C141" s="445" t="str">
        <f>Analisa!C2283</f>
        <v>Pemasangan 1 m2 atap pelana rangka atap baja canal ringan profil C75 Bahan Atap Seng/Spande/Zincalume</v>
      </c>
      <c r="D141" s="439">
        <f>Analisa!$H$2298</f>
        <v>284531.18</v>
      </c>
      <c r="F141" s="440"/>
      <c r="G141" s="441"/>
    </row>
    <row r="142" spans="2:7" ht="18" customHeight="1">
      <c r="B142" s="437" t="str">
        <f>Analisa!B2300</f>
        <v>A.4.2.1.22 B</v>
      </c>
      <c r="C142" s="438" t="str">
        <f>Analisa!C2300</f>
        <v>Pemasangan 1 m2 atap pelana rangka atap baja canal ringan profil C75 Bahan Atap Genteng</v>
      </c>
      <c r="D142" s="439">
        <f>Analisa!$H$2315</f>
        <v>309863.15000000002</v>
      </c>
      <c r="F142" s="440"/>
      <c r="G142" s="441"/>
    </row>
    <row r="143" spans="2:7" ht="18" customHeight="1">
      <c r="B143" s="437" t="str">
        <f>Analisa!B2317</f>
        <v>A.4.2.1.22 C</v>
      </c>
      <c r="C143" s="445" t="str">
        <f>Analisa!C2317</f>
        <v>Pemasangan 1 m2 atap jurai rangka atap baja canal ringan profil C75 Bahan Atap Seng/Spande/Zincalume</v>
      </c>
      <c r="D143" s="439">
        <f>Analisa!$H$2332</f>
        <v>288928.61</v>
      </c>
      <c r="F143" s="440"/>
      <c r="G143" s="441"/>
    </row>
    <row r="144" spans="2:7" ht="18" customHeight="1">
      <c r="B144" s="437" t="str">
        <f>Analisa!B2334</f>
        <v>A.4.2.1.22 D</v>
      </c>
      <c r="C144" s="438" t="str">
        <f>Analisa!C2334</f>
        <v>Pemasangan 1 m2 atap jurai rangka atap baja canal ringan profil C75 Bahan Atap Genteng</v>
      </c>
      <c r="D144" s="439">
        <f>Analisa!$H$2349</f>
        <v>316012.56</v>
      </c>
      <c r="F144" s="440"/>
      <c r="G144" s="441"/>
    </row>
    <row r="145" spans="2:7" ht="18" customHeight="1">
      <c r="B145" s="437"/>
      <c r="C145" s="438"/>
      <c r="D145" s="439"/>
      <c r="F145" s="440"/>
      <c r="G145" s="441"/>
    </row>
    <row r="146" spans="2:7" ht="18" customHeight="1">
      <c r="B146" s="453" t="str">
        <f>Analisa!B2351</f>
        <v>A.4.4.1</v>
      </c>
      <c r="C146" s="454" t="str">
        <f>Analisa!C2351</f>
        <v>HARGA SATUAN PEKERJAAN PASANGAN DINDING</v>
      </c>
      <c r="D146" s="442"/>
      <c r="F146" s="440"/>
      <c r="G146" s="441"/>
    </row>
    <row r="147" spans="2:7" ht="18" customHeight="1">
      <c r="B147" s="437" t="str">
        <f>Analisa!B2352</f>
        <v>A. 4.4.1.1</v>
      </c>
      <c r="C147" s="438" t="str">
        <f>Analisa!C2352</f>
        <v>Pemasangan 1m2 dinding bata merah (5x11x22) cm tebal 1 batu campuran 1SP :2PP</v>
      </c>
      <c r="D147" s="439">
        <f>Analisa!$H$2367</f>
        <v>352750.47</v>
      </c>
      <c r="F147" s="440"/>
      <c r="G147" s="441"/>
    </row>
    <row r="148" spans="2:7" ht="18" customHeight="1">
      <c r="B148" s="437" t="str">
        <f>Analisa!B2369</f>
        <v>A. 4.4.1.2</v>
      </c>
      <c r="C148" s="438" t="str">
        <f>Analisa!C2369</f>
        <v>Pemasangan 1m2 dinding bata merah (5x11x22) cm tebal 1 batu campuran 1SP :3PP</v>
      </c>
      <c r="D148" s="439">
        <f>Analisa!$H$2384</f>
        <v>336278.84</v>
      </c>
      <c r="F148" s="440"/>
      <c r="G148" s="441"/>
    </row>
    <row r="149" spans="2:7" ht="18" customHeight="1">
      <c r="B149" s="437" t="str">
        <f>Analisa!B2386</f>
        <v>A. 4.4.1.3</v>
      </c>
      <c r="C149" s="438" t="str">
        <f>Analisa!C2386</f>
        <v>Pemasangan 1m2  dinding bata merah (5x11x22) cm tebal 1 batu campuran  1SP :4PP</v>
      </c>
      <c r="D149" s="439">
        <f>Analisa!$H$2401</f>
        <v>325166.31</v>
      </c>
      <c r="F149" s="440"/>
      <c r="G149" s="441"/>
    </row>
    <row r="150" spans="2:7" ht="18" customHeight="1">
      <c r="B150" s="437" t="str">
        <f>Analisa!B2403</f>
        <v>A. 4.4.1.4</v>
      </c>
      <c r="C150" s="438" t="str">
        <f>Analisa!C2403</f>
        <v>Pemasangan 1m2  dinding bata merah (5x11x22) cm tebal 1 batu campuran  1SP :5PP</v>
      </c>
      <c r="D150" s="439">
        <f>Analisa!$H$2418</f>
        <v>319444.96000000002</v>
      </c>
      <c r="F150" s="440"/>
      <c r="G150" s="441"/>
    </row>
    <row r="151" spans="2:7" ht="18" customHeight="1">
      <c r="B151" s="437" t="str">
        <f>Analisa!B2420</f>
        <v>A. 4.4.1.5</v>
      </c>
      <c r="C151" s="438" t="str">
        <f>Analisa!C2420</f>
        <v>Pemasangan 1m2 Dinding Bata Merah (5x11x22) cm tebal 1 batu campuran  1SP :6PP</v>
      </c>
      <c r="D151" s="439">
        <f>Analisa!$H$2436</f>
        <v>317537.98</v>
      </c>
      <c r="F151" s="440"/>
      <c r="G151" s="441"/>
    </row>
    <row r="152" spans="2:7" ht="18" customHeight="1">
      <c r="B152" s="437" t="str">
        <f>Analisa!B2438</f>
        <v>A. 4.4.1.7</v>
      </c>
      <c r="C152" s="438" t="str">
        <f>Analisa!C2438</f>
        <v>Pemasangan 1m2  dinding bata merah (5x11x22) cm tebal ½ batu campuran  1SP :2PP</v>
      </c>
      <c r="D152" s="439">
        <f>Analisa!$H$2453</f>
        <v>170824.27</v>
      </c>
      <c r="F152" s="440"/>
      <c r="G152" s="441"/>
    </row>
    <row r="153" spans="2:7" ht="18" customHeight="1">
      <c r="B153" s="437" t="str">
        <f>Analisa!B2455</f>
        <v>A. 4.4.1.8</v>
      </c>
      <c r="C153" s="438" t="str">
        <f>Analisa!C2455</f>
        <v>Pemasangan 1m2 dinding bata merah (5x11x22) cm tebal ½ batu campuran  1SP :3PP</v>
      </c>
      <c r="D153" s="439">
        <f>Analisa!$H$2470</f>
        <v>163008.21</v>
      </c>
      <c r="F153" s="440"/>
      <c r="G153" s="441"/>
    </row>
    <row r="154" spans="2:7" ht="18" customHeight="1">
      <c r="B154" s="717" t="str">
        <f>Analisa!B2471</f>
        <v>A.4.4.1.9</v>
      </c>
      <c r="C154" s="718" t="str">
        <f>Analisa!C2471</f>
        <v>Pemasangan 1m2 dinding bata merah (5x11x22) cm tebal ½ batu campuran 1SP :4PP</v>
      </c>
      <c r="D154" s="719">
        <f>Analisa!$H$2486</f>
        <v>158529.12</v>
      </c>
      <c r="E154" s="441">
        <f>Analisa!M2486</f>
        <v>157896.82</v>
      </c>
      <c r="F154" s="440"/>
      <c r="G154" s="441"/>
    </row>
    <row r="155" spans="2:7" ht="18" customHeight="1">
      <c r="B155" s="437" t="str">
        <f>Analisa!B2488</f>
        <v>A. 4.4.1.10</v>
      </c>
      <c r="C155" s="438" t="str">
        <f>Analisa!C2488</f>
        <v>Pemasangan 1m2  dinding bata merah (5x11x22)cm tebal ½ batu campuran   1SP:5PP</v>
      </c>
      <c r="D155" s="439">
        <f>Analisa!$H$2503</f>
        <v>155712.10999999999</v>
      </c>
      <c r="F155" s="440"/>
      <c r="G155" s="441"/>
    </row>
    <row r="156" spans="2:7" ht="18" customHeight="1">
      <c r="B156" s="437" t="str">
        <f>Analisa!B2505</f>
        <v>A. 4.4.1.11</v>
      </c>
      <c r="C156" s="438" t="str">
        <f>Analisa!C2505</f>
        <v>Pemasangan 1m2  dinding bata merah (5x11x22)cm tebal ½ batu campuran  1SP :6PP</v>
      </c>
      <c r="D156" s="439">
        <f>Analisa!$H$2520</f>
        <v>154207.74</v>
      </c>
      <c r="F156" s="440"/>
      <c r="G156" s="441"/>
    </row>
    <row r="157" spans="2:7" ht="18" customHeight="1">
      <c r="B157" s="437" t="str">
        <f>Analisa!B2522</f>
        <v>A. 4.4.1.16</v>
      </c>
      <c r="C157" s="438" t="str">
        <f>Analisa!C2522</f>
        <v>Pemasangan 1m2 dinding conblock HB20 campuran 1SP : 3PP</v>
      </c>
      <c r="D157" s="439">
        <f>Analisa!$H$2538</f>
        <v>388066.42</v>
      </c>
      <c r="F157" s="440"/>
      <c r="G157" s="441"/>
    </row>
    <row r="158" spans="2:7" ht="18" customHeight="1">
      <c r="B158" s="437" t="str">
        <f>Analisa!B2540</f>
        <v>A. 4.4.1.17</v>
      </c>
      <c r="C158" s="438" t="str">
        <f>Analisa!C2540</f>
        <v>Pemasangan 1m2 dinding conblock HB20 campuran 1SP :4PP</v>
      </c>
      <c r="D158" s="439">
        <f>Analisa!$H$2556</f>
        <v>387638.48</v>
      </c>
      <c r="F158" s="440"/>
      <c r="G158" s="441"/>
    </row>
    <row r="159" spans="2:7" ht="18" customHeight="1">
      <c r="B159" s="437" t="str">
        <f>Analisa!B2600</f>
        <v>A. 4.4.1.18</v>
      </c>
      <c r="C159" s="438" t="str">
        <f>Analisa!C2600</f>
        <v>Pemasangan 1m2 dinding conblock HB15 campuran 1SP :3PP</v>
      </c>
      <c r="D159" s="439">
        <f>Analisa!$H$2616</f>
        <v>312224.02</v>
      </c>
      <c r="F159" s="440"/>
      <c r="G159" s="441"/>
    </row>
    <row r="160" spans="2:7" ht="18" customHeight="1">
      <c r="B160" s="437" t="str">
        <f>Analisa!B2618</f>
        <v>A. 4.4.1.19</v>
      </c>
      <c r="C160" s="438" t="str">
        <f>Analisa!C2618</f>
        <v>Pemasangan 1 m2 dinding conblock HB15 campuran 1SP :4PP</v>
      </c>
      <c r="D160" s="439">
        <f>Analisa!$H$2634</f>
        <v>311672.39</v>
      </c>
      <c r="F160" s="440"/>
      <c r="G160" s="441"/>
    </row>
    <row r="161" spans="2:7" ht="18" customHeight="1">
      <c r="B161" s="437" t="str">
        <f>Analisa!B2637</f>
        <v>A. 4.4.1.20</v>
      </c>
      <c r="C161" s="438" t="str">
        <f>Analisa!C2637</f>
        <v>Pemasangan 1 m2 dinding conblock HB10 campuran 1SP :3PP</v>
      </c>
      <c r="D161" s="439">
        <f>Analisa!$H$2653</f>
        <v>238744.64</v>
      </c>
      <c r="F161" s="440"/>
      <c r="G161" s="441"/>
    </row>
    <row r="162" spans="2:7" ht="18" customHeight="1">
      <c r="B162" s="437" t="str">
        <f>Analisa!B2655</f>
        <v>A. 4.4.1.21</v>
      </c>
      <c r="C162" s="438" t="str">
        <f>Analisa!C2655</f>
        <v>Pemasangan 1 m2 dinding conblock HB10 campuran 1SP :4PP</v>
      </c>
      <c r="D162" s="439">
        <f>Analisa!$H$2671</f>
        <v>239010.13</v>
      </c>
      <c r="F162" s="440"/>
      <c r="G162" s="441"/>
    </row>
    <row r="163" spans="2:7" ht="18" customHeight="1">
      <c r="B163" s="717" t="str">
        <f>Analisa!B2673</f>
        <v>A. 4.4.1.22</v>
      </c>
      <c r="C163" s="718" t="str">
        <f>Analisa!C2673</f>
        <v>Pemasangan 1 m2 dinding terawang (rooster) 20x20x15 campuran 1SP :4PP</v>
      </c>
      <c r="D163" s="719">
        <f>Analisa!$H$2688</f>
        <v>457256.08</v>
      </c>
      <c r="E163" s="441">
        <f>Analisa!M2688</f>
        <v>451530.12</v>
      </c>
      <c r="F163" s="440"/>
      <c r="G163" s="441"/>
    </row>
    <row r="164" spans="2:7" ht="18" customHeight="1">
      <c r="B164" s="437" t="str">
        <f>Analisa!B2690</f>
        <v>A. 4.4.1.22.A</v>
      </c>
      <c r="C164" s="438" t="str">
        <f>Analisa!C2690</f>
        <v>Pemasangan 1 m2 dinding Bata berongga ( Expose ) campuran 1SP :2PP</v>
      </c>
      <c r="D164" s="439">
        <f>Analisa!I2705</f>
        <v>423996.77059999999</v>
      </c>
      <c r="F164" s="440"/>
      <c r="G164" s="441"/>
    </row>
    <row r="165" spans="2:7" ht="18" customHeight="1">
      <c r="B165" s="437" t="str">
        <f>Analisa!B2707</f>
        <v>A. 4.4.1.23</v>
      </c>
      <c r="C165" s="438" t="str">
        <f>Analisa!C2707</f>
        <v>Pemasangan 1 m2 dinding bata ringan tebal 7,5 cm</v>
      </c>
      <c r="D165" s="439">
        <f>Analisa!$H$2721</f>
        <v>350312.88</v>
      </c>
      <c r="F165" s="440"/>
      <c r="G165" s="441"/>
    </row>
    <row r="166" spans="2:7" ht="18" customHeight="1">
      <c r="B166" s="437" t="str">
        <f>Analisa!B2723</f>
        <v>A. 4.4.1.24</v>
      </c>
      <c r="C166" s="438" t="str">
        <f>Analisa!C2723</f>
        <v xml:space="preserve">Pemasangan 1 m2 dinding bata ringan tebal 10 cm </v>
      </c>
      <c r="D166" s="439">
        <f>Analisa!$H$2737</f>
        <v>391595.99</v>
      </c>
      <c r="F166" s="440"/>
      <c r="G166" s="441"/>
    </row>
    <row r="167" spans="2:7" ht="18" customHeight="1">
      <c r="B167" s="437"/>
      <c r="C167" s="438"/>
      <c r="D167" s="442"/>
      <c r="F167" s="440"/>
      <c r="G167" s="441"/>
    </row>
    <row r="168" spans="2:7" ht="18" customHeight="1">
      <c r="B168" s="443" t="str">
        <f>Analisa!B2739</f>
        <v>A.4.4.2</v>
      </c>
      <c r="C168" s="444" t="str">
        <f>Analisa!C2739</f>
        <v>HARGA SATUAN PEKERJAAN PLESTERAN</v>
      </c>
      <c r="D168" s="442"/>
      <c r="F168" s="440"/>
      <c r="G168" s="441"/>
    </row>
    <row r="169" spans="2:7" ht="18" customHeight="1">
      <c r="B169" s="437" t="str">
        <f>Analisa!B2740</f>
        <v>A.4.4.2.1</v>
      </c>
      <c r="C169" s="438" t="str">
        <f>Analisa!C2740</f>
        <v>Pemasangan 1 m2 plesteran 1SP : 1PP tebal 15 mm</v>
      </c>
      <c r="D169" s="439">
        <f>Analisa!$H$2754</f>
        <v>123946.09</v>
      </c>
      <c r="F169" s="440"/>
      <c r="G169" s="441"/>
    </row>
    <row r="170" spans="2:7" ht="18" customHeight="1">
      <c r="B170" s="437" t="str">
        <f>Analisa!B2756</f>
        <v>A.4.4.2.2</v>
      </c>
      <c r="C170" s="438" t="str">
        <f>Analisa!C2756</f>
        <v>Pemasangan 1 m2 plesteran 1SP : 2PP tebal 15 mm</v>
      </c>
      <c r="D170" s="439">
        <f>Analisa!$H$2770</f>
        <v>115341.62</v>
      </c>
      <c r="F170" s="440"/>
      <c r="G170" s="441"/>
    </row>
    <row r="171" spans="2:7" ht="18" customHeight="1">
      <c r="B171" s="437" t="str">
        <f>Analisa!B2772</f>
        <v>A.4.4.2.3</v>
      </c>
      <c r="C171" s="438" t="str">
        <f>Analisa!C2772</f>
        <v>Pemasangan 1 m2 plesteran 1SP : 3PP tebal 15mm</v>
      </c>
      <c r="D171" s="439">
        <f>Analisa!$H$2786</f>
        <v>111626.88</v>
      </c>
      <c r="F171" s="440"/>
      <c r="G171" s="441"/>
    </row>
    <row r="172" spans="2:7" ht="18" customHeight="1">
      <c r="B172" s="717" t="str">
        <f>Analisa!B2788</f>
        <v>A.4.4.2.4</v>
      </c>
      <c r="C172" s="718" t="str">
        <f>Analisa!C2788</f>
        <v>Pemasangan 1 m2 plesteran 1SP : 4PP tebal 15 mm</v>
      </c>
      <c r="D172" s="719">
        <f>Analisa!$H$2802</f>
        <v>109084.53</v>
      </c>
      <c r="E172" s="441">
        <f>Analisa!M2802</f>
        <v>108746.59</v>
      </c>
      <c r="F172" s="440"/>
      <c r="G172" s="441"/>
    </row>
    <row r="173" spans="2:7" ht="18" customHeight="1">
      <c r="B173" s="437" t="str">
        <f>Analisa!B2804</f>
        <v>A.4.4.2.5</v>
      </c>
      <c r="C173" s="438" t="str">
        <f>Analisa!C2804</f>
        <v>Pemasangan 1 m2 plesteran 1SP : 5PP tebal 15 mm</v>
      </c>
      <c r="D173" s="439">
        <f>Analisa!$H$2818</f>
        <v>107651.31</v>
      </c>
      <c r="F173" s="440"/>
      <c r="G173" s="441"/>
    </row>
    <row r="174" spans="2:7" ht="18" customHeight="1">
      <c r="B174" s="437" t="str">
        <f>Analisa!B2820</f>
        <v>A.4.4.2.6</v>
      </c>
      <c r="C174" s="438" t="str">
        <f>Analisa!C2820</f>
        <v>Pemasangan 1 m2 plesteran 1SP : 6PP tebal 15 mm</v>
      </c>
      <c r="D174" s="439">
        <f>Analisa!$H$2834</f>
        <v>106500.01</v>
      </c>
      <c r="F174" s="440"/>
      <c r="G174" s="441"/>
    </row>
    <row r="175" spans="2:7" ht="18" customHeight="1">
      <c r="B175" s="437" t="str">
        <f>Analisa!B2836</f>
        <v>A.4.4.2.7</v>
      </c>
      <c r="C175" s="438" t="str">
        <f>Analisa!C2836</f>
        <v>Pemasangan 1 m2 plesteran 1SP : 7PP tebal 15 mm</v>
      </c>
      <c r="D175" s="439">
        <f>Analisa!$H$2850</f>
        <v>105870.34</v>
      </c>
      <c r="F175" s="440"/>
      <c r="G175" s="441"/>
    </row>
    <row r="176" spans="2:7" ht="18" customHeight="1">
      <c r="B176" s="437" t="str">
        <f>Analisa!B2852</f>
        <v>A.4.4.2.8</v>
      </c>
      <c r="C176" s="438" t="str">
        <f>Analisa!C2852</f>
        <v>Pemasangan 1 m2 plesteran 1SP : 8PP tebal 15 mm</v>
      </c>
      <c r="D176" s="439">
        <f>Analisa!$H$2866</f>
        <v>105240.67</v>
      </c>
      <c r="F176" s="440"/>
      <c r="G176" s="441"/>
    </row>
    <row r="177" spans="2:7" ht="18" customHeight="1">
      <c r="B177" s="437" t="str">
        <f>Analisa!B2868</f>
        <v>A.4.4.2.13</v>
      </c>
      <c r="C177" s="438" t="str">
        <f>Analisa!C2868</f>
        <v>Pemasangan 1 m2 plesteran 1SP: 1PP tebal 20 mm</v>
      </c>
      <c r="D177" s="439">
        <f>Analisa!$H$2882</f>
        <v>154386.23999999999</v>
      </c>
      <c r="F177" s="440"/>
      <c r="G177" s="441"/>
    </row>
    <row r="178" spans="2:7" ht="18" customHeight="1">
      <c r="B178" s="437" t="str">
        <f>Analisa!B2884</f>
        <v>A.4.4.2.14</v>
      </c>
      <c r="C178" s="438" t="str">
        <f>Analisa!C2884</f>
        <v>Pemasangan 1 m2 plesteran 1SP : 3PP tebal 20 mm</v>
      </c>
      <c r="D178" s="439">
        <f>Analisa!$H$2898</f>
        <v>122954.5</v>
      </c>
      <c r="F178" s="440"/>
      <c r="G178" s="441"/>
    </row>
    <row r="179" spans="2:7" ht="18" customHeight="1">
      <c r="B179" s="437" t="str">
        <f>Analisa!B2900</f>
        <v>A.4.4.2.15</v>
      </c>
      <c r="C179" s="438" t="str">
        <f>Analisa!C2900</f>
        <v>Pemasangan 1 m2 plesteran 1SP : 4PP tebal 20 mm</v>
      </c>
      <c r="D179" s="439">
        <f>Analisa!$H$2914</f>
        <v>145963.54</v>
      </c>
      <c r="F179" s="440"/>
      <c r="G179" s="441"/>
    </row>
    <row r="180" spans="2:7" ht="18" customHeight="1">
      <c r="B180" s="437" t="str">
        <f>Analisa!B2916</f>
        <v>A.4.4.2.16</v>
      </c>
      <c r="C180" s="438" t="str">
        <f>Analisa!C2916</f>
        <v>Pemasangan 1 m2 plesteran 1SP : 5PP tebal 20 mm</v>
      </c>
      <c r="D180" s="439">
        <f>Analisa!$H$2930</f>
        <v>144132.5</v>
      </c>
      <c r="F180" s="440"/>
      <c r="G180" s="441"/>
    </row>
    <row r="181" spans="2:7" ht="18" customHeight="1">
      <c r="B181" s="437" t="str">
        <f>Analisa!B2932</f>
        <v>A.4.4.2.17</v>
      </c>
      <c r="C181" s="438" t="str">
        <f>Analisa!C2932</f>
        <v>Pemasangan 1 m2 plesteran 1SP : 6PP tebal 20 mm</v>
      </c>
      <c r="D181" s="439">
        <f>Analisa!$H$2946</f>
        <v>142517.51</v>
      </c>
      <c r="F181" s="440"/>
      <c r="G181" s="441"/>
    </row>
    <row r="182" spans="2:7" ht="18" customHeight="1">
      <c r="B182" s="437" t="str">
        <f>Analisa!B2948</f>
        <v>A.4.4.2.19</v>
      </c>
      <c r="C182" s="438" t="str">
        <f>Analisa!C2948</f>
        <v>Pemasangan 1 m2 berapen 1SP : 5PP tebal 15 mm</v>
      </c>
      <c r="D182" s="439">
        <f>Analisa!$H$2962</f>
        <v>61904.31</v>
      </c>
      <c r="F182" s="440"/>
      <c r="G182" s="441"/>
    </row>
    <row r="183" spans="2:7" ht="18" customHeight="1">
      <c r="B183" s="437" t="str">
        <f>Analisa!B2964</f>
        <v>A.4.4.2.20</v>
      </c>
      <c r="C183" s="438" t="str">
        <f>Analisa!C2964</f>
        <v>Pemasangan 1 m’ plesteran skoning 1SP : 3PP lebar 10 cm</v>
      </c>
      <c r="D183" s="439">
        <f>Analisa!$H$2978</f>
        <v>115917.15</v>
      </c>
      <c r="F183" s="440"/>
      <c r="G183" s="441"/>
    </row>
    <row r="184" spans="2:7" ht="18" customHeight="1">
      <c r="B184" s="437" t="str">
        <f>Analisa!B2980</f>
        <v>A.4.4.2.23</v>
      </c>
      <c r="C184" s="438" t="str">
        <f>Analisa!C2980</f>
        <v>Pemasangan 1 m2 plesteran ciprat 1SP : 2PP</v>
      </c>
      <c r="D184" s="439">
        <f>Analisa!$H$2994</f>
        <v>89159.24</v>
      </c>
      <c r="F184" s="440"/>
      <c r="G184" s="441"/>
    </row>
    <row r="185" spans="2:7" ht="18" customHeight="1">
      <c r="B185" s="437" t="str">
        <f>Analisa!B2996</f>
        <v>A.4.4.2.24</v>
      </c>
      <c r="C185" s="438" t="str">
        <f>Analisa!C2996</f>
        <v>Pemasangan 1 m2 finishing siar pasangan bata merah</v>
      </c>
      <c r="D185" s="439">
        <f>Analisa!$H$3009</f>
        <v>51911.12</v>
      </c>
      <c r="F185" s="440"/>
      <c r="G185" s="441"/>
    </row>
    <row r="186" spans="2:7" ht="18" customHeight="1">
      <c r="B186" s="437" t="str">
        <f>Analisa!B3011</f>
        <v>A.4.4.2.25</v>
      </c>
      <c r="C186" s="438" t="str">
        <f>Analisa!C3011</f>
        <v>Pemasangan 1 m2 finishing siar pasangan conblock ekspose</v>
      </c>
      <c r="D186" s="439">
        <f>Analisa!$H$3024</f>
        <v>24638.75</v>
      </c>
      <c r="F186" s="440"/>
      <c r="G186" s="441"/>
    </row>
    <row r="187" spans="2:7" ht="18" customHeight="1">
      <c r="B187" s="437" t="str">
        <f>Analisa!B3026</f>
        <v>A.4.4.2.26</v>
      </c>
      <c r="C187" s="438" t="str">
        <f>Analisa!C3026</f>
        <v>Pemasangan 1 m2 finishing siar pasangan batu kali. campuran 1SP : 2PP</v>
      </c>
      <c r="D187" s="439">
        <f>Analisa!$H$3040</f>
        <v>106388.86</v>
      </c>
      <c r="F187" s="440"/>
      <c r="G187" s="441"/>
    </row>
    <row r="188" spans="2:7" ht="18" customHeight="1">
      <c r="B188" s="437" t="str">
        <f>Analisa!B3042</f>
        <v>A.4.4.2.27</v>
      </c>
      <c r="C188" s="438" t="str">
        <f>Analisa!C3042</f>
        <v>Pemasangan 1 m2 acian</v>
      </c>
      <c r="D188" s="439">
        <f>Analisa!$H$3055</f>
        <v>67239.06</v>
      </c>
      <c r="F188" s="440"/>
      <c r="G188" s="441"/>
    </row>
    <row r="189" spans="2:7" ht="18" customHeight="1">
      <c r="B189" s="437" t="str">
        <f>Analisa!$B$3057</f>
        <v>A.4.4.2.27 A</v>
      </c>
      <c r="C189" s="438" t="str">
        <f>Analisa!$C$3057</f>
        <v>Pemasangan 1 m2 Waterpforing lantai</v>
      </c>
      <c r="D189" s="439">
        <f>Analisa!$H$3071</f>
        <v>105048.65</v>
      </c>
      <c r="F189" s="440"/>
      <c r="G189" s="441"/>
    </row>
    <row r="190" spans="2:7" ht="18" customHeight="1">
      <c r="B190" s="437"/>
      <c r="C190" s="438"/>
      <c r="D190" s="439"/>
      <c r="F190" s="440"/>
      <c r="G190" s="441"/>
    </row>
    <row r="191" spans="2:7" ht="18" customHeight="1">
      <c r="B191" s="453" t="str">
        <f>Analisa!B3072</f>
        <v>A.4.4.3</v>
      </c>
      <c r="C191" s="454" t="str">
        <f>Analisa!C3072</f>
        <v>HARGA SATUAN PEKERJAAN PENUTUP LANTAI DAN PENUTUP DINDING</v>
      </c>
      <c r="D191" s="456"/>
      <c r="F191" s="440"/>
      <c r="G191" s="441"/>
    </row>
    <row r="192" spans="2:7" ht="18" customHeight="1">
      <c r="B192" s="717" t="str">
        <f>Analisa!B3073</f>
        <v>A.4.4.3.1</v>
      </c>
      <c r="C192" s="718" t="str">
        <f>Analisa!C3073</f>
        <v>Pemasangan 1m2 lantai keramik polos ukuran 40cm x40cm</v>
      </c>
      <c r="D192" s="719">
        <f>Analisa!$H$3088</f>
        <v>162243.54</v>
      </c>
      <c r="E192" s="441">
        <f>Analisa!M3088</f>
        <v>140741.70000000001</v>
      </c>
      <c r="F192" s="440"/>
      <c r="G192" s="441"/>
    </row>
    <row r="193" spans="2:8" ht="18" customHeight="1">
      <c r="B193" s="437" t="str">
        <f>Analisa!B3090</f>
        <v>A.4.4.3.2</v>
      </c>
      <c r="C193" s="438" t="str">
        <f>Analisa!C3090</f>
        <v>Pemasangan 1m2 lantai ubin PC abu-abu ukuran 30cm x30 cm</v>
      </c>
      <c r="D193" s="439">
        <f>Analisa!$H$3105</f>
        <v>164337.20000000001</v>
      </c>
      <c r="F193" s="440"/>
      <c r="G193" s="441"/>
    </row>
    <row r="194" spans="2:8" ht="18" customHeight="1">
      <c r="B194" s="437" t="str">
        <f>Analisa!B3107</f>
        <v>A.4.4.3.3</v>
      </c>
      <c r="C194" s="438" t="str">
        <f>Analisa!C3107</f>
        <v>Pemasangan 1m2 lantai ubin PC abu-abu ukuran 20cm x20 cm</v>
      </c>
      <c r="D194" s="439">
        <f>Analisa!$H$3122</f>
        <v>177995.66</v>
      </c>
      <c r="F194" s="440"/>
      <c r="G194" s="441"/>
    </row>
    <row r="195" spans="2:8" ht="18" customHeight="1">
      <c r="B195" s="437" t="str">
        <f>Analisa!B3124</f>
        <v>A.4.4.3.4</v>
      </c>
      <c r="C195" s="438" t="str">
        <f>Analisa!C3124</f>
        <v>Pemasangan 1m2 lantai ubin warna ukuran 40cm x40 cm</v>
      </c>
      <c r="D195" s="439">
        <f>Analisa!$H$3140</f>
        <v>182040.21</v>
      </c>
      <c r="F195" s="440"/>
      <c r="G195" s="441"/>
    </row>
    <row r="196" spans="2:8" ht="18" customHeight="1">
      <c r="B196" s="437" t="str">
        <f>Analisa!B3142</f>
        <v>A.4.4.3.5</v>
      </c>
      <c r="C196" s="438" t="str">
        <f>Analisa!C3142</f>
        <v>Pemasangan 1m2 lantai ubin warna ukuran 30cm x30cm</v>
      </c>
      <c r="D196" s="439">
        <f>Analisa!$H$3158</f>
        <v>171881.2</v>
      </c>
      <c r="F196" s="440"/>
      <c r="G196" s="441"/>
    </row>
    <row r="197" spans="2:8" ht="18" customHeight="1">
      <c r="B197" s="437" t="str">
        <f>Analisa!B3160</f>
        <v>A.4.4.3.6</v>
      </c>
      <c r="C197" s="438" t="str">
        <f>Analisa!C3160</f>
        <v>Pemasangan 1m2 lantai ubin warna ukuran 20cm x20cm</v>
      </c>
      <c r="D197" s="439">
        <f>Analisa!$H$3176</f>
        <v>215757.64</v>
      </c>
      <c r="F197" s="440"/>
      <c r="G197" s="441"/>
    </row>
    <row r="198" spans="2:8" ht="18" customHeight="1">
      <c r="B198" s="437" t="str">
        <f>Analisa!B3178</f>
        <v>A.4.4.3.7</v>
      </c>
      <c r="C198" s="438" t="str">
        <f>Analisa!C3178</f>
        <v>Pemasangan 1m2 lantai ubin teraso ukuran 40cm x40cm</v>
      </c>
      <c r="D198" s="439">
        <f>Analisa!$H$3194</f>
        <v>517899.44</v>
      </c>
      <c r="F198" s="440"/>
      <c r="G198" s="441"/>
    </row>
    <row r="199" spans="2:8" ht="18" customHeight="1">
      <c r="B199" s="437" t="str">
        <f>Analisa!B3196</f>
        <v>A.4.4.3.10</v>
      </c>
      <c r="C199" s="438" t="str">
        <f>Analisa!C3196</f>
        <v>Pemasangan 1m2 lantai ubin granit ukuran 30cm x30cm</v>
      </c>
      <c r="D199" s="439">
        <f>Analisa!$H$3212</f>
        <v>698189.88</v>
      </c>
      <c r="F199" s="440"/>
      <c r="G199" s="441"/>
    </row>
    <row r="200" spans="2:8" ht="18" customHeight="1">
      <c r="B200" s="437" t="str">
        <f>Analisa!B3214</f>
        <v>A.4.4.3.32</v>
      </c>
      <c r="C200" s="438" t="str">
        <f>Analisa!C3214</f>
        <v>Pemasangan 1m2 lantai keramik artistik 10cm x 20cm</v>
      </c>
      <c r="D200" s="439">
        <f>Analisa!$H$3230</f>
        <v>366442.42</v>
      </c>
      <c r="F200" s="440"/>
      <c r="G200" s="441"/>
    </row>
    <row r="201" spans="2:8" ht="18" customHeight="1">
      <c r="B201" s="437" t="str">
        <f>Analisa!B3232</f>
        <v>A.4.4.3.33</v>
      </c>
      <c r="C201" s="438" t="str">
        <f>Analisa!C3232</f>
        <v>Pemasangan 1m2 lantai keramik artistik 10cm x 10cm atau 5cm x 20cm</v>
      </c>
      <c r="D201" s="439">
        <f>Analisa!$H$3248</f>
        <v>381030.75</v>
      </c>
      <c r="F201" s="440"/>
      <c r="G201" s="441"/>
    </row>
    <row r="202" spans="2:8" ht="18" customHeight="1">
      <c r="B202" s="447" t="str">
        <f>Analisa!B3250</f>
        <v>A.4.4.3.34</v>
      </c>
      <c r="C202" s="448" t="str">
        <f>Analisa!C3250</f>
        <v>Pemasangan 1m2 lantai keramik ukuran 33cm x 33cm</v>
      </c>
      <c r="D202" s="449">
        <f>Analisa!$H$3266</f>
        <v>335420.59999999998</v>
      </c>
      <c r="F202" s="440"/>
      <c r="G202" s="441"/>
    </row>
    <row r="203" spans="2:8" ht="18" customHeight="1">
      <c r="B203" s="450" t="str">
        <f>Analisa!B3268</f>
        <v>A.4.4.3.35</v>
      </c>
      <c r="C203" s="451" t="str">
        <f>Analisa!C3268</f>
        <v>Pemasangan 1m2 lantai keramik ukuran 30cm x 30cm</v>
      </c>
      <c r="D203" s="452">
        <f>Analisa!$H$3284</f>
        <v>345555.87</v>
      </c>
      <c r="F203" s="440"/>
      <c r="G203" s="441"/>
    </row>
    <row r="204" spans="2:8" ht="18" customHeight="1">
      <c r="B204" s="437" t="str">
        <f>Analisa!B3286</f>
        <v>A.4.4.3.36</v>
      </c>
      <c r="C204" s="438" t="str">
        <f>Analisa!C3286</f>
        <v>Pemasangan 1m2 lantai keramik ukuran 20cm x 20cm</v>
      </c>
      <c r="D204" s="439">
        <f>Analisa!$H$3302</f>
        <v>322713.39</v>
      </c>
      <c r="F204" s="440"/>
      <c r="G204" s="441"/>
    </row>
    <row r="205" spans="2:8" ht="18" customHeight="1">
      <c r="B205" s="437" t="str">
        <f>Analisa!B3304</f>
        <v>A.4.4.3.36 A</v>
      </c>
      <c r="C205" s="438" t="str">
        <f>Analisa!C3304</f>
        <v>Pemasangan 1m2 lantai keramik ukuran 20cm x 25cm</v>
      </c>
      <c r="D205" s="439">
        <f>Analisa!$H$3320</f>
        <v>335593.96</v>
      </c>
      <c r="F205" s="440"/>
      <c r="G205" s="441"/>
    </row>
    <row r="206" spans="2:8" ht="18" customHeight="1">
      <c r="B206" s="717" t="str">
        <f>Analisa!$B$3322</f>
        <v>A.4.4.3.36 B</v>
      </c>
      <c r="C206" s="718" t="str">
        <f>Analisa!$C$3322</f>
        <v>Pemasangan 1m2 lantai keramik ukuran 40cm x 40cm</v>
      </c>
      <c r="D206" s="719">
        <f>Analisa!$H$3338</f>
        <v>303656.8</v>
      </c>
      <c r="E206" s="441">
        <f>Analisa!M3338</f>
        <v>287424.87</v>
      </c>
      <c r="F206" s="440"/>
      <c r="G206" s="441"/>
    </row>
    <row r="207" spans="2:8" ht="18" customHeight="1">
      <c r="B207" s="717" t="str">
        <f>Analisa!B3340</f>
        <v>A.4.4.3.36 C</v>
      </c>
      <c r="C207" s="718" t="str">
        <f>Analisa!C3340</f>
        <v>Pemasangan 1m2 lantai keramik ukuran 60cm x 60cm</v>
      </c>
      <c r="D207" s="719">
        <f>Analisa!$H$3356</f>
        <v>388509.55</v>
      </c>
      <c r="E207" s="441">
        <f>Analisa!M3356</f>
        <v>355145.85</v>
      </c>
      <c r="F207" s="440"/>
      <c r="G207" s="441"/>
      <c r="H207" s="431"/>
    </row>
    <row r="208" spans="2:8" ht="18" customHeight="1">
      <c r="B208" s="437" t="str">
        <f>Analisa!B3358</f>
        <v>A.4.4.3.36 D</v>
      </c>
      <c r="C208" s="438" t="str">
        <f>Analisa!C3358</f>
        <v>Pemasangan 1m2 lantai keramik ukuran 40cm x 40cm setara granito</v>
      </c>
      <c r="D208" s="439">
        <f>Analisa!$H$3374</f>
        <v>657773.93999999994</v>
      </c>
      <c r="F208" s="440"/>
      <c r="G208" s="441"/>
    </row>
    <row r="209" spans="2:8" ht="18" customHeight="1">
      <c r="B209" s="437" t="str">
        <f>Analisa!B3376</f>
        <v>A.4.4.3.36 E</v>
      </c>
      <c r="C209" s="438" t="str">
        <f>Analisa!C3376</f>
        <v>Pemasangan 1m2 lantai keramik ukuran 40cm x 40cm setara essenza</v>
      </c>
      <c r="D209" s="439">
        <f>Analisa!$H$3392</f>
        <v>753842.64</v>
      </c>
      <c r="F209" s="440"/>
      <c r="G209" s="441"/>
      <c r="H209" s="441"/>
    </row>
    <row r="210" spans="2:8" ht="18" customHeight="1">
      <c r="B210" s="437" t="str">
        <f>Analisa!B3394</f>
        <v>A.4.4.3.36 F</v>
      </c>
      <c r="C210" s="438" t="str">
        <f>Analisa!C3394</f>
        <v>Pemasangan 1m2 lantai keramik ukuran 25cm x 25cm</v>
      </c>
      <c r="D210" s="439">
        <f>Analisa!$H$3410</f>
        <v>360591.28</v>
      </c>
      <c r="F210" s="440"/>
      <c r="G210" s="441"/>
    </row>
    <row r="211" spans="2:8" ht="18" customHeight="1">
      <c r="B211" s="437" t="str">
        <f>Analisa!B3412</f>
        <v>A.4.4.3.38</v>
      </c>
      <c r="C211" s="438" t="str">
        <f>Analisa!C3412</f>
        <v>Pemasangan 1m2 lantai keramik mozaik ukuran 30cm x 30cm</v>
      </c>
      <c r="D211" s="439">
        <f>Analisa!$H$3428</f>
        <v>353215.41</v>
      </c>
      <c r="F211" s="440"/>
      <c r="G211" s="441"/>
    </row>
    <row r="212" spans="2:8" ht="18" customHeight="1">
      <c r="B212" s="437" t="str">
        <f>Analisa!$B$3430</f>
        <v>A.4.4.3.39</v>
      </c>
      <c r="C212" s="438" t="str">
        <f>Analisa!$C$3430</f>
        <v>Pemasangan 1 m’ plint keramik ukuran 10cm x 10cm</v>
      </c>
      <c r="D212" s="439">
        <f>Analisa!$H$3446</f>
        <v>62577.120000000003</v>
      </c>
      <c r="F212" s="440"/>
      <c r="G212" s="441"/>
    </row>
    <row r="213" spans="2:8" ht="18" customHeight="1">
      <c r="B213" s="437" t="str">
        <f>Analisa!$B$3448</f>
        <v>A.4.4.3.39 A</v>
      </c>
      <c r="C213" s="438" t="str">
        <f>Analisa!$C$3448</f>
        <v>Pemasangan 1 m’ plint keramik ukuran 10cm x 20cm</v>
      </c>
      <c r="D213" s="439">
        <f>Analisa!$H$3464</f>
        <v>59777.04</v>
      </c>
      <c r="F213" s="440"/>
      <c r="G213" s="441"/>
    </row>
    <row r="214" spans="2:8" ht="18" customHeight="1">
      <c r="B214" s="437" t="str">
        <f>Analisa!$B$3466</f>
        <v>A.4.4.3.39 B</v>
      </c>
      <c r="C214" s="438" t="str">
        <f>Analisa!$C$3466</f>
        <v>Pemasangan 1 m’ plint keramik ukuran 10cm x 30cm</v>
      </c>
      <c r="D214" s="439">
        <f>Analisa!$H$3482</f>
        <v>60453.57</v>
      </c>
      <c r="F214" s="440"/>
      <c r="G214" s="441"/>
    </row>
    <row r="215" spans="2:8" ht="18" customHeight="1">
      <c r="B215" s="437" t="str">
        <f>Analisa!$B$3484</f>
        <v>A.4.4.3.39 C</v>
      </c>
      <c r="C215" s="438" t="str">
        <f>Analisa!$C$3484</f>
        <v>Pemasangan 1 m’ plint keramik ukuran 10cm x 40cm</v>
      </c>
      <c r="D215" s="439">
        <f>Analisa!$H$3500</f>
        <v>68330.69</v>
      </c>
      <c r="F215" s="440"/>
      <c r="G215" s="441"/>
    </row>
    <row r="216" spans="2:8" ht="18" customHeight="1">
      <c r="B216" s="437" t="str">
        <f>Analisa!$B$3502</f>
        <v>A.4.4.3.39 D</v>
      </c>
      <c r="C216" s="438" t="str">
        <f>Analisa!$C$3502</f>
        <v>Pemasangan 1 m’ plint keramik ukuran 10cm x 60cm</v>
      </c>
      <c r="D216" s="439">
        <f>Analisa!$H$3518</f>
        <v>102176.23</v>
      </c>
      <c r="F216" s="440"/>
      <c r="G216" s="441"/>
    </row>
    <row r="217" spans="2:8" ht="18" customHeight="1">
      <c r="B217" s="437" t="str">
        <f>Analisa!$B$3520</f>
        <v>A.4.4.3.41</v>
      </c>
      <c r="C217" s="438" t="str">
        <f>Analisa!$C$3520</f>
        <v>Pemasangan 1 m’ plint keramik ukuran 5cm x 20cm</v>
      </c>
      <c r="D217" s="439">
        <f>Analisa!$H$3536</f>
        <v>53794.12</v>
      </c>
      <c r="F217" s="440"/>
      <c r="G217" s="441"/>
    </row>
    <row r="218" spans="2:8" ht="18" customHeight="1">
      <c r="B218" s="437" t="str">
        <f>Analisa!B3538</f>
        <v>A.4.4.3.43</v>
      </c>
      <c r="C218" s="438" t="str">
        <f>Analisa!C3538</f>
        <v>Pemasangan 1 m2 lantai marmer ukuran 100cm x 100cm</v>
      </c>
      <c r="D218" s="439">
        <f>Analisa!$H$3557</f>
        <v>1450660.12</v>
      </c>
      <c r="F218" s="440"/>
      <c r="G218" s="441"/>
    </row>
    <row r="219" spans="2:8" ht="18" customHeight="1">
      <c r="B219" s="437" t="str">
        <f>Analisa!B3559</f>
        <v>A.4.4.3.44</v>
      </c>
      <c r="C219" s="438" t="str">
        <f>Analisa!C3559</f>
        <v>Pemasangan 1 m2 lantai karpet</v>
      </c>
      <c r="D219" s="439">
        <f>Analisa!$H$3573</f>
        <v>141786.09</v>
      </c>
      <c r="F219" s="440"/>
      <c r="G219" s="441"/>
    </row>
    <row r="220" spans="2:8" ht="18" customHeight="1">
      <c r="B220" s="437" t="str">
        <f>Analisa!B3575</f>
        <v>A.4.4.3.45</v>
      </c>
      <c r="C220" s="438" t="str">
        <f>Analisa!C3575</f>
        <v>Pemasangan 1 m2 underlayer (pelapis bawah karpet)</v>
      </c>
      <c r="D220" s="439">
        <f>Analisa!$H$3589</f>
        <v>127044.53</v>
      </c>
      <c r="F220" s="440"/>
      <c r="G220" s="441"/>
    </row>
    <row r="221" spans="2:8" ht="18" customHeight="1">
      <c r="B221" s="437" t="str">
        <f>Analisa!B3591</f>
        <v>A.4.4.3.46</v>
      </c>
      <c r="C221" s="438" t="str">
        <f>Analisa!C3591</f>
        <v>Pemasangan 1 m2 lantai parquet kayu</v>
      </c>
      <c r="D221" s="439">
        <f>Analisa!$H$3605</f>
        <v>624907.36</v>
      </c>
      <c r="F221" s="440"/>
      <c r="G221" s="441"/>
    </row>
    <row r="222" spans="2:8" ht="18" customHeight="1">
      <c r="B222" s="437" t="str">
        <f>Analisa!B3607</f>
        <v>A.4.4.3.47</v>
      </c>
      <c r="C222" s="438" t="str">
        <f>Analisa!C3607</f>
        <v>Pemasangan 1 m2 lantai kayu gymfloor</v>
      </c>
      <c r="D222" s="439">
        <f>Analisa!$H$3621</f>
        <v>460014.78</v>
      </c>
      <c r="F222" s="440"/>
      <c r="G222" s="441"/>
    </row>
    <row r="223" spans="2:8" ht="18" customHeight="1">
      <c r="B223" s="437" t="str">
        <f>Analisa!B3623</f>
        <v>A.4.4.3.54</v>
      </c>
      <c r="C223" s="438" t="str">
        <f>Analisa!C3623</f>
        <v>Pemasangan 1 m2 dinding keramik 20cm x 20cm</v>
      </c>
      <c r="D223" s="439">
        <f>Analisa!$H$3639</f>
        <v>375921.87</v>
      </c>
      <c r="F223" s="440"/>
      <c r="G223" s="441"/>
    </row>
    <row r="224" spans="2:8" ht="18" customHeight="1">
      <c r="B224" s="437" t="str">
        <f>Analisa!B3641</f>
        <v>A.4.4.3.54 A</v>
      </c>
      <c r="C224" s="438" t="str">
        <f>Analisa!C3641</f>
        <v>Pemasangan 1 m2 dinding keramik 20cm x 25cm</v>
      </c>
      <c r="D224" s="439">
        <f>Analisa!$H$3657</f>
        <v>393798.91</v>
      </c>
      <c r="F224" s="440"/>
      <c r="G224" s="441"/>
    </row>
    <row r="225" spans="2:7" ht="18" customHeight="1">
      <c r="B225" s="717" t="str">
        <f>Analisa!B3659</f>
        <v>A.4.4.3.54 B</v>
      </c>
      <c r="C225" s="718" t="str">
        <f>Analisa!C3659</f>
        <v>Pemasangan 1 m2 dinding keramik 20cm x 40cm</v>
      </c>
      <c r="D225" s="719">
        <f>Analisa!$H$3675</f>
        <v>362548.81</v>
      </c>
      <c r="E225" s="441">
        <f>Analisa!M3675</f>
        <v>320566.48</v>
      </c>
      <c r="F225" s="440"/>
      <c r="G225" s="441"/>
    </row>
    <row r="226" spans="2:7" ht="18" customHeight="1">
      <c r="B226" s="437" t="str">
        <f>Analisa!$B$3677</f>
        <v>A.4.4.3.54 C</v>
      </c>
      <c r="C226" s="438" t="str">
        <f>Analisa!$C$3677</f>
        <v>Pemasangan 1 m2 dinding keramik 25cm x 40cm</v>
      </c>
      <c r="D226" s="439">
        <f>Analisa!$H$3693</f>
        <v>416511.98</v>
      </c>
      <c r="F226" s="440"/>
      <c r="G226" s="441"/>
    </row>
    <row r="227" spans="2:7" ht="18" customHeight="1">
      <c r="B227" s="437" t="str">
        <f>Analisa!$B$3695</f>
        <v>A.4.4.3.54 D</v>
      </c>
      <c r="C227" s="438" t="str">
        <f>Analisa!$C$3695</f>
        <v>Pemasangan 1 m2 dinding keramik 30cm x 60cm</v>
      </c>
      <c r="D227" s="439">
        <f>Analisa!$H$3711</f>
        <v>473629.08</v>
      </c>
      <c r="F227" s="440"/>
      <c r="G227" s="441"/>
    </row>
    <row r="228" spans="2:7" ht="18" customHeight="1">
      <c r="B228" s="437" t="str">
        <f>Analisa!$B$3713</f>
        <v>A.4.4.3.54 E</v>
      </c>
      <c r="C228" s="438" t="str">
        <f>Analisa!$C$3713</f>
        <v>Pemasangan 1 m2 dinding keramik 60cm x 60cm</v>
      </c>
      <c r="D228" s="439">
        <f>Analisa!$H$3729</f>
        <v>471426.98</v>
      </c>
      <c r="F228" s="440"/>
      <c r="G228" s="441"/>
    </row>
    <row r="229" spans="2:7" ht="18" customHeight="1">
      <c r="B229" s="437" t="str">
        <f>Analisa!B3731</f>
        <v>A.4.4.3.55</v>
      </c>
      <c r="C229" s="438" t="str">
        <f>Analisa!C3731</f>
        <v>Pemasangan 1 m2 dinding marmer 100cm x 100cm</v>
      </c>
      <c r="D229" s="439">
        <f>Analisa!$H$3751</f>
        <v>1708849.89</v>
      </c>
      <c r="F229" s="440"/>
      <c r="G229" s="441"/>
    </row>
    <row r="230" spans="2:7" ht="18" customHeight="1">
      <c r="B230" s="437" t="str">
        <f>Analisa!B3753</f>
        <v>A.4.4.3.56</v>
      </c>
      <c r="C230" s="438" t="str">
        <f>Analisa!C3753</f>
        <v>Pemasangan 1 m2 dinding bata pelapis 3cm x 7cm x 24cm</v>
      </c>
      <c r="D230" s="439">
        <f>Analisa!$H$3769</f>
        <v>409841.69</v>
      </c>
      <c r="F230" s="440"/>
      <c r="G230" s="441"/>
    </row>
    <row r="231" spans="2:7" ht="18" customHeight="1">
      <c r="B231" s="437" t="str">
        <f>Analisa!B3771</f>
        <v>A.4.4.3.57</v>
      </c>
      <c r="C231" s="438" t="str">
        <f>Analisa!C3771</f>
        <v>Pemasangan 1 m2 dinding batu paras</v>
      </c>
      <c r="D231" s="439">
        <f>Analisa!$H$3786</f>
        <v>522143.65</v>
      </c>
      <c r="F231" s="440"/>
      <c r="G231" s="441"/>
    </row>
    <row r="232" spans="2:7" ht="18" customHeight="1">
      <c r="B232" s="717" t="str">
        <f>Analisa!B3788</f>
        <v>A.4.4.3.58</v>
      </c>
      <c r="C232" s="718" t="str">
        <f>Analisa!C3788</f>
        <v>Pemasangan 1 m2 dinding batu Alam Candi</v>
      </c>
      <c r="D232" s="719">
        <f>Analisa!$H$3803</f>
        <v>252945.32</v>
      </c>
      <c r="E232" s="441">
        <f>Analisa!M3803</f>
        <v>252287.64</v>
      </c>
      <c r="F232" s="440"/>
      <c r="G232" s="441"/>
    </row>
    <row r="233" spans="2:7" ht="18" customHeight="1">
      <c r="B233" s="717" t="str">
        <f>Analisa!B3805</f>
        <v>A.4.4.3.59</v>
      </c>
      <c r="C233" s="718" t="str">
        <f>Analisa!C3805</f>
        <v>Pemasangan 1 m2 lantai vynil ukuran 15 cm x 90cm</v>
      </c>
      <c r="D233" s="719">
        <f>Analisa!$H$3819</f>
        <v>243399.69</v>
      </c>
      <c r="E233" s="441">
        <f>Analisa!M3819</f>
        <v>177698.18</v>
      </c>
      <c r="F233" s="440"/>
      <c r="G233" s="441"/>
    </row>
    <row r="234" spans="2:7" ht="18" customHeight="1">
      <c r="B234" s="857" t="s">
        <v>4966</v>
      </c>
      <c r="C234" s="858" t="s">
        <v>4965</v>
      </c>
      <c r="D234" s="859" t="e">
        <f>Analisa!#REF!</f>
        <v>#REF!</v>
      </c>
      <c r="F234" s="440"/>
      <c r="G234" s="441"/>
    </row>
    <row r="235" spans="2:7" ht="18" customHeight="1">
      <c r="B235" s="437" t="str">
        <f>Analisa!B3821</f>
        <v>A.4.4.3.60</v>
      </c>
      <c r="C235" s="438" t="str">
        <f>Analisa!C3821</f>
        <v>Pemasangan 1 m2 wallpaper Biasa lebar 50 cm</v>
      </c>
      <c r="D235" s="439">
        <f>Analisa!$H$3835</f>
        <v>244718.28</v>
      </c>
      <c r="F235" s="440"/>
      <c r="G235" s="441"/>
    </row>
    <row r="236" spans="2:7" ht="18" customHeight="1">
      <c r="B236" s="437" t="str">
        <f>Analisa!$B$3837</f>
        <v>A.4.4.3.60 A</v>
      </c>
      <c r="C236" s="438" t="str">
        <f>Analisa!$C$3837</f>
        <v>Pemasangan 1 m2 wallpaper Lux Motif lebar 50 cm</v>
      </c>
      <c r="D236" s="439">
        <f>Analisa!$H$3851</f>
        <v>312459.03000000003</v>
      </c>
      <c r="F236" s="440"/>
      <c r="G236" s="441"/>
    </row>
    <row r="237" spans="2:7" ht="18" customHeight="1">
      <c r="B237" s="437" t="str">
        <f>Analisa!B3853</f>
        <v>A.4.4.3.61</v>
      </c>
      <c r="C237" s="438" t="str">
        <f>Analisa!C3853</f>
        <v>Pemasangan 1m2 floor harderner</v>
      </c>
      <c r="D237" s="439">
        <f>Analisa!$H$3869</f>
        <v>102157.95</v>
      </c>
      <c r="F237" s="440"/>
      <c r="G237" s="441"/>
    </row>
    <row r="238" spans="2:7" ht="18" customHeight="1">
      <c r="B238" s="437" t="str">
        <f>Analisa!B3871</f>
        <v>A.4.4.3.62</v>
      </c>
      <c r="C238" s="438" t="str">
        <f>Analisa!C3871</f>
        <v>Pemasangan 1 m’ plint vynil 15cm x 30cm</v>
      </c>
      <c r="D238" s="439">
        <f>Analisa!$H$3885</f>
        <v>61472.93</v>
      </c>
      <c r="F238" s="440"/>
      <c r="G238" s="441"/>
    </row>
    <row r="239" spans="2:7" ht="18" customHeight="1">
      <c r="B239" s="437" t="str">
        <f>Analisa!B3887</f>
        <v>A.4.4.3.63</v>
      </c>
      <c r="C239" s="438" t="str">
        <f>Analisa!C3887</f>
        <v>Pemasangan 1 m’ plint kayu tebal 2 cm lebar 10 cm</v>
      </c>
      <c r="D239" s="439">
        <f>Analisa!$H$3901</f>
        <v>97255.5</v>
      </c>
      <c r="F239" s="440"/>
      <c r="G239" s="441"/>
    </row>
    <row r="240" spans="2:7" ht="18" customHeight="1">
      <c r="B240" s="437" t="str">
        <f>Analisa!B3903</f>
        <v>A.4.4.3.64</v>
      </c>
      <c r="C240" s="438" t="str">
        <f>Analisa!C3903</f>
        <v>Pemasangan 1 m2 paving block tebal 6 cm</v>
      </c>
      <c r="D240" s="439">
        <f>Analisa!$H$3917</f>
        <v>231906.76</v>
      </c>
      <c r="F240" s="440"/>
      <c r="G240" s="441"/>
    </row>
    <row r="241" spans="2:7" ht="18" customHeight="1">
      <c r="B241" s="437" t="str">
        <f>Analisa!B3919</f>
        <v>A.4.4.3.65</v>
      </c>
      <c r="C241" s="438" t="str">
        <f>Analisa!C3919</f>
        <v>Pemasangan 1 m2 paving block tebal 8 cm</v>
      </c>
      <c r="D241" s="439">
        <f>Analisa!$H$3933</f>
        <v>257090.1</v>
      </c>
      <c r="F241" s="440"/>
      <c r="G241" s="441"/>
    </row>
    <row r="242" spans="2:7" ht="18" customHeight="1">
      <c r="B242" s="437" t="str">
        <f>Analisa!B3935</f>
        <v>A.4.4.3.66</v>
      </c>
      <c r="C242" s="438" t="str">
        <f>Analisa!C3935</f>
        <v>Pemasangan 1 m2 lantai batu alam andesit</v>
      </c>
      <c r="D242" s="439">
        <f>Analisa!I3950</f>
        <v>562788.09825000004</v>
      </c>
      <c r="F242" s="440"/>
      <c r="G242" s="441"/>
    </row>
    <row r="243" spans="2:7" ht="18" customHeight="1">
      <c r="B243" s="437" t="str">
        <f>Analisa!B3952</f>
        <v>A.4.4.3.66a</v>
      </c>
      <c r="C243" s="438" t="str">
        <f>Analisa!C3952</f>
        <v>Pemasangan 1m2 Ubin Pemandu uk. 30x30cm</v>
      </c>
      <c r="D243" s="439">
        <f>Analisa!I3967</f>
        <v>504577.16824999999</v>
      </c>
      <c r="F243" s="440"/>
      <c r="G243" s="441"/>
    </row>
    <row r="244" spans="2:7" ht="18" customHeight="1">
      <c r="B244" s="437" t="str">
        <f>Analisa!B3969</f>
        <v>Supl. ACP</v>
      </c>
      <c r="C244" s="963" t="str">
        <f>Analisa!C3969</f>
        <v>Memasang 1 m2 Aluminium Composit Panel (ACP)</v>
      </c>
      <c r="D244" s="439">
        <f>Analisa!$H$3986</f>
        <v>1371647.67</v>
      </c>
      <c r="F244" s="440"/>
      <c r="G244" s="441"/>
    </row>
    <row r="245" spans="2:7" ht="18" customHeight="1">
      <c r="B245" s="437" t="str">
        <f>Analisa!B3988</f>
        <v>Supl. WMB</v>
      </c>
      <c r="C245" s="438" t="str">
        <f>Analisa!C3988</f>
        <v>Memasang 1 m2 Waterproofing Membrane Bakar</v>
      </c>
      <c r="D245" s="439">
        <f>Analisa!$H$4002</f>
        <v>277625.18</v>
      </c>
      <c r="F245" s="440"/>
      <c r="G245" s="441"/>
    </row>
    <row r="246" spans="2:7" ht="18" customHeight="1">
      <c r="B246" s="437" t="str">
        <f>Analisa!$B$4004</f>
        <v>Supl. GRC</v>
      </c>
      <c r="C246" s="438" t="str">
        <f>Analisa!$C$4004</f>
        <v>Memasang 1 m2 Panel Ornamen GRC Rangka Hollow 40x40x2 mm</v>
      </c>
      <c r="D246" s="439">
        <f>Analisa!$H$4019</f>
        <v>1340288.1399999999</v>
      </c>
      <c r="F246" s="440"/>
      <c r="G246" s="441"/>
    </row>
    <row r="247" spans="2:7" ht="18" customHeight="1">
      <c r="B247" s="437" t="str">
        <f>Analisa!B4021</f>
        <v>Dihitung</v>
      </c>
      <c r="C247" s="438" t="str">
        <f>Analisa!C4021</f>
        <v>Memasang 1 m2 Batu Sikat/kacang</v>
      </c>
      <c r="D247" s="439">
        <f>Analisa!H4036</f>
        <v>306321.56</v>
      </c>
      <c r="F247" s="440"/>
      <c r="G247" s="441"/>
    </row>
    <row r="248" spans="2:7" ht="18" customHeight="1">
      <c r="B248" s="437" t="str">
        <f>Analisa!B4038</f>
        <v>Dihitung 2</v>
      </c>
      <c r="C248" s="438" t="str">
        <f>Analisa!C4038</f>
        <v>Memasang 1m' Kanstein Uk. 15.30.60cm</v>
      </c>
      <c r="D248" s="439">
        <f>Analisa!H4053</f>
        <v>182099.86</v>
      </c>
      <c r="F248" s="440"/>
      <c r="G248" s="441"/>
    </row>
    <row r="249" spans="2:7" ht="18" customHeight="1">
      <c r="B249" s="437" t="str">
        <f>Analisa!B4055</f>
        <v>Dihitung 3</v>
      </c>
      <c r="C249" s="438" t="str">
        <f>Analisa!C4055</f>
        <v>Memasang 1m2 Rumput Sintetis</v>
      </c>
      <c r="D249" s="439">
        <f>Analisa!I4067</f>
        <v>449828.25</v>
      </c>
      <c r="F249" s="440"/>
      <c r="G249" s="441"/>
    </row>
    <row r="250" spans="2:7" ht="18" customHeight="1">
      <c r="B250" s="437"/>
      <c r="C250" s="438"/>
      <c r="D250" s="442"/>
      <c r="F250" s="440"/>
      <c r="G250" s="441"/>
    </row>
    <row r="251" spans="2:7" ht="18" customHeight="1">
      <c r="B251" s="443" t="str">
        <f>Analisa!B4069</f>
        <v>A.4.5.1</v>
      </c>
      <c r="C251" s="444" t="str">
        <f>Analisa!C4069</f>
        <v>SATUAN PEKERJAAN LANGIT-LANGIT (PLAFOND)</v>
      </c>
      <c r="D251" s="442"/>
      <c r="F251" s="440"/>
      <c r="G251" s="441"/>
    </row>
    <row r="252" spans="2:7" ht="18" customHeight="1">
      <c r="B252" s="437" t="str">
        <f>Analisa!B4070</f>
        <v>A.4.5.1.1</v>
      </c>
      <c r="C252" s="438" t="str">
        <f>Analisa!C4070</f>
        <v>Pemasangan 1 m2 langit-langit asbes semen tebal 4mm</v>
      </c>
      <c r="D252" s="439">
        <f>Analisa!$H$4084</f>
        <v>46223.35</v>
      </c>
      <c r="F252" s="440"/>
      <c r="G252" s="441"/>
    </row>
    <row r="253" spans="2:7" ht="18" customHeight="1">
      <c r="B253" s="437" t="str">
        <f>Analisa!B4086</f>
        <v>A.4.5.1.2</v>
      </c>
      <c r="C253" s="438" t="str">
        <f>Analisa!C4086</f>
        <v>Pemasangan 1 m2 langit-langit akustik ukuran (30 x 30) cm</v>
      </c>
      <c r="D253" s="439">
        <f>Analisa!$H$4100</f>
        <v>107939.1</v>
      </c>
      <c r="F253" s="440"/>
      <c r="G253" s="441"/>
    </row>
    <row r="254" spans="2:7" ht="18" customHeight="1">
      <c r="B254" s="437" t="str">
        <f>Analisa!B4102</f>
        <v>A.4.5.1.3</v>
      </c>
      <c r="C254" s="438" t="str">
        <f>Analisa!C4102</f>
        <v>Pemasangan 1 m2 langit-langit akustik ukuran (30 x 60) cm</v>
      </c>
      <c r="D254" s="439">
        <f>Analisa!$H$4116</f>
        <v>106092.66</v>
      </c>
      <c r="F254" s="440"/>
      <c r="G254" s="441"/>
    </row>
    <row r="255" spans="2:7" ht="18" customHeight="1">
      <c r="B255" s="437" t="str">
        <f>Analisa!B4118</f>
        <v>A.4.5.1.4</v>
      </c>
      <c r="C255" s="963" t="str">
        <f>Analisa!C4118</f>
        <v>Pemasangan 1 m2 langit-langit akustik ukuran (60 x 120) cm Berikut Rangka Almunium</v>
      </c>
      <c r="D255" s="439">
        <f>Analisa!$H$4134</f>
        <v>380871</v>
      </c>
      <c r="F255" s="440"/>
      <c r="G255" s="441"/>
    </row>
    <row r="256" spans="2:7" ht="18" customHeight="1">
      <c r="B256" s="437" t="str">
        <f>Analisa!B4136</f>
        <v>A.4.5.1.5</v>
      </c>
      <c r="C256" s="457" t="str">
        <f>Analisa!C4136</f>
        <v xml:space="preserve">Pemasangan 1 m2 langit-langit tripleks ukuran (120 x 240) cm tebal  4 mm </v>
      </c>
      <c r="D256" s="439">
        <f>Analisa!$H$4150</f>
        <v>76489.09</v>
      </c>
      <c r="F256" s="440"/>
      <c r="G256" s="441"/>
    </row>
    <row r="257" spans="2:7" ht="18" customHeight="1">
      <c r="B257" s="437" t="str">
        <f>Analisa!B4152</f>
        <v>A.4.5.1.6</v>
      </c>
      <c r="C257" s="438" t="str">
        <f>Analisa!C4152</f>
        <v>Pemasangan 1 m2 langit-langit lambrisering kayu kelas III</v>
      </c>
      <c r="D257" s="439">
        <f>Analisa!$H$4166</f>
        <v>450517.58</v>
      </c>
      <c r="F257" s="440"/>
      <c r="G257" s="441"/>
    </row>
    <row r="258" spans="2:7" ht="18" customHeight="1">
      <c r="B258" s="437" t="str">
        <f>Analisa!B4168</f>
        <v>A.4.5.1.7</v>
      </c>
      <c r="C258" s="438" t="str">
        <f>Analisa!C4168</f>
        <v>Pemasangan 1 m2 langit-langit gypsum board ukuran (120 x 240) cm tebal 9 mm</v>
      </c>
      <c r="D258" s="439">
        <f>Analisa!$H$4182</f>
        <v>82722.69</v>
      </c>
      <c r="F258" s="440"/>
      <c r="G258" s="441"/>
    </row>
    <row r="259" spans="2:7" ht="18" customHeight="1">
      <c r="B259" s="437" t="str">
        <f>Analisa!B4184</f>
        <v>A.4.5.1.7 A</v>
      </c>
      <c r="C259" s="438" t="str">
        <f>Analisa!C4184</f>
        <v>Pemasangan 1 m2 langit-langit calsium board ukuran (120 x 240) cm tebal 4 mm</v>
      </c>
      <c r="D259" s="439">
        <f>Analisa!$H$4198</f>
        <v>96063.05</v>
      </c>
      <c r="F259" s="440"/>
      <c r="G259" s="441"/>
    </row>
    <row r="260" spans="2:7" ht="18" customHeight="1">
      <c r="B260" s="717" t="str">
        <f>Analisa!$B$4201</f>
        <v>A.4.5.1.7 B</v>
      </c>
      <c r="C260" s="718" t="str">
        <f>Analisa!$C$4201</f>
        <v>Pemasangan 1 m2 langit-langit PVC warna</v>
      </c>
      <c r="D260" s="719">
        <f>Analisa!$H$4215</f>
        <v>213281.65</v>
      </c>
      <c r="F260" s="440"/>
      <c r="G260" s="441"/>
    </row>
    <row r="261" spans="2:7" ht="18" customHeight="1">
      <c r="B261" s="437" t="str">
        <f>Analisa!$B$4217</f>
        <v>A.4.5.1.7 C</v>
      </c>
      <c r="C261" s="438" t="str">
        <f>Analisa!$C$4217</f>
        <v>Pemasangan 1 m2 langit-langit drop PVC warna</v>
      </c>
      <c r="D261" s="439">
        <f>Analisa!$H$4231</f>
        <v>283116.2</v>
      </c>
      <c r="F261" s="440"/>
      <c r="G261" s="441"/>
    </row>
    <row r="262" spans="2:7" ht="18" customHeight="1">
      <c r="B262" s="437" t="str">
        <f>Analisa!B4233</f>
        <v>A.4.5.1.8</v>
      </c>
      <c r="C262" s="458" t="str">
        <f>Analisa!C4233</f>
        <v>Pemasangan 1 m2 langit-langit akustik ukuran (60x120) cm berikut rangka alluminium</v>
      </c>
      <c r="D262" s="439">
        <f>Analisa!$H$4249</f>
        <v>385394.73</v>
      </c>
      <c r="F262" s="440"/>
      <c r="G262" s="441"/>
    </row>
    <row r="263" spans="2:7" ht="18" customHeight="1">
      <c r="B263" s="437" t="str">
        <f>Analisa!B4251</f>
        <v>A.4.5.1.9</v>
      </c>
      <c r="C263" s="438" t="str">
        <f>Analisa!C4251</f>
        <v>Pemasangan 1 m’ list langit-langit kayu profil</v>
      </c>
      <c r="D263" s="439">
        <f>Analisa!$H$4265</f>
        <v>27811.16</v>
      </c>
      <c r="F263" s="440"/>
      <c r="G263" s="441"/>
    </row>
    <row r="264" spans="2:7" ht="18" customHeight="1">
      <c r="B264" s="437" t="str">
        <f>Analisa!$B$4267</f>
        <v>A.4.5.1.9 A</v>
      </c>
      <c r="C264" s="438" t="str">
        <f>Analisa!$C$4267</f>
        <v>Memasang 1 m list plafond gypsum profil 6"</v>
      </c>
      <c r="D264" s="439">
        <f>Analisa!$H$4281</f>
        <v>40295.71</v>
      </c>
      <c r="F264" s="440"/>
      <c r="G264" s="441"/>
    </row>
    <row r="265" spans="2:7" ht="18" customHeight="1">
      <c r="B265" s="437" t="str">
        <f>Analisa!$B$4283</f>
        <v>A.4.5.1.9 B</v>
      </c>
      <c r="C265" s="438" t="str">
        <f>Analisa!$C$4283</f>
        <v>Memasang 1 m list plafond gypsum profil 4"</v>
      </c>
      <c r="D265" s="439">
        <f>Analisa!$H$4297</f>
        <v>37763.589999999997</v>
      </c>
      <c r="F265" s="440"/>
      <c r="G265" s="441"/>
    </row>
    <row r="266" spans="2:7" ht="18" customHeight="1">
      <c r="B266" s="437" t="str">
        <f>Analisa!$B$4299</f>
        <v>A.4.5.1.9 C</v>
      </c>
      <c r="C266" s="438" t="str">
        <f>Analisa!$C$4299</f>
        <v>Memasang 1 m list plafond gypsum profil 3"</v>
      </c>
      <c r="D266" s="439">
        <f>Analisa!$H$4313</f>
        <v>33644.800000000003</v>
      </c>
      <c r="F266" s="440"/>
      <c r="G266" s="441"/>
    </row>
    <row r="267" spans="2:7" ht="18" customHeight="1">
      <c r="B267" s="437" t="str">
        <f>Analisa!$B$4315</f>
        <v>A.4.5.1.9 D</v>
      </c>
      <c r="C267" s="438" t="str">
        <f>Analisa!$C$4315</f>
        <v>Memasang 1 m list plafond gypsum profil 2"</v>
      </c>
      <c r="D267" s="439">
        <f>Analisa!$H$4329</f>
        <v>31167.01</v>
      </c>
      <c r="F267" s="440"/>
      <c r="G267" s="441"/>
    </row>
    <row r="268" spans="2:7" ht="18" customHeight="1">
      <c r="B268" s="717" t="str">
        <f>Analisa!$B$4331</f>
        <v>A.4.5.1.9 E</v>
      </c>
      <c r="C268" s="718" t="str">
        <f>Analisa!$C$4331</f>
        <v>Memasang 1 m list profil PVC</v>
      </c>
      <c r="D268" s="719">
        <f>Analisa!$H$4345</f>
        <v>45309.89</v>
      </c>
      <c r="F268" s="440"/>
      <c r="G268" s="441"/>
    </row>
    <row r="269" spans="2:7" ht="18" customHeight="1">
      <c r="B269" s="447"/>
      <c r="C269" s="448"/>
      <c r="D269" s="459"/>
      <c r="F269" s="440"/>
      <c r="G269" s="441"/>
    </row>
    <row r="270" spans="2:7" ht="18" customHeight="1">
      <c r="B270" s="460" t="str">
        <f>Analisa!B4347</f>
        <v>A.4.5.2</v>
      </c>
      <c r="C270" s="461" t="str">
        <f>Analisa!C4347</f>
        <v xml:space="preserve">HARGA SATUAN PEKERJAAN PENUTUP ATAP </v>
      </c>
      <c r="D270" s="462"/>
      <c r="F270" s="440"/>
      <c r="G270" s="441"/>
    </row>
    <row r="271" spans="2:7" ht="18" customHeight="1">
      <c r="B271" s="437" t="str">
        <f>Analisa!B4348</f>
        <v>A.4.5.2.7</v>
      </c>
      <c r="C271" s="438" t="str">
        <f>Analisa!C4348</f>
        <v>Pemasangan 1 m2  roof light fibreglass 90x180</v>
      </c>
      <c r="D271" s="439">
        <f>Analisa!$H$4362</f>
        <v>83047.12</v>
      </c>
      <c r="F271" s="440"/>
      <c r="G271" s="441"/>
    </row>
    <row r="272" spans="2:7" ht="18" customHeight="1">
      <c r="B272" s="437" t="str">
        <f>Analisa!B4364</f>
        <v>A.4.5.2.10</v>
      </c>
      <c r="C272" s="438" t="str">
        <f>Analisa!C4364</f>
        <v>Pemasangan 1 m2  atap asbes gelombang 0.92mx2.00m x 5mm</v>
      </c>
      <c r="D272" s="439">
        <f>Analisa!$H$4378</f>
        <v>74056.37</v>
      </c>
      <c r="F272" s="440"/>
      <c r="G272" s="441"/>
    </row>
    <row r="273" spans="2:7" ht="18" customHeight="1">
      <c r="B273" s="437" t="str">
        <f>Analisa!B4380</f>
        <v>A.4.5.2.23</v>
      </c>
      <c r="C273" s="438" t="str">
        <f>Analisa!C4380</f>
        <v>Pemasangan 1 m’ bubung stel gelombang 1.05m</v>
      </c>
      <c r="D273" s="439">
        <f>Analisa!$H$4394</f>
        <v>94367.05</v>
      </c>
      <c r="F273" s="440"/>
      <c r="G273" s="441"/>
    </row>
    <row r="274" spans="2:7" ht="18" customHeight="1">
      <c r="B274" s="437" t="str">
        <f>Analisa!B4396</f>
        <v>A.4.5.2.29</v>
      </c>
      <c r="C274" s="438" t="str">
        <f>Analisa!C4396</f>
        <v>Pemasangan 1 m’ nok stel rata 1.05m</v>
      </c>
      <c r="D274" s="439">
        <f>Analisa!$H$4410</f>
        <v>85350.13</v>
      </c>
      <c r="F274" s="440"/>
      <c r="G274" s="441"/>
    </row>
    <row r="275" spans="2:7" ht="18" customHeight="1">
      <c r="B275" s="437" t="str">
        <f>Analisa!B4412</f>
        <v>A.4.5.2.30</v>
      </c>
      <c r="C275" s="438" t="str">
        <f>Analisa!C4412</f>
        <v>Pemasangan 1 m2 genteng beton</v>
      </c>
      <c r="D275" s="439">
        <f>Analisa!$H$4426</f>
        <v>154845.49</v>
      </c>
      <c r="F275" s="440"/>
      <c r="G275" s="441"/>
    </row>
    <row r="276" spans="2:7" ht="18" customHeight="1">
      <c r="B276" s="437" t="str">
        <f>Analisa!B4428</f>
        <v>A.4.5.2.30 B</v>
      </c>
      <c r="C276" s="438" t="str">
        <f>Analisa!C4428</f>
        <v>Pemasangan 1 m2 genteng keramik</v>
      </c>
      <c r="D276" s="439">
        <f>Analisa!$H$4442</f>
        <v>335194.23999999999</v>
      </c>
      <c r="F276" s="440"/>
      <c r="G276" s="441"/>
    </row>
    <row r="277" spans="2:7" ht="18" customHeight="1">
      <c r="B277" s="717" t="str">
        <f>Analisa!B4444</f>
        <v>A.4.5.2.31</v>
      </c>
      <c r="C277" s="718" t="str">
        <f>Analisa!C4444</f>
        <v>Pemasangan 1 m2 Atap Bitumen Onduline Clasic Uk. 95x200cm</v>
      </c>
      <c r="D277" s="719">
        <f>Analisa!$H$4458</f>
        <v>346991.8</v>
      </c>
      <c r="E277" s="441">
        <f>Analisa!M4458</f>
        <v>161609.56</v>
      </c>
      <c r="F277" s="440"/>
      <c r="G277" s="441"/>
    </row>
    <row r="278" spans="2:7" ht="18" customHeight="1">
      <c r="B278" s="437" t="str">
        <f>Analisa!B4460</f>
        <v>A.4.5.2.31 B</v>
      </c>
      <c r="C278" s="463" t="str">
        <f>Analisa!C4460</f>
        <v>Pemasangan 1 m2 atap aspal/ bitumen bergelombang uk. 200x95cm</v>
      </c>
      <c r="D278" s="439">
        <f>Analisa!$H$4474</f>
        <v>250840.64</v>
      </c>
      <c r="F278" s="440"/>
      <c r="G278" s="441"/>
    </row>
    <row r="279" spans="2:7" ht="18" customHeight="1">
      <c r="B279" s="437" t="str">
        <f>Analisa!B4476</f>
        <v>A.4.5.2.32</v>
      </c>
      <c r="C279" s="438" t="str">
        <f>Analisa!C4476</f>
        <v>Pemasangan 1 m2 genteng metal</v>
      </c>
      <c r="D279" s="439">
        <f>Analisa!$H$4490</f>
        <v>170915.12</v>
      </c>
      <c r="F279" s="440"/>
      <c r="G279" s="441"/>
    </row>
    <row r="280" spans="2:7" ht="18" customHeight="1">
      <c r="B280" s="437" t="str">
        <f>Analisa!B4492</f>
        <v>A.4.5.2.32 A</v>
      </c>
      <c r="C280" s="438" t="str">
        <f>Analisa!C4492</f>
        <v>Pemasangan 1 m2 Atap Zincalume</v>
      </c>
      <c r="D280" s="439">
        <f>Analisa!$H$4506</f>
        <v>139103.76999999999</v>
      </c>
      <c r="F280" s="440"/>
      <c r="G280" s="441"/>
    </row>
    <row r="281" spans="2:7" ht="18" customHeight="1">
      <c r="B281" s="437" t="str">
        <f>Analisa!B4508</f>
        <v>A.4.5.2.33</v>
      </c>
      <c r="C281" s="438" t="str">
        <f>Analisa!C4508</f>
        <v>Pemasangan 1 m2 atap sirap kayu</v>
      </c>
      <c r="D281" s="439">
        <f>Analisa!$H$4522</f>
        <v>280816.59000000003</v>
      </c>
      <c r="F281" s="440"/>
      <c r="G281" s="441"/>
    </row>
    <row r="282" spans="2:7" ht="18" customHeight="1">
      <c r="B282" s="437" t="str">
        <f>Analisa!B4524</f>
        <v>A.4.5.2.34</v>
      </c>
      <c r="C282" s="438" t="str">
        <f>Analisa!C4524</f>
        <v>Pemasangan 1 m’ nok genteng beton</v>
      </c>
      <c r="D282" s="439">
        <f>Analisa!$H$4541</f>
        <v>198216.76</v>
      </c>
      <c r="F282" s="440"/>
      <c r="G282" s="441"/>
    </row>
    <row r="283" spans="2:7" ht="18" customHeight="1">
      <c r="B283" s="437" t="str">
        <f>Analisa!B4543</f>
        <v>A.4.5.2.34 A</v>
      </c>
      <c r="C283" s="438" t="str">
        <f>Analisa!C4543</f>
        <v>Pemasangan 1 m’ nok genteng Keramik</v>
      </c>
      <c r="D283" s="439">
        <f>Analisa!I4559</f>
        <v>208814.58615000002</v>
      </c>
      <c r="F283" s="440"/>
      <c r="G283" s="441"/>
    </row>
    <row r="284" spans="2:7" ht="18" customHeight="1">
      <c r="B284" s="437" t="str">
        <f>Analisa!B4561</f>
        <v>A.4.5.2.35</v>
      </c>
      <c r="C284" s="438" t="str">
        <f>Analisa!C4561</f>
        <v>Pemasangan 1 m’ nok genteng aspal</v>
      </c>
      <c r="D284" s="439">
        <f>Analisa!$H$4575</f>
        <v>176095</v>
      </c>
      <c r="F284" s="440"/>
      <c r="G284" s="441"/>
    </row>
    <row r="285" spans="2:7" ht="18" customHeight="1">
      <c r="B285" s="437" t="str">
        <f>Analisa!B4577</f>
        <v>A.4.5.2.36</v>
      </c>
      <c r="C285" s="438" t="str">
        <f>Analisa!C4577</f>
        <v>Pemasangan 1 m’ nok genteng metal</v>
      </c>
      <c r="D285" s="439">
        <f>Analisa!$H$4591</f>
        <v>144717.15</v>
      </c>
      <c r="F285" s="440"/>
      <c r="G285" s="441"/>
    </row>
    <row r="286" spans="2:7" ht="18" customHeight="1">
      <c r="B286" s="437" t="str">
        <f>Analisa!B4593</f>
        <v>A.4.5.2.36 A</v>
      </c>
      <c r="C286" s="438" t="str">
        <f>Analisa!C4593</f>
        <v>Pemasangan 1 m’ nok atap zincalume</v>
      </c>
      <c r="D286" s="439">
        <f>Analisa!$H$4607</f>
        <v>89267.14</v>
      </c>
      <c r="F286" s="440"/>
      <c r="G286" s="441"/>
    </row>
    <row r="287" spans="2:7" ht="18" customHeight="1">
      <c r="B287" s="437" t="str">
        <f>Analisa!B4609</f>
        <v>A.4.5.2.37</v>
      </c>
      <c r="C287" s="438" t="str">
        <f>Analisa!C4609</f>
        <v xml:space="preserve"> Pemasangan 1 m’ nok sirap</v>
      </c>
      <c r="D287" s="439">
        <f>Analisa!$H$4624</f>
        <v>131353.66</v>
      </c>
      <c r="F287" s="440"/>
      <c r="G287" s="441"/>
    </row>
    <row r="288" spans="2:7" ht="18" customHeight="1">
      <c r="B288" s="437" t="str">
        <f>Analisa!B4626</f>
        <v>A.4.5.2.38</v>
      </c>
      <c r="C288" s="438" t="str">
        <f>Analisa!C4626</f>
        <v>Pemasangan 1 m2 atap seng gelombang</v>
      </c>
      <c r="D288" s="439">
        <f>Analisa!$H$4640</f>
        <v>93739.19</v>
      </c>
      <c r="F288" s="440"/>
      <c r="G288" s="441"/>
    </row>
    <row r="289" spans="2:7" ht="18" customHeight="1">
      <c r="B289" s="437" t="str">
        <f>Analisa!B4642</f>
        <v>A.4.5.2.39</v>
      </c>
      <c r="C289" s="438" t="str">
        <f>Analisa!C4642</f>
        <v xml:space="preserve"> Pemasangan 1 m’nok atap seng</v>
      </c>
      <c r="D289" s="439">
        <f>Analisa!$H$4656</f>
        <v>80107.25</v>
      </c>
      <c r="F289" s="440"/>
      <c r="G289" s="441"/>
    </row>
    <row r="290" spans="2:7" ht="18" customHeight="1">
      <c r="B290" s="437" t="str">
        <f>Analisa!B4658</f>
        <v>A.4.5.2.40</v>
      </c>
      <c r="C290" s="438" t="str">
        <f>Analisa!C4658</f>
        <v>Pemasangan 1 m2 atap alumunium</v>
      </c>
      <c r="D290" s="439">
        <f>Analisa!$H$4672</f>
        <v>226516.75</v>
      </c>
      <c r="F290" s="440"/>
      <c r="G290" s="441"/>
    </row>
    <row r="291" spans="2:7" ht="18" customHeight="1">
      <c r="B291" s="437" t="str">
        <f>Analisa!B4674</f>
        <v>A.4.5.2.41</v>
      </c>
      <c r="C291" s="438" t="str">
        <f>Analisa!C4674</f>
        <v>Pemasangan 1 m’ nok alumunium</v>
      </c>
      <c r="D291" s="439">
        <f>Analisa!$H$4688</f>
        <v>323386.07</v>
      </c>
      <c r="F291" s="440"/>
      <c r="G291" s="441"/>
    </row>
    <row r="292" spans="2:7" ht="18" customHeight="1">
      <c r="B292" s="437" t="str">
        <f>Analisa!B4690</f>
        <v>A.4.5.2.42</v>
      </c>
      <c r="C292" s="438" t="str">
        <f>Analisa!C4690</f>
        <v>Pemasangan 1 m² alumunium foil/sisalation</v>
      </c>
      <c r="D292" s="439">
        <f>Analisa!$H$4703</f>
        <v>101732.45</v>
      </c>
      <c r="F292" s="440"/>
      <c r="G292" s="441"/>
    </row>
    <row r="293" spans="2:7" ht="18" customHeight="1">
      <c r="B293" s="437"/>
      <c r="C293" s="438"/>
      <c r="D293" s="442"/>
      <c r="F293" s="440"/>
      <c r="G293" s="441"/>
    </row>
    <row r="294" spans="2:7" ht="18" customHeight="1">
      <c r="B294" s="443" t="str">
        <f>Analisa!B4705</f>
        <v>A.4.6.1</v>
      </c>
      <c r="C294" s="444" t="str">
        <f>Analisa!C4705</f>
        <v>HARGA SATUAN PEKERJAAN KAYU</v>
      </c>
      <c r="D294" s="442"/>
      <c r="F294" s="440"/>
      <c r="G294" s="441"/>
    </row>
    <row r="295" spans="2:7" ht="18" customHeight="1">
      <c r="B295" s="437" t="str">
        <f>Analisa!B4706</f>
        <v>A.4.6.1.1</v>
      </c>
      <c r="C295" s="445" t="str">
        <f>Analisa!C4706</f>
        <v>Pembuatan dan pemasangan 1 m3 kusen pintu dan kusen jendela. kayu kelas I (Damar)</v>
      </c>
      <c r="D295" s="439">
        <f>Analisa!$H$4721</f>
        <v>19990084.440000001</v>
      </c>
      <c r="F295" s="440"/>
      <c r="G295" s="441"/>
    </row>
    <row r="296" spans="2:7" ht="18" customHeight="1">
      <c r="B296" s="437" t="str">
        <f>Analisa!B4723</f>
        <v>A.4.6.1.2</v>
      </c>
      <c r="C296" s="445" t="str">
        <f>Analisa!C4723</f>
        <v>Pembuatan dan pemasangan 1 m3 kusen pintu dan kusen jendela kayu kelas II Meranti</v>
      </c>
      <c r="D296" s="439">
        <f>Analisa!$H$4738</f>
        <v>15135416.939999999</v>
      </c>
      <c r="F296" s="440"/>
      <c r="G296" s="441"/>
    </row>
    <row r="297" spans="2:7" ht="18" customHeight="1">
      <c r="B297" s="437" t="str">
        <f>Analisa!B4740</f>
        <v>A.4.6.1.3</v>
      </c>
      <c r="C297" s="438" t="str">
        <f>Analisa!C4740</f>
        <v>Pembuatan dan pemasangan 1 m2 pintu klamp standar. kayu kelas II Meranti</v>
      </c>
      <c r="D297" s="439">
        <f>Analisa!$H$4754</f>
        <v>641219.4</v>
      </c>
      <c r="F297" s="440"/>
      <c r="G297" s="441"/>
    </row>
    <row r="298" spans="2:7" ht="18" customHeight="1">
      <c r="B298" s="437" t="str">
        <f>Analisa!B4756</f>
        <v>A.4.6.1.4</v>
      </c>
      <c r="C298" s="438" t="str">
        <f>Analisa!C4756</f>
        <v>Pembuatan dan pemasangan 1 m2 pintu klamp sederhana. kayu kelas III</v>
      </c>
      <c r="D298" s="439">
        <f>Analisa!$H$4770</f>
        <v>608490.4</v>
      </c>
      <c r="F298" s="440"/>
      <c r="G298" s="441"/>
    </row>
    <row r="299" spans="2:7" ht="18" customHeight="1">
      <c r="B299" s="437" t="str">
        <f>Analisa!B4772</f>
        <v>A.4.6.1.5</v>
      </c>
      <c r="C299" s="438" t="str">
        <f>Analisa!C4772</f>
        <v>Pembuatan dan pemasangan 1 m2 daun pintu panel. kayu kelas  II Meranti</v>
      </c>
      <c r="D299" s="439">
        <f>Analisa!$H$4786</f>
        <v>1243035</v>
      </c>
      <c r="F299" s="440"/>
      <c r="G299" s="441"/>
    </row>
    <row r="300" spans="2:7" ht="18" customHeight="1">
      <c r="B300" s="437" t="str">
        <f>Analisa!B4788</f>
        <v>A.4.6.1.6</v>
      </c>
      <c r="C300" s="438" t="str">
        <f>Analisa!C4788</f>
        <v>Pembuatan dan pemasangan 1 m2 pintu dan jendela kaca. kayu kelas  II Meranti</v>
      </c>
      <c r="D300" s="439">
        <f>Analisa!$H$4802</f>
        <v>928498.5</v>
      </c>
      <c r="F300" s="440"/>
      <c r="G300" s="441"/>
    </row>
    <row r="301" spans="2:7" ht="18" customHeight="1">
      <c r="B301" s="437" t="str">
        <f>Analisa!B4804</f>
        <v>A.4.6.1.7</v>
      </c>
      <c r="C301" s="438" t="str">
        <f>Analisa!C4804</f>
        <v xml:space="preserve"> Pembuatan dan pemasangan 1 m2 pintu dan jendela jalusi kayu kelas II Meranti</v>
      </c>
      <c r="D301" s="439">
        <f>Analisa!$H$4818</f>
        <v>1435172.4</v>
      </c>
      <c r="F301" s="440"/>
      <c r="G301" s="441"/>
    </row>
    <row r="302" spans="2:7" ht="18" customHeight="1">
      <c r="B302" s="437" t="str">
        <f>Analisa!B4820</f>
        <v>A.4.6.1.8</v>
      </c>
      <c r="C302" s="445" t="str">
        <f>Analisa!C4820</f>
        <v>Pembuatan 1 m2 daun pintu plywood rangkap. rangka kayu kelas II tertutup(lebar sampai 90 cm)</v>
      </c>
      <c r="D302" s="439">
        <f>Analisa!$H$4836</f>
        <v>937571.71</v>
      </c>
      <c r="F302" s="440"/>
      <c r="G302" s="441"/>
    </row>
    <row r="303" spans="2:7" ht="18" customHeight="1">
      <c r="B303" s="437" t="str">
        <f>Analisa!B4838</f>
        <v>A.4.6.1.9</v>
      </c>
      <c r="C303" s="438" t="str">
        <f>Analisa!C4838</f>
        <v>Pembuatan 1 m2 pintu plywood rangkap. rangka expose kayu kelas  II Meranti</v>
      </c>
      <c r="D303" s="439">
        <f>Analisa!$H$4854</f>
        <v>1033713.9</v>
      </c>
      <c r="F303" s="440"/>
      <c r="G303" s="441"/>
    </row>
    <row r="304" spans="2:7" ht="18" customHeight="1">
      <c r="B304" s="437" t="str">
        <f>Analisa!B4856</f>
        <v>A.4.6.1.10</v>
      </c>
      <c r="C304" s="438" t="str">
        <f>Analisa!C4856</f>
        <v>Pemasangan 1 m2 jalusi kusen. kayu kelas  II Meranti</v>
      </c>
      <c r="D304" s="439">
        <f>Analisa!$H$4870</f>
        <v>1171425.94</v>
      </c>
      <c r="F304" s="440"/>
      <c r="G304" s="441"/>
    </row>
    <row r="305" spans="2:7" ht="18" customHeight="1">
      <c r="B305" s="437" t="str">
        <f>Analisa!B4872</f>
        <v>A.4.6.1.11</v>
      </c>
      <c r="C305" s="438" t="str">
        <f>Analisa!C4872</f>
        <v>Pemasangan 1 m2 teakwood rangkap rangka expose kayu kelas I Damar</v>
      </c>
      <c r="D305" s="439">
        <f>Analisa!$H$4888</f>
        <v>1132912.44</v>
      </c>
      <c r="F305" s="440"/>
      <c r="G305" s="441"/>
    </row>
    <row r="306" spans="2:7" ht="18" customHeight="1">
      <c r="B306" s="437" t="str">
        <f>Analisa!B4890</f>
        <v>A.4.6.1.12</v>
      </c>
      <c r="C306" s="445" t="str">
        <f>Analisa!C4890</f>
        <v>Pemasangan 1 m2 teakwood rangkap lapis formika rangka expose kayu kelas II Meranti</v>
      </c>
      <c r="D306" s="439">
        <f>Analisa!$H$4907</f>
        <v>1157338.44</v>
      </c>
      <c r="F306" s="440"/>
      <c r="G306" s="441"/>
    </row>
    <row r="307" spans="2:7" ht="18" customHeight="1">
      <c r="B307" s="437" t="str">
        <f>Analisa!B4909</f>
        <v>A.4.6.1.13</v>
      </c>
      <c r="C307" s="445" t="str">
        <f>Analisa!C4909</f>
        <v>Pemasangan 1 m3 konstruksi kuda-kuda konvensional. kayu kelas I (damar) bentang 6 meter</v>
      </c>
      <c r="D307" s="439">
        <f>Analisa!$H$4924</f>
        <v>17610465.800000001</v>
      </c>
      <c r="F307" s="440"/>
      <c r="G307" s="441"/>
    </row>
    <row r="308" spans="2:7" ht="18" customHeight="1">
      <c r="B308" s="437" t="str">
        <f>Analisa!B4926</f>
        <v>A.4.6.1.13 A</v>
      </c>
      <c r="C308" s="445" t="str">
        <f>Analisa!C4926</f>
        <v>Pemasangan 1 m3 konstruksi kuda-kuda konvensional. kayu kelas II (meranti) bentang 6 meter</v>
      </c>
      <c r="D308" s="439">
        <f>Analisa!$H$4941</f>
        <v>12868613.300000001</v>
      </c>
      <c r="F308" s="440"/>
      <c r="G308" s="441"/>
    </row>
    <row r="309" spans="2:7" ht="18" customHeight="1">
      <c r="B309" s="437" t="str">
        <f>Analisa!B4943</f>
        <v>A.4.6.1.13 B</v>
      </c>
      <c r="C309" s="445" t="str">
        <f>Analisa!C4943</f>
        <v>Pemasangan 1 m3 konstruksi kuda-kuda konvensional. kayu kelas III bentang 6 meter</v>
      </c>
      <c r="D309" s="439">
        <f>Analisa!$H$4958</f>
        <v>11968565.800000001</v>
      </c>
      <c r="F309" s="440"/>
      <c r="G309" s="441"/>
    </row>
    <row r="310" spans="2:7" ht="18" customHeight="1">
      <c r="B310" s="437" t="str">
        <f>Analisa!B4960</f>
        <v>A.4.6.1.14</v>
      </c>
      <c r="C310" s="438" t="str">
        <f>Analisa!C4960</f>
        <v>Pemasangan 1 m3 konstruksi kuda-kuda expose. kayu kelas I (damar)</v>
      </c>
      <c r="D310" s="439">
        <f>Analisa!$H$4975</f>
        <v>21308262.050000001</v>
      </c>
      <c r="F310" s="440"/>
      <c r="G310" s="441"/>
    </row>
    <row r="311" spans="2:7" ht="18" customHeight="1">
      <c r="B311" s="437" t="str">
        <f>Analisa!B4977</f>
        <v>A.4.6.1.15</v>
      </c>
      <c r="C311" s="438" t="str">
        <f>Analisa!C4977</f>
        <v>Pemasangan 1 m3 konstruksi gordeng. kayu kelas II (meranti)</v>
      </c>
      <c r="D311" s="439">
        <f>Analisa!$H$4992</f>
        <v>15273638.869999999</v>
      </c>
      <c r="F311" s="440"/>
      <c r="G311" s="441"/>
    </row>
    <row r="312" spans="2:7" ht="18" customHeight="1">
      <c r="B312" s="437" t="str">
        <f>Analisa!B4994</f>
        <v>A.4.6.1.16</v>
      </c>
      <c r="C312" s="438" t="str">
        <f>Analisa!C4994</f>
        <v>Pemasangan 1 m2 rangka atap genteng keramik kayu kelas II meranti</v>
      </c>
      <c r="D312" s="439">
        <f>Analisa!$H$5009</f>
        <v>448971.99</v>
      </c>
      <c r="F312" s="440"/>
      <c r="G312" s="441"/>
    </row>
    <row r="313" spans="2:7" ht="18" customHeight="1">
      <c r="B313" s="437" t="str">
        <f>Analisa!B5011</f>
        <v>A.4.6.1.17</v>
      </c>
      <c r="C313" s="438" t="str">
        <f>Analisa!C5011</f>
        <v>Pemasangan 1 m2 rangka atap genteng beton. kayu kelas II meranti</v>
      </c>
      <c r="D313" s="439">
        <f>Analisa!$H$5026</f>
        <v>617092.21</v>
      </c>
      <c r="F313" s="440"/>
      <c r="G313" s="441"/>
    </row>
    <row r="314" spans="2:7" ht="18" customHeight="1">
      <c r="B314" s="437" t="str">
        <f>Analisa!B5028</f>
        <v>A.4.6.1.17 A</v>
      </c>
      <c r="C314" s="438" t="str">
        <f>Analisa!C5028</f>
        <v>Memasang 1 m2 rangka atap seng BJLS #0,35, kayu kelas II</v>
      </c>
      <c r="D314" s="439">
        <f>Analisa!$H$5042</f>
        <v>105707.59</v>
      </c>
      <c r="F314" s="440"/>
      <c r="G314" s="441"/>
    </row>
    <row r="315" spans="2:7" ht="18" customHeight="1">
      <c r="B315" s="437" t="str">
        <f>Analisa!B5044</f>
        <v>A.4.6.1.18</v>
      </c>
      <c r="C315" s="438" t="str">
        <f>Analisa!C5044</f>
        <v>Pemasangan 1 m2 rangka atap sirap kayu kelas II meranti</v>
      </c>
      <c r="D315" s="439">
        <f>Analisa!$H$5058</f>
        <v>164790.6</v>
      </c>
      <c r="F315" s="440">
        <f>D315*20.8</f>
        <v>3427644.4800000004</v>
      </c>
      <c r="G315" s="441"/>
    </row>
    <row r="316" spans="2:7" ht="18" customHeight="1">
      <c r="B316" s="437" t="str">
        <f>Analisa!B5060</f>
        <v>A.4.6.1.19</v>
      </c>
      <c r="C316" s="438" t="str">
        <f>Analisa!C5060</f>
        <v>Pemasangan 1 m2 rangka langit-langit  (50 x 100) cm kayu kelas III SK</v>
      </c>
      <c r="D316" s="439">
        <f>Analisa!$H$5074</f>
        <v>233465.34</v>
      </c>
      <c r="F316" s="440"/>
      <c r="G316" s="441"/>
    </row>
    <row r="317" spans="2:7" ht="18" customHeight="1">
      <c r="B317" s="437" t="str">
        <f>Analisa!B5076</f>
        <v>A.4.6.1.20</v>
      </c>
      <c r="C317" s="438" t="str">
        <f>Analisa!C5076</f>
        <v>Pemasangan 1 m2 rangka langit-langit  (60 x 60) cm kayu kelas III SK</v>
      </c>
      <c r="D317" s="439">
        <f>Analisa!$H$5090</f>
        <v>232915.74</v>
      </c>
      <c r="F317" s="440"/>
      <c r="G317" s="441"/>
    </row>
    <row r="318" spans="2:7" ht="18" customHeight="1">
      <c r="B318" s="437" t="str">
        <f>Analisa!B5092</f>
        <v>A.4.6.1.21</v>
      </c>
      <c r="C318" s="438" t="str">
        <f>Analisa!C5092</f>
        <v xml:space="preserve"> Pemasangan 1 m’ lisplank ukuran (3 x 20) cm kayu kelas II Meranti</v>
      </c>
      <c r="D318" s="439">
        <f>Analisa!$H$5106</f>
        <v>155886.38</v>
      </c>
      <c r="F318" s="440"/>
      <c r="G318" s="441"/>
    </row>
    <row r="319" spans="2:7" ht="18" customHeight="1">
      <c r="B319" s="437" t="str">
        <f>Analisa!B5108</f>
        <v>A.4.6.1.22</v>
      </c>
      <c r="C319" s="438" t="str">
        <f>Analisa!C5108</f>
        <v>Pemasangan 1 m’  lisplank ukuran (3 x 30) cm kayu kelas II Meranti</v>
      </c>
      <c r="D319" s="439">
        <f>Analisa!$H$5122</f>
        <v>156312.12</v>
      </c>
      <c r="F319" s="440"/>
      <c r="G319" s="441"/>
    </row>
    <row r="320" spans="2:7" ht="18" customHeight="1">
      <c r="B320" s="717" t="str">
        <f>Analisa!B5124</f>
        <v>A.4.6.1.22 A</v>
      </c>
      <c r="C320" s="718" t="str">
        <f>Analisa!C5124</f>
        <v>Pemasangan 1 m2 Lisplank GRC SHERA Berikut Frame</v>
      </c>
      <c r="D320" s="719">
        <f>Analisa!$H$5139</f>
        <v>377479.45</v>
      </c>
      <c r="E320" s="441">
        <f>Analisa!M5139</f>
        <v>242042.82</v>
      </c>
      <c r="F320" s="440"/>
      <c r="G320" s="441"/>
    </row>
    <row r="321" spans="2:7" ht="18" customHeight="1">
      <c r="B321" s="717" t="str">
        <f>Analisa!B5141</f>
        <v>A.4.6.1.22 B</v>
      </c>
      <c r="C321" s="718" t="str">
        <f>Analisa!C5141</f>
        <v>Pemasangan 1 m2 HPL</v>
      </c>
      <c r="D321" s="719">
        <f>Analisa!$H$5155</f>
        <v>425946.78</v>
      </c>
      <c r="E321" s="441"/>
      <c r="F321" s="440"/>
      <c r="G321" s="441"/>
    </row>
    <row r="322" spans="2:7" ht="18" customHeight="1">
      <c r="B322" s="437" t="str">
        <f>Analisa!B5157</f>
        <v>A.4.6.1.22 C</v>
      </c>
      <c r="C322" s="438" t="str">
        <f>Analisa!C5157</f>
        <v>Pemasangan 1 m2 Polycarbonat</v>
      </c>
      <c r="D322" s="439">
        <f>Analisa!$H$5171</f>
        <v>421399.33</v>
      </c>
      <c r="F322" s="440"/>
      <c r="G322" s="441"/>
    </row>
    <row r="323" spans="2:7" ht="18" customHeight="1">
      <c r="B323" s="437" t="str">
        <f>Analisa!B5173</f>
        <v>A.4.6.1.23</v>
      </c>
      <c r="C323" s="438" t="str">
        <f>Analisa!C5173</f>
        <v>Pemasangan 1 m2 rangka dinding pemisah (60 x 120) cm kayu kelas III SK</v>
      </c>
      <c r="D323" s="439">
        <f>Analisa!$H$5187</f>
        <v>341913.69</v>
      </c>
      <c r="F323" s="440"/>
      <c r="G323" s="441"/>
    </row>
    <row r="324" spans="2:7" ht="18" customHeight="1">
      <c r="B324" s="717" t="str">
        <f>Analisa!B5189</f>
        <v>A.4.6.1.23 A</v>
      </c>
      <c r="C324" s="718" t="str">
        <f>Analisa!C5189</f>
        <v>Pemasangan 1 m2 Rangka Dinding Pemisah Canal C</v>
      </c>
      <c r="D324" s="719">
        <f>Analisa!$H$5203</f>
        <v>253177.56</v>
      </c>
      <c r="E324" s="441">
        <f>Analisa!M5203</f>
        <v>210462.07999999999</v>
      </c>
      <c r="F324" s="440"/>
      <c r="G324" s="441"/>
    </row>
    <row r="325" spans="2:7" ht="18" customHeight="1">
      <c r="B325" s="717" t="str">
        <f>Analisa!B5205</f>
        <v>A.4.6.1.23 B</v>
      </c>
      <c r="C325" s="852" t="str">
        <f>Analisa!C5205</f>
        <v>Pemasangan 1 m2 Dinding Pemisah  gypsum board ukuran (120x240x9) mm tebal 9 mm</v>
      </c>
      <c r="D325" s="719">
        <f>Analisa!$H$5219</f>
        <v>82722.69</v>
      </c>
      <c r="E325" s="441">
        <f>Analisa!M5219</f>
        <v>52346.879999999997</v>
      </c>
      <c r="F325" s="440"/>
      <c r="G325" s="441"/>
    </row>
    <row r="326" spans="2:7" ht="18" customHeight="1">
      <c r="B326" s="437" t="str">
        <f>Analisa!B5221</f>
        <v>A.4.6.1.23 C</v>
      </c>
      <c r="C326" s="457" t="str">
        <f>Analisa!C5221</f>
        <v>Pemasangan 1 m2 Dinding Pemisah  calsiboard board ukuran (120x240x9) mm. tebal 4 mm</v>
      </c>
      <c r="D326" s="439">
        <f>Analisa!$H$5235</f>
        <v>96063.05</v>
      </c>
      <c r="F326" s="440"/>
      <c r="G326" s="441"/>
    </row>
    <row r="327" spans="2:7" ht="18" customHeight="1">
      <c r="B327" s="717" t="str">
        <f>Analisa!B5238</f>
        <v>A.4.6.1.23 D</v>
      </c>
      <c r="C327" s="718" t="str">
        <f>Analisa!C5238</f>
        <v>Pemasangan 1 m2 Dinding Pemisah Triplex ukuran (120x240x4) mm</v>
      </c>
      <c r="D327" s="719">
        <f>Analisa!$H$5252</f>
        <v>82342.179999999993</v>
      </c>
      <c r="F327" s="440"/>
      <c r="G327" s="441"/>
    </row>
    <row r="328" spans="2:7" ht="18" customHeight="1">
      <c r="B328" s="437" t="str">
        <f>Analisa!B5270</f>
        <v>A.4.6.1.23 E</v>
      </c>
      <c r="C328" s="438" t="str">
        <f>Analisa!C5270</f>
        <v>Pemasangan 1 m2 Dinding Pemisah Triplex partisi  ukuran (120x240x9) mm</v>
      </c>
      <c r="D328" s="439">
        <f>Analisa!$H$5284</f>
        <v>110508.1</v>
      </c>
      <c r="F328" s="440"/>
      <c r="G328" s="441"/>
    </row>
    <row r="329" spans="2:7" ht="18" customHeight="1">
      <c r="B329" s="437" t="str">
        <f>Analisa!B5286</f>
        <v>A.4.6.1.23 F</v>
      </c>
      <c r="C329" s="438" t="str">
        <f>Analisa!C5286</f>
        <v>Pemasangan 1 m2 Dinding Pemisah Papan Susun Sirih Rangka Kayu Kelas II</v>
      </c>
      <c r="D329" s="439">
        <f>Analisa!$H$5301</f>
        <v>410699.76</v>
      </c>
      <c r="F329" s="440"/>
      <c r="G329" s="441"/>
    </row>
    <row r="330" spans="2:7" ht="18" customHeight="1">
      <c r="B330" s="437" t="str">
        <f>Analisa!B5303</f>
        <v>A.4.6.1.23 G</v>
      </c>
      <c r="C330" s="438" t="str">
        <f>Analisa!C5303</f>
        <v>Pemasangan 1 m2 Dinding Pemisah Papan Susun Sirih Rangka Kayu Kelas III</v>
      </c>
      <c r="D330" s="439">
        <f>Analisa!$H$5318</f>
        <v>381898.23999999999</v>
      </c>
      <c r="F330" s="440"/>
      <c r="G330" s="441"/>
    </row>
    <row r="331" spans="2:7" ht="18" customHeight="1">
      <c r="B331" s="437" t="str">
        <f>Analisa!B5254</f>
        <v>A.4.6.1.23 H</v>
      </c>
      <c r="C331" s="438" t="str">
        <f>Analisa!C5254</f>
        <v>Pemasangan 1 m2 Acrylic tbl. 5 mm</v>
      </c>
      <c r="D331" s="439">
        <f>Analisa!H5268</f>
        <v>971324.79</v>
      </c>
      <c r="F331" s="440"/>
      <c r="G331" s="441"/>
    </row>
    <row r="332" spans="2:7" ht="18" customHeight="1">
      <c r="B332" s="437" t="str">
        <f>Analisa!B5320</f>
        <v>A.4.6.1.24</v>
      </c>
      <c r="C332" s="438" t="str">
        <f>Analisa!C5320</f>
        <v xml:space="preserve">Pemasangan 1 m2 dinding pemisah teakwood rangkap. rangka kayu kelas III </v>
      </c>
      <c r="D332" s="439">
        <f>Analisa!$H$5336</f>
        <v>428085.31</v>
      </c>
      <c r="F332" s="440"/>
      <c r="G332" s="441"/>
    </row>
    <row r="333" spans="2:7" ht="18" customHeight="1">
      <c r="B333" s="437" t="str">
        <f>Analisa!B5338</f>
        <v>A.4.6.1.25</v>
      </c>
      <c r="C333" s="438" t="str">
        <f>Analisa!C5338</f>
        <v xml:space="preserve">Pemasangan 1 m2 dinding pemisah plywood rangkap rangka kayu kelas III </v>
      </c>
      <c r="D333" s="439">
        <f>Analisa!$H$5354</f>
        <v>473625.31</v>
      </c>
      <c r="F333" s="440"/>
      <c r="G333" s="441"/>
    </row>
    <row r="334" spans="2:7" ht="18" customHeight="1">
      <c r="B334" s="447" t="str">
        <f>Analisa!B5356</f>
        <v>A.4.6.1.26</v>
      </c>
      <c r="C334" s="448" t="str">
        <f>Analisa!C5356</f>
        <v xml:space="preserve"> Pemasangan 1 m2 dinding lambrisering dari papan kayu kelas I Damar</v>
      </c>
      <c r="D334" s="449">
        <f>Analisa!$H$5371</f>
        <v>663405.30000000005</v>
      </c>
      <c r="F334" s="440"/>
      <c r="G334" s="441"/>
    </row>
    <row r="335" spans="2:7" ht="18" customHeight="1">
      <c r="B335" s="450" t="str">
        <f>Analisa!B5373</f>
        <v>A.4.6.1.27</v>
      </c>
      <c r="C335" s="451" t="str">
        <f>Analisa!C5373</f>
        <v>Pemasangan 1 m2 dinding lambrisering dari plywood ukuran (120 x 240) cm</v>
      </c>
      <c r="D335" s="452">
        <f>Analisa!$H$5387</f>
        <v>59256.84</v>
      </c>
      <c r="F335" s="440"/>
      <c r="G335" s="441"/>
    </row>
    <row r="336" spans="2:7" ht="18" customHeight="1">
      <c r="B336" s="437" t="str">
        <f>Analisa!B5389</f>
        <v>A.4.6.1.28</v>
      </c>
      <c r="C336" s="438" t="str">
        <f>Analisa!C5389</f>
        <v>Pemasangan 1 m2 dinding bilik rangka kayu kelas III SK</v>
      </c>
      <c r="D336" s="439">
        <f>Analisa!$H$5405</f>
        <v>208104.35</v>
      </c>
      <c r="F336" s="440"/>
      <c r="G336" s="441"/>
    </row>
    <row r="337" spans="2:7" ht="18" customHeight="1">
      <c r="B337" s="437" t="str">
        <f>Analisa!B5407</f>
        <v>A.4.6.1.29</v>
      </c>
      <c r="C337" s="438" t="str">
        <f>Analisa!C5407</f>
        <v>Pemasangan 1 m Cerocok Kayu Bulat Ø4"</v>
      </c>
      <c r="D337" s="439">
        <f>Analisa!$H$5424</f>
        <v>95881.83</v>
      </c>
      <c r="F337" s="440"/>
      <c r="G337" s="441"/>
    </row>
    <row r="338" spans="2:7" ht="18" customHeight="1">
      <c r="B338" s="437" t="str">
        <f>Analisa!B5426</f>
        <v>A.4.6.1.29.a</v>
      </c>
      <c r="C338" s="438" t="str">
        <f>Analisa!C5426</f>
        <v>Pemasangan 1 m Cerocok Kayu Bambu Ø4"</v>
      </c>
      <c r="D338" s="439">
        <f>Analisa!I5443</f>
        <v>88880.05</v>
      </c>
      <c r="F338" s="440"/>
      <c r="G338" s="441"/>
    </row>
    <row r="339" spans="2:7" ht="18" customHeight="1">
      <c r="B339" s="437"/>
      <c r="C339" s="438"/>
      <c r="D339" s="439"/>
      <c r="F339" s="440"/>
      <c r="G339" s="441"/>
    </row>
    <row r="340" spans="2:7" ht="18" customHeight="1">
      <c r="B340" s="443" t="str">
        <f>Analisa!B5445</f>
        <v>A.4.6.2</v>
      </c>
      <c r="C340" s="444" t="str">
        <f>Analisa!C5445</f>
        <v>HARGA SATUAN PEKERJAAN KUNCI DAN KACA</v>
      </c>
      <c r="D340" s="442"/>
      <c r="F340" s="440"/>
      <c r="G340" s="441"/>
    </row>
    <row r="341" spans="2:7" ht="18" customHeight="1">
      <c r="B341" s="437" t="str">
        <f>Analisa!B5446</f>
        <v>A.4.6.2.1</v>
      </c>
      <c r="C341" s="438" t="str">
        <f>Analisa!C5446</f>
        <v>Pemasangan 1 buah kunci tanam antik</v>
      </c>
      <c r="D341" s="439">
        <f>Analisa!$H$5459</f>
        <v>378413.25</v>
      </c>
      <c r="F341" s="440"/>
      <c r="G341" s="441"/>
    </row>
    <row r="342" spans="2:7" ht="18" customHeight="1">
      <c r="B342" s="437" t="str">
        <f>Analisa!B5461</f>
        <v>A.4.6.2.2</v>
      </c>
      <c r="C342" s="438" t="str">
        <f>Analisa!C5461</f>
        <v>Pemasangan 1 buah kunci tanam biasa</v>
      </c>
      <c r="D342" s="439">
        <f>Analisa!$H$5474</f>
        <v>204401</v>
      </c>
      <c r="F342" s="440"/>
      <c r="G342" s="441"/>
    </row>
    <row r="343" spans="2:7" ht="18" customHeight="1">
      <c r="B343" s="437" t="str">
        <f>Analisa!B5476</f>
        <v>A.4.6.2.3</v>
      </c>
      <c r="C343" s="438" t="str">
        <f>Analisa!C5476</f>
        <v>Pemasangan 1 buah kunci kamar mandi</v>
      </c>
      <c r="D343" s="439">
        <f>Analisa!$H$5489</f>
        <v>196862.75</v>
      </c>
      <c r="F343" s="440"/>
      <c r="G343" s="441"/>
    </row>
    <row r="344" spans="2:7" ht="18" customHeight="1">
      <c r="B344" s="437" t="str">
        <f>Analisa!B5491</f>
        <v>A.4.6.2.4</v>
      </c>
      <c r="C344" s="438" t="str">
        <f>Analisa!C5491</f>
        <v>Pemasangan 1 buah kunci silinder</v>
      </c>
      <c r="D344" s="439">
        <f>Analisa!$H$5504</f>
        <v>166071.5</v>
      </c>
      <c r="F344" s="440"/>
      <c r="G344" s="441"/>
    </row>
    <row r="345" spans="2:7" ht="18" customHeight="1">
      <c r="B345" s="437" t="str">
        <f>Analisa!B5506</f>
        <v>A.4.6.2.5</v>
      </c>
      <c r="C345" s="438" t="str">
        <f>Analisa!C5506</f>
        <v>Pemasangan 1 buah engsel pintu</v>
      </c>
      <c r="D345" s="439">
        <f>Analisa!$H$5519</f>
        <v>51508.5</v>
      </c>
      <c r="F345" s="440"/>
      <c r="G345" s="441"/>
    </row>
    <row r="346" spans="2:7" ht="18" customHeight="1">
      <c r="B346" s="437" t="str">
        <f>Analisa!B5521</f>
        <v>A.4.6.2.6</v>
      </c>
      <c r="C346" s="438" t="str">
        <f>Analisa!C5521</f>
        <v>Pemasangan 1 buah engsel jendela kupu-kupu</v>
      </c>
      <c r="D346" s="439">
        <f>Analisa!$H$5534</f>
        <v>35972.58</v>
      </c>
      <c r="F346" s="440"/>
      <c r="G346" s="441"/>
    </row>
    <row r="347" spans="2:7" ht="18" customHeight="1">
      <c r="B347" s="437" t="str">
        <f>Analisa!$B$5536</f>
        <v>A.4.6.2.6 A</v>
      </c>
      <c r="C347" s="438" t="str">
        <f>Analisa!$C$5536</f>
        <v>Pemasangan 1 buah engsel jendela Casement Alumunium 10"</v>
      </c>
      <c r="D347" s="439">
        <f>Analisa!$H$5549</f>
        <v>160607.28</v>
      </c>
      <c r="F347" s="440"/>
      <c r="G347" s="441"/>
    </row>
    <row r="348" spans="2:7" ht="18" customHeight="1">
      <c r="B348" s="437" t="str">
        <f>Analisa!$B$5551</f>
        <v>A.4.6.2.6 B</v>
      </c>
      <c r="C348" s="438" t="str">
        <f>Analisa!$C$5551</f>
        <v>Pemasangan 1 buah Pegangan Casement</v>
      </c>
      <c r="D348" s="439">
        <f>Analisa!$H$5564</f>
        <v>55678.98</v>
      </c>
      <c r="F348" s="440"/>
      <c r="G348" s="441"/>
    </row>
    <row r="349" spans="2:7" ht="18" customHeight="1">
      <c r="B349" s="437" t="str">
        <f>Analisa!B5566</f>
        <v>A.4.6.2.7</v>
      </c>
      <c r="C349" s="438" t="str">
        <f>Analisa!C5566</f>
        <v>Pemasangan 1 buah engsel angin/ hak angin</v>
      </c>
      <c r="D349" s="439">
        <f>Analisa!$H$5579</f>
        <v>76994.23</v>
      </c>
      <c r="F349" s="440"/>
      <c r="G349" s="441"/>
    </row>
    <row r="350" spans="2:7" ht="18" customHeight="1">
      <c r="B350" s="437" t="str">
        <f>Analisa!B5581</f>
        <v>A.4.6.2.8</v>
      </c>
      <c r="C350" s="438" t="str">
        <f>Analisa!C5581</f>
        <v xml:space="preserve">Pemasangan 1 buah spring knip/ grendel </v>
      </c>
      <c r="D350" s="439">
        <f>Analisa!$H$5594</f>
        <v>65688</v>
      </c>
      <c r="F350" s="440"/>
      <c r="G350" s="441"/>
    </row>
    <row r="351" spans="2:7" ht="18" customHeight="1">
      <c r="B351" s="437" t="str">
        <f>Analisa!B5596</f>
        <v>A.4.6.2.9</v>
      </c>
      <c r="C351" s="438" t="str">
        <f>Analisa!C5596</f>
        <v>Pemasangan 1 buah kait angin/ hak angin</v>
      </c>
      <c r="D351" s="439">
        <f>Analisa!$H$5609</f>
        <v>52139.85</v>
      </c>
      <c r="F351" s="440"/>
      <c r="G351" s="441"/>
    </row>
    <row r="352" spans="2:7" ht="18" customHeight="1">
      <c r="B352" s="437" t="str">
        <f>Analisa!B5611</f>
        <v>A.4.6.2.10</v>
      </c>
      <c r="C352" s="438" t="str">
        <f>Analisa!C5611</f>
        <v>Pemasangan 1 buah door closer</v>
      </c>
      <c r="D352" s="439">
        <f>Analisa!$H$5624</f>
        <v>350570.6</v>
      </c>
      <c r="F352" s="440"/>
      <c r="G352" s="441"/>
    </row>
    <row r="353" spans="2:7" ht="18" customHeight="1">
      <c r="B353" s="437" t="str">
        <f>Analisa!B5626</f>
        <v>A.4.6.2.11</v>
      </c>
      <c r="C353" s="438" t="str">
        <f>Analisa!C5626</f>
        <v>Pemasangan 1 buah kunci slot/ grendel</v>
      </c>
      <c r="D353" s="439">
        <f>Analisa!$H$5639</f>
        <v>83030</v>
      </c>
      <c r="F353" s="440"/>
      <c r="G353" s="441"/>
    </row>
    <row r="354" spans="2:7" ht="18" customHeight="1">
      <c r="B354" s="437" t="str">
        <f>Analisa!B5641</f>
        <v>A.4.6.2.12</v>
      </c>
      <c r="C354" s="438" t="str">
        <f>Analisa!C5641</f>
        <v>Pemasangan 1 buah Door holder</v>
      </c>
      <c r="D354" s="439">
        <f>Analisa!$H$5654</f>
        <v>240343.1</v>
      </c>
      <c r="F354" s="440"/>
      <c r="G354" s="441"/>
    </row>
    <row r="355" spans="2:7" ht="18" customHeight="1">
      <c r="B355" s="437" t="str">
        <f>Analisa!B5656</f>
        <v>A.4.6.2.13</v>
      </c>
      <c r="C355" s="438" t="str">
        <f>Analisa!C5656</f>
        <v>Pemasangan 1 buah door stop</v>
      </c>
      <c r="D355" s="439">
        <f>Analisa!$H$5669</f>
        <v>58685.65</v>
      </c>
      <c r="F355" s="440"/>
      <c r="G355" s="441"/>
    </row>
    <row r="356" spans="2:7" ht="18" customHeight="1">
      <c r="B356" s="437" t="str">
        <f>Analisa!B5671</f>
        <v>A.4.6.2.14</v>
      </c>
      <c r="C356" s="438" t="str">
        <f>Analisa!C5671</f>
        <v>Pemasangan 1 buah Rel pintu sorong</v>
      </c>
      <c r="D356" s="439">
        <f>Analisa!$H$5684</f>
        <v>446154</v>
      </c>
      <c r="F356" s="440"/>
      <c r="G356" s="441"/>
    </row>
    <row r="357" spans="2:7" ht="18" customHeight="1">
      <c r="B357" s="437" t="str">
        <f>Analisa!B5686</f>
        <v>A.4.6.2.15</v>
      </c>
      <c r="C357" s="438" t="str">
        <f>Analisa!C5686</f>
        <v>Pemasangan 1 buah kunci lemari</v>
      </c>
      <c r="D357" s="439">
        <f>Analisa!$H$5699</f>
        <v>82575.179999999993</v>
      </c>
      <c r="F357" s="440"/>
      <c r="G357" s="441"/>
    </row>
    <row r="358" spans="2:7" ht="18" customHeight="1">
      <c r="B358" s="437" t="str">
        <f>Analisa!B5701</f>
        <v>A.4.6.2.16</v>
      </c>
      <c r="C358" s="438" t="str">
        <f>Analisa!C5701</f>
        <v>Pemasangan 1 m2 kaca tebal 5 mm</v>
      </c>
      <c r="D358" s="439">
        <f>Analisa!$H$5715</f>
        <v>222707.85</v>
      </c>
      <c r="F358" s="440"/>
      <c r="G358" s="441"/>
    </row>
    <row r="359" spans="2:7" ht="18" customHeight="1">
      <c r="B359" s="437" t="str">
        <f>Analisa!B5717</f>
        <v>A.4.6.2.17</v>
      </c>
      <c r="C359" s="438" t="str">
        <f>Analisa!C5717</f>
        <v>Pemasangan 1 m2 kaca tebal 6 mm</v>
      </c>
      <c r="D359" s="439">
        <f>Analisa!$H$5731</f>
        <v>256578.23</v>
      </c>
      <c r="F359" s="440"/>
      <c r="G359" s="441"/>
    </row>
    <row r="360" spans="2:7" ht="18" customHeight="1">
      <c r="B360" s="437" t="str">
        <f>Analisa!B5733</f>
        <v>A.4.6.2.18</v>
      </c>
      <c r="C360" s="438" t="str">
        <f>Analisa!C5733</f>
        <v>Pemasangan 1 m2 kaca tebal 8 mm</v>
      </c>
      <c r="D360" s="439">
        <f>Analisa!$H$5747</f>
        <v>411078.08</v>
      </c>
      <c r="F360" s="440"/>
      <c r="G360" s="441"/>
    </row>
    <row r="361" spans="2:7" ht="18" customHeight="1">
      <c r="B361" s="437" t="str">
        <f>Analisa!B5749</f>
        <v>A.4.6.2.19</v>
      </c>
      <c r="C361" s="438" t="str">
        <f>Analisa!C5749</f>
        <v>Pemasangan 1 m2 kaca buram tebal 12 mm</v>
      </c>
      <c r="D361" s="439">
        <f>Analisa!$H$5763</f>
        <v>1150025.53</v>
      </c>
      <c r="F361" s="440"/>
      <c r="G361" s="441"/>
    </row>
    <row r="362" spans="2:7" ht="18" customHeight="1">
      <c r="B362" s="437" t="str">
        <f>Analisa!B5765</f>
        <v>A.4.6.2.19.a</v>
      </c>
      <c r="C362" s="438" t="str">
        <f>Analisa!C5765</f>
        <v>Pemasangan 1 m2 kaca Thempert tebal 10 mm</v>
      </c>
      <c r="D362" s="439">
        <f>Analisa!H5779</f>
        <v>675840.28</v>
      </c>
      <c r="F362" s="440"/>
      <c r="G362" s="441"/>
    </row>
    <row r="363" spans="2:7" ht="18" customHeight="1">
      <c r="B363" s="717" t="str">
        <f>Analisa!B5781</f>
        <v>A.4.6.2.19.b</v>
      </c>
      <c r="C363" s="718" t="str">
        <f>Analisa!C5781</f>
        <v>Pemasangan 1 m2 kaca Thempert tebal 12 mm</v>
      </c>
      <c r="D363" s="719">
        <f>Analisa!I5795</f>
        <v>2078788.5300000003</v>
      </c>
      <c r="E363" s="441">
        <f>Analisa!M5795</f>
        <v>1337126.6599999999</v>
      </c>
      <c r="F363" s="440"/>
      <c r="G363" s="441"/>
    </row>
    <row r="364" spans="2:7" ht="18" customHeight="1">
      <c r="B364" s="717" t="str">
        <f>Analisa!B5797</f>
        <v>A.4.6.2.20</v>
      </c>
      <c r="C364" s="718" t="str">
        <f>Analisa!C5797</f>
        <v>Pemasangan 1 m2 kaca cermin tebal 5 mm</v>
      </c>
      <c r="D364" s="719">
        <f>Analisa!$H$5810</f>
        <v>284921.7</v>
      </c>
      <c r="F364" s="440"/>
      <c r="G364" s="441"/>
    </row>
    <row r="365" spans="2:7" ht="18" customHeight="1">
      <c r="B365" s="437" t="str">
        <f>Analisa!B5812</f>
        <v>A.4.6.2.21</v>
      </c>
      <c r="C365" s="438" t="str">
        <f>Analisa!C5812</f>
        <v>Pemasangan 1 m2 kaca cermin tebal 6 mm</v>
      </c>
      <c r="D365" s="439">
        <f>Analisa!$H$5825</f>
        <v>290378.45</v>
      </c>
      <c r="F365" s="440"/>
      <c r="G365" s="441"/>
    </row>
    <row r="366" spans="2:7" ht="18" customHeight="1">
      <c r="B366" s="437"/>
      <c r="C366" s="438"/>
      <c r="D366" s="442"/>
      <c r="F366" s="440"/>
      <c r="G366" s="441"/>
    </row>
    <row r="367" spans="2:7" ht="18" customHeight="1">
      <c r="B367" s="443" t="str">
        <f>Analisa!B5827</f>
        <v>A.4.7.1</v>
      </c>
      <c r="C367" s="444" t="str">
        <f>Analisa!C5827</f>
        <v>HARGA SATUAN PEKERJAAN PENGECATAN</v>
      </c>
      <c r="D367" s="442"/>
      <c r="F367" s="440"/>
      <c r="G367" s="441"/>
    </row>
    <row r="368" spans="2:7" ht="18" customHeight="1">
      <c r="B368" s="437" t="str">
        <f>Analisa!B5828</f>
        <v>A.4.7.1.1</v>
      </c>
      <c r="C368" s="438" t="str">
        <f>Analisa!C5828</f>
        <v>1 m2 Pengikisan/pengerokan permukaan cat lama</v>
      </c>
      <c r="D368" s="439">
        <f>Analisa!$H$5839</f>
        <v>27759.74</v>
      </c>
      <c r="F368" s="440"/>
      <c r="G368" s="441"/>
    </row>
    <row r="369" spans="2:7" ht="18" customHeight="1">
      <c r="B369" s="437" t="str">
        <f>Analisa!B5841</f>
        <v>A.4.7.1.2</v>
      </c>
      <c r="C369" s="438" t="str">
        <f>Analisa!C5841</f>
        <v>1 m2 Pencucian bidang permukaan tembok yang pernah dicat</v>
      </c>
      <c r="D369" s="439">
        <f>Analisa!$H$5852</f>
        <v>27390.240000000002</v>
      </c>
      <c r="F369" s="440"/>
      <c r="G369" s="441"/>
    </row>
    <row r="370" spans="2:7" ht="18" customHeight="1">
      <c r="B370" s="437" t="str">
        <f>Analisa!B5854</f>
        <v>A.4.7.1.3</v>
      </c>
      <c r="C370" s="438" t="str">
        <f>Analisa!C5854</f>
        <v>1 m2 Pengerokan karat pada permukaan baja cara manual</v>
      </c>
      <c r="D370" s="439">
        <f>Analisa!$H$5865</f>
        <v>28683.99</v>
      </c>
      <c r="F370" s="440"/>
      <c r="G370" s="441"/>
    </row>
    <row r="371" spans="2:7" ht="18" customHeight="1">
      <c r="B371" s="437" t="str">
        <f>Analisa!B5867</f>
        <v>A.4.7.1.4</v>
      </c>
      <c r="C371" s="464" t="str">
        <f>Analisa!C5867</f>
        <v>1 m2 Pengecatan bidang kayu baru (1 lapis plamuur 1 lapis cat dasar 2 lapis cat penutup)</v>
      </c>
      <c r="D371" s="439">
        <f>Analisa!$H$5886</f>
        <v>70587.649999999994</v>
      </c>
      <c r="F371" s="440"/>
      <c r="G371" s="441"/>
    </row>
    <row r="372" spans="2:7" ht="18" customHeight="1">
      <c r="B372" s="437" t="str">
        <f>Analisa!B5888</f>
        <v>A.4.7.1.5</v>
      </c>
      <c r="C372" s="445" t="str">
        <f>Analisa!C5888</f>
        <v>Pengecatan 1 m2  bidang kayu baru (1 lapis plamuur 1 lapis cat dasar 3 lapis cat penutup)</v>
      </c>
      <c r="D372" s="439">
        <f>Analisa!$H$5907</f>
        <v>98439.84</v>
      </c>
      <c r="F372" s="440"/>
      <c r="G372" s="441"/>
    </row>
    <row r="373" spans="2:7" ht="18" customHeight="1">
      <c r="B373" s="437" t="str">
        <f>Analisa!B5909</f>
        <v>A.4.7.1.6</v>
      </c>
      <c r="C373" s="438" t="str">
        <f>Analisa!C5909</f>
        <v>Pelaburan 1 m2 bidang kayu dengan teak oil</v>
      </c>
      <c r="D373" s="439">
        <f>Analisa!$H$5922</f>
        <v>67433.009999999995</v>
      </c>
      <c r="F373" s="465"/>
      <c r="G373" s="441"/>
    </row>
    <row r="374" spans="2:7" ht="18" customHeight="1">
      <c r="B374" s="437" t="str">
        <f>Analisa!B5924</f>
        <v>A.4.7.1.7</v>
      </c>
      <c r="C374" s="438" t="str">
        <f>Analisa!C5924</f>
        <v>Pelaburan 1 m2 bidang kayu dengan politur</v>
      </c>
      <c r="D374" s="439">
        <f>Analisa!$H$5939</f>
        <v>66395.44</v>
      </c>
      <c r="F374" s="440"/>
      <c r="G374" s="441"/>
    </row>
    <row r="375" spans="2:7" ht="18" customHeight="1">
      <c r="B375" s="437" t="str">
        <f>Analisa!B5941</f>
        <v>A.4.7.1.8</v>
      </c>
      <c r="C375" s="438" t="str">
        <f>Analisa!C5941</f>
        <v>Pelaburan 1 m2 bidang kayu dengan cat residu dan ter</v>
      </c>
      <c r="D375" s="439">
        <f>Analisa!$H$5952</f>
        <v>22421.38</v>
      </c>
      <c r="F375" s="440"/>
      <c r="G375" s="441"/>
    </row>
    <row r="376" spans="2:7" ht="18" customHeight="1">
      <c r="B376" s="437" t="str">
        <f>Analisa!B5954</f>
        <v>A.4.7.1.9</v>
      </c>
      <c r="C376" s="438" t="str">
        <f>Analisa!C5954</f>
        <v>Pelaburan 1 m2 bidang kayu dengan vernis</v>
      </c>
      <c r="D376" s="439">
        <f>Analisa!$H$5969</f>
        <v>79916.259999999995</v>
      </c>
      <c r="F376" s="440"/>
      <c r="G376" s="441"/>
    </row>
    <row r="377" spans="2:7" ht="18" customHeight="1">
      <c r="B377" s="717" t="str">
        <f>Analisa!B5972</f>
        <v>A.4.7.1.9 A</v>
      </c>
      <c r="C377" s="718" t="str">
        <f>Analisa!C5972</f>
        <v>1 m2 Mengecatan Dinding Baru Dulux Professional Celling</v>
      </c>
      <c r="D377" s="719">
        <f>Analisa!$H$5986</f>
        <v>31043.1</v>
      </c>
      <c r="F377" s="440"/>
      <c r="G377" s="441"/>
    </row>
    <row r="378" spans="2:7" ht="18" customHeight="1">
      <c r="B378" s="437" t="str">
        <f>Analisa!B5988</f>
        <v>A.4.7.1.10</v>
      </c>
      <c r="C378" s="445" t="str">
        <f>Analisa!C5988</f>
        <v>Pengecatan 1 m2 tembok baru (1 lapis plamuur 1 lapis cat dasar 2 lapis cat penutup) setara Vinilex</v>
      </c>
      <c r="D378" s="439">
        <f>Analisa!$H$6003</f>
        <v>51881.45</v>
      </c>
      <c r="F378" s="440"/>
      <c r="G378" s="441"/>
    </row>
    <row r="379" spans="2:7" ht="18" customHeight="1">
      <c r="B379" s="437" t="str">
        <f>Analisa!B6005</f>
        <v>A.4.7.1.10 B</v>
      </c>
      <c r="C379" s="445" t="str">
        <f>Analisa!C6005</f>
        <v>Pengecatan 1 m2 tembok baru (1 lapis plamuur 1 lapis cat dasar 2 lapis cat penutup) setara Paragon</v>
      </c>
      <c r="D379" s="439">
        <f>Analisa!$H$6020</f>
        <v>40302.67</v>
      </c>
      <c r="F379" s="440"/>
      <c r="G379" s="441"/>
    </row>
    <row r="380" spans="2:7" ht="18" customHeight="1">
      <c r="B380" s="717" t="str">
        <f>Analisa!B6022</f>
        <v>A.4.7.1.11</v>
      </c>
      <c r="C380" s="718" t="str">
        <f>Analisa!C6022</f>
        <v>Pengecatan 1 m2 tembok lama Dulux interior (1 lapis cat dasar 2 lapis cat penutup)</v>
      </c>
      <c r="D380" s="719">
        <f>Analisa!$H$6037</f>
        <v>42451.45</v>
      </c>
      <c r="E380" s="441">
        <f>Analisa!M6037</f>
        <v>32998.28</v>
      </c>
      <c r="F380" s="440"/>
      <c r="G380" s="441"/>
    </row>
    <row r="381" spans="2:7" ht="18" customHeight="1">
      <c r="B381" s="437" t="str">
        <f>Analisa!B6039</f>
        <v>A.4.7.1.11 A</v>
      </c>
      <c r="C381" s="438" t="str">
        <f>Analisa!C6039</f>
        <v>1 m2 Pengecatan Tembok/ Plafond lama setara Vinilex (2 lps cat penutup)</v>
      </c>
      <c r="D381" s="439">
        <f>Analisa!$H$6052</f>
        <v>35382.050000000003</v>
      </c>
      <c r="F381" s="440"/>
      <c r="G381" s="441"/>
    </row>
    <row r="382" spans="2:7" ht="18" customHeight="1">
      <c r="B382" s="437" t="str">
        <f>Analisa!B6054</f>
        <v>A.4.7.1.11 B</v>
      </c>
      <c r="C382" s="445" t="str">
        <f>Analisa!C6054</f>
        <v>1 m2 Pengecatan Tembok/ Plafond Baru setara Paragon (1 lps plamur, 1 lps cat dasar, 2 lps cat penutup)</v>
      </c>
      <c r="D382" s="439">
        <f>Analisa!$H$6069</f>
        <v>36587.019999999997</v>
      </c>
      <c r="F382" s="440"/>
      <c r="G382" s="441"/>
    </row>
    <row r="383" spans="2:7" ht="18" customHeight="1">
      <c r="B383" s="437" t="str">
        <f>Analisa!B6071</f>
        <v>A.4.7.1.11 C</v>
      </c>
      <c r="C383" s="445" t="str">
        <f>Analisa!C6071</f>
        <v>1 m2 Pengecatan Tembok/ Plafond lama setara Paragon (1 lps cat dasar, 2 lps cat penutup)</v>
      </c>
      <c r="D383" s="439">
        <f>Analisa!$H$6085</f>
        <v>30151.62</v>
      </c>
      <c r="F383" s="440"/>
      <c r="G383" s="441"/>
    </row>
    <row r="384" spans="2:7" ht="18" customHeight="1">
      <c r="B384" s="437" t="str">
        <f>Analisa!B6087</f>
        <v>A.4.7.1.11 D</v>
      </c>
      <c r="C384" s="438" t="str">
        <f>Analisa!C6087</f>
        <v>1 m2 Pengecatan Tembok/ Plafond lama setara Paragon (2 lps cat penutup)</v>
      </c>
      <c r="D384" s="439">
        <f>Analisa!$H$6100</f>
        <v>23803.279999999999</v>
      </c>
      <c r="F384" s="440"/>
      <c r="G384" s="441"/>
    </row>
    <row r="385" spans="2:7" ht="18" customHeight="1">
      <c r="B385" s="437" t="str">
        <f>Analisa!B6102</f>
        <v>A.4.7.1.14</v>
      </c>
      <c r="C385" s="438" t="str">
        <f>Analisa!C6102</f>
        <v>Pelaburan 1 m2 tembok lama dengan kapur sirih (pemeliharaan)</v>
      </c>
      <c r="D385" s="439">
        <f>Analisa!$H$6117</f>
        <v>17134.310000000001</v>
      </c>
      <c r="F385" s="440"/>
      <c r="G385" s="441"/>
    </row>
    <row r="386" spans="2:7" ht="18" customHeight="1">
      <c r="B386" s="437" t="str">
        <f>Analisa!B6120</f>
        <v>A.4.7.1.16</v>
      </c>
      <c r="C386" s="438" t="str">
        <f>Analisa!C6120</f>
        <v>Pengecatan 1 m2 permukaan baja dengan menie besi</v>
      </c>
      <c r="D386" s="439">
        <f>Analisa!$H$6134</f>
        <v>62752.97</v>
      </c>
      <c r="F386" s="440"/>
      <c r="G386" s="441"/>
    </row>
    <row r="387" spans="2:7" ht="18" customHeight="1">
      <c r="B387" s="717" t="str">
        <f>Analisa!B6136</f>
        <v>A.4.7.1.16 A</v>
      </c>
      <c r="C387" s="718" t="str">
        <f>Analisa!C6136</f>
        <v>1 m2 Mengecatan Bidang Besi Dulux Professional Solvent Based Paint</v>
      </c>
      <c r="D387" s="719">
        <f>Analisa!$H$6151</f>
        <v>62389.46</v>
      </c>
      <c r="E387" s="441">
        <f>Analisa!M6151</f>
        <v>50106.58</v>
      </c>
      <c r="F387" s="440"/>
      <c r="G387" s="441"/>
    </row>
    <row r="388" spans="2:7" ht="18" customHeight="1">
      <c r="B388" s="717" t="str">
        <f>Analisa!B6153</f>
        <v>A.4.7.1.16 B</v>
      </c>
      <c r="C388" s="718" t="str">
        <f>Analisa!C6153</f>
        <v>1 m2 Pengecatan Tembok Luar DULUX Wheatershields</v>
      </c>
      <c r="D388" s="719">
        <f>Analisa!$H$6168</f>
        <v>53306.5</v>
      </c>
      <c r="E388" s="441">
        <f>Analisa!M6168</f>
        <v>42496.25</v>
      </c>
      <c r="F388" s="440"/>
      <c r="G388" s="441"/>
    </row>
    <row r="389" spans="2:7" ht="18" customHeight="1">
      <c r="B389" s="437" t="str">
        <f>Analisa!B6170</f>
        <v>A.4.7.1.17</v>
      </c>
      <c r="C389" s="438" t="str">
        <f>Analisa!C6170</f>
        <v>Pengecatan 1 m2 permukaan baja dengan menie besi dengan perancah</v>
      </c>
      <c r="D389" s="439">
        <f>Analisa!$H$6186</f>
        <v>124493.27</v>
      </c>
      <c r="F389" s="465"/>
      <c r="G389" s="441"/>
    </row>
    <row r="390" spans="2:7" ht="18" customHeight="1">
      <c r="B390" s="437" t="str">
        <f>Analisa!B6188</f>
        <v>A.4.7.1.18</v>
      </c>
      <c r="C390" s="438" t="str">
        <f>Analisa!C6188</f>
        <v>Pengecatan 1 m2 permukaan baja galvanis secara manual 4 lapis</v>
      </c>
      <c r="D390" s="439">
        <f>Analisa!$H$6205</f>
        <v>131286.20000000001</v>
      </c>
      <c r="F390" s="440"/>
      <c r="G390" s="441"/>
    </row>
    <row r="391" spans="2:7" ht="18" customHeight="1">
      <c r="B391" s="437" t="str">
        <f>Analisa!B6207</f>
        <v>A.4.7.1.19</v>
      </c>
      <c r="C391" s="445" t="str">
        <f>Analisa!C6207</f>
        <v>Pengecatan 1 m2  permukaan baja galvanis secara manual sistem 1 lapis cat mutakhir</v>
      </c>
      <c r="D391" s="439">
        <f>Analisa!$H$6222</f>
        <v>53853.599999999999</v>
      </c>
      <c r="F391" s="440"/>
      <c r="G391" s="441"/>
    </row>
    <row r="392" spans="2:7" ht="18" customHeight="1">
      <c r="B392" s="437" t="str">
        <f>Analisa!B6224</f>
        <v>A.4.7.1.20</v>
      </c>
      <c r="C392" s="438" t="str">
        <f>Analisa!C6224</f>
        <v>Pengecatan 1 m2 permukaan baja galvanis secara manual sistem 3 lapis</v>
      </c>
      <c r="D392" s="439">
        <f>Analisa!$H$6241</f>
        <v>299497.90000000002</v>
      </c>
      <c r="F392" s="440"/>
      <c r="G392" s="441"/>
    </row>
    <row r="393" spans="2:7" ht="18" customHeight="1">
      <c r="B393" s="437" t="str">
        <f>Analisa!B6243</f>
        <v>A.4.7.1.21</v>
      </c>
      <c r="C393" s="445" t="str">
        <f>Analisa!C6243</f>
        <v>Pengecatan 1 m2  permukaan baja galvanis secara semprot sistem 3 lapis cat mutakhir</v>
      </c>
      <c r="D393" s="439">
        <f>Analisa!$H$6257</f>
        <v>263405.33</v>
      </c>
      <c r="F393" s="440"/>
      <c r="G393" s="441"/>
    </row>
    <row r="394" spans="2:7" ht="18" customHeight="1">
      <c r="B394" s="437" t="str">
        <f>Analisa!B6259</f>
        <v>A.4.7.1.21A</v>
      </c>
      <c r="C394" s="445" t="str">
        <f>Analisa!C6259</f>
        <v>Pengecatan (coating) 1m2 ( 2 lapis cat penutup )</v>
      </c>
      <c r="D394" s="439">
        <f>Analisa!H6273</f>
        <v>264953.56</v>
      </c>
      <c r="F394" s="440"/>
      <c r="G394" s="441"/>
    </row>
    <row r="395" spans="2:7" ht="18" customHeight="1">
      <c r="B395" s="437"/>
      <c r="C395" s="438"/>
      <c r="D395" s="442"/>
      <c r="F395" s="440"/>
      <c r="G395" s="441"/>
    </row>
    <row r="396" spans="2:7" ht="18" customHeight="1">
      <c r="B396" s="443" t="str">
        <f>Analisa!B6275</f>
        <v>A.5.1.1</v>
      </c>
      <c r="C396" s="444" t="str">
        <f>Analisa!C6275</f>
        <v>HARGA SATUAN PEKERJAAN SANITASI DALAM GEDUNG</v>
      </c>
      <c r="D396" s="442"/>
      <c r="F396" s="440"/>
      <c r="G396" s="441"/>
    </row>
    <row r="397" spans="2:7" ht="18" customHeight="1">
      <c r="B397" s="437" t="str">
        <f>Analisa!B6276</f>
        <v>A.5.1.1.1</v>
      </c>
      <c r="C397" s="438" t="str">
        <f>Analisa!C6276</f>
        <v>Pemasangan 1 buah closet duduk/monoblock</v>
      </c>
      <c r="D397" s="439">
        <f>Analisa!$H$6290</f>
        <v>2808288.5</v>
      </c>
      <c r="F397" s="440"/>
      <c r="G397" s="441"/>
    </row>
    <row r="398" spans="2:7" ht="18" customHeight="1">
      <c r="B398" s="1009" t="str">
        <f>Analisa!B6292</f>
        <v>A.5.1.1.1 A</v>
      </c>
      <c r="C398" s="1010" t="str">
        <f>Analisa!C6292</f>
        <v xml:space="preserve">Pemasangan 1 buah closet duduk ROCA </v>
      </c>
      <c r="D398" s="1011">
        <f>Analisa!$H$6306</f>
        <v>4617894</v>
      </c>
      <c r="E398" s="441">
        <f>Analisa!M6306</f>
        <v>2942942.92</v>
      </c>
      <c r="F398" s="440"/>
      <c r="G398" s="441"/>
    </row>
    <row r="399" spans="2:7" ht="18" customHeight="1">
      <c r="B399" s="437" t="str">
        <f>Analisa!B6308</f>
        <v>A.5.1.1.2</v>
      </c>
      <c r="C399" s="438" t="str">
        <f>Analisa!C6308</f>
        <v>Pemasangan 1 buah closet jongkok porslen</v>
      </c>
      <c r="D399" s="439">
        <f>Analisa!$H$6323</f>
        <v>768497.42</v>
      </c>
      <c r="F399" s="440"/>
      <c r="G399" s="441"/>
    </row>
    <row r="400" spans="2:7" ht="18" customHeight="1">
      <c r="B400" s="437" t="str">
        <f>Analisa!B6325</f>
        <v>A.5.1.1.2 A</v>
      </c>
      <c r="C400" s="445" t="str">
        <f>Analisa!C6325</f>
        <v>Pemasangan 1 buah closet jongkok porslen Setara TOTO dengan flusher tanam</v>
      </c>
      <c r="D400" s="439">
        <f>Analisa!$H$6340</f>
        <v>3564342.92</v>
      </c>
      <c r="F400" s="440"/>
      <c r="G400" s="441"/>
    </row>
    <row r="401" spans="2:7" ht="18" customHeight="1">
      <c r="B401" s="1012" t="str">
        <f>Analisa!B6342</f>
        <v>A.5.1.1.2 B</v>
      </c>
      <c r="C401" s="1013" t="str">
        <f>Analisa!C6342</f>
        <v>Pemasangan 1 buah closet jongkok ROCA</v>
      </c>
      <c r="D401" s="1014">
        <f>Analisa!$H$6357</f>
        <v>1079889.82</v>
      </c>
      <c r="E401" s="441">
        <f>Analisa!M6357</f>
        <v>999849.76</v>
      </c>
      <c r="F401" s="440"/>
      <c r="G401" s="441"/>
    </row>
    <row r="402" spans="2:7" ht="18" customHeight="1">
      <c r="B402" s="1015" t="str">
        <f>Analisa!B6359</f>
        <v>A.5.1.1.4</v>
      </c>
      <c r="C402" s="1016" t="str">
        <f>Analisa!C6359</f>
        <v>Pemasangan 1 buah urinoir ROCA</v>
      </c>
      <c r="D402" s="1017">
        <f>Analisa!$H$6375</f>
        <v>4394132.32</v>
      </c>
      <c r="E402" s="441">
        <f>Analisa!M6375</f>
        <v>3114655.95</v>
      </c>
      <c r="F402" s="440"/>
      <c r="G402" s="441"/>
    </row>
    <row r="403" spans="2:7" ht="18" customHeight="1">
      <c r="B403" s="437" t="str">
        <f>Analisa!B6377</f>
        <v>A.5.1.1.5</v>
      </c>
      <c r="C403" s="438" t="str">
        <f>Analisa!C6377</f>
        <v>Pemasangan 1 buah wastafel</v>
      </c>
      <c r="D403" s="439">
        <f>Analisa!$H$6393</f>
        <v>1550487.58</v>
      </c>
      <c r="F403" s="440"/>
      <c r="G403" s="441"/>
    </row>
    <row r="404" spans="2:7" ht="18" customHeight="1">
      <c r="B404" s="1009" t="str">
        <f>Analisa!B6395</f>
        <v>A.5.1.1.5 A</v>
      </c>
      <c r="C404" s="1010" t="str">
        <f>Analisa!C6395</f>
        <v>Pemasangan 1 buah wastafel ROCA</v>
      </c>
      <c r="D404" s="1011">
        <f>Analisa!$H$6411</f>
        <v>2034148.32</v>
      </c>
      <c r="E404" s="441">
        <f>Analisa!M6411</f>
        <v>959116.88</v>
      </c>
      <c r="F404" s="440"/>
      <c r="G404" s="441"/>
    </row>
    <row r="405" spans="2:7" ht="18" customHeight="1">
      <c r="B405" s="437" t="str">
        <f>Analisa!B6413</f>
        <v>A.5.1.1.6</v>
      </c>
      <c r="C405" s="438" t="str">
        <f>Analisa!C6413</f>
        <v>Pemasangan 1 buah bathcuip porselen</v>
      </c>
      <c r="D405" s="439">
        <f>Analisa!$H$6427</f>
        <v>7585601.25</v>
      </c>
      <c r="F405" s="440"/>
      <c r="G405" s="441"/>
    </row>
    <row r="406" spans="2:7" ht="18" customHeight="1">
      <c r="B406" s="437" t="str">
        <f>Analisa!B6429</f>
        <v>A.5.1.1.7</v>
      </c>
      <c r="C406" s="438" t="str">
        <f>Analisa!C6429</f>
        <v>Pemasangan 1 buah bak fibreglass vol 0,3 m3</v>
      </c>
      <c r="D406" s="439">
        <f>Analisa!$H$6443</f>
        <v>612462.63</v>
      </c>
      <c r="F406" s="440"/>
      <c r="G406" s="441"/>
    </row>
    <row r="407" spans="2:7" ht="18" customHeight="1">
      <c r="B407" s="437" t="str">
        <f>Analisa!B6445</f>
        <v>A.5.1.1.8</v>
      </c>
      <c r="C407" s="438" t="str">
        <f>Analisa!C6445</f>
        <v>Pemasangan 1 buah bak mandi batu bata vol 0.30 m3</v>
      </c>
      <c r="D407" s="439">
        <f>Analisa!$H$6462</f>
        <v>2354829.59</v>
      </c>
      <c r="F407" s="440"/>
      <c r="G407" s="441"/>
    </row>
    <row r="408" spans="2:7" ht="18" customHeight="1">
      <c r="B408" s="437" t="str">
        <f>Analisa!B6464</f>
        <v>A.5.1.1.10</v>
      </c>
      <c r="C408" s="438" t="str">
        <f>Analisa!C6464</f>
        <v>Pemasangan 1 buah bak air fibreglass vol 1 m3</v>
      </c>
      <c r="D408" s="439">
        <f>Analisa!$H$6478</f>
        <v>612462.63</v>
      </c>
      <c r="F408" s="440"/>
      <c r="G408" s="441"/>
    </row>
    <row r="409" spans="2:7" ht="18" customHeight="1">
      <c r="B409" s="437" t="str">
        <f>Analisa!B6480</f>
        <v>A.5.1.1.11</v>
      </c>
      <c r="C409" s="438" t="str">
        <f>Analisa!C6480</f>
        <v>Pemasangan 1 buah bak beton volume 1 m3</v>
      </c>
      <c r="D409" s="439">
        <f>Analisa!$H$6497</f>
        <v>16112404.18</v>
      </c>
      <c r="F409" s="440"/>
      <c r="G409" s="441"/>
    </row>
    <row r="410" spans="2:7" ht="18" customHeight="1">
      <c r="B410" s="437" t="str">
        <f>Analisa!B6499</f>
        <v>A.5.1.1.12</v>
      </c>
      <c r="C410" s="438" t="str">
        <f>Analisa!C6499</f>
        <v>Pemasangan 1 buah bak cuci piring stainlessteel</v>
      </c>
      <c r="D410" s="439">
        <f>Analisa!$H$6513</f>
        <v>1091804.25</v>
      </c>
      <c r="F410" s="440"/>
      <c r="G410" s="441"/>
    </row>
    <row r="411" spans="2:7" ht="18" customHeight="1">
      <c r="B411" s="437" t="str">
        <f>Analisa!B6515</f>
        <v>A.5.1.1.13</v>
      </c>
      <c r="C411" s="438" t="str">
        <f>Analisa!C6515</f>
        <v>Pemasangan 1 buah bak cuci piring teraso</v>
      </c>
      <c r="D411" s="439">
        <f>Analisa!$H$6531</f>
        <v>1194583.3700000001</v>
      </c>
      <c r="F411" s="440"/>
      <c r="G411" s="441"/>
    </row>
    <row r="412" spans="2:7" ht="18" customHeight="1">
      <c r="B412" s="717" t="str">
        <f>Analisa!B6533</f>
        <v>A.5.1.1.14</v>
      </c>
      <c r="C412" s="718" t="str">
        <f>Analisa!C6533</f>
        <v>Pemasangan 1 buah floor drain</v>
      </c>
      <c r="D412" s="719">
        <f>Analisa!$H$6546</f>
        <v>62877.4</v>
      </c>
      <c r="E412" s="441">
        <f>Analisa!M6546</f>
        <v>59880.41</v>
      </c>
      <c r="F412" s="440"/>
      <c r="G412" s="441"/>
    </row>
    <row r="413" spans="2:7" ht="18" customHeight="1">
      <c r="B413" s="717" t="str">
        <f>Analisa!B6548</f>
        <v>A.5.1.1.18</v>
      </c>
      <c r="C413" s="718" t="str">
        <f>Analisa!C6548</f>
        <v>Pemasangan 1 buah kran diameter ½” atau 3/4”</v>
      </c>
      <c r="D413" s="719">
        <f>Analisa!$H$6562</f>
        <v>117445.02</v>
      </c>
      <c r="E413" s="441">
        <f>Analisa!M6562</f>
        <v>107525.06</v>
      </c>
      <c r="F413" s="440"/>
      <c r="G413" s="441"/>
    </row>
    <row r="414" spans="2:7" ht="18" customHeight="1">
      <c r="B414" s="437" t="str">
        <f>Analisa!B6564</f>
        <v>A.5.1.1.18 A</v>
      </c>
      <c r="C414" s="438" t="str">
        <f>Analisa!C6564</f>
        <v>Pemasangan 1 buah Stop Kran  ½” atau 3/4”</v>
      </c>
      <c r="D414" s="439">
        <f>Analisa!$H$6578</f>
        <v>128529.87</v>
      </c>
      <c r="F414" s="440"/>
      <c r="G414" s="441"/>
    </row>
    <row r="415" spans="2:7" ht="18" customHeight="1">
      <c r="B415" s="1009" t="str">
        <f>Analisa!$B$6581</f>
        <v>A.5.1.1.18 B</v>
      </c>
      <c r="C415" s="1010" t="str">
        <f>Analisa!$C$6581</f>
        <v>Pemasangan 1 buah  Shower Spray + Kran ROCA</v>
      </c>
      <c r="D415" s="1011">
        <f>Analisa!$H$6595</f>
        <v>2244951.92</v>
      </c>
      <c r="E415" s="441">
        <f>Analisa!M6595</f>
        <v>1214828.49</v>
      </c>
      <c r="F415" s="440"/>
      <c r="G415" s="441"/>
    </row>
    <row r="416" spans="2:7" ht="18" customHeight="1">
      <c r="B416" s="437" t="str">
        <f>Analisa!$B$6597</f>
        <v>A.5.1.1.18 C</v>
      </c>
      <c r="C416" s="438" t="str">
        <f>Analisa!$C$6597</f>
        <v>Pemasangan 1 buah Jet Washer Closet setara TOTO</v>
      </c>
      <c r="D416" s="439">
        <f>Analisa!$H$6611</f>
        <v>426589.17</v>
      </c>
      <c r="F416" s="440"/>
      <c r="G416" s="441"/>
    </row>
    <row r="417" spans="2:7" ht="18" customHeight="1">
      <c r="B417" s="437" t="str">
        <f>Analisa!$B$6613</f>
        <v>A.5.1.1.19</v>
      </c>
      <c r="C417" s="438" t="str">
        <f>Analisa!$C$6613</f>
        <v>Pemasangan 1 m’ pipa galvanis diameter ½”</v>
      </c>
      <c r="D417" s="439">
        <f>Analisa!$H$6627</f>
        <v>97997.94</v>
      </c>
      <c r="F417" s="440"/>
      <c r="G417" s="441"/>
    </row>
    <row r="418" spans="2:7" ht="18" customHeight="1">
      <c r="B418" s="437" t="str">
        <f>Analisa!B6629</f>
        <v>A.5.1.1.20</v>
      </c>
      <c r="C418" s="438" t="str">
        <f>Analisa!C6629</f>
        <v>Pemasangan 1 m’ pipa galvanis diameter 3/4”</v>
      </c>
      <c r="D418" s="439">
        <f>Analisa!$H$6643</f>
        <v>117950.67</v>
      </c>
      <c r="F418" s="440"/>
      <c r="G418" s="441"/>
    </row>
    <row r="419" spans="2:7" ht="18" customHeight="1">
      <c r="B419" s="437" t="str">
        <f>Analisa!B6645</f>
        <v>A.5.1.1.21</v>
      </c>
      <c r="C419" s="438" t="str">
        <f>Analisa!C6645</f>
        <v>Pemasangan 1 m’ pipa galvanis diameter 1”</v>
      </c>
      <c r="D419" s="439">
        <f>Analisa!$H$6659</f>
        <v>137903.4</v>
      </c>
      <c r="F419" s="440"/>
      <c r="G419" s="441"/>
    </row>
    <row r="420" spans="2:7" ht="18" customHeight="1">
      <c r="B420" s="437" t="str">
        <f>Analisa!B6661</f>
        <v>A.5.1.1.22</v>
      </c>
      <c r="C420" s="438" t="str">
        <f>Analisa!C6661</f>
        <v>Pemasangan 1 m’ pipa galvanis diameter 1 ½”</v>
      </c>
      <c r="D420" s="439">
        <f>Analisa!$H$6675</f>
        <v>213246.23</v>
      </c>
      <c r="F420" s="440"/>
      <c r="G420" s="441"/>
    </row>
    <row r="421" spans="2:7" ht="18" customHeight="1">
      <c r="B421" s="437" t="str">
        <f>Analisa!B6677</f>
        <v>A.5.1.1.23</v>
      </c>
      <c r="C421" s="438" t="str">
        <f>Analisa!C6677</f>
        <v>Pemasangan 1 m’ pipa galvanis diameter 3”</v>
      </c>
      <c r="D421" s="439">
        <f>Analisa!$H$6691</f>
        <v>651352.96</v>
      </c>
      <c r="F421" s="440"/>
      <c r="G421" s="441"/>
    </row>
    <row r="422" spans="2:7" ht="18" customHeight="1">
      <c r="B422" s="437" t="str">
        <f>Analisa!B6693</f>
        <v>A.5.1.1.24</v>
      </c>
      <c r="C422" s="438" t="str">
        <f>Analisa!C6693</f>
        <v>Pemasangan 1 m’ pipa galvanis diameter 4”</v>
      </c>
      <c r="D422" s="439">
        <f>Analisa!$H$6707</f>
        <v>846084.9</v>
      </c>
      <c r="F422" s="440"/>
      <c r="G422" s="441"/>
    </row>
    <row r="423" spans="2:7" ht="18" customHeight="1">
      <c r="B423" s="437" t="str">
        <f>Analisa!B6709</f>
        <v>A.5.1.1.25</v>
      </c>
      <c r="C423" s="438" t="str">
        <f>Analisa!C6709</f>
        <v>Pemasangan 1 m’ pipa PVC tipe AW diameter 1/2”</v>
      </c>
      <c r="D423" s="439">
        <f>Analisa!$H$6723</f>
        <v>29267.59</v>
      </c>
      <c r="F423" s="440"/>
      <c r="G423" s="441"/>
    </row>
    <row r="424" spans="2:7" ht="18" customHeight="1">
      <c r="B424" s="717" t="str">
        <f>Analisa!B6725</f>
        <v>A.5.1.1.26</v>
      </c>
      <c r="C424" s="718" t="str">
        <f>Analisa!C6725</f>
        <v>Pemasangan 1 m’ pipa PVC tipe AW diameter 3/4”</v>
      </c>
      <c r="D424" s="719">
        <f>Analisa!$H$6739</f>
        <v>35253.410000000003</v>
      </c>
      <c r="E424" s="441">
        <f>Analisa!M6739</f>
        <v>34198.129999999997</v>
      </c>
      <c r="F424" s="440"/>
      <c r="G424" s="441"/>
    </row>
    <row r="425" spans="2:7" ht="18" customHeight="1">
      <c r="B425" s="437" t="str">
        <f>Analisa!B6741</f>
        <v>A.5.1.1.27</v>
      </c>
      <c r="C425" s="438" t="str">
        <f>Analisa!C6741</f>
        <v>Pemasangan 1 m’ pipa PVC tipe AW diameter 1”</v>
      </c>
      <c r="D425" s="439">
        <f>Analisa!$H$6755</f>
        <v>39243.96</v>
      </c>
      <c r="F425" s="440"/>
      <c r="G425" s="441"/>
    </row>
    <row r="426" spans="2:7" ht="18" customHeight="1">
      <c r="B426" s="717" t="str">
        <f>Analisa!B6757</f>
        <v>A.5.1.1.28</v>
      </c>
      <c r="C426" s="718" t="str">
        <f>Analisa!C6757</f>
        <v>Pemasangan 1 m’ pipa PVC tipe AW diameter 11/2”</v>
      </c>
      <c r="D426" s="719">
        <f>Analisa!$H$6771</f>
        <v>55873.03</v>
      </c>
      <c r="E426" s="441">
        <f>Analisa!M6771</f>
        <v>54063.98</v>
      </c>
      <c r="F426" s="440"/>
      <c r="G426" s="441"/>
    </row>
    <row r="427" spans="2:7" ht="18" customHeight="1">
      <c r="B427" s="437" t="str">
        <f>Analisa!B6773</f>
        <v>A.5.1.1.29</v>
      </c>
      <c r="C427" s="438" t="str">
        <f>Analisa!C6773</f>
        <v>Pemasangan 1 m’ pipa PVC tipe AW diameter 2”</v>
      </c>
      <c r="D427" s="439">
        <f>Analisa!$H$6787</f>
        <v>63854.12</v>
      </c>
      <c r="F427" s="440"/>
      <c r="G427" s="441"/>
    </row>
    <row r="428" spans="2:7" ht="18" customHeight="1">
      <c r="B428" s="437" t="str">
        <f>Analisa!B6789</f>
        <v>A.5.1.1.30</v>
      </c>
      <c r="C428" s="438" t="str">
        <f>Analisa!C6789</f>
        <v>Pemasangan 1 m’ pipa PVC tipe AW diameter 21/2”</v>
      </c>
      <c r="D428" s="439">
        <f>Analisa!$H$6803</f>
        <v>87670.71</v>
      </c>
      <c r="F428" s="465"/>
      <c r="G428" s="441"/>
    </row>
    <row r="429" spans="2:7" ht="18" customHeight="1">
      <c r="B429" s="717" t="str">
        <f>Analisa!B6805</f>
        <v>A.5.1.1.31</v>
      </c>
      <c r="C429" s="718" t="str">
        <f>Analisa!C6805</f>
        <v>Pemasangan 1 m’ pipa PVC tipe AW diameter 3”</v>
      </c>
      <c r="D429" s="719">
        <f>Analisa!$H$6819</f>
        <v>97647.08</v>
      </c>
      <c r="E429" s="441">
        <f>Analisa!M6819</f>
        <v>93878.23</v>
      </c>
      <c r="F429" s="440"/>
      <c r="G429" s="441"/>
    </row>
    <row r="430" spans="2:7" ht="18" customHeight="1">
      <c r="B430" s="717" t="str">
        <f>Analisa!B6821</f>
        <v>A.5.1.1.32</v>
      </c>
      <c r="C430" s="718" t="str">
        <f>Analisa!C6821</f>
        <v>Pemasangan 1 m’ pipa PVC tipe AW diameter 4”</v>
      </c>
      <c r="D430" s="719">
        <f>Analisa!$H$6835</f>
        <v>117599.81</v>
      </c>
      <c r="E430" s="441">
        <f>Analisa!M6835</f>
        <v>112323.42</v>
      </c>
      <c r="F430" s="440"/>
      <c r="G430" s="441"/>
    </row>
    <row r="431" spans="2:7" ht="18" customHeight="1">
      <c r="B431" s="437" t="str">
        <f>Analisa!B6837</f>
        <v>A.5.1.1.32 A</v>
      </c>
      <c r="C431" s="438" t="str">
        <f>Analisa!C6837</f>
        <v>Pemasangan 1 m’  Instalasi pipa air bersih GIP 3/4"</v>
      </c>
      <c r="D431" s="439">
        <f>Analisa!$H$6851</f>
        <v>127576.17</v>
      </c>
      <c r="F431" s="440"/>
      <c r="G431" s="441"/>
    </row>
    <row r="432" spans="2:7" ht="18" customHeight="1">
      <c r="B432" s="437" t="str">
        <f>Analisa!B6853</f>
        <v>A.5.1.1.32 B</v>
      </c>
      <c r="C432" s="438" t="str">
        <f>Analisa!C6853</f>
        <v>Pemasangan 1 m’  Instalasi pipa air bersih GIP 1"</v>
      </c>
      <c r="D432" s="439">
        <f>Analisa!$H$6867</f>
        <v>147528.9</v>
      </c>
      <c r="F432" s="440"/>
      <c r="G432" s="441"/>
    </row>
    <row r="433" spans="2:9" ht="18" customHeight="1">
      <c r="B433" s="437" t="str">
        <f>Analisa!B6869</f>
        <v>A.5.1.1.32 C</v>
      </c>
      <c r="C433" s="438" t="str">
        <f>Analisa!C6869</f>
        <v>Memasang 1 m' Riol uk. Ø 150 mm</v>
      </c>
      <c r="D433" s="439">
        <f>Analisa!$H$6884</f>
        <v>108438.56</v>
      </c>
      <c r="F433" s="440"/>
      <c r="G433" s="441"/>
    </row>
    <row r="434" spans="2:9" ht="18" customHeight="1">
      <c r="B434" s="437" t="str">
        <f>Analisa!B6886</f>
        <v>A.5.1.1.32 D</v>
      </c>
      <c r="C434" s="438" t="str">
        <f>Analisa!C6886</f>
        <v>Memasang 1 m' Riol uk. Ø 200 mm</v>
      </c>
      <c r="D434" s="439">
        <f>Analisa!$H$6901</f>
        <v>147489.10999999999</v>
      </c>
      <c r="F434" s="440"/>
      <c r="G434" s="441"/>
    </row>
    <row r="435" spans="2:9" ht="18" customHeight="1">
      <c r="B435" s="437" t="str">
        <f>Analisa!B6903</f>
        <v>A.5.1.1.32 E</v>
      </c>
      <c r="C435" s="438" t="str">
        <f>Analisa!C6903</f>
        <v>Memasang 1 m' Riol uk. Ø 300 mm</v>
      </c>
      <c r="D435" s="439">
        <f>Analisa!$H$6918</f>
        <v>184438.61</v>
      </c>
      <c r="F435" s="440"/>
      <c r="G435" s="441"/>
    </row>
    <row r="436" spans="2:9" ht="18" customHeight="1">
      <c r="B436" s="437" t="str">
        <f>Analisa!B6920</f>
        <v>A.5.1.1.32 F</v>
      </c>
      <c r="C436" s="438" t="str">
        <f>Analisa!C6920</f>
        <v>Memasang 1 m' Riol uk. Ø 400 mm</v>
      </c>
      <c r="D436" s="439">
        <f>Analisa!$H$6935</f>
        <v>282109.90999999997</v>
      </c>
      <c r="F436" s="465"/>
      <c r="G436" s="441"/>
    </row>
    <row r="437" spans="2:9" ht="18" customHeight="1">
      <c r="B437" s="437" t="str">
        <f>Analisa!B6937</f>
        <v>A.5.1.1.32 G</v>
      </c>
      <c r="C437" s="438" t="str">
        <f>Analisa!C6937</f>
        <v>Memasang 1 m' Riol uk. Ø 500 mm</v>
      </c>
      <c r="D437" s="439">
        <f>Analisa!$H$6952</f>
        <v>307134.57</v>
      </c>
      <c r="F437" s="440"/>
      <c r="G437" s="441"/>
    </row>
    <row r="438" spans="2:9" ht="18" customHeight="1">
      <c r="B438" s="437" t="str">
        <f>Analisa!B6954</f>
        <v>A.5.1.1.32 H</v>
      </c>
      <c r="C438" s="438" t="str">
        <f>Analisa!C6954</f>
        <v>Memasang 1 m' Riol uk. Ø 600 mm</v>
      </c>
      <c r="D438" s="439">
        <f>Analisa!$H$6969</f>
        <v>395573.67</v>
      </c>
      <c r="F438" s="440"/>
      <c r="G438" s="441"/>
    </row>
    <row r="439" spans="2:9" ht="18" customHeight="1">
      <c r="B439" s="437" t="str">
        <f>Analisa!B6971</f>
        <v>A.5.1.1.32 I</v>
      </c>
      <c r="C439" s="438" t="str">
        <f>Analisa!C6971</f>
        <v>Memasang 1 m' Riol uk. Ø 800 mm</v>
      </c>
      <c r="D439" s="439">
        <f>Analisa!$H$6986</f>
        <v>741819.28</v>
      </c>
      <c r="F439" s="440"/>
      <c r="G439" s="441"/>
    </row>
    <row r="440" spans="2:9" ht="18" customHeight="1">
      <c r="B440" s="437" t="str">
        <f>Analisa!B6988</f>
        <v>A.5.1.1.32 J</v>
      </c>
      <c r="C440" s="438" t="str">
        <f>Analisa!C6988</f>
        <v>Memasang 1 m' Riol uk. Ø 1000 mm</v>
      </c>
      <c r="D440" s="439">
        <f>Analisa!$H$7003</f>
        <v>878063.39</v>
      </c>
      <c r="F440" s="440"/>
      <c r="G440" s="441"/>
    </row>
    <row r="441" spans="2:9" ht="18" customHeight="1">
      <c r="B441" s="437" t="str">
        <f>Analisa!B7005</f>
        <v>A.5.1.1.32 K</v>
      </c>
      <c r="C441" s="438" t="str">
        <f>Analisa!C7005</f>
        <v>Memasang 1 m' Riol uk. 1/2 Ø 150 mm</v>
      </c>
      <c r="D441" s="439">
        <f>Analisa!$H$7020</f>
        <v>116697.86</v>
      </c>
      <c r="F441" s="440"/>
      <c r="G441" s="441"/>
    </row>
    <row r="442" spans="2:9" ht="18" customHeight="1">
      <c r="B442" s="437" t="str">
        <f>Analisa!B7022</f>
        <v>A.5.1.1.32 L</v>
      </c>
      <c r="C442" s="438" t="str">
        <f>Analisa!C7022</f>
        <v>Memasang 1 m' Riol uk. 1/2 Ø 200 mm</v>
      </c>
      <c r="D442" s="439">
        <f>Analisa!I7037</f>
        <v>122856.11023000001</v>
      </c>
      <c r="F442" s="440"/>
      <c r="G442" s="441"/>
    </row>
    <row r="443" spans="2:9" ht="18" customHeight="1">
      <c r="B443" s="437" t="str">
        <f>Analisa!B7039</f>
        <v>A.5.1.1.32 M</v>
      </c>
      <c r="C443" s="466" t="str">
        <f>Analisa!C7039</f>
        <v>Memasang 1 m' Riol uk. 1/2 Ø 300 mm</v>
      </c>
      <c r="D443" s="439">
        <f>Analisa!$H$7054</f>
        <v>147489.10999999999</v>
      </c>
      <c r="F443" s="440"/>
      <c r="G443" s="441"/>
    </row>
    <row r="444" spans="2:9" ht="18" customHeight="1">
      <c r="B444" s="437" t="str">
        <f>Analisa!B7056</f>
        <v>A.5.1.1.33</v>
      </c>
      <c r="C444" s="467" t="str">
        <f>Analisa!C7056</f>
        <v>Pemasangan 1 m’ pipa air limbah jenis pipa tanah  Ǿ 20 cm</v>
      </c>
      <c r="D444" s="439">
        <f>Analisa!$H$7072</f>
        <v>980537.94</v>
      </c>
      <c r="F444" s="440"/>
      <c r="G444" s="441"/>
    </row>
    <row r="445" spans="2:9" ht="18" customHeight="1">
      <c r="B445" s="437" t="str">
        <f>Analisa!B7074</f>
        <v>A.5.1.1.34</v>
      </c>
      <c r="C445" s="466" t="str">
        <f>Analisa!C7074</f>
        <v>Pemasangan 1 m' pipa air limbah jenis pipa tanah Ø15 cm</v>
      </c>
      <c r="D445" s="439">
        <f>Analisa!$H$7090</f>
        <v>615877.93999999994</v>
      </c>
      <c r="F445" s="440"/>
      <c r="G445" s="441"/>
    </row>
    <row r="446" spans="2:9" ht="18" customHeight="1">
      <c r="B446" s="437"/>
      <c r="C446" s="466"/>
      <c r="D446" s="439"/>
      <c r="F446" s="465"/>
      <c r="G446" s="441"/>
    </row>
    <row r="447" spans="2:9" s="470" customFormat="1" ht="18" customHeight="1">
      <c r="B447" s="443" t="str">
        <f>Analisa!B7092</f>
        <v>A.8.4.1</v>
      </c>
      <c r="C447" s="468" t="str">
        <f>Analisa!C7092</f>
        <v>HARGA SATUAN PEKERJAAN PEMASANGAN PIPA</v>
      </c>
      <c r="D447" s="469"/>
      <c r="F447" s="440"/>
      <c r="G447" s="441"/>
      <c r="I447" s="455"/>
    </row>
    <row r="448" spans="2:9" ht="18" customHeight="1">
      <c r="B448" s="437" t="str">
        <f>Analisa!B7093</f>
        <v>A.8.4.1.1</v>
      </c>
      <c r="C448" s="466" t="str">
        <f>Analisa!C7093</f>
        <v>Pemasangan 1 m pipa PVC Ø 63 mm (Air Minum)</v>
      </c>
      <c r="D448" s="439">
        <f>Analisa!$H$7110</f>
        <v>83158.48</v>
      </c>
      <c r="F448" s="440"/>
      <c r="G448" s="441"/>
    </row>
    <row r="449" spans="2:7" ht="18" customHeight="1">
      <c r="B449" s="437" t="str">
        <f>Analisa!B7112</f>
        <v>A.8.4.1.2</v>
      </c>
      <c r="C449" s="466" t="str">
        <f>Analisa!C7112</f>
        <v>Pemasangan 1 m pipa PVC Ø 90 mm (Air Minum)</v>
      </c>
      <c r="D449" s="439">
        <f>Analisa!$H$7129</f>
        <v>141746.22</v>
      </c>
      <c r="F449" s="440"/>
      <c r="G449" s="441"/>
    </row>
    <row r="450" spans="2:7" ht="18" customHeight="1">
      <c r="B450" s="437" t="str">
        <f>Analisa!B7131</f>
        <v>A.8.4.1.3</v>
      </c>
      <c r="C450" s="466" t="str">
        <f>Analisa!C7131</f>
        <v>Pemasangan 1 m pipa PVC Ø 110 mm (Air minum)</v>
      </c>
      <c r="D450" s="439">
        <f>Analisa!$H$7148</f>
        <v>192267.36</v>
      </c>
      <c r="F450" s="440"/>
      <c r="G450" s="441"/>
    </row>
    <row r="451" spans="2:7" ht="18" customHeight="1">
      <c r="B451" s="437" t="str">
        <f>Analisa!B7150</f>
        <v>A.8.4.1.4</v>
      </c>
      <c r="C451" s="466" t="str">
        <f>Analisa!C7150</f>
        <v>Pemasangan 1 m pipa PVC Ø 160 mm (Air minum)</v>
      </c>
      <c r="D451" s="439">
        <f>Analisa!$H$7167</f>
        <v>365327.91</v>
      </c>
      <c r="F451" s="440"/>
      <c r="G451" s="441"/>
    </row>
    <row r="452" spans="2:7" ht="18" customHeight="1">
      <c r="B452" s="437" t="str">
        <f>Analisa!B7169</f>
        <v>A.8.4.1.5</v>
      </c>
      <c r="C452" s="466" t="str">
        <f>Analisa!C7169</f>
        <v>Pemasangan 1 m pipa PVC Ø 200 mm (Air minum)</v>
      </c>
      <c r="D452" s="439">
        <f>Analisa!$H$7186</f>
        <v>565561.15</v>
      </c>
      <c r="F452" s="440"/>
      <c r="G452" s="441"/>
    </row>
    <row r="453" spans="2:7" ht="18" customHeight="1">
      <c r="B453" s="437" t="str">
        <f>Analisa!B7188</f>
        <v>A.8.4.1.6</v>
      </c>
      <c r="C453" s="466" t="str">
        <f>Analisa!C7188</f>
        <v>Pemasangan 1 m pipa PVC Ø 250 mm (Air minum)</v>
      </c>
      <c r="D453" s="439">
        <f>Analisa!$H$7205</f>
        <v>873700.03</v>
      </c>
      <c r="F453" s="440"/>
      <c r="G453" s="441"/>
    </row>
    <row r="454" spans="2:7" ht="18" customHeight="1">
      <c r="B454" s="437" t="str">
        <f>Analisa!B7207</f>
        <v>A.8.4.1.7</v>
      </c>
      <c r="C454" s="466" t="str">
        <f>Analisa!C7207</f>
        <v>Pemasangan 1 m pipa PVC Ø 300 mm (Air minum)</v>
      </c>
      <c r="D454" s="439">
        <f>Analisa!$H$7224</f>
        <v>1350496.77</v>
      </c>
      <c r="F454" s="440"/>
      <c r="G454" s="441"/>
    </row>
    <row r="455" spans="2:7" ht="18" customHeight="1">
      <c r="B455" s="437" t="str">
        <f>Analisa!B7226</f>
        <v>A.8.4.1.3 L</v>
      </c>
      <c r="C455" s="466" t="str">
        <f>Analisa!C7226</f>
        <v>Pemasangan 1 m pipa PVC Ø 4" (Air limbah)</v>
      </c>
      <c r="D455" s="439">
        <f>Analisa!$H$7243</f>
        <v>176897.61</v>
      </c>
      <c r="F455" s="440"/>
      <c r="G455" s="441"/>
    </row>
    <row r="456" spans="2:7" ht="18" customHeight="1">
      <c r="B456" s="717" t="str">
        <f>Analisa!B7245</f>
        <v>A.8.4.1.4 L</v>
      </c>
      <c r="C456" s="745" t="str">
        <f>Analisa!C7245</f>
        <v>Pemasangan 1 m pipa PVC Ø 6" (Air limbah)</v>
      </c>
      <c r="D456" s="719">
        <f>Analisa!$H$7262</f>
        <v>290983.86</v>
      </c>
      <c r="E456" s="441">
        <f>Analisa!M7262</f>
        <v>253079.06</v>
      </c>
      <c r="F456" s="440"/>
      <c r="G456" s="441"/>
    </row>
    <row r="457" spans="2:7" ht="18" customHeight="1">
      <c r="B457" s="437" t="str">
        <f>Analisa!B7264</f>
        <v>A.8.4.1.5 L</v>
      </c>
      <c r="C457" s="466" t="str">
        <f>Analisa!C7264</f>
        <v>Pemasngan 1 m pipa PVC Ø 8" (Air limbah)</v>
      </c>
      <c r="D457" s="439">
        <f>Analisa!$H$7281</f>
        <v>454682.75</v>
      </c>
      <c r="F457" s="440"/>
      <c r="G457" s="441"/>
    </row>
    <row r="458" spans="2:7" ht="18" customHeight="1">
      <c r="B458" s="437" t="str">
        <f>Analisa!B7283</f>
        <v>A.8.4.1.6 L</v>
      </c>
      <c r="C458" s="466" t="str">
        <f>Analisa!C7283</f>
        <v>Pemasangan 1 m pipa PVC Ø 10" (Air limbah)</v>
      </c>
      <c r="D458" s="439">
        <f>Analisa!$H$7300</f>
        <v>714867.78</v>
      </c>
      <c r="F458" s="440"/>
      <c r="G458" s="441"/>
    </row>
    <row r="459" spans="2:7" ht="18" customHeight="1">
      <c r="B459" s="437" t="str">
        <f>Analisa!B7302</f>
        <v>A.8.4.1.7 L</v>
      </c>
      <c r="C459" s="466" t="str">
        <f>Analisa!C7302</f>
        <v>Pemasangan 1 m pipa PVC Ø 12" (Air limbah)</v>
      </c>
      <c r="D459" s="439">
        <f>Analisa!$H$7319</f>
        <v>1114076.32</v>
      </c>
      <c r="F459" s="440"/>
      <c r="G459" s="441"/>
    </row>
    <row r="460" spans="2:7" ht="18" customHeight="1">
      <c r="B460" s="437" t="str">
        <f>Analisa!B7321</f>
        <v>A.8.4.1.17</v>
      </c>
      <c r="C460" s="466" t="str">
        <f>Analisa!C7321</f>
        <v>Pemasangan 1 m pipa HDPE Ø 2"</v>
      </c>
      <c r="D460" s="439">
        <f>Analisa!$H$7337</f>
        <v>84017.85</v>
      </c>
      <c r="F460" s="440"/>
      <c r="G460" s="441"/>
    </row>
    <row r="461" spans="2:7" ht="18" customHeight="1">
      <c r="B461" s="437" t="str">
        <f>Analisa!B7339</f>
        <v>A.8.4.1.18</v>
      </c>
      <c r="C461" s="466" t="str">
        <f>Analisa!C7339</f>
        <v>Pemasangan 1 m pipa HDPE Ø 3"</v>
      </c>
      <c r="D461" s="439">
        <f>Analisa!$H$7355</f>
        <v>157985.85</v>
      </c>
      <c r="F461" s="440"/>
      <c r="G461" s="441"/>
    </row>
    <row r="462" spans="2:7" ht="18" customHeight="1">
      <c r="B462" s="437" t="str">
        <f>Analisa!B7357</f>
        <v>A.8.4.1.19</v>
      </c>
      <c r="C462" s="466" t="str">
        <f>Analisa!C7357</f>
        <v>Pemasangan 1 m pipa HDPE Ø 4"</v>
      </c>
      <c r="D462" s="439">
        <f>Analisa!$H$7373</f>
        <v>230039.1</v>
      </c>
      <c r="F462" s="440"/>
      <c r="G462" s="441"/>
    </row>
    <row r="463" spans="2:7" ht="18" customHeight="1">
      <c r="B463" s="437" t="str">
        <f>Analisa!B7375</f>
        <v>A.8.4.1.20</v>
      </c>
      <c r="C463" s="466" t="str">
        <f>Analisa!C7375</f>
        <v>Pemasangan 1 m pipa HDPE Ø 6"</v>
      </c>
      <c r="D463" s="439">
        <f>Analisa!$H$7391</f>
        <v>466903.45</v>
      </c>
      <c r="F463" s="440"/>
      <c r="G463" s="441"/>
    </row>
    <row r="464" spans="2:7" ht="18" customHeight="1">
      <c r="B464" s="447"/>
      <c r="C464" s="471"/>
      <c r="D464" s="449"/>
      <c r="F464" s="440"/>
      <c r="G464" s="441"/>
    </row>
    <row r="465" spans="2:9" s="470" customFormat="1" ht="18" customHeight="1">
      <c r="B465" s="460" t="str">
        <f>Analisa!B7393</f>
        <v>A.8.4.3</v>
      </c>
      <c r="C465" s="472" t="str">
        <f>Analisa!C7393</f>
        <v xml:space="preserve"> HARGA SATUAN PEKERJAAN PEMASANGAN AKSESORIS PIPA AIR MINUM</v>
      </c>
      <c r="D465" s="473"/>
      <c r="F465" s="440"/>
      <c r="G465" s="441"/>
      <c r="I465" s="455"/>
    </row>
    <row r="466" spans="2:9" ht="18" customHeight="1">
      <c r="B466" s="437" t="str">
        <f>Analisa!B7394</f>
        <v>A.8.4.3.1-1</v>
      </c>
      <c r="C466" s="466" t="str">
        <f>Analisa!C7394</f>
        <v>Pemasangan 1 buah Valve Ø 3" + 2 buah Flange socket Ø3"</v>
      </c>
      <c r="D466" s="439">
        <f>Analisa!$H$7411</f>
        <v>3019674.6</v>
      </c>
      <c r="F466" s="440"/>
      <c r="G466" s="441"/>
    </row>
    <row r="467" spans="2:9" ht="18" customHeight="1">
      <c r="B467" s="437" t="str">
        <f>Analisa!B7413</f>
        <v>A.8.4.3.1-2</v>
      </c>
      <c r="C467" s="466" t="str">
        <f>Analisa!C7413</f>
        <v>Pemasangan 1 buah Valve Ø 4" + 2 buah Flange socket Ø4"</v>
      </c>
      <c r="D467" s="439">
        <f>Analisa!$H$7430</f>
        <v>3782304</v>
      </c>
      <c r="F467" s="440"/>
      <c r="G467" s="441"/>
    </row>
    <row r="468" spans="2:9" ht="18" customHeight="1">
      <c r="B468" s="437" t="str">
        <f>Analisa!B7432</f>
        <v>A.8.4.3.1</v>
      </c>
      <c r="C468" s="466" t="str">
        <f>Analisa!C7432</f>
        <v>Pemasangan 1 buah Valve Ø 6" + 2 buah Flange socket Ø6"</v>
      </c>
      <c r="D468" s="439">
        <f>Analisa!$H$7449</f>
        <v>7283646.9000000004</v>
      </c>
      <c r="F468" s="440"/>
      <c r="G468" s="441"/>
    </row>
    <row r="469" spans="2:9" ht="18" customHeight="1">
      <c r="B469" s="437" t="str">
        <f>Analisa!B7451</f>
        <v>A.8.4.3.2</v>
      </c>
      <c r="C469" s="466" t="str">
        <f>Analisa!C7451</f>
        <v>Pemasangan 1 buah Valve Ø 8" + 2 buah Flange socket Ø8"</v>
      </c>
      <c r="D469" s="439">
        <f>Analisa!$H$7468</f>
        <v>13225692.300000001</v>
      </c>
      <c r="F469" s="440"/>
      <c r="G469" s="441"/>
    </row>
    <row r="470" spans="2:9" ht="18" customHeight="1">
      <c r="B470" s="437" t="str">
        <f>Analisa!B7470</f>
        <v>A.8.4.3.3</v>
      </c>
      <c r="C470" s="466" t="str">
        <f>Analisa!C7470</f>
        <v>Pemasangan 1 buah Valve Ø 10" + 2 buah Flange socket Ø10"</v>
      </c>
      <c r="D470" s="439">
        <f>Analisa!$H$7487</f>
        <v>24694157</v>
      </c>
      <c r="F470" s="440"/>
      <c r="G470" s="441"/>
    </row>
    <row r="471" spans="2:9" ht="18" customHeight="1">
      <c r="B471" s="437" t="str">
        <f>Analisa!B7489</f>
        <v>A.8.4.3.4</v>
      </c>
      <c r="C471" s="466" t="str">
        <f>Analisa!C7489</f>
        <v>Pemasangan 1 buah Valve Ø 12" + 2 buah Flange socket Ø12"</v>
      </c>
      <c r="D471" s="439">
        <f>Analisa!H7506</f>
        <v>30593277.5</v>
      </c>
      <c r="F471" s="440"/>
      <c r="G471" s="441"/>
    </row>
    <row r="472" spans="2:9" ht="18" customHeight="1">
      <c r="B472" s="437" t="str">
        <f>Analisa!B7508</f>
        <v>A.8.4.3.5</v>
      </c>
      <c r="C472" s="466" t="str">
        <f>Analisa!C7508</f>
        <v>Pemasangan 1 buah Collar Ø90 mm</v>
      </c>
      <c r="D472" s="439">
        <f>Analisa!$H$7524</f>
        <v>714748</v>
      </c>
      <c r="F472" s="440"/>
      <c r="G472" s="441"/>
    </row>
    <row r="473" spans="2:9" ht="18" customHeight="1">
      <c r="B473" s="437" t="str">
        <f>Analisa!B7526</f>
        <v>A.8.4.3.6</v>
      </c>
      <c r="C473" s="466" t="str">
        <f>Analisa!C7526</f>
        <v>Pemasangan 1 buah Collar Ø110 mm</v>
      </c>
      <c r="D473" s="439">
        <f>Analisa!$H$7542</f>
        <v>929645.05</v>
      </c>
      <c r="F473" s="440"/>
      <c r="G473" s="441"/>
    </row>
    <row r="474" spans="2:9" ht="18" customHeight="1">
      <c r="B474" s="437" t="str">
        <f>Analisa!B7544</f>
        <v>A.8.4.3.7</v>
      </c>
      <c r="C474" s="466" t="str">
        <f>Analisa!C7544</f>
        <v>Pemasangan 1 buah Collar Ø160 mm</v>
      </c>
      <c r="D474" s="439">
        <f>Analisa!$H$7560</f>
        <v>1647071.4</v>
      </c>
      <c r="F474" s="440"/>
      <c r="G474" s="441"/>
    </row>
    <row r="475" spans="2:9" ht="18" customHeight="1">
      <c r="B475" s="437" t="str">
        <f>Analisa!B7562</f>
        <v>A.8.4.3.8</v>
      </c>
      <c r="C475" s="466" t="str">
        <f>Analisa!C7562</f>
        <v>Pemasangan 1 buah Collar Ø200 mm</v>
      </c>
      <c r="D475" s="439">
        <f>Analisa!$H$7578</f>
        <v>2331372</v>
      </c>
      <c r="F475" s="440"/>
      <c r="G475" s="441"/>
    </row>
    <row r="476" spans="2:9" ht="18" customHeight="1">
      <c r="B476" s="437" t="str">
        <f>Analisa!B7580</f>
        <v>A.8.4.3.9</v>
      </c>
      <c r="C476" s="466" t="str">
        <f>Analisa!C7580</f>
        <v>Pemasangan 1 buah Collar Ø250 mm</v>
      </c>
      <c r="D476" s="439">
        <f>Analisa!$H$7596</f>
        <v>3537717.4</v>
      </c>
      <c r="F476" s="440"/>
      <c r="G476" s="441"/>
    </row>
    <row r="477" spans="2:9" ht="18" customHeight="1">
      <c r="B477" s="437" t="str">
        <f>Analisa!B7598</f>
        <v>A.8.4.3.10</v>
      </c>
      <c r="C477" s="466" t="str">
        <f>Analisa!C7598</f>
        <v>Pemasangan 1 buah Collar Ø300 mm</v>
      </c>
      <c r="D477" s="439">
        <f>Analisa!$H$7614</f>
        <v>4089156.2</v>
      </c>
      <c r="F477" s="440"/>
      <c r="G477" s="441"/>
    </row>
    <row r="478" spans="2:9" ht="18" customHeight="1">
      <c r="B478" s="437" t="str">
        <f>Analisa!B7616</f>
        <v>A.8.4.3.11</v>
      </c>
      <c r="C478" s="466" t="str">
        <f>Analisa!C7616</f>
        <v>Pemasangan 1 buah Valve cover A (beton preecast)</v>
      </c>
      <c r="D478" s="439">
        <f>Analisa!$H$7632</f>
        <v>285663.45</v>
      </c>
      <c r="F478" s="440"/>
      <c r="G478" s="441"/>
    </row>
    <row r="479" spans="2:9" ht="18" customHeight="1">
      <c r="B479" s="437" t="str">
        <f>Analisa!B7634</f>
        <v>A.8.4.3.11 A</v>
      </c>
      <c r="C479" s="466" t="str">
        <f>Analisa!C7634</f>
        <v>Pemasangan 1 buah Valve cover CI</v>
      </c>
      <c r="D479" s="439">
        <f>Analisa!$H$7650</f>
        <v>448976.1</v>
      </c>
      <c r="F479" s="440"/>
      <c r="G479" s="441"/>
    </row>
    <row r="480" spans="2:9" ht="18" customHeight="1">
      <c r="B480" s="437" t="str">
        <f>Analisa!B7652</f>
        <v>A.8.4.3.12</v>
      </c>
      <c r="C480" s="466" t="str">
        <f>Analisa!C7652</f>
        <v>Pemasangan 1 buah Single Air Valve Ø2"</v>
      </c>
      <c r="D480" s="439">
        <f>Analisa!$H$7668</f>
        <v>3948131.7</v>
      </c>
      <c r="F480" s="440"/>
      <c r="G480" s="441"/>
    </row>
    <row r="481" spans="2:9" ht="18" customHeight="1">
      <c r="B481" s="437" t="str">
        <f>Analisa!B7670</f>
        <v>A.8.4.3.13</v>
      </c>
      <c r="C481" s="466" t="str">
        <f>Analisa!C7670</f>
        <v>Pemasangan 1 buah Single Air Valve Ø3"</v>
      </c>
      <c r="D481" s="439">
        <f>Analisa!$H$7686</f>
        <v>4119150.5</v>
      </c>
      <c r="F481" s="440"/>
      <c r="G481" s="441"/>
    </row>
    <row r="482" spans="2:9" ht="18" customHeight="1">
      <c r="B482" s="437" t="str">
        <f>Analisa!B7688</f>
        <v>A.8.4.3.14</v>
      </c>
      <c r="C482" s="466" t="str">
        <f>Analisa!C7688</f>
        <v>Pemasangan 1 buah Single Air Valve Ø4"</v>
      </c>
      <c r="D482" s="439">
        <f>Analisa!$H$7704</f>
        <v>6052065.9000000004</v>
      </c>
      <c r="F482" s="440"/>
      <c r="G482" s="441"/>
    </row>
    <row r="483" spans="2:9" ht="18" customHeight="1">
      <c r="B483" s="437" t="str">
        <f>Analisa!B7706</f>
        <v>A.8.4.3.15</v>
      </c>
      <c r="C483" s="466" t="str">
        <f>Analisa!C7706</f>
        <v>Pemasangan 1 buah Single Air Valve Ø6"</v>
      </c>
      <c r="D483" s="439">
        <f>Analisa!$H$7722</f>
        <v>8984692.4000000004</v>
      </c>
      <c r="F483" s="440"/>
      <c r="G483" s="441"/>
    </row>
    <row r="484" spans="2:9" ht="18" customHeight="1">
      <c r="B484" s="437" t="str">
        <f>Analisa!B7724</f>
        <v>A.8.4.3.16</v>
      </c>
      <c r="C484" s="466" t="str">
        <f>Analisa!C7724</f>
        <v>Pemasangan 1 buah Double Air Valve Ø2"</v>
      </c>
      <c r="D484" s="439">
        <f>Analisa!$H$7740</f>
        <v>7426714.9500000002</v>
      </c>
      <c r="F484" s="440"/>
      <c r="G484" s="441"/>
    </row>
    <row r="485" spans="2:9" ht="18" customHeight="1">
      <c r="B485" s="437" t="str">
        <f>Analisa!B7742</f>
        <v>A.8.4.3.17</v>
      </c>
      <c r="C485" s="466" t="str">
        <f>Analisa!C7742</f>
        <v>Pemasangan 1 buah Double Air Valve Ø3"</v>
      </c>
      <c r="D485" s="439">
        <f>Analisa!$H$7758</f>
        <v>8031941.5499999998</v>
      </c>
      <c r="F485" s="440"/>
      <c r="G485" s="441"/>
    </row>
    <row r="486" spans="2:9" ht="18" customHeight="1">
      <c r="B486" s="437" t="str">
        <f>Analisa!B7760</f>
        <v>A.8.4.3.18</v>
      </c>
      <c r="C486" s="466" t="str">
        <f>Analisa!C7760</f>
        <v>Pemasangan 1 buah Double Air Valve Ø4"</v>
      </c>
      <c r="D486" s="439">
        <f>Analisa!$H$7776</f>
        <v>11972845.5</v>
      </c>
      <c r="F486" s="440"/>
      <c r="G486" s="441"/>
    </row>
    <row r="487" spans="2:9" ht="18" customHeight="1">
      <c r="B487" s="437" t="str">
        <f>Analisa!B7778</f>
        <v>A.8.4.3.19</v>
      </c>
      <c r="C487" s="466" t="str">
        <f>Analisa!C7778</f>
        <v>Pemasangan 1 buah Double Air Valve Ø6"</v>
      </c>
      <c r="D487" s="439">
        <f>Analisa!$H$7794</f>
        <v>20428832.300000001</v>
      </c>
      <c r="F487" s="440"/>
      <c r="G487" s="441"/>
    </row>
    <row r="488" spans="2:9" ht="18" customHeight="1">
      <c r="B488" s="437" t="str">
        <f>Analisa!B7796</f>
        <v>A.8.4.3.23</v>
      </c>
      <c r="C488" s="466" t="str">
        <f>Analisa!C7796</f>
        <v>Pemasangan 1 titik Sambungan Pipa Air minum (standart pdam) existing pipa Ø2"</v>
      </c>
      <c r="D488" s="439">
        <f>Analisa!$H$7828</f>
        <v>3288161.65</v>
      </c>
      <c r="F488" s="440"/>
      <c r="G488" s="441"/>
    </row>
    <row r="489" spans="2:9" ht="18" customHeight="1">
      <c r="B489" s="437" t="str">
        <f>Analisa!B7830</f>
        <v>A.8.4.3.24</v>
      </c>
      <c r="C489" s="466" t="str">
        <f>Analisa!C7830</f>
        <v>Pemasangan 1 titik Sambungan Pipa Air minum (standart pdam) existing pipa Ø3"</v>
      </c>
      <c r="D489" s="439">
        <f>Analisa!$H$7862</f>
        <v>3397385.2</v>
      </c>
      <c r="F489" s="440"/>
      <c r="G489" s="441"/>
    </row>
    <row r="490" spans="2:9" ht="18" customHeight="1">
      <c r="B490" s="437" t="str">
        <f>Analisa!B7864</f>
        <v>A.8.4.3.25</v>
      </c>
      <c r="C490" s="466" t="str">
        <f>Analisa!C7864</f>
        <v>Pemasangan 1 titik Sambungan Pipa Air minum (standart pdam) existing pipa Ø4"</v>
      </c>
      <c r="D490" s="439">
        <f>Analisa!$H$7896</f>
        <v>3528333.4</v>
      </c>
      <c r="F490" s="440"/>
      <c r="G490" s="441"/>
    </row>
    <row r="491" spans="2:9" ht="18" customHeight="1">
      <c r="B491" s="437" t="str">
        <f>Analisa!B7898</f>
        <v>A.8.4.3.26</v>
      </c>
      <c r="C491" s="466" t="str">
        <f>Analisa!C7898</f>
        <v>Pemasangan 1 titik Sambungan Pipa Air minum (standart pdam) existing pipa Ø6"</v>
      </c>
      <c r="D491" s="439">
        <f>Analisa!$H$7930</f>
        <v>3550058.05</v>
      </c>
      <c r="F491" s="440"/>
      <c r="G491" s="441"/>
    </row>
    <row r="492" spans="2:9" ht="18" customHeight="1">
      <c r="B492" s="437"/>
      <c r="C492" s="466"/>
      <c r="D492" s="439"/>
      <c r="F492" s="440"/>
      <c r="G492" s="441"/>
    </row>
    <row r="493" spans="2:9" s="470" customFormat="1" ht="18" customHeight="1">
      <c r="B493" s="443" t="str">
        <f>Analisa!B7932</f>
        <v>A.8.4.3-1</v>
      </c>
      <c r="C493" s="468" t="str">
        <f>Analisa!C7932</f>
        <v xml:space="preserve"> HARGA SATUAN PEKERJAAN PEMASANGAN AKSESORIS PIPA AIR LIMBAH</v>
      </c>
      <c r="D493" s="469"/>
      <c r="F493" s="440"/>
      <c r="G493" s="441"/>
      <c r="I493" s="455"/>
    </row>
    <row r="494" spans="2:9" ht="18" customHeight="1">
      <c r="B494" s="437" t="str">
        <f>Analisa!B7933</f>
        <v>A.8.4.3-1.1</v>
      </c>
      <c r="C494" s="466" t="str">
        <f>Analisa!C7933</f>
        <v>Pemasangan 1 buah Oblique wye</v>
      </c>
      <c r="D494" s="439">
        <f>Analisa!$H$7950</f>
        <v>303067.90000000002</v>
      </c>
      <c r="F494" s="440"/>
      <c r="G494" s="441"/>
    </row>
    <row r="495" spans="2:9" ht="18" customHeight="1">
      <c r="B495" s="437" t="str">
        <f>Analisa!B7952</f>
        <v>A.8.4.3-1.2</v>
      </c>
      <c r="C495" s="466" t="str">
        <f>Analisa!C7952</f>
        <v xml:space="preserve">Pemasangan 1 buah Oblique Saddle </v>
      </c>
      <c r="D495" s="439">
        <f>Analisa!$H$7969</f>
        <v>684827.65</v>
      </c>
      <c r="F495" s="440"/>
      <c r="G495" s="441"/>
    </row>
    <row r="496" spans="2:9" ht="18" customHeight="1">
      <c r="B496" s="437" t="str">
        <f>Analisa!B7971</f>
        <v>A.8.4.3-1.3</v>
      </c>
      <c r="C496" s="466" t="str">
        <f>Analisa!C7971</f>
        <v>Pemasangan 1 buah Box Kontrol uk.30x30x40 cm</v>
      </c>
      <c r="D496" s="439">
        <f>Analisa!$H$7994</f>
        <v>629773.18689999997</v>
      </c>
      <c r="F496" s="440"/>
      <c r="G496" s="441"/>
    </row>
    <row r="497" spans="2:9" ht="18" customHeight="1">
      <c r="B497" s="437" t="str">
        <f>Analisa!$B$7996</f>
        <v>A.8.4.3-1.3 A</v>
      </c>
      <c r="C497" s="466" t="str">
        <f>Analisa!$C$7996</f>
        <v>Pemasangan 1 buah Box Kontrol uk.45x45x50 cm</v>
      </c>
      <c r="D497" s="439">
        <f>Analisa!$H$8019</f>
        <v>966900.69945000007</v>
      </c>
      <c r="F497" s="440"/>
      <c r="G497" s="441"/>
    </row>
    <row r="498" spans="2:9" ht="18" customHeight="1">
      <c r="B498" s="437" t="str">
        <f>Analisa!$B$8021</f>
        <v>A.8.4.3-1.3 B</v>
      </c>
      <c r="C498" s="466" t="str">
        <f>Analisa!$C$8021</f>
        <v>Pemasangan 1 buah Box Kontrol uk.60x60x65 cm</v>
      </c>
      <c r="D498" s="439">
        <f>Analisa!$H$8044</f>
        <v>1472548.8307249998</v>
      </c>
      <c r="F498" s="440"/>
      <c r="G498" s="441"/>
    </row>
    <row r="499" spans="2:9" ht="18" customHeight="1">
      <c r="B499" s="437" t="str">
        <f>Analisa!B8046</f>
        <v>A.8.4.3-1.3 C</v>
      </c>
      <c r="C499" s="466" t="str">
        <f>Analisa!C8046</f>
        <v>Pemasangan 1 buah Box Kontrol dia. 30cm precast concerte</v>
      </c>
      <c r="D499" s="439">
        <f>Analisa!$H$8061</f>
        <v>1509270.35</v>
      </c>
      <c r="F499" s="440"/>
      <c r="G499" s="441"/>
    </row>
    <row r="500" spans="2:9" ht="18" customHeight="1">
      <c r="B500" s="437" t="str">
        <f>Analisa!B8063</f>
        <v>A.8.4.3-1.4</v>
      </c>
      <c r="C500" s="466" t="str">
        <f>Analisa!C8063</f>
        <v>Pemasangan 1 buah Inspectin Box (IB) uk.40x40cm</v>
      </c>
      <c r="D500" s="439">
        <f>Analisa!$H$8085</f>
        <v>1224626.3045126665</v>
      </c>
      <c r="F500" s="440"/>
      <c r="G500" s="441"/>
    </row>
    <row r="501" spans="2:9" ht="18" customHeight="1">
      <c r="B501" s="437" t="str">
        <f>Analisa!B8087</f>
        <v>A.8.4.3-1.5</v>
      </c>
      <c r="C501" s="466" t="str">
        <f>Analisa!C8087</f>
        <v>Pemasangan 1 buah Dead end (DE) uk.40x40cm</v>
      </c>
      <c r="D501" s="439">
        <f>Analisa!$H$8109</f>
        <v>1145542.3735626666</v>
      </c>
      <c r="F501" s="440"/>
      <c r="G501" s="441"/>
    </row>
    <row r="502" spans="2:9" ht="18" customHeight="1">
      <c r="B502" s="437" t="str">
        <f>Analisa!B8111</f>
        <v>A.8.4.3-1.6</v>
      </c>
      <c r="C502" s="466" t="str">
        <f>Analisa!C8111</f>
        <v>Pemasangan 1 buah Box Smell trap (BS) uk.40x40cm</v>
      </c>
      <c r="D502" s="439">
        <f>Analisa!$H$8138</f>
        <v>1339812.7735626665</v>
      </c>
      <c r="F502" s="440"/>
      <c r="G502" s="441"/>
    </row>
    <row r="503" spans="2:9" ht="18" customHeight="1">
      <c r="B503" s="437" t="str">
        <f>Analisa!B8140</f>
        <v>A.8.4.3-1.7</v>
      </c>
      <c r="C503" s="466" t="str">
        <f>Analisa!C8140</f>
        <v>Pemasangan 1 buah Inspection Chamber (IC) uk.60x70cm</v>
      </c>
      <c r="D503" s="439">
        <f>Analisa!$H$8162</f>
        <v>3396976.6781219998</v>
      </c>
      <c r="F503" s="440"/>
      <c r="G503" s="441"/>
    </row>
    <row r="504" spans="2:9" ht="18" customHeight="1">
      <c r="B504" s="437" t="str">
        <f>Analisa!B8164</f>
        <v>A.8.4.3-1.8</v>
      </c>
      <c r="C504" s="466" t="str">
        <f>Analisa!C8164</f>
        <v>Pemasangan 1 M' Shoring (penahan tanah) berbahan kayu kedalaman 1 - 2m</v>
      </c>
      <c r="D504" s="439">
        <f>Analisa!$H$8184</f>
        <v>821150.49</v>
      </c>
      <c r="F504" s="440"/>
      <c r="G504" s="441"/>
    </row>
    <row r="505" spans="2:9" ht="18" customHeight="1">
      <c r="B505" s="437" t="str">
        <f>Analisa!B8186</f>
        <v>A.8.4.3-1.9</v>
      </c>
      <c r="C505" s="466" t="str">
        <f>Analisa!C8186</f>
        <v>Pemasangan 1 M' Shoring (penahan tanah) berbahan kayu kedalaman 2 - 3m</v>
      </c>
      <c r="D505" s="439">
        <f>Analisa!$H$8206</f>
        <v>1221329.1499999999</v>
      </c>
      <c r="F505" s="440"/>
      <c r="G505" s="441"/>
    </row>
    <row r="506" spans="2:9" ht="18" customHeight="1">
      <c r="B506" s="437" t="str">
        <f>Analisa!B8208</f>
        <v>A.8.4.3-1.10</v>
      </c>
      <c r="C506" s="466" t="str">
        <f>Analisa!C8208</f>
        <v>Pemasangan 1 M' Shoring (penahan tanah) berbahan kayu kedalaman 3 - 4m</v>
      </c>
      <c r="D506" s="439">
        <f>Analisa!$H$8228</f>
        <v>1836906.79</v>
      </c>
      <c r="F506" s="440"/>
      <c r="G506" s="441"/>
    </row>
    <row r="507" spans="2:9" ht="18" customHeight="1">
      <c r="B507" s="437"/>
      <c r="C507" s="466"/>
      <c r="D507" s="439"/>
      <c r="F507" s="440"/>
      <c r="G507" s="441"/>
    </row>
    <row r="508" spans="2:9" s="470" customFormat="1" ht="18" customHeight="1">
      <c r="B508" s="443" t="str">
        <f>Analisa!B8230</f>
        <v xml:space="preserve">A.8.4.4 </v>
      </c>
      <c r="C508" s="468" t="str">
        <f>Analisa!C8230</f>
        <v>HARGA SATUAN PEKERJAAN PENYAMBUNGAN PIPA BARU KE PIPA EXISTING</v>
      </c>
      <c r="D508" s="469"/>
      <c r="F508" s="440"/>
      <c r="G508" s="441"/>
      <c r="I508" s="455"/>
    </row>
    <row r="509" spans="2:9" ht="18" customHeight="1">
      <c r="B509" s="437" t="str">
        <f>Analisa!B8231</f>
        <v>A.8.4.4.1</v>
      </c>
      <c r="C509" s="466" t="str">
        <f>Analisa!C8231</f>
        <v>Penyambungan 1 titik pipa baru ke pipa existing Ø 90 mm</v>
      </c>
      <c r="D509" s="439">
        <f>Analisa!$H$8249</f>
        <v>1352984.2</v>
      </c>
      <c r="F509" s="440"/>
      <c r="G509" s="441"/>
    </row>
    <row r="510" spans="2:9" ht="18" customHeight="1">
      <c r="B510" s="437" t="str">
        <f>Analisa!B8251</f>
        <v>A.8.4.4.2</v>
      </c>
      <c r="C510" s="466" t="str">
        <f>Analisa!C8251</f>
        <v>Penyambungan 1 titik pipa baru ke pipa existing Ø 110 mm</v>
      </c>
      <c r="D510" s="439">
        <f>Analisa!$H$8269</f>
        <v>1550416.2</v>
      </c>
      <c r="F510" s="440"/>
      <c r="G510" s="441"/>
    </row>
    <row r="511" spans="2:9" ht="18" customHeight="1">
      <c r="B511" s="437" t="str">
        <f>Analisa!B8271</f>
        <v xml:space="preserve">A.8.4.4.3 </v>
      </c>
      <c r="C511" s="466" t="str">
        <f>Analisa!C8271</f>
        <v>Penyambungan 1 titik pipa baru ke pipa existing Ø 160 mm</v>
      </c>
      <c r="D511" s="439">
        <f>Analisa!$H$8289</f>
        <v>2094752.6</v>
      </c>
      <c r="F511" s="440"/>
      <c r="G511" s="441"/>
    </row>
    <row r="512" spans="2:9" ht="18" customHeight="1">
      <c r="B512" s="437" t="str">
        <f>Analisa!B8291</f>
        <v>A.8.4.4.4</v>
      </c>
      <c r="C512" s="466" t="str">
        <f>Analisa!C8291</f>
        <v>Penyambungan 1 titik pipa baru ke pipa existing Ø 200 mm</v>
      </c>
      <c r="D512" s="439">
        <f>Analisa!$H$8309</f>
        <v>2645888.9500000002</v>
      </c>
      <c r="F512" s="440"/>
      <c r="G512" s="441"/>
    </row>
    <row r="513" spans="2:9" ht="18" customHeight="1">
      <c r="B513" s="437" t="str">
        <f>Analisa!B8311</f>
        <v>A.8.4.4.5</v>
      </c>
      <c r="C513" s="466" t="str">
        <f>Analisa!C8311</f>
        <v>Penyambungan 1 titik pipa baru ke pipa existing Ø 250 mm</v>
      </c>
      <c r="D513" s="439">
        <f>Analisa!$H$8329</f>
        <v>3309798.9</v>
      </c>
      <c r="F513" s="440"/>
      <c r="G513" s="441"/>
    </row>
    <row r="514" spans="2:9" ht="18" customHeight="1">
      <c r="B514" s="437" t="str">
        <f>Analisa!B8331</f>
        <v>A.8.4.4.6</v>
      </c>
      <c r="C514" s="466" t="str">
        <f>Analisa!C8331</f>
        <v>Penyambungan 1 titik pipa baru ke pipa existing Ø 300 mm</v>
      </c>
      <c r="D514" s="439">
        <f>Analisa!$H$8349</f>
        <v>4151801.3</v>
      </c>
      <c r="F514" s="440"/>
      <c r="G514" s="441"/>
    </row>
    <row r="515" spans="2:9" ht="18" customHeight="1">
      <c r="B515" s="437"/>
      <c r="C515" s="466"/>
      <c r="D515" s="439"/>
      <c r="F515" s="440"/>
      <c r="G515" s="441"/>
    </row>
    <row r="516" spans="2:9" s="470" customFormat="1" ht="18" customHeight="1">
      <c r="B516" s="443" t="str">
        <f>Analisa!B8351</f>
        <v>A.8.4.5</v>
      </c>
      <c r="C516" s="468" t="str">
        <f>Analisa!C8351</f>
        <v>HARGA SATUAN PEKERJAAN GALIAN DAN PERBAIKAN BEKAS GALIAN</v>
      </c>
      <c r="D516" s="469"/>
      <c r="F516" s="440"/>
      <c r="G516" s="441"/>
      <c r="I516" s="455"/>
    </row>
    <row r="517" spans="2:9" ht="18" customHeight="1">
      <c r="B517" s="437" t="str">
        <f>Analisa!B8352</f>
        <v>A.8.4.5.1</v>
      </c>
      <c r="C517" s="458" t="str">
        <f>Analisa!C8352</f>
        <v>Pekerjaan 1 meter galian dan perbaikan jalan kondisi Tanah keras pipa Ø  90mm - 160mm</v>
      </c>
      <c r="D517" s="439">
        <f>Analisa!$H$8363</f>
        <v>131560</v>
      </c>
      <c r="F517" s="440"/>
      <c r="G517" s="441"/>
    </row>
    <row r="518" spans="2:9" ht="18" customHeight="1">
      <c r="B518" s="437" t="str">
        <f>Analisa!B8365</f>
        <v>A.8.4.5.2</v>
      </c>
      <c r="C518" s="458" t="str">
        <f>Analisa!C8365</f>
        <v>Pekerjaan 1 meter galian dan perbaikan jalan kondisi Cor beton pipa Ø  90mm - 160mm</v>
      </c>
      <c r="D518" s="439">
        <f>Analisa!$H$8384</f>
        <v>246949.85</v>
      </c>
      <c r="F518" s="440"/>
      <c r="G518" s="441"/>
    </row>
    <row r="519" spans="2:9" ht="18" customHeight="1">
      <c r="B519" s="437" t="str">
        <f>Analisa!B8386</f>
        <v>A.8.4.5.3</v>
      </c>
      <c r="C519" s="458" t="str">
        <f>Analisa!C8386</f>
        <v>Pekerjaan 1 meter galian dan perbaikan jalan kondisi Hotmix pipa Ø  90mm - 160mm</v>
      </c>
      <c r="D519" s="439">
        <f>Analisa!$H$8405</f>
        <v>271377.91999999998</v>
      </c>
      <c r="F519" s="440"/>
      <c r="G519" s="441"/>
    </row>
    <row r="520" spans="2:9" ht="18" customHeight="1">
      <c r="B520" s="437" t="str">
        <f>Analisa!B8407</f>
        <v>A.8.4.5.4</v>
      </c>
      <c r="C520" s="458" t="str">
        <f>Analisa!C8407</f>
        <v>Pekerjaan 1 meter galian dan perbaikan jalan kondisi Tanah pipa Ø  200mm - 400mm</v>
      </c>
      <c r="D520" s="439">
        <f>Analisa!$H$8418</f>
        <v>269028.13</v>
      </c>
      <c r="F520" s="440"/>
      <c r="G520" s="441"/>
    </row>
    <row r="521" spans="2:9" ht="18" customHeight="1">
      <c r="B521" s="437" t="str">
        <f>Analisa!B8420</f>
        <v>A.8.4.5.5</v>
      </c>
      <c r="C521" s="458" t="str">
        <f>Analisa!C8420</f>
        <v>Pekerjaan 1 meter galian dan perbaikan jalan kondisi Cor beton pipa Ø  200mm - 400mm</v>
      </c>
      <c r="D521" s="439">
        <f>Analisa!$H$8439</f>
        <v>667687.14</v>
      </c>
      <c r="F521" s="440"/>
      <c r="G521" s="441"/>
    </row>
    <row r="522" spans="2:9" ht="18" customHeight="1">
      <c r="B522" s="437" t="str">
        <f>Analisa!B8441</f>
        <v>A.8.4.5.6</v>
      </c>
      <c r="C522" s="457" t="str">
        <f>Analisa!C8441</f>
        <v>Pekerjaan 1 meter galian dan perbaikan jalan kondisi Hotmix pipa Ø  200mm - 400mm</v>
      </c>
      <c r="D522" s="439">
        <f>Analisa!$H$8460</f>
        <v>679604.9</v>
      </c>
      <c r="F522" s="440"/>
      <c r="G522" s="441"/>
    </row>
    <row r="523" spans="2:9" ht="18" customHeight="1">
      <c r="B523" s="437" t="str">
        <f>Analisa!B8462</f>
        <v>A.8.4.5.7</v>
      </c>
      <c r="C523" s="466" t="str">
        <f>Analisa!C8462</f>
        <v>Pekerjaan 1 meter Crossing jalan kondisi Cor beton pipa Ø  90mm - 160mm</v>
      </c>
      <c r="D523" s="439">
        <f>Analisa!$H$8478</f>
        <v>282571.78999999998</v>
      </c>
      <c r="F523" s="440"/>
      <c r="G523" s="441"/>
    </row>
    <row r="524" spans="2:9" ht="18" customHeight="1">
      <c r="B524" s="437" t="str">
        <f>Analisa!B8480</f>
        <v>A.8.4.5.8</v>
      </c>
      <c r="C524" s="466" t="str">
        <f>Analisa!C8480</f>
        <v>Pekerjaan 1 meter Crossing jalan kondisi Hotmix pipa Ø  90mm - 160mm</v>
      </c>
      <c r="D524" s="439">
        <f>Analisa!$H$8496</f>
        <v>282561.44</v>
      </c>
      <c r="F524" s="440"/>
      <c r="G524" s="441"/>
    </row>
    <row r="525" spans="2:9" ht="18" customHeight="1">
      <c r="B525" s="437" t="str">
        <f>Analisa!B8498</f>
        <v>A.8.4.5.9</v>
      </c>
      <c r="C525" s="466" t="str">
        <f>Analisa!C8498</f>
        <v>Pekerjaan 1 meter Crossing jalan kondisi Cor beton pipa Ø 200mm - 400mm</v>
      </c>
      <c r="D525" s="439">
        <f>Analisa!$H$8514</f>
        <v>477539.8</v>
      </c>
      <c r="F525" s="440"/>
      <c r="G525" s="441"/>
    </row>
    <row r="526" spans="2:9" ht="18" customHeight="1">
      <c r="B526" s="437" t="str">
        <f>Analisa!B8516</f>
        <v>A.8.4.5.10</v>
      </c>
      <c r="C526" s="466" t="str">
        <f>Analisa!C8516</f>
        <v>Pekerjaan 1 meter Crossing jalan kondisi Hotmix pipa Ø 200mm - 400mm</v>
      </c>
      <c r="D526" s="439">
        <f>Analisa!$H$8532</f>
        <v>506284.63</v>
      </c>
      <c r="F526" s="440"/>
      <c r="G526" s="441"/>
    </row>
    <row r="527" spans="2:9" ht="18" customHeight="1">
      <c r="B527" s="447"/>
      <c r="C527" s="471"/>
      <c r="D527" s="449"/>
      <c r="F527" s="440"/>
      <c r="G527" s="441"/>
    </row>
    <row r="528" spans="2:9" s="470" customFormat="1" ht="18" customHeight="1">
      <c r="B528" s="460" t="str">
        <f>Analisa!B8534</f>
        <v>A.8.4.6</v>
      </c>
      <c r="C528" s="472" t="str">
        <f>Analisa!C8534</f>
        <v xml:space="preserve">HARGA SATUAN PEKERJAAN PEMBUATAN SUMUR BOR DAN ASESORIS </v>
      </c>
      <c r="D528" s="473"/>
      <c r="F528" s="440"/>
      <c r="G528" s="441"/>
      <c r="I528" s="455"/>
    </row>
    <row r="529" spans="2:9" ht="18" customHeight="1">
      <c r="B529" s="437" t="str">
        <f>Analisa!B8535</f>
        <v>A.8.4.6.1</v>
      </c>
      <c r="C529" s="466" t="str">
        <f>Analisa!C8535</f>
        <v>Pembuatan 1 titik Sumur Bor Kedalaman &gt; 200 meter</v>
      </c>
      <c r="D529" s="439">
        <f>Analisa!$H$8572</f>
        <v>615086952.82000005</v>
      </c>
      <c r="F529" s="440"/>
      <c r="G529" s="441"/>
    </row>
    <row r="530" spans="2:9" ht="18" customHeight="1">
      <c r="B530" s="437" t="str">
        <f>Analisa!B8574</f>
        <v>A.8.4.6.2</v>
      </c>
      <c r="C530" s="466" t="str">
        <f>Analisa!C8574</f>
        <v>Pembuatan 1 titik Sumur Bor Kedalaman 150 - 200 meter</v>
      </c>
      <c r="D530" s="439">
        <f>Analisa!$H$8610</f>
        <v>526712836.12</v>
      </c>
      <c r="F530" s="440"/>
      <c r="G530" s="441"/>
    </row>
    <row r="531" spans="2:9" ht="18" customHeight="1">
      <c r="B531" s="437" t="str">
        <f>Analisa!B8612</f>
        <v>A.8.4.6.3</v>
      </c>
      <c r="C531" s="466" t="str">
        <f>Analisa!C8612</f>
        <v>Pembuatan 1 unit Tangki Filter uk. Ø 180cm x 350cm</v>
      </c>
      <c r="D531" s="439">
        <f>Analisa!$H$8645</f>
        <v>255085619.06</v>
      </c>
      <c r="F531" s="440"/>
      <c r="G531" s="441"/>
    </row>
    <row r="532" spans="2:9" ht="18" customHeight="1">
      <c r="B532" s="437" t="str">
        <f>Analisa!B8647</f>
        <v>A.8.4.6.4</v>
      </c>
      <c r="C532" s="466" t="str">
        <f>Analisa!C8647</f>
        <v>Pembuatan 1 unit Tangki Filter uk. Ø 100cm x 200cm</v>
      </c>
      <c r="D532" s="439">
        <f>Analisa!$H$8680</f>
        <v>114201262.12</v>
      </c>
      <c r="F532" s="440"/>
      <c r="G532" s="441"/>
    </row>
    <row r="533" spans="2:9" ht="18" customHeight="1">
      <c r="B533" s="437" t="str">
        <f>Analisa!B8682</f>
        <v>A.8.4.6.5</v>
      </c>
      <c r="C533" s="466" t="str">
        <f>Analisa!C8682</f>
        <v>Pembuatan 1 unit Tangki Aerator uk. Ø 60cm x 300cm</v>
      </c>
      <c r="D533" s="439">
        <f>Analisa!$H$8704</f>
        <v>87773369.709999993</v>
      </c>
      <c r="F533" s="440"/>
      <c r="G533" s="441"/>
    </row>
    <row r="534" spans="2:9" ht="18" customHeight="1">
      <c r="B534" s="437" t="str">
        <f>Analisa!B8706</f>
        <v>A.8.4.6.6</v>
      </c>
      <c r="C534" s="466" t="str">
        <f>Analisa!C8706</f>
        <v>Pembuatan 1 unit Tangki Aerator uk. Ø 60cm x 240cm</v>
      </c>
      <c r="D534" s="439">
        <f>Analisa!$H$8728</f>
        <v>80765001.069999993</v>
      </c>
      <c r="F534" s="440"/>
      <c r="G534" s="441"/>
    </row>
    <row r="535" spans="2:9" ht="18" customHeight="1">
      <c r="B535" s="437"/>
      <c r="C535" s="466"/>
      <c r="D535" s="439"/>
      <c r="F535" s="440"/>
      <c r="G535" s="441"/>
    </row>
    <row r="536" spans="2:9" ht="18" customHeight="1">
      <c r="B536" s="474" t="str">
        <f>Analisa!B8730</f>
        <v>SUPL</v>
      </c>
      <c r="C536" s="475" t="str">
        <f>Analisa!C8730</f>
        <v>HARGA SATUAN PEKERJAAN SUPLEMEN</v>
      </c>
      <c r="D536" s="476"/>
      <c r="G536" s="441"/>
    </row>
    <row r="537" spans="2:9" ht="18" customHeight="1">
      <c r="B537" s="744" t="str">
        <f>Analisa!B8731</f>
        <v>PLL Supl. 6.1</v>
      </c>
      <c r="C537" s="745" t="str">
        <f>Analisa!C8731</f>
        <v>Memasang 1 m2  Rangka plafond gypsum board/calsiboard modul 60x60 cm</v>
      </c>
      <c r="D537" s="746">
        <f>Analisa!$H$8749</f>
        <v>109879.46</v>
      </c>
      <c r="G537" s="441"/>
    </row>
    <row r="538" spans="2:9" ht="18" customHeight="1">
      <c r="B538" s="477" t="str">
        <f>'ANL. HITUNG'!B4</f>
        <v>ANL. HIT. 1</v>
      </c>
      <c r="C538" s="466" t="str">
        <f>'ANL. HITUNG'!C4</f>
        <v>Mobilisasi Dan Demobilisasi</v>
      </c>
      <c r="D538" s="478">
        <f>'ANL. HITUNG'!H14</f>
        <v>6990000</v>
      </c>
      <c r="G538" s="441"/>
    </row>
    <row r="539" spans="2:9" ht="18" customHeight="1">
      <c r="B539" s="477" t="str">
        <f>'ANL. HITUNG'!B16</f>
        <v>ANL. HIT. 2</v>
      </c>
      <c r="C539" s="485" t="str">
        <f>'ANL. HITUNG'!C16</f>
        <v>Kesehatan dan Keselamatan Kerja (K3)</v>
      </c>
      <c r="D539" s="478">
        <f>'ANL. HITUNG'!H38</f>
        <v>14635000</v>
      </c>
      <c r="G539" s="441"/>
    </row>
    <row r="540" spans="2:9" ht="18" customHeight="1">
      <c r="B540" s="477" t="str">
        <f>'ANL. HITUNG'!B40</f>
        <v>ANL. HIT.3</v>
      </c>
      <c r="C540" s="485" t="str">
        <f>'ANL. HITUNG'!C40</f>
        <v>Pembongkaran Atap</v>
      </c>
      <c r="D540" s="478">
        <f>'ANL. HITUNG'!H52</f>
        <v>106700</v>
      </c>
      <c r="G540" s="441"/>
    </row>
    <row r="541" spans="2:9" ht="18" customHeight="1">
      <c r="B541" s="477" t="str">
        <f>'ANL. HITUNG'!B54</f>
        <v>ANL HIT. 4</v>
      </c>
      <c r="C541" s="466" t="str">
        <f>'ANL. HITUNG'!C54</f>
        <v>Pembersihan Area Konstruksi</v>
      </c>
      <c r="D541" s="478">
        <f>'ANL. HITUNG'!H68</f>
        <v>4875000</v>
      </c>
      <c r="G541" s="441"/>
    </row>
    <row r="542" spans="2:9" ht="18" customHeight="1">
      <c r="B542" s="477" t="str">
        <f>'ANL. HITUNG'!B70</f>
        <v>ANL HIT. 5</v>
      </c>
      <c r="C542" s="466" t="str">
        <f>'ANL. HITUNG'!C70</f>
        <v>Biaya Sewa Prancah dan Alat Bantu Kerja</v>
      </c>
      <c r="D542" s="478">
        <f>'ANL. HITUNG'!H84</f>
        <v>17302500</v>
      </c>
      <c r="G542" s="441"/>
    </row>
    <row r="543" spans="2:9" ht="18" customHeight="1">
      <c r="B543" s="477"/>
      <c r="C543" s="466"/>
      <c r="D543" s="478"/>
      <c r="G543" s="441"/>
    </row>
    <row r="544" spans="2:9" s="470" customFormat="1" ht="18" customHeight="1">
      <c r="B544" s="474"/>
      <c r="C544" s="468" t="s">
        <v>4357</v>
      </c>
      <c r="D544" s="479"/>
      <c r="F544" s="480"/>
      <c r="G544" s="481"/>
      <c r="I544" s="455"/>
    </row>
    <row r="545" spans="2:7" ht="18" customHeight="1">
      <c r="B545" s="477" t="str">
        <f>Analisa!B8751</f>
        <v>PK Supl. 1</v>
      </c>
      <c r="C545" s="466" t="str">
        <f>Analisa!C8751</f>
        <v>Pasang 1 Titik Instalasi Penerangan dan Stop Kontak dengan Kabel NYM 3x2,5 mm²</v>
      </c>
      <c r="D545" s="478">
        <f>Analisa!$H$8766</f>
        <v>298560.13</v>
      </c>
      <c r="G545" s="441"/>
    </row>
    <row r="546" spans="2:7" ht="18" customHeight="1">
      <c r="B546" s="477" t="str">
        <f>Analisa!B8768</f>
        <v>PK Supl. 1 A</v>
      </c>
      <c r="C546" s="466" t="str">
        <f>Analisa!C8768</f>
        <v>Pasang 1 Titik Instalasi Penerangan dan Stop Kontak dengan Kabel NYM 3x1,5 mm²</v>
      </c>
      <c r="D546" s="478">
        <f>Analisa!$H$8783</f>
        <v>233168.83</v>
      </c>
      <c r="G546" s="441"/>
    </row>
    <row r="547" spans="2:7" ht="18" customHeight="1">
      <c r="B547" s="477" t="str">
        <f>Analisa!B8785</f>
        <v>PK Supl. 1 B</v>
      </c>
      <c r="C547" s="466" t="str">
        <f>Analisa!C8785</f>
        <v>Pasang 1 Titik Instalasi Penerangan dan Stop Kontak dengan Kabel NYM 2x2,5 mm²</v>
      </c>
      <c r="D547" s="478">
        <f>Analisa!$H$8800</f>
        <v>286357.48</v>
      </c>
      <c r="G547" s="441"/>
    </row>
    <row r="548" spans="2:7" ht="18" customHeight="1">
      <c r="B548" s="477" t="str">
        <f>Analisa!B8802</f>
        <v>PK Supl. 1 C</v>
      </c>
      <c r="C548" s="466" t="str">
        <f>Analisa!C8802</f>
        <v>Pasang 1 Titik Instalasi Penerangan dan Stop Kontak dengan Kabel NYM 2x1,5 mm²</v>
      </c>
      <c r="D548" s="478">
        <f>Analisa!$H$8817</f>
        <v>215470.33</v>
      </c>
      <c r="G548" s="441"/>
    </row>
    <row r="549" spans="2:7" ht="18" customHeight="1">
      <c r="B549" s="477" t="str">
        <f>Analisa!B8819</f>
        <v>PK Supl. 1 D</v>
      </c>
      <c r="C549" s="466" t="str">
        <f>Analisa!C8819</f>
        <v>Pasang 1 Titik Instalasi Penerangan dan Stop Kontak dengan Kabel NYA 3x2,5 mm²</v>
      </c>
      <c r="D549" s="478">
        <f>Analisa!$H$8834</f>
        <v>377644.48</v>
      </c>
      <c r="G549" s="441"/>
    </row>
    <row r="550" spans="2:7" ht="18" customHeight="1">
      <c r="B550" s="477" t="str">
        <f>Analisa!B8836</f>
        <v>PK Supl. 1 E</v>
      </c>
      <c r="C550" s="466" t="str">
        <f>Analisa!C8836</f>
        <v>Pasang 1 Titik Instalasi Penerangan dan Stop Kontak dengan Kabel NYA 3x1,5 mm²</v>
      </c>
      <c r="D550" s="478">
        <f>Analisa!$H$8851</f>
        <v>249656.38</v>
      </c>
      <c r="G550" s="441"/>
    </row>
    <row r="551" spans="2:7" ht="18" customHeight="1">
      <c r="B551" s="477" t="str">
        <f>Analisa!B8853</f>
        <v>PK Supl. 1 F</v>
      </c>
      <c r="C551" s="466" t="str">
        <f>Analisa!C8853</f>
        <v>Pasang 1 Titik Instalasi Penerangan dan Stop Kontak dengan Kabel NYA 2x2,5 mm²</v>
      </c>
      <c r="D551" s="478">
        <f>Analisa!$H$8868</f>
        <v>298466.98</v>
      </c>
      <c r="G551" s="441"/>
    </row>
    <row r="552" spans="2:7" ht="18" customHeight="1">
      <c r="B552" s="477" t="str">
        <f>Analisa!B8870</f>
        <v>PK Supl. 1 G</v>
      </c>
      <c r="C552" s="466" t="str">
        <f>Analisa!C8870</f>
        <v>Pasang 1 Titik Instalasi Penerangan dan Stop Kontak dengan Kabel NYA 2x1,5 mm²</v>
      </c>
      <c r="D552" s="478">
        <f>Analisa!$H$8885</f>
        <v>213141.58</v>
      </c>
      <c r="G552" s="441"/>
    </row>
    <row r="553" spans="2:7" ht="18" customHeight="1">
      <c r="B553" s="477" t="str">
        <f>Analisa!B8887</f>
        <v>PK Supl. 2</v>
      </c>
      <c r="C553" s="466" t="str">
        <f>Analisa!C8887</f>
        <v>Pasang 1 Lampu TL 1x36 Watt</v>
      </c>
      <c r="D553" s="478">
        <f>Analisa!$H$8901</f>
        <v>219049.7</v>
      </c>
      <c r="G553" s="441"/>
    </row>
    <row r="554" spans="2:7" ht="18" customHeight="1">
      <c r="B554" s="477" t="str">
        <f>Analisa!B8903</f>
        <v>PK Supl. 3</v>
      </c>
      <c r="C554" s="466" t="str">
        <f>Analisa!C8903</f>
        <v>Pasang 1 Lampu TL 2x36 Watt</v>
      </c>
      <c r="D554" s="478">
        <f>Analisa!$H$8917</f>
        <v>273242.3</v>
      </c>
      <c r="G554" s="441"/>
    </row>
    <row r="555" spans="2:7" ht="18" customHeight="1">
      <c r="B555" s="477" t="str">
        <f>Analisa!B8919</f>
        <v>PK Supl. 4</v>
      </c>
      <c r="C555" s="466" t="str">
        <f>Analisa!C8919</f>
        <v>Pasang 1 Lampu Downlight</v>
      </c>
      <c r="D555" s="478">
        <f>Analisa!$H$8933</f>
        <v>122981</v>
      </c>
      <c r="G555" s="441"/>
    </row>
    <row r="556" spans="2:7" ht="18" customHeight="1">
      <c r="B556" s="477" t="str">
        <f>Analisa!B8935</f>
        <v>PK Supl. 5</v>
      </c>
      <c r="C556" s="466" t="str">
        <f>Analisa!C8935</f>
        <v>Pasang 1 Lampu Dialux</v>
      </c>
      <c r="D556" s="478">
        <f>Analisa!$H$8949</f>
        <v>7286773.75</v>
      </c>
      <c r="E556" s="441">
        <f>Analisa!M8949</f>
        <v>3228711.25</v>
      </c>
      <c r="G556" s="441"/>
    </row>
    <row r="557" spans="2:7" ht="18" customHeight="1">
      <c r="B557" s="744" t="str">
        <f>Analisa!B8951</f>
        <v>PK Supl. 6</v>
      </c>
      <c r="C557" s="745" t="str">
        <f>Analisa!C8951</f>
        <v>Pasang 1 bh Stop Kontak</v>
      </c>
      <c r="D557" s="746">
        <f>Analisa!$H$8965</f>
        <v>65269.4</v>
      </c>
      <c r="E557" s="441">
        <f>Analisa!M8965</f>
        <v>51853.07</v>
      </c>
      <c r="G557" s="441"/>
    </row>
    <row r="558" spans="2:7" ht="18" customHeight="1">
      <c r="B558" s="744" t="str">
        <f>Analisa!B8967</f>
        <v>PK Supl. 7</v>
      </c>
      <c r="C558" s="745" t="str">
        <f>Analisa!C8967</f>
        <v>Pasang 1 bh Saklar Tunggal</v>
      </c>
      <c r="D558" s="746">
        <f>Analisa!$H$8981</f>
        <v>60529.1</v>
      </c>
      <c r="E558" s="441">
        <f>Analisa!M8981</f>
        <v>50589.120000000003</v>
      </c>
      <c r="G558" s="441"/>
    </row>
    <row r="559" spans="2:7" ht="18" customHeight="1">
      <c r="B559" s="744" t="str">
        <f>Analisa!B8983</f>
        <v>PK Supl. 8</v>
      </c>
      <c r="C559" s="745" t="str">
        <f>Analisa!C8983</f>
        <v>Pasang 1 bh Saklar Ganda</v>
      </c>
      <c r="D559" s="746">
        <f>Analisa!$H$8997</f>
        <v>65952.5</v>
      </c>
      <c r="E559" s="441">
        <f>Analisa!M8997</f>
        <v>52950.47</v>
      </c>
      <c r="G559" s="441"/>
    </row>
    <row r="560" spans="2:7" ht="18" customHeight="1">
      <c r="B560" s="477" t="str">
        <f>Analisa!B8999</f>
        <v>PK Supl. 9</v>
      </c>
      <c r="C560" s="466" t="str">
        <f>Analisa!C8999</f>
        <v>Pasang 1 bh Saklar Triple</v>
      </c>
      <c r="D560" s="478">
        <f>Analisa!$H$9013</f>
        <v>70020.05</v>
      </c>
      <c r="G560" s="441"/>
    </row>
    <row r="561" spans="2:9" ht="18" customHeight="1">
      <c r="B561" s="477" t="str">
        <f>Analisa!B9015</f>
        <v>PK Supl. 10</v>
      </c>
      <c r="C561" s="466" t="str">
        <f>Analisa!C9015</f>
        <v>Pasang 1M' Kabel Feeder NYY 4x10 mm²</v>
      </c>
      <c r="D561" s="478">
        <f>Analisa!$H$9029</f>
        <v>171626</v>
      </c>
      <c r="G561" s="441"/>
    </row>
    <row r="562" spans="2:9" ht="18" customHeight="1">
      <c r="B562" s="477" t="str">
        <f>Analisa!B9031</f>
        <v>PK Supl. 11 PLN.1</v>
      </c>
      <c r="C562" s="466" t="str">
        <f>Analisa!C9031</f>
        <v>Penyambungan Listrik Pasca Bayar Daya 1300 VA</v>
      </c>
      <c r="D562" s="478">
        <f>Analisa!$H$9038</f>
        <v>1400700</v>
      </c>
      <c r="G562" s="441"/>
    </row>
    <row r="563" spans="2:9" ht="18" customHeight="1">
      <c r="B563" s="482" t="str">
        <f>Analisa!B9040</f>
        <v>PK Supl. 11 PLN.2</v>
      </c>
      <c r="C563" s="483" t="str">
        <f>Analisa!C9040</f>
        <v>Penyambungan Listrik Pasca Bayar Daya 2200 VA</v>
      </c>
      <c r="D563" s="484">
        <f>Analisa!$H$9047</f>
        <v>2371300</v>
      </c>
      <c r="G563" s="441"/>
    </row>
    <row r="564" spans="2:9" ht="18" customHeight="1">
      <c r="B564" s="482" t="str">
        <f>Analisa!B9049</f>
        <v>PK Supl. 11 PLN.3</v>
      </c>
      <c r="C564" s="483" t="str">
        <f>Analisa!C9049</f>
        <v>Penyambungan Listrik Pasca Bayar Daya 3500 VA</v>
      </c>
      <c r="D564" s="484">
        <f>Analisa!$H$9059</f>
        <v>4886350</v>
      </c>
      <c r="G564" s="441"/>
    </row>
    <row r="565" spans="2:9" ht="18" customHeight="1">
      <c r="B565" s="437" t="str">
        <f>Analisa!B9061</f>
        <v>PK Supl. 12 PLN.1</v>
      </c>
      <c r="C565" s="466" t="str">
        <f>Analisa!C9061</f>
        <v>Penyambungan Listrik Pasca Bayar Daya 13200 VA</v>
      </c>
      <c r="D565" s="478">
        <f>Analisa!$H$9089</f>
        <v>73022212.400000006</v>
      </c>
      <c r="G565" s="441"/>
    </row>
    <row r="566" spans="2:9" ht="18" customHeight="1">
      <c r="B566" s="437" t="str">
        <f>Analisa!B9091</f>
        <v>PK Supl. 12 PLN.2</v>
      </c>
      <c r="C566" s="485" t="str">
        <f>Analisa!C9091</f>
        <v>Penyambungan Listrik Pasca Bayar Daya 16500 VA</v>
      </c>
      <c r="D566" s="478">
        <f>Analisa!$H$9119</f>
        <v>87771767.400000006</v>
      </c>
      <c r="G566" s="441"/>
    </row>
    <row r="567" spans="2:9" ht="18" customHeight="1">
      <c r="B567" s="486"/>
      <c r="C567" s="487"/>
      <c r="D567" s="484"/>
      <c r="G567" s="441"/>
    </row>
    <row r="568" spans="2:9" s="470" customFormat="1" ht="18" customHeight="1">
      <c r="B568" s="474"/>
      <c r="C568" s="468" t="s">
        <v>4641</v>
      </c>
      <c r="D568" s="479"/>
      <c r="F568" s="480"/>
      <c r="G568" s="481"/>
      <c r="I568" s="455"/>
    </row>
    <row r="569" spans="2:9" ht="18" customHeight="1">
      <c r="B569" s="486" t="str">
        <f>Analisa!B9122</f>
        <v>Anl. Taman 01</v>
      </c>
      <c r="C569" s="487" t="str">
        <f>Analisa!C9122</f>
        <v>Penanaman 1 btg Pucuk Merah</v>
      </c>
      <c r="D569" s="484">
        <f>Analisa!H9137</f>
        <v>126900.202875</v>
      </c>
      <c r="G569" s="441"/>
    </row>
    <row r="570" spans="2:9" ht="18" customHeight="1">
      <c r="B570" s="486" t="str">
        <f>Analisa!B9139</f>
        <v>Anl. Taman 02</v>
      </c>
      <c r="C570" s="487" t="str">
        <f>Analisa!C9139</f>
        <v>Penanaman 1 btg Bunga asoka</v>
      </c>
      <c r="D570" s="484">
        <f>Analisa!H9154</f>
        <v>36536.940374999998</v>
      </c>
      <c r="G570" s="441"/>
    </row>
    <row r="571" spans="2:9" ht="18" customHeight="1">
      <c r="B571" s="730" t="str">
        <f>Analisa!B9156</f>
        <v>Anl. Taman 03</v>
      </c>
      <c r="C571" s="731" t="str">
        <f>Analisa!C9156</f>
        <v>Penanaman 1 m2 Rumput Gajah Mini</v>
      </c>
      <c r="D571" s="732">
        <f>Analisa!H9171</f>
        <v>46358.443500000001</v>
      </c>
      <c r="G571" s="441"/>
    </row>
    <row r="572" spans="2:9" ht="18" customHeight="1">
      <c r="B572" s="486" t="str">
        <f>Analisa!B9173</f>
        <v>Anl. Taman 04</v>
      </c>
      <c r="C572" s="487" t="str">
        <f>Analisa!C9173</f>
        <v>Penanaman 1 btg Bunga melati mini kuning</v>
      </c>
      <c r="D572" s="484">
        <f>Analisa!H9188</f>
        <v>40231.890375000003</v>
      </c>
      <c r="G572" s="441"/>
    </row>
    <row r="573" spans="2:9" ht="18" customHeight="1">
      <c r="B573" s="486" t="str">
        <f>Analisa!B9190</f>
        <v>Anl. Taman 05</v>
      </c>
      <c r="C573" s="487" t="str">
        <f>Analisa!C9190</f>
        <v xml:space="preserve">Penanaman 1 btg Bunga melati mini </v>
      </c>
      <c r="D573" s="484">
        <f>Analisa!H9205</f>
        <v>36536.940374999998</v>
      </c>
      <c r="G573" s="441"/>
    </row>
    <row r="574" spans="2:9" ht="18" customHeight="1">
      <c r="B574" s="730" t="str">
        <f>Analisa!B9207</f>
        <v>Anl. Taman 06</v>
      </c>
      <c r="C574" s="731" t="str">
        <f>Analisa!C9207</f>
        <v>Penanaman 1 btg Serut merah</v>
      </c>
      <c r="D574" s="732">
        <f>Analisa!H9222</f>
        <v>1907866.1028749999</v>
      </c>
      <c r="G574" s="441"/>
    </row>
    <row r="575" spans="2:9" ht="18" customHeight="1">
      <c r="B575" s="486" t="str">
        <f>Analisa!B9224</f>
        <v>Anl. Taman 07</v>
      </c>
      <c r="C575" s="487" t="str">
        <f>Analisa!C9224</f>
        <v>Penanaman 1 btg Crocol merah</v>
      </c>
      <c r="D575" s="484">
        <f>Analisa!H9239</f>
        <v>36536.940374999998</v>
      </c>
      <c r="G575" s="441"/>
    </row>
    <row r="576" spans="2:9" ht="18" customHeight="1">
      <c r="B576" s="486" t="str">
        <f>Analisa!B9241</f>
        <v>Anl. Taman 08</v>
      </c>
      <c r="C576" s="487" t="str">
        <f>Analisa!C9241</f>
        <v>Penanaman 1 btg catur rindu</v>
      </c>
      <c r="D576" s="484">
        <f>Analisa!H9256</f>
        <v>148617.090375</v>
      </c>
      <c r="G576" s="441"/>
    </row>
    <row r="577" spans="2:7" ht="18" customHeight="1">
      <c r="B577" s="486" t="str">
        <f>Analisa!B9258</f>
        <v>Anl. Taman 09</v>
      </c>
      <c r="C577" s="487" t="str">
        <f>Analisa!C9258</f>
        <v>Penanaman 1 btg Pandan kuning</v>
      </c>
      <c r="D577" s="484">
        <f>Analisa!H9273</f>
        <v>73939.252875000006</v>
      </c>
      <c r="G577" s="441"/>
    </row>
    <row r="578" spans="2:7" ht="18" customHeight="1">
      <c r="B578" s="486" t="str">
        <f>Analisa!B9275</f>
        <v>Anl. Taman 10</v>
      </c>
      <c r="C578" s="487" t="str">
        <f>Analisa!C9275</f>
        <v>Penanaman 1 btg Cemara udang</v>
      </c>
      <c r="D578" s="484">
        <f>Analisa!H9290</f>
        <v>1316674.1028749999</v>
      </c>
      <c r="G578" s="441"/>
    </row>
    <row r="579" spans="2:7" ht="18" customHeight="1">
      <c r="B579" s="486" t="str">
        <f>Analisa!B9292</f>
        <v>Anl. Taman 11</v>
      </c>
      <c r="C579" s="487" t="str">
        <f>Analisa!C9292</f>
        <v>Penanaman 1 btg kucai mini</v>
      </c>
      <c r="D579" s="484">
        <f>Analisa!H9307</f>
        <v>36536.940374999998</v>
      </c>
      <c r="G579" s="441"/>
    </row>
    <row r="580" spans="2:7" ht="18" customHeight="1">
      <c r="B580" s="447"/>
      <c r="C580" s="471"/>
      <c r="D580" s="459"/>
    </row>
    <row r="581" spans="2:7">
      <c r="C581" s="489"/>
    </row>
  </sheetData>
  <mergeCells count="1">
    <mergeCell ref="B1:D1"/>
  </mergeCells>
  <pageMargins left="0.59055118110236227" right="0.23622047244094491" top="0.3" bottom="0.15" header="0.23" footer="0.12"/>
  <pageSetup paperSize="400" scale="73" orientation="portrait" horizontalDpi="4294967294" r:id="rId1"/>
  <rowBreaks count="9" manualBreakCount="9">
    <brk id="67" min="1" max="4" man="1"/>
    <brk id="135" min="1" max="4" man="1"/>
    <brk id="202" min="1" max="4" man="1"/>
    <brk id="269" min="1" max="4" man="1"/>
    <brk id="334" min="1" max="4" man="1"/>
    <brk id="401" min="1" max="4" man="1"/>
    <brk id="464" min="1" max="4" man="1"/>
    <brk id="515" min="1" max="4" man="1"/>
    <brk id="527" min="1" max="4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42"/>
  <dimension ref="A1:G45"/>
  <sheetViews>
    <sheetView topLeftCell="A28" workbookViewId="0">
      <selection activeCell="G45" sqref="A1:G45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2203</v>
      </c>
    </row>
    <row r="3" spans="1:7" ht="34.950000000000003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5" customHeight="1">
      <c r="A5" s="5"/>
      <c r="B5" s="3" t="s">
        <v>673</v>
      </c>
      <c r="C5" s="3" t="s">
        <v>674</v>
      </c>
      <c r="D5" s="12" t="s">
        <v>675</v>
      </c>
      <c r="E5" s="3" t="s">
        <v>857</v>
      </c>
      <c r="F5" s="5"/>
      <c r="G5" s="5"/>
    </row>
    <row r="6" spans="1:7" ht="13.65" customHeight="1">
      <c r="A6" s="5"/>
      <c r="B6" s="3" t="s">
        <v>816</v>
      </c>
      <c r="C6" s="3" t="s">
        <v>678</v>
      </c>
      <c r="D6" s="12" t="s">
        <v>675</v>
      </c>
      <c r="E6" s="12" t="s">
        <v>1102</v>
      </c>
      <c r="F6" s="5"/>
      <c r="G6" s="5"/>
    </row>
    <row r="7" spans="1:7" ht="13.65" customHeight="1">
      <c r="A7" s="5"/>
      <c r="B7" s="3" t="s">
        <v>751</v>
      </c>
      <c r="C7" s="3" t="s">
        <v>681</v>
      </c>
      <c r="D7" s="12" t="s">
        <v>675</v>
      </c>
      <c r="E7" s="3" t="s">
        <v>901</v>
      </c>
      <c r="F7" s="5"/>
      <c r="G7" s="5"/>
    </row>
    <row r="8" spans="1:7" ht="13.95" customHeight="1">
      <c r="A8" s="5"/>
      <c r="B8" s="3" t="s">
        <v>683</v>
      </c>
      <c r="C8" s="3" t="s">
        <v>684</v>
      </c>
      <c r="D8" s="12" t="s">
        <v>675</v>
      </c>
      <c r="E8" s="3" t="s">
        <v>901</v>
      </c>
      <c r="F8" s="5"/>
      <c r="G8" s="5"/>
    </row>
    <row r="9" spans="1:7" ht="12" customHeight="1">
      <c r="A9" s="5"/>
      <c r="B9" s="5"/>
      <c r="C9" s="5"/>
      <c r="D9" s="5"/>
      <c r="E9" s="2474" t="s">
        <v>685</v>
      </c>
      <c r="F9" s="2474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65" customHeight="1">
      <c r="A11" s="5"/>
      <c r="B11" s="3" t="s">
        <v>1106</v>
      </c>
      <c r="C11" s="5"/>
      <c r="D11" s="12" t="s">
        <v>743</v>
      </c>
      <c r="E11" s="3" t="s">
        <v>1095</v>
      </c>
      <c r="F11" s="5"/>
      <c r="G11" s="5"/>
    </row>
    <row r="12" spans="1:7" ht="13.95" customHeight="1">
      <c r="A12" s="5"/>
      <c r="B12" s="3" t="s">
        <v>818</v>
      </c>
      <c r="C12" s="5"/>
      <c r="D12" s="12" t="s">
        <v>773</v>
      </c>
      <c r="E12" s="3" t="s">
        <v>1096</v>
      </c>
      <c r="F12" s="5"/>
      <c r="G12" s="5"/>
    </row>
    <row r="13" spans="1:7" ht="13.65" customHeight="1">
      <c r="A13" s="5"/>
      <c r="B13" s="3" t="s">
        <v>1100</v>
      </c>
      <c r="C13" s="5"/>
      <c r="D13" s="12" t="s">
        <v>690</v>
      </c>
      <c r="E13" s="12" t="s">
        <v>750</v>
      </c>
      <c r="F13" s="5"/>
      <c r="G13" s="5"/>
    </row>
    <row r="14" spans="1:7" ht="13.65" customHeight="1">
      <c r="A14" s="5"/>
      <c r="B14" s="3" t="s">
        <v>739</v>
      </c>
      <c r="C14" s="5"/>
      <c r="D14" s="12" t="s">
        <v>881</v>
      </c>
      <c r="E14" s="3" t="s">
        <v>795</v>
      </c>
      <c r="F14" s="5"/>
      <c r="G14" s="5"/>
    </row>
    <row r="15" spans="1:7" ht="12" customHeight="1">
      <c r="A15" s="5"/>
      <c r="B15" s="5"/>
      <c r="C15" s="5"/>
      <c r="D15" s="5"/>
      <c r="E15" s="2474" t="s">
        <v>702</v>
      </c>
      <c r="F15" s="2474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2474" t="s">
        <v>705</v>
      </c>
      <c r="F18" s="2474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2474" t="s">
        <v>707</v>
      </c>
      <c r="C20" s="2474"/>
      <c r="D20" s="2474"/>
      <c r="E20" s="2474"/>
      <c r="F20" s="2474"/>
      <c r="G20" s="5"/>
    </row>
    <row r="21" spans="1:7" ht="12" customHeight="1">
      <c r="A21" s="12" t="s">
        <v>708</v>
      </c>
      <c r="B21" s="2471" t="s">
        <v>876</v>
      </c>
      <c r="C21" s="2471"/>
      <c r="D21" s="2471"/>
      <c r="E21" s="2472" t="s">
        <v>710</v>
      </c>
      <c r="F21" s="2472"/>
      <c r="G21" s="5"/>
    </row>
    <row r="22" spans="1:7" ht="12" customHeight="1">
      <c r="A22" s="12" t="s">
        <v>711</v>
      </c>
      <c r="B22" s="2473" t="s">
        <v>712</v>
      </c>
      <c r="C22" s="2473"/>
      <c r="D22" s="2473"/>
      <c r="E22" s="2473"/>
      <c r="F22" s="2473"/>
      <c r="G22" s="5"/>
    </row>
    <row r="23" spans="1:7" ht="12" customHeight="1">
      <c r="A23" s="12"/>
      <c r="B23" s="26"/>
      <c r="C23" s="26"/>
      <c r="D23" s="26"/>
      <c r="E23" s="26"/>
      <c r="F23" s="26"/>
      <c r="G23" s="5"/>
    </row>
    <row r="24" spans="1:7" ht="12" customHeight="1">
      <c r="A24" s="50" t="s">
        <v>2204</v>
      </c>
      <c r="B24" s="26"/>
      <c r="C24" s="26"/>
      <c r="D24" s="26"/>
      <c r="E24" s="26"/>
      <c r="F24" s="26"/>
      <c r="G24" s="5"/>
    </row>
    <row r="25" spans="1:7" ht="12" customHeight="1">
      <c r="A25" s="12"/>
      <c r="B25" s="26"/>
      <c r="C25" s="26"/>
      <c r="D25" s="26"/>
      <c r="E25" s="26"/>
      <c r="F25" s="26"/>
      <c r="G25" s="5"/>
    </row>
    <row r="26" spans="1:7" ht="35.1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65" customHeight="1">
      <c r="A28" s="5"/>
      <c r="B28" s="3" t="s">
        <v>673</v>
      </c>
      <c r="C28" s="3" t="s">
        <v>674</v>
      </c>
      <c r="D28" s="12" t="s">
        <v>675</v>
      </c>
      <c r="E28" s="3" t="s">
        <v>746</v>
      </c>
      <c r="F28" s="5"/>
      <c r="G28" s="5"/>
    </row>
    <row r="29" spans="1:7" ht="13.95" customHeight="1">
      <c r="A29" s="5"/>
      <c r="B29" s="3" t="s">
        <v>816</v>
      </c>
      <c r="C29" s="3" t="s">
        <v>678</v>
      </c>
      <c r="D29" s="12" t="s">
        <v>675</v>
      </c>
      <c r="E29" s="3" t="s">
        <v>787</v>
      </c>
      <c r="F29" s="5"/>
      <c r="G29" s="5"/>
    </row>
    <row r="30" spans="1:7" ht="13.65" customHeight="1">
      <c r="A30" s="5"/>
      <c r="B30" s="3" t="s">
        <v>751</v>
      </c>
      <c r="C30" s="3" t="s">
        <v>681</v>
      </c>
      <c r="D30" s="12" t="s">
        <v>675</v>
      </c>
      <c r="E30" s="3" t="s">
        <v>901</v>
      </c>
      <c r="F30" s="5"/>
      <c r="G30" s="5"/>
    </row>
    <row r="31" spans="1:7" ht="13.95" customHeight="1">
      <c r="A31" s="5"/>
      <c r="B31" s="3" t="s">
        <v>683</v>
      </c>
      <c r="C31" s="3" t="s">
        <v>684</v>
      </c>
      <c r="D31" s="12" t="s">
        <v>675</v>
      </c>
      <c r="E31" s="3" t="s">
        <v>901</v>
      </c>
      <c r="F31" s="5"/>
      <c r="G31" s="5"/>
    </row>
    <row r="32" spans="1:7" ht="12" customHeight="1">
      <c r="A32" s="5"/>
      <c r="B32" s="5"/>
      <c r="C32" s="5"/>
      <c r="D32" s="5"/>
      <c r="E32" s="2474" t="s">
        <v>685</v>
      </c>
      <c r="F32" s="2474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65" customHeight="1">
      <c r="A34" s="5"/>
      <c r="B34" s="3" t="s">
        <v>1107</v>
      </c>
      <c r="C34" s="5"/>
      <c r="D34" s="12" t="s">
        <v>743</v>
      </c>
      <c r="E34" s="12" t="s">
        <v>1093</v>
      </c>
      <c r="F34" s="5"/>
      <c r="G34" s="5"/>
    </row>
    <row r="35" spans="1:7" ht="13.65" customHeight="1">
      <c r="A35" s="5"/>
      <c r="B35" s="3" t="s">
        <v>818</v>
      </c>
      <c r="C35" s="5"/>
      <c r="D35" s="12" t="s">
        <v>773</v>
      </c>
      <c r="E35" s="12" t="s">
        <v>1094</v>
      </c>
      <c r="F35" s="5"/>
      <c r="G35" s="5"/>
    </row>
    <row r="36" spans="1:7" ht="13.95" customHeight="1">
      <c r="A36" s="5"/>
      <c r="B36" s="3" t="s">
        <v>1100</v>
      </c>
      <c r="C36" s="5"/>
      <c r="D36" s="12" t="s">
        <v>690</v>
      </c>
      <c r="E36" s="12" t="s">
        <v>1101</v>
      </c>
      <c r="F36" s="5"/>
      <c r="G36" s="5"/>
    </row>
    <row r="37" spans="1:7" ht="13.65" customHeight="1">
      <c r="A37" s="5"/>
      <c r="B37" s="3" t="s">
        <v>739</v>
      </c>
      <c r="C37" s="5"/>
      <c r="D37" s="12" t="s">
        <v>881</v>
      </c>
      <c r="E37" s="3" t="s">
        <v>795</v>
      </c>
      <c r="F37" s="5"/>
      <c r="G37" s="5"/>
    </row>
    <row r="38" spans="1:7" ht="12" customHeight="1">
      <c r="A38" s="5"/>
      <c r="B38" s="5"/>
      <c r="C38" s="5"/>
      <c r="D38" s="5"/>
      <c r="E38" s="2474" t="s">
        <v>702</v>
      </c>
      <c r="F38" s="2474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2474" t="s">
        <v>705</v>
      </c>
      <c r="F41" s="2474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2474" t="s">
        <v>707</v>
      </c>
      <c r="C43" s="2474"/>
      <c r="D43" s="2474"/>
      <c r="E43" s="2474"/>
      <c r="F43" s="2474"/>
      <c r="G43" s="5"/>
    </row>
    <row r="44" spans="1:7" ht="12" customHeight="1">
      <c r="A44" s="12" t="s">
        <v>708</v>
      </c>
      <c r="B44" s="2471" t="s">
        <v>876</v>
      </c>
      <c r="C44" s="2471"/>
      <c r="D44" s="2471"/>
      <c r="E44" s="2472" t="s">
        <v>710</v>
      </c>
      <c r="F44" s="2472"/>
      <c r="G44" s="5"/>
    </row>
    <row r="45" spans="1:7" ht="12" customHeight="1">
      <c r="A45" s="12" t="s">
        <v>711</v>
      </c>
      <c r="B45" s="2473" t="s">
        <v>712</v>
      </c>
      <c r="C45" s="2473"/>
      <c r="D45" s="2473"/>
      <c r="E45" s="2473"/>
      <c r="F45" s="2473"/>
      <c r="G45" s="5"/>
    </row>
  </sheetData>
  <mergeCells count="14">
    <mergeCell ref="E9:F9"/>
    <mergeCell ref="E15:F15"/>
    <mergeCell ref="E18:F18"/>
    <mergeCell ref="B20:F20"/>
    <mergeCell ref="B21:D21"/>
    <mergeCell ref="E21:F21"/>
    <mergeCell ref="B44:D44"/>
    <mergeCell ref="E44:F44"/>
    <mergeCell ref="B45:F45"/>
    <mergeCell ref="B22:F22"/>
    <mergeCell ref="E32:F32"/>
    <mergeCell ref="E38:F38"/>
    <mergeCell ref="E41:F41"/>
    <mergeCell ref="B43:F43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43"/>
  <dimension ref="A1:G45"/>
  <sheetViews>
    <sheetView workbookViewId="0">
      <selection activeCell="G45" sqref="A1:G45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2205</v>
      </c>
    </row>
    <row r="3" spans="1:7" ht="34.950000000000003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5" customHeight="1">
      <c r="A5" s="5"/>
      <c r="B5" s="3" t="s">
        <v>673</v>
      </c>
      <c r="C5" s="3" t="s">
        <v>674</v>
      </c>
      <c r="D5" s="12" t="s">
        <v>675</v>
      </c>
      <c r="E5" s="3" t="s">
        <v>857</v>
      </c>
      <c r="F5" s="5"/>
      <c r="G5" s="5"/>
    </row>
    <row r="6" spans="1:7" ht="13.65" customHeight="1">
      <c r="A6" s="5"/>
      <c r="B6" s="3" t="s">
        <v>816</v>
      </c>
      <c r="C6" s="3" t="s">
        <v>678</v>
      </c>
      <c r="D6" s="12" t="s">
        <v>675</v>
      </c>
      <c r="E6" s="12" t="s">
        <v>1102</v>
      </c>
      <c r="F6" s="5"/>
      <c r="G6" s="5"/>
    </row>
    <row r="7" spans="1:7" ht="13.65" customHeight="1">
      <c r="A7" s="5"/>
      <c r="B7" s="3" t="s">
        <v>751</v>
      </c>
      <c r="C7" s="3" t="s">
        <v>681</v>
      </c>
      <c r="D7" s="12" t="s">
        <v>675</v>
      </c>
      <c r="E7" s="3" t="s">
        <v>901</v>
      </c>
      <c r="F7" s="5"/>
      <c r="G7" s="5"/>
    </row>
    <row r="8" spans="1:7" ht="13.95" customHeight="1">
      <c r="A8" s="5"/>
      <c r="B8" s="3" t="s">
        <v>683</v>
      </c>
      <c r="C8" s="3" t="s">
        <v>684</v>
      </c>
      <c r="D8" s="12" t="s">
        <v>675</v>
      </c>
      <c r="E8" s="3" t="s">
        <v>901</v>
      </c>
      <c r="F8" s="5"/>
      <c r="G8" s="5"/>
    </row>
    <row r="9" spans="1:7" ht="12" customHeight="1">
      <c r="A9" s="5"/>
      <c r="B9" s="5"/>
      <c r="C9" s="5"/>
      <c r="D9" s="5"/>
      <c r="E9" s="2474" t="s">
        <v>685</v>
      </c>
      <c r="F9" s="2474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65" customHeight="1">
      <c r="A11" s="5"/>
      <c r="B11" s="3" t="s">
        <v>1107</v>
      </c>
      <c r="C11" s="5"/>
      <c r="D11" s="12" t="s">
        <v>743</v>
      </c>
      <c r="E11" s="3" t="s">
        <v>1095</v>
      </c>
      <c r="F11" s="5"/>
      <c r="G11" s="5"/>
    </row>
    <row r="12" spans="1:7" ht="13.95" customHeight="1">
      <c r="A12" s="5"/>
      <c r="B12" s="3" t="s">
        <v>818</v>
      </c>
      <c r="C12" s="5"/>
      <c r="D12" s="12" t="s">
        <v>773</v>
      </c>
      <c r="E12" s="3" t="s">
        <v>1096</v>
      </c>
      <c r="F12" s="5"/>
      <c r="G12" s="5"/>
    </row>
    <row r="13" spans="1:7" ht="13.65" customHeight="1">
      <c r="A13" s="5"/>
      <c r="B13" s="3" t="s">
        <v>1100</v>
      </c>
      <c r="C13" s="5"/>
      <c r="D13" s="12" t="s">
        <v>690</v>
      </c>
      <c r="E13" s="12" t="s">
        <v>750</v>
      </c>
      <c r="F13" s="5"/>
      <c r="G13" s="5"/>
    </row>
    <row r="14" spans="1:7" ht="13.65" customHeight="1">
      <c r="A14" s="5"/>
      <c r="B14" s="3" t="s">
        <v>739</v>
      </c>
      <c r="C14" s="5"/>
      <c r="D14" s="12" t="s">
        <v>881</v>
      </c>
      <c r="E14" s="3" t="s">
        <v>795</v>
      </c>
      <c r="F14" s="5"/>
      <c r="G14" s="5"/>
    </row>
    <row r="15" spans="1:7" ht="12" customHeight="1">
      <c r="A15" s="5"/>
      <c r="B15" s="5"/>
      <c r="C15" s="5"/>
      <c r="D15" s="5"/>
      <c r="E15" s="2474" t="s">
        <v>702</v>
      </c>
      <c r="F15" s="2474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2474" t="s">
        <v>705</v>
      </c>
      <c r="F18" s="2474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2474" t="s">
        <v>707</v>
      </c>
      <c r="C20" s="2474"/>
      <c r="D20" s="2474"/>
      <c r="E20" s="2474"/>
      <c r="F20" s="2474"/>
      <c r="G20" s="5"/>
    </row>
    <row r="21" spans="1:7" ht="12" customHeight="1">
      <c r="A21" s="12" t="s">
        <v>708</v>
      </c>
      <c r="B21" s="2471" t="s">
        <v>876</v>
      </c>
      <c r="C21" s="2471"/>
      <c r="D21" s="2471"/>
      <c r="E21" s="2472" t="s">
        <v>710</v>
      </c>
      <c r="F21" s="2472"/>
      <c r="G21" s="5"/>
    </row>
    <row r="22" spans="1:7" ht="12" customHeight="1">
      <c r="A22" s="12" t="s">
        <v>711</v>
      </c>
      <c r="B22" s="2473" t="s">
        <v>712</v>
      </c>
      <c r="C22" s="2473"/>
      <c r="D22" s="2473"/>
      <c r="E22" s="2473"/>
      <c r="F22" s="2473"/>
      <c r="G22" s="5"/>
    </row>
    <row r="23" spans="1:7" ht="12" customHeight="1">
      <c r="A23" s="12"/>
      <c r="B23" s="26"/>
      <c r="C23" s="26"/>
      <c r="D23" s="26"/>
      <c r="E23" s="26"/>
      <c r="F23" s="26"/>
      <c r="G23" s="5"/>
    </row>
    <row r="24" spans="1:7" ht="12" customHeight="1">
      <c r="A24" s="50" t="s">
        <v>2206</v>
      </c>
      <c r="B24" s="26"/>
      <c r="C24" s="26"/>
      <c r="D24" s="26"/>
      <c r="E24" s="26"/>
      <c r="F24" s="26"/>
      <c r="G24" s="5"/>
    </row>
    <row r="25" spans="1:7" ht="12" customHeight="1">
      <c r="A25" s="12"/>
      <c r="B25" s="26"/>
      <c r="C25" s="26"/>
      <c r="D25" s="26"/>
      <c r="E25" s="26"/>
      <c r="F25" s="26"/>
      <c r="G25" s="5"/>
    </row>
    <row r="26" spans="1:7" ht="35.1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65" customHeight="1">
      <c r="A28" s="5"/>
      <c r="B28" s="3" t="s">
        <v>673</v>
      </c>
      <c r="C28" s="3" t="s">
        <v>674</v>
      </c>
      <c r="D28" s="12" t="s">
        <v>675</v>
      </c>
      <c r="E28" s="12" t="s">
        <v>1108</v>
      </c>
      <c r="F28" s="5"/>
      <c r="G28" s="5"/>
    </row>
    <row r="29" spans="1:7" ht="13.65" customHeight="1">
      <c r="A29" s="5"/>
      <c r="B29" s="3" t="s">
        <v>816</v>
      </c>
      <c r="C29" s="3" t="s">
        <v>678</v>
      </c>
      <c r="D29" s="12" t="s">
        <v>675</v>
      </c>
      <c r="E29" s="12" t="s">
        <v>726</v>
      </c>
      <c r="F29" s="5"/>
      <c r="G29" s="5"/>
    </row>
    <row r="30" spans="1:7" ht="13.95" customHeight="1">
      <c r="A30" s="5"/>
      <c r="B30" s="3" t="s">
        <v>751</v>
      </c>
      <c r="C30" s="3" t="s">
        <v>681</v>
      </c>
      <c r="D30" s="12" t="s">
        <v>675</v>
      </c>
      <c r="E30" s="3" t="s">
        <v>788</v>
      </c>
      <c r="F30" s="5"/>
      <c r="G30" s="5"/>
    </row>
    <row r="31" spans="1:7" ht="13.65" customHeight="1">
      <c r="A31" s="5"/>
      <c r="B31" s="3" t="s">
        <v>683</v>
      </c>
      <c r="C31" s="3" t="s">
        <v>684</v>
      </c>
      <c r="D31" s="12" t="s">
        <v>675</v>
      </c>
      <c r="E31" s="3" t="s">
        <v>788</v>
      </c>
      <c r="F31" s="5"/>
      <c r="G31" s="5"/>
    </row>
    <row r="32" spans="1:7" ht="12" customHeight="1">
      <c r="A32" s="5"/>
      <c r="B32" s="5"/>
      <c r="C32" s="5"/>
      <c r="D32" s="5"/>
      <c r="E32" s="2474" t="s">
        <v>685</v>
      </c>
      <c r="F32" s="2474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65" customHeight="1">
      <c r="A34" s="5"/>
      <c r="B34" s="3" t="s">
        <v>1109</v>
      </c>
      <c r="C34" s="5"/>
      <c r="D34" s="12" t="s">
        <v>743</v>
      </c>
      <c r="E34" s="12" t="s">
        <v>1110</v>
      </c>
      <c r="F34" s="5"/>
      <c r="G34" s="5"/>
    </row>
    <row r="35" spans="1:7" ht="13.95" customHeight="1">
      <c r="A35" s="5"/>
      <c r="B35" s="3" t="s">
        <v>818</v>
      </c>
      <c r="C35" s="5"/>
      <c r="D35" s="12" t="s">
        <v>773</v>
      </c>
      <c r="E35" s="12" t="s">
        <v>1111</v>
      </c>
      <c r="F35" s="5"/>
      <c r="G35" s="5"/>
    </row>
    <row r="36" spans="1:7" ht="13.65" customHeight="1">
      <c r="A36" s="5"/>
      <c r="B36" s="3" t="s">
        <v>1100</v>
      </c>
      <c r="C36" s="5"/>
      <c r="D36" s="12" t="s">
        <v>690</v>
      </c>
      <c r="E36" s="12" t="s">
        <v>750</v>
      </c>
      <c r="F36" s="5"/>
      <c r="G36" s="5"/>
    </row>
    <row r="37" spans="1:7" ht="13.95" customHeight="1">
      <c r="A37" s="5"/>
      <c r="B37" s="3" t="s">
        <v>739</v>
      </c>
      <c r="C37" s="5"/>
      <c r="D37" s="12" t="s">
        <v>881</v>
      </c>
      <c r="E37" s="3" t="s">
        <v>795</v>
      </c>
      <c r="F37" s="5"/>
      <c r="G37" s="5"/>
    </row>
    <row r="38" spans="1:7" ht="12" customHeight="1">
      <c r="A38" s="5"/>
      <c r="B38" s="5"/>
      <c r="C38" s="5"/>
      <c r="D38" s="5"/>
      <c r="E38" s="2474" t="s">
        <v>702</v>
      </c>
      <c r="F38" s="2474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2474" t="s">
        <v>705</v>
      </c>
      <c r="F41" s="2474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2474" t="s">
        <v>707</v>
      </c>
      <c r="C43" s="2474"/>
      <c r="D43" s="2474"/>
      <c r="E43" s="2474"/>
      <c r="F43" s="2474"/>
      <c r="G43" s="5"/>
    </row>
    <row r="44" spans="1:7" ht="11.85" customHeight="1">
      <c r="A44" s="12" t="s">
        <v>708</v>
      </c>
      <c r="B44" s="2471" t="s">
        <v>876</v>
      </c>
      <c r="C44" s="2471"/>
      <c r="D44" s="2471"/>
      <c r="E44" s="2472" t="s">
        <v>710</v>
      </c>
      <c r="F44" s="2472"/>
      <c r="G44" s="5"/>
    </row>
    <row r="45" spans="1:7" ht="12.15" customHeight="1">
      <c r="A45" s="12" t="s">
        <v>711</v>
      </c>
      <c r="B45" s="2473" t="s">
        <v>712</v>
      </c>
      <c r="C45" s="2473"/>
      <c r="D45" s="2473"/>
      <c r="E45" s="2473"/>
      <c r="F45" s="2473"/>
      <c r="G45" s="5"/>
    </row>
  </sheetData>
  <mergeCells count="14">
    <mergeCell ref="E9:F9"/>
    <mergeCell ref="E15:F15"/>
    <mergeCell ref="E18:F18"/>
    <mergeCell ref="B20:F20"/>
    <mergeCell ref="B21:D21"/>
    <mergeCell ref="E21:F21"/>
    <mergeCell ref="B44:D44"/>
    <mergeCell ref="E44:F44"/>
    <mergeCell ref="B45:F45"/>
    <mergeCell ref="B22:F22"/>
    <mergeCell ref="E32:F32"/>
    <mergeCell ref="E38:F38"/>
    <mergeCell ref="E41:F41"/>
    <mergeCell ref="B43:F43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44"/>
  <dimension ref="A1:G45"/>
  <sheetViews>
    <sheetView topLeftCell="A28" workbookViewId="0">
      <selection sqref="A1:G45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2207</v>
      </c>
    </row>
    <row r="3" spans="1:7" ht="34.950000000000003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5" customHeight="1">
      <c r="A5" s="5"/>
      <c r="B5" s="3" t="s">
        <v>673</v>
      </c>
      <c r="C5" s="3" t="s">
        <v>674</v>
      </c>
      <c r="D5" s="12" t="s">
        <v>675</v>
      </c>
      <c r="E5" s="12" t="s">
        <v>1112</v>
      </c>
      <c r="F5" s="5"/>
      <c r="G5" s="5"/>
    </row>
    <row r="6" spans="1:7" ht="13.65" customHeight="1">
      <c r="A6" s="5"/>
      <c r="B6" s="3" t="s">
        <v>816</v>
      </c>
      <c r="C6" s="3" t="s">
        <v>678</v>
      </c>
      <c r="D6" s="12" t="s">
        <v>675</v>
      </c>
      <c r="E6" s="3" t="s">
        <v>787</v>
      </c>
      <c r="F6" s="5"/>
      <c r="G6" s="5"/>
    </row>
    <row r="7" spans="1:7" ht="13.65" customHeight="1">
      <c r="A7" s="5"/>
      <c r="B7" s="3" t="s">
        <v>751</v>
      </c>
      <c r="C7" s="3" t="s">
        <v>681</v>
      </c>
      <c r="D7" s="12" t="s">
        <v>675</v>
      </c>
      <c r="E7" s="3" t="s">
        <v>901</v>
      </c>
      <c r="F7" s="5"/>
      <c r="G7" s="5"/>
    </row>
    <row r="8" spans="1:7" ht="13.95" customHeight="1">
      <c r="A8" s="5"/>
      <c r="B8" s="3" t="s">
        <v>683</v>
      </c>
      <c r="C8" s="3" t="s">
        <v>684</v>
      </c>
      <c r="D8" s="12" t="s">
        <v>675</v>
      </c>
      <c r="E8" s="3" t="s">
        <v>901</v>
      </c>
      <c r="F8" s="5"/>
      <c r="G8" s="5"/>
    </row>
    <row r="9" spans="1:7" ht="12" customHeight="1">
      <c r="A9" s="5"/>
      <c r="B9" s="5"/>
      <c r="C9" s="5"/>
      <c r="D9" s="5"/>
      <c r="E9" s="2474" t="s">
        <v>685</v>
      </c>
      <c r="F9" s="2474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65" customHeight="1">
      <c r="A11" s="5"/>
      <c r="B11" s="3" t="s">
        <v>1109</v>
      </c>
      <c r="C11" s="5"/>
      <c r="D11" s="12" t="s">
        <v>743</v>
      </c>
      <c r="E11" s="12" t="s">
        <v>1093</v>
      </c>
      <c r="F11" s="5"/>
      <c r="G11" s="5"/>
    </row>
    <row r="12" spans="1:7" ht="13.95" customHeight="1">
      <c r="A12" s="5"/>
      <c r="B12" s="3" t="s">
        <v>818</v>
      </c>
      <c r="C12" s="5"/>
      <c r="D12" s="12" t="s">
        <v>773</v>
      </c>
      <c r="E12" s="12" t="s">
        <v>1094</v>
      </c>
      <c r="F12" s="5"/>
      <c r="G12" s="5"/>
    </row>
    <row r="13" spans="1:7" ht="13.65" customHeight="1">
      <c r="A13" s="5"/>
      <c r="B13" s="3" t="s">
        <v>1100</v>
      </c>
      <c r="C13" s="5"/>
      <c r="D13" s="12" t="s">
        <v>690</v>
      </c>
      <c r="E13" s="12" t="s">
        <v>1101</v>
      </c>
      <c r="F13" s="5"/>
      <c r="G13" s="5"/>
    </row>
    <row r="14" spans="1:7" ht="13.65" customHeight="1">
      <c r="A14" s="5"/>
      <c r="B14" s="3" t="s">
        <v>739</v>
      </c>
      <c r="C14" s="5"/>
      <c r="D14" s="12" t="s">
        <v>881</v>
      </c>
      <c r="E14" s="3" t="s">
        <v>795</v>
      </c>
      <c r="F14" s="5"/>
      <c r="G14" s="5"/>
    </row>
    <row r="15" spans="1:7" ht="12" customHeight="1">
      <c r="A15" s="5"/>
      <c r="B15" s="5"/>
      <c r="C15" s="5"/>
      <c r="D15" s="5"/>
      <c r="E15" s="2474" t="s">
        <v>702</v>
      </c>
      <c r="F15" s="2474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2474" t="s">
        <v>705</v>
      </c>
      <c r="F18" s="2474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2474" t="s">
        <v>707</v>
      </c>
      <c r="C20" s="2474"/>
      <c r="D20" s="2474"/>
      <c r="E20" s="2474"/>
      <c r="F20" s="2474"/>
      <c r="G20" s="5"/>
    </row>
    <row r="21" spans="1:7" ht="12" customHeight="1">
      <c r="A21" s="12" t="s">
        <v>708</v>
      </c>
      <c r="B21" s="2471" t="s">
        <v>876</v>
      </c>
      <c r="C21" s="2471"/>
      <c r="D21" s="2471"/>
      <c r="E21" s="2472" t="s">
        <v>710</v>
      </c>
      <c r="F21" s="2472"/>
      <c r="G21" s="5"/>
    </row>
    <row r="22" spans="1:7" ht="12" customHeight="1">
      <c r="A22" s="12" t="s">
        <v>711</v>
      </c>
      <c r="B22" s="2473" t="s">
        <v>712</v>
      </c>
      <c r="C22" s="2473"/>
      <c r="D22" s="2473"/>
      <c r="E22" s="2473"/>
      <c r="F22" s="2473"/>
      <c r="G22" s="5"/>
    </row>
    <row r="23" spans="1:7" ht="12" customHeight="1">
      <c r="A23" s="12"/>
      <c r="B23" s="26"/>
      <c r="C23" s="26"/>
      <c r="D23" s="26"/>
      <c r="E23" s="26"/>
      <c r="F23" s="26"/>
      <c r="G23" s="5"/>
    </row>
    <row r="24" spans="1:7" ht="12" customHeight="1">
      <c r="A24" s="50" t="s">
        <v>2208</v>
      </c>
      <c r="B24" s="26"/>
      <c r="C24" s="26"/>
      <c r="D24" s="26"/>
      <c r="E24" s="26"/>
      <c r="F24" s="26"/>
      <c r="G24" s="5"/>
    </row>
    <row r="25" spans="1:7" ht="12" customHeight="1">
      <c r="A25" s="12"/>
      <c r="B25" s="26"/>
      <c r="C25" s="26"/>
      <c r="D25" s="26"/>
      <c r="E25" s="26"/>
      <c r="F25" s="26"/>
      <c r="G25" s="5"/>
    </row>
    <row r="26" spans="1:7" ht="35.1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65" customHeight="1">
      <c r="A28" s="5"/>
      <c r="B28" s="3" t="s">
        <v>673</v>
      </c>
      <c r="C28" s="3" t="s">
        <v>674</v>
      </c>
      <c r="D28" s="12" t="s">
        <v>675</v>
      </c>
      <c r="E28" s="12" t="s">
        <v>1113</v>
      </c>
      <c r="F28" s="5"/>
      <c r="G28" s="5"/>
    </row>
    <row r="29" spans="1:7" ht="13.65" customHeight="1">
      <c r="A29" s="5"/>
      <c r="B29" s="3" t="s">
        <v>816</v>
      </c>
      <c r="C29" s="3" t="s">
        <v>678</v>
      </c>
      <c r="D29" s="12" t="s">
        <v>675</v>
      </c>
      <c r="E29" s="12" t="s">
        <v>1102</v>
      </c>
      <c r="F29" s="5"/>
      <c r="G29" s="5"/>
    </row>
    <row r="30" spans="1:7" ht="13.95" customHeight="1">
      <c r="A30" s="5"/>
      <c r="B30" s="3" t="s">
        <v>751</v>
      </c>
      <c r="C30" s="3" t="s">
        <v>681</v>
      </c>
      <c r="D30" s="12" t="s">
        <v>675</v>
      </c>
      <c r="E30" s="3" t="s">
        <v>901</v>
      </c>
      <c r="F30" s="5"/>
      <c r="G30" s="5"/>
    </row>
    <row r="31" spans="1:7" ht="13.65" customHeight="1">
      <c r="A31" s="5"/>
      <c r="B31" s="3" t="s">
        <v>683</v>
      </c>
      <c r="C31" s="3" t="s">
        <v>684</v>
      </c>
      <c r="D31" s="12" t="s">
        <v>675</v>
      </c>
      <c r="E31" s="3" t="s">
        <v>901</v>
      </c>
      <c r="F31" s="5"/>
      <c r="G31" s="5"/>
    </row>
    <row r="32" spans="1:7" ht="12" customHeight="1">
      <c r="A32" s="5"/>
      <c r="B32" s="5"/>
      <c r="C32" s="5"/>
      <c r="D32" s="5"/>
      <c r="E32" s="2474" t="s">
        <v>685</v>
      </c>
      <c r="F32" s="2474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65" customHeight="1">
      <c r="A34" s="5"/>
      <c r="B34" s="3" t="s">
        <v>1109</v>
      </c>
      <c r="C34" s="5"/>
      <c r="D34" s="12" t="s">
        <v>743</v>
      </c>
      <c r="E34" s="3" t="s">
        <v>1095</v>
      </c>
      <c r="F34" s="5"/>
      <c r="G34" s="5"/>
    </row>
    <row r="35" spans="1:7" ht="13.95" customHeight="1">
      <c r="A35" s="5"/>
      <c r="B35" s="3" t="s">
        <v>818</v>
      </c>
      <c r="C35" s="5"/>
      <c r="D35" s="12" t="s">
        <v>773</v>
      </c>
      <c r="E35" s="3" t="s">
        <v>1096</v>
      </c>
      <c r="F35" s="5"/>
      <c r="G35" s="5"/>
    </row>
    <row r="36" spans="1:7" ht="13.65" customHeight="1">
      <c r="A36" s="5"/>
      <c r="B36" s="3" t="s">
        <v>1100</v>
      </c>
      <c r="C36" s="5"/>
      <c r="D36" s="12" t="s">
        <v>690</v>
      </c>
      <c r="E36" s="12" t="s">
        <v>750</v>
      </c>
      <c r="F36" s="5"/>
      <c r="G36" s="5"/>
    </row>
    <row r="37" spans="1:7" ht="13.95" customHeight="1">
      <c r="A37" s="5"/>
      <c r="B37" s="3" t="s">
        <v>739</v>
      </c>
      <c r="C37" s="5"/>
      <c r="D37" s="12" t="s">
        <v>881</v>
      </c>
      <c r="E37" s="3" t="s">
        <v>795</v>
      </c>
      <c r="F37" s="5"/>
      <c r="G37" s="5"/>
    </row>
    <row r="38" spans="1:7" ht="12" customHeight="1">
      <c r="A38" s="5"/>
      <c r="B38" s="5"/>
      <c r="C38" s="5"/>
      <c r="D38" s="5"/>
      <c r="E38" s="2474" t="s">
        <v>702</v>
      </c>
      <c r="F38" s="2474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2474" t="s">
        <v>705</v>
      </c>
      <c r="F41" s="2474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2474" t="s">
        <v>707</v>
      </c>
      <c r="C43" s="2474"/>
      <c r="D43" s="2474"/>
      <c r="E43" s="2474"/>
      <c r="F43" s="2474"/>
      <c r="G43" s="5"/>
    </row>
    <row r="44" spans="1:7" ht="11.85" customHeight="1">
      <c r="A44" s="12" t="s">
        <v>708</v>
      </c>
      <c r="B44" s="2471" t="s">
        <v>876</v>
      </c>
      <c r="C44" s="2471"/>
      <c r="D44" s="2471"/>
      <c r="E44" s="2472" t="s">
        <v>710</v>
      </c>
      <c r="F44" s="2472"/>
      <c r="G44" s="5"/>
    </row>
    <row r="45" spans="1:7" ht="12.15" customHeight="1">
      <c r="A45" s="12" t="s">
        <v>711</v>
      </c>
      <c r="B45" s="2473" t="s">
        <v>712</v>
      </c>
      <c r="C45" s="2473"/>
      <c r="D45" s="2473"/>
      <c r="E45" s="2473"/>
      <c r="F45" s="2473"/>
      <c r="G45" s="5"/>
    </row>
  </sheetData>
  <mergeCells count="14">
    <mergeCell ref="E9:F9"/>
    <mergeCell ref="E15:F15"/>
    <mergeCell ref="E18:F18"/>
    <mergeCell ref="B20:F20"/>
    <mergeCell ref="B21:D21"/>
    <mergeCell ref="E21:F21"/>
    <mergeCell ref="B44:D44"/>
    <mergeCell ref="E44:F44"/>
    <mergeCell ref="B45:F45"/>
    <mergeCell ref="B22:F22"/>
    <mergeCell ref="E32:F32"/>
    <mergeCell ref="E38:F38"/>
    <mergeCell ref="E41:F41"/>
    <mergeCell ref="B43:F43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45"/>
  <dimension ref="A1:G43"/>
  <sheetViews>
    <sheetView workbookViewId="0">
      <selection activeCell="G43" sqref="A1:G43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2209</v>
      </c>
    </row>
    <row r="3" spans="1:7" ht="34.950000000000003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5" customHeight="1">
      <c r="A5" s="5"/>
      <c r="B5" s="3" t="s">
        <v>673</v>
      </c>
      <c r="C5" s="3" t="s">
        <v>674</v>
      </c>
      <c r="D5" s="12" t="s">
        <v>675</v>
      </c>
      <c r="E5" s="12" t="s">
        <v>1114</v>
      </c>
      <c r="F5" s="5"/>
      <c r="G5" s="5"/>
    </row>
    <row r="6" spans="1:7" ht="13.65" customHeight="1">
      <c r="A6" s="5"/>
      <c r="B6" s="3" t="s">
        <v>816</v>
      </c>
      <c r="C6" s="3" t="s">
        <v>678</v>
      </c>
      <c r="D6" s="12" t="s">
        <v>675</v>
      </c>
      <c r="E6" s="12" t="s">
        <v>1114</v>
      </c>
      <c r="F6" s="5"/>
      <c r="G6" s="5"/>
    </row>
    <row r="7" spans="1:7" ht="13.65" customHeight="1">
      <c r="A7" s="5"/>
      <c r="B7" s="3" t="s">
        <v>751</v>
      </c>
      <c r="C7" s="3" t="s">
        <v>681</v>
      </c>
      <c r="D7" s="12" t="s">
        <v>675</v>
      </c>
      <c r="E7" s="3" t="s">
        <v>695</v>
      </c>
      <c r="F7" s="5"/>
      <c r="G7" s="5"/>
    </row>
    <row r="8" spans="1:7" ht="13.95" customHeight="1">
      <c r="A8" s="5"/>
      <c r="B8" s="3" t="s">
        <v>683</v>
      </c>
      <c r="C8" s="3" t="s">
        <v>684</v>
      </c>
      <c r="D8" s="12" t="s">
        <v>675</v>
      </c>
      <c r="E8" s="3" t="s">
        <v>693</v>
      </c>
      <c r="F8" s="5"/>
      <c r="G8" s="5"/>
    </row>
    <row r="9" spans="1:7" ht="12" customHeight="1">
      <c r="A9" s="5"/>
      <c r="B9" s="5"/>
      <c r="C9" s="5"/>
      <c r="D9" s="5"/>
      <c r="E9" s="2474" t="s">
        <v>685</v>
      </c>
      <c r="F9" s="2474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65" customHeight="1">
      <c r="A11" s="5"/>
      <c r="B11" s="3" t="s">
        <v>1115</v>
      </c>
      <c r="C11" s="5"/>
      <c r="D11" s="12" t="s">
        <v>743</v>
      </c>
      <c r="E11" s="12" t="s">
        <v>1116</v>
      </c>
      <c r="F11" s="5"/>
      <c r="G11" s="5"/>
    </row>
    <row r="12" spans="1:7" ht="13.95" customHeight="1">
      <c r="A12" s="5"/>
      <c r="B12" s="3" t="s">
        <v>738</v>
      </c>
      <c r="C12" s="5"/>
      <c r="D12" s="12" t="s">
        <v>773</v>
      </c>
      <c r="E12" s="12" t="s">
        <v>1117</v>
      </c>
      <c r="F12" s="5"/>
      <c r="G12" s="5"/>
    </row>
    <row r="13" spans="1:7" ht="13.65" customHeight="1">
      <c r="A13" s="5"/>
      <c r="B13" s="3" t="s">
        <v>739</v>
      </c>
      <c r="C13" s="5"/>
      <c r="D13" s="12" t="s">
        <v>881</v>
      </c>
      <c r="E13" s="3" t="s">
        <v>783</v>
      </c>
      <c r="F13" s="5"/>
      <c r="G13" s="5"/>
    </row>
    <row r="14" spans="1:7" ht="12" customHeight="1">
      <c r="A14" s="5"/>
      <c r="B14" s="5"/>
      <c r="C14" s="5"/>
      <c r="D14" s="5"/>
      <c r="E14" s="2474" t="s">
        <v>702</v>
      </c>
      <c r="F14" s="2474"/>
      <c r="G14" s="5"/>
    </row>
    <row r="15" spans="1:7" ht="12" customHeight="1">
      <c r="A15" s="12" t="s">
        <v>703</v>
      </c>
      <c r="B15" s="3" t="s">
        <v>704</v>
      </c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2474" t="s">
        <v>705</v>
      </c>
      <c r="F17" s="2474"/>
      <c r="G17" s="5"/>
    </row>
    <row r="18" spans="1:7" ht="12" customHeight="1">
      <c r="A18" s="5"/>
      <c r="B18" s="5"/>
      <c r="C18" s="5"/>
      <c r="D18" s="5"/>
      <c r="E18" s="5"/>
      <c r="F18" s="5"/>
      <c r="G18" s="5"/>
    </row>
    <row r="19" spans="1:7" ht="12" customHeight="1">
      <c r="A19" s="12" t="s">
        <v>706</v>
      </c>
      <c r="B19" s="2474" t="s">
        <v>707</v>
      </c>
      <c r="C19" s="2474"/>
      <c r="D19" s="2474"/>
      <c r="E19" s="2474"/>
      <c r="F19" s="2474"/>
      <c r="G19" s="5"/>
    </row>
    <row r="20" spans="1:7" ht="12" customHeight="1">
      <c r="A20" s="12" t="s">
        <v>708</v>
      </c>
      <c r="B20" s="2471" t="s">
        <v>876</v>
      </c>
      <c r="C20" s="2471"/>
      <c r="D20" s="2471"/>
      <c r="E20" s="2472" t="s">
        <v>710</v>
      </c>
      <c r="F20" s="2472"/>
      <c r="G20" s="5"/>
    </row>
    <row r="21" spans="1:7" ht="12" customHeight="1">
      <c r="A21" s="12" t="s">
        <v>711</v>
      </c>
      <c r="B21" s="2473" t="s">
        <v>712</v>
      </c>
      <c r="C21" s="2473"/>
      <c r="D21" s="2473"/>
      <c r="E21" s="2473"/>
      <c r="F21" s="2473"/>
      <c r="G21" s="5"/>
    </row>
    <row r="22" spans="1:7" ht="12" customHeight="1">
      <c r="A22" s="12"/>
      <c r="B22" s="26"/>
      <c r="C22" s="26"/>
      <c r="D22" s="26"/>
      <c r="E22" s="26"/>
      <c r="F22" s="26"/>
      <c r="G22" s="5"/>
    </row>
    <row r="23" spans="1:7" ht="12" customHeight="1">
      <c r="A23" s="66" t="s">
        <v>2210</v>
      </c>
      <c r="B23" s="26"/>
      <c r="C23" s="26"/>
      <c r="D23" s="26"/>
      <c r="E23" s="26"/>
      <c r="F23" s="26"/>
      <c r="G23" s="5"/>
    </row>
    <row r="24" spans="1:7" ht="12" customHeight="1">
      <c r="A24" s="12"/>
      <c r="B24" s="26"/>
      <c r="C24" s="26"/>
      <c r="D24" s="26"/>
      <c r="E24" s="26"/>
      <c r="F24" s="26"/>
      <c r="G24" s="5"/>
    </row>
    <row r="25" spans="1:7" ht="35.1" customHeight="1">
      <c r="A25" s="6" t="s">
        <v>762</v>
      </c>
      <c r="B25" s="6" t="s">
        <v>763</v>
      </c>
      <c r="C25" s="6" t="s">
        <v>764</v>
      </c>
      <c r="D25" s="6" t="s">
        <v>765</v>
      </c>
      <c r="E25" s="6" t="s">
        <v>766</v>
      </c>
      <c r="F25" s="7" t="s">
        <v>767</v>
      </c>
      <c r="G25" s="7" t="s">
        <v>768</v>
      </c>
    </row>
    <row r="26" spans="1:7" ht="12" customHeight="1">
      <c r="A26" s="12" t="s">
        <v>671</v>
      </c>
      <c r="B26" s="3" t="s">
        <v>672</v>
      </c>
      <c r="C26" s="5"/>
      <c r="D26" s="5"/>
      <c r="E26" s="5"/>
      <c r="F26" s="5"/>
      <c r="G26" s="5"/>
    </row>
    <row r="27" spans="1:7" ht="13.65" customHeight="1">
      <c r="A27" s="5"/>
      <c r="B27" s="3" t="s">
        <v>673</v>
      </c>
      <c r="C27" s="3" t="s">
        <v>674</v>
      </c>
      <c r="D27" s="12" t="s">
        <v>675</v>
      </c>
      <c r="E27" s="12" t="s">
        <v>1114</v>
      </c>
      <c r="F27" s="5"/>
      <c r="G27" s="5"/>
    </row>
    <row r="28" spans="1:7" ht="13.95" customHeight="1">
      <c r="A28" s="5"/>
      <c r="B28" s="3" t="s">
        <v>816</v>
      </c>
      <c r="C28" s="3" t="s">
        <v>678</v>
      </c>
      <c r="D28" s="12" t="s">
        <v>675</v>
      </c>
      <c r="E28" s="12" t="s">
        <v>1114</v>
      </c>
      <c r="F28" s="5"/>
      <c r="G28" s="5"/>
    </row>
    <row r="29" spans="1:7" ht="13.65" customHeight="1">
      <c r="A29" s="5"/>
      <c r="B29" s="3" t="s">
        <v>751</v>
      </c>
      <c r="C29" s="3" t="s">
        <v>681</v>
      </c>
      <c r="D29" s="12" t="s">
        <v>675</v>
      </c>
      <c r="E29" s="3" t="s">
        <v>695</v>
      </c>
      <c r="F29" s="5"/>
      <c r="G29" s="5"/>
    </row>
    <row r="30" spans="1:7" ht="13.95" customHeight="1">
      <c r="A30" s="5"/>
      <c r="B30" s="3" t="s">
        <v>683</v>
      </c>
      <c r="C30" s="3" t="s">
        <v>684</v>
      </c>
      <c r="D30" s="12" t="s">
        <v>675</v>
      </c>
      <c r="E30" s="3" t="s">
        <v>693</v>
      </c>
      <c r="F30" s="5"/>
      <c r="G30" s="5"/>
    </row>
    <row r="31" spans="1:7" ht="12" customHeight="1">
      <c r="A31" s="5"/>
      <c r="B31" s="5"/>
      <c r="C31" s="5"/>
      <c r="D31" s="5"/>
      <c r="E31" s="2474" t="s">
        <v>685</v>
      </c>
      <c r="F31" s="2474"/>
      <c r="G31" s="5"/>
    </row>
    <row r="32" spans="1:7" ht="12" customHeight="1">
      <c r="A32" s="12" t="s">
        <v>686</v>
      </c>
      <c r="B32" s="3" t="s">
        <v>687</v>
      </c>
      <c r="C32" s="5"/>
      <c r="D32" s="5"/>
      <c r="E32" s="5"/>
      <c r="F32" s="5"/>
      <c r="G32" s="5"/>
    </row>
    <row r="33" spans="1:7" ht="13.65" customHeight="1">
      <c r="A33" s="5"/>
      <c r="B33" s="3" t="s">
        <v>1115</v>
      </c>
      <c r="C33" s="5"/>
      <c r="D33" s="12" t="s">
        <v>743</v>
      </c>
      <c r="E33" s="12" t="s">
        <v>1118</v>
      </c>
      <c r="F33" s="5"/>
      <c r="G33" s="5"/>
    </row>
    <row r="34" spans="1:7" ht="13.65" customHeight="1">
      <c r="A34" s="5"/>
      <c r="B34" s="3" t="s">
        <v>738</v>
      </c>
      <c r="C34" s="5"/>
      <c r="D34" s="12" t="s">
        <v>773</v>
      </c>
      <c r="E34" s="12" t="s">
        <v>1119</v>
      </c>
      <c r="F34" s="5"/>
      <c r="G34" s="5"/>
    </row>
    <row r="35" spans="1:7" ht="13.95" customHeight="1">
      <c r="A35" s="5"/>
      <c r="B35" s="3" t="s">
        <v>739</v>
      </c>
      <c r="C35" s="5"/>
      <c r="D35" s="12" t="s">
        <v>1120</v>
      </c>
      <c r="E35" s="3" t="s">
        <v>852</v>
      </c>
      <c r="F35" s="5"/>
      <c r="G35" s="5"/>
    </row>
    <row r="36" spans="1:7" ht="12" customHeight="1">
      <c r="A36" s="5"/>
      <c r="B36" s="5"/>
      <c r="C36" s="5"/>
      <c r="D36" s="5"/>
      <c r="E36" s="2474" t="s">
        <v>702</v>
      </c>
      <c r="F36" s="2474"/>
      <c r="G36" s="5"/>
    </row>
    <row r="37" spans="1:7" ht="12" customHeight="1">
      <c r="A37" s="12" t="s">
        <v>703</v>
      </c>
      <c r="B37" s="3" t="s">
        <v>704</v>
      </c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5"/>
      <c r="B39" s="5"/>
      <c r="C39" s="5"/>
      <c r="D39" s="5"/>
      <c r="E39" s="2474" t="s">
        <v>705</v>
      </c>
      <c r="F39" s="2474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12" t="s">
        <v>706</v>
      </c>
      <c r="B41" s="2474" t="s">
        <v>707</v>
      </c>
      <c r="C41" s="2474"/>
      <c r="D41" s="2474"/>
      <c r="E41" s="2474"/>
      <c r="F41" s="2474"/>
      <c r="G41" s="5"/>
    </row>
    <row r="42" spans="1:7" ht="12" customHeight="1">
      <c r="A42" s="12" t="s">
        <v>708</v>
      </c>
      <c r="B42" s="2471" t="s">
        <v>876</v>
      </c>
      <c r="C42" s="2471"/>
      <c r="D42" s="2471"/>
      <c r="E42" s="2472" t="s">
        <v>710</v>
      </c>
      <c r="F42" s="2472"/>
      <c r="G42" s="5"/>
    </row>
    <row r="43" spans="1:7" ht="12" customHeight="1">
      <c r="A43" s="12" t="s">
        <v>711</v>
      </c>
      <c r="B43" s="2473" t="s">
        <v>712</v>
      </c>
      <c r="C43" s="2473"/>
      <c r="D43" s="2473"/>
      <c r="E43" s="2473"/>
      <c r="F43" s="2473"/>
      <c r="G43" s="5"/>
    </row>
  </sheetData>
  <mergeCells count="14">
    <mergeCell ref="E9:F9"/>
    <mergeCell ref="E14:F14"/>
    <mergeCell ref="E17:F17"/>
    <mergeCell ref="B19:F19"/>
    <mergeCell ref="B20:D20"/>
    <mergeCell ref="E20:F20"/>
    <mergeCell ref="B42:D42"/>
    <mergeCell ref="E42:F42"/>
    <mergeCell ref="B43:F43"/>
    <mergeCell ref="B21:F21"/>
    <mergeCell ref="E31:F31"/>
    <mergeCell ref="E36:F36"/>
    <mergeCell ref="E39:F39"/>
    <mergeCell ref="B41:F41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46"/>
  <dimension ref="A1:G44"/>
  <sheetViews>
    <sheetView workbookViewId="0">
      <selection activeCell="G44" sqref="A1:G44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1" t="s">
        <v>2211</v>
      </c>
    </row>
    <row r="3" spans="1:7" ht="34.950000000000003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5" customHeight="1">
      <c r="A5" s="5"/>
      <c r="B5" s="3" t="s">
        <v>673</v>
      </c>
      <c r="C5" s="3" t="s">
        <v>674</v>
      </c>
      <c r="D5" s="12" t="s">
        <v>675</v>
      </c>
      <c r="E5" s="12" t="s">
        <v>1114</v>
      </c>
      <c r="F5" s="5"/>
      <c r="G5" s="5"/>
    </row>
    <row r="6" spans="1:7" ht="13.65" customHeight="1">
      <c r="A6" s="5"/>
      <c r="B6" s="3" t="s">
        <v>816</v>
      </c>
      <c r="C6" s="3" t="s">
        <v>678</v>
      </c>
      <c r="D6" s="12" t="s">
        <v>675</v>
      </c>
      <c r="E6" s="12" t="s">
        <v>1114</v>
      </c>
      <c r="F6" s="5"/>
      <c r="G6" s="5"/>
    </row>
    <row r="7" spans="1:7" ht="13.65" customHeight="1">
      <c r="A7" s="5"/>
      <c r="B7" s="3" t="s">
        <v>751</v>
      </c>
      <c r="C7" s="3" t="s">
        <v>681</v>
      </c>
      <c r="D7" s="12" t="s">
        <v>675</v>
      </c>
      <c r="E7" s="3" t="s">
        <v>695</v>
      </c>
      <c r="F7" s="5"/>
      <c r="G7" s="5"/>
    </row>
    <row r="8" spans="1:7" ht="13.95" customHeight="1">
      <c r="A8" s="5"/>
      <c r="B8" s="3" t="s">
        <v>683</v>
      </c>
      <c r="C8" s="3" t="s">
        <v>684</v>
      </c>
      <c r="D8" s="12" t="s">
        <v>675</v>
      </c>
      <c r="E8" s="3" t="s">
        <v>693</v>
      </c>
      <c r="F8" s="5"/>
      <c r="G8" s="5"/>
    </row>
    <row r="9" spans="1:7" ht="12" customHeight="1">
      <c r="A9" s="5"/>
      <c r="B9" s="5"/>
      <c r="C9" s="5"/>
      <c r="D9" s="5"/>
      <c r="E9" s="2474" t="s">
        <v>685</v>
      </c>
      <c r="F9" s="2474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65" customHeight="1">
      <c r="A11" s="5"/>
      <c r="B11" s="3" t="s">
        <v>1115</v>
      </c>
      <c r="C11" s="5"/>
      <c r="D11" s="12" t="s">
        <v>743</v>
      </c>
      <c r="E11" s="12" t="s">
        <v>1121</v>
      </c>
      <c r="F11" s="5"/>
      <c r="G11" s="5"/>
    </row>
    <row r="12" spans="1:7" ht="13.95" customHeight="1">
      <c r="A12" s="5"/>
      <c r="B12" s="3" t="s">
        <v>818</v>
      </c>
      <c r="C12" s="5"/>
      <c r="D12" s="12" t="s">
        <v>773</v>
      </c>
      <c r="E12" s="12" t="s">
        <v>1119</v>
      </c>
      <c r="F12" s="5"/>
      <c r="G12" s="5"/>
    </row>
    <row r="13" spans="1:7" ht="13.65" customHeight="1">
      <c r="A13" s="5"/>
      <c r="B13" s="3" t="s">
        <v>739</v>
      </c>
      <c r="C13" s="5"/>
      <c r="D13" s="12" t="s">
        <v>1120</v>
      </c>
      <c r="E13" s="3" t="s">
        <v>852</v>
      </c>
      <c r="F13" s="5"/>
      <c r="G13" s="5"/>
    </row>
    <row r="14" spans="1:7" ht="12" customHeight="1">
      <c r="A14" s="5"/>
      <c r="B14" s="5"/>
      <c r="C14" s="5"/>
      <c r="D14" s="5"/>
      <c r="E14" s="2474" t="s">
        <v>702</v>
      </c>
      <c r="F14" s="2474"/>
      <c r="G14" s="5"/>
    </row>
    <row r="15" spans="1:7" ht="12" customHeight="1">
      <c r="A15" s="12" t="s">
        <v>703</v>
      </c>
      <c r="B15" s="3" t="s">
        <v>704</v>
      </c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2474" t="s">
        <v>705</v>
      </c>
      <c r="F17" s="2474"/>
      <c r="G17" s="5"/>
    </row>
    <row r="18" spans="1:7" ht="12" customHeight="1">
      <c r="A18" s="5"/>
      <c r="B18" s="5"/>
      <c r="C18" s="5"/>
      <c r="D18" s="5"/>
      <c r="E18" s="5"/>
      <c r="F18" s="5"/>
      <c r="G18" s="5"/>
    </row>
    <row r="19" spans="1:7" ht="12" customHeight="1">
      <c r="A19" s="12" t="s">
        <v>706</v>
      </c>
      <c r="B19" s="2474" t="s">
        <v>707</v>
      </c>
      <c r="C19" s="2474"/>
      <c r="D19" s="2474"/>
      <c r="E19" s="2474"/>
      <c r="F19" s="2474"/>
      <c r="G19" s="5"/>
    </row>
    <row r="20" spans="1:7" ht="12" customHeight="1">
      <c r="A20" s="12" t="s">
        <v>708</v>
      </c>
      <c r="B20" s="2471" t="s">
        <v>876</v>
      </c>
      <c r="C20" s="2471"/>
      <c r="D20" s="2471"/>
      <c r="E20" s="2472" t="s">
        <v>710</v>
      </c>
      <c r="F20" s="2472"/>
      <c r="G20" s="5"/>
    </row>
    <row r="21" spans="1:7" ht="12" customHeight="1">
      <c r="A21" s="12" t="s">
        <v>711</v>
      </c>
      <c r="B21" s="2473" t="s">
        <v>712</v>
      </c>
      <c r="C21" s="2473"/>
      <c r="D21" s="2473"/>
      <c r="E21" s="2473"/>
      <c r="F21" s="2473"/>
      <c r="G21" s="5"/>
    </row>
    <row r="22" spans="1:7" ht="12" customHeight="1">
      <c r="A22" s="12"/>
      <c r="B22" s="26"/>
      <c r="C22" s="26"/>
      <c r="D22" s="26"/>
      <c r="E22" s="26"/>
      <c r="F22" s="26"/>
      <c r="G22" s="5"/>
    </row>
    <row r="23" spans="1:7" ht="12" customHeight="1">
      <c r="A23" s="50" t="s">
        <v>2212</v>
      </c>
      <c r="B23" s="26"/>
      <c r="C23" s="26"/>
      <c r="D23" s="26"/>
      <c r="E23" s="26"/>
      <c r="F23" s="26"/>
      <c r="G23" s="5"/>
    </row>
    <row r="24" spans="1:7" ht="12" customHeight="1">
      <c r="A24" s="12"/>
      <c r="B24" s="26"/>
      <c r="C24" s="26"/>
      <c r="D24" s="26"/>
      <c r="E24" s="26"/>
      <c r="F24" s="26"/>
      <c r="G24" s="5"/>
    </row>
    <row r="25" spans="1:7" ht="34.950000000000003" customHeight="1">
      <c r="A25" s="6" t="s">
        <v>762</v>
      </c>
      <c r="B25" s="6" t="s">
        <v>763</v>
      </c>
      <c r="C25" s="6" t="s">
        <v>764</v>
      </c>
      <c r="D25" s="6" t="s">
        <v>765</v>
      </c>
      <c r="E25" s="6" t="s">
        <v>766</v>
      </c>
      <c r="F25" s="7" t="s">
        <v>767</v>
      </c>
      <c r="G25" s="7" t="s">
        <v>768</v>
      </c>
    </row>
    <row r="26" spans="1:7" ht="12" customHeight="1">
      <c r="A26" s="12" t="s">
        <v>671</v>
      </c>
      <c r="B26" s="3" t="s">
        <v>672</v>
      </c>
      <c r="C26" s="5"/>
      <c r="D26" s="5"/>
      <c r="E26" s="5"/>
      <c r="F26" s="5"/>
      <c r="G26" s="5"/>
    </row>
    <row r="27" spans="1:7" ht="13.95" customHeight="1">
      <c r="A27" s="5"/>
      <c r="B27" s="3" t="s">
        <v>673</v>
      </c>
      <c r="C27" s="3" t="s">
        <v>674</v>
      </c>
      <c r="D27" s="12" t="s">
        <v>675</v>
      </c>
      <c r="E27" s="12" t="s">
        <v>1114</v>
      </c>
      <c r="F27" s="5"/>
      <c r="G27" s="5"/>
    </row>
    <row r="28" spans="1:7" ht="13.65" customHeight="1">
      <c r="A28" s="5"/>
      <c r="B28" s="3" t="s">
        <v>816</v>
      </c>
      <c r="C28" s="3" t="s">
        <v>678</v>
      </c>
      <c r="D28" s="12" t="s">
        <v>675</v>
      </c>
      <c r="E28" s="12" t="s">
        <v>1114</v>
      </c>
      <c r="F28" s="5"/>
      <c r="G28" s="5"/>
    </row>
    <row r="29" spans="1:7" ht="13.65" customHeight="1">
      <c r="A29" s="5"/>
      <c r="B29" s="3" t="s">
        <v>751</v>
      </c>
      <c r="C29" s="3" t="s">
        <v>681</v>
      </c>
      <c r="D29" s="12" t="s">
        <v>675</v>
      </c>
      <c r="E29" s="3" t="s">
        <v>695</v>
      </c>
      <c r="F29" s="5"/>
      <c r="G29" s="5"/>
    </row>
    <row r="30" spans="1:7" ht="13.95" customHeight="1">
      <c r="A30" s="5"/>
      <c r="B30" s="3" t="s">
        <v>683</v>
      </c>
      <c r="C30" s="3" t="s">
        <v>684</v>
      </c>
      <c r="D30" s="12" t="s">
        <v>675</v>
      </c>
      <c r="E30" s="3" t="s">
        <v>693</v>
      </c>
      <c r="F30" s="5"/>
      <c r="G30" s="5"/>
    </row>
    <row r="31" spans="1:7" ht="12" customHeight="1">
      <c r="A31" s="5"/>
      <c r="B31" s="5"/>
      <c r="C31" s="5"/>
      <c r="D31" s="5"/>
      <c r="E31" s="2474" t="s">
        <v>685</v>
      </c>
      <c r="F31" s="2474"/>
      <c r="G31" s="5"/>
    </row>
    <row r="32" spans="1:7" ht="12" customHeight="1">
      <c r="A32" s="12" t="s">
        <v>686</v>
      </c>
      <c r="B32" s="3" t="s">
        <v>687</v>
      </c>
      <c r="C32" s="5"/>
      <c r="D32" s="5"/>
      <c r="E32" s="5"/>
      <c r="F32" s="5"/>
      <c r="G32" s="5"/>
    </row>
    <row r="33" spans="1:7" ht="13.65" customHeight="1">
      <c r="A33" s="5"/>
      <c r="B33" s="3" t="s">
        <v>1122</v>
      </c>
      <c r="C33" s="5"/>
      <c r="D33" s="12" t="s">
        <v>743</v>
      </c>
      <c r="E33" s="12" t="s">
        <v>1121</v>
      </c>
      <c r="F33" s="5"/>
      <c r="G33" s="5"/>
    </row>
    <row r="34" spans="1:7" ht="13.65" customHeight="1">
      <c r="A34" s="5"/>
      <c r="B34" s="3" t="s">
        <v>818</v>
      </c>
      <c r="C34" s="5"/>
      <c r="D34" s="12" t="s">
        <v>773</v>
      </c>
      <c r="E34" s="12" t="s">
        <v>1123</v>
      </c>
      <c r="F34" s="5"/>
      <c r="G34" s="5"/>
    </row>
    <row r="35" spans="1:7" ht="13.95" customHeight="1">
      <c r="A35" s="5"/>
      <c r="B35" s="3" t="s">
        <v>1100</v>
      </c>
      <c r="C35" s="5"/>
      <c r="D35" s="12" t="s">
        <v>690</v>
      </c>
      <c r="E35" s="12" t="s">
        <v>723</v>
      </c>
      <c r="F35" s="5"/>
      <c r="G35" s="5"/>
    </row>
    <row r="36" spans="1:7" ht="13.65" customHeight="1">
      <c r="A36" s="5"/>
      <c r="B36" s="3" t="s">
        <v>739</v>
      </c>
      <c r="C36" s="5"/>
      <c r="D36" s="12" t="s">
        <v>881</v>
      </c>
      <c r="E36" s="3" t="s">
        <v>852</v>
      </c>
      <c r="F36" s="5"/>
      <c r="G36" s="5"/>
    </row>
    <row r="37" spans="1:7" ht="12" customHeight="1">
      <c r="A37" s="5"/>
      <c r="B37" s="5"/>
      <c r="C37" s="5"/>
      <c r="D37" s="5"/>
      <c r="E37" s="2474" t="s">
        <v>702</v>
      </c>
      <c r="F37" s="2474"/>
      <c r="G37" s="5"/>
    </row>
    <row r="38" spans="1:7" ht="12" customHeight="1">
      <c r="A38" s="12" t="s">
        <v>703</v>
      </c>
      <c r="B38" s="3" t="s">
        <v>704</v>
      </c>
      <c r="C38" s="5"/>
      <c r="D38" s="5"/>
      <c r="E38" s="5"/>
      <c r="F38" s="5"/>
      <c r="G38" s="5"/>
    </row>
    <row r="39" spans="1:7" ht="12" customHeight="1">
      <c r="A39" s="5"/>
      <c r="B39" s="5"/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2474" t="s">
        <v>705</v>
      </c>
      <c r="F40" s="2474"/>
      <c r="G40" s="5"/>
    </row>
    <row r="41" spans="1:7" ht="12" customHeight="1">
      <c r="A41" s="5"/>
      <c r="B41" s="5"/>
      <c r="C41" s="5"/>
      <c r="D41" s="5"/>
      <c r="E41" s="5"/>
      <c r="F41" s="5"/>
      <c r="G41" s="5"/>
    </row>
    <row r="42" spans="1:7" ht="12" customHeight="1">
      <c r="A42" s="12" t="s">
        <v>706</v>
      </c>
      <c r="B42" s="2474" t="s">
        <v>707</v>
      </c>
      <c r="C42" s="2474"/>
      <c r="D42" s="2474"/>
      <c r="E42" s="2474"/>
      <c r="F42" s="2474"/>
      <c r="G42" s="5"/>
    </row>
    <row r="43" spans="1:7" ht="12" customHeight="1">
      <c r="A43" s="12" t="s">
        <v>708</v>
      </c>
      <c r="B43" s="2471" t="s">
        <v>876</v>
      </c>
      <c r="C43" s="2471"/>
      <c r="D43" s="2471"/>
      <c r="E43" s="2472" t="s">
        <v>710</v>
      </c>
      <c r="F43" s="2472"/>
      <c r="G43" s="5"/>
    </row>
    <row r="44" spans="1:7" ht="12" customHeight="1">
      <c r="A44" s="12" t="s">
        <v>711</v>
      </c>
      <c r="B44" s="2473" t="s">
        <v>712</v>
      </c>
      <c r="C44" s="2473"/>
      <c r="D44" s="2473"/>
      <c r="E44" s="2473"/>
      <c r="F44" s="2473"/>
      <c r="G44" s="5"/>
    </row>
  </sheetData>
  <mergeCells count="14">
    <mergeCell ref="E9:F9"/>
    <mergeCell ref="E14:F14"/>
    <mergeCell ref="E17:F17"/>
    <mergeCell ref="B19:F19"/>
    <mergeCell ref="B20:D20"/>
    <mergeCell ref="E20:F20"/>
    <mergeCell ref="B43:D43"/>
    <mergeCell ref="E43:F43"/>
    <mergeCell ref="B44:F44"/>
    <mergeCell ref="B21:F21"/>
    <mergeCell ref="E31:F31"/>
    <mergeCell ref="E37:F37"/>
    <mergeCell ref="E40:F40"/>
    <mergeCell ref="B42:F4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47"/>
  <dimension ref="A1:G45"/>
  <sheetViews>
    <sheetView topLeftCell="A40" workbookViewId="0">
      <selection sqref="A1:G45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5" t="s">
        <v>2213</v>
      </c>
    </row>
    <row r="3" spans="1:7" ht="34.950000000000003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5" customHeight="1">
      <c r="A5" s="5"/>
      <c r="B5" s="3" t="s">
        <v>673</v>
      </c>
      <c r="C5" s="3" t="s">
        <v>674</v>
      </c>
      <c r="D5" s="12" t="s">
        <v>675</v>
      </c>
      <c r="E5" s="12" t="s">
        <v>1114</v>
      </c>
      <c r="F5" s="5"/>
      <c r="G5" s="5"/>
    </row>
    <row r="6" spans="1:7" ht="13.65" customHeight="1">
      <c r="A6" s="5"/>
      <c r="B6" s="3" t="s">
        <v>816</v>
      </c>
      <c r="C6" s="3" t="s">
        <v>678</v>
      </c>
      <c r="D6" s="12" t="s">
        <v>675</v>
      </c>
      <c r="E6" s="12" t="s">
        <v>1114</v>
      </c>
      <c r="F6" s="5"/>
      <c r="G6" s="5"/>
    </row>
    <row r="7" spans="1:7" ht="13.65" customHeight="1">
      <c r="A7" s="5"/>
      <c r="B7" s="3" t="s">
        <v>751</v>
      </c>
      <c r="C7" s="3" t="s">
        <v>681</v>
      </c>
      <c r="D7" s="12" t="s">
        <v>675</v>
      </c>
      <c r="E7" s="3" t="s">
        <v>695</v>
      </c>
      <c r="F7" s="5"/>
      <c r="G7" s="5"/>
    </row>
    <row r="8" spans="1:7" ht="13.95" customHeight="1">
      <c r="A8" s="5"/>
      <c r="B8" s="3" t="s">
        <v>683</v>
      </c>
      <c r="C8" s="3" t="s">
        <v>684</v>
      </c>
      <c r="D8" s="12" t="s">
        <v>675</v>
      </c>
      <c r="E8" s="3" t="s">
        <v>693</v>
      </c>
      <c r="F8" s="5"/>
      <c r="G8" s="5"/>
    </row>
    <row r="9" spans="1:7" ht="12" customHeight="1">
      <c r="A9" s="5"/>
      <c r="B9" s="5"/>
      <c r="C9" s="5"/>
      <c r="D9" s="5"/>
      <c r="E9" s="2474" t="s">
        <v>685</v>
      </c>
      <c r="F9" s="2474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65" customHeight="1">
      <c r="A11" s="5"/>
      <c r="B11" s="3" t="s">
        <v>1122</v>
      </c>
      <c r="C11" s="5"/>
      <c r="D11" s="12" t="s">
        <v>743</v>
      </c>
      <c r="E11" s="12" t="s">
        <v>1118</v>
      </c>
      <c r="F11" s="5"/>
      <c r="G11" s="5"/>
    </row>
    <row r="12" spans="1:7" ht="13.95" customHeight="1">
      <c r="A12" s="5"/>
      <c r="B12" s="3" t="s">
        <v>818</v>
      </c>
      <c r="C12" s="5"/>
      <c r="D12" s="12" t="s">
        <v>773</v>
      </c>
      <c r="E12" s="12" t="s">
        <v>1123</v>
      </c>
      <c r="F12" s="5"/>
      <c r="G12" s="5"/>
    </row>
    <row r="13" spans="1:7" ht="13.65" customHeight="1">
      <c r="A13" s="5"/>
      <c r="B13" s="3" t="s">
        <v>1100</v>
      </c>
      <c r="C13" s="5"/>
      <c r="D13" s="12" t="s">
        <v>690</v>
      </c>
      <c r="E13" s="12" t="s">
        <v>723</v>
      </c>
      <c r="F13" s="5"/>
      <c r="G13" s="5"/>
    </row>
    <row r="14" spans="1:7" ht="13.65" customHeight="1">
      <c r="A14" s="5"/>
      <c r="B14" s="3" t="s">
        <v>739</v>
      </c>
      <c r="C14" s="5"/>
      <c r="D14" s="12" t="s">
        <v>881</v>
      </c>
      <c r="E14" s="3" t="s">
        <v>852</v>
      </c>
      <c r="F14" s="5"/>
      <c r="G14" s="5"/>
    </row>
    <row r="15" spans="1:7" ht="12" customHeight="1">
      <c r="A15" s="5"/>
      <c r="B15" s="5"/>
      <c r="C15" s="5"/>
      <c r="D15" s="5"/>
      <c r="E15" s="2474" t="s">
        <v>702</v>
      </c>
      <c r="F15" s="2474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2474" t="s">
        <v>705</v>
      </c>
      <c r="F18" s="2474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2474" t="s">
        <v>707</v>
      </c>
      <c r="C20" s="2474"/>
      <c r="D20" s="2474"/>
      <c r="E20" s="2474"/>
      <c r="F20" s="2474"/>
      <c r="G20" s="5"/>
    </row>
    <row r="21" spans="1:7" ht="12" customHeight="1">
      <c r="A21" s="12" t="s">
        <v>708</v>
      </c>
      <c r="B21" s="2471" t="s">
        <v>876</v>
      </c>
      <c r="C21" s="2471"/>
      <c r="D21" s="2471"/>
      <c r="E21" s="2472" t="s">
        <v>710</v>
      </c>
      <c r="F21" s="2472"/>
      <c r="G21" s="5"/>
    </row>
    <row r="22" spans="1:7" ht="12" customHeight="1">
      <c r="A22" s="12" t="s">
        <v>711</v>
      </c>
      <c r="B22" s="2473" t="s">
        <v>712</v>
      </c>
      <c r="C22" s="2473"/>
      <c r="D22" s="2473"/>
      <c r="E22" s="2473"/>
      <c r="F22" s="2473"/>
      <c r="G22" s="5"/>
    </row>
    <row r="23" spans="1:7" ht="12" customHeight="1">
      <c r="A23" s="12"/>
      <c r="B23" s="26"/>
      <c r="C23" s="26"/>
      <c r="D23" s="26"/>
      <c r="E23" s="26"/>
      <c r="F23" s="26"/>
      <c r="G23" s="5"/>
    </row>
    <row r="24" spans="1:7" ht="12" customHeight="1">
      <c r="A24" s="50" t="s">
        <v>2214</v>
      </c>
      <c r="B24" s="26"/>
      <c r="C24" s="26"/>
      <c r="D24" s="26"/>
      <c r="E24" s="26"/>
      <c r="F24" s="26"/>
      <c r="G24" s="5"/>
    </row>
    <row r="25" spans="1:7" ht="12" customHeight="1">
      <c r="A25" s="12"/>
      <c r="B25" s="26"/>
      <c r="C25" s="26"/>
      <c r="D25" s="26"/>
      <c r="E25" s="26"/>
      <c r="F25" s="26"/>
      <c r="G25" s="5"/>
    </row>
    <row r="26" spans="1:7" ht="35.1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65" customHeight="1">
      <c r="A28" s="5"/>
      <c r="B28" s="3" t="s">
        <v>673</v>
      </c>
      <c r="C28" s="3" t="s">
        <v>674</v>
      </c>
      <c r="D28" s="12" t="s">
        <v>675</v>
      </c>
      <c r="E28" s="12" t="s">
        <v>1114</v>
      </c>
      <c r="F28" s="5"/>
      <c r="G28" s="5"/>
    </row>
    <row r="29" spans="1:7" ht="13.65" customHeight="1">
      <c r="A29" s="5"/>
      <c r="B29" s="3" t="s">
        <v>816</v>
      </c>
      <c r="C29" s="3" t="s">
        <v>678</v>
      </c>
      <c r="D29" s="12" t="s">
        <v>675</v>
      </c>
      <c r="E29" s="12" t="s">
        <v>1114</v>
      </c>
      <c r="F29" s="5"/>
      <c r="G29" s="5"/>
    </row>
    <row r="30" spans="1:7" ht="13.95" customHeight="1">
      <c r="A30" s="5"/>
      <c r="B30" s="3" t="s">
        <v>751</v>
      </c>
      <c r="C30" s="3" t="s">
        <v>681</v>
      </c>
      <c r="D30" s="12" t="s">
        <v>675</v>
      </c>
      <c r="E30" s="3" t="s">
        <v>695</v>
      </c>
      <c r="F30" s="5"/>
      <c r="G30" s="5"/>
    </row>
    <row r="31" spans="1:7" ht="13.65" customHeight="1">
      <c r="A31" s="5"/>
      <c r="B31" s="3" t="s">
        <v>683</v>
      </c>
      <c r="C31" s="3" t="s">
        <v>684</v>
      </c>
      <c r="D31" s="12" t="s">
        <v>675</v>
      </c>
      <c r="E31" s="3" t="s">
        <v>693</v>
      </c>
      <c r="F31" s="5"/>
      <c r="G31" s="5"/>
    </row>
    <row r="32" spans="1:7" ht="12" customHeight="1">
      <c r="A32" s="5"/>
      <c r="B32" s="5"/>
      <c r="C32" s="5"/>
      <c r="D32" s="5"/>
      <c r="E32" s="2474" t="s">
        <v>685</v>
      </c>
      <c r="F32" s="2474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65" customHeight="1">
      <c r="A34" s="5"/>
      <c r="B34" s="3" t="s">
        <v>1122</v>
      </c>
      <c r="C34" s="5"/>
      <c r="D34" s="12" t="s">
        <v>743</v>
      </c>
      <c r="E34" s="12" t="s">
        <v>1121</v>
      </c>
      <c r="F34" s="5"/>
      <c r="G34" s="5"/>
    </row>
    <row r="35" spans="1:7" ht="13.95" customHeight="1">
      <c r="A35" s="5"/>
      <c r="B35" s="3" t="s">
        <v>818</v>
      </c>
      <c r="C35" s="5"/>
      <c r="D35" s="12" t="s">
        <v>773</v>
      </c>
      <c r="E35" s="12" t="s">
        <v>1123</v>
      </c>
      <c r="F35" s="5"/>
      <c r="G35" s="5"/>
    </row>
    <row r="36" spans="1:7" ht="13.65" customHeight="1">
      <c r="A36" s="5"/>
      <c r="B36" s="3" t="s">
        <v>1100</v>
      </c>
      <c r="C36" s="5"/>
      <c r="D36" s="12" t="s">
        <v>690</v>
      </c>
      <c r="E36" s="12" t="s">
        <v>723</v>
      </c>
      <c r="F36" s="5"/>
      <c r="G36" s="5"/>
    </row>
    <row r="37" spans="1:7" ht="13.95" customHeight="1">
      <c r="A37" s="5"/>
      <c r="B37" s="3" t="s">
        <v>739</v>
      </c>
      <c r="C37" s="5"/>
      <c r="D37" s="12" t="s">
        <v>881</v>
      </c>
      <c r="E37" s="3" t="s">
        <v>852</v>
      </c>
      <c r="F37" s="5"/>
      <c r="G37" s="5"/>
    </row>
    <row r="38" spans="1:7" ht="12" customHeight="1">
      <c r="A38" s="5"/>
      <c r="B38" s="5"/>
      <c r="C38" s="5"/>
      <c r="D38" s="5"/>
      <c r="E38" s="2474" t="s">
        <v>702</v>
      </c>
      <c r="F38" s="2474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2474" t="s">
        <v>705</v>
      </c>
      <c r="F41" s="2474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2474" t="s">
        <v>707</v>
      </c>
      <c r="C43" s="2474"/>
      <c r="D43" s="2474"/>
      <c r="E43" s="2474"/>
      <c r="F43" s="2474"/>
      <c r="G43" s="5"/>
    </row>
    <row r="44" spans="1:7" ht="11.85" customHeight="1">
      <c r="A44" s="12" t="s">
        <v>708</v>
      </c>
      <c r="B44" s="2471" t="s">
        <v>876</v>
      </c>
      <c r="C44" s="2471"/>
      <c r="D44" s="2471"/>
      <c r="E44" s="2472" t="s">
        <v>710</v>
      </c>
      <c r="F44" s="2472"/>
      <c r="G44" s="5"/>
    </row>
    <row r="45" spans="1:7" ht="12.15" customHeight="1">
      <c r="A45" s="12" t="s">
        <v>711</v>
      </c>
      <c r="B45" s="2473" t="s">
        <v>712</v>
      </c>
      <c r="C45" s="2473"/>
      <c r="D45" s="2473"/>
      <c r="E45" s="2473"/>
      <c r="F45" s="2473"/>
      <c r="G45" s="5"/>
    </row>
  </sheetData>
  <mergeCells count="14">
    <mergeCell ref="E9:F9"/>
    <mergeCell ref="E15:F15"/>
    <mergeCell ref="E18:F18"/>
    <mergeCell ref="B20:F20"/>
    <mergeCell ref="B21:D21"/>
    <mergeCell ref="E21:F21"/>
    <mergeCell ref="B44:D44"/>
    <mergeCell ref="E44:F44"/>
    <mergeCell ref="B45:F45"/>
    <mergeCell ref="B22:F22"/>
    <mergeCell ref="E32:F32"/>
    <mergeCell ref="E38:F38"/>
    <mergeCell ref="E41:F41"/>
    <mergeCell ref="B43:F43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48"/>
  <dimension ref="A1:G45"/>
  <sheetViews>
    <sheetView workbookViewId="0">
      <selection activeCell="G45" sqref="A1:G45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2215</v>
      </c>
    </row>
    <row r="3" spans="1:7" ht="34.950000000000003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5" customHeight="1">
      <c r="A5" s="5"/>
      <c r="B5" s="3" t="s">
        <v>673</v>
      </c>
      <c r="C5" s="3" t="s">
        <v>674</v>
      </c>
      <c r="D5" s="12" t="s">
        <v>675</v>
      </c>
      <c r="E5" s="12" t="s">
        <v>1114</v>
      </c>
      <c r="F5" s="5"/>
      <c r="G5" s="5"/>
    </row>
    <row r="6" spans="1:7" ht="13.65" customHeight="1">
      <c r="A6" s="5"/>
      <c r="B6" s="3" t="s">
        <v>816</v>
      </c>
      <c r="C6" s="3" t="s">
        <v>678</v>
      </c>
      <c r="D6" s="12" t="s">
        <v>675</v>
      </c>
      <c r="E6" s="12" t="s">
        <v>1114</v>
      </c>
      <c r="F6" s="5"/>
      <c r="G6" s="5"/>
    </row>
    <row r="7" spans="1:7" ht="13.65" customHeight="1">
      <c r="A7" s="5"/>
      <c r="B7" s="3" t="s">
        <v>751</v>
      </c>
      <c r="C7" s="3" t="s">
        <v>681</v>
      </c>
      <c r="D7" s="12" t="s">
        <v>675</v>
      </c>
      <c r="E7" s="3" t="s">
        <v>695</v>
      </c>
      <c r="F7" s="5"/>
      <c r="G7" s="5"/>
    </row>
    <row r="8" spans="1:7" ht="13.95" customHeight="1">
      <c r="A8" s="5"/>
      <c r="B8" s="3" t="s">
        <v>683</v>
      </c>
      <c r="C8" s="3" t="s">
        <v>684</v>
      </c>
      <c r="D8" s="12" t="s">
        <v>675</v>
      </c>
      <c r="E8" s="3" t="s">
        <v>693</v>
      </c>
      <c r="F8" s="5"/>
      <c r="G8" s="5"/>
    </row>
    <row r="9" spans="1:7" ht="12" customHeight="1">
      <c r="A9" s="5"/>
      <c r="B9" s="5"/>
      <c r="C9" s="5"/>
      <c r="D9" s="5"/>
      <c r="E9" s="2474" t="s">
        <v>685</v>
      </c>
      <c r="F9" s="2474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65" customHeight="1">
      <c r="A11" s="5"/>
      <c r="B11" s="3" t="s">
        <v>1124</v>
      </c>
      <c r="C11" s="5"/>
      <c r="D11" s="12" t="s">
        <v>743</v>
      </c>
      <c r="E11" s="12" t="s">
        <v>1118</v>
      </c>
      <c r="F11" s="5"/>
      <c r="G11" s="5"/>
    </row>
    <row r="12" spans="1:7" ht="13.95" customHeight="1">
      <c r="A12" s="5"/>
      <c r="B12" s="3" t="s">
        <v>818</v>
      </c>
      <c r="C12" s="5"/>
      <c r="D12" s="12" t="s">
        <v>773</v>
      </c>
      <c r="E12" s="12" t="s">
        <v>1123</v>
      </c>
      <c r="F12" s="5"/>
      <c r="G12" s="5"/>
    </row>
    <row r="13" spans="1:7" ht="13.65" customHeight="1">
      <c r="A13" s="5"/>
      <c r="B13" s="3" t="s">
        <v>1100</v>
      </c>
      <c r="C13" s="5"/>
      <c r="D13" s="12" t="s">
        <v>690</v>
      </c>
      <c r="E13" s="12" t="s">
        <v>723</v>
      </c>
      <c r="F13" s="5"/>
      <c r="G13" s="5"/>
    </row>
    <row r="14" spans="1:7" ht="13.65" customHeight="1">
      <c r="A14" s="5"/>
      <c r="B14" s="3" t="s">
        <v>739</v>
      </c>
      <c r="C14" s="5"/>
      <c r="D14" s="12" t="s">
        <v>881</v>
      </c>
      <c r="E14" s="3" t="s">
        <v>852</v>
      </c>
      <c r="F14" s="5"/>
      <c r="G14" s="5"/>
    </row>
    <row r="15" spans="1:7" ht="12" customHeight="1">
      <c r="A15" s="5"/>
      <c r="B15" s="5"/>
      <c r="C15" s="5"/>
      <c r="D15" s="5"/>
      <c r="E15" s="2474" t="s">
        <v>702</v>
      </c>
      <c r="F15" s="2474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2474" t="s">
        <v>705</v>
      </c>
      <c r="F18" s="2474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2474" t="s">
        <v>707</v>
      </c>
      <c r="C20" s="2474"/>
      <c r="D20" s="2474"/>
      <c r="E20" s="2474"/>
      <c r="F20" s="2474"/>
      <c r="G20" s="5"/>
    </row>
    <row r="21" spans="1:7" ht="12" customHeight="1">
      <c r="A21" s="12" t="s">
        <v>708</v>
      </c>
      <c r="B21" s="2471" t="s">
        <v>876</v>
      </c>
      <c r="C21" s="2471"/>
      <c r="D21" s="2471"/>
      <c r="E21" s="2472" t="s">
        <v>710</v>
      </c>
      <c r="F21" s="2472"/>
      <c r="G21" s="5"/>
    </row>
    <row r="22" spans="1:7" ht="12" customHeight="1">
      <c r="A22" s="12" t="s">
        <v>711</v>
      </c>
      <c r="B22" s="2473" t="s">
        <v>712</v>
      </c>
      <c r="C22" s="2473"/>
      <c r="D22" s="2473"/>
      <c r="E22" s="2473"/>
      <c r="F22" s="2473"/>
      <c r="G22" s="5"/>
    </row>
    <row r="23" spans="1:7" ht="12" customHeight="1">
      <c r="A23" s="12"/>
      <c r="B23" s="26"/>
      <c r="C23" s="26"/>
      <c r="D23" s="26"/>
      <c r="E23" s="26"/>
      <c r="F23" s="26"/>
      <c r="G23" s="5"/>
    </row>
    <row r="24" spans="1:7" ht="12" customHeight="1">
      <c r="A24" s="50" t="s">
        <v>2216</v>
      </c>
      <c r="B24" s="26"/>
      <c r="C24" s="26"/>
      <c r="D24" s="26"/>
      <c r="E24" s="26"/>
      <c r="F24" s="26"/>
      <c r="G24" s="5"/>
    </row>
    <row r="25" spans="1:7" ht="12" customHeight="1">
      <c r="A25" s="12"/>
      <c r="B25" s="26"/>
      <c r="C25" s="26"/>
      <c r="D25" s="26"/>
      <c r="E25" s="26"/>
      <c r="F25" s="26"/>
      <c r="G25" s="5"/>
    </row>
    <row r="26" spans="1:7" ht="35.1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65" customHeight="1">
      <c r="A28" s="5"/>
      <c r="B28" s="3" t="s">
        <v>673</v>
      </c>
      <c r="C28" s="3" t="s">
        <v>674</v>
      </c>
      <c r="D28" s="12" t="s">
        <v>675</v>
      </c>
      <c r="E28" s="12" t="s">
        <v>1114</v>
      </c>
      <c r="F28" s="5"/>
      <c r="G28" s="5"/>
    </row>
    <row r="29" spans="1:7" ht="13.65" customHeight="1">
      <c r="A29" s="5"/>
      <c r="B29" s="3" t="s">
        <v>816</v>
      </c>
      <c r="C29" s="3" t="s">
        <v>678</v>
      </c>
      <c r="D29" s="12" t="s">
        <v>675</v>
      </c>
      <c r="E29" s="12" t="s">
        <v>1114</v>
      </c>
      <c r="F29" s="5"/>
      <c r="G29" s="5"/>
    </row>
    <row r="30" spans="1:7" ht="13.95" customHeight="1">
      <c r="A30" s="5"/>
      <c r="B30" s="3" t="s">
        <v>751</v>
      </c>
      <c r="C30" s="3" t="s">
        <v>681</v>
      </c>
      <c r="D30" s="12" t="s">
        <v>675</v>
      </c>
      <c r="E30" s="3" t="s">
        <v>695</v>
      </c>
      <c r="F30" s="5"/>
      <c r="G30" s="5"/>
    </row>
    <row r="31" spans="1:7" ht="13.65" customHeight="1">
      <c r="A31" s="5"/>
      <c r="B31" s="3" t="s">
        <v>683</v>
      </c>
      <c r="C31" s="3" t="s">
        <v>684</v>
      </c>
      <c r="D31" s="12" t="s">
        <v>675</v>
      </c>
      <c r="E31" s="3" t="s">
        <v>693</v>
      </c>
      <c r="F31" s="5"/>
      <c r="G31" s="5"/>
    </row>
    <row r="32" spans="1:7" ht="12" customHeight="1">
      <c r="A32" s="5"/>
      <c r="B32" s="5"/>
      <c r="C32" s="5"/>
      <c r="D32" s="5"/>
      <c r="E32" s="2474" t="s">
        <v>685</v>
      </c>
      <c r="F32" s="2474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65" customHeight="1">
      <c r="A34" s="5"/>
      <c r="B34" s="3" t="s">
        <v>1124</v>
      </c>
      <c r="C34" s="5"/>
      <c r="D34" s="12" t="s">
        <v>743</v>
      </c>
      <c r="E34" s="12" t="s">
        <v>1121</v>
      </c>
      <c r="F34" s="5"/>
      <c r="G34" s="5"/>
    </row>
    <row r="35" spans="1:7" ht="13.95" customHeight="1">
      <c r="A35" s="5"/>
      <c r="B35" s="3" t="s">
        <v>818</v>
      </c>
      <c r="C35" s="5"/>
      <c r="D35" s="12" t="s">
        <v>773</v>
      </c>
      <c r="E35" s="12" t="s">
        <v>1123</v>
      </c>
      <c r="F35" s="5"/>
      <c r="G35" s="5"/>
    </row>
    <row r="36" spans="1:7" ht="13.65" customHeight="1">
      <c r="A36" s="5"/>
      <c r="B36" s="3" t="s">
        <v>1100</v>
      </c>
      <c r="C36" s="5"/>
      <c r="D36" s="12" t="s">
        <v>690</v>
      </c>
      <c r="E36" s="12" t="s">
        <v>723</v>
      </c>
      <c r="F36" s="5"/>
      <c r="G36" s="5"/>
    </row>
    <row r="37" spans="1:7" ht="13.95" customHeight="1">
      <c r="A37" s="5"/>
      <c r="B37" s="3" t="s">
        <v>739</v>
      </c>
      <c r="C37" s="5"/>
      <c r="D37" s="12" t="s">
        <v>881</v>
      </c>
      <c r="E37" s="3" t="s">
        <v>852</v>
      </c>
      <c r="F37" s="5"/>
      <c r="G37" s="5"/>
    </row>
    <row r="38" spans="1:7" ht="12" customHeight="1">
      <c r="A38" s="5"/>
      <c r="B38" s="5"/>
      <c r="C38" s="5"/>
      <c r="D38" s="5"/>
      <c r="E38" s="2474" t="s">
        <v>702</v>
      </c>
      <c r="F38" s="2474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2474" t="s">
        <v>705</v>
      </c>
      <c r="F41" s="2474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2474" t="s">
        <v>707</v>
      </c>
      <c r="C43" s="2474"/>
      <c r="D43" s="2474"/>
      <c r="E43" s="2474"/>
      <c r="F43" s="2474"/>
      <c r="G43" s="5"/>
    </row>
    <row r="44" spans="1:7" ht="11.85" customHeight="1">
      <c r="A44" s="12" t="s">
        <v>708</v>
      </c>
      <c r="B44" s="2471" t="s">
        <v>876</v>
      </c>
      <c r="C44" s="2471"/>
      <c r="D44" s="2471"/>
      <c r="E44" s="2472" t="s">
        <v>710</v>
      </c>
      <c r="F44" s="2472"/>
      <c r="G44" s="5"/>
    </row>
    <row r="45" spans="1:7" ht="12.15" customHeight="1">
      <c r="A45" s="12" t="s">
        <v>711</v>
      </c>
      <c r="B45" s="2473" t="s">
        <v>712</v>
      </c>
      <c r="C45" s="2473"/>
      <c r="D45" s="2473"/>
      <c r="E45" s="2473"/>
      <c r="F45" s="2473"/>
      <c r="G45" s="5"/>
    </row>
  </sheetData>
  <mergeCells count="14">
    <mergeCell ref="E9:F9"/>
    <mergeCell ref="E15:F15"/>
    <mergeCell ref="E18:F18"/>
    <mergeCell ref="B20:F20"/>
    <mergeCell ref="B21:D21"/>
    <mergeCell ref="E21:F21"/>
    <mergeCell ref="B44:D44"/>
    <mergeCell ref="E44:F44"/>
    <mergeCell ref="B45:F45"/>
    <mergeCell ref="B22:F22"/>
    <mergeCell ref="E32:F32"/>
    <mergeCell ref="E38:F38"/>
    <mergeCell ref="E41:F41"/>
    <mergeCell ref="B43:F43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49"/>
  <dimension ref="A1:G45"/>
  <sheetViews>
    <sheetView topLeftCell="A16" workbookViewId="0">
      <selection activeCell="G45" sqref="A1:G45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2217</v>
      </c>
    </row>
    <row r="3" spans="1:7" ht="34.950000000000003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5" customHeight="1">
      <c r="A5" s="5"/>
      <c r="B5" s="3" t="s">
        <v>673</v>
      </c>
      <c r="C5" s="3" t="s">
        <v>674</v>
      </c>
      <c r="D5" s="12" t="s">
        <v>675</v>
      </c>
      <c r="E5" s="12" t="s">
        <v>1114</v>
      </c>
      <c r="F5" s="5"/>
      <c r="G5" s="5"/>
    </row>
    <row r="6" spans="1:7" ht="13.65" customHeight="1">
      <c r="A6" s="5"/>
      <c r="B6" s="3" t="s">
        <v>816</v>
      </c>
      <c r="C6" s="3" t="s">
        <v>678</v>
      </c>
      <c r="D6" s="12" t="s">
        <v>675</v>
      </c>
      <c r="E6" s="12" t="s">
        <v>1114</v>
      </c>
      <c r="F6" s="5"/>
      <c r="G6" s="5"/>
    </row>
    <row r="7" spans="1:7" ht="13.65" customHeight="1">
      <c r="A7" s="5"/>
      <c r="B7" s="3" t="s">
        <v>751</v>
      </c>
      <c r="C7" s="3" t="s">
        <v>681</v>
      </c>
      <c r="D7" s="12" t="s">
        <v>675</v>
      </c>
      <c r="E7" s="3" t="s">
        <v>695</v>
      </c>
      <c r="F7" s="5"/>
      <c r="G7" s="5"/>
    </row>
    <row r="8" spans="1:7" ht="13.95" customHeight="1">
      <c r="A8" s="5"/>
      <c r="B8" s="3" t="s">
        <v>683</v>
      </c>
      <c r="C8" s="3" t="s">
        <v>684</v>
      </c>
      <c r="D8" s="12" t="s">
        <v>675</v>
      </c>
      <c r="E8" s="3" t="s">
        <v>693</v>
      </c>
      <c r="F8" s="5"/>
      <c r="G8" s="5"/>
    </row>
    <row r="9" spans="1:7" ht="12" customHeight="1">
      <c r="A9" s="5"/>
      <c r="B9" s="5"/>
      <c r="C9" s="5"/>
      <c r="D9" s="5"/>
      <c r="E9" s="2474" t="s">
        <v>685</v>
      </c>
      <c r="F9" s="2474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65" customHeight="1">
      <c r="A11" s="5"/>
      <c r="B11" s="3" t="s">
        <v>1125</v>
      </c>
      <c r="C11" s="5"/>
      <c r="D11" s="12" t="s">
        <v>743</v>
      </c>
      <c r="E11" s="12" t="s">
        <v>1121</v>
      </c>
      <c r="F11" s="5"/>
      <c r="G11" s="5"/>
    </row>
    <row r="12" spans="1:7" ht="13.95" customHeight="1">
      <c r="A12" s="5"/>
      <c r="B12" s="3" t="s">
        <v>818</v>
      </c>
      <c r="C12" s="5"/>
      <c r="D12" s="12" t="s">
        <v>773</v>
      </c>
      <c r="E12" s="12" t="s">
        <v>1123</v>
      </c>
      <c r="F12" s="5"/>
      <c r="G12" s="5"/>
    </row>
    <row r="13" spans="1:7" ht="13.65" customHeight="1">
      <c r="A13" s="5"/>
      <c r="B13" s="3" t="s">
        <v>1100</v>
      </c>
      <c r="C13" s="5"/>
      <c r="D13" s="12" t="s">
        <v>690</v>
      </c>
      <c r="E13" s="12" t="s">
        <v>723</v>
      </c>
      <c r="F13" s="5"/>
      <c r="G13" s="5"/>
    </row>
    <row r="14" spans="1:7" ht="13.65" customHeight="1">
      <c r="A14" s="5"/>
      <c r="B14" s="3" t="s">
        <v>739</v>
      </c>
      <c r="C14" s="5"/>
      <c r="D14" s="12" t="s">
        <v>881</v>
      </c>
      <c r="E14" s="3" t="s">
        <v>852</v>
      </c>
      <c r="F14" s="5"/>
      <c r="G14" s="5"/>
    </row>
    <row r="15" spans="1:7" ht="12" customHeight="1">
      <c r="A15" s="5"/>
      <c r="B15" s="5"/>
      <c r="C15" s="5"/>
      <c r="D15" s="5"/>
      <c r="E15" s="2474" t="s">
        <v>702</v>
      </c>
      <c r="F15" s="2474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2474" t="s">
        <v>705</v>
      </c>
      <c r="F18" s="2474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2474" t="s">
        <v>707</v>
      </c>
      <c r="C20" s="2474"/>
      <c r="D20" s="2474"/>
      <c r="E20" s="2474"/>
      <c r="F20" s="2474"/>
      <c r="G20" s="5"/>
    </row>
    <row r="21" spans="1:7" ht="12" customHeight="1">
      <c r="A21" s="12" t="s">
        <v>708</v>
      </c>
      <c r="B21" s="2471" t="s">
        <v>876</v>
      </c>
      <c r="C21" s="2471"/>
      <c r="D21" s="2471"/>
      <c r="E21" s="2472" t="s">
        <v>710</v>
      </c>
      <c r="F21" s="2472"/>
      <c r="G21" s="5"/>
    </row>
    <row r="22" spans="1:7" ht="12" customHeight="1">
      <c r="A22" s="12" t="s">
        <v>711</v>
      </c>
      <c r="B22" s="2473" t="s">
        <v>712</v>
      </c>
      <c r="C22" s="2473"/>
      <c r="D22" s="2473"/>
      <c r="E22" s="2473"/>
      <c r="F22" s="2473"/>
      <c r="G22" s="5"/>
    </row>
    <row r="23" spans="1:7" ht="12" customHeight="1">
      <c r="A23" s="12"/>
      <c r="B23" s="26"/>
      <c r="C23" s="26"/>
      <c r="D23" s="26"/>
      <c r="E23" s="26"/>
      <c r="F23" s="26"/>
      <c r="G23" s="5"/>
    </row>
    <row r="24" spans="1:7" ht="12" customHeight="1">
      <c r="A24" s="50" t="s">
        <v>2218</v>
      </c>
      <c r="B24" s="26"/>
      <c r="C24" s="26"/>
      <c r="D24" s="26"/>
      <c r="E24" s="26"/>
      <c r="F24" s="26"/>
      <c r="G24" s="5"/>
    </row>
    <row r="25" spans="1:7" ht="12" customHeight="1">
      <c r="A25" s="12"/>
      <c r="B25" s="26"/>
      <c r="C25" s="26"/>
      <c r="D25" s="26"/>
      <c r="E25" s="26"/>
      <c r="F25" s="26"/>
      <c r="G25" s="5"/>
    </row>
    <row r="26" spans="1:7" ht="35.1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65" customHeight="1">
      <c r="A28" s="5"/>
      <c r="B28" s="3" t="s">
        <v>673</v>
      </c>
      <c r="C28" s="3" t="s">
        <v>674</v>
      </c>
      <c r="D28" s="12" t="s">
        <v>675</v>
      </c>
      <c r="E28" s="12" t="s">
        <v>1114</v>
      </c>
      <c r="F28" s="5"/>
      <c r="G28" s="5"/>
    </row>
    <row r="29" spans="1:7" ht="13.65" customHeight="1">
      <c r="A29" s="5"/>
      <c r="B29" s="3" t="s">
        <v>816</v>
      </c>
      <c r="C29" s="3" t="s">
        <v>678</v>
      </c>
      <c r="D29" s="12" t="s">
        <v>675</v>
      </c>
      <c r="E29" s="12" t="s">
        <v>1114</v>
      </c>
      <c r="F29" s="5"/>
      <c r="G29" s="5"/>
    </row>
    <row r="30" spans="1:7" ht="13.95" customHeight="1">
      <c r="A30" s="5"/>
      <c r="B30" s="3" t="s">
        <v>751</v>
      </c>
      <c r="C30" s="3" t="s">
        <v>681</v>
      </c>
      <c r="D30" s="12" t="s">
        <v>675</v>
      </c>
      <c r="E30" s="3" t="s">
        <v>695</v>
      </c>
      <c r="F30" s="5"/>
      <c r="G30" s="5"/>
    </row>
    <row r="31" spans="1:7" ht="13.65" customHeight="1">
      <c r="A31" s="5"/>
      <c r="B31" s="3" t="s">
        <v>683</v>
      </c>
      <c r="C31" s="3" t="s">
        <v>684</v>
      </c>
      <c r="D31" s="12" t="s">
        <v>675</v>
      </c>
      <c r="E31" s="3" t="s">
        <v>693</v>
      </c>
      <c r="F31" s="5"/>
      <c r="G31" s="5"/>
    </row>
    <row r="32" spans="1:7" ht="12" customHeight="1">
      <c r="A32" s="5"/>
      <c r="B32" s="5"/>
      <c r="C32" s="5"/>
      <c r="D32" s="5"/>
      <c r="E32" s="2474" t="s">
        <v>685</v>
      </c>
      <c r="F32" s="2474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65" customHeight="1">
      <c r="A34" s="5"/>
      <c r="B34" s="3" t="s">
        <v>1125</v>
      </c>
      <c r="C34" s="5"/>
      <c r="D34" s="12" t="s">
        <v>743</v>
      </c>
      <c r="E34" s="12" t="s">
        <v>1118</v>
      </c>
      <c r="F34" s="5"/>
      <c r="G34" s="5"/>
    </row>
    <row r="35" spans="1:7" ht="13.95" customHeight="1">
      <c r="A35" s="5"/>
      <c r="B35" s="3" t="s">
        <v>818</v>
      </c>
      <c r="C35" s="5"/>
      <c r="D35" s="12" t="s">
        <v>773</v>
      </c>
      <c r="E35" s="12" t="s">
        <v>1123</v>
      </c>
      <c r="F35" s="5"/>
      <c r="G35" s="5"/>
    </row>
    <row r="36" spans="1:7" ht="13.65" customHeight="1">
      <c r="A36" s="5"/>
      <c r="B36" s="3" t="s">
        <v>1100</v>
      </c>
      <c r="C36" s="5"/>
      <c r="D36" s="12" t="s">
        <v>690</v>
      </c>
      <c r="E36" s="12" t="s">
        <v>723</v>
      </c>
      <c r="F36" s="5"/>
      <c r="G36" s="5"/>
    </row>
    <row r="37" spans="1:7" ht="13.95" customHeight="1">
      <c r="A37" s="5"/>
      <c r="B37" s="3" t="s">
        <v>739</v>
      </c>
      <c r="C37" s="5"/>
      <c r="D37" s="12" t="s">
        <v>881</v>
      </c>
      <c r="E37" s="3" t="s">
        <v>852</v>
      </c>
      <c r="F37" s="5"/>
      <c r="G37" s="5"/>
    </row>
    <row r="38" spans="1:7" ht="12" customHeight="1">
      <c r="A38" s="5"/>
      <c r="B38" s="5"/>
      <c r="C38" s="5"/>
      <c r="D38" s="5"/>
      <c r="E38" s="2474" t="s">
        <v>702</v>
      </c>
      <c r="F38" s="2474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2474" t="s">
        <v>705</v>
      </c>
      <c r="F41" s="2474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2474" t="s">
        <v>707</v>
      </c>
      <c r="C43" s="2474"/>
      <c r="D43" s="2474"/>
      <c r="E43" s="2474"/>
      <c r="F43" s="2474"/>
      <c r="G43" s="5"/>
    </row>
    <row r="44" spans="1:7" ht="11.85" customHeight="1">
      <c r="A44" s="12" t="s">
        <v>708</v>
      </c>
      <c r="B44" s="2471" t="s">
        <v>876</v>
      </c>
      <c r="C44" s="2471"/>
      <c r="D44" s="2471"/>
      <c r="E44" s="2472" t="s">
        <v>710</v>
      </c>
      <c r="F44" s="2472"/>
      <c r="G44" s="5"/>
    </row>
    <row r="45" spans="1:7" ht="12.15" customHeight="1">
      <c r="A45" s="12" t="s">
        <v>711</v>
      </c>
      <c r="B45" s="2473" t="s">
        <v>712</v>
      </c>
      <c r="C45" s="2473"/>
      <c r="D45" s="2473"/>
      <c r="E45" s="2473"/>
      <c r="F45" s="2473"/>
      <c r="G45" s="5"/>
    </row>
  </sheetData>
  <mergeCells count="14">
    <mergeCell ref="E9:F9"/>
    <mergeCell ref="E15:F15"/>
    <mergeCell ref="E18:F18"/>
    <mergeCell ref="B20:F20"/>
    <mergeCell ref="B21:D21"/>
    <mergeCell ref="E21:F21"/>
    <mergeCell ref="B44:D44"/>
    <mergeCell ref="E44:F44"/>
    <mergeCell ref="B45:F45"/>
    <mergeCell ref="B22:F22"/>
    <mergeCell ref="E32:F32"/>
    <mergeCell ref="E38:F38"/>
    <mergeCell ref="E41:F41"/>
    <mergeCell ref="B43:F43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0"/>
  <dimension ref="A1:G45"/>
  <sheetViews>
    <sheetView workbookViewId="0">
      <selection activeCell="G45" sqref="A1:G45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5" t="s">
        <v>2219</v>
      </c>
    </row>
    <row r="3" spans="1:7" ht="34.950000000000003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5" customHeight="1">
      <c r="A5" s="5"/>
      <c r="B5" s="3" t="s">
        <v>673</v>
      </c>
      <c r="C5" s="3" t="s">
        <v>674</v>
      </c>
      <c r="D5" s="12" t="s">
        <v>675</v>
      </c>
      <c r="E5" s="12" t="s">
        <v>1114</v>
      </c>
      <c r="F5" s="5"/>
      <c r="G5" s="5"/>
    </row>
    <row r="6" spans="1:7" ht="13.65" customHeight="1">
      <c r="A6" s="5"/>
      <c r="B6" s="3" t="s">
        <v>816</v>
      </c>
      <c r="C6" s="3" t="s">
        <v>678</v>
      </c>
      <c r="D6" s="12" t="s">
        <v>675</v>
      </c>
      <c r="E6" s="12" t="s">
        <v>1114</v>
      </c>
      <c r="F6" s="5"/>
      <c r="G6" s="5"/>
    </row>
    <row r="7" spans="1:7" ht="13.65" customHeight="1">
      <c r="A7" s="5"/>
      <c r="B7" s="3" t="s">
        <v>751</v>
      </c>
      <c r="C7" s="3" t="s">
        <v>681</v>
      </c>
      <c r="D7" s="12" t="s">
        <v>675</v>
      </c>
      <c r="E7" s="3" t="s">
        <v>695</v>
      </c>
      <c r="F7" s="5"/>
      <c r="G7" s="5"/>
    </row>
    <row r="8" spans="1:7" ht="13.95" customHeight="1">
      <c r="A8" s="5"/>
      <c r="B8" s="3" t="s">
        <v>683</v>
      </c>
      <c r="C8" s="3" t="s">
        <v>684</v>
      </c>
      <c r="D8" s="12" t="s">
        <v>675</v>
      </c>
      <c r="E8" s="3" t="s">
        <v>693</v>
      </c>
      <c r="F8" s="5"/>
      <c r="G8" s="5"/>
    </row>
    <row r="9" spans="1:7" ht="12" customHeight="1">
      <c r="A9" s="5"/>
      <c r="B9" s="5"/>
      <c r="C9" s="5"/>
      <c r="D9" s="5"/>
      <c r="E9" s="2474" t="s">
        <v>685</v>
      </c>
      <c r="F9" s="2474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65" customHeight="1">
      <c r="A11" s="5"/>
      <c r="B11" s="3" t="s">
        <v>1126</v>
      </c>
      <c r="C11" s="5"/>
      <c r="D11" s="12" t="s">
        <v>743</v>
      </c>
      <c r="E11" s="12" t="s">
        <v>1127</v>
      </c>
      <c r="F11" s="5"/>
      <c r="G11" s="5"/>
    </row>
    <row r="12" spans="1:7" ht="13.95" customHeight="1">
      <c r="A12" s="5"/>
      <c r="B12" s="3" t="s">
        <v>818</v>
      </c>
      <c r="C12" s="5"/>
      <c r="D12" s="12" t="s">
        <v>773</v>
      </c>
      <c r="E12" s="12" t="s">
        <v>1123</v>
      </c>
      <c r="F12" s="5"/>
      <c r="G12" s="5"/>
    </row>
    <row r="13" spans="1:7" ht="13.65" customHeight="1">
      <c r="A13" s="5"/>
      <c r="B13" s="3" t="s">
        <v>1100</v>
      </c>
      <c r="C13" s="5"/>
      <c r="D13" s="12" t="s">
        <v>690</v>
      </c>
      <c r="E13" s="12" t="s">
        <v>723</v>
      </c>
      <c r="F13" s="5"/>
      <c r="G13" s="5"/>
    </row>
    <row r="14" spans="1:7" ht="13.65" customHeight="1">
      <c r="A14" s="5"/>
      <c r="B14" s="3" t="s">
        <v>739</v>
      </c>
      <c r="C14" s="5"/>
      <c r="D14" s="12" t="s">
        <v>881</v>
      </c>
      <c r="E14" s="3" t="s">
        <v>852</v>
      </c>
      <c r="F14" s="5"/>
      <c r="G14" s="5"/>
    </row>
    <row r="15" spans="1:7" ht="12" customHeight="1">
      <c r="A15" s="5"/>
      <c r="B15" s="5"/>
      <c r="C15" s="5"/>
      <c r="D15" s="5"/>
      <c r="E15" s="2474" t="s">
        <v>702</v>
      </c>
      <c r="F15" s="2474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2474" t="s">
        <v>705</v>
      </c>
      <c r="F18" s="2474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2474" t="s">
        <v>707</v>
      </c>
      <c r="C20" s="2474"/>
      <c r="D20" s="2474"/>
      <c r="E20" s="2474"/>
      <c r="F20" s="2474"/>
      <c r="G20" s="5"/>
    </row>
    <row r="21" spans="1:7" ht="12" customHeight="1">
      <c r="A21" s="12" t="s">
        <v>708</v>
      </c>
      <c r="B21" s="2471" t="s">
        <v>876</v>
      </c>
      <c r="C21" s="2471"/>
      <c r="D21" s="2471"/>
      <c r="E21" s="2472" t="s">
        <v>710</v>
      </c>
      <c r="F21" s="2472"/>
      <c r="G21" s="5"/>
    </row>
    <row r="22" spans="1:7" ht="12" customHeight="1">
      <c r="A22" s="12" t="s">
        <v>711</v>
      </c>
      <c r="B22" s="2473" t="s">
        <v>712</v>
      </c>
      <c r="C22" s="2473"/>
      <c r="D22" s="2473"/>
      <c r="E22" s="2473"/>
      <c r="F22" s="2473"/>
      <c r="G22" s="5"/>
    </row>
    <row r="23" spans="1:7" ht="12" customHeight="1">
      <c r="A23" s="12"/>
      <c r="B23" s="26"/>
      <c r="C23" s="26"/>
      <c r="D23" s="26"/>
      <c r="E23" s="26"/>
      <c r="F23" s="26"/>
      <c r="G23" s="5"/>
    </row>
    <row r="24" spans="1:7" ht="12" customHeight="1">
      <c r="A24" s="50" t="s">
        <v>2220</v>
      </c>
      <c r="B24" s="26"/>
      <c r="C24" s="26"/>
      <c r="D24" s="26"/>
      <c r="E24" s="26"/>
      <c r="F24" s="26"/>
      <c r="G24" s="5"/>
    </row>
    <row r="25" spans="1:7" ht="12" customHeight="1">
      <c r="A25" s="12"/>
      <c r="B25" s="26"/>
      <c r="C25" s="26"/>
      <c r="D25" s="26"/>
      <c r="E25" s="26"/>
      <c r="F25" s="26"/>
      <c r="G25" s="5"/>
    </row>
    <row r="26" spans="1:7" ht="34.950000000000003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95" customHeight="1">
      <c r="A28" s="5"/>
      <c r="B28" s="3" t="s">
        <v>673</v>
      </c>
      <c r="C28" s="3" t="s">
        <v>674</v>
      </c>
      <c r="D28" s="12" t="s">
        <v>675</v>
      </c>
      <c r="E28" s="12" t="s">
        <v>1114</v>
      </c>
      <c r="F28" s="5"/>
      <c r="G28" s="5"/>
    </row>
    <row r="29" spans="1:7" ht="13.65" customHeight="1">
      <c r="A29" s="5"/>
      <c r="B29" s="3" t="s">
        <v>816</v>
      </c>
      <c r="C29" s="3" t="s">
        <v>678</v>
      </c>
      <c r="D29" s="12" t="s">
        <v>675</v>
      </c>
      <c r="E29" s="12" t="s">
        <v>1114</v>
      </c>
      <c r="F29" s="5"/>
      <c r="G29" s="5"/>
    </row>
    <row r="30" spans="1:7" ht="13.65" customHeight="1">
      <c r="A30" s="5"/>
      <c r="B30" s="3" t="s">
        <v>751</v>
      </c>
      <c r="C30" s="3" t="s">
        <v>681</v>
      </c>
      <c r="D30" s="12" t="s">
        <v>675</v>
      </c>
      <c r="E30" s="3" t="s">
        <v>695</v>
      </c>
      <c r="F30" s="5"/>
      <c r="G30" s="5"/>
    </row>
    <row r="31" spans="1:7" ht="13.95" customHeight="1">
      <c r="A31" s="5"/>
      <c r="B31" s="3" t="s">
        <v>683</v>
      </c>
      <c r="C31" s="3" t="s">
        <v>684</v>
      </c>
      <c r="D31" s="12" t="s">
        <v>675</v>
      </c>
      <c r="E31" s="3" t="s">
        <v>693</v>
      </c>
      <c r="F31" s="5"/>
      <c r="G31" s="5"/>
    </row>
    <row r="32" spans="1:7" ht="12" customHeight="1">
      <c r="A32" s="5"/>
      <c r="B32" s="5"/>
      <c r="C32" s="5"/>
      <c r="D32" s="5"/>
      <c r="E32" s="2474" t="s">
        <v>685</v>
      </c>
      <c r="F32" s="2474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65" customHeight="1">
      <c r="A34" s="5"/>
      <c r="B34" s="3" t="s">
        <v>1126</v>
      </c>
      <c r="C34" s="5"/>
      <c r="D34" s="12" t="s">
        <v>743</v>
      </c>
      <c r="E34" s="12" t="s">
        <v>1118</v>
      </c>
      <c r="F34" s="5"/>
      <c r="G34" s="5"/>
    </row>
    <row r="35" spans="1:7" ht="13.65" customHeight="1">
      <c r="A35" s="5"/>
      <c r="B35" s="3" t="s">
        <v>818</v>
      </c>
      <c r="C35" s="5"/>
      <c r="D35" s="12" t="s">
        <v>773</v>
      </c>
      <c r="E35" s="12" t="s">
        <v>1123</v>
      </c>
      <c r="F35" s="5"/>
      <c r="G35" s="5"/>
    </row>
    <row r="36" spans="1:7" ht="13.95" customHeight="1">
      <c r="A36" s="5"/>
      <c r="B36" s="3" t="s">
        <v>1100</v>
      </c>
      <c r="C36" s="5"/>
      <c r="D36" s="12" t="s">
        <v>690</v>
      </c>
      <c r="E36" s="12" t="s">
        <v>723</v>
      </c>
      <c r="F36" s="5"/>
      <c r="G36" s="5"/>
    </row>
    <row r="37" spans="1:7" ht="13.65" customHeight="1">
      <c r="A37" s="5"/>
      <c r="B37" s="3" t="s">
        <v>739</v>
      </c>
      <c r="C37" s="5"/>
      <c r="D37" s="12" t="s">
        <v>881</v>
      </c>
      <c r="E37" s="3" t="s">
        <v>852</v>
      </c>
      <c r="F37" s="5"/>
      <c r="G37" s="5"/>
    </row>
    <row r="38" spans="1:7" ht="12" customHeight="1">
      <c r="A38" s="5"/>
      <c r="B38" s="5"/>
      <c r="C38" s="5"/>
      <c r="D38" s="5"/>
      <c r="E38" s="2474" t="s">
        <v>702</v>
      </c>
      <c r="F38" s="2474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2474" t="s">
        <v>705</v>
      </c>
      <c r="F41" s="2474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2474" t="s">
        <v>707</v>
      </c>
      <c r="C43" s="2474"/>
      <c r="D43" s="2474"/>
      <c r="E43" s="2474"/>
      <c r="F43" s="2474"/>
      <c r="G43" s="5"/>
    </row>
    <row r="44" spans="1:7" ht="12" customHeight="1">
      <c r="A44" s="12" t="s">
        <v>708</v>
      </c>
      <c r="B44" s="2471" t="s">
        <v>876</v>
      </c>
      <c r="C44" s="2471"/>
      <c r="D44" s="2471"/>
      <c r="E44" s="2472" t="s">
        <v>710</v>
      </c>
      <c r="F44" s="2472"/>
      <c r="G44" s="5"/>
    </row>
    <row r="45" spans="1:7" ht="12" customHeight="1">
      <c r="A45" s="12" t="s">
        <v>711</v>
      </c>
      <c r="B45" s="2473" t="s">
        <v>712</v>
      </c>
      <c r="C45" s="2473"/>
      <c r="D45" s="2473"/>
      <c r="E45" s="2473"/>
      <c r="F45" s="2473"/>
      <c r="G45" s="5"/>
    </row>
  </sheetData>
  <mergeCells count="14">
    <mergeCell ref="E9:F9"/>
    <mergeCell ref="E15:F15"/>
    <mergeCell ref="E18:F18"/>
    <mergeCell ref="B20:F20"/>
    <mergeCell ref="B21:D21"/>
    <mergeCell ref="E21:F21"/>
    <mergeCell ref="B44:D44"/>
    <mergeCell ref="E44:F44"/>
    <mergeCell ref="B45:F45"/>
    <mergeCell ref="B22:F22"/>
    <mergeCell ref="E32:F32"/>
    <mergeCell ref="E38:F38"/>
    <mergeCell ref="E41:F41"/>
    <mergeCell ref="B43:F43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1"/>
  <dimension ref="A1:G45"/>
  <sheetViews>
    <sheetView workbookViewId="0">
      <selection activeCell="G45" sqref="A1:G45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2221</v>
      </c>
    </row>
    <row r="3" spans="1:7" ht="34.950000000000003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5" customHeight="1">
      <c r="A5" s="5"/>
      <c r="B5" s="3" t="s">
        <v>673</v>
      </c>
      <c r="C5" s="3" t="s">
        <v>674</v>
      </c>
      <c r="D5" s="12" t="s">
        <v>675</v>
      </c>
      <c r="E5" s="12" t="s">
        <v>1114</v>
      </c>
      <c r="F5" s="5"/>
      <c r="G5" s="5"/>
    </row>
    <row r="6" spans="1:7" ht="13.65" customHeight="1">
      <c r="A6" s="5"/>
      <c r="B6" s="3" t="s">
        <v>816</v>
      </c>
      <c r="C6" s="3" t="s">
        <v>678</v>
      </c>
      <c r="D6" s="12" t="s">
        <v>675</v>
      </c>
      <c r="E6" s="12" t="s">
        <v>1114</v>
      </c>
      <c r="F6" s="5"/>
      <c r="G6" s="5"/>
    </row>
    <row r="7" spans="1:7" ht="13.65" customHeight="1">
      <c r="A7" s="5"/>
      <c r="B7" s="3" t="s">
        <v>751</v>
      </c>
      <c r="C7" s="3" t="s">
        <v>681</v>
      </c>
      <c r="D7" s="12" t="s">
        <v>675</v>
      </c>
      <c r="E7" s="3" t="s">
        <v>695</v>
      </c>
      <c r="F7" s="5"/>
      <c r="G7" s="5"/>
    </row>
    <row r="8" spans="1:7" ht="13.95" customHeight="1">
      <c r="A8" s="5"/>
      <c r="B8" s="3" t="s">
        <v>683</v>
      </c>
      <c r="C8" s="3" t="s">
        <v>684</v>
      </c>
      <c r="D8" s="12" t="s">
        <v>675</v>
      </c>
      <c r="E8" s="3" t="s">
        <v>693</v>
      </c>
      <c r="F8" s="5"/>
      <c r="G8" s="5"/>
    </row>
    <row r="9" spans="1:7" ht="12" customHeight="1">
      <c r="A9" s="5"/>
      <c r="B9" s="5"/>
      <c r="C9" s="5"/>
      <c r="D9" s="5"/>
      <c r="E9" s="2474" t="s">
        <v>685</v>
      </c>
      <c r="F9" s="2474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65" customHeight="1">
      <c r="A11" s="5"/>
      <c r="B11" s="3" t="s">
        <v>1128</v>
      </c>
      <c r="C11" s="5"/>
      <c r="D11" s="12" t="s">
        <v>743</v>
      </c>
      <c r="E11" s="12" t="s">
        <v>759</v>
      </c>
      <c r="F11" s="5"/>
      <c r="G11" s="5"/>
    </row>
    <row r="12" spans="1:7" ht="13.95" customHeight="1">
      <c r="A12" s="5"/>
      <c r="B12" s="3" t="s">
        <v>818</v>
      </c>
      <c r="C12" s="5"/>
      <c r="D12" s="12" t="s">
        <v>773</v>
      </c>
      <c r="E12" s="12" t="s">
        <v>1123</v>
      </c>
      <c r="F12" s="5"/>
      <c r="G12" s="5"/>
    </row>
    <row r="13" spans="1:7" ht="13.65" customHeight="1">
      <c r="A13" s="5"/>
      <c r="B13" s="3" t="s">
        <v>1100</v>
      </c>
      <c r="C13" s="5"/>
      <c r="D13" s="12" t="s">
        <v>690</v>
      </c>
      <c r="E13" s="12" t="s">
        <v>723</v>
      </c>
      <c r="F13" s="5"/>
      <c r="G13" s="5"/>
    </row>
    <row r="14" spans="1:7" ht="13.65" customHeight="1">
      <c r="A14" s="5"/>
      <c r="B14" s="3" t="s">
        <v>739</v>
      </c>
      <c r="C14" s="5"/>
      <c r="D14" s="12" t="s">
        <v>881</v>
      </c>
      <c r="E14" s="3" t="s">
        <v>852</v>
      </c>
      <c r="F14" s="5"/>
      <c r="G14" s="5"/>
    </row>
    <row r="15" spans="1:7" ht="12" customHeight="1">
      <c r="A15" s="5"/>
      <c r="B15" s="5"/>
      <c r="C15" s="5"/>
      <c r="D15" s="5"/>
      <c r="E15" s="2474" t="s">
        <v>702</v>
      </c>
      <c r="F15" s="2474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2474" t="s">
        <v>705</v>
      </c>
      <c r="F18" s="2474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2474" t="s">
        <v>707</v>
      </c>
      <c r="C20" s="2474"/>
      <c r="D20" s="2474"/>
      <c r="E20" s="2474"/>
      <c r="F20" s="2474"/>
      <c r="G20" s="5"/>
    </row>
    <row r="21" spans="1:7" ht="12" customHeight="1">
      <c r="A21" s="12" t="s">
        <v>708</v>
      </c>
      <c r="B21" s="2471" t="s">
        <v>876</v>
      </c>
      <c r="C21" s="2471"/>
      <c r="D21" s="2471"/>
      <c r="E21" s="2472" t="s">
        <v>710</v>
      </c>
      <c r="F21" s="2472"/>
      <c r="G21" s="5"/>
    </row>
    <row r="22" spans="1:7" ht="12" customHeight="1">
      <c r="A22" s="12" t="s">
        <v>711</v>
      </c>
      <c r="B22" s="2473" t="s">
        <v>712</v>
      </c>
      <c r="C22" s="2473"/>
      <c r="D22" s="2473"/>
      <c r="E22" s="2473"/>
      <c r="F22" s="2473"/>
      <c r="G22" s="5"/>
    </row>
    <row r="23" spans="1:7" ht="12" customHeight="1">
      <c r="A23" s="12"/>
      <c r="B23" s="26"/>
      <c r="C23" s="26"/>
      <c r="D23" s="26"/>
      <c r="E23" s="26"/>
      <c r="F23" s="26"/>
      <c r="G23" s="5"/>
    </row>
    <row r="24" spans="1:7" ht="12" customHeight="1">
      <c r="A24" s="50" t="s">
        <v>2222</v>
      </c>
      <c r="B24" s="26"/>
      <c r="C24" s="26"/>
      <c r="D24" s="26"/>
      <c r="E24" s="26"/>
      <c r="F24" s="26"/>
      <c r="G24" s="5"/>
    </row>
    <row r="25" spans="1:7" ht="12" customHeight="1">
      <c r="A25" s="12"/>
      <c r="B25" s="26"/>
      <c r="C25" s="26"/>
      <c r="D25" s="26"/>
      <c r="E25" s="26"/>
      <c r="F25" s="26"/>
      <c r="G25" s="5"/>
    </row>
    <row r="26" spans="1:7" ht="35.1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65" customHeight="1">
      <c r="A28" s="5"/>
      <c r="B28" s="3" t="s">
        <v>673</v>
      </c>
      <c r="C28" s="3" t="s">
        <v>674</v>
      </c>
      <c r="D28" s="12" t="s">
        <v>675</v>
      </c>
      <c r="E28" s="12" t="s">
        <v>1114</v>
      </c>
      <c r="F28" s="5"/>
      <c r="G28" s="5"/>
    </row>
    <row r="29" spans="1:7" ht="13.65" customHeight="1">
      <c r="A29" s="5"/>
      <c r="B29" s="3" t="s">
        <v>816</v>
      </c>
      <c r="C29" s="3" t="s">
        <v>678</v>
      </c>
      <c r="D29" s="12" t="s">
        <v>675</v>
      </c>
      <c r="E29" s="12" t="s">
        <v>1114</v>
      </c>
      <c r="F29" s="5"/>
      <c r="G29" s="5"/>
    </row>
    <row r="30" spans="1:7" ht="13.95" customHeight="1">
      <c r="A30" s="5"/>
      <c r="B30" s="3" t="s">
        <v>751</v>
      </c>
      <c r="C30" s="3" t="s">
        <v>681</v>
      </c>
      <c r="D30" s="12" t="s">
        <v>675</v>
      </c>
      <c r="E30" s="3" t="s">
        <v>695</v>
      </c>
      <c r="F30" s="5"/>
      <c r="G30" s="5"/>
    </row>
    <row r="31" spans="1:7" ht="13.65" customHeight="1">
      <c r="A31" s="5"/>
      <c r="B31" s="3" t="s">
        <v>683</v>
      </c>
      <c r="C31" s="3" t="s">
        <v>684</v>
      </c>
      <c r="D31" s="12" t="s">
        <v>675</v>
      </c>
      <c r="E31" s="3" t="s">
        <v>693</v>
      </c>
      <c r="F31" s="5"/>
      <c r="G31" s="5"/>
    </row>
    <row r="32" spans="1:7" ht="12" customHeight="1">
      <c r="A32" s="5"/>
      <c r="B32" s="5"/>
      <c r="C32" s="5"/>
      <c r="D32" s="5"/>
      <c r="E32" s="2474" t="s">
        <v>685</v>
      </c>
      <c r="F32" s="2474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65" customHeight="1">
      <c r="A34" s="5"/>
      <c r="B34" s="3" t="s">
        <v>1128</v>
      </c>
      <c r="C34" s="5"/>
      <c r="D34" s="12" t="s">
        <v>743</v>
      </c>
      <c r="E34" s="12" t="s">
        <v>1121</v>
      </c>
      <c r="F34" s="5"/>
      <c r="G34" s="5"/>
    </row>
    <row r="35" spans="1:7" ht="13.95" customHeight="1">
      <c r="A35" s="5"/>
      <c r="B35" s="3" t="s">
        <v>738</v>
      </c>
      <c r="C35" s="5"/>
      <c r="D35" s="12" t="s">
        <v>773</v>
      </c>
      <c r="E35" s="12" t="s">
        <v>1123</v>
      </c>
      <c r="F35" s="5"/>
      <c r="G35" s="5"/>
    </row>
    <row r="36" spans="1:7" ht="13.65" customHeight="1">
      <c r="A36" s="5"/>
      <c r="B36" s="3" t="s">
        <v>1100</v>
      </c>
      <c r="C36" s="5"/>
      <c r="D36" s="12" t="s">
        <v>690</v>
      </c>
      <c r="E36" s="12" t="s">
        <v>723</v>
      </c>
      <c r="F36" s="5"/>
      <c r="G36" s="5"/>
    </row>
    <row r="37" spans="1:7" ht="13.95" customHeight="1">
      <c r="A37" s="5"/>
      <c r="B37" s="3" t="s">
        <v>739</v>
      </c>
      <c r="C37" s="5"/>
      <c r="D37" s="12" t="s">
        <v>881</v>
      </c>
      <c r="E37" s="3" t="s">
        <v>852</v>
      </c>
      <c r="F37" s="5"/>
      <c r="G37" s="5"/>
    </row>
    <row r="38" spans="1:7" ht="12" customHeight="1">
      <c r="A38" s="5"/>
      <c r="B38" s="5"/>
      <c r="C38" s="5"/>
      <c r="D38" s="5"/>
      <c r="E38" s="2474" t="s">
        <v>702</v>
      </c>
      <c r="F38" s="2474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2474" t="s">
        <v>705</v>
      </c>
      <c r="F41" s="2474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2474" t="s">
        <v>707</v>
      </c>
      <c r="C43" s="2474"/>
      <c r="D43" s="2474"/>
      <c r="E43" s="2474"/>
      <c r="F43" s="2474"/>
      <c r="G43" s="5"/>
    </row>
    <row r="44" spans="1:7" ht="11.85" customHeight="1">
      <c r="A44" s="12" t="s">
        <v>708</v>
      </c>
      <c r="B44" s="2471" t="s">
        <v>876</v>
      </c>
      <c r="C44" s="2471"/>
      <c r="D44" s="2471"/>
      <c r="E44" s="2472" t="s">
        <v>710</v>
      </c>
      <c r="F44" s="2472"/>
      <c r="G44" s="5"/>
    </row>
    <row r="45" spans="1:7" ht="12.15" customHeight="1">
      <c r="A45" s="12" t="s">
        <v>711</v>
      </c>
      <c r="B45" s="2473" t="s">
        <v>712</v>
      </c>
      <c r="C45" s="2473"/>
      <c r="D45" s="2473"/>
      <c r="E45" s="2473"/>
      <c r="F45" s="2473"/>
      <c r="G45" s="5"/>
    </row>
  </sheetData>
  <mergeCells count="14">
    <mergeCell ref="E9:F9"/>
    <mergeCell ref="E15:F15"/>
    <mergeCell ref="E18:F18"/>
    <mergeCell ref="B20:F20"/>
    <mergeCell ref="B21:D21"/>
    <mergeCell ref="E21:F21"/>
    <mergeCell ref="B44:D44"/>
    <mergeCell ref="E44:F44"/>
    <mergeCell ref="B45:F45"/>
    <mergeCell ref="B22:F22"/>
    <mergeCell ref="E32:F32"/>
    <mergeCell ref="E38:F38"/>
    <mergeCell ref="E41:F41"/>
    <mergeCell ref="B43:F4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">
    <tabColor rgb="FF00B050"/>
  </sheetPr>
  <dimension ref="B1:AA9330"/>
  <sheetViews>
    <sheetView showGridLines="0" view="pageBreakPreview" topLeftCell="A3934" zoomScaleSheetLayoutView="100" workbookViewId="0">
      <selection activeCell="M3972" sqref="M3972"/>
    </sheetView>
  </sheetViews>
  <sheetFormatPr defaultColWidth="9.109375" defaultRowHeight="13.8"/>
  <cols>
    <col min="1" max="1" width="9.109375" style="494"/>
    <col min="2" max="2" width="12.6640625" style="1095" customWidth="1"/>
    <col min="3" max="3" width="31.33203125" style="1096" customWidth="1"/>
    <col min="4" max="4" width="8.6640625" style="1095" customWidth="1"/>
    <col min="5" max="5" width="10.6640625" style="1095" customWidth="1"/>
    <col min="6" max="6" width="10.6640625" style="1097" customWidth="1"/>
    <col min="7" max="7" width="17.109375" style="1098" customWidth="1"/>
    <col min="8" max="8" width="18.33203125" style="1099" customWidth="1"/>
    <col min="9" max="9" width="15.6640625" style="494" hidden="1" customWidth="1"/>
    <col min="10" max="11" width="15.6640625" style="1557" customWidth="1"/>
    <col min="12" max="12" width="14.44140625" style="1557" bestFit="1" customWidth="1"/>
    <col min="13" max="13" width="14.6640625" style="1558" customWidth="1"/>
    <col min="14" max="14" width="10.44140625" style="494" bestFit="1" customWidth="1"/>
    <col min="15" max="15" width="9.109375" style="494"/>
    <col min="16" max="16" width="14" style="494" customWidth="1"/>
    <col min="17" max="17" width="13.5546875" style="494" customWidth="1"/>
    <col min="18" max="18" width="13.109375" style="494" customWidth="1"/>
    <col min="19" max="20" width="9.109375" style="494"/>
    <col min="21" max="30" width="16.6640625" style="494" customWidth="1"/>
    <col min="31" max="16384" width="9.109375" style="494"/>
  </cols>
  <sheetData>
    <row r="1" spans="2:13" ht="26.25" customHeight="1">
      <c r="B1" s="2155" t="s">
        <v>4829</v>
      </c>
      <c r="C1" s="2155"/>
      <c r="D1" s="2155"/>
      <c r="E1" s="2155"/>
      <c r="F1" s="2155"/>
      <c r="G1" s="2155"/>
      <c r="H1" s="2155"/>
      <c r="I1" s="2155"/>
      <c r="J1" s="2155"/>
      <c r="K1" s="2155"/>
      <c r="L1" s="2155"/>
      <c r="M1" s="2155"/>
    </row>
    <row r="2" spans="2:13" ht="26.25" customHeight="1">
      <c r="B2" s="1915"/>
      <c r="C2" s="1915"/>
      <c r="D2" s="1915"/>
      <c r="E2" s="1915"/>
      <c r="F2" s="1915"/>
      <c r="G2" s="1915"/>
      <c r="H2" s="1915"/>
      <c r="I2" s="1915"/>
      <c r="J2" s="1915"/>
      <c r="K2" s="1915"/>
      <c r="L2" s="1915"/>
      <c r="M2" s="1915"/>
    </row>
    <row r="3" spans="2:13" s="979" customFormat="1">
      <c r="B3" s="1894"/>
      <c r="C3" s="1742"/>
      <c r="D3" s="1741"/>
      <c r="E3" s="1741"/>
      <c r="F3" s="1743"/>
      <c r="G3" s="1744"/>
      <c r="H3" s="1745"/>
      <c r="I3" s="1758"/>
      <c r="J3" s="1641"/>
      <c r="K3" s="1641"/>
      <c r="L3" s="1641"/>
      <c r="M3" s="1895"/>
    </row>
    <row r="4" spans="2:13" s="980" customFormat="1">
      <c r="B4" s="1896" t="s">
        <v>3378</v>
      </c>
      <c r="C4" s="1232" t="s">
        <v>3379</v>
      </c>
      <c r="D4" s="1100"/>
      <c r="E4" s="1100"/>
      <c r="F4" s="1174"/>
      <c r="G4" s="1175"/>
      <c r="H4" s="1134"/>
      <c r="J4" s="1559"/>
      <c r="K4" s="1559"/>
      <c r="L4" s="1559"/>
      <c r="M4" s="1897"/>
    </row>
    <row r="5" spans="2:13" s="979" customFormat="1" hidden="1">
      <c r="B5" s="1898" t="s">
        <v>3865</v>
      </c>
      <c r="C5" s="1616" t="s">
        <v>2660</v>
      </c>
      <c r="D5" s="1150"/>
      <c r="E5" s="1150"/>
      <c r="F5" s="1617"/>
      <c r="G5" s="1618"/>
      <c r="H5" s="1616"/>
      <c r="J5" s="1557"/>
      <c r="K5" s="1557"/>
      <c r="L5" s="1557"/>
      <c r="M5" s="1899"/>
    </row>
    <row r="6" spans="2:13" s="979" customFormat="1" ht="24.9" hidden="1" customHeight="1">
      <c r="B6" s="1900" t="s">
        <v>1003</v>
      </c>
      <c r="C6" s="1221" t="s">
        <v>1004</v>
      </c>
      <c r="D6" s="1221" t="s">
        <v>1005</v>
      </c>
      <c r="E6" s="1221" t="s">
        <v>1006</v>
      </c>
      <c r="F6" s="1222" t="s">
        <v>1007</v>
      </c>
      <c r="G6" s="1618" t="s">
        <v>2639</v>
      </c>
      <c r="H6" s="1620" t="s">
        <v>2638</v>
      </c>
      <c r="I6" s="978"/>
      <c r="J6" s="1621"/>
      <c r="K6" s="1621"/>
      <c r="L6" s="1557"/>
      <c r="M6" s="1899"/>
    </row>
    <row r="7" spans="2:13" s="979" customFormat="1" hidden="1">
      <c r="B7" s="1901" t="s">
        <v>671</v>
      </c>
      <c r="C7" s="1112" t="s">
        <v>672</v>
      </c>
      <c r="D7" s="1129"/>
      <c r="E7" s="1129"/>
      <c r="F7" s="1131"/>
      <c r="G7" s="1132"/>
      <c r="H7" s="1115"/>
      <c r="J7" s="1557"/>
      <c r="K7" s="1557"/>
      <c r="L7" s="1557"/>
      <c r="M7" s="1899"/>
    </row>
    <row r="8" spans="2:13" s="979" customFormat="1" hidden="1">
      <c r="B8" s="1902"/>
      <c r="C8" s="1130" t="s">
        <v>673</v>
      </c>
      <c r="D8" s="1129" t="s">
        <v>674</v>
      </c>
      <c r="E8" s="1129" t="s">
        <v>675</v>
      </c>
      <c r="F8" s="1131">
        <v>0.4</v>
      </c>
      <c r="G8" s="1132">
        <f>DUB!$I$10</f>
        <v>150000</v>
      </c>
      <c r="H8" s="1115">
        <f>G8*F8</f>
        <v>60000</v>
      </c>
      <c r="J8" s="1557"/>
      <c r="K8" s="1557"/>
      <c r="L8" s="1557"/>
      <c r="M8" s="1899"/>
    </row>
    <row r="9" spans="2:13" s="979" customFormat="1" hidden="1">
      <c r="B9" s="1902"/>
      <c r="C9" s="1130" t="s">
        <v>677</v>
      </c>
      <c r="D9" s="1129" t="s">
        <v>678</v>
      </c>
      <c r="E9" s="1129" t="s">
        <v>675</v>
      </c>
      <c r="F9" s="1131">
        <v>0.2</v>
      </c>
      <c r="G9" s="1132">
        <f>DUB!$I$11</f>
        <v>187000</v>
      </c>
      <c r="H9" s="1115">
        <f>G9*F9</f>
        <v>37400</v>
      </c>
      <c r="J9" s="1557"/>
      <c r="K9" s="1557"/>
      <c r="L9" s="1557"/>
      <c r="M9" s="1899"/>
    </row>
    <row r="10" spans="2:13" s="979" customFormat="1" hidden="1">
      <c r="B10" s="1902"/>
      <c r="C10" s="1130" t="s">
        <v>680</v>
      </c>
      <c r="D10" s="1129" t="s">
        <v>681</v>
      </c>
      <c r="E10" s="1129" t="s">
        <v>675</v>
      </c>
      <c r="F10" s="1131">
        <v>0.02</v>
      </c>
      <c r="G10" s="1132">
        <f>DUB!$I$13</f>
        <v>240000</v>
      </c>
      <c r="H10" s="1115">
        <f>G10*F10</f>
        <v>4800</v>
      </c>
      <c r="J10" s="1557"/>
      <c r="K10" s="1557"/>
      <c r="L10" s="1557"/>
      <c r="M10" s="1899"/>
    </row>
    <row r="11" spans="2:13" s="979" customFormat="1" hidden="1">
      <c r="B11" s="1902"/>
      <c r="C11" s="1130" t="s">
        <v>683</v>
      </c>
      <c r="D11" s="1129" t="s">
        <v>684</v>
      </c>
      <c r="E11" s="1129" t="s">
        <v>675</v>
      </c>
      <c r="F11" s="1131">
        <v>0.02</v>
      </c>
      <c r="G11" s="1132">
        <f>DUB!$I$12</f>
        <v>225000</v>
      </c>
      <c r="H11" s="1115">
        <f>G11*F11</f>
        <v>4500</v>
      </c>
      <c r="J11" s="1557"/>
      <c r="K11" s="1557"/>
      <c r="L11" s="1557"/>
      <c r="M11" s="1899"/>
    </row>
    <row r="12" spans="2:13" s="979" customFormat="1" hidden="1">
      <c r="B12" s="1902"/>
      <c r="C12" s="1130"/>
      <c r="D12" s="1129"/>
      <c r="E12" s="1129"/>
      <c r="F12" s="2102" t="s">
        <v>685</v>
      </c>
      <c r="G12" s="2102"/>
      <c r="H12" s="1115">
        <f>SUM(H8:H11)</f>
        <v>106700</v>
      </c>
      <c r="J12" s="1557"/>
      <c r="K12" s="1557"/>
      <c r="L12" s="1557"/>
      <c r="M12" s="1899"/>
    </row>
    <row r="13" spans="2:13" s="979" customFormat="1" hidden="1">
      <c r="B13" s="1901" t="s">
        <v>686</v>
      </c>
      <c r="C13" s="1112" t="s">
        <v>687</v>
      </c>
      <c r="D13" s="1129"/>
      <c r="E13" s="1129"/>
      <c r="F13" s="1131"/>
      <c r="G13" s="1132"/>
      <c r="H13" s="1115"/>
      <c r="J13" s="1557"/>
      <c r="K13" s="1557"/>
      <c r="L13" s="1557"/>
      <c r="M13" s="1899"/>
    </row>
    <row r="14" spans="2:13" s="979" customFormat="1" hidden="1">
      <c r="B14" s="1902"/>
      <c r="C14" s="1130" t="s">
        <v>2641</v>
      </c>
      <c r="D14" s="1129"/>
      <c r="E14" s="1129" t="s">
        <v>688</v>
      </c>
      <c r="F14" s="1131">
        <v>1.25</v>
      </c>
      <c r="G14" s="1132">
        <f>DUB!$I$80</f>
        <v>41220</v>
      </c>
      <c r="H14" s="1115">
        <f>G14*F14</f>
        <v>51525</v>
      </c>
      <c r="J14" s="1557"/>
      <c r="K14" s="1557"/>
      <c r="L14" s="1557"/>
      <c r="M14" s="1899"/>
    </row>
    <row r="15" spans="2:13" s="979" customFormat="1" hidden="1">
      <c r="B15" s="1902"/>
      <c r="C15" s="1130" t="s">
        <v>689</v>
      </c>
      <c r="D15" s="1129"/>
      <c r="E15" s="1129" t="s">
        <v>690</v>
      </c>
      <c r="F15" s="1131">
        <v>5</v>
      </c>
      <c r="G15" s="1132">
        <f>DUB!$I$65</f>
        <v>1575</v>
      </c>
      <c r="H15" s="1115">
        <f t="shared" ref="H15:H20" si="0">G15*F15</f>
        <v>7875</v>
      </c>
      <c r="J15" s="1557"/>
      <c r="K15" s="1557"/>
      <c r="L15" s="1557"/>
      <c r="M15" s="1899"/>
    </row>
    <row r="16" spans="2:13" s="979" customFormat="1" hidden="1">
      <c r="B16" s="1902"/>
      <c r="C16" s="1130" t="s">
        <v>691</v>
      </c>
      <c r="D16" s="1129"/>
      <c r="E16" s="1129" t="s">
        <v>2646</v>
      </c>
      <c r="F16" s="1131">
        <v>5.0000000000000001E-3</v>
      </c>
      <c r="G16" s="1132">
        <f>DUB!$I$59</f>
        <v>208463</v>
      </c>
      <c r="H16" s="1115">
        <f t="shared" si="0"/>
        <v>1042.3150000000001</v>
      </c>
      <c r="J16" s="1557"/>
      <c r="K16" s="1557"/>
      <c r="L16" s="1557"/>
      <c r="M16" s="1899"/>
    </row>
    <row r="17" spans="2:13" s="979" customFormat="1" hidden="1">
      <c r="B17" s="1902"/>
      <c r="C17" s="1130" t="s">
        <v>694</v>
      </c>
      <c r="D17" s="1129"/>
      <c r="E17" s="1129" t="s">
        <v>2646</v>
      </c>
      <c r="F17" s="1131">
        <v>8.9999999999999993E-3</v>
      </c>
      <c r="G17" s="1132">
        <f>DUB!$I$38</f>
        <v>236700</v>
      </c>
      <c r="H17" s="1115">
        <f t="shared" si="0"/>
        <v>2130.2999999999997</v>
      </c>
      <c r="J17" s="1557"/>
      <c r="K17" s="1557"/>
      <c r="L17" s="1557"/>
      <c r="M17" s="1899"/>
    </row>
    <row r="18" spans="2:13" s="979" customFormat="1" hidden="1">
      <c r="B18" s="1902"/>
      <c r="C18" s="1130" t="s">
        <v>696</v>
      </c>
      <c r="D18" s="1129"/>
      <c r="E18" s="1129" t="s">
        <v>2646</v>
      </c>
      <c r="F18" s="1131">
        <v>7.1999999999999995E-2</v>
      </c>
      <c r="G18" s="1132">
        <f>DUB!$I$85</f>
        <v>6250000</v>
      </c>
      <c r="H18" s="1115">
        <f t="shared" si="0"/>
        <v>449999.99999999994</v>
      </c>
      <c r="J18" s="1557"/>
      <c r="K18" s="1557"/>
      <c r="L18" s="1557"/>
      <c r="M18" s="1899"/>
    </row>
    <row r="19" spans="2:13" s="979" customFormat="1" hidden="1">
      <c r="B19" s="1902"/>
      <c r="C19" s="1130" t="s">
        <v>698</v>
      </c>
      <c r="D19" s="1129"/>
      <c r="E19" s="1129" t="s">
        <v>690</v>
      </c>
      <c r="F19" s="1131">
        <v>0.06</v>
      </c>
      <c r="G19" s="1132">
        <f>DUB!$I$128</f>
        <v>20441.7</v>
      </c>
      <c r="H19" s="1115">
        <f t="shared" si="0"/>
        <v>1226.502</v>
      </c>
      <c r="J19" s="1557"/>
      <c r="K19" s="1557"/>
      <c r="L19" s="1557"/>
      <c r="M19" s="1899"/>
    </row>
    <row r="20" spans="2:13" s="979" customFormat="1" hidden="1">
      <c r="B20" s="1902"/>
      <c r="C20" s="1130" t="s">
        <v>700</v>
      </c>
      <c r="D20" s="1129"/>
      <c r="E20" s="1129" t="s">
        <v>701</v>
      </c>
      <c r="F20" s="1131">
        <v>0.4</v>
      </c>
      <c r="G20" s="1132">
        <f>DUB!$I$325</f>
        <v>8991</v>
      </c>
      <c r="H20" s="1115">
        <f t="shared" si="0"/>
        <v>3596.4</v>
      </c>
      <c r="J20" s="1557"/>
      <c r="K20" s="1557"/>
      <c r="L20" s="1557"/>
      <c r="M20" s="1899"/>
    </row>
    <row r="21" spans="2:13" s="979" customFormat="1" hidden="1">
      <c r="B21" s="1902"/>
      <c r="C21" s="1130"/>
      <c r="D21" s="1129"/>
      <c r="E21" s="1129"/>
      <c r="F21" s="2102" t="s">
        <v>702</v>
      </c>
      <c r="G21" s="2102"/>
      <c r="H21" s="1115">
        <f>SUM(H14:H20)</f>
        <v>517395.51699999993</v>
      </c>
      <c r="J21" s="1557"/>
      <c r="K21" s="1557"/>
      <c r="L21" s="1557"/>
      <c r="M21" s="1899"/>
    </row>
    <row r="22" spans="2:13" s="980" customFormat="1" hidden="1">
      <c r="B22" s="1901" t="s">
        <v>703</v>
      </c>
      <c r="C22" s="2101" t="s">
        <v>3764</v>
      </c>
      <c r="D22" s="2101"/>
      <c r="E22" s="2101"/>
      <c r="F22" s="2101"/>
      <c r="G22" s="2101"/>
      <c r="H22" s="1176">
        <f>H12+H21</f>
        <v>624095.51699999999</v>
      </c>
      <c r="J22" s="1559"/>
      <c r="K22" s="1559"/>
      <c r="L22" s="1559"/>
      <c r="M22" s="1897"/>
    </row>
    <row r="23" spans="2:13" s="980" customFormat="1" hidden="1">
      <c r="B23" s="1901" t="s">
        <v>706</v>
      </c>
      <c r="C23" s="2103" t="s">
        <v>709</v>
      </c>
      <c r="D23" s="2103"/>
      <c r="E23" s="2103"/>
      <c r="F23" s="2104" t="s">
        <v>3873</v>
      </c>
      <c r="G23" s="2104"/>
      <c r="H23" s="1176">
        <f>H22*0.15</f>
        <v>93614.327550000002</v>
      </c>
      <c r="J23" s="1559"/>
      <c r="K23" s="1559"/>
      <c r="L23" s="1559"/>
      <c r="M23" s="1897"/>
    </row>
    <row r="24" spans="2:13" s="980" customFormat="1" hidden="1">
      <c r="B24" s="1901" t="s">
        <v>708</v>
      </c>
      <c r="C24" s="2101" t="s">
        <v>3765</v>
      </c>
      <c r="D24" s="2101"/>
      <c r="E24" s="2101"/>
      <c r="F24" s="2101"/>
      <c r="G24" s="2101"/>
      <c r="H24" s="1134">
        <f>ROUND(SUM(H22:H23),2)</f>
        <v>717709.84</v>
      </c>
      <c r="I24" s="984">
        <f>H22+H23</f>
        <v>717709.84455000004</v>
      </c>
      <c r="J24" s="1561"/>
      <c r="K24" s="1561"/>
      <c r="L24" s="1559"/>
      <c r="M24" s="1897"/>
    </row>
    <row r="25" spans="2:13" s="979" customFormat="1" hidden="1">
      <c r="B25" s="1903"/>
      <c r="C25" s="1096"/>
      <c r="D25" s="1095"/>
      <c r="E25" s="1095"/>
      <c r="F25" s="1172"/>
      <c r="G25" s="1173"/>
      <c r="H25" s="1133"/>
      <c r="J25" s="1557"/>
      <c r="K25" s="1557"/>
      <c r="L25" s="1557"/>
      <c r="M25" s="1899"/>
    </row>
    <row r="26" spans="2:13" s="980" customFormat="1" hidden="1">
      <c r="B26" s="1901" t="s">
        <v>3864</v>
      </c>
      <c r="C26" s="1232" t="s">
        <v>2661</v>
      </c>
      <c r="D26" s="1100"/>
      <c r="E26" s="1100"/>
      <c r="F26" s="1174"/>
      <c r="G26" s="1175"/>
      <c r="H26" s="1134"/>
      <c r="J26" s="1559"/>
      <c r="K26" s="1559"/>
      <c r="L26" s="1559"/>
      <c r="M26" s="1897"/>
    </row>
    <row r="27" spans="2:13" s="982" customFormat="1" ht="24.9" hidden="1" customHeight="1">
      <c r="B27" s="1900" t="s">
        <v>1003</v>
      </c>
      <c r="C27" s="1221" t="s">
        <v>1004</v>
      </c>
      <c r="D27" s="1221" t="s">
        <v>1005</v>
      </c>
      <c r="E27" s="1221" t="s">
        <v>1006</v>
      </c>
      <c r="F27" s="1222" t="s">
        <v>1007</v>
      </c>
      <c r="G27" s="1618" t="s">
        <v>2639</v>
      </c>
      <c r="H27" s="1620" t="s">
        <v>2638</v>
      </c>
      <c r="J27" s="1625"/>
      <c r="K27" s="1625"/>
      <c r="L27" s="1625"/>
      <c r="M27" s="1904"/>
    </row>
    <row r="28" spans="2:13" s="979" customFormat="1" hidden="1">
      <c r="B28" s="1901" t="s">
        <v>671</v>
      </c>
      <c r="C28" s="1112" t="s">
        <v>672</v>
      </c>
      <c r="D28" s="1129"/>
      <c r="E28" s="1129"/>
      <c r="F28" s="1131"/>
      <c r="G28" s="1132"/>
      <c r="H28" s="1115"/>
      <c r="J28" s="1557"/>
      <c r="K28" s="1557"/>
      <c r="L28" s="1557"/>
      <c r="M28" s="1899"/>
    </row>
    <row r="29" spans="2:13" s="979" customFormat="1" hidden="1">
      <c r="B29" s="1902"/>
      <c r="C29" s="1130" t="s">
        <v>673</v>
      </c>
      <c r="D29" s="1129" t="s">
        <v>674</v>
      </c>
      <c r="E29" s="1129" t="s">
        <v>675</v>
      </c>
      <c r="F29" s="1131">
        <v>0.2</v>
      </c>
      <c r="G29" s="1132">
        <f>DUB!$I$10</f>
        <v>150000</v>
      </c>
      <c r="H29" s="1115">
        <f>G29*F29</f>
        <v>30000</v>
      </c>
      <c r="J29" s="1557"/>
      <c r="K29" s="1557"/>
      <c r="L29" s="1557"/>
      <c r="M29" s="1899"/>
    </row>
    <row r="30" spans="2:13" s="979" customFormat="1" hidden="1">
      <c r="B30" s="1902"/>
      <c r="C30" s="1130" t="s">
        <v>677</v>
      </c>
      <c r="D30" s="1129" t="s">
        <v>678</v>
      </c>
      <c r="E30" s="1129" t="s">
        <v>675</v>
      </c>
      <c r="F30" s="1131">
        <v>0.4</v>
      </c>
      <c r="G30" s="1132">
        <f>DUB!$I$11</f>
        <v>187000</v>
      </c>
      <c r="H30" s="1115">
        <f>G30*F30</f>
        <v>74800</v>
      </c>
      <c r="J30" s="1557"/>
      <c r="K30" s="1557"/>
      <c r="L30" s="1557"/>
      <c r="M30" s="1899"/>
    </row>
    <row r="31" spans="2:13" s="979" customFormat="1" hidden="1">
      <c r="B31" s="1902"/>
      <c r="C31" s="1130" t="s">
        <v>680</v>
      </c>
      <c r="D31" s="1129" t="s">
        <v>681</v>
      </c>
      <c r="E31" s="1129" t="s">
        <v>675</v>
      </c>
      <c r="F31" s="1131">
        <v>0.02</v>
      </c>
      <c r="G31" s="1132">
        <f>DUB!$I$13</f>
        <v>240000</v>
      </c>
      <c r="H31" s="1115">
        <f>G31*F31</f>
        <v>4800</v>
      </c>
      <c r="J31" s="1557"/>
      <c r="K31" s="1557"/>
      <c r="L31" s="1557"/>
      <c r="M31" s="1899"/>
    </row>
    <row r="32" spans="2:13" s="979" customFormat="1" hidden="1">
      <c r="B32" s="1902"/>
      <c r="C32" s="1130" t="s">
        <v>683</v>
      </c>
      <c r="D32" s="1129" t="s">
        <v>684</v>
      </c>
      <c r="E32" s="1129" t="s">
        <v>675</v>
      </c>
      <c r="F32" s="1131">
        <v>0.02</v>
      </c>
      <c r="G32" s="1132">
        <f>DUB!$I$12</f>
        <v>225000</v>
      </c>
      <c r="H32" s="1115">
        <f>G32*F32</f>
        <v>4500</v>
      </c>
      <c r="J32" s="1557"/>
      <c r="K32" s="1557"/>
      <c r="L32" s="1557"/>
      <c r="M32" s="1899"/>
    </row>
    <row r="33" spans="2:13" s="979" customFormat="1" hidden="1">
      <c r="B33" s="1902"/>
      <c r="C33" s="1130"/>
      <c r="D33" s="1129"/>
      <c r="E33" s="1129"/>
      <c r="F33" s="2102" t="s">
        <v>685</v>
      </c>
      <c r="G33" s="2102"/>
      <c r="H33" s="1115">
        <f>SUM(H29:H32)</f>
        <v>114100</v>
      </c>
      <c r="J33" s="1557"/>
      <c r="K33" s="1557"/>
      <c r="L33" s="1557"/>
      <c r="M33" s="1899"/>
    </row>
    <row r="34" spans="2:13" s="979" customFormat="1" hidden="1">
      <c r="B34" s="1901" t="s">
        <v>686</v>
      </c>
      <c r="C34" s="1112" t="s">
        <v>687</v>
      </c>
      <c r="D34" s="1129"/>
      <c r="E34" s="1129"/>
      <c r="F34" s="1131"/>
      <c r="G34" s="1132"/>
      <c r="H34" s="1115"/>
      <c r="J34" s="1557"/>
      <c r="K34" s="1557"/>
      <c r="L34" s="1557"/>
      <c r="M34" s="1899"/>
    </row>
    <row r="35" spans="2:13" s="979" customFormat="1" hidden="1">
      <c r="B35" s="1902"/>
      <c r="C35" s="1130" t="s">
        <v>2640</v>
      </c>
      <c r="D35" s="1129"/>
      <c r="E35" s="1129" t="s">
        <v>688</v>
      </c>
      <c r="F35" s="1131">
        <v>1.25</v>
      </c>
      <c r="G35" s="1132">
        <f>DUB!$I$80</f>
        <v>41220</v>
      </c>
      <c r="H35" s="1115">
        <f t="shared" ref="H35:H42" si="1">G35*F35</f>
        <v>51525</v>
      </c>
      <c r="J35" s="1557"/>
      <c r="K35" s="1557"/>
      <c r="L35" s="1557"/>
      <c r="M35" s="1899"/>
    </row>
    <row r="36" spans="2:13" s="979" customFormat="1" hidden="1">
      <c r="B36" s="1902"/>
      <c r="C36" s="1130" t="s">
        <v>689</v>
      </c>
      <c r="D36" s="1129"/>
      <c r="E36" s="1129" t="s">
        <v>690</v>
      </c>
      <c r="F36" s="1131">
        <v>2.5</v>
      </c>
      <c r="G36" s="1132">
        <f>DUB!$I$65</f>
        <v>1575</v>
      </c>
      <c r="H36" s="1115">
        <f t="shared" si="1"/>
        <v>3937.5</v>
      </c>
      <c r="J36" s="1557"/>
      <c r="K36" s="1557"/>
      <c r="L36" s="1557"/>
      <c r="M36" s="1899"/>
    </row>
    <row r="37" spans="2:13" s="979" customFormat="1" hidden="1">
      <c r="B37" s="1902"/>
      <c r="C37" s="1130" t="s">
        <v>714</v>
      </c>
      <c r="D37" s="1129"/>
      <c r="E37" s="1129" t="s">
        <v>715</v>
      </c>
      <c r="F37" s="1131">
        <v>1.2</v>
      </c>
      <c r="G37" s="1132">
        <f>DUB!$I$259</f>
        <v>51408</v>
      </c>
      <c r="H37" s="1115">
        <f t="shared" si="1"/>
        <v>61689.599999999999</v>
      </c>
      <c r="J37" s="1557"/>
      <c r="K37" s="1557"/>
      <c r="L37" s="1557"/>
      <c r="M37" s="1899"/>
    </row>
    <row r="38" spans="2:13" s="979" customFormat="1" hidden="1">
      <c r="B38" s="1902"/>
      <c r="C38" s="1130" t="s">
        <v>691</v>
      </c>
      <c r="D38" s="1129"/>
      <c r="E38" s="1129" t="s">
        <v>2646</v>
      </c>
      <c r="F38" s="1131">
        <v>5.0000000000000001E-3</v>
      </c>
      <c r="G38" s="1132">
        <f>DUB!$I$59</f>
        <v>208463</v>
      </c>
      <c r="H38" s="1115">
        <f t="shared" si="1"/>
        <v>1042.3150000000001</v>
      </c>
      <c r="J38" s="1557"/>
      <c r="K38" s="1557"/>
      <c r="L38" s="1557"/>
      <c r="M38" s="1899"/>
    </row>
    <row r="39" spans="2:13" s="979" customFormat="1" hidden="1">
      <c r="B39" s="1902"/>
      <c r="C39" s="1130" t="s">
        <v>694</v>
      </c>
      <c r="D39" s="1129"/>
      <c r="E39" s="1129" t="s">
        <v>2646</v>
      </c>
      <c r="F39" s="1131">
        <v>8.9999999999999993E-3</v>
      </c>
      <c r="G39" s="1132">
        <f>DUB!$I$38</f>
        <v>236700</v>
      </c>
      <c r="H39" s="1115">
        <f t="shared" si="1"/>
        <v>2130.2999999999997</v>
      </c>
      <c r="J39" s="1557"/>
      <c r="K39" s="1557"/>
      <c r="L39" s="1557"/>
      <c r="M39" s="1899"/>
    </row>
    <row r="40" spans="2:13" s="979" customFormat="1" hidden="1">
      <c r="B40" s="1902"/>
      <c r="C40" s="1130" t="s">
        <v>696</v>
      </c>
      <c r="D40" s="1129"/>
      <c r="E40" s="1129" t="s">
        <v>2646</v>
      </c>
      <c r="F40" s="1131">
        <v>5.1999999999999998E-2</v>
      </c>
      <c r="G40" s="1132">
        <f>DUB!$I$85</f>
        <v>6250000</v>
      </c>
      <c r="H40" s="1115">
        <f t="shared" si="1"/>
        <v>325000</v>
      </c>
      <c r="J40" s="1557"/>
      <c r="K40" s="1557"/>
      <c r="L40" s="1557"/>
      <c r="M40" s="1899"/>
    </row>
    <row r="41" spans="2:13" s="979" customFormat="1" hidden="1">
      <c r="B41" s="1902"/>
      <c r="C41" s="1130" t="s">
        <v>698</v>
      </c>
      <c r="D41" s="1129"/>
      <c r="E41" s="1129" t="s">
        <v>690</v>
      </c>
      <c r="F41" s="1131">
        <v>0.06</v>
      </c>
      <c r="G41" s="1132">
        <f>DUB!$I$128</f>
        <v>20441.7</v>
      </c>
      <c r="H41" s="1115">
        <f t="shared" si="1"/>
        <v>1226.502</v>
      </c>
      <c r="J41" s="1557"/>
      <c r="K41" s="1557"/>
      <c r="L41" s="1557"/>
      <c r="M41" s="1899"/>
    </row>
    <row r="42" spans="2:13" s="979" customFormat="1" hidden="1">
      <c r="B42" s="1902"/>
      <c r="C42" s="1130" t="s">
        <v>716</v>
      </c>
      <c r="D42" s="1129"/>
      <c r="E42" s="1129" t="s">
        <v>701</v>
      </c>
      <c r="F42" s="1131">
        <v>0.45</v>
      </c>
      <c r="G42" s="1132">
        <f>DUB!$I$315</f>
        <v>85293</v>
      </c>
      <c r="H42" s="1115">
        <f t="shared" si="1"/>
        <v>38381.85</v>
      </c>
      <c r="J42" s="1557"/>
      <c r="K42" s="1557"/>
      <c r="L42" s="1557"/>
      <c r="M42" s="1899"/>
    </row>
    <row r="43" spans="2:13" s="979" customFormat="1" hidden="1">
      <c r="B43" s="1902"/>
      <c r="C43" s="1130"/>
      <c r="D43" s="1129"/>
      <c r="E43" s="1129"/>
      <c r="F43" s="2102" t="s">
        <v>702</v>
      </c>
      <c r="G43" s="2102"/>
      <c r="H43" s="1115">
        <f>SUM(H35:H42)</f>
        <v>484933.06699999998</v>
      </c>
      <c r="J43" s="1557"/>
      <c r="K43" s="1557"/>
      <c r="L43" s="1557"/>
      <c r="M43" s="1899"/>
    </row>
    <row r="44" spans="2:13" s="980" customFormat="1" hidden="1">
      <c r="B44" s="1901" t="s">
        <v>703</v>
      </c>
      <c r="C44" s="2101" t="s">
        <v>3764</v>
      </c>
      <c r="D44" s="2101"/>
      <c r="E44" s="2101"/>
      <c r="F44" s="2101"/>
      <c r="G44" s="2101"/>
      <c r="H44" s="1176">
        <f>H33+H43</f>
        <v>599033.06700000004</v>
      </c>
      <c r="J44" s="1559"/>
      <c r="K44" s="1559"/>
      <c r="L44" s="1559"/>
      <c r="M44" s="1897"/>
    </row>
    <row r="45" spans="2:13" s="980" customFormat="1" hidden="1">
      <c r="B45" s="1901" t="s">
        <v>706</v>
      </c>
      <c r="C45" s="2103" t="s">
        <v>709</v>
      </c>
      <c r="D45" s="2103"/>
      <c r="E45" s="2103"/>
      <c r="F45" s="2104" t="s">
        <v>3873</v>
      </c>
      <c r="G45" s="2104"/>
      <c r="H45" s="1176">
        <f>H44*0.15</f>
        <v>89854.960050000009</v>
      </c>
      <c r="J45" s="1559"/>
      <c r="K45" s="1559"/>
      <c r="L45" s="1559"/>
      <c r="M45" s="1897"/>
    </row>
    <row r="46" spans="2:13" s="980" customFormat="1" hidden="1">
      <c r="B46" s="1901" t="s">
        <v>708</v>
      </c>
      <c r="C46" s="2101" t="s">
        <v>3765</v>
      </c>
      <c r="D46" s="2101"/>
      <c r="E46" s="2101"/>
      <c r="F46" s="2101"/>
      <c r="G46" s="2101"/>
      <c r="H46" s="1134">
        <f>ROUND(SUM(H44:H45),2)</f>
        <v>688888.03</v>
      </c>
      <c r="I46" s="984">
        <f>H44+H45</f>
        <v>688888.02705000003</v>
      </c>
      <c r="J46" s="1561"/>
      <c r="K46" s="1561"/>
      <c r="L46" s="1559"/>
      <c r="M46" s="1897"/>
    </row>
    <row r="47" spans="2:13" s="979" customFormat="1" hidden="1">
      <c r="B47" s="1901"/>
      <c r="C47" s="1112"/>
      <c r="D47" s="1111"/>
      <c r="E47" s="1111"/>
      <c r="F47" s="1113"/>
      <c r="G47" s="1114"/>
      <c r="H47" s="1115"/>
      <c r="J47" s="1557"/>
      <c r="K47" s="1557"/>
      <c r="L47" s="1557"/>
      <c r="M47" s="1899"/>
    </row>
    <row r="48" spans="2:13" s="980" customFormat="1" hidden="1">
      <c r="B48" s="1901" t="s">
        <v>3866</v>
      </c>
      <c r="C48" s="1232" t="s">
        <v>2662</v>
      </c>
      <c r="D48" s="1100"/>
      <c r="E48" s="1100"/>
      <c r="F48" s="1174"/>
      <c r="G48" s="1175"/>
      <c r="H48" s="1134"/>
      <c r="J48" s="1559"/>
      <c r="K48" s="1559"/>
      <c r="L48" s="1559"/>
      <c r="M48" s="1897"/>
    </row>
    <row r="49" spans="2:13" s="982" customFormat="1" ht="24.9" hidden="1" customHeight="1">
      <c r="B49" s="1900" t="s">
        <v>1003</v>
      </c>
      <c r="C49" s="1221" t="s">
        <v>1004</v>
      </c>
      <c r="D49" s="1221" t="s">
        <v>1005</v>
      </c>
      <c r="E49" s="1221" t="s">
        <v>1006</v>
      </c>
      <c r="F49" s="1222" t="s">
        <v>1007</v>
      </c>
      <c r="G49" s="1618" t="s">
        <v>2639</v>
      </c>
      <c r="H49" s="1620" t="s">
        <v>2638</v>
      </c>
      <c r="J49" s="1625"/>
      <c r="K49" s="1625"/>
      <c r="L49" s="1625"/>
      <c r="M49" s="1904"/>
    </row>
    <row r="50" spans="2:13" s="979" customFormat="1" hidden="1">
      <c r="B50" s="1901" t="s">
        <v>671</v>
      </c>
      <c r="C50" s="1112" t="s">
        <v>672</v>
      </c>
      <c r="D50" s="1129"/>
      <c r="E50" s="1129"/>
      <c r="F50" s="1131"/>
      <c r="G50" s="1132"/>
      <c r="H50" s="1115"/>
      <c r="J50" s="1557"/>
      <c r="K50" s="1557"/>
      <c r="L50" s="1557"/>
      <c r="M50" s="1899"/>
    </row>
    <row r="51" spans="2:13" s="979" customFormat="1" hidden="1">
      <c r="B51" s="1902"/>
      <c r="C51" s="1130" t="s">
        <v>673</v>
      </c>
      <c r="D51" s="1129" t="s">
        <v>674</v>
      </c>
      <c r="E51" s="1129" t="s">
        <v>675</v>
      </c>
      <c r="F51" s="1131">
        <v>0.2</v>
      </c>
      <c r="G51" s="1132">
        <f>DUB!$I$10</f>
        <v>150000</v>
      </c>
      <c r="H51" s="1115">
        <f>G51*F51</f>
        <v>30000</v>
      </c>
      <c r="J51" s="1557"/>
      <c r="K51" s="1557"/>
      <c r="L51" s="1557"/>
      <c r="M51" s="1899"/>
    </row>
    <row r="52" spans="2:13" s="979" customFormat="1" hidden="1">
      <c r="B52" s="1902"/>
      <c r="C52" s="1130" t="s">
        <v>677</v>
      </c>
      <c r="D52" s="1129" t="s">
        <v>678</v>
      </c>
      <c r="E52" s="1129" t="s">
        <v>675</v>
      </c>
      <c r="F52" s="1131">
        <v>0.3</v>
      </c>
      <c r="G52" s="1132">
        <f>DUB!$I$11</f>
        <v>187000</v>
      </c>
      <c r="H52" s="1115">
        <f>G52*F52</f>
        <v>56100</v>
      </c>
      <c r="J52" s="1557"/>
      <c r="K52" s="1557"/>
      <c r="L52" s="1557"/>
      <c r="M52" s="1899"/>
    </row>
    <row r="53" spans="2:13" s="979" customFormat="1" hidden="1">
      <c r="B53" s="1902"/>
      <c r="C53" s="1130" t="s">
        <v>680</v>
      </c>
      <c r="D53" s="1129" t="s">
        <v>681</v>
      </c>
      <c r="E53" s="1129" t="s">
        <v>675</v>
      </c>
      <c r="F53" s="1131">
        <v>0.02</v>
      </c>
      <c r="G53" s="1132">
        <f>DUB!$I$13</f>
        <v>240000</v>
      </c>
      <c r="H53" s="1115">
        <f>G53*F53</f>
        <v>4800</v>
      </c>
      <c r="J53" s="1557"/>
      <c r="K53" s="1557"/>
      <c r="L53" s="1557"/>
      <c r="M53" s="1899"/>
    </row>
    <row r="54" spans="2:13" s="979" customFormat="1" hidden="1">
      <c r="B54" s="1902"/>
      <c r="C54" s="1130" t="s">
        <v>683</v>
      </c>
      <c r="D54" s="1129" t="s">
        <v>684</v>
      </c>
      <c r="E54" s="1129" t="s">
        <v>675</v>
      </c>
      <c r="F54" s="1131">
        <v>0.02</v>
      </c>
      <c r="G54" s="1132">
        <f>DUB!$I$12</f>
        <v>225000</v>
      </c>
      <c r="H54" s="1115">
        <f>G54*F54</f>
        <v>4500</v>
      </c>
      <c r="J54" s="1557"/>
      <c r="K54" s="1557"/>
      <c r="L54" s="1557"/>
      <c r="M54" s="1899"/>
    </row>
    <row r="55" spans="2:13" s="979" customFormat="1" hidden="1">
      <c r="B55" s="1902"/>
      <c r="C55" s="1130"/>
      <c r="D55" s="1129"/>
      <c r="E55" s="1129"/>
      <c r="F55" s="2102" t="s">
        <v>685</v>
      </c>
      <c r="G55" s="2102"/>
      <c r="H55" s="1115">
        <f>SUM(H51:H54)</f>
        <v>95400</v>
      </c>
      <c r="J55" s="1557"/>
      <c r="K55" s="1557"/>
      <c r="L55" s="1557"/>
      <c r="M55" s="1899"/>
    </row>
    <row r="56" spans="2:13" s="979" customFormat="1" hidden="1">
      <c r="B56" s="1901" t="s">
        <v>686</v>
      </c>
      <c r="C56" s="1112" t="s">
        <v>687</v>
      </c>
      <c r="D56" s="1129"/>
      <c r="E56" s="1129"/>
      <c r="F56" s="1131"/>
      <c r="G56" s="1132"/>
      <c r="H56" s="1115"/>
      <c r="J56" s="1557"/>
      <c r="K56" s="1557"/>
      <c r="L56" s="1557"/>
      <c r="M56" s="1899"/>
    </row>
    <row r="57" spans="2:13" s="979" customFormat="1" hidden="1">
      <c r="B57" s="1902"/>
      <c r="C57" s="1130" t="s">
        <v>2641</v>
      </c>
      <c r="D57" s="1129"/>
      <c r="E57" s="1129" t="s">
        <v>688</v>
      </c>
      <c r="F57" s="1131">
        <v>1</v>
      </c>
      <c r="G57" s="1132">
        <f>DUB!$I$80</f>
        <v>41220</v>
      </c>
      <c r="H57" s="1115">
        <f t="shared" ref="H57:H62" si="2">G57*F57</f>
        <v>41220</v>
      </c>
      <c r="J57" s="1557"/>
      <c r="K57" s="1557"/>
      <c r="L57" s="1557"/>
      <c r="M57" s="1899"/>
    </row>
    <row r="58" spans="2:13" s="979" customFormat="1" hidden="1">
      <c r="B58" s="1902"/>
      <c r="C58" s="1130" t="s">
        <v>689</v>
      </c>
      <c r="D58" s="1129"/>
      <c r="E58" s="1129" t="s">
        <v>690</v>
      </c>
      <c r="F58" s="1131">
        <v>2</v>
      </c>
      <c r="G58" s="1132">
        <f>DUB!$I$65</f>
        <v>1575</v>
      </c>
      <c r="H58" s="1115">
        <f t="shared" si="2"/>
        <v>3150</v>
      </c>
      <c r="J58" s="1557"/>
      <c r="K58" s="1557"/>
      <c r="L58" s="1557"/>
      <c r="M58" s="1899"/>
    </row>
    <row r="59" spans="2:13" s="979" customFormat="1" hidden="1">
      <c r="B59" s="1902"/>
      <c r="C59" s="1130" t="s">
        <v>721</v>
      </c>
      <c r="D59" s="1129"/>
      <c r="E59" s="1129" t="s">
        <v>722</v>
      </c>
      <c r="F59" s="1131">
        <v>25</v>
      </c>
      <c r="G59" s="1132">
        <f>DUB!$I$112</f>
        <v>2673</v>
      </c>
      <c r="H59" s="1115">
        <f t="shared" si="2"/>
        <v>66825</v>
      </c>
      <c r="J59" s="1557"/>
      <c r="K59" s="1557"/>
      <c r="L59" s="1557"/>
      <c r="M59" s="1899"/>
    </row>
    <row r="60" spans="2:13" s="979" customFormat="1" hidden="1">
      <c r="B60" s="1902"/>
      <c r="C60" s="1130" t="s">
        <v>691</v>
      </c>
      <c r="D60" s="1129"/>
      <c r="E60" s="1129" t="s">
        <v>2646</v>
      </c>
      <c r="F60" s="1131">
        <v>5.0000000000000001E-3</v>
      </c>
      <c r="G60" s="1132">
        <f>DUB!$I$59</f>
        <v>208463</v>
      </c>
      <c r="H60" s="1115">
        <f t="shared" si="2"/>
        <v>1042.3150000000001</v>
      </c>
      <c r="J60" s="1557"/>
      <c r="K60" s="1557"/>
      <c r="L60" s="1557"/>
      <c r="M60" s="1899"/>
    </row>
    <row r="61" spans="2:13" s="979" customFormat="1" hidden="1">
      <c r="B61" s="1902"/>
      <c r="C61" s="1130" t="s">
        <v>694</v>
      </c>
      <c r="D61" s="1129"/>
      <c r="E61" s="1129" t="s">
        <v>2646</v>
      </c>
      <c r="F61" s="1131">
        <v>8.9999999999999993E-3</v>
      </c>
      <c r="G61" s="1132">
        <f>DUB!$I$38</f>
        <v>236700</v>
      </c>
      <c r="H61" s="1115">
        <f t="shared" si="2"/>
        <v>2130.2999999999997</v>
      </c>
      <c r="J61" s="1557"/>
      <c r="K61" s="1557"/>
      <c r="L61" s="1557"/>
      <c r="M61" s="1899"/>
    </row>
    <row r="62" spans="2:13" s="979" customFormat="1" hidden="1">
      <c r="B62" s="1902"/>
      <c r="C62" s="1130" t="s">
        <v>698</v>
      </c>
      <c r="D62" s="1129"/>
      <c r="E62" s="1129" t="s">
        <v>690</v>
      </c>
      <c r="F62" s="1131">
        <v>0.06</v>
      </c>
      <c r="G62" s="1132">
        <f>DUB!$I$128</f>
        <v>20441.7</v>
      </c>
      <c r="H62" s="1115">
        <f t="shared" si="2"/>
        <v>1226.502</v>
      </c>
      <c r="J62" s="1557"/>
      <c r="K62" s="1557"/>
      <c r="L62" s="1557"/>
      <c r="M62" s="1899"/>
    </row>
    <row r="63" spans="2:13" s="979" customFormat="1" hidden="1">
      <c r="B63" s="1902"/>
      <c r="C63" s="1130"/>
      <c r="D63" s="1129"/>
      <c r="E63" s="1129"/>
      <c r="F63" s="2102" t="s">
        <v>702</v>
      </c>
      <c r="G63" s="2102"/>
      <c r="H63" s="1115">
        <f>SUM(H57:H62)</f>
        <v>115594.117</v>
      </c>
      <c r="J63" s="1557"/>
      <c r="K63" s="1557"/>
      <c r="L63" s="1557"/>
      <c r="M63" s="1899"/>
    </row>
    <row r="64" spans="2:13" s="980" customFormat="1" hidden="1">
      <c r="B64" s="1901" t="s">
        <v>703</v>
      </c>
      <c r="C64" s="2101" t="s">
        <v>3764</v>
      </c>
      <c r="D64" s="2101"/>
      <c r="E64" s="2101"/>
      <c r="F64" s="2101"/>
      <c r="G64" s="2101"/>
      <c r="H64" s="1176">
        <f>H63+H55</f>
        <v>210994.117</v>
      </c>
      <c r="J64" s="1559"/>
      <c r="K64" s="1559"/>
      <c r="L64" s="1559"/>
      <c r="M64" s="1897"/>
    </row>
    <row r="65" spans="2:13" s="980" customFormat="1" hidden="1">
      <c r="B65" s="1901" t="s">
        <v>706</v>
      </c>
      <c r="C65" s="2103" t="s">
        <v>709</v>
      </c>
      <c r="D65" s="2103"/>
      <c r="E65" s="2103"/>
      <c r="F65" s="2104" t="s">
        <v>3873</v>
      </c>
      <c r="G65" s="2104"/>
      <c r="H65" s="1176">
        <f>H64*0.15</f>
        <v>31649.117549999999</v>
      </c>
      <c r="J65" s="1559"/>
      <c r="K65" s="1559"/>
      <c r="L65" s="1559"/>
      <c r="M65" s="1897"/>
    </row>
    <row r="66" spans="2:13" s="980" customFormat="1" hidden="1">
      <c r="B66" s="1901" t="s">
        <v>708</v>
      </c>
      <c r="C66" s="2101" t="s">
        <v>3765</v>
      </c>
      <c r="D66" s="2101"/>
      <c r="E66" s="2101"/>
      <c r="F66" s="2101"/>
      <c r="G66" s="2101"/>
      <c r="H66" s="1134">
        <f>ROUND(SUM(H64:H65),2)</f>
        <v>242643.23</v>
      </c>
      <c r="I66" s="984">
        <f>H64+H65</f>
        <v>242643.23454999999</v>
      </c>
      <c r="J66" s="1561"/>
      <c r="K66" s="1561"/>
      <c r="L66" s="1559"/>
      <c r="M66" s="1897"/>
    </row>
    <row r="67" spans="2:13" s="979" customFormat="1" hidden="1">
      <c r="B67" s="1903"/>
      <c r="C67" s="1096"/>
      <c r="D67" s="1095"/>
      <c r="E67" s="1095"/>
      <c r="F67" s="1172"/>
      <c r="G67" s="1173"/>
      <c r="H67" s="1133"/>
      <c r="J67" s="1557"/>
      <c r="K67" s="1557"/>
      <c r="L67" s="1557"/>
      <c r="M67" s="1899"/>
    </row>
    <row r="68" spans="2:13" s="980" customFormat="1" hidden="1">
      <c r="B68" s="1898" t="s">
        <v>3867</v>
      </c>
      <c r="C68" s="1232" t="s">
        <v>2663</v>
      </c>
      <c r="D68" s="1100"/>
      <c r="E68" s="1100"/>
      <c r="F68" s="1174"/>
      <c r="G68" s="1175"/>
      <c r="H68" s="1134"/>
      <c r="J68" s="1559"/>
      <c r="K68" s="1559"/>
      <c r="L68" s="1559"/>
      <c r="M68" s="1897"/>
    </row>
    <row r="69" spans="2:13" s="982" customFormat="1" ht="24.75" hidden="1" customHeight="1">
      <c r="B69" s="1900" t="s">
        <v>1003</v>
      </c>
      <c r="C69" s="1221" t="s">
        <v>1004</v>
      </c>
      <c r="D69" s="1221" t="s">
        <v>1005</v>
      </c>
      <c r="E69" s="1221" t="s">
        <v>1006</v>
      </c>
      <c r="F69" s="1222" t="s">
        <v>1007</v>
      </c>
      <c r="G69" s="1618" t="s">
        <v>2639</v>
      </c>
      <c r="H69" s="1620" t="s">
        <v>2638</v>
      </c>
      <c r="J69" s="1625"/>
      <c r="K69" s="1625"/>
      <c r="L69" s="1625"/>
      <c r="M69" s="1904"/>
    </row>
    <row r="70" spans="2:13" s="979" customFormat="1" hidden="1">
      <c r="B70" s="1901" t="s">
        <v>671</v>
      </c>
      <c r="C70" s="1199" t="s">
        <v>672</v>
      </c>
      <c r="D70" s="1129"/>
      <c r="E70" s="1129"/>
      <c r="F70" s="1131"/>
      <c r="G70" s="1132"/>
      <c r="H70" s="1115"/>
      <c r="J70" s="1557"/>
      <c r="K70" s="1557"/>
      <c r="L70" s="1557"/>
      <c r="M70" s="1899"/>
    </row>
    <row r="71" spans="2:13" s="979" customFormat="1" hidden="1">
      <c r="B71" s="1902"/>
      <c r="C71" s="1244" t="s">
        <v>673</v>
      </c>
      <c r="D71" s="1129" t="s">
        <v>674</v>
      </c>
      <c r="E71" s="1129"/>
      <c r="F71" s="1131">
        <v>0.1</v>
      </c>
      <c r="G71" s="1132">
        <f>DUB!$I$10</f>
        <v>150000</v>
      </c>
      <c r="H71" s="1115">
        <f>G71*F71</f>
        <v>15000</v>
      </c>
      <c r="J71" s="1557"/>
      <c r="K71" s="1557"/>
      <c r="L71" s="1557"/>
      <c r="M71" s="1899"/>
    </row>
    <row r="72" spans="2:13" s="979" customFormat="1" hidden="1">
      <c r="B72" s="1902"/>
      <c r="C72" s="1244" t="s">
        <v>677</v>
      </c>
      <c r="D72" s="1129" t="s">
        <v>678</v>
      </c>
      <c r="E72" s="1129"/>
      <c r="F72" s="1131">
        <v>0.1</v>
      </c>
      <c r="G72" s="1132">
        <f>DUB!$I$11</f>
        <v>187000</v>
      </c>
      <c r="H72" s="1115">
        <f>G72*F72</f>
        <v>18700</v>
      </c>
      <c r="J72" s="1557"/>
      <c r="K72" s="1557"/>
      <c r="L72" s="1557"/>
      <c r="M72" s="1899"/>
    </row>
    <row r="73" spans="2:13" s="979" customFormat="1" hidden="1">
      <c r="B73" s="1902"/>
      <c r="C73" s="1244" t="s">
        <v>680</v>
      </c>
      <c r="D73" s="1129" t="s">
        <v>681</v>
      </c>
      <c r="E73" s="1129"/>
      <c r="F73" s="1131">
        <v>0.01</v>
      </c>
      <c r="G73" s="1132">
        <f>DUB!$I$13</f>
        <v>240000</v>
      </c>
      <c r="H73" s="1115">
        <f>G73*F73</f>
        <v>2400</v>
      </c>
      <c r="J73" s="1557"/>
      <c r="K73" s="1557"/>
      <c r="L73" s="1557"/>
      <c r="M73" s="1899"/>
    </row>
    <row r="74" spans="2:13" s="979" customFormat="1" hidden="1">
      <c r="B74" s="1902"/>
      <c r="C74" s="1244" t="s">
        <v>683</v>
      </c>
      <c r="D74" s="1129" t="s">
        <v>684</v>
      </c>
      <c r="E74" s="1129"/>
      <c r="F74" s="1131">
        <v>5.0000000000000001E-3</v>
      </c>
      <c r="G74" s="1132">
        <f>DUB!$I$12</f>
        <v>225000</v>
      </c>
      <c r="H74" s="1115">
        <f>G74*F74</f>
        <v>1125</v>
      </c>
      <c r="J74" s="1557"/>
      <c r="K74" s="1557"/>
      <c r="L74" s="1557"/>
      <c r="M74" s="1899"/>
    </row>
    <row r="75" spans="2:13" s="979" customFormat="1" hidden="1">
      <c r="B75" s="1902"/>
      <c r="C75" s="1244"/>
      <c r="D75" s="1129"/>
      <c r="E75" s="1129"/>
      <c r="F75" s="2129" t="s">
        <v>685</v>
      </c>
      <c r="G75" s="2129"/>
      <c r="H75" s="1115">
        <f>SUM(H71:H74)</f>
        <v>37225</v>
      </c>
      <c r="J75" s="1557"/>
      <c r="K75" s="1557"/>
      <c r="L75" s="1557"/>
      <c r="M75" s="1899"/>
    </row>
    <row r="76" spans="2:13" s="979" customFormat="1" hidden="1">
      <c r="B76" s="1901" t="s">
        <v>686</v>
      </c>
      <c r="C76" s="1199" t="s">
        <v>687</v>
      </c>
      <c r="D76" s="1129"/>
      <c r="E76" s="1129"/>
      <c r="F76" s="1131"/>
      <c r="G76" s="1132"/>
      <c r="H76" s="1115"/>
      <c r="J76" s="1557"/>
      <c r="K76" s="1557"/>
      <c r="L76" s="1557"/>
      <c r="M76" s="1899"/>
    </row>
    <row r="77" spans="2:13" s="979" customFormat="1" hidden="1">
      <c r="B77" s="1902"/>
      <c r="C77" s="1244" t="s">
        <v>725</v>
      </c>
      <c r="D77" s="1129"/>
      <c r="E77" s="1129"/>
      <c r="F77" s="1131">
        <v>1.2E-2</v>
      </c>
      <c r="G77" s="1132">
        <f>DUB!$I$85</f>
        <v>6250000</v>
      </c>
      <c r="H77" s="1115">
        <f>G77*F77</f>
        <v>75000</v>
      </c>
      <c r="J77" s="1557"/>
      <c r="K77" s="1557"/>
      <c r="L77" s="1557"/>
      <c r="M77" s="1899"/>
    </row>
    <row r="78" spans="2:13" s="979" customFormat="1" hidden="1">
      <c r="B78" s="1902"/>
      <c r="C78" s="1244" t="s">
        <v>727</v>
      </c>
      <c r="D78" s="1129"/>
      <c r="E78" s="1129"/>
      <c r="F78" s="1131">
        <v>0.02</v>
      </c>
      <c r="G78" s="1132">
        <f>DUB!$I$128</f>
        <v>20441.7</v>
      </c>
      <c r="H78" s="1115">
        <f>G78*F78</f>
        <v>408.834</v>
      </c>
      <c r="J78" s="1557"/>
      <c r="K78" s="1557"/>
      <c r="L78" s="1557"/>
      <c r="M78" s="1899"/>
    </row>
    <row r="79" spans="2:13" s="979" customFormat="1" hidden="1">
      <c r="B79" s="1902"/>
      <c r="C79" s="1244" t="s">
        <v>729</v>
      </c>
      <c r="D79" s="1129"/>
      <c r="E79" s="1129"/>
      <c r="F79" s="1131">
        <v>7.0000000000000001E-3</v>
      </c>
      <c r="G79" s="1132">
        <f>DUB!$I$85</f>
        <v>6250000</v>
      </c>
      <c r="H79" s="1115">
        <f>G79*F79</f>
        <v>43750</v>
      </c>
      <c r="J79" s="1557"/>
      <c r="K79" s="1557"/>
      <c r="L79" s="1557"/>
      <c r="M79" s="1899"/>
    </row>
    <row r="80" spans="2:13" s="979" customFormat="1" hidden="1">
      <c r="B80" s="1902"/>
      <c r="C80" s="1244"/>
      <c r="D80" s="1129"/>
      <c r="E80" s="1129"/>
      <c r="F80" s="2129" t="s">
        <v>702</v>
      </c>
      <c r="G80" s="2129"/>
      <c r="H80" s="1115">
        <f>SUM(H77:H79)</f>
        <v>119158.834</v>
      </c>
      <c r="J80" s="1557"/>
      <c r="K80" s="1557"/>
      <c r="L80" s="1557"/>
      <c r="M80" s="1899"/>
    </row>
    <row r="81" spans="2:13" s="980" customFormat="1" hidden="1">
      <c r="B81" s="1901" t="s">
        <v>703</v>
      </c>
      <c r="C81" s="1199" t="s">
        <v>3764</v>
      </c>
      <c r="D81" s="1111"/>
      <c r="E81" s="1111"/>
      <c r="F81" s="1113"/>
      <c r="G81" s="1114"/>
      <c r="H81" s="1176">
        <f>H75+H80</f>
        <v>156383.834</v>
      </c>
      <c r="J81" s="1559"/>
      <c r="K81" s="1559"/>
      <c r="L81" s="1559"/>
      <c r="M81" s="1897"/>
    </row>
    <row r="82" spans="2:13" s="980" customFormat="1" hidden="1">
      <c r="B82" s="1901" t="s">
        <v>706</v>
      </c>
      <c r="C82" s="2103" t="s">
        <v>709</v>
      </c>
      <c r="D82" s="2103"/>
      <c r="E82" s="2103"/>
      <c r="F82" s="2128" t="s">
        <v>3873</v>
      </c>
      <c r="G82" s="2128"/>
      <c r="H82" s="1176">
        <f>H81*0.15</f>
        <v>23457.575099999998</v>
      </c>
      <c r="J82" s="1559"/>
      <c r="K82" s="1559"/>
      <c r="L82" s="1559"/>
      <c r="M82" s="1897"/>
    </row>
    <row r="83" spans="2:13" s="980" customFormat="1" hidden="1">
      <c r="B83" s="1901" t="s">
        <v>708</v>
      </c>
      <c r="C83" s="2101" t="s">
        <v>3765</v>
      </c>
      <c r="D83" s="2101"/>
      <c r="E83" s="2101"/>
      <c r="F83" s="2101"/>
      <c r="G83" s="2101"/>
      <c r="H83" s="1134">
        <f>ROUND(SUM(H81:H82),2)</f>
        <v>179841.41</v>
      </c>
      <c r="I83" s="984">
        <f>H81+H82</f>
        <v>179841.40909999999</v>
      </c>
      <c r="J83" s="1561"/>
      <c r="K83" s="1561"/>
      <c r="L83" s="1559"/>
      <c r="M83" s="1897"/>
    </row>
    <row r="84" spans="2:13" s="979" customFormat="1" hidden="1">
      <c r="B84" s="1901"/>
      <c r="C84" s="1112"/>
      <c r="D84" s="1111"/>
      <c r="E84" s="1111"/>
      <c r="F84" s="1113"/>
      <c r="G84" s="1114"/>
      <c r="H84" s="1115"/>
      <c r="J84" s="1557"/>
      <c r="K84" s="1557"/>
      <c r="L84" s="1557"/>
      <c r="M84" s="1899"/>
    </row>
    <row r="85" spans="2:13" s="980" customFormat="1" hidden="1">
      <c r="B85" s="1896" t="s">
        <v>3868</v>
      </c>
      <c r="C85" s="1232" t="s">
        <v>2664</v>
      </c>
      <c r="D85" s="1100"/>
      <c r="E85" s="1100"/>
      <c r="F85" s="1174"/>
      <c r="G85" s="1175"/>
      <c r="H85" s="1134"/>
      <c r="J85" s="1559"/>
      <c r="K85" s="1559"/>
      <c r="L85" s="1559"/>
      <c r="M85" s="1897"/>
    </row>
    <row r="86" spans="2:13" s="982" customFormat="1" ht="24.9" hidden="1" customHeight="1">
      <c r="B86" s="1900" t="s">
        <v>1003</v>
      </c>
      <c r="C86" s="1221" t="s">
        <v>1004</v>
      </c>
      <c r="D86" s="1221" t="s">
        <v>1005</v>
      </c>
      <c r="E86" s="1221" t="s">
        <v>1006</v>
      </c>
      <c r="F86" s="1222" t="s">
        <v>1007</v>
      </c>
      <c r="G86" s="1618" t="s">
        <v>2639</v>
      </c>
      <c r="H86" s="1620" t="s">
        <v>2638</v>
      </c>
      <c r="J86" s="1625"/>
      <c r="K86" s="1625"/>
      <c r="L86" s="1625"/>
      <c r="M86" s="1904"/>
    </row>
    <row r="87" spans="2:13" s="979" customFormat="1" hidden="1">
      <c r="B87" s="1901" t="s">
        <v>671</v>
      </c>
      <c r="C87" s="1199" t="s">
        <v>672</v>
      </c>
      <c r="D87" s="1129"/>
      <c r="E87" s="1129"/>
      <c r="F87" s="1131"/>
      <c r="G87" s="1132"/>
      <c r="H87" s="1115"/>
      <c r="J87" s="1557"/>
      <c r="K87" s="1557"/>
      <c r="L87" s="1557"/>
      <c r="M87" s="1899"/>
    </row>
    <row r="88" spans="2:13" s="979" customFormat="1" hidden="1">
      <c r="B88" s="1902"/>
      <c r="C88" s="1244" t="s">
        <v>673</v>
      </c>
      <c r="D88" s="1129" t="s">
        <v>674</v>
      </c>
      <c r="E88" s="1129" t="s">
        <v>675</v>
      </c>
      <c r="F88" s="1131">
        <v>2</v>
      </c>
      <c r="G88" s="1132">
        <f>DUB!$I$10</f>
        <v>150000</v>
      </c>
      <c r="H88" s="1115">
        <f>F88*G88</f>
        <v>300000</v>
      </c>
      <c r="J88" s="1557"/>
      <c r="K88" s="1557"/>
      <c r="L88" s="1557"/>
      <c r="M88" s="1899"/>
    </row>
    <row r="89" spans="2:13" s="979" customFormat="1" hidden="1">
      <c r="B89" s="1902"/>
      <c r="C89" s="1244" t="s">
        <v>677</v>
      </c>
      <c r="D89" s="1129" t="s">
        <v>678</v>
      </c>
      <c r="E89" s="1129" t="s">
        <v>675</v>
      </c>
      <c r="F89" s="1131">
        <v>1</v>
      </c>
      <c r="G89" s="1132">
        <f>DUB!$I$11</f>
        <v>187000</v>
      </c>
      <c r="H89" s="1115">
        <f>G89*F89</f>
        <v>187000</v>
      </c>
      <c r="J89" s="1557"/>
      <c r="K89" s="1557"/>
      <c r="L89" s="1557"/>
      <c r="M89" s="1899"/>
    </row>
    <row r="90" spans="2:13" s="979" customFormat="1" hidden="1">
      <c r="B90" s="1902"/>
      <c r="C90" s="1244" t="s">
        <v>731</v>
      </c>
      <c r="D90" s="1129" t="s">
        <v>678</v>
      </c>
      <c r="E90" s="1129" t="s">
        <v>675</v>
      </c>
      <c r="F90" s="1131">
        <v>1</v>
      </c>
      <c r="G90" s="1132">
        <f>DUB!$I$11</f>
        <v>187000</v>
      </c>
      <c r="H90" s="1115">
        <f>G90*F90</f>
        <v>187000</v>
      </c>
      <c r="J90" s="1557"/>
      <c r="K90" s="1557"/>
      <c r="L90" s="1557"/>
      <c r="M90" s="1899"/>
    </row>
    <row r="91" spans="2:13" s="979" customFormat="1" hidden="1">
      <c r="B91" s="1902"/>
      <c r="C91" s="1244" t="s">
        <v>680</v>
      </c>
      <c r="D91" s="1129" t="s">
        <v>681</v>
      </c>
      <c r="E91" s="1129" t="s">
        <v>675</v>
      </c>
      <c r="F91" s="1131">
        <v>0.3</v>
      </c>
      <c r="G91" s="1132">
        <f>DUB!$I$13</f>
        <v>240000</v>
      </c>
      <c r="H91" s="1115">
        <f>G91*F91</f>
        <v>72000</v>
      </c>
      <c r="J91" s="1557"/>
      <c r="K91" s="1557"/>
      <c r="L91" s="1557"/>
      <c r="M91" s="1899"/>
    </row>
    <row r="92" spans="2:13" s="979" customFormat="1" hidden="1">
      <c r="B92" s="1902"/>
      <c r="C92" s="1244" t="s">
        <v>683</v>
      </c>
      <c r="D92" s="1129" t="s">
        <v>684</v>
      </c>
      <c r="E92" s="1129" t="s">
        <v>675</v>
      </c>
      <c r="F92" s="1131">
        <v>0.05</v>
      </c>
      <c r="G92" s="1132">
        <f>DUB!$I$12</f>
        <v>225000</v>
      </c>
      <c r="H92" s="1115">
        <f>G92*F92</f>
        <v>11250</v>
      </c>
      <c r="J92" s="1557"/>
      <c r="K92" s="1557"/>
      <c r="L92" s="1557"/>
      <c r="M92" s="1899"/>
    </row>
    <row r="93" spans="2:13" s="979" customFormat="1" hidden="1">
      <c r="B93" s="1902"/>
      <c r="C93" s="1244"/>
      <c r="D93" s="1129"/>
      <c r="E93" s="1129"/>
      <c r="F93" s="2102" t="s">
        <v>685</v>
      </c>
      <c r="G93" s="2102"/>
      <c r="H93" s="1115">
        <f>SUM(H88:H92)</f>
        <v>757250</v>
      </c>
      <c r="J93" s="1557"/>
      <c r="K93" s="1557"/>
      <c r="L93" s="1557"/>
      <c r="M93" s="1899"/>
    </row>
    <row r="94" spans="2:13" s="979" customFormat="1" hidden="1">
      <c r="B94" s="1901" t="s">
        <v>686</v>
      </c>
      <c r="C94" s="1199" t="s">
        <v>687</v>
      </c>
      <c r="D94" s="1129"/>
      <c r="E94" s="1129"/>
      <c r="F94" s="1131"/>
      <c r="G94" s="1132"/>
      <c r="H94" s="1115"/>
      <c r="J94" s="1557"/>
      <c r="K94" s="1557"/>
      <c r="L94" s="1557"/>
      <c r="M94" s="1899"/>
    </row>
    <row r="95" spans="2:13" s="979" customFormat="1" hidden="1">
      <c r="B95" s="1902"/>
      <c r="C95" s="1627" t="s">
        <v>3869</v>
      </c>
      <c r="D95" s="1129"/>
      <c r="E95" s="1129" t="s">
        <v>688</v>
      </c>
      <c r="F95" s="1131">
        <v>1.25</v>
      </c>
      <c r="G95" s="1132">
        <f>DUB!$I$80</f>
        <v>41220</v>
      </c>
      <c r="H95" s="1115">
        <f>G95*F95</f>
        <v>51525</v>
      </c>
      <c r="J95" s="1557"/>
      <c r="K95" s="1557"/>
      <c r="L95" s="1557"/>
      <c r="M95" s="1899"/>
    </row>
    <row r="96" spans="2:13" s="979" customFormat="1" hidden="1">
      <c r="B96" s="1902"/>
      <c r="C96" s="1244" t="s">
        <v>732</v>
      </c>
      <c r="D96" s="1129"/>
      <c r="E96" s="1129" t="s">
        <v>2646</v>
      </c>
      <c r="F96" s="1131">
        <v>0.18</v>
      </c>
      <c r="G96" s="1132">
        <f>DUB!$I$85</f>
        <v>6250000</v>
      </c>
      <c r="H96" s="1115">
        <f t="shared" ref="H96:H108" si="3">G96*F96</f>
        <v>1125000</v>
      </c>
      <c r="J96" s="1557"/>
      <c r="K96" s="1557"/>
      <c r="L96" s="1557"/>
      <c r="M96" s="1899"/>
    </row>
    <row r="97" spans="2:13" s="979" customFormat="1" hidden="1">
      <c r="B97" s="1902"/>
      <c r="C97" s="1244" t="s">
        <v>734</v>
      </c>
      <c r="D97" s="1129"/>
      <c r="E97" s="1129" t="s">
        <v>690</v>
      </c>
      <c r="F97" s="1131">
        <v>0.08</v>
      </c>
      <c r="G97" s="1132">
        <f>DUB!$I$128</f>
        <v>20441.7</v>
      </c>
      <c r="H97" s="1115">
        <f t="shared" si="3"/>
        <v>1635.336</v>
      </c>
      <c r="J97" s="1557"/>
      <c r="K97" s="1557"/>
      <c r="L97" s="1557"/>
      <c r="M97" s="1899"/>
    </row>
    <row r="98" spans="2:13" s="979" customFormat="1" hidden="1">
      <c r="B98" s="1902"/>
      <c r="C98" s="1244" t="s">
        <v>736</v>
      </c>
      <c r="D98" s="1129"/>
      <c r="E98" s="1129" t="s">
        <v>690</v>
      </c>
      <c r="F98" s="1131">
        <v>1.1000000000000001</v>
      </c>
      <c r="G98" s="1132">
        <f>DUB!$I$105</f>
        <v>16065</v>
      </c>
      <c r="H98" s="1115">
        <f t="shared" si="3"/>
        <v>17671.5</v>
      </c>
      <c r="J98" s="1557"/>
      <c r="K98" s="1557"/>
      <c r="L98" s="1557"/>
      <c r="M98" s="1899"/>
    </row>
    <row r="99" spans="2:13" s="979" customFormat="1" hidden="1">
      <c r="B99" s="1902"/>
      <c r="C99" s="1244" t="s">
        <v>738</v>
      </c>
      <c r="D99" s="1129"/>
      <c r="E99" s="1129" t="s">
        <v>690</v>
      </c>
      <c r="F99" s="1131">
        <v>35</v>
      </c>
      <c r="G99" s="1132">
        <f>DUB!$I$65</f>
        <v>1575</v>
      </c>
      <c r="H99" s="1115">
        <f t="shared" si="3"/>
        <v>55125</v>
      </c>
      <c r="J99" s="1557"/>
      <c r="K99" s="1557"/>
      <c r="L99" s="1557"/>
      <c r="M99" s="1899"/>
    </row>
    <row r="100" spans="2:13" s="979" customFormat="1" hidden="1">
      <c r="B100" s="1902"/>
      <c r="C100" s="1244" t="s">
        <v>739</v>
      </c>
      <c r="D100" s="1129"/>
      <c r="E100" s="1129" t="s">
        <v>2646</v>
      </c>
      <c r="F100" s="1131">
        <v>0.15</v>
      </c>
      <c r="G100" s="1132">
        <f>DUB!$I$59</f>
        <v>208463</v>
      </c>
      <c r="H100" s="1115">
        <f t="shared" si="3"/>
        <v>31269.449999999997</v>
      </c>
      <c r="J100" s="1557"/>
      <c r="K100" s="1557"/>
      <c r="L100" s="1557"/>
      <c r="M100" s="1899"/>
    </row>
    <row r="101" spans="2:13" s="979" customFormat="1" hidden="1">
      <c r="B101" s="1902"/>
      <c r="C101" s="1244" t="s">
        <v>691</v>
      </c>
      <c r="D101" s="1129"/>
      <c r="E101" s="1129" t="s">
        <v>2646</v>
      </c>
      <c r="F101" s="1131">
        <v>0.1</v>
      </c>
      <c r="G101" s="1132">
        <f>DUB!$I$59</f>
        <v>208463</v>
      </c>
      <c r="H101" s="1115">
        <f t="shared" si="3"/>
        <v>20846.300000000003</v>
      </c>
      <c r="J101" s="1557"/>
      <c r="K101" s="1557"/>
      <c r="L101" s="1557"/>
      <c r="M101" s="1899"/>
    </row>
    <row r="102" spans="2:13" s="979" customFormat="1" hidden="1">
      <c r="B102" s="1902"/>
      <c r="C102" s="1244" t="s">
        <v>694</v>
      </c>
      <c r="D102" s="1129"/>
      <c r="E102" s="1129" t="s">
        <v>2646</v>
      </c>
      <c r="F102" s="1131">
        <v>0.15</v>
      </c>
      <c r="G102" s="1132">
        <f>DUB!$I$38</f>
        <v>236700</v>
      </c>
      <c r="H102" s="1115">
        <f t="shared" si="3"/>
        <v>35505</v>
      </c>
      <c r="J102" s="1557"/>
      <c r="K102" s="1557"/>
      <c r="L102" s="1557"/>
      <c r="M102" s="1899"/>
    </row>
    <row r="103" spans="2:13" s="979" customFormat="1" hidden="1">
      <c r="B103" s="1902"/>
      <c r="C103" s="1244" t="s">
        <v>742</v>
      </c>
      <c r="D103" s="1129"/>
      <c r="E103" s="1129" t="s">
        <v>743</v>
      </c>
      <c r="F103" s="1131">
        <v>30</v>
      </c>
      <c r="G103" s="1132">
        <f>DUB!$I$49</f>
        <v>590</v>
      </c>
      <c r="H103" s="1115">
        <f t="shared" si="3"/>
        <v>17700</v>
      </c>
      <c r="J103" s="1557"/>
      <c r="K103" s="1557"/>
      <c r="L103" s="1557"/>
      <c r="M103" s="1899"/>
    </row>
    <row r="104" spans="2:13" s="979" customFormat="1" hidden="1">
      <c r="B104" s="1902"/>
      <c r="C104" s="1244" t="s">
        <v>745</v>
      </c>
      <c r="D104" s="1129"/>
      <c r="E104" s="1129" t="s">
        <v>715</v>
      </c>
      <c r="F104" s="1131">
        <v>0.25</v>
      </c>
      <c r="G104" s="1132">
        <f>DUB!$I$262</f>
        <v>98316</v>
      </c>
      <c r="H104" s="1115">
        <f t="shared" si="3"/>
        <v>24579</v>
      </c>
      <c r="J104" s="1557"/>
      <c r="K104" s="1557"/>
      <c r="L104" s="1557"/>
      <c r="M104" s="1899"/>
    </row>
    <row r="105" spans="2:13" s="979" customFormat="1" hidden="1">
      <c r="B105" s="1902"/>
      <c r="C105" s="1244" t="s">
        <v>747</v>
      </c>
      <c r="D105" s="1129"/>
      <c r="E105" s="1129" t="s">
        <v>743</v>
      </c>
      <c r="F105" s="1131">
        <v>0.2</v>
      </c>
      <c r="G105" s="1132">
        <f>DUB!$I$232</f>
        <v>198135</v>
      </c>
      <c r="H105" s="1115">
        <f t="shared" si="3"/>
        <v>39627</v>
      </c>
      <c r="J105" s="1557"/>
      <c r="K105" s="1557"/>
      <c r="L105" s="1557"/>
      <c r="M105" s="1899"/>
    </row>
    <row r="106" spans="2:13" s="979" customFormat="1" hidden="1">
      <c r="B106" s="1902"/>
      <c r="C106" s="1244" t="s">
        <v>748</v>
      </c>
      <c r="D106" s="1129"/>
      <c r="E106" s="1129" t="s">
        <v>2647</v>
      </c>
      <c r="F106" s="1131">
        <v>0.08</v>
      </c>
      <c r="G106" s="1132">
        <f>DUB!$I$223</f>
        <v>144585</v>
      </c>
      <c r="H106" s="1115">
        <f t="shared" si="3"/>
        <v>11566.800000000001</v>
      </c>
      <c r="J106" s="1557"/>
      <c r="K106" s="1557"/>
      <c r="L106" s="1557"/>
      <c r="M106" s="1899"/>
    </row>
    <row r="107" spans="2:13" s="979" customFormat="1" hidden="1">
      <c r="B107" s="1902"/>
      <c r="C107" s="1244" t="s">
        <v>749</v>
      </c>
      <c r="D107" s="1129"/>
      <c r="E107" s="1129" t="s">
        <v>743</v>
      </c>
      <c r="F107" s="1131">
        <v>0.15</v>
      </c>
      <c r="G107" s="1132">
        <f>DUB!$I$454</f>
        <v>69615</v>
      </c>
      <c r="H107" s="1115">
        <f t="shared" si="3"/>
        <v>10442.25</v>
      </c>
      <c r="J107" s="1557"/>
      <c r="K107" s="1557"/>
      <c r="L107" s="1557"/>
      <c r="M107" s="1899"/>
    </row>
    <row r="108" spans="2:13" s="979" customFormat="1" hidden="1">
      <c r="B108" s="1902"/>
      <c r="C108" s="1244" t="s">
        <v>4404</v>
      </c>
      <c r="D108" s="1129"/>
      <c r="E108" s="1129" t="s">
        <v>715</v>
      </c>
      <c r="F108" s="1131">
        <v>0.06</v>
      </c>
      <c r="G108" s="1132">
        <f>DUB!$I$92</f>
        <v>76464</v>
      </c>
      <c r="H108" s="1115">
        <f t="shared" si="3"/>
        <v>4587.84</v>
      </c>
      <c r="J108" s="1557"/>
      <c r="K108" s="1557"/>
      <c r="L108" s="1557"/>
      <c r="M108" s="1899"/>
    </row>
    <row r="109" spans="2:13" s="979" customFormat="1" hidden="1">
      <c r="B109" s="1902"/>
      <c r="C109" s="1244"/>
      <c r="D109" s="1129"/>
      <c r="E109" s="1129"/>
      <c r="F109" s="2102" t="s">
        <v>702</v>
      </c>
      <c r="G109" s="2102"/>
      <c r="H109" s="1115">
        <f>SUM(H95:H108)</f>
        <v>1447080.476</v>
      </c>
      <c r="J109" s="1557"/>
      <c r="K109" s="1557"/>
      <c r="L109" s="1557"/>
      <c r="M109" s="1899"/>
    </row>
    <row r="110" spans="2:13" s="980" customFormat="1" hidden="1">
      <c r="B110" s="1901" t="s">
        <v>703</v>
      </c>
      <c r="C110" s="1199" t="s">
        <v>3764</v>
      </c>
      <c r="D110" s="1111"/>
      <c r="E110" s="1111"/>
      <c r="F110" s="1113"/>
      <c r="G110" s="1114"/>
      <c r="H110" s="1176">
        <f>H109+H93</f>
        <v>2204330.4759999998</v>
      </c>
      <c r="J110" s="1559"/>
      <c r="K110" s="1559"/>
      <c r="L110" s="1559"/>
      <c r="M110" s="1897"/>
    </row>
    <row r="111" spans="2:13" s="980" customFormat="1" hidden="1">
      <c r="B111" s="1901" t="s">
        <v>706</v>
      </c>
      <c r="C111" s="1628" t="s">
        <v>709</v>
      </c>
      <c r="D111" s="1629"/>
      <c r="E111" s="1629"/>
      <c r="F111" s="2128" t="s">
        <v>3873</v>
      </c>
      <c r="G111" s="2128"/>
      <c r="H111" s="1176">
        <f>H110*0.15</f>
        <v>330649.57139999996</v>
      </c>
      <c r="J111" s="1559"/>
      <c r="K111" s="1559"/>
      <c r="L111" s="1559"/>
      <c r="M111" s="1897"/>
    </row>
    <row r="112" spans="2:13" s="980" customFormat="1" hidden="1">
      <c r="B112" s="1901" t="s">
        <v>708</v>
      </c>
      <c r="C112" s="1199" t="s">
        <v>3765</v>
      </c>
      <c r="D112" s="1111"/>
      <c r="E112" s="1111"/>
      <c r="F112" s="1113"/>
      <c r="G112" s="1114"/>
      <c r="H112" s="1134">
        <f>ROUND(SUM(H110:H111),2)</f>
        <v>2534980.0499999998</v>
      </c>
      <c r="I112" s="984">
        <f>SUM(H110:H111)</f>
        <v>2534980.0473999996</v>
      </c>
      <c r="J112" s="1561"/>
      <c r="K112" s="1561"/>
      <c r="L112" s="1559"/>
      <c r="M112" s="1897"/>
    </row>
    <row r="113" spans="2:13" s="979" customFormat="1" hidden="1">
      <c r="B113" s="1903"/>
      <c r="C113" s="1096"/>
      <c r="D113" s="1095"/>
      <c r="E113" s="1095"/>
      <c r="F113" s="1172"/>
      <c r="G113" s="1173"/>
      <c r="H113" s="1133"/>
      <c r="J113" s="1557"/>
      <c r="K113" s="1557"/>
      <c r="L113" s="1557"/>
      <c r="M113" s="1899"/>
    </row>
    <row r="114" spans="2:13" s="980" customFormat="1" hidden="1">
      <c r="B114" s="1896" t="s">
        <v>3870</v>
      </c>
      <c r="C114" s="1232" t="s">
        <v>4531</v>
      </c>
      <c r="D114" s="1100"/>
      <c r="E114" s="1100"/>
      <c r="F114" s="1174"/>
      <c r="G114" s="1175"/>
      <c r="H114" s="1134"/>
      <c r="J114" s="1559"/>
      <c r="K114" s="1559"/>
      <c r="L114" s="1559"/>
      <c r="M114" s="1897"/>
    </row>
    <row r="115" spans="2:13" s="982" customFormat="1" ht="24.9" hidden="1" customHeight="1">
      <c r="B115" s="1900" t="s">
        <v>1003</v>
      </c>
      <c r="C115" s="1221" t="s">
        <v>1004</v>
      </c>
      <c r="D115" s="1221" t="s">
        <v>1005</v>
      </c>
      <c r="E115" s="1221" t="s">
        <v>1006</v>
      </c>
      <c r="F115" s="1222" t="s">
        <v>1007</v>
      </c>
      <c r="G115" s="1618" t="s">
        <v>2639</v>
      </c>
      <c r="H115" s="1620" t="s">
        <v>2638</v>
      </c>
      <c r="J115" s="1625"/>
      <c r="K115" s="1625"/>
      <c r="L115" s="1625"/>
      <c r="M115" s="1904"/>
    </row>
    <row r="116" spans="2:13" s="979" customFormat="1" hidden="1">
      <c r="B116" s="1901" t="s">
        <v>671</v>
      </c>
      <c r="C116" s="1112" t="s">
        <v>672</v>
      </c>
      <c r="D116" s="1129"/>
      <c r="E116" s="1129"/>
      <c r="F116" s="1131"/>
      <c r="G116" s="1132"/>
      <c r="H116" s="1115"/>
      <c r="J116" s="1557"/>
      <c r="K116" s="1557"/>
      <c r="L116" s="1557"/>
      <c r="M116" s="1899"/>
    </row>
    <row r="117" spans="2:13" s="979" customFormat="1" hidden="1">
      <c r="B117" s="1902"/>
      <c r="C117" s="1130" t="s">
        <v>673</v>
      </c>
      <c r="D117" s="1129" t="s">
        <v>674</v>
      </c>
      <c r="E117" s="1129" t="s">
        <v>675</v>
      </c>
      <c r="F117" s="1131">
        <v>1</v>
      </c>
      <c r="G117" s="1132">
        <f>DUB!$I$10</f>
        <v>150000</v>
      </c>
      <c r="H117" s="1115">
        <f>G117*F117</f>
        <v>150000</v>
      </c>
      <c r="J117" s="1557"/>
      <c r="K117" s="1557"/>
      <c r="L117" s="1557"/>
      <c r="M117" s="1899"/>
    </row>
    <row r="118" spans="2:13" s="979" customFormat="1" hidden="1">
      <c r="B118" s="1902"/>
      <c r="C118" s="1130" t="s">
        <v>677</v>
      </c>
      <c r="D118" s="1129" t="s">
        <v>678</v>
      </c>
      <c r="E118" s="1129" t="s">
        <v>675</v>
      </c>
      <c r="F118" s="1131">
        <v>1.5</v>
      </c>
      <c r="G118" s="1132">
        <f>DUB!$I$11</f>
        <v>187000</v>
      </c>
      <c r="H118" s="1115">
        <f>G118*F118</f>
        <v>280500</v>
      </c>
      <c r="J118" s="1557"/>
      <c r="K118" s="1557"/>
      <c r="L118" s="1557"/>
      <c r="M118" s="1899"/>
    </row>
    <row r="119" spans="2:13" s="979" customFormat="1" hidden="1">
      <c r="B119" s="1902"/>
      <c r="C119" s="1130" t="s">
        <v>751</v>
      </c>
      <c r="D119" s="1129" t="s">
        <v>681</v>
      </c>
      <c r="E119" s="1129"/>
      <c r="F119" s="1131">
        <v>0.15</v>
      </c>
      <c r="G119" s="1132">
        <f>DUB!$I$13</f>
        <v>240000</v>
      </c>
      <c r="H119" s="1115">
        <f>G119*F119</f>
        <v>36000</v>
      </c>
      <c r="J119" s="1557"/>
      <c r="K119" s="1557"/>
      <c r="L119" s="1557"/>
      <c r="M119" s="1899"/>
    </row>
    <row r="120" spans="2:13" s="979" customFormat="1" hidden="1">
      <c r="B120" s="1902"/>
      <c r="C120" s="1130" t="s">
        <v>683</v>
      </c>
      <c r="D120" s="1129" t="s">
        <v>684</v>
      </c>
      <c r="E120" s="1129" t="s">
        <v>675</v>
      </c>
      <c r="F120" s="1131">
        <v>0.05</v>
      </c>
      <c r="G120" s="1132">
        <f>DUB!$I$12</f>
        <v>225000</v>
      </c>
      <c r="H120" s="1115">
        <f>G120*F120</f>
        <v>11250</v>
      </c>
      <c r="J120" s="1557"/>
      <c r="K120" s="1557"/>
      <c r="L120" s="1557"/>
      <c r="M120" s="1899"/>
    </row>
    <row r="121" spans="2:13" s="979" customFormat="1" hidden="1">
      <c r="B121" s="1902"/>
      <c r="C121" s="1130"/>
      <c r="D121" s="1129"/>
      <c r="E121" s="1129"/>
      <c r="F121" s="2102" t="s">
        <v>685</v>
      </c>
      <c r="G121" s="2102"/>
      <c r="H121" s="1115">
        <f>SUM(H117:H120)</f>
        <v>477750</v>
      </c>
      <c r="J121" s="1557"/>
      <c r="K121" s="1557"/>
      <c r="L121" s="1557"/>
      <c r="M121" s="1899"/>
    </row>
    <row r="122" spans="2:13" s="979" customFormat="1" hidden="1">
      <c r="B122" s="1901" t="s">
        <v>686</v>
      </c>
      <c r="C122" s="1112" t="s">
        <v>687</v>
      </c>
      <c r="D122" s="1129"/>
      <c r="E122" s="1129"/>
      <c r="F122" s="1131"/>
      <c r="G122" s="1132"/>
      <c r="H122" s="1115"/>
      <c r="J122" s="1557"/>
      <c r="K122" s="1557"/>
      <c r="L122" s="1557"/>
      <c r="M122" s="1899"/>
    </row>
    <row r="123" spans="2:13" s="979" customFormat="1" hidden="1">
      <c r="B123" s="1902"/>
      <c r="C123" s="1130" t="s">
        <v>2641</v>
      </c>
      <c r="D123" s="1129"/>
      <c r="E123" s="1129" t="s">
        <v>688</v>
      </c>
      <c r="F123" s="1131">
        <v>3</v>
      </c>
      <c r="G123" s="1132">
        <f>DUB!$I$80</f>
        <v>41220</v>
      </c>
      <c r="H123" s="1115">
        <f>G123*F123</f>
        <v>123660</v>
      </c>
      <c r="J123" s="1557"/>
      <c r="K123" s="1557"/>
      <c r="L123" s="1557"/>
      <c r="M123" s="1899"/>
    </row>
    <row r="124" spans="2:13" s="979" customFormat="1" hidden="1">
      <c r="B124" s="1902"/>
      <c r="C124" s="1130" t="s">
        <v>732</v>
      </c>
      <c r="D124" s="1129"/>
      <c r="E124" s="1129" t="s">
        <v>2646</v>
      </c>
      <c r="F124" s="1131">
        <v>0.27600000000000002</v>
      </c>
      <c r="G124" s="1132">
        <f>DUB!$I$85</f>
        <v>6250000</v>
      </c>
      <c r="H124" s="1115">
        <f>G124*F124</f>
        <v>1725000.0000000002</v>
      </c>
      <c r="J124" s="1557"/>
      <c r="K124" s="1557"/>
      <c r="L124" s="1557"/>
      <c r="M124" s="1899"/>
    </row>
    <row r="125" spans="2:13" s="979" customFormat="1" hidden="1">
      <c r="B125" s="1902"/>
      <c r="C125" s="1130" t="s">
        <v>734</v>
      </c>
      <c r="D125" s="1129"/>
      <c r="E125" s="1129" t="s">
        <v>690</v>
      </c>
      <c r="F125" s="1131">
        <v>0.7</v>
      </c>
      <c r="G125" s="1132">
        <f>DUB!$I$128</f>
        <v>20441.7</v>
      </c>
      <c r="H125" s="1115">
        <f>G125*F125</f>
        <v>14309.19</v>
      </c>
      <c r="J125" s="1557"/>
      <c r="K125" s="1557"/>
      <c r="L125" s="1557"/>
      <c r="M125" s="1899"/>
    </row>
    <row r="126" spans="2:13" s="979" customFormat="1" hidden="1">
      <c r="B126" s="1902"/>
      <c r="C126" s="1130" t="s">
        <v>714</v>
      </c>
      <c r="D126" s="1129"/>
      <c r="E126" s="1129" t="s">
        <v>3025</v>
      </c>
      <c r="F126" s="1131">
        <v>1.5</v>
      </c>
      <c r="G126" s="1132">
        <f>DUB!$I$259</f>
        <v>51408</v>
      </c>
      <c r="H126" s="1115">
        <f>G126*F126</f>
        <v>77112</v>
      </c>
      <c r="J126" s="1557"/>
      <c r="K126" s="1557"/>
      <c r="L126" s="1557"/>
      <c r="M126" s="1899"/>
    </row>
    <row r="127" spans="2:13" s="979" customFormat="1" hidden="1">
      <c r="B127" s="1902"/>
      <c r="C127" s="1130"/>
      <c r="D127" s="1129"/>
      <c r="E127" s="1129"/>
      <c r="F127" s="2102" t="s">
        <v>702</v>
      </c>
      <c r="G127" s="2102"/>
      <c r="H127" s="1115">
        <f>SUM(H123:H126)</f>
        <v>1940081.1900000002</v>
      </c>
      <c r="J127" s="1557"/>
      <c r="K127" s="1557"/>
      <c r="L127" s="1557"/>
      <c r="M127" s="1899"/>
    </row>
    <row r="128" spans="2:13" s="980" customFormat="1" hidden="1">
      <c r="B128" s="1901" t="s">
        <v>703</v>
      </c>
      <c r="C128" s="2101" t="s">
        <v>3764</v>
      </c>
      <c r="D128" s="2101"/>
      <c r="E128" s="2101"/>
      <c r="F128" s="2101"/>
      <c r="G128" s="2101"/>
      <c r="H128" s="1176">
        <f>H121+H127</f>
        <v>2417831.1900000004</v>
      </c>
      <c r="J128" s="1559"/>
      <c r="K128" s="1559"/>
      <c r="L128" s="1559"/>
      <c r="M128" s="1897"/>
    </row>
    <row r="129" spans="2:13" s="980" customFormat="1" hidden="1">
      <c r="B129" s="1901" t="s">
        <v>706</v>
      </c>
      <c r="C129" s="2103" t="s">
        <v>709</v>
      </c>
      <c r="D129" s="2103"/>
      <c r="E129" s="2103"/>
      <c r="F129" s="2104" t="s">
        <v>3873</v>
      </c>
      <c r="G129" s="2104"/>
      <c r="H129" s="1176">
        <f>H128*0.15</f>
        <v>362674.67850000004</v>
      </c>
      <c r="J129" s="1559"/>
      <c r="K129" s="1559"/>
      <c r="L129" s="1559"/>
      <c r="M129" s="1897"/>
    </row>
    <row r="130" spans="2:13" s="980" customFormat="1" hidden="1">
      <c r="B130" s="1901" t="s">
        <v>708</v>
      </c>
      <c r="C130" s="2101" t="s">
        <v>3765</v>
      </c>
      <c r="D130" s="2101"/>
      <c r="E130" s="2101"/>
      <c r="F130" s="2101"/>
      <c r="G130" s="2101"/>
      <c r="H130" s="1134">
        <f>ROUND(SUM(H128:H129),2)</f>
        <v>2780505.87</v>
      </c>
      <c r="I130" s="984">
        <f>SUM(H128:H129)</f>
        <v>2780505.8685000003</v>
      </c>
      <c r="J130" s="1561"/>
      <c r="K130" s="1561"/>
      <c r="L130" s="1559"/>
      <c r="M130" s="1897"/>
    </row>
    <row r="131" spans="2:13" s="979" customFormat="1" hidden="1">
      <c r="B131" s="1901"/>
      <c r="C131" s="1112"/>
      <c r="D131" s="1111"/>
      <c r="E131" s="1111"/>
      <c r="F131" s="1113"/>
      <c r="G131" s="1114"/>
      <c r="H131" s="1115"/>
      <c r="J131" s="1557"/>
      <c r="K131" s="1557"/>
      <c r="L131" s="1557"/>
      <c r="M131" s="1899"/>
    </row>
    <row r="132" spans="2:13" s="980" customFormat="1" hidden="1">
      <c r="B132" s="1896" t="s">
        <v>3871</v>
      </c>
      <c r="C132" s="1232" t="s">
        <v>2667</v>
      </c>
      <c r="D132" s="1100"/>
      <c r="E132" s="1100"/>
      <c r="F132" s="1174"/>
      <c r="G132" s="1175"/>
      <c r="H132" s="1134"/>
      <c r="J132" s="1559"/>
      <c r="K132" s="1559"/>
      <c r="L132" s="1559"/>
      <c r="M132" s="1897"/>
    </row>
    <row r="133" spans="2:13" s="982" customFormat="1" ht="24.9" hidden="1" customHeight="1">
      <c r="B133" s="1900" t="s">
        <v>1003</v>
      </c>
      <c r="C133" s="1221" t="s">
        <v>1004</v>
      </c>
      <c r="D133" s="1221" t="s">
        <v>1005</v>
      </c>
      <c r="E133" s="1221" t="s">
        <v>1006</v>
      </c>
      <c r="F133" s="1222" t="s">
        <v>1007</v>
      </c>
      <c r="G133" s="1618" t="s">
        <v>2639</v>
      </c>
      <c r="H133" s="1620" t="s">
        <v>2638</v>
      </c>
      <c r="J133" s="1625"/>
      <c r="K133" s="1625"/>
      <c r="L133" s="1625"/>
      <c r="M133" s="1904"/>
    </row>
    <row r="134" spans="2:13" s="979" customFormat="1" hidden="1">
      <c r="B134" s="1901" t="s">
        <v>671</v>
      </c>
      <c r="C134" s="1112" t="s">
        <v>672</v>
      </c>
      <c r="D134" s="1129"/>
      <c r="E134" s="1129"/>
      <c r="F134" s="1131"/>
      <c r="G134" s="1132"/>
      <c r="H134" s="1115"/>
      <c r="J134" s="1557"/>
      <c r="K134" s="1557"/>
      <c r="L134" s="1557"/>
      <c r="M134" s="1899"/>
    </row>
    <row r="135" spans="2:13" s="979" customFormat="1" hidden="1">
      <c r="B135" s="1902"/>
      <c r="C135" s="1130" t="s">
        <v>673</v>
      </c>
      <c r="D135" s="1129" t="s">
        <v>674</v>
      </c>
      <c r="E135" s="1129" t="s">
        <v>675</v>
      </c>
      <c r="F135" s="1131">
        <v>1</v>
      </c>
      <c r="G135" s="1132">
        <f>DUB!$I$10</f>
        <v>150000</v>
      </c>
      <c r="H135" s="1115">
        <f>G135*F135</f>
        <v>150000</v>
      </c>
      <c r="J135" s="1557"/>
      <c r="K135" s="1557"/>
      <c r="L135" s="1557"/>
      <c r="M135" s="1899"/>
    </row>
    <row r="136" spans="2:13" s="979" customFormat="1" hidden="1">
      <c r="B136" s="1902"/>
      <c r="C136" s="1130" t="s">
        <v>677</v>
      </c>
      <c r="D136" s="1129" t="s">
        <v>678</v>
      </c>
      <c r="E136" s="1129" t="s">
        <v>675</v>
      </c>
      <c r="F136" s="1131">
        <v>2</v>
      </c>
      <c r="G136" s="1132">
        <f>DUB!$I$11</f>
        <v>187000</v>
      </c>
      <c r="H136" s="1115">
        <f>G136*F136</f>
        <v>374000</v>
      </c>
      <c r="J136" s="1557"/>
      <c r="K136" s="1557"/>
      <c r="L136" s="1557"/>
      <c r="M136" s="1899"/>
    </row>
    <row r="137" spans="2:13" s="979" customFormat="1" hidden="1">
      <c r="B137" s="1902"/>
      <c r="C137" s="1130" t="s">
        <v>680</v>
      </c>
      <c r="D137" s="1129" t="s">
        <v>681</v>
      </c>
      <c r="E137" s="1129" t="s">
        <v>675</v>
      </c>
      <c r="F137" s="1131">
        <v>0.2</v>
      </c>
      <c r="G137" s="1132">
        <f>DUB!$I$13</f>
        <v>240000</v>
      </c>
      <c r="H137" s="1115">
        <f>G137*F137</f>
        <v>48000</v>
      </c>
      <c r="J137" s="1557"/>
      <c r="K137" s="1557"/>
      <c r="L137" s="1557"/>
      <c r="M137" s="1899"/>
    </row>
    <row r="138" spans="2:13" s="979" customFormat="1" hidden="1">
      <c r="B138" s="1902"/>
      <c r="C138" s="1130" t="s">
        <v>683</v>
      </c>
      <c r="D138" s="1129" t="s">
        <v>684</v>
      </c>
      <c r="E138" s="1129" t="s">
        <v>675</v>
      </c>
      <c r="F138" s="1131">
        <v>0.05</v>
      </c>
      <c r="G138" s="1132">
        <f>DUB!$I$12</f>
        <v>225000</v>
      </c>
      <c r="H138" s="1115">
        <f>G138*F138</f>
        <v>11250</v>
      </c>
      <c r="J138" s="1557"/>
      <c r="K138" s="1557"/>
      <c r="L138" s="1557"/>
      <c r="M138" s="1899"/>
    </row>
    <row r="139" spans="2:13" s="979" customFormat="1" hidden="1">
      <c r="B139" s="1902"/>
      <c r="C139" s="1130"/>
      <c r="D139" s="1129"/>
      <c r="E139" s="1129"/>
      <c r="F139" s="2102" t="s">
        <v>685</v>
      </c>
      <c r="G139" s="2102"/>
      <c r="H139" s="1115">
        <f>SUM(H135:H138)</f>
        <v>583250</v>
      </c>
      <c r="J139" s="1557"/>
      <c r="K139" s="1557"/>
      <c r="L139" s="1557"/>
      <c r="M139" s="1899"/>
    </row>
    <row r="140" spans="2:13" s="979" customFormat="1" hidden="1">
      <c r="B140" s="1901" t="s">
        <v>686</v>
      </c>
      <c r="C140" s="1112" t="s">
        <v>687</v>
      </c>
      <c r="D140" s="1129"/>
      <c r="E140" s="1129"/>
      <c r="F140" s="1131"/>
      <c r="G140" s="1132"/>
      <c r="H140" s="1115"/>
      <c r="J140" s="1557"/>
      <c r="K140" s="1557"/>
      <c r="L140" s="1557"/>
      <c r="M140" s="1899"/>
    </row>
    <row r="141" spans="2:13" s="979" customFormat="1" hidden="1">
      <c r="B141" s="1902"/>
      <c r="C141" s="1630" t="s">
        <v>3869</v>
      </c>
      <c r="D141" s="1129"/>
      <c r="E141" s="1129" t="s">
        <v>688</v>
      </c>
      <c r="F141" s="1131">
        <v>1.7</v>
      </c>
      <c r="G141" s="1132">
        <f>DUB!$I$80</f>
        <v>41220</v>
      </c>
      <c r="H141" s="1115">
        <f>G141*F141</f>
        <v>70074</v>
      </c>
      <c r="J141" s="1557"/>
      <c r="K141" s="1557"/>
      <c r="L141" s="1557"/>
      <c r="M141" s="1899"/>
    </row>
    <row r="142" spans="2:13" s="979" customFormat="1" hidden="1">
      <c r="B142" s="1902"/>
      <c r="C142" s="1130" t="s">
        <v>732</v>
      </c>
      <c r="D142" s="1129"/>
      <c r="E142" s="1129" t="s">
        <v>2646</v>
      </c>
      <c r="F142" s="1131">
        <v>0.21</v>
      </c>
      <c r="G142" s="1132">
        <f>DUB!$I$85</f>
        <v>6250000</v>
      </c>
      <c r="H142" s="1115">
        <f>G142*F142</f>
        <v>1312500</v>
      </c>
      <c r="J142" s="1557"/>
      <c r="K142" s="1557"/>
      <c r="L142" s="1557"/>
      <c r="M142" s="1899"/>
    </row>
    <row r="143" spans="2:13" s="979" customFormat="1" hidden="1">
      <c r="B143" s="1902"/>
      <c r="C143" s="1130" t="s">
        <v>734</v>
      </c>
      <c r="D143" s="1129"/>
      <c r="E143" s="1129" t="s">
        <v>690</v>
      </c>
      <c r="F143" s="1131">
        <v>0.3</v>
      </c>
      <c r="G143" s="1132">
        <f>DUB!$I$128</f>
        <v>20441.7</v>
      </c>
      <c r="H143" s="1115">
        <f>G143*F143</f>
        <v>6132.51</v>
      </c>
      <c r="J143" s="1557"/>
      <c r="K143" s="1557"/>
      <c r="L143" s="1557"/>
      <c r="M143" s="1899"/>
    </row>
    <row r="144" spans="2:13" s="979" customFormat="1" hidden="1">
      <c r="B144" s="1902"/>
      <c r="C144" s="1130" t="s">
        <v>738</v>
      </c>
      <c r="D144" s="1129"/>
      <c r="E144" s="1129" t="s">
        <v>690</v>
      </c>
      <c r="F144" s="1131">
        <v>10.5</v>
      </c>
      <c r="G144" s="1132">
        <f>DUB!$I$65</f>
        <v>1575</v>
      </c>
      <c r="H144" s="1115">
        <f>F144*G144</f>
        <v>16537.5</v>
      </c>
      <c r="J144" s="1557"/>
      <c r="K144" s="1557"/>
      <c r="L144" s="1557"/>
      <c r="M144" s="1899"/>
    </row>
    <row r="145" spans="2:13" s="979" customFormat="1" hidden="1">
      <c r="B145" s="1902"/>
      <c r="C145" s="1130" t="s">
        <v>691</v>
      </c>
      <c r="D145" s="1129"/>
      <c r="E145" s="1129" t="s">
        <v>2646</v>
      </c>
      <c r="F145" s="1131">
        <v>0.03</v>
      </c>
      <c r="G145" s="1132">
        <f>DUB!$I$59</f>
        <v>208463</v>
      </c>
      <c r="H145" s="1115">
        <f>F145*G145</f>
        <v>6253.8899999999994</v>
      </c>
      <c r="J145" s="1557"/>
      <c r="K145" s="1557"/>
      <c r="L145" s="1557"/>
      <c r="M145" s="1899"/>
    </row>
    <row r="146" spans="2:13" s="979" customFormat="1" hidden="1">
      <c r="B146" s="1902"/>
      <c r="C146" s="1130" t="s">
        <v>694</v>
      </c>
      <c r="D146" s="1129"/>
      <c r="E146" s="1129" t="s">
        <v>2646</v>
      </c>
      <c r="F146" s="1131">
        <v>0.05</v>
      </c>
      <c r="G146" s="1132">
        <f>DUB!$I$38</f>
        <v>236700</v>
      </c>
      <c r="H146" s="1115">
        <f>F146*G146</f>
        <v>11835</v>
      </c>
      <c r="J146" s="1557"/>
      <c r="K146" s="1557"/>
      <c r="L146" s="1557"/>
      <c r="M146" s="1899"/>
    </row>
    <row r="147" spans="2:13" s="979" customFormat="1" hidden="1">
      <c r="B147" s="1902"/>
      <c r="C147" s="1130" t="s">
        <v>714</v>
      </c>
      <c r="D147" s="1129"/>
      <c r="E147" s="1129" t="s">
        <v>715</v>
      </c>
      <c r="F147" s="1131">
        <v>1.5</v>
      </c>
      <c r="G147" s="1132">
        <f>DUB!$I$259</f>
        <v>51408</v>
      </c>
      <c r="H147" s="1115">
        <f>G147*F147</f>
        <v>77112</v>
      </c>
      <c r="J147" s="1557"/>
      <c r="K147" s="1557"/>
      <c r="L147" s="1557"/>
      <c r="M147" s="1899"/>
    </row>
    <row r="148" spans="2:13" s="979" customFormat="1" hidden="1">
      <c r="B148" s="1902"/>
      <c r="C148" s="1130" t="s">
        <v>745</v>
      </c>
      <c r="D148" s="1129"/>
      <c r="E148" s="1129" t="s">
        <v>715</v>
      </c>
      <c r="F148" s="1131">
        <v>0.25</v>
      </c>
      <c r="G148" s="1132">
        <f>DUB!$I$262</f>
        <v>98316</v>
      </c>
      <c r="H148" s="1115">
        <f>G148*F148</f>
        <v>24579</v>
      </c>
      <c r="J148" s="1557"/>
      <c r="K148" s="1557"/>
      <c r="L148" s="1557"/>
      <c r="M148" s="1899"/>
    </row>
    <row r="149" spans="2:13" s="979" customFormat="1" hidden="1">
      <c r="B149" s="1902"/>
      <c r="C149" s="1130"/>
      <c r="D149" s="1129"/>
      <c r="E149" s="1129"/>
      <c r="F149" s="2102" t="s">
        <v>702</v>
      </c>
      <c r="G149" s="2102"/>
      <c r="H149" s="1115">
        <f>SUM(H141:H148)</f>
        <v>1525023.9</v>
      </c>
      <c r="J149" s="1557"/>
      <c r="K149" s="1557"/>
      <c r="L149" s="1557"/>
      <c r="M149" s="1899"/>
    </row>
    <row r="150" spans="2:13" s="980" customFormat="1" hidden="1">
      <c r="B150" s="1901" t="s">
        <v>703</v>
      </c>
      <c r="C150" s="2101" t="s">
        <v>3764</v>
      </c>
      <c r="D150" s="2101"/>
      <c r="E150" s="2101"/>
      <c r="F150" s="2101"/>
      <c r="G150" s="2101"/>
      <c r="H150" s="1176">
        <f>H139+H149</f>
        <v>2108273.9</v>
      </c>
      <c r="J150" s="1559"/>
      <c r="K150" s="1559"/>
      <c r="L150" s="1559"/>
      <c r="M150" s="1897"/>
    </row>
    <row r="151" spans="2:13" s="980" customFormat="1" hidden="1">
      <c r="B151" s="1901" t="s">
        <v>706</v>
      </c>
      <c r="C151" s="2103" t="s">
        <v>709</v>
      </c>
      <c r="D151" s="2103"/>
      <c r="E151" s="2103"/>
      <c r="F151" s="2104" t="s">
        <v>3873</v>
      </c>
      <c r="G151" s="2104"/>
      <c r="H151" s="1176">
        <f>H150*0.15</f>
        <v>316241.08499999996</v>
      </c>
      <c r="J151" s="1559"/>
      <c r="K151" s="1559"/>
      <c r="L151" s="1559"/>
      <c r="M151" s="1897"/>
    </row>
    <row r="152" spans="2:13" s="980" customFormat="1" hidden="1">
      <c r="B152" s="1901" t="s">
        <v>708</v>
      </c>
      <c r="C152" s="2101" t="s">
        <v>3765</v>
      </c>
      <c r="D152" s="2101"/>
      <c r="E152" s="2101"/>
      <c r="F152" s="2101"/>
      <c r="G152" s="2101"/>
      <c r="H152" s="1134">
        <f>ROUND(SUM(H150:H151),2)</f>
        <v>2424514.9900000002</v>
      </c>
      <c r="I152" s="984">
        <f>SUM(H150:H151)</f>
        <v>2424514.9849999999</v>
      </c>
      <c r="J152" s="1561"/>
      <c r="K152" s="1561"/>
      <c r="L152" s="1559"/>
      <c r="M152" s="1897"/>
    </row>
    <row r="153" spans="2:13" s="979" customFormat="1" hidden="1">
      <c r="B153" s="1903"/>
      <c r="C153" s="1096"/>
      <c r="D153" s="1095"/>
      <c r="E153" s="1095"/>
      <c r="F153" s="1172"/>
      <c r="G153" s="1173"/>
      <c r="H153" s="1133"/>
      <c r="J153" s="1557"/>
      <c r="K153" s="1557"/>
      <c r="L153" s="1557"/>
      <c r="M153" s="1899"/>
    </row>
    <row r="154" spans="2:13" s="980" customFormat="1" hidden="1">
      <c r="B154" s="1896" t="s">
        <v>3872</v>
      </c>
      <c r="C154" s="1232" t="s">
        <v>2668</v>
      </c>
      <c r="D154" s="1100"/>
      <c r="E154" s="1100"/>
      <c r="F154" s="1174"/>
      <c r="G154" s="1175"/>
      <c r="H154" s="1134"/>
      <c r="J154" s="1559"/>
      <c r="K154" s="1559"/>
      <c r="L154" s="1559"/>
      <c r="M154" s="1897"/>
    </row>
    <row r="155" spans="2:13" s="982" customFormat="1" ht="24.9" hidden="1" customHeight="1">
      <c r="B155" s="1900" t="s">
        <v>1003</v>
      </c>
      <c r="C155" s="1221" t="s">
        <v>1004</v>
      </c>
      <c r="D155" s="1221" t="s">
        <v>1005</v>
      </c>
      <c r="E155" s="1221" t="s">
        <v>1006</v>
      </c>
      <c r="F155" s="1222" t="s">
        <v>1007</v>
      </c>
      <c r="G155" s="1618" t="s">
        <v>2639</v>
      </c>
      <c r="H155" s="1620" t="s">
        <v>2638</v>
      </c>
      <c r="J155" s="1625"/>
      <c r="K155" s="1625"/>
      <c r="L155" s="1625"/>
      <c r="M155" s="1904"/>
    </row>
    <row r="156" spans="2:13" s="979" customFormat="1" hidden="1">
      <c r="B156" s="1901" t="s">
        <v>671</v>
      </c>
      <c r="C156" s="1112" t="s">
        <v>672</v>
      </c>
      <c r="D156" s="1129"/>
      <c r="E156" s="1129"/>
      <c r="F156" s="1131"/>
      <c r="G156" s="1132"/>
      <c r="H156" s="1115"/>
      <c r="J156" s="1557"/>
      <c r="K156" s="1557"/>
      <c r="L156" s="1557"/>
      <c r="M156" s="1899"/>
    </row>
    <row r="157" spans="2:13" s="979" customFormat="1" hidden="1">
      <c r="B157" s="1902"/>
      <c r="C157" s="1130" t="s">
        <v>673</v>
      </c>
      <c r="D157" s="1129" t="s">
        <v>674</v>
      </c>
      <c r="E157" s="1129" t="s">
        <v>675</v>
      </c>
      <c r="F157" s="1131">
        <v>1</v>
      </c>
      <c r="G157" s="1132">
        <f>DUB!$I$10</f>
        <v>150000</v>
      </c>
      <c r="H157" s="1115">
        <f>G157*F157</f>
        <v>150000</v>
      </c>
      <c r="J157" s="1557"/>
      <c r="K157" s="1557"/>
      <c r="L157" s="1557"/>
      <c r="M157" s="1899"/>
    </row>
    <row r="158" spans="2:13" s="979" customFormat="1" hidden="1">
      <c r="B158" s="1902"/>
      <c r="C158" s="1130" t="s">
        <v>677</v>
      </c>
      <c r="D158" s="1129" t="s">
        <v>678</v>
      </c>
      <c r="E158" s="1129" t="s">
        <v>675</v>
      </c>
      <c r="F158" s="1131">
        <v>2</v>
      </c>
      <c r="G158" s="1132">
        <f>DUB!$I$11</f>
        <v>187000</v>
      </c>
      <c r="H158" s="1115">
        <f>G158*F158</f>
        <v>374000</v>
      </c>
      <c r="J158" s="1557"/>
      <c r="K158" s="1557"/>
      <c r="L158" s="1557"/>
      <c r="M158" s="1899"/>
    </row>
    <row r="159" spans="2:13" s="979" customFormat="1" hidden="1">
      <c r="B159" s="1902"/>
      <c r="C159" s="1130" t="s">
        <v>680</v>
      </c>
      <c r="D159" s="1129" t="s">
        <v>681</v>
      </c>
      <c r="E159" s="1129" t="s">
        <v>675</v>
      </c>
      <c r="F159" s="1131">
        <v>0.2</v>
      </c>
      <c r="G159" s="1132">
        <f>DUB!$I$13</f>
        <v>240000</v>
      </c>
      <c r="H159" s="1115">
        <f>G159*F159</f>
        <v>48000</v>
      </c>
      <c r="J159" s="1557"/>
      <c r="K159" s="1557"/>
      <c r="L159" s="1557"/>
      <c r="M159" s="1899"/>
    </row>
    <row r="160" spans="2:13" s="979" customFormat="1" hidden="1">
      <c r="B160" s="1902"/>
      <c r="C160" s="1130" t="s">
        <v>683</v>
      </c>
      <c r="D160" s="1129" t="s">
        <v>684</v>
      </c>
      <c r="E160" s="1129" t="s">
        <v>675</v>
      </c>
      <c r="F160" s="1131">
        <v>0.05</v>
      </c>
      <c r="G160" s="1132">
        <f>DUB!$I$12</f>
        <v>225000</v>
      </c>
      <c r="H160" s="1115">
        <f>G160*F160</f>
        <v>11250</v>
      </c>
      <c r="J160" s="1557"/>
      <c r="K160" s="1557"/>
      <c r="L160" s="1557"/>
      <c r="M160" s="1899"/>
    </row>
    <row r="161" spans="2:13" s="979" customFormat="1" hidden="1">
      <c r="B161" s="1902"/>
      <c r="C161" s="1130"/>
      <c r="D161" s="1129"/>
      <c r="E161" s="1129"/>
      <c r="F161" s="2102" t="s">
        <v>685</v>
      </c>
      <c r="G161" s="2102"/>
      <c r="H161" s="1115">
        <f>SUM(H157:H160)</f>
        <v>583250</v>
      </c>
      <c r="J161" s="1557"/>
      <c r="K161" s="1557"/>
      <c r="L161" s="1557"/>
      <c r="M161" s="1899"/>
    </row>
    <row r="162" spans="2:13" s="979" customFormat="1" hidden="1">
      <c r="B162" s="1901" t="s">
        <v>686</v>
      </c>
      <c r="C162" s="1112" t="s">
        <v>687</v>
      </c>
      <c r="D162" s="1129"/>
      <c r="E162" s="1129"/>
      <c r="F162" s="1131"/>
      <c r="G162" s="1132"/>
      <c r="H162" s="1115"/>
      <c r="J162" s="1557"/>
      <c r="K162" s="1557"/>
      <c r="L162" s="1557"/>
      <c r="M162" s="1899"/>
    </row>
    <row r="163" spans="2:13" s="979" customFormat="1" hidden="1">
      <c r="B163" s="1902"/>
      <c r="C163" s="1630" t="s">
        <v>3869</v>
      </c>
      <c r="D163" s="1129"/>
      <c r="E163" s="1129" t="s">
        <v>688</v>
      </c>
      <c r="F163" s="1131">
        <v>1.25</v>
      </c>
      <c r="G163" s="1132">
        <f>DUB!$I$80</f>
        <v>41220</v>
      </c>
      <c r="H163" s="1115">
        <f t="shared" ref="H163:H170" si="4">G163*F163</f>
        <v>51525</v>
      </c>
      <c r="J163" s="1557"/>
      <c r="K163" s="1557"/>
      <c r="L163" s="1557"/>
      <c r="M163" s="1899"/>
    </row>
    <row r="164" spans="2:13" s="979" customFormat="1" hidden="1">
      <c r="B164" s="1902"/>
      <c r="C164" s="1130" t="s">
        <v>732</v>
      </c>
      <c r="D164" s="1129"/>
      <c r="E164" s="1129" t="s">
        <v>2646</v>
      </c>
      <c r="F164" s="1131">
        <v>0.186</v>
      </c>
      <c r="G164" s="1132">
        <f>DUB!$I$85</f>
        <v>6250000</v>
      </c>
      <c r="H164" s="1115">
        <f t="shared" si="4"/>
        <v>1162500</v>
      </c>
      <c r="J164" s="1557"/>
      <c r="K164" s="1557"/>
      <c r="L164" s="1557"/>
      <c r="M164" s="1899"/>
    </row>
    <row r="165" spans="2:13" s="979" customFormat="1" hidden="1">
      <c r="B165" s="1902"/>
      <c r="C165" s="1130" t="s">
        <v>734</v>
      </c>
      <c r="D165" s="1129"/>
      <c r="E165" s="1129" t="s">
        <v>690</v>
      </c>
      <c r="F165" s="1131">
        <v>0.3</v>
      </c>
      <c r="G165" s="1132">
        <f>DUB!$I$128</f>
        <v>20441.7</v>
      </c>
      <c r="H165" s="1115">
        <f t="shared" si="4"/>
        <v>6132.51</v>
      </c>
      <c r="J165" s="1557"/>
      <c r="K165" s="1557"/>
      <c r="L165" s="1557"/>
      <c r="M165" s="1899"/>
    </row>
    <row r="166" spans="2:13" s="979" customFormat="1" hidden="1">
      <c r="B166" s="1902"/>
      <c r="C166" s="1130" t="s">
        <v>738</v>
      </c>
      <c r="D166" s="1129"/>
      <c r="E166" s="1129" t="s">
        <v>690</v>
      </c>
      <c r="F166" s="1131">
        <v>18</v>
      </c>
      <c r="G166" s="1132">
        <f>$G$144</f>
        <v>1575</v>
      </c>
      <c r="H166" s="1115">
        <f t="shared" si="4"/>
        <v>28350</v>
      </c>
      <c r="J166" s="1557"/>
      <c r="K166" s="1557"/>
      <c r="L166" s="1557"/>
      <c r="M166" s="1899"/>
    </row>
    <row r="167" spans="2:13" s="979" customFormat="1" hidden="1">
      <c r="B167" s="1902"/>
      <c r="C167" s="1130" t="s">
        <v>691</v>
      </c>
      <c r="D167" s="1129"/>
      <c r="E167" s="1129" t="s">
        <v>2646</v>
      </c>
      <c r="F167" s="1131">
        <v>0.03</v>
      </c>
      <c r="G167" s="1132">
        <f>DUB!$I$59</f>
        <v>208463</v>
      </c>
      <c r="H167" s="1115">
        <f t="shared" si="4"/>
        <v>6253.8899999999994</v>
      </c>
      <c r="J167" s="1557"/>
      <c r="K167" s="1557"/>
      <c r="L167" s="1557"/>
      <c r="M167" s="1899"/>
    </row>
    <row r="168" spans="2:13" s="979" customFormat="1" hidden="1">
      <c r="B168" s="1902"/>
      <c r="C168" s="1130" t="s">
        <v>694</v>
      </c>
      <c r="D168" s="1129"/>
      <c r="E168" s="1129" t="s">
        <v>2646</v>
      </c>
      <c r="F168" s="1131">
        <v>0.05</v>
      </c>
      <c r="G168" s="1132">
        <f>DUB!$I$38</f>
        <v>236700</v>
      </c>
      <c r="H168" s="1115">
        <f t="shared" si="4"/>
        <v>11835</v>
      </c>
      <c r="J168" s="1557"/>
      <c r="K168" s="1557"/>
      <c r="L168" s="1557"/>
      <c r="M168" s="1899"/>
    </row>
    <row r="169" spans="2:13" s="979" customFormat="1" hidden="1">
      <c r="B169" s="1902"/>
      <c r="C169" s="1130" t="s">
        <v>714</v>
      </c>
      <c r="D169" s="1129"/>
      <c r="E169" s="1129" t="s">
        <v>715</v>
      </c>
      <c r="F169" s="1131">
        <v>1.5</v>
      </c>
      <c r="G169" s="1132">
        <f>DUB!$I$259</f>
        <v>51408</v>
      </c>
      <c r="H169" s="1115">
        <f t="shared" si="4"/>
        <v>77112</v>
      </c>
      <c r="J169" s="1557"/>
      <c r="K169" s="1557"/>
      <c r="L169" s="1557"/>
      <c r="M169" s="1899"/>
    </row>
    <row r="170" spans="2:13" s="979" customFormat="1" hidden="1">
      <c r="B170" s="1902"/>
      <c r="C170" s="1130" t="s">
        <v>4404</v>
      </c>
      <c r="D170" s="1129"/>
      <c r="E170" s="1129" t="s">
        <v>715</v>
      </c>
      <c r="F170" s="1131">
        <v>1.35</v>
      </c>
      <c r="G170" s="1132">
        <f>DUB!$I$92</f>
        <v>76464</v>
      </c>
      <c r="H170" s="1115">
        <f t="shared" si="4"/>
        <v>103226.40000000001</v>
      </c>
      <c r="J170" s="1557"/>
      <c r="K170" s="1557"/>
      <c r="L170" s="1557"/>
      <c r="M170" s="1899"/>
    </row>
    <row r="171" spans="2:13" s="979" customFormat="1" hidden="1">
      <c r="B171" s="1902"/>
      <c r="C171" s="1130"/>
      <c r="D171" s="1129"/>
      <c r="E171" s="1129"/>
      <c r="F171" s="2102" t="s">
        <v>702</v>
      </c>
      <c r="G171" s="2102"/>
      <c r="H171" s="1115">
        <f>SUM(H163:H170)</f>
        <v>1446934.7999999998</v>
      </c>
      <c r="J171" s="1557"/>
      <c r="K171" s="1557"/>
      <c r="L171" s="1557"/>
      <c r="M171" s="1899"/>
    </row>
    <row r="172" spans="2:13" s="980" customFormat="1" hidden="1">
      <c r="B172" s="1901" t="s">
        <v>703</v>
      </c>
      <c r="C172" s="2101" t="s">
        <v>3764</v>
      </c>
      <c r="D172" s="2101"/>
      <c r="E172" s="2101"/>
      <c r="F172" s="2101"/>
      <c r="G172" s="2101"/>
      <c r="H172" s="1176">
        <f>H161+H171</f>
        <v>2030184.7999999998</v>
      </c>
      <c r="J172" s="1559"/>
      <c r="K172" s="1559"/>
      <c r="L172" s="1559"/>
      <c r="M172" s="1897"/>
    </row>
    <row r="173" spans="2:13" s="980" customFormat="1" hidden="1">
      <c r="B173" s="1901" t="s">
        <v>706</v>
      </c>
      <c r="C173" s="2103" t="s">
        <v>709</v>
      </c>
      <c r="D173" s="2103"/>
      <c r="E173" s="2103"/>
      <c r="F173" s="2104" t="s">
        <v>3873</v>
      </c>
      <c r="G173" s="2104"/>
      <c r="H173" s="1176">
        <f>H172*0.15</f>
        <v>304527.71999999997</v>
      </c>
      <c r="J173" s="1559"/>
      <c r="K173" s="1559"/>
      <c r="L173" s="1559"/>
      <c r="M173" s="1897"/>
    </row>
    <row r="174" spans="2:13" s="980" customFormat="1" hidden="1">
      <c r="B174" s="1901" t="s">
        <v>708</v>
      </c>
      <c r="C174" s="2101" t="s">
        <v>3765</v>
      </c>
      <c r="D174" s="2101"/>
      <c r="E174" s="2101"/>
      <c r="F174" s="2101"/>
      <c r="G174" s="2101"/>
      <c r="H174" s="1134">
        <f>ROUND(SUM(H172:H173),2)</f>
        <v>2334712.52</v>
      </c>
      <c r="I174" s="984">
        <f>SUM(H172:H173)</f>
        <v>2334712.5199999996</v>
      </c>
      <c r="J174" s="1561"/>
      <c r="K174" s="1561"/>
      <c r="L174" s="1559"/>
      <c r="M174" s="1897"/>
    </row>
    <row r="175" spans="2:13" s="979" customFormat="1" hidden="1">
      <c r="B175" s="1901"/>
      <c r="C175" s="1112"/>
      <c r="D175" s="1111"/>
      <c r="E175" s="1111"/>
      <c r="F175" s="1113"/>
      <c r="G175" s="1114"/>
      <c r="H175" s="1115"/>
      <c r="J175" s="1557"/>
      <c r="K175" s="1557"/>
      <c r="L175" s="1557"/>
      <c r="M175" s="1899"/>
    </row>
    <row r="176" spans="2:13" s="980" customFormat="1" hidden="1">
      <c r="B176" s="1896" t="s">
        <v>3874</v>
      </c>
      <c r="C176" s="1232" t="s">
        <v>2669</v>
      </c>
      <c r="D176" s="1100"/>
      <c r="E176" s="1100"/>
      <c r="F176" s="1174"/>
      <c r="G176" s="1175"/>
      <c r="H176" s="1134"/>
      <c r="J176" s="1559"/>
      <c r="K176" s="1559"/>
      <c r="L176" s="1559"/>
      <c r="M176" s="1897"/>
    </row>
    <row r="177" spans="2:13" s="982" customFormat="1" ht="24.9" hidden="1" customHeight="1">
      <c r="B177" s="1900" t="s">
        <v>1003</v>
      </c>
      <c r="C177" s="1221" t="s">
        <v>1004</v>
      </c>
      <c r="D177" s="1221" t="s">
        <v>1005</v>
      </c>
      <c r="E177" s="1221" t="s">
        <v>1006</v>
      </c>
      <c r="F177" s="1222" t="s">
        <v>1007</v>
      </c>
      <c r="G177" s="1618" t="s">
        <v>2639</v>
      </c>
      <c r="H177" s="1620" t="s">
        <v>2638</v>
      </c>
      <c r="J177" s="1625"/>
      <c r="K177" s="1625"/>
      <c r="L177" s="1625"/>
      <c r="M177" s="1904"/>
    </row>
    <row r="178" spans="2:13" s="979" customFormat="1" hidden="1">
      <c r="B178" s="1901" t="s">
        <v>671</v>
      </c>
      <c r="C178" s="1112" t="s">
        <v>672</v>
      </c>
      <c r="D178" s="1129"/>
      <c r="E178" s="1129"/>
      <c r="F178" s="1131"/>
      <c r="G178" s="1132"/>
      <c r="H178" s="1115"/>
      <c r="J178" s="1557"/>
      <c r="K178" s="1557"/>
      <c r="L178" s="1557"/>
      <c r="M178" s="1899"/>
    </row>
    <row r="179" spans="2:13" s="979" customFormat="1" hidden="1">
      <c r="B179" s="1902"/>
      <c r="C179" s="1130" t="s">
        <v>673</v>
      </c>
      <c r="D179" s="1129" t="s">
        <v>674</v>
      </c>
      <c r="E179" s="1129" t="s">
        <v>675</v>
      </c>
      <c r="F179" s="1131">
        <v>0.1</v>
      </c>
      <c r="G179" s="1132">
        <f>DUB!$I$10</f>
        <v>150000</v>
      </c>
      <c r="H179" s="1115">
        <f>G179*F179</f>
        <v>15000</v>
      </c>
      <c r="J179" s="1557"/>
      <c r="K179" s="1557"/>
      <c r="L179" s="1557"/>
      <c r="M179" s="1899"/>
    </row>
    <row r="180" spans="2:13" s="979" customFormat="1" hidden="1">
      <c r="B180" s="1902"/>
      <c r="C180" s="1130" t="s">
        <v>683</v>
      </c>
      <c r="D180" s="1129" t="s">
        <v>684</v>
      </c>
      <c r="E180" s="1129" t="s">
        <v>675</v>
      </c>
      <c r="F180" s="1131">
        <v>0.05</v>
      </c>
      <c r="G180" s="1132">
        <f>DUB!$I$12</f>
        <v>225000</v>
      </c>
      <c r="H180" s="1115">
        <f>G180*F180</f>
        <v>11250</v>
      </c>
      <c r="J180" s="1557"/>
      <c r="K180" s="1557"/>
      <c r="L180" s="1557"/>
      <c r="M180" s="1899"/>
    </row>
    <row r="181" spans="2:13" s="979" customFormat="1" hidden="1">
      <c r="B181" s="1902"/>
      <c r="C181" s="1130"/>
      <c r="D181" s="1129"/>
      <c r="E181" s="1129"/>
      <c r="F181" s="2102" t="s">
        <v>685</v>
      </c>
      <c r="G181" s="2102"/>
      <c r="H181" s="1115">
        <f>SUM(H179:H180)</f>
        <v>26250</v>
      </c>
      <c r="J181" s="1557"/>
      <c r="K181" s="1557"/>
      <c r="L181" s="1557"/>
      <c r="M181" s="1899"/>
    </row>
    <row r="182" spans="2:13" s="979" customFormat="1" hidden="1">
      <c r="B182" s="1901" t="s">
        <v>686</v>
      </c>
      <c r="C182" s="1112" t="s">
        <v>687</v>
      </c>
      <c r="D182" s="1129"/>
      <c r="E182" s="1129"/>
      <c r="F182" s="1131"/>
      <c r="G182" s="1132"/>
      <c r="H182" s="1115"/>
      <c r="J182" s="1557"/>
      <c r="K182" s="1557"/>
      <c r="L182" s="1557"/>
      <c r="M182" s="1899"/>
    </row>
    <row r="183" spans="2:13" s="979" customFormat="1" hidden="1">
      <c r="B183" s="1902"/>
      <c r="C183" s="1130"/>
      <c r="D183" s="1129"/>
      <c r="E183" s="1129"/>
      <c r="F183" s="2102" t="s">
        <v>702</v>
      </c>
      <c r="G183" s="2102"/>
      <c r="H183" s="1115"/>
      <c r="J183" s="1557"/>
      <c r="K183" s="1557"/>
      <c r="L183" s="1557"/>
      <c r="M183" s="1899"/>
    </row>
    <row r="184" spans="2:13" s="980" customFormat="1" hidden="1">
      <c r="B184" s="1901" t="s">
        <v>703</v>
      </c>
      <c r="C184" s="2101" t="s">
        <v>3764</v>
      </c>
      <c r="D184" s="2101"/>
      <c r="E184" s="2101"/>
      <c r="F184" s="2101"/>
      <c r="G184" s="2101"/>
      <c r="H184" s="1176">
        <f>H181+H183</f>
        <v>26250</v>
      </c>
      <c r="J184" s="1559"/>
      <c r="K184" s="1559"/>
      <c r="L184" s="1559"/>
      <c r="M184" s="1897"/>
    </row>
    <row r="185" spans="2:13" s="980" customFormat="1" hidden="1">
      <c r="B185" s="1901" t="s">
        <v>708</v>
      </c>
      <c r="C185" s="2103" t="s">
        <v>709</v>
      </c>
      <c r="D185" s="2103"/>
      <c r="E185" s="2103"/>
      <c r="F185" s="2104" t="s">
        <v>3873</v>
      </c>
      <c r="G185" s="2104"/>
      <c r="H185" s="1176">
        <f>H184*0.15</f>
        <v>3937.5</v>
      </c>
      <c r="J185" s="1559"/>
      <c r="K185" s="1559"/>
      <c r="L185" s="1559"/>
      <c r="M185" s="1897"/>
    </row>
    <row r="186" spans="2:13" s="980" customFormat="1" hidden="1">
      <c r="B186" s="1901" t="s">
        <v>708</v>
      </c>
      <c r="C186" s="2101" t="s">
        <v>3765</v>
      </c>
      <c r="D186" s="2101"/>
      <c r="E186" s="2101"/>
      <c r="F186" s="2101"/>
      <c r="G186" s="2101"/>
      <c r="H186" s="1134">
        <f>ROUND(SUM(H184:H185),2)</f>
        <v>30187.5</v>
      </c>
      <c r="I186" s="984">
        <f>SUM(H184:H185)</f>
        <v>30187.5</v>
      </c>
      <c r="J186" s="1561"/>
      <c r="K186" s="1561"/>
      <c r="L186" s="1559"/>
      <c r="M186" s="1897"/>
    </row>
    <row r="187" spans="2:13" s="979" customFormat="1" hidden="1">
      <c r="B187" s="1903"/>
      <c r="C187" s="1096"/>
      <c r="D187" s="1095"/>
      <c r="E187" s="1095"/>
      <c r="F187" s="1172"/>
      <c r="G187" s="1173"/>
      <c r="H187" s="1133"/>
      <c r="J187" s="1557"/>
      <c r="K187" s="1557"/>
      <c r="L187" s="1557"/>
      <c r="M187" s="1899"/>
    </row>
    <row r="188" spans="2:13" s="980" customFormat="1" hidden="1">
      <c r="B188" s="1896" t="s">
        <v>3875</v>
      </c>
      <c r="C188" s="1232" t="s">
        <v>2670</v>
      </c>
      <c r="D188" s="1100"/>
      <c r="E188" s="1100"/>
      <c r="F188" s="1174"/>
      <c r="G188" s="1175"/>
      <c r="H188" s="1134"/>
      <c r="J188" s="1559"/>
      <c r="K188" s="1559"/>
      <c r="L188" s="1559"/>
      <c r="M188" s="1897"/>
    </row>
    <row r="189" spans="2:13" s="982" customFormat="1" ht="24.9" hidden="1" customHeight="1">
      <c r="B189" s="1900" t="s">
        <v>1003</v>
      </c>
      <c r="C189" s="1221" t="s">
        <v>1004</v>
      </c>
      <c r="D189" s="1221" t="s">
        <v>1005</v>
      </c>
      <c r="E189" s="1221" t="s">
        <v>1006</v>
      </c>
      <c r="F189" s="1222" t="s">
        <v>1007</v>
      </c>
      <c r="G189" s="1618" t="s">
        <v>2637</v>
      </c>
      <c r="H189" s="1620" t="s">
        <v>2638</v>
      </c>
      <c r="J189" s="1625"/>
      <c r="K189" s="1625"/>
      <c r="L189" s="1625"/>
      <c r="M189" s="1904"/>
    </row>
    <row r="190" spans="2:13" s="979" customFormat="1" hidden="1">
      <c r="B190" s="1901" t="s">
        <v>671</v>
      </c>
      <c r="C190" s="1112" t="s">
        <v>672</v>
      </c>
      <c r="D190" s="1129"/>
      <c r="E190" s="1129"/>
      <c r="F190" s="1131"/>
      <c r="G190" s="1132"/>
      <c r="H190" s="1115"/>
      <c r="J190" s="1557"/>
      <c r="K190" s="1557"/>
      <c r="L190" s="1557"/>
      <c r="M190" s="1899"/>
    </row>
    <row r="191" spans="2:13" s="979" customFormat="1" hidden="1">
      <c r="B191" s="1902"/>
      <c r="C191" s="1130" t="s">
        <v>673</v>
      </c>
      <c r="D191" s="1129" t="s">
        <v>674</v>
      </c>
      <c r="E191" s="1129" t="s">
        <v>675</v>
      </c>
      <c r="F191" s="1131">
        <v>1</v>
      </c>
      <c r="G191" s="1132">
        <f>DUB!$I$10</f>
        <v>150000</v>
      </c>
      <c r="H191" s="1115">
        <f>G191*F191</f>
        <v>150000</v>
      </c>
      <c r="J191" s="1557"/>
      <c r="K191" s="1557"/>
      <c r="L191" s="1557"/>
      <c r="M191" s="1899"/>
    </row>
    <row r="192" spans="2:13" s="979" customFormat="1" hidden="1">
      <c r="B192" s="1902"/>
      <c r="C192" s="1130" t="s">
        <v>677</v>
      </c>
      <c r="D192" s="1129" t="s">
        <v>678</v>
      </c>
      <c r="E192" s="1129" t="s">
        <v>675</v>
      </c>
      <c r="F192" s="1131">
        <v>1</v>
      </c>
      <c r="G192" s="1132">
        <f>DUB!$I$11</f>
        <v>187000</v>
      </c>
      <c r="H192" s="1115">
        <f>G192*F192</f>
        <v>187000</v>
      </c>
      <c r="J192" s="1557"/>
      <c r="K192" s="1557"/>
      <c r="L192" s="1557"/>
      <c r="M192" s="1899"/>
    </row>
    <row r="193" spans="2:13" s="979" customFormat="1" hidden="1">
      <c r="B193" s="1902"/>
      <c r="C193" s="1130" t="s">
        <v>680</v>
      </c>
      <c r="D193" s="1129" t="s">
        <v>681</v>
      </c>
      <c r="E193" s="1129" t="s">
        <v>675</v>
      </c>
      <c r="F193" s="1131">
        <v>0.2</v>
      </c>
      <c r="G193" s="1132">
        <f>DUB!$I$13</f>
        <v>240000</v>
      </c>
      <c r="H193" s="1115">
        <f>G193*F193</f>
        <v>48000</v>
      </c>
      <c r="J193" s="1557"/>
      <c r="K193" s="1557"/>
      <c r="L193" s="1557"/>
      <c r="M193" s="1899"/>
    </row>
    <row r="194" spans="2:13" s="979" customFormat="1" hidden="1">
      <c r="B194" s="1902"/>
      <c r="C194" s="1130" t="s">
        <v>683</v>
      </c>
      <c r="D194" s="1129" t="s">
        <v>684</v>
      </c>
      <c r="E194" s="1129" t="s">
        <v>675</v>
      </c>
      <c r="F194" s="1131">
        <v>0.05</v>
      </c>
      <c r="G194" s="1132">
        <f>DUB!$I$12</f>
        <v>225000</v>
      </c>
      <c r="H194" s="1115">
        <f>G194*F194</f>
        <v>11250</v>
      </c>
      <c r="J194" s="1557"/>
      <c r="K194" s="1557"/>
      <c r="L194" s="1557"/>
      <c r="M194" s="1899"/>
    </row>
    <row r="195" spans="2:13" s="979" customFormat="1" hidden="1">
      <c r="B195" s="1902"/>
      <c r="C195" s="1130"/>
      <c r="D195" s="1129"/>
      <c r="E195" s="1129"/>
      <c r="F195" s="2102" t="s">
        <v>685</v>
      </c>
      <c r="G195" s="2102"/>
      <c r="H195" s="1115">
        <f>SUM(H191:H194)</f>
        <v>396250</v>
      </c>
      <c r="J195" s="1557"/>
      <c r="K195" s="1557"/>
      <c r="L195" s="1557"/>
      <c r="M195" s="1899"/>
    </row>
    <row r="196" spans="2:13" s="979" customFormat="1" hidden="1">
      <c r="B196" s="1901" t="s">
        <v>686</v>
      </c>
      <c r="C196" s="1112" t="s">
        <v>687</v>
      </c>
      <c r="D196" s="1129"/>
      <c r="E196" s="1129"/>
      <c r="F196" s="1131"/>
      <c r="G196" s="1132"/>
      <c r="H196" s="1115"/>
      <c r="J196" s="1557"/>
      <c r="K196" s="1557"/>
      <c r="L196" s="1557"/>
      <c r="M196" s="1899"/>
    </row>
    <row r="197" spans="2:13" s="979" customFormat="1" hidden="1">
      <c r="B197" s="1902"/>
      <c r="C197" s="1130" t="s">
        <v>2642</v>
      </c>
      <c r="D197" s="1129"/>
      <c r="E197" s="1129" t="s">
        <v>688</v>
      </c>
      <c r="F197" s="1131">
        <v>1.25</v>
      </c>
      <c r="G197" s="1132">
        <f>DUB!$I$96</f>
        <v>19080</v>
      </c>
      <c r="H197" s="1115">
        <f>G197*F197</f>
        <v>23850</v>
      </c>
      <c r="J197" s="1557"/>
      <c r="K197" s="1557"/>
      <c r="L197" s="1557"/>
      <c r="M197" s="1899"/>
    </row>
    <row r="198" spans="2:13" s="979" customFormat="1" hidden="1">
      <c r="B198" s="1902"/>
      <c r="C198" s="1130" t="s">
        <v>769</v>
      </c>
      <c r="D198" s="1129"/>
      <c r="E198" s="1129" t="s">
        <v>773</v>
      </c>
      <c r="F198" s="1131">
        <v>0.186</v>
      </c>
      <c r="G198" s="1132">
        <f>DUB!$I$79</f>
        <v>35046</v>
      </c>
      <c r="H198" s="1115">
        <f>G198*F198</f>
        <v>6518.5559999999996</v>
      </c>
      <c r="J198" s="1557"/>
      <c r="K198" s="1557"/>
      <c r="L198" s="1557"/>
      <c r="M198" s="1899"/>
    </row>
    <row r="199" spans="2:13" s="979" customFormat="1" hidden="1">
      <c r="B199" s="1902"/>
      <c r="C199" s="1130"/>
      <c r="D199" s="1129"/>
      <c r="E199" s="1129"/>
      <c r="F199" s="2102" t="s">
        <v>702</v>
      </c>
      <c r="G199" s="2102"/>
      <c r="H199" s="1115">
        <f>SUM(H197:H198)</f>
        <v>30368.556</v>
      </c>
      <c r="J199" s="1557"/>
      <c r="K199" s="1557"/>
      <c r="L199" s="1557"/>
      <c r="M199" s="1899"/>
    </row>
    <row r="200" spans="2:13" s="980" customFormat="1" hidden="1">
      <c r="B200" s="1901" t="s">
        <v>703</v>
      </c>
      <c r="C200" s="2101" t="s">
        <v>3764</v>
      </c>
      <c r="D200" s="2101"/>
      <c r="E200" s="2101"/>
      <c r="F200" s="2101"/>
      <c r="G200" s="2101"/>
      <c r="H200" s="1176">
        <f>H195+H199</f>
        <v>426618.55599999998</v>
      </c>
      <c r="J200" s="1559"/>
      <c r="K200" s="1559"/>
      <c r="L200" s="1559"/>
      <c r="M200" s="1897"/>
    </row>
    <row r="201" spans="2:13" s="980" customFormat="1" hidden="1">
      <c r="B201" s="1901" t="s">
        <v>706</v>
      </c>
      <c r="C201" s="2103" t="s">
        <v>709</v>
      </c>
      <c r="D201" s="2103"/>
      <c r="E201" s="2103"/>
      <c r="F201" s="2104" t="s">
        <v>3873</v>
      </c>
      <c r="G201" s="2104"/>
      <c r="H201" s="1176">
        <f>H200*0.15</f>
        <v>63992.783399999993</v>
      </c>
      <c r="J201" s="1559"/>
      <c r="K201" s="1559"/>
      <c r="L201" s="1559"/>
      <c r="M201" s="1897"/>
    </row>
    <row r="202" spans="2:13" s="980" customFormat="1" hidden="1">
      <c r="B202" s="1901" t="s">
        <v>708</v>
      </c>
      <c r="C202" s="2101" t="s">
        <v>3765</v>
      </c>
      <c r="D202" s="2101"/>
      <c r="E202" s="2101"/>
      <c r="F202" s="2101"/>
      <c r="G202" s="2101"/>
      <c r="H202" s="1134">
        <f>ROUND(SUM(H200:H201),2)</f>
        <v>490611.34</v>
      </c>
      <c r="I202" s="984">
        <f>SUM(H200:H201)</f>
        <v>490611.3394</v>
      </c>
      <c r="J202" s="1561"/>
      <c r="K202" s="1561"/>
      <c r="L202" s="1559"/>
      <c r="M202" s="1897"/>
    </row>
    <row r="203" spans="2:13" s="979" customFormat="1" hidden="1">
      <c r="B203" s="1902"/>
      <c r="C203" s="1130"/>
      <c r="D203" s="1129"/>
      <c r="E203" s="1129"/>
      <c r="F203" s="1131"/>
      <c r="G203" s="1132"/>
      <c r="H203" s="1115"/>
      <c r="J203" s="1557"/>
      <c r="K203" s="1557"/>
      <c r="L203" s="1557"/>
      <c r="M203" s="1899"/>
    </row>
    <row r="204" spans="2:13" s="980" customFormat="1" hidden="1">
      <c r="B204" s="1896" t="s">
        <v>3876</v>
      </c>
      <c r="C204" s="1232" t="s">
        <v>2671</v>
      </c>
      <c r="D204" s="1100"/>
      <c r="E204" s="1100"/>
      <c r="F204" s="1174"/>
      <c r="G204" s="1175"/>
      <c r="H204" s="1134"/>
      <c r="J204" s="1559"/>
      <c r="K204" s="1559"/>
      <c r="L204" s="1559"/>
      <c r="M204" s="1897"/>
    </row>
    <row r="205" spans="2:13" s="982" customFormat="1" ht="24.9" hidden="1" customHeight="1">
      <c r="B205" s="1900" t="s">
        <v>1003</v>
      </c>
      <c r="C205" s="1221" t="s">
        <v>1004</v>
      </c>
      <c r="D205" s="1221" t="s">
        <v>1005</v>
      </c>
      <c r="E205" s="1221" t="s">
        <v>1006</v>
      </c>
      <c r="F205" s="1222" t="s">
        <v>1007</v>
      </c>
      <c r="G205" s="1618" t="s">
        <v>2637</v>
      </c>
      <c r="H205" s="1620" t="s">
        <v>2638</v>
      </c>
      <c r="J205" s="1625"/>
      <c r="K205" s="1625"/>
      <c r="L205" s="1625"/>
      <c r="M205" s="1904"/>
    </row>
    <row r="206" spans="2:13" s="979" customFormat="1" hidden="1">
      <c r="B206" s="1901" t="s">
        <v>671</v>
      </c>
      <c r="C206" s="1112" t="s">
        <v>672</v>
      </c>
      <c r="D206" s="1129"/>
      <c r="E206" s="1129"/>
      <c r="F206" s="1131"/>
      <c r="G206" s="1132"/>
      <c r="H206" s="1115"/>
      <c r="J206" s="1557"/>
      <c r="K206" s="1557"/>
      <c r="L206" s="1557"/>
      <c r="M206" s="1899"/>
    </row>
    <row r="207" spans="2:13" s="979" customFormat="1" hidden="1">
      <c r="B207" s="1901"/>
      <c r="C207" s="1130" t="s">
        <v>677</v>
      </c>
      <c r="D207" s="1129" t="s">
        <v>678</v>
      </c>
      <c r="E207" s="1129" t="s">
        <v>675</v>
      </c>
      <c r="F207" s="1131">
        <v>0.3</v>
      </c>
      <c r="G207" s="1132">
        <f>DUB!$I$11</f>
        <v>187000</v>
      </c>
      <c r="H207" s="1115">
        <f>G207*F207</f>
        <v>56100</v>
      </c>
      <c r="J207" s="1557"/>
      <c r="K207" s="1557"/>
      <c r="L207" s="1557"/>
      <c r="M207" s="1899"/>
    </row>
    <row r="208" spans="2:13" s="979" customFormat="1" hidden="1">
      <c r="B208" s="1901"/>
      <c r="C208" s="1130" t="s">
        <v>680</v>
      </c>
      <c r="D208" s="1129" t="s">
        <v>681</v>
      </c>
      <c r="E208" s="1129" t="s">
        <v>675</v>
      </c>
      <c r="F208" s="1131">
        <v>0.03</v>
      </c>
      <c r="G208" s="1132">
        <f>DUB!$I$13</f>
        <v>240000</v>
      </c>
      <c r="H208" s="1115">
        <f>G208*F208</f>
        <v>7200</v>
      </c>
      <c r="J208" s="1557"/>
      <c r="K208" s="1557"/>
      <c r="L208" s="1557"/>
      <c r="M208" s="1899"/>
    </row>
    <row r="209" spans="2:13" s="979" customFormat="1" hidden="1">
      <c r="B209" s="1901"/>
      <c r="C209" s="1130"/>
      <c r="D209" s="1129"/>
      <c r="E209" s="1129"/>
      <c r="F209" s="2102" t="s">
        <v>685</v>
      </c>
      <c r="G209" s="2102"/>
      <c r="H209" s="1115">
        <f>SUM(H207:H208)</f>
        <v>63300</v>
      </c>
      <c r="J209" s="1557"/>
      <c r="K209" s="1557"/>
      <c r="L209" s="1557"/>
      <c r="M209" s="1899"/>
    </row>
    <row r="210" spans="2:13" s="979" customFormat="1" hidden="1">
      <c r="B210" s="1901" t="s">
        <v>686</v>
      </c>
      <c r="C210" s="1112" t="s">
        <v>687</v>
      </c>
      <c r="D210" s="1129"/>
      <c r="E210" s="1129"/>
      <c r="F210" s="1131"/>
      <c r="G210" s="1132"/>
      <c r="H210" s="1115"/>
      <c r="J210" s="1557"/>
      <c r="K210" s="1557"/>
      <c r="L210" s="1557"/>
      <c r="M210" s="1899"/>
    </row>
    <row r="211" spans="2:13" s="979" customFormat="1" hidden="1">
      <c r="B211" s="1901"/>
      <c r="C211" s="1130" t="s">
        <v>771</v>
      </c>
      <c r="D211" s="1129"/>
      <c r="E211" s="1129" t="s">
        <v>2646</v>
      </c>
      <c r="F211" s="1131">
        <v>3.5999999999999997E-2</v>
      </c>
      <c r="G211" s="1132">
        <f>DUB!$I$85</f>
        <v>6250000</v>
      </c>
      <c r="H211" s="1115">
        <f>G211*F211</f>
        <v>224999.99999999997</v>
      </c>
      <c r="J211" s="1557"/>
      <c r="K211" s="1557"/>
      <c r="L211" s="1557"/>
      <c r="M211" s="1899"/>
    </row>
    <row r="212" spans="2:13" s="979" customFormat="1" hidden="1">
      <c r="B212" s="1901"/>
      <c r="C212" s="1630" t="s">
        <v>3877</v>
      </c>
      <c r="D212" s="1129"/>
      <c r="E212" s="1129" t="s">
        <v>2646</v>
      </c>
      <c r="F212" s="1131"/>
      <c r="G212" s="1132">
        <f>DUB!$I$85</f>
        <v>6250000</v>
      </c>
      <c r="H212" s="1115">
        <f>G212*F212</f>
        <v>0</v>
      </c>
      <c r="J212" s="1557"/>
      <c r="K212" s="1557"/>
      <c r="L212" s="1557"/>
      <c r="M212" s="1899"/>
    </row>
    <row r="213" spans="2:13" s="979" customFormat="1" hidden="1">
      <c r="B213" s="1901"/>
      <c r="C213" s="1130" t="s">
        <v>734</v>
      </c>
      <c r="D213" s="1129"/>
      <c r="E213" s="1129" t="s">
        <v>773</v>
      </c>
      <c r="F213" s="1131">
        <v>0.08</v>
      </c>
      <c r="G213" s="1132">
        <f>DUB!$I$128</f>
        <v>20441.7</v>
      </c>
      <c r="H213" s="1115">
        <f>G213*F213</f>
        <v>1635.336</v>
      </c>
      <c r="J213" s="1557"/>
      <c r="K213" s="1557"/>
      <c r="L213" s="1557"/>
      <c r="M213" s="1899"/>
    </row>
    <row r="214" spans="2:13" s="979" customFormat="1" hidden="1">
      <c r="B214" s="1901"/>
      <c r="C214" s="1130"/>
      <c r="D214" s="1129"/>
      <c r="E214" s="1129"/>
      <c r="F214" s="2102" t="s">
        <v>702</v>
      </c>
      <c r="G214" s="2102"/>
      <c r="H214" s="1115">
        <f>SUM(H211:H213)</f>
        <v>226635.33599999998</v>
      </c>
      <c r="J214" s="1557"/>
      <c r="K214" s="1557"/>
      <c r="L214" s="1557"/>
      <c r="M214" s="1899"/>
    </row>
    <row r="215" spans="2:13" s="979" customFormat="1" hidden="1">
      <c r="B215" s="1901" t="s">
        <v>703</v>
      </c>
      <c r="C215" s="2107" t="s">
        <v>3764</v>
      </c>
      <c r="D215" s="2107"/>
      <c r="E215" s="2107"/>
      <c r="F215" s="2107"/>
      <c r="G215" s="2107"/>
      <c r="H215" s="1115">
        <f>H209+H214</f>
        <v>289935.33600000001</v>
      </c>
      <c r="J215" s="1557"/>
      <c r="K215" s="1557"/>
      <c r="L215" s="1557"/>
      <c r="M215" s="1899"/>
    </row>
    <row r="216" spans="2:13" s="979" customFormat="1" hidden="1">
      <c r="B216" s="1901" t="s">
        <v>706</v>
      </c>
      <c r="C216" s="2108" t="s">
        <v>709</v>
      </c>
      <c r="D216" s="2108"/>
      <c r="E216" s="2108"/>
      <c r="F216" s="2104" t="s">
        <v>3873</v>
      </c>
      <c r="G216" s="2104"/>
      <c r="H216" s="1115">
        <f>H215*15%</f>
        <v>43490.3004</v>
      </c>
      <c r="J216" s="1557"/>
      <c r="K216" s="1557"/>
      <c r="L216" s="1557"/>
      <c r="M216" s="1899"/>
    </row>
    <row r="217" spans="2:13" s="979" customFormat="1" hidden="1">
      <c r="B217" s="1901" t="s">
        <v>708</v>
      </c>
      <c r="C217" s="2107" t="s">
        <v>3765</v>
      </c>
      <c r="D217" s="2107"/>
      <c r="E217" s="2107"/>
      <c r="F217" s="2107"/>
      <c r="G217" s="2107"/>
      <c r="H217" s="1133">
        <f>ROUND(I217,2)</f>
        <v>333425.64</v>
      </c>
      <c r="I217" s="983">
        <f>SUM(H215:H216)</f>
        <v>333425.63640000002</v>
      </c>
      <c r="J217" s="1562"/>
      <c r="K217" s="1562"/>
      <c r="L217" s="1557"/>
      <c r="M217" s="1899"/>
    </row>
    <row r="218" spans="2:13" s="979" customFormat="1" hidden="1">
      <c r="B218" s="1901"/>
      <c r="C218" s="1130"/>
      <c r="D218" s="1130"/>
      <c r="E218" s="1130"/>
      <c r="F218" s="1130"/>
      <c r="G218" s="1130"/>
      <c r="H218" s="1133"/>
      <c r="I218" s="983"/>
      <c r="J218" s="1562"/>
      <c r="K218" s="1562"/>
      <c r="L218" s="1557"/>
      <c r="M218" s="1899"/>
    </row>
    <row r="219" spans="2:13" s="979" customFormat="1" hidden="1">
      <c r="B219" s="1905" t="s">
        <v>5014</v>
      </c>
      <c r="C219" s="1096"/>
      <c r="D219" s="1305"/>
      <c r="E219" s="1096"/>
      <c r="F219" s="1305"/>
      <c r="G219" s="1305"/>
      <c r="H219" s="1133"/>
      <c r="I219" s="983"/>
      <c r="J219" s="1562"/>
      <c r="K219" s="1562"/>
      <c r="L219" s="1557"/>
      <c r="M219" s="1899"/>
    </row>
    <row r="220" spans="2:13" s="979" customFormat="1" hidden="1">
      <c r="B220" s="1901"/>
      <c r="C220" s="1305" t="s">
        <v>5015</v>
      </c>
      <c r="D220" s="1305" t="s">
        <v>4976</v>
      </c>
      <c r="E220" s="1631">
        <v>0.105</v>
      </c>
      <c r="F220" s="1096">
        <f>DUB!I10</f>
        <v>150000</v>
      </c>
      <c r="G220" s="1305">
        <f>E220*F220</f>
        <v>15750</v>
      </c>
      <c r="H220" s="1305">
        <f>E220*G220</f>
        <v>1653.75</v>
      </c>
      <c r="J220" s="1557"/>
      <c r="K220" s="1557"/>
      <c r="L220" s="1557"/>
      <c r="M220" s="1899"/>
    </row>
    <row r="221" spans="2:13" s="979" customFormat="1" hidden="1">
      <c r="B221" s="1901"/>
      <c r="C221" s="1305" t="s">
        <v>782</v>
      </c>
      <c r="D221" s="1305" t="s">
        <v>4976</v>
      </c>
      <c r="E221" s="1631">
        <v>3.5000000000000003E-2</v>
      </c>
      <c r="F221" s="1096">
        <f>DUB!I11</f>
        <v>187000</v>
      </c>
      <c r="G221" s="1305">
        <f>E221*F221</f>
        <v>6545.0000000000009</v>
      </c>
      <c r="H221" s="1305">
        <f>E221*G221</f>
        <v>229.07500000000005</v>
      </c>
      <c r="J221" s="1557"/>
      <c r="K221" s="1557"/>
      <c r="L221" s="1557"/>
      <c r="M221" s="1899"/>
    </row>
    <row r="222" spans="2:13" s="979" customFormat="1" hidden="1">
      <c r="B222" s="1901"/>
      <c r="C222" s="1305" t="s">
        <v>683</v>
      </c>
      <c r="D222" s="1305" t="s">
        <v>4976</v>
      </c>
      <c r="E222" s="1631">
        <v>3.5000000000000003E-2</v>
      </c>
      <c r="F222" s="1096">
        <f>DUB!I12</f>
        <v>225000</v>
      </c>
      <c r="G222" s="1305">
        <f t="shared" ref="G222:G224" si="5">E222*F222</f>
        <v>7875.0000000000009</v>
      </c>
      <c r="H222" s="1305">
        <f>E222*G222</f>
        <v>275.62500000000006</v>
      </c>
      <c r="J222" s="1557"/>
      <c r="K222" s="1557"/>
      <c r="L222" s="1557"/>
      <c r="M222" s="1899"/>
    </row>
    <row r="223" spans="2:13" s="979" customFormat="1" hidden="1">
      <c r="B223" s="1901"/>
      <c r="C223" s="1305" t="s">
        <v>5016</v>
      </c>
      <c r="D223" s="1306" t="s">
        <v>690</v>
      </c>
      <c r="E223" s="1307">
        <v>1.03</v>
      </c>
      <c r="F223" s="1096">
        <f>DUB!I102</f>
        <v>17100</v>
      </c>
      <c r="G223" s="1305">
        <f t="shared" si="5"/>
        <v>17613</v>
      </c>
      <c r="H223" s="1308">
        <f>E223*G223</f>
        <v>18141.39</v>
      </c>
      <c r="J223" s="1557"/>
      <c r="K223" s="1557"/>
      <c r="L223" s="1557"/>
      <c r="M223" s="1899"/>
    </row>
    <row r="224" spans="2:13" s="979" customFormat="1" hidden="1">
      <c r="B224" s="1901"/>
      <c r="C224" s="1305" t="s">
        <v>5017</v>
      </c>
      <c r="D224" s="1306" t="s">
        <v>690</v>
      </c>
      <c r="E224" s="1307">
        <v>0.02</v>
      </c>
      <c r="F224" s="1096">
        <f>DUB!I108</f>
        <v>29497.5</v>
      </c>
      <c r="G224" s="1305">
        <f t="shared" si="5"/>
        <v>589.95000000000005</v>
      </c>
      <c r="H224" s="1308">
        <f>E224*G224</f>
        <v>11.799000000000001</v>
      </c>
      <c r="J224" s="1557"/>
      <c r="K224" s="1557"/>
      <c r="L224" s="1557"/>
      <c r="M224" s="1899"/>
    </row>
    <row r="225" spans="2:13" s="979" customFormat="1" hidden="1">
      <c r="B225" s="1901"/>
      <c r="C225" s="1305"/>
      <c r="D225" s="1306"/>
      <c r="E225" s="1096"/>
      <c r="F225" s="1096"/>
      <c r="G225" s="1308"/>
      <c r="H225" s="1308">
        <f>SUM(H220:H224)</f>
        <v>20311.638999999999</v>
      </c>
      <c r="I225" s="983"/>
      <c r="J225" s="1562"/>
      <c r="K225" s="1562"/>
      <c r="L225" s="1557"/>
      <c r="M225" s="1899"/>
    </row>
    <row r="226" spans="2:13" s="979" customFormat="1" hidden="1">
      <c r="B226" s="1901"/>
      <c r="C226" s="1305" t="s">
        <v>5018</v>
      </c>
      <c r="D226" s="1306"/>
      <c r="E226" s="1096"/>
      <c r="F226" s="1096"/>
      <c r="G226" s="1308"/>
      <c r="H226" s="1308">
        <f>((H225*10)/100)+H225</f>
        <v>22342.802899999999</v>
      </c>
      <c r="I226" s="983"/>
      <c r="J226" s="1562"/>
      <c r="K226" s="1562"/>
      <c r="L226" s="1557"/>
      <c r="M226" s="1899"/>
    </row>
    <row r="227" spans="2:13" s="979" customFormat="1" hidden="1">
      <c r="B227" s="1902" t="s">
        <v>5023</v>
      </c>
      <c r="C227" s="1309"/>
      <c r="D227" s="1306"/>
      <c r="E227" s="1305"/>
      <c r="F227" s="1096"/>
      <c r="G227" s="1308"/>
      <c r="H227" s="1308"/>
      <c r="I227" s="983"/>
      <c r="J227" s="1562"/>
      <c r="K227" s="1562"/>
      <c r="L227" s="1557"/>
      <c r="M227" s="1899"/>
    </row>
    <row r="228" spans="2:13" s="979" customFormat="1" hidden="1">
      <c r="B228" s="1905" t="s">
        <v>5019</v>
      </c>
      <c r="C228" s="1305"/>
      <c r="D228" s="1305"/>
      <c r="E228" s="1305"/>
      <c r="F228" s="1096"/>
      <c r="G228" s="1305"/>
      <c r="H228" s="1305"/>
      <c r="I228" s="983"/>
      <c r="J228" s="1562"/>
      <c r="K228" s="1562"/>
      <c r="L228" s="1557"/>
      <c r="M228" s="1899"/>
    </row>
    <row r="229" spans="2:13" s="979" customFormat="1" hidden="1">
      <c r="B229" s="1901"/>
      <c r="C229" s="1305" t="s">
        <v>5015</v>
      </c>
      <c r="D229" s="1305" t="s">
        <v>4976</v>
      </c>
      <c r="E229" s="1631">
        <v>0.105</v>
      </c>
      <c r="F229" s="1096">
        <f>F220</f>
        <v>150000</v>
      </c>
      <c r="G229" s="1305">
        <f>E229*F229</f>
        <v>15750</v>
      </c>
      <c r="H229" s="1305">
        <f>E229*G229</f>
        <v>1653.75</v>
      </c>
      <c r="J229" s="1557"/>
      <c r="K229" s="1557"/>
      <c r="L229" s="1557"/>
      <c r="M229" s="1899"/>
    </row>
    <row r="230" spans="2:13" s="979" customFormat="1" hidden="1">
      <c r="B230" s="1901"/>
      <c r="C230" s="1305" t="s">
        <v>782</v>
      </c>
      <c r="D230" s="1305" t="s">
        <v>4976</v>
      </c>
      <c r="E230" s="1631">
        <v>3.5000000000000003E-2</v>
      </c>
      <c r="F230" s="1096">
        <f>F221</f>
        <v>187000</v>
      </c>
      <c r="G230" s="1305">
        <f t="shared" ref="G230:G233" si="6">E230*F230</f>
        <v>6545.0000000000009</v>
      </c>
      <c r="H230" s="1305">
        <f>E230*G230</f>
        <v>229.07500000000005</v>
      </c>
      <c r="J230" s="1557"/>
      <c r="K230" s="1557"/>
      <c r="L230" s="1557"/>
      <c r="M230" s="1899"/>
    </row>
    <row r="231" spans="2:13" s="979" customFormat="1" hidden="1">
      <c r="B231" s="1901"/>
      <c r="C231" s="1305" t="s">
        <v>683</v>
      </c>
      <c r="D231" s="1305" t="s">
        <v>4976</v>
      </c>
      <c r="E231" s="1631">
        <v>3.5000000000000003E-2</v>
      </c>
      <c r="F231" s="1096">
        <f>F222</f>
        <v>225000</v>
      </c>
      <c r="G231" s="1305">
        <f t="shared" si="6"/>
        <v>7875.0000000000009</v>
      </c>
      <c r="H231" s="1305">
        <f>E231*G231</f>
        <v>275.62500000000006</v>
      </c>
      <c r="J231" s="1557"/>
      <c r="K231" s="1557"/>
      <c r="L231" s="1557"/>
      <c r="M231" s="1899"/>
    </row>
    <row r="232" spans="2:13" s="979" customFormat="1" hidden="1">
      <c r="B232" s="1901"/>
      <c r="C232" s="1305" t="s">
        <v>5016</v>
      </c>
      <c r="D232" s="1306" t="s">
        <v>690</v>
      </c>
      <c r="E232" s="1309">
        <v>1.03</v>
      </c>
      <c r="F232" s="1096">
        <f>DUB!I101</f>
        <v>15300</v>
      </c>
      <c r="G232" s="1305">
        <f t="shared" si="6"/>
        <v>15759</v>
      </c>
      <c r="H232" s="1308">
        <f>E232*G232</f>
        <v>16231.77</v>
      </c>
      <c r="J232" s="1557"/>
      <c r="K232" s="1557"/>
      <c r="L232" s="1557"/>
      <c r="M232" s="1899"/>
    </row>
    <row r="233" spans="2:13" s="979" customFormat="1" hidden="1">
      <c r="B233" s="1901"/>
      <c r="C233" s="1305" t="s">
        <v>5017</v>
      </c>
      <c r="D233" s="1306" t="s">
        <v>690</v>
      </c>
      <c r="E233" s="1309">
        <v>0.02</v>
      </c>
      <c r="F233" s="1096">
        <f>F224</f>
        <v>29497.5</v>
      </c>
      <c r="G233" s="1305">
        <f t="shared" si="6"/>
        <v>589.95000000000005</v>
      </c>
      <c r="H233" s="1308">
        <f>E233*G233</f>
        <v>11.799000000000001</v>
      </c>
      <c r="J233" s="1557"/>
      <c r="K233" s="1557"/>
      <c r="L233" s="1557"/>
      <c r="M233" s="1899"/>
    </row>
    <row r="234" spans="2:13" s="979" customFormat="1" hidden="1">
      <c r="B234" s="1901"/>
      <c r="C234" s="1305"/>
      <c r="D234" s="1306"/>
      <c r="E234" s="1096"/>
      <c r="F234" s="1308"/>
      <c r="G234" s="1096"/>
      <c r="H234" s="1308">
        <f>SUM(H229:H233)</f>
        <v>18402.019</v>
      </c>
      <c r="I234" s="983"/>
      <c r="J234" s="1562"/>
      <c r="K234" s="1562"/>
      <c r="L234" s="1557"/>
      <c r="M234" s="1899"/>
    </row>
    <row r="235" spans="2:13" s="979" customFormat="1" hidden="1">
      <c r="B235" s="1901"/>
      <c r="C235" s="1305" t="s">
        <v>5018</v>
      </c>
      <c r="D235" s="1306"/>
      <c r="E235" s="1096"/>
      <c r="F235" s="1308"/>
      <c r="G235" s="1096"/>
      <c r="H235" s="1308">
        <f>((H234*10)/100)+H234</f>
        <v>20242.2209</v>
      </c>
      <c r="I235" s="983"/>
      <c r="J235" s="1562"/>
      <c r="K235" s="1562"/>
      <c r="L235" s="1557"/>
      <c r="M235" s="1899"/>
    </row>
    <row r="236" spans="2:13" s="979" customFormat="1" hidden="1">
      <c r="B236" s="1901"/>
      <c r="C236" s="1130"/>
      <c r="D236" s="1130"/>
      <c r="E236" s="1130"/>
      <c r="F236" s="1130"/>
      <c r="G236" s="1130"/>
      <c r="H236" s="1133"/>
      <c r="I236" s="983"/>
      <c r="J236" s="1562"/>
      <c r="K236" s="1562"/>
      <c r="L236" s="1557"/>
      <c r="M236" s="1899"/>
    </row>
    <row r="237" spans="2:13" s="979" customFormat="1" hidden="1">
      <c r="B237" s="1901"/>
      <c r="C237" s="1130"/>
      <c r="D237" s="1130"/>
      <c r="E237" s="1130"/>
      <c r="F237" s="1130"/>
      <c r="G237" s="1130"/>
      <c r="H237" s="1133"/>
      <c r="I237" s="983"/>
      <c r="J237" s="1562"/>
      <c r="K237" s="1562"/>
      <c r="L237" s="1557"/>
      <c r="M237" s="1899"/>
    </row>
    <row r="238" spans="2:13" s="979" customFormat="1" hidden="1">
      <c r="B238" s="1901"/>
      <c r="C238" s="1130"/>
      <c r="D238" s="1130"/>
      <c r="E238" s="1130"/>
      <c r="F238" s="1130"/>
      <c r="G238" s="1130"/>
      <c r="H238" s="1133"/>
      <c r="I238" s="983"/>
      <c r="J238" s="1562"/>
      <c r="K238" s="1562"/>
      <c r="L238" s="1557"/>
      <c r="M238" s="1899"/>
    </row>
    <row r="239" spans="2:13" s="979" customFormat="1" hidden="1">
      <c r="B239" s="1901"/>
      <c r="C239" s="1130"/>
      <c r="D239" s="1130"/>
      <c r="E239" s="1130"/>
      <c r="F239" s="1130"/>
      <c r="G239" s="1130"/>
      <c r="H239" s="1133"/>
      <c r="I239" s="983"/>
      <c r="J239" s="1562"/>
      <c r="K239" s="1562"/>
      <c r="L239" s="1557"/>
      <c r="M239" s="1899"/>
    </row>
    <row r="240" spans="2:13" s="979" customFormat="1" hidden="1">
      <c r="B240" s="1901"/>
      <c r="C240" s="1130"/>
      <c r="D240" s="1130"/>
      <c r="E240" s="1130"/>
      <c r="F240" s="1130"/>
      <c r="G240" s="1130"/>
      <c r="H240" s="1133"/>
      <c r="I240" s="983"/>
      <c r="J240" s="1562"/>
      <c r="K240" s="1562"/>
      <c r="L240" s="1557"/>
      <c r="M240" s="1899"/>
    </row>
    <row r="241" spans="2:13" s="979" customFormat="1" hidden="1">
      <c r="B241" s="1903"/>
      <c r="C241" s="1096"/>
      <c r="D241" s="1095"/>
      <c r="E241" s="1095"/>
      <c r="F241" s="1172"/>
      <c r="G241" s="1173"/>
      <c r="H241" s="1133"/>
      <c r="J241" s="1557"/>
      <c r="K241" s="1557"/>
      <c r="L241" s="1557"/>
      <c r="M241" s="1899"/>
    </row>
    <row r="242" spans="2:13" s="980" customFormat="1" hidden="1">
      <c r="B242" s="1896" t="s">
        <v>3878</v>
      </c>
      <c r="C242" s="1232" t="s">
        <v>2672</v>
      </c>
      <c r="D242" s="1100"/>
      <c r="E242" s="1100"/>
      <c r="F242" s="1174"/>
      <c r="G242" s="1175"/>
      <c r="H242" s="1134"/>
      <c r="J242" s="1559"/>
      <c r="K242" s="1559"/>
      <c r="L242" s="1559"/>
      <c r="M242" s="1897"/>
    </row>
    <row r="243" spans="2:13" s="982" customFormat="1" ht="24.9" hidden="1" customHeight="1">
      <c r="B243" s="1900" t="s">
        <v>1003</v>
      </c>
      <c r="C243" s="1221" t="s">
        <v>1004</v>
      </c>
      <c r="D243" s="1221" t="s">
        <v>1005</v>
      </c>
      <c r="E243" s="1221" t="s">
        <v>1006</v>
      </c>
      <c r="F243" s="1222" t="s">
        <v>1007</v>
      </c>
      <c r="G243" s="1618" t="s">
        <v>2637</v>
      </c>
      <c r="H243" s="1620" t="s">
        <v>2638</v>
      </c>
      <c r="J243" s="1625"/>
      <c r="K243" s="1625"/>
      <c r="L243" s="1625"/>
      <c r="M243" s="1904"/>
    </row>
    <row r="244" spans="2:13" s="979" customFormat="1" hidden="1">
      <c r="B244" s="1901" t="s">
        <v>671</v>
      </c>
      <c r="C244" s="1112" t="s">
        <v>672</v>
      </c>
      <c r="D244" s="1129"/>
      <c r="E244" s="1129"/>
      <c r="F244" s="1131"/>
      <c r="G244" s="1132"/>
      <c r="H244" s="1115"/>
      <c r="J244" s="1557"/>
      <c r="K244" s="1557"/>
      <c r="L244" s="1557"/>
      <c r="M244" s="1899"/>
    </row>
    <row r="245" spans="2:13" s="979" customFormat="1" hidden="1">
      <c r="B245" s="1902"/>
      <c r="C245" s="1130" t="s">
        <v>673</v>
      </c>
      <c r="D245" s="1129" t="s">
        <v>674</v>
      </c>
      <c r="E245" s="1129"/>
      <c r="F245" s="1131">
        <v>1</v>
      </c>
      <c r="G245" s="1132">
        <f>DUB!$I$10</f>
        <v>150000</v>
      </c>
      <c r="H245" s="1115">
        <f>G245*F245</f>
        <v>150000</v>
      </c>
      <c r="J245" s="1557"/>
      <c r="K245" s="1557"/>
      <c r="L245" s="1557"/>
      <c r="M245" s="1899"/>
    </row>
    <row r="246" spans="2:13" s="979" customFormat="1" hidden="1">
      <c r="B246" s="1902"/>
      <c r="C246" s="1130" t="s">
        <v>683</v>
      </c>
      <c r="D246" s="1129" t="s">
        <v>684</v>
      </c>
      <c r="E246" s="1129"/>
      <c r="F246" s="1131">
        <v>5.0000000000000001E-3</v>
      </c>
      <c r="G246" s="1132">
        <f>DUB!$I$12</f>
        <v>225000</v>
      </c>
      <c r="H246" s="1115">
        <f>G246*F246</f>
        <v>1125</v>
      </c>
      <c r="J246" s="1557"/>
      <c r="K246" s="1557"/>
      <c r="L246" s="1557"/>
      <c r="M246" s="1899"/>
    </row>
    <row r="247" spans="2:13" s="979" customFormat="1" hidden="1">
      <c r="B247" s="1902"/>
      <c r="C247" s="1130"/>
      <c r="D247" s="1129"/>
      <c r="E247" s="1129"/>
      <c r="F247" s="2102" t="s">
        <v>685</v>
      </c>
      <c r="G247" s="2102"/>
      <c r="H247" s="1115">
        <f>SUM(H245:H246)</f>
        <v>151125</v>
      </c>
      <c r="J247" s="1557"/>
      <c r="K247" s="1557"/>
      <c r="L247" s="1557"/>
      <c r="M247" s="1899"/>
    </row>
    <row r="248" spans="2:13" s="979" customFormat="1" hidden="1">
      <c r="B248" s="1901" t="s">
        <v>686</v>
      </c>
      <c r="C248" s="1112" t="s">
        <v>687</v>
      </c>
      <c r="D248" s="1129"/>
      <c r="E248" s="1129"/>
      <c r="F248" s="1131"/>
      <c r="G248" s="1132"/>
      <c r="H248" s="1115"/>
      <c r="J248" s="1557"/>
      <c r="K248" s="1557"/>
      <c r="L248" s="1557"/>
      <c r="M248" s="1899"/>
    </row>
    <row r="249" spans="2:13" s="979" customFormat="1" hidden="1">
      <c r="B249" s="1902"/>
      <c r="C249" s="1130" t="s">
        <v>776</v>
      </c>
      <c r="D249" s="1129"/>
      <c r="E249" s="1129" t="s">
        <v>2646</v>
      </c>
      <c r="F249" s="1131">
        <v>0.15</v>
      </c>
      <c r="G249" s="1132">
        <f>DUB!I39</f>
        <v>382720</v>
      </c>
      <c r="H249" s="1115">
        <f>G249*F249</f>
        <v>57408</v>
      </c>
      <c r="J249" s="1557"/>
      <c r="K249" s="1557"/>
      <c r="L249" s="1557"/>
      <c r="M249" s="1899"/>
    </row>
    <row r="250" spans="2:13" s="979" customFormat="1" hidden="1">
      <c r="B250" s="1902"/>
      <c r="C250" s="1130" t="s">
        <v>777</v>
      </c>
      <c r="D250" s="1129"/>
      <c r="E250" s="1129" t="s">
        <v>2646</v>
      </c>
      <c r="F250" s="1131">
        <v>0.09</v>
      </c>
      <c r="G250" s="1132">
        <f>DUB!I40</f>
        <v>304164</v>
      </c>
      <c r="H250" s="1115">
        <f>G250*F250</f>
        <v>27374.76</v>
      </c>
      <c r="J250" s="1557"/>
      <c r="K250" s="1557"/>
      <c r="L250" s="1557"/>
      <c r="M250" s="1899"/>
    </row>
    <row r="251" spans="2:13" s="979" customFormat="1" hidden="1">
      <c r="B251" s="1902"/>
      <c r="C251" s="1130" t="s">
        <v>739</v>
      </c>
      <c r="D251" s="1129"/>
      <c r="E251" s="1129" t="s">
        <v>2646</v>
      </c>
      <c r="F251" s="1131">
        <v>0.01</v>
      </c>
      <c r="G251" s="1132">
        <f>DUB!I59</f>
        <v>208463</v>
      </c>
      <c r="H251" s="1115">
        <f>G251*F251</f>
        <v>2084.63</v>
      </c>
      <c r="J251" s="1557"/>
      <c r="K251" s="1557"/>
      <c r="L251" s="1557"/>
      <c r="M251" s="1899"/>
    </row>
    <row r="252" spans="2:13" s="979" customFormat="1" hidden="1">
      <c r="B252" s="1902"/>
      <c r="C252" s="1130"/>
      <c r="D252" s="1129"/>
      <c r="E252" s="1129"/>
      <c r="F252" s="2102" t="s">
        <v>702</v>
      </c>
      <c r="G252" s="2102"/>
      <c r="H252" s="1115">
        <f>SUM(H249:H251)</f>
        <v>86867.39</v>
      </c>
      <c r="J252" s="1557"/>
      <c r="K252" s="1557"/>
      <c r="L252" s="1557"/>
      <c r="M252" s="1899"/>
    </row>
    <row r="253" spans="2:13" s="980" customFormat="1" hidden="1">
      <c r="B253" s="1901" t="s">
        <v>703</v>
      </c>
      <c r="C253" s="2101" t="s">
        <v>3764</v>
      </c>
      <c r="D253" s="2101"/>
      <c r="E253" s="2101"/>
      <c r="F253" s="2101"/>
      <c r="G253" s="2101"/>
      <c r="H253" s="1176">
        <f>H247+H252</f>
        <v>237992.39</v>
      </c>
      <c r="J253" s="1559"/>
      <c r="K253" s="1559"/>
      <c r="L253" s="1559"/>
      <c r="M253" s="1897"/>
    </row>
    <row r="254" spans="2:13" s="980" customFormat="1" hidden="1">
      <c r="B254" s="1901" t="s">
        <v>706</v>
      </c>
      <c r="C254" s="2103" t="s">
        <v>709</v>
      </c>
      <c r="D254" s="2103"/>
      <c r="E254" s="2103"/>
      <c r="F254" s="2104" t="s">
        <v>3873</v>
      </c>
      <c r="G254" s="2104"/>
      <c r="H254" s="1176">
        <f>H253*0.15</f>
        <v>35698.858500000002</v>
      </c>
      <c r="J254" s="1559"/>
      <c r="K254" s="1559"/>
      <c r="L254" s="1559"/>
      <c r="M254" s="1897"/>
    </row>
    <row r="255" spans="2:13" s="980" customFormat="1" hidden="1">
      <c r="B255" s="1901" t="s">
        <v>708</v>
      </c>
      <c r="C255" s="2101" t="s">
        <v>3765</v>
      </c>
      <c r="D255" s="2101"/>
      <c r="E255" s="2101"/>
      <c r="F255" s="2101"/>
      <c r="G255" s="2101"/>
      <c r="H255" s="1134">
        <f>ROUND(SUM(H253:H254),2)</f>
        <v>273691.25</v>
      </c>
      <c r="I255" s="984">
        <f>SUM(H253:H254)</f>
        <v>273691.24849999999</v>
      </c>
      <c r="J255" s="1561"/>
      <c r="K255" s="1561"/>
      <c r="L255" s="1559"/>
      <c r="M255" s="1897"/>
    </row>
    <row r="256" spans="2:13" s="979" customFormat="1" hidden="1">
      <c r="B256" s="1902"/>
      <c r="C256" s="1130"/>
      <c r="D256" s="1129"/>
      <c r="E256" s="1129"/>
      <c r="F256" s="1131"/>
      <c r="G256" s="1132"/>
      <c r="H256" s="1115"/>
      <c r="J256" s="1557"/>
      <c r="K256" s="1557"/>
      <c r="L256" s="1557"/>
      <c r="M256" s="1899"/>
    </row>
    <row r="257" spans="2:13" s="980" customFormat="1">
      <c r="B257" s="1906" t="s">
        <v>3879</v>
      </c>
      <c r="C257" s="1907" t="s">
        <v>2673</v>
      </c>
      <c r="D257" s="1908"/>
      <c r="E257" s="1908"/>
      <c r="F257" s="1909"/>
      <c r="G257" s="1910"/>
      <c r="H257" s="1911"/>
      <c r="I257" s="1912"/>
      <c r="J257" s="1913"/>
      <c r="K257" s="1913"/>
      <c r="L257" s="1913"/>
      <c r="M257" s="1914"/>
    </row>
    <row r="258" spans="2:13" s="982" customFormat="1" ht="24.9" customHeight="1">
      <c r="B258" s="1727" t="s">
        <v>1003</v>
      </c>
      <c r="C258" s="1728" t="s">
        <v>1004</v>
      </c>
      <c r="D258" s="1728" t="s">
        <v>1005</v>
      </c>
      <c r="E258" s="1728" t="s">
        <v>1006</v>
      </c>
      <c r="F258" s="1729" t="s">
        <v>1007</v>
      </c>
      <c r="G258" s="1730" t="s">
        <v>2637</v>
      </c>
      <c r="H258" s="1731" t="s">
        <v>2638</v>
      </c>
      <c r="I258" s="1732"/>
      <c r="J258" s="1605" t="s">
        <v>5335</v>
      </c>
      <c r="K258" s="1603" t="s">
        <v>5336</v>
      </c>
      <c r="L258" s="1603" t="s">
        <v>5337</v>
      </c>
      <c r="M258" s="1604" t="s">
        <v>5338</v>
      </c>
    </row>
    <row r="259" spans="2:13" s="979" customFormat="1">
      <c r="B259" s="1733" t="s">
        <v>671</v>
      </c>
      <c r="C259" s="1329" t="s">
        <v>672</v>
      </c>
      <c r="D259" s="1331"/>
      <c r="E259" s="1331"/>
      <c r="F259" s="1334"/>
      <c r="G259" s="1104"/>
      <c r="H259" s="1106"/>
      <c r="J259" s="1596"/>
      <c r="K259" s="1597"/>
      <c r="L259" s="1597"/>
      <c r="M259" s="1563"/>
    </row>
    <row r="260" spans="2:13" s="979" customFormat="1">
      <c r="B260" s="1182"/>
      <c r="C260" s="1332" t="s">
        <v>673</v>
      </c>
      <c r="D260" s="1331" t="s">
        <v>674</v>
      </c>
      <c r="E260" s="1331"/>
      <c r="F260" s="1334">
        <v>13.334</v>
      </c>
      <c r="G260" s="1104">
        <f>DUB!$I$10</f>
        <v>150000</v>
      </c>
      <c r="H260" s="1106">
        <f>G260*F260</f>
        <v>2000100</v>
      </c>
      <c r="J260" s="1609" t="s">
        <v>5339</v>
      </c>
      <c r="K260" s="1611">
        <v>1</v>
      </c>
      <c r="L260" s="1608" t="s">
        <v>5340</v>
      </c>
      <c r="M260" s="1610">
        <f>H260*K260</f>
        <v>2000100</v>
      </c>
    </row>
    <row r="261" spans="2:13" s="979" customFormat="1">
      <c r="B261" s="1182"/>
      <c r="C261" s="1332" t="s">
        <v>683</v>
      </c>
      <c r="D261" s="1331" t="s">
        <v>684</v>
      </c>
      <c r="E261" s="1331"/>
      <c r="F261" s="1334">
        <v>0.66600000000000004</v>
      </c>
      <c r="G261" s="1104">
        <f>DUB!$I$12</f>
        <v>225000</v>
      </c>
      <c r="H261" s="1106">
        <f>G261*F261</f>
        <v>149850</v>
      </c>
      <c r="J261" s="1609" t="s">
        <v>5339</v>
      </c>
      <c r="K261" s="1611">
        <v>1</v>
      </c>
      <c r="L261" s="1608" t="s">
        <v>5340</v>
      </c>
      <c r="M261" s="1610">
        <f>H261*K261</f>
        <v>149850</v>
      </c>
    </row>
    <row r="262" spans="2:13" s="979" customFormat="1">
      <c r="B262" s="1182"/>
      <c r="C262" s="1332"/>
      <c r="D262" s="1331"/>
      <c r="E262" s="1331"/>
      <c r="F262" s="2074" t="s">
        <v>685</v>
      </c>
      <c r="G262" s="2074"/>
      <c r="H262" s="1106">
        <f>SUM(H260:H261)</f>
        <v>2149950</v>
      </c>
      <c r="J262" s="1596"/>
      <c r="K262" s="1597"/>
      <c r="L262" s="1598"/>
      <c r="M262" s="1564">
        <f>SUM(M260:M261)</f>
        <v>2149950</v>
      </c>
    </row>
    <row r="263" spans="2:13" s="979" customFormat="1">
      <c r="B263" s="1733" t="s">
        <v>686</v>
      </c>
      <c r="C263" s="1329" t="s">
        <v>687</v>
      </c>
      <c r="D263" s="1331"/>
      <c r="E263" s="1331"/>
      <c r="F263" s="1334"/>
      <c r="G263" s="1104"/>
      <c r="H263" s="1106"/>
      <c r="J263" s="1596"/>
      <c r="K263" s="1597"/>
      <c r="L263" s="1597"/>
      <c r="M263" s="1563"/>
    </row>
    <row r="264" spans="2:13" s="979" customFormat="1">
      <c r="B264" s="1182"/>
      <c r="C264" s="1125"/>
      <c r="D264" s="1333"/>
      <c r="E264" s="1333"/>
      <c r="F264" s="2074" t="s">
        <v>702</v>
      </c>
      <c r="G264" s="2074"/>
      <c r="H264" s="1106"/>
      <c r="J264" s="1596"/>
      <c r="K264" s="1597"/>
      <c r="L264" s="1597"/>
      <c r="M264" s="1563"/>
    </row>
    <row r="265" spans="2:13" s="980" customFormat="1">
      <c r="B265" s="1733" t="s">
        <v>703</v>
      </c>
      <c r="C265" s="2075" t="s">
        <v>3764</v>
      </c>
      <c r="D265" s="2075"/>
      <c r="E265" s="2075"/>
      <c r="F265" s="2075"/>
      <c r="G265" s="2075"/>
      <c r="H265" s="1107">
        <f>H262+H264</f>
        <v>2149950</v>
      </c>
      <c r="J265" s="1599"/>
      <c r="K265" s="1612">
        <f>M265/H265</f>
        <v>1</v>
      </c>
      <c r="L265" s="1600"/>
      <c r="M265" s="1564">
        <f>SUM(M260:M261)</f>
        <v>2149950</v>
      </c>
    </row>
    <row r="266" spans="2:13" s="980" customFormat="1">
      <c r="B266" s="1733" t="s">
        <v>706</v>
      </c>
      <c r="C266" s="2076" t="s">
        <v>709</v>
      </c>
      <c r="D266" s="2076"/>
      <c r="E266" s="2076"/>
      <c r="F266" s="2077" t="s">
        <v>3873</v>
      </c>
      <c r="G266" s="2077"/>
      <c r="H266" s="1107">
        <f>H265*0.15</f>
        <v>322492.5</v>
      </c>
      <c r="J266" s="1599"/>
      <c r="K266" s="1600"/>
      <c r="L266" s="1600"/>
      <c r="M266" s="1564">
        <f>M265*0.15</f>
        <v>322492.5</v>
      </c>
    </row>
    <row r="267" spans="2:13" s="980" customFormat="1">
      <c r="B267" s="1734" t="s">
        <v>708</v>
      </c>
      <c r="C267" s="2109" t="s">
        <v>3765</v>
      </c>
      <c r="D267" s="2109"/>
      <c r="E267" s="2109"/>
      <c r="F267" s="2109"/>
      <c r="G267" s="2109"/>
      <c r="H267" s="1108">
        <f>ROUND(SUM(H265:H266),2)</f>
        <v>2472442.5</v>
      </c>
      <c r="I267" s="1735">
        <f>SUM(H265:H266)</f>
        <v>2472442.5</v>
      </c>
      <c r="J267" s="1601"/>
      <c r="K267" s="1602"/>
      <c r="L267" s="1600"/>
      <c r="M267" s="1917">
        <f>SUM(M265:M266)</f>
        <v>2472442.5</v>
      </c>
    </row>
    <row r="268" spans="2:13" s="979" customFormat="1" hidden="1">
      <c r="B268" s="1624"/>
      <c r="C268" s="1096"/>
      <c r="D268" s="1095"/>
      <c r="E268" s="1095"/>
      <c r="F268" s="1172"/>
      <c r="G268" s="1173"/>
      <c r="H268" s="1133"/>
      <c r="J268" s="1557"/>
      <c r="K268" s="1557"/>
      <c r="L268" s="1557"/>
      <c r="M268" s="1619"/>
    </row>
    <row r="269" spans="2:13" s="980" customFormat="1" hidden="1">
      <c r="B269" s="1615" t="s">
        <v>3880</v>
      </c>
      <c r="C269" s="1232" t="s">
        <v>2674</v>
      </c>
      <c r="D269" s="1100"/>
      <c r="E269" s="1100"/>
      <c r="F269" s="1174"/>
      <c r="G269" s="1175"/>
      <c r="H269" s="1134"/>
      <c r="J269" s="1559"/>
      <c r="K269" s="1559"/>
      <c r="L269" s="1559"/>
      <c r="M269" s="1614"/>
    </row>
    <row r="270" spans="2:13" s="982" customFormat="1" ht="24.9" hidden="1" customHeight="1">
      <c r="B270" s="1648" t="s">
        <v>1003</v>
      </c>
      <c r="C270" s="1101" t="s">
        <v>1004</v>
      </c>
      <c r="D270" s="1101" t="s">
        <v>1005</v>
      </c>
      <c r="E270" s="1101" t="s">
        <v>1006</v>
      </c>
      <c r="F270" s="1102" t="s">
        <v>1007</v>
      </c>
      <c r="G270" s="1109" t="s">
        <v>2637</v>
      </c>
      <c r="H270" s="1110" t="s">
        <v>2638</v>
      </c>
      <c r="J270" s="1625"/>
      <c r="K270" s="1625"/>
      <c r="L270" s="1625"/>
      <c r="M270" s="1626"/>
    </row>
    <row r="271" spans="2:13" s="979" customFormat="1" hidden="1">
      <c r="B271" s="1649" t="s">
        <v>671</v>
      </c>
      <c r="C271" s="1329" t="s">
        <v>672</v>
      </c>
      <c r="D271" s="1331"/>
      <c r="E271" s="1331"/>
      <c r="F271" s="1334"/>
      <c r="G271" s="1104"/>
      <c r="H271" s="1106"/>
      <c r="J271" s="1557"/>
      <c r="K271" s="1557"/>
      <c r="L271" s="1557"/>
      <c r="M271" s="1619"/>
    </row>
    <row r="272" spans="2:13" s="979" customFormat="1" hidden="1">
      <c r="B272" s="1650"/>
      <c r="C272" s="1332" t="s">
        <v>673</v>
      </c>
      <c r="D272" s="1331" t="s">
        <v>674</v>
      </c>
      <c r="E272" s="1331"/>
      <c r="F272" s="1334">
        <v>6.6669999999999998</v>
      </c>
      <c r="G272" s="1104">
        <f>DUB!$I$10</f>
        <v>150000</v>
      </c>
      <c r="H272" s="1106">
        <f>G272*F272</f>
        <v>1000050</v>
      </c>
      <c r="J272" s="1557"/>
      <c r="K272" s="1557"/>
      <c r="L272" s="1557"/>
      <c r="M272" s="1619"/>
    </row>
    <row r="273" spans="2:13" s="979" customFormat="1" hidden="1">
      <c r="B273" s="1650"/>
      <c r="C273" s="1332" t="s">
        <v>683</v>
      </c>
      <c r="D273" s="1331" t="s">
        <v>684</v>
      </c>
      <c r="E273" s="1331"/>
      <c r="F273" s="1334">
        <v>0.33300000000000002</v>
      </c>
      <c r="G273" s="1104">
        <f>DUB!$I$12</f>
        <v>225000</v>
      </c>
      <c r="H273" s="1106">
        <f>G273*F273</f>
        <v>74925</v>
      </c>
      <c r="J273" s="1557"/>
      <c r="K273" s="1557"/>
      <c r="L273" s="1557"/>
      <c r="M273" s="1619"/>
    </row>
    <row r="274" spans="2:13" s="979" customFormat="1" hidden="1">
      <c r="B274" s="1650"/>
      <c r="C274" s="1332"/>
      <c r="D274" s="1331"/>
      <c r="E274" s="1331"/>
      <c r="F274" s="2074" t="s">
        <v>685</v>
      </c>
      <c r="G274" s="2074"/>
      <c r="H274" s="1106">
        <f>SUM(H272:H273)</f>
        <v>1074975</v>
      </c>
      <c r="J274" s="1557"/>
      <c r="K274" s="1557"/>
      <c r="L274" s="1557"/>
      <c r="M274" s="1619"/>
    </row>
    <row r="275" spans="2:13" s="979" customFormat="1" hidden="1">
      <c r="B275" s="1649" t="s">
        <v>686</v>
      </c>
      <c r="C275" s="1329" t="s">
        <v>687</v>
      </c>
      <c r="D275" s="1331"/>
      <c r="E275" s="1331"/>
      <c r="F275" s="1334"/>
      <c r="G275" s="1104"/>
      <c r="H275" s="1106"/>
      <c r="J275" s="1557"/>
      <c r="K275" s="1557"/>
      <c r="L275" s="1557"/>
      <c r="M275" s="1619"/>
    </row>
    <row r="276" spans="2:13" s="979" customFormat="1" hidden="1">
      <c r="B276" s="1650"/>
      <c r="C276" s="1125"/>
      <c r="D276" s="1333"/>
      <c r="E276" s="1333"/>
      <c r="F276" s="2074" t="s">
        <v>702</v>
      </c>
      <c r="G276" s="2074"/>
      <c r="H276" s="1106"/>
      <c r="J276" s="1557"/>
      <c r="K276" s="1557"/>
      <c r="L276" s="1557"/>
      <c r="M276" s="1619"/>
    </row>
    <row r="277" spans="2:13" s="980" customFormat="1" hidden="1">
      <c r="B277" s="1649" t="s">
        <v>703</v>
      </c>
      <c r="C277" s="2075" t="s">
        <v>3764</v>
      </c>
      <c r="D277" s="2075"/>
      <c r="E277" s="2075"/>
      <c r="F277" s="2075"/>
      <c r="G277" s="2075"/>
      <c r="H277" s="1107">
        <f>H274+H276</f>
        <v>1074975</v>
      </c>
      <c r="J277" s="1559"/>
      <c r="K277" s="1559"/>
      <c r="L277" s="1559"/>
      <c r="M277" s="1614"/>
    </row>
    <row r="278" spans="2:13" s="980" customFormat="1" hidden="1">
      <c r="B278" s="1649" t="s">
        <v>706</v>
      </c>
      <c r="C278" s="2076" t="s">
        <v>709</v>
      </c>
      <c r="D278" s="2076"/>
      <c r="E278" s="2076"/>
      <c r="F278" s="2077" t="s">
        <v>3873</v>
      </c>
      <c r="G278" s="2077"/>
      <c r="H278" s="1107">
        <f>H277*0.15</f>
        <v>161246.25</v>
      </c>
      <c r="J278" s="1559"/>
      <c r="K278" s="1559"/>
      <c r="L278" s="1559"/>
      <c r="M278" s="1614"/>
    </row>
    <row r="279" spans="2:13" s="980" customFormat="1" hidden="1">
      <c r="B279" s="1649" t="s">
        <v>708</v>
      </c>
      <c r="C279" s="2078" t="s">
        <v>3765</v>
      </c>
      <c r="D279" s="2078"/>
      <c r="E279" s="2078"/>
      <c r="F279" s="2078"/>
      <c r="G279" s="2078"/>
      <c r="H279" s="1108">
        <f>ROUND(SUM(H277:H278),2)</f>
        <v>1236221.25</v>
      </c>
      <c r="I279" s="981">
        <f>SUM(H277:H278)</f>
        <v>1236221.25</v>
      </c>
      <c r="J279" s="1561"/>
      <c r="K279" s="1561"/>
      <c r="L279" s="1651">
        <f>I279*10%</f>
        <v>123622.125</v>
      </c>
      <c r="M279" s="1614">
        <f>L279*0.1</f>
        <v>12362.212500000001</v>
      </c>
    </row>
    <row r="280" spans="2:13" s="980" customFormat="1" hidden="1">
      <c r="B280" s="1622"/>
      <c r="C280" s="1112"/>
      <c r="D280" s="1112"/>
      <c r="E280" s="1112"/>
      <c r="F280" s="1112"/>
      <c r="G280" s="1112"/>
      <c r="H280" s="1134"/>
      <c r="I280" s="984"/>
      <c r="J280" s="1561"/>
      <c r="K280" s="1561"/>
      <c r="L280" s="1651"/>
      <c r="M280" s="1614"/>
    </row>
    <row r="281" spans="2:13" s="980" customFormat="1" hidden="1">
      <c r="B281" s="1615" t="s">
        <v>4993</v>
      </c>
      <c r="C281" s="1232" t="s">
        <v>5298</v>
      </c>
      <c r="D281" s="1100"/>
      <c r="E281" s="1100"/>
      <c r="F281" s="1174"/>
      <c r="G281" s="1175"/>
      <c r="H281" s="1134"/>
      <c r="I281" s="984"/>
      <c r="J281" s="1561"/>
      <c r="K281" s="1561"/>
      <c r="L281" s="1651"/>
      <c r="M281" s="1614"/>
    </row>
    <row r="282" spans="2:13" s="980" customFormat="1" hidden="1">
      <c r="B282" s="1648" t="s">
        <v>1003</v>
      </c>
      <c r="C282" s="1101" t="s">
        <v>1004</v>
      </c>
      <c r="D282" s="1101" t="s">
        <v>1005</v>
      </c>
      <c r="E282" s="1101" t="s">
        <v>1006</v>
      </c>
      <c r="F282" s="1102" t="s">
        <v>1007</v>
      </c>
      <c r="G282" s="1109" t="s">
        <v>2637</v>
      </c>
      <c r="H282" s="1110" t="s">
        <v>2638</v>
      </c>
      <c r="I282" s="984"/>
      <c r="J282" s="1561"/>
      <c r="K282" s="1561"/>
      <c r="L282" s="1651"/>
      <c r="M282" s="1614"/>
    </row>
    <row r="283" spans="2:13" s="980" customFormat="1" hidden="1">
      <c r="B283" s="1649" t="s">
        <v>671</v>
      </c>
      <c r="C283" s="1329" t="s">
        <v>672</v>
      </c>
      <c r="D283" s="1331"/>
      <c r="E283" s="1331"/>
      <c r="F283" s="1334"/>
      <c r="G283" s="1104"/>
      <c r="H283" s="1106"/>
      <c r="I283" s="984"/>
      <c r="J283" s="1561"/>
      <c r="K283" s="1561"/>
      <c r="L283" s="1651"/>
      <c r="M283" s="1614"/>
    </row>
    <row r="284" spans="2:13" s="980" customFormat="1" hidden="1">
      <c r="B284" s="1650"/>
      <c r="C284" s="1332" t="s">
        <v>673</v>
      </c>
      <c r="D284" s="1331" t="s">
        <v>674</v>
      </c>
      <c r="E284" s="1331"/>
      <c r="F284" s="1334">
        <v>2</v>
      </c>
      <c r="G284" s="1104">
        <f>DUB!$I$10</f>
        <v>150000</v>
      </c>
      <c r="H284" s="1106">
        <f>G284*F284</f>
        <v>300000</v>
      </c>
      <c r="I284" s="984"/>
      <c r="J284" s="1561"/>
      <c r="K284" s="1561"/>
      <c r="L284" s="1651"/>
      <c r="M284" s="1614"/>
    </row>
    <row r="285" spans="2:13" s="980" customFormat="1" hidden="1">
      <c r="B285" s="1650"/>
      <c r="C285" s="1332" t="s">
        <v>683</v>
      </c>
      <c r="D285" s="1331" t="s">
        <v>684</v>
      </c>
      <c r="E285" s="1331"/>
      <c r="F285" s="1334">
        <v>0.1</v>
      </c>
      <c r="G285" s="1104">
        <f>DUB!$I$12</f>
        <v>225000</v>
      </c>
      <c r="H285" s="1106">
        <f>G285*F285</f>
        <v>22500</v>
      </c>
      <c r="I285" s="984"/>
      <c r="J285" s="1561"/>
      <c r="K285" s="1561"/>
      <c r="L285" s="1651"/>
      <c r="M285" s="1614"/>
    </row>
    <row r="286" spans="2:13" s="980" customFormat="1" hidden="1">
      <c r="B286" s="1650"/>
      <c r="C286" s="1332"/>
      <c r="D286" s="1331"/>
      <c r="E286" s="1331"/>
      <c r="F286" s="2074" t="s">
        <v>685</v>
      </c>
      <c r="G286" s="2074"/>
      <c r="H286" s="1106">
        <f>SUM(H284:H285)</f>
        <v>322500</v>
      </c>
      <c r="I286" s="984"/>
      <c r="J286" s="1561"/>
      <c r="K286" s="1561"/>
      <c r="L286" s="1651"/>
      <c r="M286" s="1614"/>
    </row>
    <row r="287" spans="2:13" s="980" customFormat="1" hidden="1">
      <c r="B287" s="1649" t="s">
        <v>686</v>
      </c>
      <c r="C287" s="1329" t="s">
        <v>687</v>
      </c>
      <c r="D287" s="1331"/>
      <c r="E287" s="1331"/>
      <c r="F287" s="1334"/>
      <c r="G287" s="1104"/>
      <c r="H287" s="1106"/>
      <c r="I287" s="984"/>
      <c r="J287" s="1561"/>
      <c r="K287" s="1561"/>
      <c r="L287" s="1651"/>
      <c r="M287" s="1614"/>
    </row>
    <row r="288" spans="2:13" s="980" customFormat="1" hidden="1">
      <c r="B288" s="1650"/>
      <c r="C288" s="1125"/>
      <c r="D288" s="1333"/>
      <c r="E288" s="1333"/>
      <c r="F288" s="2074" t="s">
        <v>702</v>
      </c>
      <c r="G288" s="2074"/>
      <c r="H288" s="1106"/>
      <c r="I288" s="984"/>
      <c r="J288" s="1561"/>
      <c r="K288" s="1561"/>
      <c r="L288" s="1651"/>
      <c r="M288" s="1614"/>
    </row>
    <row r="289" spans="2:13" s="980" customFormat="1" hidden="1">
      <c r="B289" s="1649" t="s">
        <v>703</v>
      </c>
      <c r="C289" s="2075" t="s">
        <v>3764</v>
      </c>
      <c r="D289" s="2075"/>
      <c r="E289" s="2075"/>
      <c r="F289" s="2075"/>
      <c r="G289" s="2075"/>
      <c r="H289" s="1107">
        <f>H286+H288</f>
        <v>322500</v>
      </c>
      <c r="I289" s="984"/>
      <c r="J289" s="1561"/>
      <c r="K289" s="1561"/>
      <c r="L289" s="1651"/>
      <c r="M289" s="1614"/>
    </row>
    <row r="290" spans="2:13" s="980" customFormat="1" hidden="1">
      <c r="B290" s="1649" t="s">
        <v>706</v>
      </c>
      <c r="C290" s="2076" t="s">
        <v>709</v>
      </c>
      <c r="D290" s="2076"/>
      <c r="E290" s="2076"/>
      <c r="F290" s="2077" t="s">
        <v>3873</v>
      </c>
      <c r="G290" s="2077"/>
      <c r="H290" s="1107">
        <f>H289*0.15</f>
        <v>48375</v>
      </c>
      <c r="I290" s="984"/>
      <c r="J290" s="1561"/>
      <c r="K290" s="1561"/>
      <c r="L290" s="1651"/>
      <c r="M290" s="1614"/>
    </row>
    <row r="291" spans="2:13" s="980" customFormat="1" hidden="1">
      <c r="B291" s="1649" t="s">
        <v>708</v>
      </c>
      <c r="C291" s="2078" t="s">
        <v>3765</v>
      </c>
      <c r="D291" s="2078"/>
      <c r="E291" s="2078"/>
      <c r="F291" s="2078"/>
      <c r="G291" s="2078"/>
      <c r="H291" s="1108">
        <f>ROUND(SUM(H289:H290),2)</f>
        <v>370875</v>
      </c>
      <c r="I291" s="984">
        <f>H291/10</f>
        <v>37087.5</v>
      </c>
      <c r="J291" s="1561"/>
      <c r="K291" s="1561"/>
      <c r="L291" s="1651">
        <f>I291*2</f>
        <v>74175</v>
      </c>
      <c r="M291" s="1614"/>
    </row>
    <row r="292" spans="2:13" s="980" customFormat="1" hidden="1">
      <c r="B292" s="1622"/>
      <c r="C292" s="1112"/>
      <c r="D292" s="1112"/>
      <c r="E292" s="1112"/>
      <c r="F292" s="1112"/>
      <c r="G292" s="1112"/>
      <c r="H292" s="1134"/>
      <c r="I292" s="984"/>
      <c r="J292" s="1561"/>
      <c r="K292" s="1561"/>
      <c r="L292" s="1651"/>
      <c r="M292" s="1614"/>
    </row>
    <row r="293" spans="2:13" s="980" customFormat="1" hidden="1">
      <c r="B293" s="1622"/>
      <c r="C293" s="1112"/>
      <c r="D293" s="1112"/>
      <c r="E293" s="1112"/>
      <c r="F293" s="1112"/>
      <c r="G293" s="1112"/>
      <c r="H293" s="1134"/>
      <c r="I293" s="984"/>
      <c r="J293" s="1561"/>
      <c r="K293" s="1561"/>
      <c r="L293" s="1651"/>
      <c r="M293" s="1614"/>
    </row>
    <row r="294" spans="2:13" s="980" customFormat="1" hidden="1">
      <c r="B294" s="1622"/>
      <c r="C294" s="1112"/>
      <c r="D294" s="1112"/>
      <c r="E294" s="1112"/>
      <c r="F294" s="1112"/>
      <c r="G294" s="1112"/>
      <c r="H294" s="1134"/>
      <c r="I294" s="984"/>
      <c r="J294" s="1561"/>
      <c r="K294" s="1561"/>
      <c r="L294" s="1651"/>
      <c r="M294" s="1614"/>
    </row>
    <row r="295" spans="2:13" s="980" customFormat="1" hidden="1">
      <c r="B295" s="1622"/>
      <c r="C295" s="1112"/>
      <c r="D295" s="1112"/>
      <c r="E295" s="1112"/>
      <c r="F295" s="1112"/>
      <c r="G295" s="1112"/>
      <c r="H295" s="1134"/>
      <c r="I295" s="984"/>
      <c r="J295" s="1561"/>
      <c r="K295" s="1561"/>
      <c r="L295" s="1651"/>
      <c r="M295" s="1614"/>
    </row>
    <row r="296" spans="2:13" s="980" customFormat="1" hidden="1">
      <c r="B296" s="1615" t="s">
        <v>4969</v>
      </c>
      <c r="C296" s="1232" t="s">
        <v>4968</v>
      </c>
      <c r="D296" s="1100"/>
      <c r="E296" s="1100"/>
      <c r="F296" s="1174"/>
      <c r="G296" s="1175"/>
      <c r="H296" s="1134"/>
      <c r="I296" s="984"/>
      <c r="J296" s="1561"/>
      <c r="K296" s="1561"/>
      <c r="L296" s="1651"/>
      <c r="M296" s="1614"/>
    </row>
    <row r="297" spans="2:13" s="980" customFormat="1" hidden="1">
      <c r="B297" s="1648" t="s">
        <v>1003</v>
      </c>
      <c r="C297" s="1101" t="s">
        <v>1004</v>
      </c>
      <c r="D297" s="1101" t="s">
        <v>1005</v>
      </c>
      <c r="E297" s="1101" t="s">
        <v>1006</v>
      </c>
      <c r="F297" s="1102" t="s">
        <v>1007</v>
      </c>
      <c r="G297" s="1109" t="s">
        <v>2637</v>
      </c>
      <c r="H297" s="1110" t="s">
        <v>2638</v>
      </c>
      <c r="I297" s="984"/>
      <c r="J297" s="1561"/>
      <c r="K297" s="1561"/>
      <c r="L297" s="1651"/>
      <c r="M297" s="1614"/>
    </row>
    <row r="298" spans="2:13" s="980" customFormat="1" hidden="1">
      <c r="B298" s="1649" t="s">
        <v>671</v>
      </c>
      <c r="C298" s="1329" t="s">
        <v>672</v>
      </c>
      <c r="D298" s="1331"/>
      <c r="E298" s="1331"/>
      <c r="F298" s="1334"/>
      <c r="G298" s="1104"/>
      <c r="H298" s="1106"/>
      <c r="I298" s="984"/>
      <c r="J298" s="1561"/>
      <c r="K298" s="1561"/>
      <c r="L298" s="1651"/>
      <c r="M298" s="1614"/>
    </row>
    <row r="299" spans="2:13" s="980" customFormat="1" hidden="1">
      <c r="B299" s="1650"/>
      <c r="C299" s="1332" t="s">
        <v>673</v>
      </c>
      <c r="D299" s="1331" t="s">
        <v>674</v>
      </c>
      <c r="E299" s="1331"/>
      <c r="F299" s="1334">
        <v>0.5</v>
      </c>
      <c r="G299" s="1104">
        <f>DUB!$I$10</f>
        <v>150000</v>
      </c>
      <c r="H299" s="1106">
        <f>G299*F299</f>
        <v>75000</v>
      </c>
      <c r="I299" s="984"/>
      <c r="J299" s="1561"/>
      <c r="K299" s="1561"/>
      <c r="L299" s="1651"/>
      <c r="M299" s="1614"/>
    </row>
    <row r="300" spans="2:13" s="980" customFormat="1" hidden="1">
      <c r="B300" s="1650"/>
      <c r="C300" s="1332" t="s">
        <v>683</v>
      </c>
      <c r="D300" s="1331" t="s">
        <v>684</v>
      </c>
      <c r="E300" s="1331"/>
      <c r="F300" s="1334">
        <v>1</v>
      </c>
      <c r="G300" s="1104">
        <f>DUB!$I$12</f>
        <v>225000</v>
      </c>
      <c r="H300" s="1106">
        <f>G300*F300</f>
        <v>225000</v>
      </c>
      <c r="I300" s="984"/>
      <c r="J300" s="1561"/>
      <c r="K300" s="1561"/>
      <c r="L300" s="1651"/>
      <c r="M300" s="1614"/>
    </row>
    <row r="301" spans="2:13" s="980" customFormat="1" hidden="1">
      <c r="B301" s="1650"/>
      <c r="C301" s="1332"/>
      <c r="D301" s="1331"/>
      <c r="E301" s="1331"/>
      <c r="F301" s="2074" t="s">
        <v>685</v>
      </c>
      <c r="G301" s="2074"/>
      <c r="H301" s="1106">
        <f>SUM(H299:H300)</f>
        <v>300000</v>
      </c>
      <c r="I301" s="984"/>
      <c r="J301" s="1561"/>
      <c r="K301" s="1561"/>
      <c r="L301" s="1651"/>
      <c r="M301" s="1614"/>
    </row>
    <row r="302" spans="2:13" s="980" customFormat="1" hidden="1">
      <c r="B302" s="1649" t="s">
        <v>686</v>
      </c>
      <c r="C302" s="1329" t="s">
        <v>687</v>
      </c>
      <c r="D302" s="1331"/>
      <c r="E302" s="1331"/>
      <c r="F302" s="1334"/>
      <c r="G302" s="1104"/>
      <c r="H302" s="1106"/>
      <c r="I302" s="984"/>
      <c r="J302" s="1561"/>
      <c r="K302" s="1561"/>
      <c r="L302" s="1651"/>
      <c r="M302" s="1614"/>
    </row>
    <row r="303" spans="2:13" s="980" customFormat="1" hidden="1">
      <c r="B303" s="1650"/>
      <c r="C303" s="1125"/>
      <c r="D303" s="1333"/>
      <c r="E303" s="1333"/>
      <c r="F303" s="2074" t="s">
        <v>702</v>
      </c>
      <c r="G303" s="2074"/>
      <c r="H303" s="1106"/>
      <c r="I303" s="984"/>
      <c r="J303" s="1561"/>
      <c r="K303" s="1561"/>
      <c r="L303" s="1651"/>
      <c r="M303" s="1614"/>
    </row>
    <row r="304" spans="2:13" s="980" customFormat="1" hidden="1">
      <c r="B304" s="1649" t="s">
        <v>703</v>
      </c>
      <c r="C304" s="2075" t="s">
        <v>3764</v>
      </c>
      <c r="D304" s="2075"/>
      <c r="E304" s="2075"/>
      <c r="F304" s="2075"/>
      <c r="G304" s="2075"/>
      <c r="H304" s="1107">
        <f>H301+H303</f>
        <v>300000</v>
      </c>
      <c r="I304" s="984"/>
      <c r="J304" s="1561"/>
      <c r="K304" s="1561"/>
      <c r="L304" s="1651"/>
      <c r="M304" s="1614"/>
    </row>
    <row r="305" spans="2:13" s="980" customFormat="1" hidden="1">
      <c r="B305" s="1649" t="s">
        <v>706</v>
      </c>
      <c r="C305" s="2076" t="s">
        <v>709</v>
      </c>
      <c r="D305" s="2076"/>
      <c r="E305" s="2076"/>
      <c r="F305" s="2077" t="s">
        <v>3873</v>
      </c>
      <c r="G305" s="2077"/>
      <c r="H305" s="1107">
        <f>H304*0.15</f>
        <v>45000</v>
      </c>
      <c r="I305" s="984"/>
      <c r="J305" s="1561"/>
      <c r="K305" s="1561"/>
      <c r="L305" s="1651"/>
      <c r="M305" s="1614"/>
    </row>
    <row r="306" spans="2:13" s="979" customFormat="1" hidden="1">
      <c r="B306" s="1649" t="s">
        <v>708</v>
      </c>
      <c r="C306" s="2078" t="s">
        <v>3765</v>
      </c>
      <c r="D306" s="2078"/>
      <c r="E306" s="2078"/>
      <c r="F306" s="2078"/>
      <c r="G306" s="2078"/>
      <c r="H306" s="1108">
        <f>ROUND(SUM(H304:H305),2)</f>
        <v>345000</v>
      </c>
      <c r="I306" s="1652">
        <f>H306*0.1</f>
        <v>34500</v>
      </c>
      <c r="J306" s="1653"/>
      <c r="K306" s="1653"/>
      <c r="L306" s="1557"/>
      <c r="M306" s="1619"/>
    </row>
    <row r="307" spans="2:13" s="979" customFormat="1" hidden="1">
      <c r="B307" s="1622"/>
      <c r="C307" s="1112"/>
      <c r="D307" s="1112"/>
      <c r="E307" s="1112"/>
      <c r="F307" s="1112"/>
      <c r="G307" s="1112"/>
      <c r="H307" s="1134"/>
      <c r="J307" s="1557"/>
      <c r="K307" s="1557"/>
      <c r="L307" s="1557"/>
      <c r="M307" s="1619"/>
    </row>
    <row r="308" spans="2:13" s="980" customFormat="1" hidden="1">
      <c r="B308" s="1615" t="s">
        <v>3881</v>
      </c>
      <c r="C308" s="1232" t="s">
        <v>3398</v>
      </c>
      <c r="D308" s="1100"/>
      <c r="E308" s="1100"/>
      <c r="F308" s="1174"/>
      <c r="G308" s="1175"/>
      <c r="H308" s="1134"/>
      <c r="J308" s="1559"/>
      <c r="K308" s="1559"/>
      <c r="L308" s="1559"/>
      <c r="M308" s="1614"/>
    </row>
    <row r="309" spans="2:13" s="982" customFormat="1" ht="24.9" hidden="1" customHeight="1">
      <c r="B309" s="1648" t="s">
        <v>1003</v>
      </c>
      <c r="C309" s="1101" t="s">
        <v>1004</v>
      </c>
      <c r="D309" s="1101" t="s">
        <v>1005</v>
      </c>
      <c r="E309" s="1101" t="s">
        <v>1006</v>
      </c>
      <c r="F309" s="1102" t="s">
        <v>1007</v>
      </c>
      <c r="G309" s="1109" t="s">
        <v>2637</v>
      </c>
      <c r="H309" s="1110" t="s">
        <v>2638</v>
      </c>
      <c r="J309" s="1625"/>
      <c r="K309" s="1625"/>
      <c r="L309" s="1625"/>
      <c r="M309" s="1626"/>
    </row>
    <row r="310" spans="2:13" s="979" customFormat="1" hidden="1">
      <c r="B310" s="1649" t="s">
        <v>671</v>
      </c>
      <c r="C310" s="1329" t="s">
        <v>672</v>
      </c>
      <c r="D310" s="1331"/>
      <c r="E310" s="1331"/>
      <c r="F310" s="1334"/>
      <c r="G310" s="1104"/>
      <c r="H310" s="1106"/>
      <c r="J310" s="1557"/>
      <c r="K310" s="1557"/>
      <c r="L310" s="1557"/>
      <c r="M310" s="1619"/>
    </row>
    <row r="311" spans="2:13" s="979" customFormat="1" hidden="1">
      <c r="B311" s="1650"/>
      <c r="C311" s="1332" t="s">
        <v>673</v>
      </c>
      <c r="D311" s="1331" t="s">
        <v>674</v>
      </c>
      <c r="E311" s="1331"/>
      <c r="F311" s="1334">
        <v>4.2000000000000003E-2</v>
      </c>
      <c r="G311" s="1104">
        <f>DUB!$I$10</f>
        <v>150000</v>
      </c>
      <c r="H311" s="1106">
        <f>G311*F311</f>
        <v>6300</v>
      </c>
      <c r="J311" s="1557"/>
      <c r="K311" s="1557"/>
      <c r="L311" s="1557"/>
      <c r="M311" s="1619"/>
    </row>
    <row r="312" spans="2:13" s="979" customFormat="1" hidden="1">
      <c r="B312" s="1650"/>
      <c r="C312" s="1332" t="s">
        <v>782</v>
      </c>
      <c r="D312" s="1331" t="s">
        <v>678</v>
      </c>
      <c r="E312" s="1331"/>
      <c r="F312" s="1334">
        <v>4.0000000000000001E-3</v>
      </c>
      <c r="G312" s="1104">
        <f>DUB!$I$11</f>
        <v>187000</v>
      </c>
      <c r="H312" s="1106">
        <f>G312*F312</f>
        <v>748</v>
      </c>
      <c r="J312" s="1557"/>
      <c r="K312" s="1557"/>
      <c r="L312" s="1557"/>
      <c r="M312" s="1619"/>
    </row>
    <row r="313" spans="2:13" s="979" customFormat="1" hidden="1">
      <c r="B313" s="1650"/>
      <c r="C313" s="1332" t="s">
        <v>680</v>
      </c>
      <c r="D313" s="1331" t="s">
        <v>681</v>
      </c>
      <c r="E313" s="1331"/>
      <c r="F313" s="1334">
        <v>2E-3</v>
      </c>
      <c r="G313" s="1104">
        <f>DUB!$I$13</f>
        <v>240000</v>
      </c>
      <c r="H313" s="1106">
        <f>G313*F313</f>
        <v>480</v>
      </c>
      <c r="J313" s="1557"/>
      <c r="K313" s="1557"/>
      <c r="L313" s="1557"/>
      <c r="M313" s="1619"/>
    </row>
    <row r="314" spans="2:13" s="979" customFormat="1" hidden="1">
      <c r="B314" s="1650"/>
      <c r="C314" s="1332" t="s">
        <v>683</v>
      </c>
      <c r="D314" s="1331" t="s">
        <v>684</v>
      </c>
      <c r="E314" s="1331"/>
      <c r="F314" s="1334">
        <v>4.2000000000000003E-2</v>
      </c>
      <c r="G314" s="1104">
        <f>DUB!$I$12</f>
        <v>225000</v>
      </c>
      <c r="H314" s="1106">
        <f>G314*F314</f>
        <v>9450</v>
      </c>
      <c r="J314" s="1557"/>
      <c r="K314" s="1557"/>
      <c r="L314" s="1557"/>
      <c r="M314" s="1619"/>
    </row>
    <row r="315" spans="2:13" s="979" customFormat="1" hidden="1">
      <c r="B315" s="1650"/>
      <c r="C315" s="1332"/>
      <c r="D315" s="1331"/>
      <c r="E315" s="1331"/>
      <c r="F315" s="2074" t="s">
        <v>685</v>
      </c>
      <c r="G315" s="2074"/>
      <c r="H315" s="1106">
        <f>SUM(H311:H314)</f>
        <v>16978</v>
      </c>
      <c r="J315" s="1557"/>
      <c r="K315" s="1557"/>
      <c r="L315" s="1557"/>
      <c r="M315" s="1619"/>
    </row>
    <row r="316" spans="2:13" s="979" customFormat="1" hidden="1">
      <c r="B316" s="1649" t="s">
        <v>686</v>
      </c>
      <c r="C316" s="1329" t="s">
        <v>687</v>
      </c>
      <c r="D316" s="1331"/>
      <c r="E316" s="1331"/>
      <c r="F316" s="1334"/>
      <c r="G316" s="1104"/>
      <c r="H316" s="1106"/>
      <c r="J316" s="1557"/>
      <c r="K316" s="1557"/>
      <c r="L316" s="1557"/>
      <c r="M316" s="1619"/>
    </row>
    <row r="317" spans="2:13" s="979" customFormat="1" hidden="1">
      <c r="B317" s="1650"/>
      <c r="C317" s="1332" t="s">
        <v>785</v>
      </c>
      <c r="D317" s="1331"/>
      <c r="E317" s="1331" t="s">
        <v>715</v>
      </c>
      <c r="F317" s="1334">
        <v>0.1434</v>
      </c>
      <c r="G317" s="1104">
        <f>DUB!$I$111</f>
        <v>309519</v>
      </c>
      <c r="H317" s="1106">
        <f>G317*F317</f>
        <v>44385.024599999997</v>
      </c>
      <c r="J317" s="1557"/>
      <c r="K317" s="1557"/>
      <c r="L317" s="1557"/>
      <c r="M317" s="1619"/>
    </row>
    <row r="318" spans="2:13" s="979" customFormat="1" hidden="1">
      <c r="B318" s="1650"/>
      <c r="C318" s="1125"/>
      <c r="D318" s="1333"/>
      <c r="E318" s="1333"/>
      <c r="F318" s="2074" t="s">
        <v>702</v>
      </c>
      <c r="G318" s="2074"/>
      <c r="H318" s="1106">
        <f>SUM(H317)</f>
        <v>44385.024599999997</v>
      </c>
      <c r="J318" s="1557"/>
      <c r="K318" s="1557"/>
      <c r="L318" s="1557"/>
      <c r="M318" s="1619"/>
    </row>
    <row r="319" spans="2:13" s="980" customFormat="1" hidden="1">
      <c r="B319" s="1649" t="s">
        <v>703</v>
      </c>
      <c r="C319" s="2075" t="s">
        <v>3764</v>
      </c>
      <c r="D319" s="2075"/>
      <c r="E319" s="2075"/>
      <c r="F319" s="2075"/>
      <c r="G319" s="2075"/>
      <c r="H319" s="1107">
        <f>H315+H318</f>
        <v>61363.024599999997</v>
      </c>
      <c r="J319" s="1559"/>
      <c r="K319" s="1559"/>
      <c r="L319" s="1559"/>
      <c r="M319" s="1614"/>
    </row>
    <row r="320" spans="2:13" s="980" customFormat="1" hidden="1">
      <c r="B320" s="1649" t="s">
        <v>706</v>
      </c>
      <c r="C320" s="2076" t="s">
        <v>709</v>
      </c>
      <c r="D320" s="2076"/>
      <c r="E320" s="2076"/>
      <c r="F320" s="2077" t="s">
        <v>3873</v>
      </c>
      <c r="G320" s="2077"/>
      <c r="H320" s="1107">
        <f>H319*0.15</f>
        <v>9204.4536899999985</v>
      </c>
      <c r="J320" s="1559"/>
      <c r="K320" s="1559"/>
      <c r="L320" s="1559"/>
      <c r="M320" s="1614"/>
    </row>
    <row r="321" spans="2:13" s="980" customFormat="1" hidden="1">
      <c r="B321" s="1649" t="s">
        <v>708</v>
      </c>
      <c r="C321" s="2078" t="s">
        <v>3765</v>
      </c>
      <c r="D321" s="2078"/>
      <c r="E321" s="2078"/>
      <c r="F321" s="2078"/>
      <c r="G321" s="2078"/>
      <c r="H321" s="1108">
        <f>ROUND(SUM(H319:H320),2)</f>
        <v>70567.48</v>
      </c>
      <c r="I321" s="981">
        <f>SUM(H319:H320)</f>
        <v>70567.478289999999</v>
      </c>
      <c r="J321" s="1561"/>
      <c r="K321" s="1561"/>
      <c r="L321" s="1559"/>
      <c r="M321" s="1614"/>
    </row>
    <row r="322" spans="2:13" s="979" customFormat="1" hidden="1">
      <c r="B322" s="1624"/>
      <c r="C322" s="1096"/>
      <c r="D322" s="1095"/>
      <c r="E322" s="1095"/>
      <c r="F322" s="1172"/>
      <c r="G322" s="1173"/>
      <c r="H322" s="1133"/>
      <c r="J322" s="1557"/>
      <c r="K322" s="1557"/>
      <c r="L322" s="1557"/>
      <c r="M322" s="1619"/>
    </row>
    <row r="323" spans="2:13" s="979" customFormat="1" hidden="1">
      <c r="B323" s="1613" t="s">
        <v>4405</v>
      </c>
      <c r="C323" s="1232" t="s">
        <v>3307</v>
      </c>
      <c r="D323" s="1095"/>
      <c r="E323" s="1095"/>
      <c r="F323" s="1172"/>
      <c r="G323" s="1173"/>
      <c r="H323" s="1133"/>
      <c r="J323" s="1557"/>
      <c r="K323" s="1557"/>
      <c r="L323" s="1557"/>
      <c r="M323" s="1619"/>
    </row>
    <row r="324" spans="2:13" s="982" customFormat="1" ht="24.9" hidden="1" customHeight="1">
      <c r="B324" s="1648" t="s">
        <v>1003</v>
      </c>
      <c r="C324" s="1101" t="s">
        <v>1004</v>
      </c>
      <c r="D324" s="1101" t="s">
        <v>1005</v>
      </c>
      <c r="E324" s="1101" t="s">
        <v>1006</v>
      </c>
      <c r="F324" s="1102" t="s">
        <v>1007</v>
      </c>
      <c r="G324" s="1109" t="s">
        <v>2637</v>
      </c>
      <c r="H324" s="1110" t="s">
        <v>2638</v>
      </c>
      <c r="J324" s="1625"/>
      <c r="K324" s="1625"/>
      <c r="L324" s="1625"/>
      <c r="M324" s="1626"/>
    </row>
    <row r="325" spans="2:13" s="979" customFormat="1" hidden="1">
      <c r="B325" s="1649" t="s">
        <v>671</v>
      </c>
      <c r="C325" s="1329" t="s">
        <v>672</v>
      </c>
      <c r="D325" s="1331"/>
      <c r="E325" s="1331"/>
      <c r="F325" s="1334"/>
      <c r="G325" s="1104"/>
      <c r="H325" s="1106"/>
      <c r="J325" s="1557"/>
      <c r="K325" s="1557"/>
      <c r="L325" s="1557"/>
      <c r="M325" s="1619"/>
    </row>
    <row r="326" spans="2:13" s="979" customFormat="1" hidden="1">
      <c r="B326" s="1650"/>
      <c r="C326" s="1332" t="s">
        <v>673</v>
      </c>
      <c r="D326" s="1331" t="s">
        <v>674</v>
      </c>
      <c r="E326" s="1331"/>
      <c r="F326" s="1334">
        <v>0.37</v>
      </c>
      <c r="G326" s="1104">
        <f>DUB!$I$10</f>
        <v>150000</v>
      </c>
      <c r="H326" s="1106">
        <f>G326*F326</f>
        <v>55500</v>
      </c>
      <c r="J326" s="1557"/>
      <c r="K326" s="1557"/>
      <c r="L326" s="1557"/>
      <c r="M326" s="1619"/>
    </row>
    <row r="327" spans="2:13" s="979" customFormat="1" hidden="1">
      <c r="B327" s="1650"/>
      <c r="C327" s="1332" t="s">
        <v>782</v>
      </c>
      <c r="D327" s="1331" t="s">
        <v>678</v>
      </c>
      <c r="E327" s="1331"/>
      <c r="F327" s="1334">
        <v>0.12</v>
      </c>
      <c r="G327" s="1104">
        <f>DUB!$I$11</f>
        <v>187000</v>
      </c>
      <c r="H327" s="1106">
        <f>G327*F327</f>
        <v>22440</v>
      </c>
      <c r="J327" s="1557"/>
      <c r="K327" s="1557"/>
      <c r="L327" s="1557"/>
      <c r="M327" s="1619"/>
    </row>
    <row r="328" spans="2:13" s="979" customFormat="1" hidden="1">
      <c r="B328" s="1650"/>
      <c r="C328" s="1332" t="s">
        <v>680</v>
      </c>
      <c r="D328" s="1331" t="s">
        <v>681</v>
      </c>
      <c r="E328" s="1331"/>
      <c r="F328" s="1334">
        <v>1.2E-2</v>
      </c>
      <c r="G328" s="1104">
        <f>DUB!$I$13</f>
        <v>240000</v>
      </c>
      <c r="H328" s="1106">
        <f>G328*F328</f>
        <v>2880</v>
      </c>
      <c r="J328" s="1557"/>
      <c r="K328" s="1557"/>
      <c r="L328" s="1557"/>
      <c r="M328" s="1619"/>
    </row>
    <row r="329" spans="2:13" s="979" customFormat="1" hidden="1">
      <c r="B329" s="1650"/>
      <c r="C329" s="1332" t="s">
        <v>683</v>
      </c>
      <c r="D329" s="1331" t="s">
        <v>684</v>
      </c>
      <c r="E329" s="1331"/>
      <c r="F329" s="1334">
        <v>1.9E-2</v>
      </c>
      <c r="G329" s="1104">
        <f>DUB!$I$12</f>
        <v>225000</v>
      </c>
      <c r="H329" s="1106">
        <f>G329*F329</f>
        <v>4275</v>
      </c>
      <c r="J329" s="1557"/>
      <c r="K329" s="1557"/>
      <c r="L329" s="1557"/>
      <c r="M329" s="1619"/>
    </row>
    <row r="330" spans="2:13" s="979" customFormat="1" hidden="1">
      <c r="B330" s="1650"/>
      <c r="C330" s="1332"/>
      <c r="D330" s="1331"/>
      <c r="E330" s="1331"/>
      <c r="F330" s="2074" t="s">
        <v>685</v>
      </c>
      <c r="G330" s="2074"/>
      <c r="H330" s="1106">
        <f>SUM(H326:H329)</f>
        <v>85095</v>
      </c>
      <c r="J330" s="1557"/>
      <c r="K330" s="1557"/>
      <c r="L330" s="1557"/>
      <c r="M330" s="1619"/>
    </row>
    <row r="331" spans="2:13" s="979" customFormat="1" hidden="1">
      <c r="B331" s="1649" t="s">
        <v>686</v>
      </c>
      <c r="C331" s="1329" t="s">
        <v>687</v>
      </c>
      <c r="D331" s="1331"/>
      <c r="E331" s="1331"/>
      <c r="F331" s="1334"/>
      <c r="G331" s="1104"/>
      <c r="H331" s="1106"/>
      <c r="J331" s="1557"/>
      <c r="K331" s="1557"/>
      <c r="L331" s="1557"/>
      <c r="M331" s="1619"/>
    </row>
    <row r="332" spans="2:13" s="979" customFormat="1" hidden="1">
      <c r="B332" s="1650"/>
      <c r="C332" s="1332" t="s">
        <v>3301</v>
      </c>
      <c r="D332" s="1331"/>
      <c r="E332" s="1331" t="s">
        <v>715</v>
      </c>
      <c r="F332" s="1334">
        <v>0.98</v>
      </c>
      <c r="G332" s="1104">
        <f>DUB!$I$72</f>
        <v>179928</v>
      </c>
      <c r="H332" s="1106">
        <f>G332*F332</f>
        <v>176329.44</v>
      </c>
      <c r="J332" s="1557"/>
      <c r="K332" s="1557"/>
      <c r="L332" s="1557"/>
      <c r="M332" s="1619"/>
    </row>
    <row r="333" spans="2:13" s="979" customFormat="1" hidden="1">
      <c r="B333" s="1650"/>
      <c r="C333" s="1332" t="s">
        <v>3302</v>
      </c>
      <c r="D333" s="1331"/>
      <c r="E333" s="1331" t="s">
        <v>688</v>
      </c>
      <c r="F333" s="1334">
        <v>0.52</v>
      </c>
      <c r="G333" s="1104">
        <f>DUB!$I$73</f>
        <v>337365</v>
      </c>
      <c r="H333" s="1106">
        <f>G333*F333</f>
        <v>175429.80000000002</v>
      </c>
      <c r="J333" s="1557"/>
      <c r="K333" s="1557"/>
      <c r="L333" s="1557"/>
      <c r="M333" s="1619"/>
    </row>
    <row r="334" spans="2:13" s="979" customFormat="1" hidden="1">
      <c r="B334" s="1650"/>
      <c r="C334" s="1332" t="s">
        <v>790</v>
      </c>
      <c r="D334" s="1331"/>
      <c r="E334" s="1331" t="s">
        <v>690</v>
      </c>
      <c r="F334" s="1334">
        <v>45</v>
      </c>
      <c r="G334" s="1104">
        <f>DUB!$I$65</f>
        <v>1575</v>
      </c>
      <c r="H334" s="1106">
        <f>G334*F334</f>
        <v>70875</v>
      </c>
      <c r="J334" s="1557"/>
      <c r="K334" s="1557"/>
      <c r="L334" s="1557"/>
      <c r="M334" s="1619"/>
    </row>
    <row r="335" spans="2:13" s="979" customFormat="1" hidden="1">
      <c r="B335" s="1650"/>
      <c r="C335" s="1332" t="s">
        <v>691</v>
      </c>
      <c r="D335" s="1331"/>
      <c r="E335" s="1331" t="s">
        <v>2646</v>
      </c>
      <c r="F335" s="1334">
        <v>7.0000000000000007E-2</v>
      </c>
      <c r="G335" s="1104">
        <f>DUB!$I$59</f>
        <v>208463</v>
      </c>
      <c r="H335" s="1106">
        <f>G335*F335</f>
        <v>14592.410000000002</v>
      </c>
      <c r="I335" s="1654"/>
      <c r="J335" s="1655"/>
      <c r="K335" s="1655"/>
      <c r="L335" s="1557"/>
      <c r="M335" s="1619"/>
    </row>
    <row r="336" spans="2:13" s="979" customFormat="1" hidden="1">
      <c r="B336" s="1650"/>
      <c r="C336" s="1332" t="s">
        <v>792</v>
      </c>
      <c r="D336" s="1331"/>
      <c r="E336" s="1331" t="s">
        <v>2646</v>
      </c>
      <c r="F336" s="1334">
        <v>0.14000000000000001</v>
      </c>
      <c r="G336" s="1104">
        <f>DUB!$I$38</f>
        <v>236700</v>
      </c>
      <c r="H336" s="1106">
        <f>G336*F336</f>
        <v>33138</v>
      </c>
      <c r="J336" s="1557"/>
      <c r="K336" s="1557"/>
      <c r="L336" s="1557"/>
      <c r="M336" s="1619"/>
    </row>
    <row r="337" spans="2:13" s="979" customFormat="1" hidden="1">
      <c r="B337" s="1650"/>
      <c r="C337" s="1125"/>
      <c r="D337" s="1333"/>
      <c r="E337" s="1333"/>
      <c r="F337" s="2074" t="s">
        <v>702</v>
      </c>
      <c r="G337" s="2074"/>
      <c r="H337" s="1106">
        <f>SUM(H332:H336)</f>
        <v>470364.64999999997</v>
      </c>
      <c r="J337" s="1557"/>
      <c r="K337" s="1557"/>
      <c r="L337" s="1557"/>
      <c r="M337" s="1619"/>
    </row>
    <row r="338" spans="2:13" s="980" customFormat="1" hidden="1">
      <c r="B338" s="1649" t="s">
        <v>706</v>
      </c>
      <c r="C338" s="2075" t="s">
        <v>3764</v>
      </c>
      <c r="D338" s="2075"/>
      <c r="E338" s="2075"/>
      <c r="F338" s="2075"/>
      <c r="G338" s="2075"/>
      <c r="H338" s="1107">
        <f>H330+H337</f>
        <v>555459.64999999991</v>
      </c>
      <c r="J338" s="1559"/>
      <c r="K338" s="1559"/>
      <c r="L338" s="1559"/>
      <c r="M338" s="1614"/>
    </row>
    <row r="339" spans="2:13" s="980" customFormat="1" hidden="1">
      <c r="B339" s="1649" t="s">
        <v>708</v>
      </c>
      <c r="C339" s="2076" t="s">
        <v>709</v>
      </c>
      <c r="D339" s="2076"/>
      <c r="E339" s="2076"/>
      <c r="F339" s="2077" t="s">
        <v>3873</v>
      </c>
      <c r="G339" s="2077"/>
      <c r="H339" s="1107">
        <f>H338*0.15</f>
        <v>83318.94749999998</v>
      </c>
      <c r="J339" s="1559"/>
      <c r="K339" s="1559"/>
      <c r="L339" s="1559"/>
      <c r="M339" s="1614"/>
    </row>
    <row r="340" spans="2:13" s="980" customFormat="1" hidden="1">
      <c r="B340" s="1649" t="s">
        <v>711</v>
      </c>
      <c r="C340" s="2078" t="s">
        <v>3765</v>
      </c>
      <c r="D340" s="2078"/>
      <c r="E340" s="2078"/>
      <c r="F340" s="2078"/>
      <c r="G340" s="2078"/>
      <c r="H340" s="1108">
        <f>ROUND(SUM(H338:H339),2)</f>
        <v>638778.6</v>
      </c>
      <c r="I340" s="981">
        <f>SUM(H338:H339)</f>
        <v>638778.59749999992</v>
      </c>
      <c r="J340" s="1561"/>
      <c r="K340" s="1561"/>
      <c r="L340" s="1651"/>
      <c r="M340" s="1614"/>
    </row>
    <row r="341" spans="2:13" s="979" customFormat="1">
      <c r="B341" s="1095"/>
      <c r="C341" s="1096"/>
      <c r="D341" s="1095"/>
      <c r="E341" s="1095"/>
      <c r="F341" s="1172"/>
      <c r="G341" s="1173"/>
      <c r="H341" s="1133"/>
      <c r="J341" s="1557"/>
      <c r="K341" s="1557"/>
      <c r="L341" s="1557"/>
      <c r="M341" s="1566"/>
    </row>
    <row r="342" spans="2:13" s="980" customFormat="1">
      <c r="B342" s="1100" t="s">
        <v>3882</v>
      </c>
      <c r="C342" s="1232" t="s">
        <v>3380</v>
      </c>
      <c r="D342" s="1100"/>
      <c r="E342" s="1100"/>
      <c r="F342" s="1174"/>
      <c r="G342" s="1175"/>
      <c r="H342" s="1134"/>
      <c r="J342" s="1559"/>
      <c r="K342" s="1559"/>
      <c r="L342" s="1559"/>
      <c r="M342" s="1635"/>
    </row>
    <row r="343" spans="2:13">
      <c r="B343" s="1150" t="s">
        <v>3883</v>
      </c>
      <c r="C343" s="1232" t="s">
        <v>4408</v>
      </c>
      <c r="F343" s="1172"/>
      <c r="G343" s="1173"/>
      <c r="H343" s="1133"/>
      <c r="M343" s="1566"/>
    </row>
    <row r="344" spans="2:13" s="507" customFormat="1" ht="24.9" customHeight="1">
      <c r="B344" s="1727" t="s">
        <v>1003</v>
      </c>
      <c r="C344" s="1728" t="s">
        <v>1004</v>
      </c>
      <c r="D344" s="1728" t="s">
        <v>1005</v>
      </c>
      <c r="E344" s="1736" t="s">
        <v>1006</v>
      </c>
      <c r="F344" s="1729" t="s">
        <v>1007</v>
      </c>
      <c r="G344" s="1737" t="s">
        <v>2637</v>
      </c>
      <c r="H344" s="1738" t="s">
        <v>2638</v>
      </c>
      <c r="I344" s="1739"/>
      <c r="J344" s="1605" t="s">
        <v>5335</v>
      </c>
      <c r="K344" s="1603" t="s">
        <v>5336</v>
      </c>
      <c r="L344" s="1603" t="s">
        <v>5337</v>
      </c>
      <c r="M344" s="1604" t="s">
        <v>5338</v>
      </c>
    </row>
    <row r="345" spans="2:13">
      <c r="B345" s="1733" t="s">
        <v>671</v>
      </c>
      <c r="C345" s="1329" t="s">
        <v>672</v>
      </c>
      <c r="D345" s="1331"/>
      <c r="E345" s="1539"/>
      <c r="F345" s="1334"/>
      <c r="G345" s="1136"/>
      <c r="H345" s="1137"/>
      <c r="J345" s="1596"/>
      <c r="K345" s="1597"/>
      <c r="L345" s="1597"/>
      <c r="M345" s="1563"/>
    </row>
    <row r="346" spans="2:13">
      <c r="B346" s="1182"/>
      <c r="C346" s="1332" t="s">
        <v>673</v>
      </c>
      <c r="D346" s="1331" t="s">
        <v>674</v>
      </c>
      <c r="E346" s="1539" t="s">
        <v>675</v>
      </c>
      <c r="F346" s="1334">
        <v>0.75</v>
      </c>
      <c r="G346" s="1104">
        <f>DUB!$I$10</f>
        <v>150000</v>
      </c>
      <c r="H346" s="1106">
        <f>G346*F346</f>
        <v>112500</v>
      </c>
      <c r="J346" s="1609" t="s">
        <v>5339</v>
      </c>
      <c r="K346" s="1611">
        <v>1</v>
      </c>
      <c r="L346" s="1608" t="s">
        <v>5340</v>
      </c>
      <c r="M346" s="1610">
        <f>H346*K346</f>
        <v>112500</v>
      </c>
    </row>
    <row r="347" spans="2:13">
      <c r="B347" s="1182"/>
      <c r="C347" s="1332" t="s">
        <v>683</v>
      </c>
      <c r="D347" s="1331" t="s">
        <v>684</v>
      </c>
      <c r="E347" s="1539" t="s">
        <v>675</v>
      </c>
      <c r="F347" s="1334">
        <v>2.5000000000000001E-2</v>
      </c>
      <c r="G347" s="1104">
        <f>DUB!$I$12</f>
        <v>225000</v>
      </c>
      <c r="H347" s="1106">
        <f>G347*F347</f>
        <v>5625</v>
      </c>
      <c r="J347" s="1609" t="s">
        <v>5339</v>
      </c>
      <c r="K347" s="1611">
        <v>1</v>
      </c>
      <c r="L347" s="1608" t="s">
        <v>5340</v>
      </c>
      <c r="M347" s="1610">
        <f>H347*K347</f>
        <v>5625</v>
      </c>
    </row>
    <row r="348" spans="2:13">
      <c r="B348" s="1182"/>
      <c r="C348" s="1332"/>
      <c r="D348" s="1331"/>
      <c r="E348" s="1539"/>
      <c r="F348" s="2091" t="s">
        <v>685</v>
      </c>
      <c r="G348" s="2091"/>
      <c r="H348" s="1106">
        <f>SUM(H346:H347)</f>
        <v>118125</v>
      </c>
      <c r="J348" s="1596"/>
      <c r="K348" s="1597"/>
      <c r="L348" s="1598"/>
      <c r="M348" s="1564">
        <f>SUM(M346:M347)</f>
        <v>118125</v>
      </c>
    </row>
    <row r="349" spans="2:13">
      <c r="B349" s="1733" t="s">
        <v>686</v>
      </c>
      <c r="C349" s="1329" t="s">
        <v>687</v>
      </c>
      <c r="D349" s="1331"/>
      <c r="E349" s="1539"/>
      <c r="F349" s="1334"/>
      <c r="G349" s="1136"/>
      <c r="H349" s="1106"/>
      <c r="J349" s="1596"/>
      <c r="K349" s="1597"/>
      <c r="L349" s="1597"/>
      <c r="M349" s="1563"/>
    </row>
    <row r="350" spans="2:13">
      <c r="B350" s="1182"/>
      <c r="C350" s="1332"/>
      <c r="D350" s="1331"/>
      <c r="E350" s="1539"/>
      <c r="F350" s="2091" t="s">
        <v>702</v>
      </c>
      <c r="G350" s="2091"/>
      <c r="H350" s="1106"/>
      <c r="J350" s="1596"/>
      <c r="K350" s="1597"/>
      <c r="L350" s="1597"/>
      <c r="M350" s="1563"/>
    </row>
    <row r="351" spans="2:13" s="496" customFormat="1">
      <c r="B351" s="1733" t="s">
        <v>703</v>
      </c>
      <c r="C351" s="2075" t="s">
        <v>3764</v>
      </c>
      <c r="D351" s="2075"/>
      <c r="E351" s="2075"/>
      <c r="F351" s="2075"/>
      <c r="G351" s="2075"/>
      <c r="H351" s="1107">
        <f>H348+H350</f>
        <v>118125</v>
      </c>
      <c r="J351" s="1599"/>
      <c r="K351" s="1612">
        <f>M351/H351</f>
        <v>1</v>
      </c>
      <c r="L351" s="1600"/>
      <c r="M351" s="1564">
        <f>SUM(M346:M347)</f>
        <v>118125</v>
      </c>
    </row>
    <row r="352" spans="2:13" s="496" customFormat="1">
      <c r="B352" s="1733" t="s">
        <v>706</v>
      </c>
      <c r="C352" s="2076" t="s">
        <v>709</v>
      </c>
      <c r="D352" s="2076"/>
      <c r="E352" s="2076"/>
      <c r="F352" s="2077" t="s">
        <v>3873</v>
      </c>
      <c r="G352" s="2077"/>
      <c r="H352" s="1107">
        <f>H351*0.15</f>
        <v>17718.75</v>
      </c>
      <c r="J352" s="1599"/>
      <c r="K352" s="1600"/>
      <c r="L352" s="1600"/>
      <c r="M352" s="1564">
        <f>M351*0.15</f>
        <v>17718.75</v>
      </c>
    </row>
    <row r="353" spans="2:13" s="496" customFormat="1">
      <c r="B353" s="1734" t="s">
        <v>708</v>
      </c>
      <c r="C353" s="2131" t="s">
        <v>3765</v>
      </c>
      <c r="D353" s="2131"/>
      <c r="E353" s="2131"/>
      <c r="F353" s="2131"/>
      <c r="G353" s="2131"/>
      <c r="H353" s="1108">
        <f>ROUND(SUM(H351:H352),2)</f>
        <v>135843.75</v>
      </c>
      <c r="I353" s="1740">
        <f>SUM(H351:H352)</f>
        <v>135843.75</v>
      </c>
      <c r="J353" s="1601"/>
      <c r="K353" s="1602"/>
      <c r="L353" s="1600"/>
      <c r="M353" s="1917">
        <f>SUM(M351:M352)</f>
        <v>135843.75</v>
      </c>
    </row>
    <row r="354" spans="2:13">
      <c r="B354" s="1741"/>
      <c r="C354" s="1742"/>
      <c r="D354" s="1741"/>
      <c r="E354" s="1741"/>
      <c r="F354" s="1743"/>
      <c r="G354" s="1744"/>
      <c r="H354" s="1745"/>
      <c r="I354" s="1746"/>
      <c r="J354" s="1641"/>
      <c r="K354" s="1641"/>
      <c r="L354" s="1641"/>
      <c r="M354" s="1747"/>
    </row>
    <row r="355" spans="2:13" hidden="1">
      <c r="B355" s="1100" t="s">
        <v>3884</v>
      </c>
      <c r="C355" s="1232" t="s">
        <v>2675</v>
      </c>
      <c r="F355" s="1172"/>
      <c r="G355" s="1173"/>
      <c r="H355" s="1133"/>
      <c r="M355" s="1566"/>
    </row>
    <row r="356" spans="2:13" s="507" customFormat="1" ht="24.9" hidden="1" customHeight="1">
      <c r="B356" s="1748" t="s">
        <v>1003</v>
      </c>
      <c r="C356" s="1116" t="s">
        <v>1004</v>
      </c>
      <c r="D356" s="1101" t="s">
        <v>1005</v>
      </c>
      <c r="E356" s="1116" t="s">
        <v>1006</v>
      </c>
      <c r="F356" s="1139" t="s">
        <v>1007</v>
      </c>
      <c r="G356" s="1103" t="s">
        <v>2637</v>
      </c>
      <c r="H356" s="1110" t="s">
        <v>2638</v>
      </c>
      <c r="J356" s="1625"/>
      <c r="K356" s="1625"/>
      <c r="L356" s="1625"/>
      <c r="M356" s="1570"/>
    </row>
    <row r="357" spans="2:13" hidden="1">
      <c r="B357" s="1540" t="s">
        <v>671</v>
      </c>
      <c r="C357" s="1118" t="s">
        <v>672</v>
      </c>
      <c r="D357" s="1331"/>
      <c r="E357" s="1539"/>
      <c r="F357" s="1533"/>
      <c r="G357" s="1140"/>
      <c r="H357" s="1106"/>
      <c r="M357" s="1566"/>
    </row>
    <row r="358" spans="2:13" hidden="1">
      <c r="B358" s="1540"/>
      <c r="C358" s="1118" t="s">
        <v>673</v>
      </c>
      <c r="D358" s="1331" t="s">
        <v>674</v>
      </c>
      <c r="E358" s="1539" t="s">
        <v>675</v>
      </c>
      <c r="F358" s="1532">
        <v>0.9</v>
      </c>
      <c r="G358" s="1104">
        <f>DUB!$I$10</f>
        <v>150000</v>
      </c>
      <c r="H358" s="1106">
        <f>G358*F358</f>
        <v>135000</v>
      </c>
      <c r="M358" s="1566"/>
    </row>
    <row r="359" spans="2:13" hidden="1">
      <c r="B359" s="1540"/>
      <c r="C359" s="1118" t="s">
        <v>683</v>
      </c>
      <c r="D359" s="1331" t="s">
        <v>684</v>
      </c>
      <c r="E359" s="1539" t="s">
        <v>675</v>
      </c>
      <c r="F359" s="1532">
        <v>4.4999999999999998E-2</v>
      </c>
      <c r="G359" s="1104">
        <f>DUB!$I$12</f>
        <v>225000</v>
      </c>
      <c r="H359" s="1106">
        <f>G359*F359</f>
        <v>10125</v>
      </c>
      <c r="M359" s="1566"/>
    </row>
    <row r="360" spans="2:13" hidden="1">
      <c r="B360" s="1540"/>
      <c r="C360" s="1118"/>
      <c r="D360" s="1331"/>
      <c r="E360" s="1539"/>
      <c r="F360" s="2080" t="s">
        <v>685</v>
      </c>
      <c r="G360" s="2081"/>
      <c r="H360" s="1106">
        <f>SUM(H358:H359)</f>
        <v>145125</v>
      </c>
      <c r="M360" s="1566"/>
    </row>
    <row r="361" spans="2:13" hidden="1">
      <c r="B361" s="1540" t="s">
        <v>686</v>
      </c>
      <c r="C361" s="1118" t="s">
        <v>687</v>
      </c>
      <c r="D361" s="1331"/>
      <c r="E361" s="1539"/>
      <c r="F361" s="1334"/>
      <c r="G361" s="1140"/>
      <c r="H361" s="1106"/>
      <c r="M361" s="1566"/>
    </row>
    <row r="362" spans="2:13" hidden="1">
      <c r="B362" s="1540"/>
      <c r="C362" s="1118"/>
      <c r="D362" s="1331"/>
      <c r="E362" s="1539"/>
      <c r="F362" s="2080" t="s">
        <v>702</v>
      </c>
      <c r="G362" s="2081"/>
      <c r="H362" s="1106"/>
      <c r="M362" s="1566"/>
    </row>
    <row r="363" spans="2:13" s="496" customFormat="1" hidden="1">
      <c r="B363" s="1543" t="s">
        <v>703</v>
      </c>
      <c r="C363" s="1117" t="s">
        <v>3764</v>
      </c>
      <c r="D363" s="1120"/>
      <c r="E363" s="1120"/>
      <c r="F363" s="1121"/>
      <c r="G363" s="1141"/>
      <c r="H363" s="1107">
        <f>H360+H362</f>
        <v>145125</v>
      </c>
      <c r="J363" s="1559"/>
      <c r="K363" s="1559"/>
      <c r="L363" s="1559"/>
      <c r="M363" s="1635"/>
    </row>
    <row r="364" spans="2:13" s="496" customFormat="1" hidden="1">
      <c r="B364" s="1543" t="s">
        <v>706</v>
      </c>
      <c r="C364" s="1117" t="s">
        <v>796</v>
      </c>
      <c r="D364" s="1543"/>
      <c r="E364" s="1551"/>
      <c r="F364" s="1545" t="s">
        <v>3873</v>
      </c>
      <c r="G364" s="1141"/>
      <c r="H364" s="1107">
        <f>H363*0.15</f>
        <v>21768.75</v>
      </c>
      <c r="J364" s="1559"/>
      <c r="K364" s="1559"/>
      <c r="L364" s="1559"/>
      <c r="M364" s="1635"/>
    </row>
    <row r="365" spans="2:13" s="496" customFormat="1" hidden="1">
      <c r="B365" s="1543" t="s">
        <v>708</v>
      </c>
      <c r="C365" s="1117" t="s">
        <v>3765</v>
      </c>
      <c r="D365" s="1120"/>
      <c r="E365" s="1120"/>
      <c r="F365" s="1121"/>
      <c r="G365" s="1141"/>
      <c r="H365" s="1108">
        <f>ROUND(SUM(H363:H364),2)</f>
        <v>166893.75</v>
      </c>
      <c r="I365" s="506">
        <f>SUM(H363:H364)</f>
        <v>166893.75</v>
      </c>
      <c r="J365" s="1561"/>
      <c r="K365" s="1561"/>
      <c r="L365" s="1559"/>
      <c r="M365" s="1635"/>
    </row>
    <row r="366" spans="2:13" hidden="1">
      <c r="F366" s="1172"/>
      <c r="G366" s="1173"/>
      <c r="H366" s="1133"/>
      <c r="M366" s="1566"/>
    </row>
    <row r="367" spans="2:13" hidden="1">
      <c r="B367" s="1100" t="s">
        <v>3885</v>
      </c>
      <c r="C367" s="1232" t="s">
        <v>4409</v>
      </c>
      <c r="F367" s="1172"/>
      <c r="G367" s="1173"/>
      <c r="H367" s="1133"/>
      <c r="M367" s="1566"/>
    </row>
    <row r="368" spans="2:13" s="507" customFormat="1" ht="24.9" hidden="1" customHeight="1">
      <c r="B368" s="1749" t="s">
        <v>1003</v>
      </c>
      <c r="C368" s="1101" t="s">
        <v>1004</v>
      </c>
      <c r="D368" s="1101" t="s">
        <v>1005</v>
      </c>
      <c r="E368" s="1116" t="s">
        <v>1006</v>
      </c>
      <c r="F368" s="1139" t="s">
        <v>1007</v>
      </c>
      <c r="G368" s="1103" t="s">
        <v>2637</v>
      </c>
      <c r="H368" s="1110" t="s">
        <v>2638</v>
      </c>
      <c r="J368" s="1625"/>
      <c r="K368" s="1625"/>
      <c r="L368" s="1625"/>
      <c r="M368" s="1570"/>
    </row>
    <row r="369" spans="2:13" hidden="1">
      <c r="B369" s="1120" t="s">
        <v>671</v>
      </c>
      <c r="C369" s="1329" t="s">
        <v>672</v>
      </c>
      <c r="D369" s="1331"/>
      <c r="E369" s="1539"/>
      <c r="F369" s="1532"/>
      <c r="G369" s="1136"/>
      <c r="H369" s="1106"/>
      <c r="M369" s="1566"/>
    </row>
    <row r="370" spans="2:13" hidden="1">
      <c r="B370" s="1254"/>
      <c r="C370" s="1332" t="s">
        <v>673</v>
      </c>
      <c r="D370" s="1331" t="s">
        <v>674</v>
      </c>
      <c r="E370" s="1539" t="s">
        <v>675</v>
      </c>
      <c r="F370" s="1532">
        <v>1.05</v>
      </c>
      <c r="G370" s="1104">
        <f>DUB!$I$10</f>
        <v>150000</v>
      </c>
      <c r="H370" s="1106">
        <f>G370*F370</f>
        <v>157500</v>
      </c>
      <c r="M370" s="1566"/>
    </row>
    <row r="371" spans="2:13" hidden="1">
      <c r="B371" s="1254"/>
      <c r="C371" s="1332" t="s">
        <v>683</v>
      </c>
      <c r="D371" s="1331" t="s">
        <v>684</v>
      </c>
      <c r="E371" s="1539" t="s">
        <v>675</v>
      </c>
      <c r="F371" s="1532">
        <v>6.7000000000000004E-2</v>
      </c>
      <c r="G371" s="1104">
        <f>DUB!$I$12</f>
        <v>225000</v>
      </c>
      <c r="H371" s="1106">
        <f>G371*F371</f>
        <v>15075</v>
      </c>
      <c r="M371" s="1566"/>
    </row>
    <row r="372" spans="2:13" hidden="1">
      <c r="B372" s="1254"/>
      <c r="C372" s="1332"/>
      <c r="D372" s="2105"/>
      <c r="E372" s="2106"/>
      <c r="F372" s="2091" t="s">
        <v>685</v>
      </c>
      <c r="G372" s="2091"/>
      <c r="H372" s="1106">
        <f>SUM(H370:H371)</f>
        <v>172575</v>
      </c>
      <c r="M372" s="1566"/>
    </row>
    <row r="373" spans="2:13" hidden="1">
      <c r="B373" s="1120" t="s">
        <v>686</v>
      </c>
      <c r="C373" s="1329" t="s">
        <v>687</v>
      </c>
      <c r="D373" s="2105"/>
      <c r="E373" s="2106"/>
      <c r="F373" s="1532"/>
      <c r="G373" s="1136"/>
      <c r="H373" s="1106"/>
      <c r="M373" s="1566"/>
    </row>
    <row r="374" spans="2:13" hidden="1">
      <c r="B374" s="1254"/>
      <c r="C374" s="1332"/>
      <c r="D374" s="2105"/>
      <c r="E374" s="2106"/>
      <c r="F374" s="2091" t="s">
        <v>702</v>
      </c>
      <c r="G374" s="2091"/>
      <c r="H374" s="1106"/>
      <c r="M374" s="1566"/>
    </row>
    <row r="375" spans="2:13" s="496" customFormat="1" hidden="1">
      <c r="B375" s="1120" t="s">
        <v>703</v>
      </c>
      <c r="C375" s="2075" t="s">
        <v>3764</v>
      </c>
      <c r="D375" s="2075"/>
      <c r="E375" s="2075"/>
      <c r="F375" s="2075"/>
      <c r="G375" s="2075"/>
      <c r="H375" s="1107">
        <f>H372+H374</f>
        <v>172575</v>
      </c>
      <c r="J375" s="1559"/>
      <c r="K375" s="1559"/>
      <c r="L375" s="1559"/>
      <c r="M375" s="1635"/>
    </row>
    <row r="376" spans="2:13" s="496" customFormat="1" hidden="1">
      <c r="B376" s="1120" t="s">
        <v>706</v>
      </c>
      <c r="C376" s="2076" t="s">
        <v>709</v>
      </c>
      <c r="D376" s="2076"/>
      <c r="E376" s="2076"/>
      <c r="F376" s="2077" t="s">
        <v>3873</v>
      </c>
      <c r="G376" s="2077"/>
      <c r="H376" s="1107">
        <f>H375*0.15</f>
        <v>25886.25</v>
      </c>
      <c r="J376" s="1559"/>
      <c r="K376" s="1559"/>
      <c r="L376" s="1559"/>
      <c r="M376" s="1635"/>
    </row>
    <row r="377" spans="2:13" s="496" customFormat="1" hidden="1">
      <c r="B377" s="1120" t="s">
        <v>708</v>
      </c>
      <c r="C377" s="2075" t="s">
        <v>3765</v>
      </c>
      <c r="D377" s="2075"/>
      <c r="E377" s="2075"/>
      <c r="F377" s="2075"/>
      <c r="G377" s="2075"/>
      <c r="H377" s="1138">
        <f>ROUND(SUM(H375:H376),2)</f>
        <v>198461.25</v>
      </c>
      <c r="I377" s="506">
        <f>SUM(H375:H376)</f>
        <v>198461.25</v>
      </c>
      <c r="J377" s="1561"/>
      <c r="K377" s="1561"/>
      <c r="L377" s="1559"/>
      <c r="M377" s="1635"/>
    </row>
    <row r="378" spans="2:13" hidden="1">
      <c r="B378" s="1129"/>
      <c r="C378" s="1130"/>
      <c r="D378" s="1129"/>
      <c r="E378" s="1129"/>
      <c r="F378" s="1131"/>
      <c r="G378" s="1132"/>
      <c r="H378" s="1115"/>
      <c r="M378" s="1566"/>
    </row>
    <row r="379" spans="2:13" hidden="1">
      <c r="B379" s="1150" t="s">
        <v>3886</v>
      </c>
      <c r="C379" s="1232" t="s">
        <v>4410</v>
      </c>
      <c r="F379" s="1172"/>
      <c r="G379" s="1173"/>
      <c r="H379" s="1133"/>
      <c r="M379" s="1566"/>
    </row>
    <row r="380" spans="2:13" s="507" customFormat="1" ht="24.9" hidden="1" customHeight="1">
      <c r="B380" s="1749" t="s">
        <v>1003</v>
      </c>
      <c r="C380" s="1101" t="s">
        <v>1004</v>
      </c>
      <c r="D380" s="1101" t="s">
        <v>1005</v>
      </c>
      <c r="E380" s="1116" t="s">
        <v>1006</v>
      </c>
      <c r="F380" s="1139" t="s">
        <v>1007</v>
      </c>
      <c r="G380" s="1103" t="s">
        <v>2637</v>
      </c>
      <c r="H380" s="1110" t="s">
        <v>2638</v>
      </c>
      <c r="J380" s="1625"/>
      <c r="K380" s="1625"/>
      <c r="L380" s="1625"/>
      <c r="M380" s="1570"/>
    </row>
    <row r="381" spans="2:13" hidden="1">
      <c r="B381" s="1120" t="s">
        <v>671</v>
      </c>
      <c r="C381" s="1329" t="s">
        <v>672</v>
      </c>
      <c r="D381" s="1331"/>
      <c r="E381" s="1539"/>
      <c r="F381" s="1532"/>
      <c r="G381" s="1136"/>
      <c r="H381" s="1106"/>
      <c r="M381" s="1566"/>
    </row>
    <row r="382" spans="2:13" hidden="1">
      <c r="B382" s="1254"/>
      <c r="C382" s="1332" t="s">
        <v>673</v>
      </c>
      <c r="D382" s="1331" t="s">
        <v>674</v>
      </c>
      <c r="E382" s="1539" t="s">
        <v>675</v>
      </c>
      <c r="F382" s="1532">
        <v>1</v>
      </c>
      <c r="G382" s="1104">
        <f>DUB!$I$10</f>
        <v>150000</v>
      </c>
      <c r="H382" s="1106">
        <f>G382*F382</f>
        <v>150000</v>
      </c>
      <c r="M382" s="1566"/>
    </row>
    <row r="383" spans="2:13" hidden="1">
      <c r="B383" s="1254"/>
      <c r="C383" s="1332" t="s">
        <v>683</v>
      </c>
      <c r="D383" s="1331" t="s">
        <v>684</v>
      </c>
      <c r="E383" s="1539" t="s">
        <v>675</v>
      </c>
      <c r="F383" s="1532">
        <v>3.2000000000000001E-2</v>
      </c>
      <c r="G383" s="1104">
        <f>DUB!$I$12</f>
        <v>225000</v>
      </c>
      <c r="H383" s="1106">
        <f>G383*F383</f>
        <v>7200</v>
      </c>
      <c r="M383" s="1566"/>
    </row>
    <row r="384" spans="2:13" hidden="1">
      <c r="B384" s="1254"/>
      <c r="C384" s="1332"/>
      <c r="D384" s="1539"/>
      <c r="E384" s="1142"/>
      <c r="F384" s="2074" t="s">
        <v>685</v>
      </c>
      <c r="G384" s="2074"/>
      <c r="H384" s="1106">
        <f>SUM(H382:H383)</f>
        <v>157200</v>
      </c>
      <c r="M384" s="1566"/>
    </row>
    <row r="385" spans="2:13" hidden="1">
      <c r="B385" s="1120" t="s">
        <v>686</v>
      </c>
      <c r="C385" s="1329" t="s">
        <v>687</v>
      </c>
      <c r="D385" s="1539"/>
      <c r="E385" s="1142"/>
      <c r="F385" s="1532"/>
      <c r="G385" s="1136"/>
      <c r="H385" s="1106"/>
      <c r="M385" s="1566"/>
    </row>
    <row r="386" spans="2:13" hidden="1">
      <c r="B386" s="1254"/>
      <c r="C386" s="1125"/>
      <c r="D386" s="1539"/>
      <c r="E386" s="1142"/>
      <c r="F386" s="2074" t="s">
        <v>702</v>
      </c>
      <c r="G386" s="2074"/>
      <c r="H386" s="1106"/>
      <c r="M386" s="1566"/>
    </row>
    <row r="387" spans="2:13" s="496" customFormat="1" hidden="1">
      <c r="B387" s="1120" t="s">
        <v>703</v>
      </c>
      <c r="C387" s="2075" t="s">
        <v>3764</v>
      </c>
      <c r="D387" s="2075"/>
      <c r="E387" s="2075"/>
      <c r="F387" s="2075"/>
      <c r="G387" s="2075"/>
      <c r="H387" s="1107">
        <f>H384+H386</f>
        <v>157200</v>
      </c>
      <c r="J387" s="1559"/>
      <c r="K387" s="1559"/>
      <c r="L387" s="1559"/>
      <c r="M387" s="1635"/>
    </row>
    <row r="388" spans="2:13" s="496" customFormat="1" hidden="1">
      <c r="B388" s="1120" t="s">
        <v>706</v>
      </c>
      <c r="C388" s="2076" t="s">
        <v>709</v>
      </c>
      <c r="D388" s="2076"/>
      <c r="E388" s="2076"/>
      <c r="F388" s="2077" t="s">
        <v>3873</v>
      </c>
      <c r="G388" s="2077"/>
      <c r="H388" s="1107">
        <f>H387*0.15</f>
        <v>23580</v>
      </c>
      <c r="J388" s="1559"/>
      <c r="K388" s="1559"/>
      <c r="L388" s="1559"/>
      <c r="M388" s="1635"/>
    </row>
    <row r="389" spans="2:13" s="496" customFormat="1" hidden="1">
      <c r="B389" s="1120" t="s">
        <v>708</v>
      </c>
      <c r="C389" s="2078" t="s">
        <v>3765</v>
      </c>
      <c r="D389" s="2078"/>
      <c r="E389" s="2078"/>
      <c r="F389" s="2078"/>
      <c r="G389" s="2078"/>
      <c r="H389" s="1108">
        <f>ROUND(SUM(H387:H388),2)</f>
        <v>180780</v>
      </c>
      <c r="I389" s="506">
        <f>SUM(H387:H388)</f>
        <v>180780</v>
      </c>
      <c r="J389" s="1561"/>
      <c r="K389" s="1561"/>
      <c r="L389" s="1559"/>
      <c r="M389" s="1635"/>
    </row>
    <row r="390" spans="2:13" hidden="1">
      <c r="F390" s="1172"/>
      <c r="G390" s="1173"/>
      <c r="H390" s="1133"/>
      <c r="M390" s="1566"/>
    </row>
    <row r="391" spans="2:13" hidden="1">
      <c r="B391" s="1150" t="s">
        <v>3887</v>
      </c>
      <c r="C391" s="1232" t="s">
        <v>4411</v>
      </c>
      <c r="F391" s="1172"/>
      <c r="G391" s="1173"/>
      <c r="H391" s="1133"/>
      <c r="M391" s="1566"/>
    </row>
    <row r="392" spans="2:13" s="507" customFormat="1" ht="24.9" hidden="1" customHeight="1">
      <c r="B392" s="1748" t="s">
        <v>1003</v>
      </c>
      <c r="C392" s="1101" t="s">
        <v>1004</v>
      </c>
      <c r="D392" s="1101" t="s">
        <v>1005</v>
      </c>
      <c r="E392" s="1101" t="s">
        <v>1006</v>
      </c>
      <c r="F392" s="1102" t="s">
        <v>1007</v>
      </c>
      <c r="G392" s="1109" t="s">
        <v>2637</v>
      </c>
      <c r="H392" s="1110" t="s">
        <v>2638</v>
      </c>
      <c r="J392" s="1625"/>
      <c r="K392" s="1625"/>
      <c r="L392" s="1625"/>
      <c r="M392" s="1570"/>
    </row>
    <row r="393" spans="2:13" hidden="1">
      <c r="B393" s="1543" t="s">
        <v>671</v>
      </c>
      <c r="C393" s="1329" t="s">
        <v>672</v>
      </c>
      <c r="D393" s="1331"/>
      <c r="E393" s="1331"/>
      <c r="F393" s="1334"/>
      <c r="G393" s="1104"/>
      <c r="H393" s="1106"/>
      <c r="M393" s="1566"/>
    </row>
    <row r="394" spans="2:13" hidden="1">
      <c r="B394" s="1540"/>
      <c r="C394" s="1332" t="s">
        <v>673</v>
      </c>
      <c r="D394" s="1331" t="s">
        <v>674</v>
      </c>
      <c r="E394" s="1331" t="s">
        <v>675</v>
      </c>
      <c r="F394" s="1334">
        <v>1.5</v>
      </c>
      <c r="G394" s="1104">
        <f>DUB!$I$10</f>
        <v>150000</v>
      </c>
      <c r="H394" s="1106">
        <f>G394*F394</f>
        <v>225000</v>
      </c>
      <c r="M394" s="1566"/>
    </row>
    <row r="395" spans="2:13" hidden="1">
      <c r="B395" s="1540"/>
      <c r="C395" s="1332" t="s">
        <v>683</v>
      </c>
      <c r="D395" s="1331" t="s">
        <v>684</v>
      </c>
      <c r="E395" s="1331" t="s">
        <v>675</v>
      </c>
      <c r="F395" s="1334">
        <v>0.06</v>
      </c>
      <c r="G395" s="1104">
        <f>DUB!$I$12</f>
        <v>225000</v>
      </c>
      <c r="H395" s="1106">
        <f>G395*F395</f>
        <v>13500</v>
      </c>
      <c r="M395" s="1566"/>
    </row>
    <row r="396" spans="2:13" hidden="1">
      <c r="B396" s="1540"/>
      <c r="C396" s="1332"/>
      <c r="D396" s="1331"/>
      <c r="E396" s="1331"/>
      <c r="F396" s="2074" t="s">
        <v>685</v>
      </c>
      <c r="G396" s="2074"/>
      <c r="H396" s="1106">
        <f>SUM(H394:H395)</f>
        <v>238500</v>
      </c>
      <c r="M396" s="1566"/>
    </row>
    <row r="397" spans="2:13" hidden="1">
      <c r="B397" s="1543" t="s">
        <v>686</v>
      </c>
      <c r="C397" s="1329" t="s">
        <v>687</v>
      </c>
      <c r="D397" s="1331"/>
      <c r="E397" s="1331"/>
      <c r="F397" s="1334"/>
      <c r="G397" s="1104"/>
      <c r="H397" s="1106"/>
      <c r="M397" s="1566"/>
    </row>
    <row r="398" spans="2:13" hidden="1">
      <c r="B398" s="1540"/>
      <c r="C398" s="1125"/>
      <c r="D398" s="1333"/>
      <c r="E398" s="1333"/>
      <c r="F398" s="2074" t="s">
        <v>702</v>
      </c>
      <c r="G398" s="2074"/>
      <c r="H398" s="1106"/>
      <c r="M398" s="1566"/>
    </row>
    <row r="399" spans="2:13" s="496" customFormat="1" hidden="1">
      <c r="B399" s="1543" t="s">
        <v>703</v>
      </c>
      <c r="C399" s="2075" t="s">
        <v>3764</v>
      </c>
      <c r="D399" s="2075"/>
      <c r="E399" s="2075"/>
      <c r="F399" s="2075"/>
      <c r="G399" s="2075"/>
      <c r="H399" s="1107">
        <f>H396+H398</f>
        <v>238500</v>
      </c>
      <c r="J399" s="1559"/>
      <c r="K399" s="1559"/>
      <c r="L399" s="1559"/>
      <c r="M399" s="1635"/>
    </row>
    <row r="400" spans="2:13" s="496" customFormat="1" hidden="1">
      <c r="B400" s="1543" t="s">
        <v>706</v>
      </c>
      <c r="C400" s="2076" t="s">
        <v>709</v>
      </c>
      <c r="D400" s="2076"/>
      <c r="E400" s="2076"/>
      <c r="F400" s="2077" t="s">
        <v>3873</v>
      </c>
      <c r="G400" s="2077"/>
      <c r="H400" s="1107">
        <f>H399*0.15</f>
        <v>35775</v>
      </c>
      <c r="J400" s="1559"/>
      <c r="K400" s="1559"/>
      <c r="L400" s="1559"/>
      <c r="M400" s="1635"/>
    </row>
    <row r="401" spans="2:13" s="496" customFormat="1" hidden="1">
      <c r="B401" s="1543" t="s">
        <v>708</v>
      </c>
      <c r="C401" s="2078" t="s">
        <v>3765</v>
      </c>
      <c r="D401" s="2078"/>
      <c r="E401" s="2078"/>
      <c r="F401" s="2078"/>
      <c r="G401" s="2078"/>
      <c r="H401" s="1108">
        <f>ROUND(SUM(H399:H400),2)</f>
        <v>274275</v>
      </c>
      <c r="I401" s="506">
        <f>SUM(H399:H400)</f>
        <v>274275</v>
      </c>
      <c r="J401" s="1561"/>
      <c r="K401" s="1561"/>
      <c r="L401" s="1559"/>
      <c r="M401" s="1635"/>
    </row>
    <row r="402" spans="2:13" hidden="1">
      <c r="B402" s="1143"/>
      <c r="C402" s="1144"/>
      <c r="D402" s="1143"/>
      <c r="E402" s="1143"/>
      <c r="F402" s="1145"/>
      <c r="G402" s="1146"/>
      <c r="H402" s="1147"/>
      <c r="M402" s="1566"/>
    </row>
    <row r="403" spans="2:13" hidden="1">
      <c r="B403" s="1100" t="s">
        <v>3888</v>
      </c>
      <c r="C403" s="1112" t="s">
        <v>4412</v>
      </c>
      <c r="D403" s="1129"/>
      <c r="E403" s="1129"/>
      <c r="F403" s="1131"/>
      <c r="G403" s="1132"/>
      <c r="H403" s="1115"/>
      <c r="M403" s="1566"/>
    </row>
    <row r="404" spans="2:13" s="507" customFormat="1" ht="24.9" hidden="1" customHeight="1">
      <c r="B404" s="1748" t="s">
        <v>1003</v>
      </c>
      <c r="C404" s="1101" t="s">
        <v>1004</v>
      </c>
      <c r="D404" s="1101" t="s">
        <v>1005</v>
      </c>
      <c r="E404" s="1101" t="s">
        <v>1006</v>
      </c>
      <c r="F404" s="1102" t="s">
        <v>1007</v>
      </c>
      <c r="G404" s="1109" t="s">
        <v>2637</v>
      </c>
      <c r="H404" s="1110" t="s">
        <v>2638</v>
      </c>
      <c r="J404" s="1625"/>
      <c r="K404" s="1625"/>
      <c r="L404" s="1625"/>
      <c r="M404" s="1570"/>
    </row>
    <row r="405" spans="2:13" hidden="1">
      <c r="B405" s="1543" t="s">
        <v>671</v>
      </c>
      <c r="C405" s="1329" t="s">
        <v>672</v>
      </c>
      <c r="D405" s="1331"/>
      <c r="E405" s="1331"/>
      <c r="F405" s="1334"/>
      <c r="G405" s="1104"/>
      <c r="H405" s="1106"/>
      <c r="M405" s="1566"/>
    </row>
    <row r="406" spans="2:13" hidden="1">
      <c r="B406" s="1540"/>
      <c r="C406" s="1332" t="s">
        <v>673</v>
      </c>
      <c r="D406" s="1331" t="s">
        <v>674</v>
      </c>
      <c r="E406" s="1331" t="s">
        <v>675</v>
      </c>
      <c r="F406" s="1334">
        <v>1.2</v>
      </c>
      <c r="G406" s="1104">
        <f>DUB!$I$10</f>
        <v>150000</v>
      </c>
      <c r="H406" s="1106">
        <f>G406*F406</f>
        <v>180000</v>
      </c>
      <c r="M406" s="1566"/>
    </row>
    <row r="407" spans="2:13" hidden="1">
      <c r="B407" s="1540"/>
      <c r="C407" s="1332" t="s">
        <v>683</v>
      </c>
      <c r="D407" s="1331" t="s">
        <v>684</v>
      </c>
      <c r="E407" s="1331" t="s">
        <v>675</v>
      </c>
      <c r="F407" s="1334">
        <v>4.4999999999999998E-2</v>
      </c>
      <c r="G407" s="1104">
        <f>DUB!$I$12</f>
        <v>225000</v>
      </c>
      <c r="H407" s="1106">
        <f>G407*F407</f>
        <v>10125</v>
      </c>
      <c r="M407" s="1566"/>
    </row>
    <row r="408" spans="2:13" hidden="1">
      <c r="B408" s="1540"/>
      <c r="C408" s="1332"/>
      <c r="D408" s="1331"/>
      <c r="E408" s="1331"/>
      <c r="F408" s="2091" t="s">
        <v>685</v>
      </c>
      <c r="G408" s="2091"/>
      <c r="H408" s="1106">
        <f>SUM(H406:H407)</f>
        <v>190125</v>
      </c>
      <c r="M408" s="1566"/>
    </row>
    <row r="409" spans="2:13" hidden="1">
      <c r="B409" s="1543" t="s">
        <v>686</v>
      </c>
      <c r="C409" s="1329" t="s">
        <v>687</v>
      </c>
      <c r="D409" s="1331"/>
      <c r="E409" s="1331"/>
      <c r="F409" s="1334"/>
      <c r="G409" s="1104"/>
      <c r="H409" s="1106"/>
      <c r="M409" s="1566"/>
    </row>
    <row r="410" spans="2:13" hidden="1">
      <c r="B410" s="1540"/>
      <c r="C410" s="1332"/>
      <c r="D410" s="1331"/>
      <c r="E410" s="1331"/>
      <c r="F410" s="2091" t="s">
        <v>702</v>
      </c>
      <c r="G410" s="2091"/>
      <c r="H410" s="1106"/>
      <c r="M410" s="1566"/>
    </row>
    <row r="411" spans="2:13" s="496" customFormat="1" hidden="1">
      <c r="B411" s="1543" t="s">
        <v>703</v>
      </c>
      <c r="C411" s="2075" t="s">
        <v>3764</v>
      </c>
      <c r="D411" s="2075"/>
      <c r="E411" s="2075"/>
      <c r="F411" s="2075"/>
      <c r="G411" s="2075"/>
      <c r="H411" s="1107">
        <f>H408+H410</f>
        <v>190125</v>
      </c>
      <c r="J411" s="1559"/>
      <c r="K411" s="1559"/>
      <c r="L411" s="1559"/>
      <c r="M411" s="1635"/>
    </row>
    <row r="412" spans="2:13" s="496" customFormat="1" hidden="1">
      <c r="B412" s="1543" t="s">
        <v>706</v>
      </c>
      <c r="C412" s="2076" t="s">
        <v>709</v>
      </c>
      <c r="D412" s="2076"/>
      <c r="E412" s="2076"/>
      <c r="F412" s="2077" t="s">
        <v>3873</v>
      </c>
      <c r="G412" s="2077"/>
      <c r="H412" s="1107">
        <f>H411*0.15</f>
        <v>28518.75</v>
      </c>
      <c r="J412" s="1559"/>
      <c r="K412" s="1559"/>
      <c r="L412" s="1559"/>
      <c r="M412" s="1635"/>
    </row>
    <row r="413" spans="2:13" s="496" customFormat="1" hidden="1">
      <c r="B413" s="1543" t="s">
        <v>708</v>
      </c>
      <c r="C413" s="2075" t="s">
        <v>3765</v>
      </c>
      <c r="D413" s="2075"/>
      <c r="E413" s="2075"/>
      <c r="F413" s="2075"/>
      <c r="G413" s="2075"/>
      <c r="H413" s="1138">
        <f>ROUND(SUM(H411:H412),2)</f>
        <v>218643.75</v>
      </c>
      <c r="I413" s="506">
        <f>SUM(H411:H412)</f>
        <v>218643.75</v>
      </c>
      <c r="J413" s="1561"/>
      <c r="K413" s="1561"/>
      <c r="L413" s="1559"/>
      <c r="M413" s="1635"/>
    </row>
    <row r="414" spans="2:13" hidden="1">
      <c r="B414" s="1143"/>
      <c r="C414" s="1144"/>
      <c r="D414" s="1143"/>
      <c r="E414" s="1143"/>
      <c r="F414" s="1145"/>
      <c r="G414" s="1146"/>
      <c r="H414" s="1147"/>
      <c r="M414" s="1566"/>
    </row>
    <row r="415" spans="2:13" hidden="1">
      <c r="B415" s="1100" t="s">
        <v>3889</v>
      </c>
      <c r="C415" s="1112" t="s">
        <v>4407</v>
      </c>
      <c r="D415" s="1129"/>
      <c r="E415" s="1129"/>
      <c r="F415" s="1131"/>
      <c r="G415" s="1132"/>
      <c r="H415" s="1115"/>
      <c r="M415" s="1566"/>
    </row>
    <row r="416" spans="2:13" s="507" customFormat="1" ht="24.9" hidden="1" customHeight="1">
      <c r="B416" s="1748" t="s">
        <v>1003</v>
      </c>
      <c r="C416" s="1101" t="s">
        <v>1004</v>
      </c>
      <c r="D416" s="1101" t="s">
        <v>1005</v>
      </c>
      <c r="E416" s="1101" t="s">
        <v>1006</v>
      </c>
      <c r="F416" s="1102" t="s">
        <v>1007</v>
      </c>
      <c r="G416" s="1109" t="s">
        <v>2637</v>
      </c>
      <c r="H416" s="1110" t="s">
        <v>2638</v>
      </c>
      <c r="J416" s="1625"/>
      <c r="K416" s="1625"/>
      <c r="L416" s="1625"/>
      <c r="M416" s="1570"/>
    </row>
    <row r="417" spans="2:13" hidden="1">
      <c r="B417" s="1543" t="s">
        <v>671</v>
      </c>
      <c r="C417" s="1329" t="s">
        <v>672</v>
      </c>
      <c r="D417" s="1331"/>
      <c r="E417" s="1331"/>
      <c r="F417" s="1334"/>
      <c r="G417" s="1104"/>
      <c r="H417" s="1106"/>
      <c r="M417" s="1566"/>
    </row>
    <row r="418" spans="2:13" hidden="1">
      <c r="B418" s="1540"/>
      <c r="C418" s="1332" t="s">
        <v>673</v>
      </c>
      <c r="D418" s="1331" t="s">
        <v>674</v>
      </c>
      <c r="E418" s="1331" t="s">
        <v>675</v>
      </c>
      <c r="F418" s="1334">
        <v>0.05</v>
      </c>
      <c r="G418" s="1104">
        <f>DUB!$I$10</f>
        <v>150000</v>
      </c>
      <c r="H418" s="1106">
        <f>G418*F418</f>
        <v>7500</v>
      </c>
      <c r="M418" s="1566"/>
    </row>
    <row r="419" spans="2:13" hidden="1">
      <c r="B419" s="1540"/>
      <c r="C419" s="1332" t="s">
        <v>683</v>
      </c>
      <c r="D419" s="1331" t="s">
        <v>684</v>
      </c>
      <c r="E419" s="1331" t="s">
        <v>675</v>
      </c>
      <c r="F419" s="1334">
        <v>5.0000000000000001E-3</v>
      </c>
      <c r="G419" s="1104">
        <f>DUB!$I$12</f>
        <v>225000</v>
      </c>
      <c r="H419" s="1106">
        <f>G419*F419</f>
        <v>1125</v>
      </c>
      <c r="M419" s="1566"/>
    </row>
    <row r="420" spans="2:13" hidden="1">
      <c r="B420" s="1540"/>
      <c r="C420" s="1332"/>
      <c r="D420" s="1331"/>
      <c r="E420" s="1331"/>
      <c r="F420" s="2074" t="s">
        <v>685</v>
      </c>
      <c r="G420" s="2074"/>
      <c r="H420" s="1106">
        <f>SUM(H418:H419)</f>
        <v>8625</v>
      </c>
      <c r="M420" s="1566"/>
    </row>
    <row r="421" spans="2:13" hidden="1">
      <c r="B421" s="1543" t="s">
        <v>686</v>
      </c>
      <c r="C421" s="1329" t="s">
        <v>687</v>
      </c>
      <c r="D421" s="1331"/>
      <c r="E421" s="1331"/>
      <c r="F421" s="1334"/>
      <c r="G421" s="1104"/>
      <c r="H421" s="1106"/>
      <c r="M421" s="1566"/>
    </row>
    <row r="422" spans="2:13" hidden="1">
      <c r="B422" s="1540"/>
      <c r="C422" s="1125"/>
      <c r="D422" s="1333"/>
      <c r="E422" s="1333"/>
      <c r="F422" s="2074" t="s">
        <v>702</v>
      </c>
      <c r="G422" s="2074"/>
      <c r="H422" s="1106"/>
      <c r="M422" s="1566"/>
    </row>
    <row r="423" spans="2:13" s="496" customFormat="1" hidden="1">
      <c r="B423" s="1543" t="s">
        <v>703</v>
      </c>
      <c r="C423" s="2075" t="s">
        <v>3764</v>
      </c>
      <c r="D423" s="2075"/>
      <c r="E423" s="2075"/>
      <c r="F423" s="2075"/>
      <c r="G423" s="2075"/>
      <c r="H423" s="1107">
        <f>H420+H422</f>
        <v>8625</v>
      </c>
      <c r="J423" s="1559"/>
      <c r="K423" s="1559"/>
      <c r="L423" s="1559"/>
      <c r="M423" s="1635"/>
    </row>
    <row r="424" spans="2:13" s="496" customFormat="1" hidden="1">
      <c r="B424" s="1543" t="s">
        <v>706</v>
      </c>
      <c r="C424" s="2076" t="s">
        <v>709</v>
      </c>
      <c r="D424" s="2076"/>
      <c r="E424" s="2076"/>
      <c r="F424" s="2077" t="s">
        <v>3873</v>
      </c>
      <c r="G424" s="2077"/>
      <c r="H424" s="1107">
        <f>H423*0.15</f>
        <v>1293.75</v>
      </c>
      <c r="J424" s="1559"/>
      <c r="K424" s="1559"/>
      <c r="L424" s="1559"/>
      <c r="M424" s="1635"/>
    </row>
    <row r="425" spans="2:13" s="496" customFormat="1" hidden="1">
      <c r="B425" s="1543" t="s">
        <v>708</v>
      </c>
      <c r="C425" s="2078" t="s">
        <v>3765</v>
      </c>
      <c r="D425" s="2078"/>
      <c r="E425" s="2078"/>
      <c r="F425" s="2078"/>
      <c r="G425" s="2078"/>
      <c r="H425" s="1108">
        <f>ROUND(SUM(H423:H424),2)</f>
        <v>9918.75</v>
      </c>
      <c r="I425" s="506">
        <f>SUM(H423:H424)</f>
        <v>9918.75</v>
      </c>
      <c r="J425" s="1561"/>
      <c r="K425" s="1561"/>
      <c r="L425" s="1559"/>
      <c r="M425" s="1635"/>
    </row>
    <row r="426" spans="2:13" hidden="1">
      <c r="F426" s="1172"/>
      <c r="G426" s="1173"/>
      <c r="H426" s="1133"/>
      <c r="M426" s="1566"/>
    </row>
    <row r="427" spans="2:13" hidden="1">
      <c r="B427" s="1100" t="s">
        <v>3890</v>
      </c>
      <c r="C427" s="1232" t="s">
        <v>4413</v>
      </c>
      <c r="F427" s="1172"/>
      <c r="G427" s="1173"/>
      <c r="H427" s="1133"/>
      <c r="M427" s="1566"/>
    </row>
    <row r="428" spans="2:13" s="507" customFormat="1" ht="24.9" hidden="1" customHeight="1">
      <c r="B428" s="1748" t="s">
        <v>1003</v>
      </c>
      <c r="C428" s="1101" t="s">
        <v>1004</v>
      </c>
      <c r="D428" s="1101" t="s">
        <v>1005</v>
      </c>
      <c r="E428" s="1101" t="s">
        <v>1006</v>
      </c>
      <c r="F428" s="1139" t="s">
        <v>1007</v>
      </c>
      <c r="G428" s="1109" t="s">
        <v>2637</v>
      </c>
      <c r="H428" s="1110" t="s">
        <v>2638</v>
      </c>
      <c r="J428" s="1625"/>
      <c r="K428" s="1625"/>
      <c r="L428" s="1625"/>
      <c r="M428" s="1570"/>
    </row>
    <row r="429" spans="2:13" hidden="1">
      <c r="B429" s="1543" t="s">
        <v>671</v>
      </c>
      <c r="C429" s="1329" t="s">
        <v>672</v>
      </c>
      <c r="D429" s="1331"/>
      <c r="E429" s="1331"/>
      <c r="F429" s="1532"/>
      <c r="G429" s="1104"/>
      <c r="H429" s="1106"/>
      <c r="M429" s="1566"/>
    </row>
    <row r="430" spans="2:13" hidden="1">
      <c r="B430" s="1540"/>
      <c r="C430" s="1332" t="s">
        <v>673</v>
      </c>
      <c r="D430" s="1331" t="s">
        <v>674</v>
      </c>
      <c r="E430" s="1331" t="s">
        <v>675</v>
      </c>
      <c r="F430" s="1532">
        <v>0.33</v>
      </c>
      <c r="G430" s="1104">
        <f>DUB!$I$10</f>
        <v>150000</v>
      </c>
      <c r="H430" s="1106">
        <f>G430*F430</f>
        <v>49500</v>
      </c>
      <c r="M430" s="1566"/>
    </row>
    <row r="431" spans="2:13" hidden="1">
      <c r="B431" s="1540"/>
      <c r="C431" s="1332" t="s">
        <v>683</v>
      </c>
      <c r="D431" s="1331" t="s">
        <v>684</v>
      </c>
      <c r="E431" s="1331" t="s">
        <v>675</v>
      </c>
      <c r="F431" s="1532">
        <v>0.01</v>
      </c>
      <c r="G431" s="1104">
        <f>DUB!$I$12</f>
        <v>225000</v>
      </c>
      <c r="H431" s="1106">
        <f>G431*F431</f>
        <v>2250</v>
      </c>
      <c r="M431" s="1566"/>
    </row>
    <row r="432" spans="2:13" hidden="1">
      <c r="B432" s="1540"/>
      <c r="C432" s="1332"/>
      <c r="D432" s="1331"/>
      <c r="E432" s="1331"/>
      <c r="F432" s="2080" t="s">
        <v>685</v>
      </c>
      <c r="G432" s="2081"/>
      <c r="H432" s="1106">
        <f>SUM(H430:H431)</f>
        <v>51750</v>
      </c>
      <c r="M432" s="1566"/>
    </row>
    <row r="433" spans="2:13" hidden="1">
      <c r="B433" s="1543" t="s">
        <v>686</v>
      </c>
      <c r="C433" s="1329" t="s">
        <v>687</v>
      </c>
      <c r="D433" s="1331"/>
      <c r="E433" s="1331"/>
      <c r="F433" s="1532"/>
      <c r="G433" s="1104"/>
      <c r="H433" s="1106"/>
      <c r="M433" s="1566"/>
    </row>
    <row r="434" spans="2:13" hidden="1">
      <c r="B434" s="1540"/>
      <c r="C434" s="1332"/>
      <c r="D434" s="1331"/>
      <c r="E434" s="1331"/>
      <c r="F434" s="2080" t="s">
        <v>702</v>
      </c>
      <c r="G434" s="2081"/>
      <c r="H434" s="1106"/>
      <c r="M434" s="1566"/>
    </row>
    <row r="435" spans="2:13" s="496" customFormat="1" hidden="1">
      <c r="B435" s="1543" t="s">
        <v>703</v>
      </c>
      <c r="C435" s="2089" t="s">
        <v>3764</v>
      </c>
      <c r="D435" s="2089"/>
      <c r="E435" s="2089"/>
      <c r="F435" s="2089"/>
      <c r="G435" s="2089"/>
      <c r="H435" s="1107">
        <f>H432+H434</f>
        <v>51750</v>
      </c>
      <c r="J435" s="1559"/>
      <c r="K435" s="1559"/>
      <c r="L435" s="1559"/>
      <c r="M435" s="1635"/>
    </row>
    <row r="436" spans="2:13" s="496" customFormat="1" hidden="1">
      <c r="B436" s="1543" t="s">
        <v>706</v>
      </c>
      <c r="C436" s="2076" t="s">
        <v>709</v>
      </c>
      <c r="D436" s="2076"/>
      <c r="E436" s="2076"/>
      <c r="F436" s="1545" t="s">
        <v>3873</v>
      </c>
      <c r="G436" s="1141"/>
      <c r="H436" s="1107">
        <f>H435*0.15</f>
        <v>7762.5</v>
      </c>
      <c r="J436" s="1559"/>
      <c r="K436" s="1559"/>
      <c r="L436" s="1559"/>
      <c r="M436" s="1635"/>
    </row>
    <row r="437" spans="2:13" s="496" customFormat="1" hidden="1">
      <c r="B437" s="1543" t="s">
        <v>708</v>
      </c>
      <c r="C437" s="2078" t="s">
        <v>3765</v>
      </c>
      <c r="D437" s="2078"/>
      <c r="E437" s="2078"/>
      <c r="F437" s="2078"/>
      <c r="G437" s="2078"/>
      <c r="H437" s="1108">
        <f>ROUND(SUM(H435:H436),2)</f>
        <v>59512.5</v>
      </c>
      <c r="I437" s="506">
        <f>SUM(H435:H436)</f>
        <v>59512.5</v>
      </c>
      <c r="J437" s="1561"/>
      <c r="K437" s="1561"/>
      <c r="L437" s="1559"/>
      <c r="M437" s="1635"/>
    </row>
    <row r="438" spans="2:13" hidden="1">
      <c r="B438" s="1143"/>
      <c r="C438" s="1144"/>
      <c r="D438" s="1143"/>
      <c r="E438" s="1143"/>
      <c r="F438" s="1145"/>
      <c r="G438" s="1146"/>
      <c r="H438" s="1147"/>
      <c r="M438" s="1566"/>
    </row>
    <row r="439" spans="2:13">
      <c r="B439" s="1100" t="s">
        <v>3891</v>
      </c>
      <c r="C439" s="1112" t="s">
        <v>2676</v>
      </c>
      <c r="D439" s="1129"/>
      <c r="E439" s="1129"/>
      <c r="F439" s="1131"/>
      <c r="G439" s="1132"/>
      <c r="H439" s="1115"/>
      <c r="M439" s="1566"/>
    </row>
    <row r="440" spans="2:13" s="507" customFormat="1" ht="24.9" customHeight="1">
      <c r="B440" s="1727" t="s">
        <v>1003</v>
      </c>
      <c r="C440" s="1728" t="s">
        <v>1004</v>
      </c>
      <c r="D440" s="1728" t="s">
        <v>1005</v>
      </c>
      <c r="E440" s="1728" t="s">
        <v>1006</v>
      </c>
      <c r="F440" s="1729" t="s">
        <v>1007</v>
      </c>
      <c r="G440" s="1866" t="s">
        <v>2637</v>
      </c>
      <c r="H440" s="1867" t="s">
        <v>2638</v>
      </c>
      <c r="I440" s="1739"/>
      <c r="J440" s="1605" t="s">
        <v>5335</v>
      </c>
      <c r="K440" s="1603" t="s">
        <v>5336</v>
      </c>
      <c r="L440" s="1603" t="s">
        <v>5337</v>
      </c>
      <c r="M440" s="1604" t="s">
        <v>5338</v>
      </c>
    </row>
    <row r="441" spans="2:13">
      <c r="B441" s="1733" t="s">
        <v>671</v>
      </c>
      <c r="C441" s="1329" t="s">
        <v>672</v>
      </c>
      <c r="D441" s="1331"/>
      <c r="E441" s="1331"/>
      <c r="F441" s="1334"/>
      <c r="G441" s="1104"/>
      <c r="H441" s="1106"/>
      <c r="J441" s="1596"/>
      <c r="K441" s="1597"/>
      <c r="L441" s="1597"/>
      <c r="M441" s="1563"/>
    </row>
    <row r="442" spans="2:13">
      <c r="B442" s="1182"/>
      <c r="C442" s="1332" t="s">
        <v>673</v>
      </c>
      <c r="D442" s="1331" t="s">
        <v>674</v>
      </c>
      <c r="E442" s="1331" t="s">
        <v>675</v>
      </c>
      <c r="F442" s="1334">
        <v>0.5</v>
      </c>
      <c r="G442" s="1104">
        <f>DUB!$I$10</f>
        <v>150000</v>
      </c>
      <c r="H442" s="1106">
        <f>G442*F442</f>
        <v>75000</v>
      </c>
      <c r="J442" s="1609" t="s">
        <v>5339</v>
      </c>
      <c r="K442" s="1611">
        <v>1</v>
      </c>
      <c r="L442" s="1608" t="s">
        <v>5340</v>
      </c>
      <c r="M442" s="1610">
        <f>H442*K442</f>
        <v>75000</v>
      </c>
    </row>
    <row r="443" spans="2:13">
      <c r="B443" s="1182"/>
      <c r="C443" s="1332" t="s">
        <v>683</v>
      </c>
      <c r="D443" s="1331" t="s">
        <v>684</v>
      </c>
      <c r="E443" s="1331" t="s">
        <v>675</v>
      </c>
      <c r="F443" s="1334">
        <v>0.05</v>
      </c>
      <c r="G443" s="1104">
        <f>DUB!$I$12</f>
        <v>225000</v>
      </c>
      <c r="H443" s="1106">
        <f>G443*F443</f>
        <v>11250</v>
      </c>
      <c r="J443" s="1609" t="s">
        <v>5339</v>
      </c>
      <c r="K443" s="1611">
        <v>1</v>
      </c>
      <c r="L443" s="1608" t="s">
        <v>5340</v>
      </c>
      <c r="M443" s="1610">
        <f>H443*K443</f>
        <v>11250</v>
      </c>
    </row>
    <row r="444" spans="2:13">
      <c r="B444" s="1182"/>
      <c r="C444" s="1332"/>
      <c r="D444" s="1331"/>
      <c r="E444" s="1331"/>
      <c r="F444" s="2090" t="s">
        <v>685</v>
      </c>
      <c r="G444" s="2090"/>
      <c r="H444" s="1106">
        <f>SUM(H442:H443)</f>
        <v>86250</v>
      </c>
      <c r="J444" s="1596"/>
      <c r="K444" s="1597"/>
      <c r="L444" s="1598"/>
      <c r="M444" s="1564">
        <f>SUM(M442:M443)</f>
        <v>86250</v>
      </c>
    </row>
    <row r="445" spans="2:13">
      <c r="B445" s="1733" t="s">
        <v>686</v>
      </c>
      <c r="C445" s="1329" t="s">
        <v>687</v>
      </c>
      <c r="D445" s="1331"/>
      <c r="E445" s="1331"/>
      <c r="F445" s="1127"/>
      <c r="G445" s="1128"/>
      <c r="H445" s="1106"/>
      <c r="J445" s="1596"/>
      <c r="K445" s="1597"/>
      <c r="L445" s="1597"/>
      <c r="M445" s="1563"/>
    </row>
    <row r="446" spans="2:13">
      <c r="B446" s="1182"/>
      <c r="C446" s="1125"/>
      <c r="D446" s="1333"/>
      <c r="E446" s="1333"/>
      <c r="F446" s="2074" t="s">
        <v>702</v>
      </c>
      <c r="G446" s="2074"/>
      <c r="H446" s="1106"/>
      <c r="J446" s="1596"/>
      <c r="K446" s="1597"/>
      <c r="L446" s="1597"/>
      <c r="M446" s="1563"/>
    </row>
    <row r="447" spans="2:13" s="496" customFormat="1">
      <c r="B447" s="1733" t="s">
        <v>703</v>
      </c>
      <c r="C447" s="2075" t="s">
        <v>3764</v>
      </c>
      <c r="D447" s="2075"/>
      <c r="E447" s="2075"/>
      <c r="F447" s="2075"/>
      <c r="G447" s="2075"/>
      <c r="H447" s="1107">
        <f>H444+H446</f>
        <v>86250</v>
      </c>
      <c r="J447" s="1599"/>
      <c r="K447" s="1612">
        <f>M447/H447</f>
        <v>1</v>
      </c>
      <c r="L447" s="1600"/>
      <c r="M447" s="1564">
        <f>SUM(M442:M443)</f>
        <v>86250</v>
      </c>
    </row>
    <row r="448" spans="2:13" s="496" customFormat="1">
      <c r="B448" s="1733" t="s">
        <v>706</v>
      </c>
      <c r="C448" s="2076" t="s">
        <v>709</v>
      </c>
      <c r="D448" s="2076"/>
      <c r="E448" s="2076"/>
      <c r="F448" s="2077" t="s">
        <v>3873</v>
      </c>
      <c r="G448" s="2077"/>
      <c r="H448" s="1107">
        <f>H447*0.15</f>
        <v>12937.5</v>
      </c>
      <c r="J448" s="1599"/>
      <c r="K448" s="1600"/>
      <c r="L448" s="1600"/>
      <c r="M448" s="1564">
        <f>M447*0.15</f>
        <v>12937.5</v>
      </c>
    </row>
    <row r="449" spans="2:13" s="496" customFormat="1">
      <c r="B449" s="1734" t="s">
        <v>708</v>
      </c>
      <c r="C449" s="2109" t="s">
        <v>3765</v>
      </c>
      <c r="D449" s="2109"/>
      <c r="E449" s="2109"/>
      <c r="F449" s="2109"/>
      <c r="G449" s="2109"/>
      <c r="H449" s="1108">
        <f>ROUND(SUM(H447:H448),2)</f>
        <v>99187.5</v>
      </c>
      <c r="I449" s="1873">
        <f>SUM(H447:H448)</f>
        <v>99187.5</v>
      </c>
      <c r="J449" s="1601"/>
      <c r="K449" s="1602"/>
      <c r="L449" s="1600"/>
      <c r="M449" s="1917">
        <f>SUM(M447:M448)</f>
        <v>99187.5</v>
      </c>
    </row>
    <row r="450" spans="2:13">
      <c r="B450" s="1751"/>
      <c r="C450" s="1752"/>
      <c r="D450" s="1751"/>
      <c r="E450" s="1751"/>
      <c r="F450" s="1753"/>
      <c r="G450" s="1754"/>
      <c r="H450" s="1755"/>
      <c r="I450" s="1746"/>
      <c r="J450" s="1641"/>
      <c r="K450" s="1641"/>
      <c r="L450" s="1641"/>
      <c r="M450" s="1747"/>
    </row>
    <row r="451" spans="2:13" hidden="1">
      <c r="B451" s="1100" t="s">
        <v>3892</v>
      </c>
      <c r="C451" s="1112" t="s">
        <v>2677</v>
      </c>
      <c r="D451" s="1129"/>
      <c r="E451" s="1129"/>
      <c r="F451" s="1131"/>
      <c r="G451" s="1132"/>
      <c r="H451" s="1115"/>
      <c r="M451" s="1566"/>
    </row>
    <row r="452" spans="2:13" s="507" customFormat="1" ht="24.9" hidden="1" customHeight="1">
      <c r="B452" s="1748" t="s">
        <v>1003</v>
      </c>
      <c r="C452" s="1101" t="s">
        <v>1004</v>
      </c>
      <c r="D452" s="1101" t="s">
        <v>1005</v>
      </c>
      <c r="E452" s="1101" t="s">
        <v>1006</v>
      </c>
      <c r="F452" s="1102" t="s">
        <v>1007</v>
      </c>
      <c r="G452" s="1109" t="s">
        <v>2637</v>
      </c>
      <c r="H452" s="1110" t="s">
        <v>2638</v>
      </c>
      <c r="J452" s="1625"/>
      <c r="K452" s="1625"/>
      <c r="L452" s="1625"/>
      <c r="M452" s="1570"/>
    </row>
    <row r="453" spans="2:13" hidden="1">
      <c r="B453" s="1543" t="s">
        <v>671</v>
      </c>
      <c r="C453" s="1329" t="s">
        <v>672</v>
      </c>
      <c r="D453" s="1331"/>
      <c r="E453" s="1331"/>
      <c r="F453" s="1334"/>
      <c r="G453" s="1104"/>
      <c r="H453" s="1106"/>
      <c r="M453" s="1566"/>
    </row>
    <row r="454" spans="2:13" hidden="1">
      <c r="B454" s="1540"/>
      <c r="C454" s="1332" t="s">
        <v>673</v>
      </c>
      <c r="D454" s="1331" t="s">
        <v>674</v>
      </c>
      <c r="E454" s="1331" t="s">
        <v>675</v>
      </c>
      <c r="F454" s="1334">
        <v>0.5</v>
      </c>
      <c r="G454" s="1104">
        <f>DUB!$I$10</f>
        <v>150000</v>
      </c>
      <c r="H454" s="1106">
        <f>G454*F454</f>
        <v>75000</v>
      </c>
      <c r="M454" s="1566"/>
    </row>
    <row r="455" spans="2:13" hidden="1">
      <c r="B455" s="1540"/>
      <c r="C455" s="1332" t="s">
        <v>683</v>
      </c>
      <c r="D455" s="1331" t="s">
        <v>684</v>
      </c>
      <c r="E455" s="1331" t="s">
        <v>675</v>
      </c>
      <c r="F455" s="1334">
        <v>0.05</v>
      </c>
      <c r="G455" s="1104">
        <f>DUB!$I$12</f>
        <v>225000</v>
      </c>
      <c r="H455" s="1106">
        <f>G455*F455</f>
        <v>11250</v>
      </c>
      <c r="M455" s="1566"/>
    </row>
    <row r="456" spans="2:13" hidden="1">
      <c r="B456" s="1540"/>
      <c r="C456" s="1332"/>
      <c r="D456" s="1331"/>
      <c r="E456" s="1331"/>
      <c r="F456" s="2090" t="s">
        <v>685</v>
      </c>
      <c r="G456" s="2090"/>
      <c r="H456" s="1106">
        <f>SUM(H454:H455)</f>
        <v>86250</v>
      </c>
      <c r="M456" s="1566"/>
    </row>
    <row r="457" spans="2:13" hidden="1">
      <c r="B457" s="1543" t="s">
        <v>686</v>
      </c>
      <c r="C457" s="1329" t="s">
        <v>687</v>
      </c>
      <c r="D457" s="1331"/>
      <c r="E457" s="1331"/>
      <c r="F457" s="1127"/>
      <c r="G457" s="1128"/>
      <c r="H457" s="1106"/>
      <c r="M457" s="1566"/>
    </row>
    <row r="458" spans="2:13" hidden="1">
      <c r="B458" s="1540"/>
      <c r="C458" s="1125"/>
      <c r="D458" s="1333"/>
      <c r="E458" s="1333"/>
      <c r="F458" s="2074" t="s">
        <v>702</v>
      </c>
      <c r="G458" s="2074"/>
      <c r="H458" s="1106"/>
      <c r="M458" s="1566"/>
    </row>
    <row r="459" spans="2:13" s="496" customFormat="1" hidden="1">
      <c r="B459" s="1543" t="s">
        <v>703</v>
      </c>
      <c r="C459" s="2075" t="s">
        <v>3764</v>
      </c>
      <c r="D459" s="2075"/>
      <c r="E459" s="2075"/>
      <c r="F459" s="2075"/>
      <c r="G459" s="2075"/>
      <c r="H459" s="1107">
        <f>H456+H458</f>
        <v>86250</v>
      </c>
      <c r="J459" s="1559"/>
      <c r="K459" s="1559"/>
      <c r="L459" s="1559"/>
      <c r="M459" s="1635"/>
    </row>
    <row r="460" spans="2:13" s="496" customFormat="1" hidden="1">
      <c r="B460" s="1543" t="s">
        <v>706</v>
      </c>
      <c r="C460" s="2076" t="s">
        <v>709</v>
      </c>
      <c r="D460" s="2076"/>
      <c r="E460" s="2076"/>
      <c r="F460" s="2077" t="s">
        <v>3873</v>
      </c>
      <c r="G460" s="2077"/>
      <c r="H460" s="1107">
        <f>H459*0.15</f>
        <v>12937.5</v>
      </c>
      <c r="J460" s="1559"/>
      <c r="K460" s="1559"/>
      <c r="L460" s="1559"/>
      <c r="M460" s="1635"/>
    </row>
    <row r="461" spans="2:13" s="496" customFormat="1" hidden="1">
      <c r="B461" s="1543" t="s">
        <v>708</v>
      </c>
      <c r="C461" s="2078" t="s">
        <v>3765</v>
      </c>
      <c r="D461" s="2078"/>
      <c r="E461" s="2078"/>
      <c r="F461" s="2078"/>
      <c r="G461" s="2078"/>
      <c r="H461" s="1108">
        <f>ROUND(SUM(H459:H460),2)</f>
        <v>99187.5</v>
      </c>
      <c r="I461" s="506">
        <f>SUM(H459:H460)</f>
        <v>99187.5</v>
      </c>
      <c r="J461" s="1561"/>
      <c r="K461" s="1561"/>
      <c r="L461" s="1559"/>
      <c r="M461" s="1635"/>
    </row>
    <row r="462" spans="2:13" hidden="1">
      <c r="F462" s="1172"/>
      <c r="G462" s="1173"/>
      <c r="H462" s="1133"/>
      <c r="M462" s="1566"/>
    </row>
    <row r="463" spans="2:13">
      <c r="B463" s="1100" t="s">
        <v>3893</v>
      </c>
      <c r="C463" s="1232" t="s">
        <v>2678</v>
      </c>
      <c r="F463" s="1172"/>
      <c r="G463" s="1173"/>
      <c r="H463" s="1133"/>
      <c r="M463" s="1566"/>
    </row>
    <row r="464" spans="2:13" s="507" customFormat="1" ht="24.9" customHeight="1">
      <c r="B464" s="1727" t="s">
        <v>1003</v>
      </c>
      <c r="C464" s="1728" t="s">
        <v>1004</v>
      </c>
      <c r="D464" s="1736" t="s">
        <v>1005</v>
      </c>
      <c r="E464" s="1736" t="s">
        <v>1006</v>
      </c>
      <c r="F464" s="1865" t="s">
        <v>1007</v>
      </c>
      <c r="G464" s="1737" t="s">
        <v>2637</v>
      </c>
      <c r="H464" s="1867" t="s">
        <v>2638</v>
      </c>
      <c r="I464" s="1739"/>
      <c r="J464" s="1605" t="s">
        <v>5335</v>
      </c>
      <c r="K464" s="1603" t="s">
        <v>5336</v>
      </c>
      <c r="L464" s="1603" t="s">
        <v>5337</v>
      </c>
      <c r="M464" s="1604" t="s">
        <v>5338</v>
      </c>
    </row>
    <row r="465" spans="2:13">
      <c r="B465" s="1733" t="s">
        <v>671</v>
      </c>
      <c r="C465" s="1329" t="s">
        <v>672</v>
      </c>
      <c r="D465" s="1539"/>
      <c r="E465" s="1539"/>
      <c r="F465" s="1532"/>
      <c r="G465" s="1136"/>
      <c r="H465" s="1106"/>
      <c r="J465" s="1596"/>
      <c r="K465" s="1597"/>
      <c r="L465" s="1597"/>
      <c r="M465" s="1563"/>
    </row>
    <row r="466" spans="2:13">
      <c r="B466" s="1182"/>
      <c r="C466" s="1332" t="s">
        <v>673</v>
      </c>
      <c r="D466" s="1539" t="s">
        <v>674</v>
      </c>
      <c r="E466" s="1539" t="s">
        <v>675</v>
      </c>
      <c r="F466" s="1532">
        <v>0.3</v>
      </c>
      <c r="G466" s="1104">
        <f>DUB!$I$10</f>
        <v>150000</v>
      </c>
      <c r="H466" s="1106">
        <f>G466*F466</f>
        <v>45000</v>
      </c>
      <c r="J466" s="1609" t="s">
        <v>5339</v>
      </c>
      <c r="K466" s="1611">
        <v>1</v>
      </c>
      <c r="L466" s="1608" t="s">
        <v>5340</v>
      </c>
      <c r="M466" s="1610">
        <f>H466*K466</f>
        <v>45000</v>
      </c>
    </row>
    <row r="467" spans="2:13">
      <c r="B467" s="1182"/>
      <c r="C467" s="1332" t="s">
        <v>683</v>
      </c>
      <c r="D467" s="1539" t="s">
        <v>684</v>
      </c>
      <c r="E467" s="1539" t="s">
        <v>675</v>
      </c>
      <c r="F467" s="1532">
        <v>0.01</v>
      </c>
      <c r="G467" s="1104">
        <f>DUB!$I$12</f>
        <v>225000</v>
      </c>
      <c r="H467" s="1106">
        <f>G467*F467</f>
        <v>2250</v>
      </c>
      <c r="J467" s="1609" t="s">
        <v>5339</v>
      </c>
      <c r="K467" s="1611">
        <v>1</v>
      </c>
      <c r="L467" s="1608" t="s">
        <v>5340</v>
      </c>
      <c r="M467" s="1610">
        <f>H467*K467</f>
        <v>2250</v>
      </c>
    </row>
    <row r="468" spans="2:13">
      <c r="B468" s="1182"/>
      <c r="C468" s="1332"/>
      <c r="D468" s="1539"/>
      <c r="E468" s="1539"/>
      <c r="F468" s="2074" t="s">
        <v>685</v>
      </c>
      <c r="G468" s="2074"/>
      <c r="H468" s="1106">
        <f>SUM(H466:H467)</f>
        <v>47250</v>
      </c>
      <c r="J468" s="1596"/>
      <c r="K468" s="1597"/>
      <c r="L468" s="1598"/>
      <c r="M468" s="1564">
        <f>SUM(M466:M467)</f>
        <v>47250</v>
      </c>
    </row>
    <row r="469" spans="2:13">
      <c r="B469" s="1733" t="s">
        <v>686</v>
      </c>
      <c r="C469" s="1329" t="s">
        <v>687</v>
      </c>
      <c r="D469" s="1539"/>
      <c r="E469" s="1539"/>
      <c r="F469" s="1532"/>
      <c r="G469" s="1136"/>
      <c r="H469" s="1106"/>
      <c r="J469" s="1596"/>
      <c r="K469" s="1597"/>
      <c r="L469" s="1597"/>
      <c r="M469" s="1563"/>
    </row>
    <row r="470" spans="2:13">
      <c r="B470" s="1182"/>
      <c r="C470" s="1332" t="s">
        <v>803</v>
      </c>
      <c r="D470" s="1539"/>
      <c r="E470" s="1539" t="s">
        <v>2646</v>
      </c>
      <c r="F470" s="1532">
        <v>1.2</v>
      </c>
      <c r="G470" s="1136">
        <f>DUB!$I$61</f>
        <v>152729</v>
      </c>
      <c r="H470" s="1106">
        <f>G470*F470</f>
        <v>183274.8</v>
      </c>
      <c r="J470" s="1606" t="s">
        <v>5342</v>
      </c>
      <c r="K470" s="1611">
        <v>1</v>
      </c>
      <c r="L470" s="1607" t="s">
        <v>5341</v>
      </c>
      <c r="M470" s="1610">
        <f>H470*K470</f>
        <v>183274.8</v>
      </c>
    </row>
    <row r="471" spans="2:13">
      <c r="B471" s="1182"/>
      <c r="C471" s="1332"/>
      <c r="D471" s="1539"/>
      <c r="E471" s="1539"/>
      <c r="F471" s="2090" t="s">
        <v>702</v>
      </c>
      <c r="G471" s="2090"/>
      <c r="H471" s="1106">
        <f>SUM(H470)</f>
        <v>183274.8</v>
      </c>
      <c r="J471" s="1599"/>
      <c r="K471" s="1612"/>
      <c r="L471" s="1600"/>
      <c r="M471" s="1564">
        <f>SUM(M470)</f>
        <v>183274.8</v>
      </c>
    </row>
    <row r="472" spans="2:13" s="496" customFormat="1">
      <c r="B472" s="1733" t="s">
        <v>703</v>
      </c>
      <c r="C472" s="2089" t="s">
        <v>3764</v>
      </c>
      <c r="D472" s="2089"/>
      <c r="E472" s="2089"/>
      <c r="F472" s="2089"/>
      <c r="G472" s="2089"/>
      <c r="H472" s="1107">
        <f>H468+H471</f>
        <v>230524.79999999999</v>
      </c>
      <c r="J472" s="1599"/>
      <c r="K472" s="1633">
        <f>M472/H472</f>
        <v>1</v>
      </c>
      <c r="L472" s="1600"/>
      <c r="M472" s="1564">
        <f>M471+M468</f>
        <v>230524.79999999999</v>
      </c>
    </row>
    <row r="473" spans="2:13" s="496" customFormat="1">
      <c r="B473" s="1733" t="s">
        <v>706</v>
      </c>
      <c r="C473" s="2076" t="s">
        <v>709</v>
      </c>
      <c r="D473" s="2076"/>
      <c r="E473" s="2076"/>
      <c r="F473" s="2077" t="s">
        <v>3873</v>
      </c>
      <c r="G473" s="2077"/>
      <c r="H473" s="1107">
        <f>H472*0.15</f>
        <v>34578.719999999994</v>
      </c>
      <c r="J473" s="1601"/>
      <c r="K473" s="1602"/>
      <c r="L473" s="1600"/>
      <c r="M473" s="1564">
        <f>M472*0.15</f>
        <v>34578.719999999994</v>
      </c>
    </row>
    <row r="474" spans="2:13" s="496" customFormat="1">
      <c r="B474" s="1734" t="s">
        <v>708</v>
      </c>
      <c r="C474" s="2109" t="s">
        <v>3765</v>
      </c>
      <c r="D474" s="2109"/>
      <c r="E474" s="2109"/>
      <c r="F474" s="2109"/>
      <c r="G474" s="2109"/>
      <c r="H474" s="1108">
        <f>ROUND(SUM(H472:H473),2)</f>
        <v>265103.52</v>
      </c>
      <c r="I474" s="1873">
        <f>SUM(H472:H473)</f>
        <v>265103.51999999996</v>
      </c>
      <c r="J474" s="1893"/>
      <c r="K474" s="1893"/>
      <c r="L474" s="1886"/>
      <c r="M474" s="1917">
        <f>SUM(M472:M473)</f>
        <v>265103.51999999996</v>
      </c>
    </row>
    <row r="475" spans="2:13">
      <c r="B475" s="1751"/>
      <c r="C475" s="1752"/>
      <c r="D475" s="1751"/>
      <c r="E475" s="1751"/>
      <c r="F475" s="1753"/>
      <c r="G475" s="1754"/>
      <c r="H475" s="1755"/>
      <c r="I475" s="1746"/>
      <c r="J475" s="1641"/>
      <c r="K475" s="1641"/>
      <c r="L475" s="1641"/>
      <c r="M475" s="1747"/>
    </row>
    <row r="476" spans="2:13">
      <c r="B476" s="1100" t="s">
        <v>3852</v>
      </c>
      <c r="C476" s="1112" t="s">
        <v>3541</v>
      </c>
      <c r="D476" s="1129"/>
      <c r="E476" s="1129"/>
      <c r="F476" s="1131"/>
      <c r="G476" s="1132"/>
      <c r="H476" s="1115"/>
      <c r="M476" s="1566"/>
    </row>
    <row r="477" spans="2:13" s="507" customFormat="1" ht="24.9" customHeight="1">
      <c r="B477" s="1727" t="s">
        <v>1003</v>
      </c>
      <c r="C477" s="1728" t="s">
        <v>1004</v>
      </c>
      <c r="D477" s="1728" t="s">
        <v>1005</v>
      </c>
      <c r="E477" s="1728" t="s">
        <v>1006</v>
      </c>
      <c r="F477" s="1729" t="s">
        <v>1007</v>
      </c>
      <c r="G477" s="1866" t="s">
        <v>2637</v>
      </c>
      <c r="H477" s="1867" t="s">
        <v>2638</v>
      </c>
      <c r="I477" s="1739"/>
      <c r="J477" s="1605" t="s">
        <v>5335</v>
      </c>
      <c r="K477" s="1603" t="s">
        <v>5336</v>
      </c>
      <c r="L477" s="1603" t="s">
        <v>5337</v>
      </c>
      <c r="M477" s="1604" t="s">
        <v>5338</v>
      </c>
    </row>
    <row r="478" spans="2:13">
      <c r="B478" s="1733" t="s">
        <v>671</v>
      </c>
      <c r="C478" s="1329" t="s">
        <v>672</v>
      </c>
      <c r="D478" s="1331"/>
      <c r="E478" s="1331"/>
      <c r="F478" s="1334"/>
      <c r="G478" s="1104"/>
      <c r="H478" s="1106"/>
      <c r="J478" s="1596"/>
      <c r="K478" s="1597"/>
      <c r="L478" s="1597"/>
      <c r="M478" s="1563"/>
    </row>
    <row r="479" spans="2:13">
      <c r="B479" s="1182"/>
      <c r="C479" s="1332" t="s">
        <v>673</v>
      </c>
      <c r="D479" s="1331" t="s">
        <v>674</v>
      </c>
      <c r="E479" s="1331" t="s">
        <v>675</v>
      </c>
      <c r="F479" s="1532">
        <v>0.3</v>
      </c>
      <c r="G479" s="1104">
        <f>DUB!$I$10</f>
        <v>150000</v>
      </c>
      <c r="H479" s="1106">
        <f>G479*F479</f>
        <v>45000</v>
      </c>
      <c r="J479" s="1609" t="s">
        <v>5339</v>
      </c>
      <c r="K479" s="1611">
        <v>1</v>
      </c>
      <c r="L479" s="1608" t="s">
        <v>5340</v>
      </c>
      <c r="M479" s="1610">
        <f>H479*K479</f>
        <v>45000</v>
      </c>
    </row>
    <row r="480" spans="2:13">
      <c r="B480" s="1182"/>
      <c r="C480" s="1332" t="s">
        <v>683</v>
      </c>
      <c r="D480" s="1331" t="s">
        <v>684</v>
      </c>
      <c r="E480" s="1331" t="s">
        <v>675</v>
      </c>
      <c r="F480" s="1532">
        <v>0.01</v>
      </c>
      <c r="G480" s="1104">
        <f>DUB!$I$12</f>
        <v>225000</v>
      </c>
      <c r="H480" s="1106">
        <f>G480*F480</f>
        <v>2250</v>
      </c>
      <c r="J480" s="1609" t="s">
        <v>5339</v>
      </c>
      <c r="K480" s="1611">
        <v>1</v>
      </c>
      <c r="L480" s="1608" t="s">
        <v>5340</v>
      </c>
      <c r="M480" s="1610">
        <f>H480*K480</f>
        <v>2250</v>
      </c>
    </row>
    <row r="481" spans="2:13">
      <c r="B481" s="1182"/>
      <c r="C481" s="1332"/>
      <c r="D481" s="1331"/>
      <c r="E481" s="1331"/>
      <c r="F481" s="2090" t="s">
        <v>685</v>
      </c>
      <c r="G481" s="2090"/>
      <c r="H481" s="1106">
        <f>SUM(H479:H480)</f>
        <v>47250</v>
      </c>
      <c r="J481" s="1596"/>
      <c r="K481" s="1597"/>
      <c r="L481" s="1598"/>
      <c r="M481" s="1564">
        <f>SUM(M479:M480)</f>
        <v>47250</v>
      </c>
    </row>
    <row r="482" spans="2:13">
      <c r="B482" s="1733" t="s">
        <v>686</v>
      </c>
      <c r="C482" s="1329" t="s">
        <v>687</v>
      </c>
      <c r="D482" s="1331"/>
      <c r="E482" s="1331"/>
      <c r="F482" s="1127"/>
      <c r="G482" s="1128"/>
      <c r="H482" s="1106"/>
      <c r="J482" s="1596"/>
      <c r="K482" s="1597"/>
      <c r="L482" s="1597"/>
      <c r="M482" s="1563"/>
    </row>
    <row r="483" spans="2:13">
      <c r="B483" s="1182"/>
      <c r="C483" s="1148" t="s">
        <v>3542</v>
      </c>
      <c r="D483" s="1331"/>
      <c r="E483" s="1331"/>
      <c r="F483" s="1532">
        <v>1.2</v>
      </c>
      <c r="G483" s="1104">
        <f>DUB!$I$69</f>
        <v>117810</v>
      </c>
      <c r="H483" s="1106">
        <f>G483*F483</f>
        <v>141372</v>
      </c>
      <c r="J483" s="1607" t="s">
        <v>5341</v>
      </c>
      <c r="K483" s="1611">
        <v>1</v>
      </c>
      <c r="L483" s="1607" t="s">
        <v>5341</v>
      </c>
      <c r="M483" s="1610">
        <f>H483*K483</f>
        <v>141372</v>
      </c>
    </row>
    <row r="484" spans="2:13">
      <c r="B484" s="1182"/>
      <c r="C484" s="1332"/>
      <c r="D484" s="1331"/>
      <c r="E484" s="1331"/>
      <c r="F484" s="2074" t="s">
        <v>702</v>
      </c>
      <c r="G484" s="2074"/>
      <c r="H484" s="1106">
        <f>H483</f>
        <v>141372</v>
      </c>
      <c r="J484" s="1599"/>
      <c r="K484" s="1612"/>
      <c r="L484" s="1600"/>
      <c r="M484" s="1564">
        <f>SUM(M483)</f>
        <v>141372</v>
      </c>
    </row>
    <row r="485" spans="2:13" s="496" customFormat="1">
      <c r="B485" s="1185" t="s">
        <v>703</v>
      </c>
      <c r="C485" s="2130" t="s">
        <v>3764</v>
      </c>
      <c r="D485" s="2130"/>
      <c r="E485" s="2130"/>
      <c r="F485" s="2130"/>
      <c r="G485" s="2130"/>
      <c r="H485" s="1149">
        <f>H481+H484</f>
        <v>188622</v>
      </c>
      <c r="J485" s="1599"/>
      <c r="K485" s="1633">
        <f>M485/H485</f>
        <v>1</v>
      </c>
      <c r="L485" s="1600"/>
      <c r="M485" s="1564">
        <f>M484+M481</f>
        <v>188622</v>
      </c>
    </row>
    <row r="486" spans="2:13" s="496" customFormat="1">
      <c r="B486" s="1733" t="s">
        <v>706</v>
      </c>
      <c r="C486" s="2120" t="s">
        <v>709</v>
      </c>
      <c r="D486" s="2120"/>
      <c r="E486" s="2120"/>
      <c r="F486" s="2121" t="s">
        <v>3873</v>
      </c>
      <c r="G486" s="2121"/>
      <c r="H486" s="1107">
        <f>H485*0.15</f>
        <v>28293.3</v>
      </c>
      <c r="J486" s="1601"/>
      <c r="K486" s="1602"/>
      <c r="L486" s="1600"/>
      <c r="M486" s="1564">
        <f>M485*0.15</f>
        <v>28293.3</v>
      </c>
    </row>
    <row r="487" spans="2:13" s="496" customFormat="1">
      <c r="B487" s="1734" t="s">
        <v>708</v>
      </c>
      <c r="C487" s="2109" t="s">
        <v>3765</v>
      </c>
      <c r="D487" s="2109"/>
      <c r="E487" s="2109"/>
      <c r="F487" s="2109"/>
      <c r="G487" s="2109"/>
      <c r="H487" s="1108">
        <f>ROUND(SUM(H485:H486),2)</f>
        <v>216915.3</v>
      </c>
      <c r="I487" s="1873">
        <f>SUM(H485:H486)</f>
        <v>216915.3</v>
      </c>
      <c r="J487" s="1893"/>
      <c r="K487" s="1893"/>
      <c r="L487" s="1886"/>
      <c r="M487" s="1917">
        <f>SUM(M485:M486)</f>
        <v>216915.3</v>
      </c>
    </row>
    <row r="488" spans="2:13">
      <c r="B488" s="1751"/>
      <c r="C488" s="1752"/>
      <c r="D488" s="1751"/>
      <c r="E488" s="1751"/>
      <c r="F488" s="1753"/>
      <c r="G488" s="1754"/>
      <c r="H488" s="1755"/>
      <c r="I488" s="1746"/>
      <c r="J488" s="1641"/>
      <c r="K488" s="1641"/>
      <c r="L488" s="1641"/>
      <c r="M488" s="1747"/>
    </row>
    <row r="489" spans="2:13" hidden="1">
      <c r="B489" s="1100" t="s">
        <v>4616</v>
      </c>
      <c r="C489" s="1112" t="s">
        <v>4617</v>
      </c>
      <c r="D489" s="1129"/>
      <c r="E489" s="1129"/>
      <c r="F489" s="1131"/>
      <c r="G489" s="1132"/>
      <c r="H489" s="1115"/>
      <c r="M489" s="1566"/>
    </row>
    <row r="490" spans="2:13" s="507" customFormat="1" ht="24.9" hidden="1" customHeight="1">
      <c r="B490" s="1748" t="s">
        <v>1003</v>
      </c>
      <c r="C490" s="1101" t="s">
        <v>1004</v>
      </c>
      <c r="D490" s="1101" t="s">
        <v>1005</v>
      </c>
      <c r="E490" s="1101" t="s">
        <v>1006</v>
      </c>
      <c r="F490" s="1102" t="s">
        <v>1007</v>
      </c>
      <c r="G490" s="1109" t="s">
        <v>2637</v>
      </c>
      <c r="H490" s="1110" t="s">
        <v>2638</v>
      </c>
      <c r="J490" s="1625"/>
      <c r="K490" s="1625"/>
      <c r="L490" s="1625"/>
      <c r="M490" s="1570"/>
    </row>
    <row r="491" spans="2:13" hidden="1">
      <c r="B491" s="1543" t="s">
        <v>671</v>
      </c>
      <c r="C491" s="1329" t="s">
        <v>672</v>
      </c>
      <c r="D491" s="1331"/>
      <c r="E491" s="1331"/>
      <c r="F491" s="1334"/>
      <c r="G491" s="1104"/>
      <c r="H491" s="1106"/>
      <c r="M491" s="1566"/>
    </row>
    <row r="492" spans="2:13" hidden="1">
      <c r="B492" s="1540"/>
      <c r="C492" s="1332" t="s">
        <v>673</v>
      </c>
      <c r="D492" s="1331" t="s">
        <v>674</v>
      </c>
      <c r="E492" s="1331" t="s">
        <v>675</v>
      </c>
      <c r="F492" s="1532">
        <v>0.3</v>
      </c>
      <c r="G492" s="1104">
        <f>DUB!$I$10</f>
        <v>150000</v>
      </c>
      <c r="H492" s="1106">
        <f>G492*F492</f>
        <v>45000</v>
      </c>
      <c r="M492" s="1566"/>
    </row>
    <row r="493" spans="2:13" hidden="1">
      <c r="B493" s="1540"/>
      <c r="C493" s="1332" t="s">
        <v>683</v>
      </c>
      <c r="D493" s="1331" t="s">
        <v>684</v>
      </c>
      <c r="E493" s="1331" t="s">
        <v>675</v>
      </c>
      <c r="F493" s="1532">
        <v>0.01</v>
      </c>
      <c r="G493" s="1104">
        <f>DUB!$I$12</f>
        <v>225000</v>
      </c>
      <c r="H493" s="1106">
        <f>G493*F493</f>
        <v>2250</v>
      </c>
      <c r="M493" s="1566"/>
    </row>
    <row r="494" spans="2:13" hidden="1">
      <c r="B494" s="1540"/>
      <c r="C494" s="1332"/>
      <c r="D494" s="1331"/>
      <c r="E494" s="1331"/>
      <c r="F494" s="2090" t="s">
        <v>685</v>
      </c>
      <c r="G494" s="2090"/>
      <c r="H494" s="1106">
        <f>SUM(H492:H493)</f>
        <v>47250</v>
      </c>
      <c r="M494" s="1566"/>
    </row>
    <row r="495" spans="2:13" hidden="1">
      <c r="B495" s="1543" t="s">
        <v>686</v>
      </c>
      <c r="C495" s="1329" t="s">
        <v>687</v>
      </c>
      <c r="D495" s="1331"/>
      <c r="E495" s="1331"/>
      <c r="F495" s="1127"/>
      <c r="G495" s="1128"/>
      <c r="H495" s="1106"/>
      <c r="M495" s="1566"/>
    </row>
    <row r="496" spans="2:13" hidden="1">
      <c r="B496" s="1540"/>
      <c r="C496" s="1148" t="s">
        <v>4618</v>
      </c>
      <c r="D496" s="1331"/>
      <c r="E496" s="1331"/>
      <c r="F496" s="1532">
        <v>1.2</v>
      </c>
      <c r="G496" s="1104">
        <f>DUB!I70</f>
        <v>214200</v>
      </c>
      <c r="H496" s="1106">
        <f>G496*F496</f>
        <v>257040</v>
      </c>
      <c r="M496" s="1566"/>
    </row>
    <row r="497" spans="2:13" hidden="1">
      <c r="B497" s="1540"/>
      <c r="C497" s="1332"/>
      <c r="D497" s="1331"/>
      <c r="E497" s="1331"/>
      <c r="F497" s="2074" t="s">
        <v>702</v>
      </c>
      <c r="G497" s="2074"/>
      <c r="H497" s="1106">
        <f>H496</f>
        <v>257040</v>
      </c>
      <c r="M497" s="1566"/>
    </row>
    <row r="498" spans="2:13" s="496" customFormat="1" hidden="1">
      <c r="B498" s="1120" t="s">
        <v>703</v>
      </c>
      <c r="C498" s="2130" t="s">
        <v>3764</v>
      </c>
      <c r="D498" s="2130"/>
      <c r="E498" s="2130"/>
      <c r="F498" s="2130"/>
      <c r="G498" s="2130"/>
      <c r="H498" s="1149">
        <f>H494+H497</f>
        <v>304290</v>
      </c>
      <c r="J498" s="1559"/>
      <c r="K498" s="1559"/>
      <c r="L498" s="1559"/>
      <c r="M498" s="1635"/>
    </row>
    <row r="499" spans="2:13" s="496" customFormat="1" hidden="1">
      <c r="B499" s="1543" t="s">
        <v>706</v>
      </c>
      <c r="C499" s="2120" t="s">
        <v>709</v>
      </c>
      <c r="D499" s="2120"/>
      <c r="E499" s="2120"/>
      <c r="F499" s="2121" t="s">
        <v>3873</v>
      </c>
      <c r="G499" s="2121"/>
      <c r="H499" s="1107">
        <f>H498*0.15</f>
        <v>45643.5</v>
      </c>
      <c r="J499" s="1559"/>
      <c r="K499" s="1559"/>
      <c r="L499" s="1559"/>
      <c r="M499" s="1635"/>
    </row>
    <row r="500" spans="2:13" s="496" customFormat="1" hidden="1">
      <c r="B500" s="1543" t="s">
        <v>708</v>
      </c>
      <c r="C500" s="2078" t="s">
        <v>3765</v>
      </c>
      <c r="D500" s="2078"/>
      <c r="E500" s="2078"/>
      <c r="F500" s="2078"/>
      <c r="G500" s="2078"/>
      <c r="H500" s="1108">
        <f>ROUND(SUM(H498:H499),2)</f>
        <v>349933.5</v>
      </c>
      <c r="I500" s="506">
        <f>SUM(H498:H499)</f>
        <v>349933.5</v>
      </c>
      <c r="J500" s="1561"/>
      <c r="K500" s="1561"/>
      <c r="L500" s="1559"/>
      <c r="M500" s="1635"/>
    </row>
    <row r="501" spans="2:13" hidden="1">
      <c r="B501" s="1129"/>
      <c r="C501" s="1130"/>
      <c r="D501" s="1129"/>
      <c r="E501" s="1129"/>
      <c r="F501" s="1131"/>
      <c r="G501" s="1132"/>
      <c r="H501" s="1115"/>
      <c r="M501" s="1566"/>
    </row>
    <row r="502" spans="2:13" hidden="1">
      <c r="B502" s="1150" t="s">
        <v>3894</v>
      </c>
      <c r="C502" s="1112" t="s">
        <v>4406</v>
      </c>
      <c r="E502" s="1129"/>
      <c r="F502" s="1131"/>
      <c r="G502" s="1132"/>
      <c r="H502" s="1115"/>
      <c r="M502" s="1566"/>
    </row>
    <row r="503" spans="2:13" s="507" customFormat="1" ht="24.9" hidden="1" customHeight="1">
      <c r="B503" s="1748" t="s">
        <v>1003</v>
      </c>
      <c r="C503" s="1101"/>
      <c r="D503" s="1101" t="s">
        <v>1005</v>
      </c>
      <c r="E503" s="1116" t="s">
        <v>1006</v>
      </c>
      <c r="F503" s="1139" t="s">
        <v>1007</v>
      </c>
      <c r="G503" s="1103" t="s">
        <v>2637</v>
      </c>
      <c r="H503" s="1110" t="s">
        <v>2638</v>
      </c>
      <c r="J503" s="1625"/>
      <c r="K503" s="1625"/>
      <c r="L503" s="1625"/>
      <c r="M503" s="1570"/>
    </row>
    <row r="504" spans="2:13" hidden="1">
      <c r="B504" s="1543" t="s">
        <v>671</v>
      </c>
      <c r="C504" s="1117" t="s">
        <v>672</v>
      </c>
      <c r="D504" s="1331"/>
      <c r="E504" s="1331"/>
      <c r="F504" s="1151"/>
      <c r="G504" s="1152"/>
      <c r="H504" s="1153"/>
      <c r="M504" s="1566"/>
    </row>
    <row r="505" spans="2:13" hidden="1">
      <c r="B505" s="1540"/>
      <c r="C505" s="1118" t="s">
        <v>673</v>
      </c>
      <c r="D505" s="1331" t="s">
        <v>674</v>
      </c>
      <c r="E505" s="1539" t="s">
        <v>675</v>
      </c>
      <c r="F505" s="1532">
        <v>0.8</v>
      </c>
      <c r="G505" s="1104">
        <f>DUB!$I$10</f>
        <v>150000</v>
      </c>
      <c r="H505" s="1106">
        <f>G505*F505</f>
        <v>120000</v>
      </c>
      <c r="M505" s="1566"/>
    </row>
    <row r="506" spans="2:13" hidden="1">
      <c r="B506" s="1540"/>
      <c r="C506" s="1118" t="s">
        <v>782</v>
      </c>
      <c r="D506" s="1331" t="s">
        <v>678</v>
      </c>
      <c r="E506" s="1539" t="s">
        <v>675</v>
      </c>
      <c r="F506" s="1532">
        <v>0.4</v>
      </c>
      <c r="G506" s="1104">
        <f>DUB!$I$11</f>
        <v>187000</v>
      </c>
      <c r="H506" s="1106">
        <f>G506*F506</f>
        <v>74800</v>
      </c>
      <c r="M506" s="1566"/>
    </row>
    <row r="507" spans="2:13" hidden="1">
      <c r="B507" s="1540"/>
      <c r="C507" s="1118" t="s">
        <v>680</v>
      </c>
      <c r="D507" s="1331" t="s">
        <v>681</v>
      </c>
      <c r="E507" s="1539" t="s">
        <v>675</v>
      </c>
      <c r="F507" s="1532">
        <v>0.04</v>
      </c>
      <c r="G507" s="1104">
        <f>DUB!$I$13</f>
        <v>240000</v>
      </c>
      <c r="H507" s="1106">
        <f>G507*F507</f>
        <v>9600</v>
      </c>
      <c r="M507" s="1566"/>
    </row>
    <row r="508" spans="2:13" hidden="1">
      <c r="B508" s="1540"/>
      <c r="C508" s="1118" t="s">
        <v>683</v>
      </c>
      <c r="D508" s="1331" t="s">
        <v>684</v>
      </c>
      <c r="E508" s="1539" t="s">
        <v>675</v>
      </c>
      <c r="F508" s="1532">
        <v>0.08</v>
      </c>
      <c r="G508" s="1104">
        <f>DUB!$I$12</f>
        <v>225000</v>
      </c>
      <c r="H508" s="1106">
        <f>G508*F508</f>
        <v>18000</v>
      </c>
      <c r="M508" s="1566"/>
    </row>
    <row r="509" spans="2:13" hidden="1">
      <c r="B509" s="1540"/>
      <c r="C509" s="1118"/>
      <c r="D509" s="1331"/>
      <c r="E509" s="1539"/>
      <c r="F509" s="2080" t="s">
        <v>685</v>
      </c>
      <c r="G509" s="2081"/>
      <c r="H509" s="1153">
        <f>SUM(H505:H508)</f>
        <v>222400</v>
      </c>
      <c r="M509" s="1566"/>
    </row>
    <row r="510" spans="2:13" hidden="1">
      <c r="B510" s="1543" t="s">
        <v>686</v>
      </c>
      <c r="C510" s="1117" t="s">
        <v>687</v>
      </c>
      <c r="D510" s="1331"/>
      <c r="E510" s="1539"/>
      <c r="F510" s="1532"/>
      <c r="G510" s="1152"/>
      <c r="H510" s="1153"/>
      <c r="M510" s="1566"/>
    </row>
    <row r="511" spans="2:13" hidden="1">
      <c r="B511" s="1540"/>
      <c r="C511" s="1118" t="s">
        <v>806</v>
      </c>
      <c r="D511" s="1331"/>
      <c r="E511" s="1539" t="s">
        <v>2646</v>
      </c>
      <c r="F511" s="1532">
        <v>0.13500000000000001</v>
      </c>
      <c r="G511" s="1152"/>
      <c r="H511" s="1153"/>
      <c r="M511" s="1566"/>
    </row>
    <row r="512" spans="2:13" hidden="1">
      <c r="B512" s="1540"/>
      <c r="C512" s="1118" t="s">
        <v>808</v>
      </c>
      <c r="D512" s="1331"/>
      <c r="E512" s="1539" t="s">
        <v>2646</v>
      </c>
      <c r="F512" s="1532">
        <v>0.4</v>
      </c>
      <c r="G512" s="1152">
        <f>DUB!I59</f>
        <v>208463</v>
      </c>
      <c r="H512" s="1106">
        <f>G512*F512</f>
        <v>83385.200000000012</v>
      </c>
      <c r="M512" s="1566"/>
    </row>
    <row r="513" spans="2:13" hidden="1">
      <c r="B513" s="1540"/>
      <c r="C513" s="1118" t="s">
        <v>809</v>
      </c>
      <c r="D513" s="1331"/>
      <c r="E513" s="1539" t="s">
        <v>2646</v>
      </c>
      <c r="F513" s="1532">
        <v>0.94799999999999995</v>
      </c>
      <c r="G513" s="1152">
        <f>DUB!I69</f>
        <v>117810</v>
      </c>
      <c r="H513" s="1106">
        <f>G513*F513</f>
        <v>111683.87999999999</v>
      </c>
      <c r="M513" s="1566"/>
    </row>
    <row r="514" spans="2:13" hidden="1">
      <c r="B514" s="1540"/>
      <c r="C514" s="1118"/>
      <c r="D514" s="1331"/>
      <c r="E514" s="1539"/>
      <c r="F514" s="2080" t="s">
        <v>702</v>
      </c>
      <c r="G514" s="2081"/>
      <c r="H514" s="1153">
        <f>SUM(H511:H513)</f>
        <v>195069.08000000002</v>
      </c>
      <c r="M514" s="1566"/>
    </row>
    <row r="515" spans="2:13" s="496" customFormat="1" hidden="1">
      <c r="B515" s="1543" t="s">
        <v>703</v>
      </c>
      <c r="C515" s="1117" t="s">
        <v>3764</v>
      </c>
      <c r="D515" s="1120"/>
      <c r="E515" s="1120"/>
      <c r="F515" s="1121"/>
      <c r="G515" s="1141"/>
      <c r="H515" s="1149">
        <f>H509+H514</f>
        <v>417469.08</v>
      </c>
      <c r="J515" s="1559"/>
      <c r="K515" s="1559"/>
      <c r="L515" s="1559"/>
      <c r="M515" s="1635"/>
    </row>
    <row r="516" spans="2:13" s="496" customFormat="1" hidden="1">
      <c r="B516" s="1543" t="s">
        <v>706</v>
      </c>
      <c r="C516" s="1123" t="s">
        <v>709</v>
      </c>
      <c r="D516" s="1124"/>
      <c r="E516" s="1154"/>
      <c r="F516" s="1545" t="s">
        <v>3873</v>
      </c>
      <c r="G516" s="1141"/>
      <c r="H516" s="1149">
        <f>H515*0.15</f>
        <v>62620.362000000001</v>
      </c>
      <c r="J516" s="1559"/>
      <c r="K516" s="1559"/>
      <c r="L516" s="1559"/>
      <c r="M516" s="1635"/>
    </row>
    <row r="517" spans="2:13" s="496" customFormat="1" hidden="1">
      <c r="B517" s="1543" t="s">
        <v>708</v>
      </c>
      <c r="C517" s="1117" t="s">
        <v>3765</v>
      </c>
      <c r="D517" s="1120"/>
      <c r="E517" s="1120"/>
      <c r="F517" s="1121"/>
      <c r="G517" s="1141"/>
      <c r="H517" s="1108">
        <f>ROUND(SUM(H515:H516),2)</f>
        <v>480089.44</v>
      </c>
      <c r="I517" s="518">
        <f>SUM(H515:H516)</f>
        <v>480089.44200000004</v>
      </c>
      <c r="J517" s="1561"/>
      <c r="K517" s="1561"/>
      <c r="L517" s="1559"/>
      <c r="M517" s="1635"/>
    </row>
    <row r="518" spans="2:13" hidden="1">
      <c r="B518" s="1143"/>
      <c r="C518" s="1144"/>
      <c r="D518" s="1143"/>
      <c r="E518" s="1143"/>
      <c r="F518" s="1145"/>
      <c r="G518" s="1146"/>
      <c r="H518" s="1147"/>
      <c r="M518" s="1566"/>
    </row>
    <row r="519" spans="2:13" hidden="1">
      <c r="B519" s="1100" t="s">
        <v>3895</v>
      </c>
      <c r="C519" s="1112" t="s">
        <v>2679</v>
      </c>
      <c r="D519" s="1129"/>
      <c r="E519" s="1129"/>
      <c r="F519" s="1131"/>
      <c r="G519" s="1132"/>
      <c r="H519" s="1115"/>
      <c r="M519" s="1566"/>
    </row>
    <row r="520" spans="2:13" s="507" customFormat="1" ht="24.9" hidden="1" customHeight="1">
      <c r="B520" s="1748" t="s">
        <v>1003</v>
      </c>
      <c r="C520" s="1101" t="s">
        <v>1004</v>
      </c>
      <c r="D520" s="1116" t="s">
        <v>1005</v>
      </c>
      <c r="E520" s="1116" t="s">
        <v>1006</v>
      </c>
      <c r="F520" s="1139" t="s">
        <v>1007</v>
      </c>
      <c r="G520" s="1103" t="s">
        <v>2637</v>
      </c>
      <c r="H520" s="1110" t="s">
        <v>2638</v>
      </c>
      <c r="J520" s="1625"/>
      <c r="K520" s="1625"/>
      <c r="L520" s="1625"/>
      <c r="M520" s="1570"/>
    </row>
    <row r="521" spans="2:13" hidden="1">
      <c r="B521" s="1543" t="s">
        <v>671</v>
      </c>
      <c r="C521" s="1329" t="s">
        <v>672</v>
      </c>
      <c r="D521" s="1539"/>
      <c r="E521" s="1539"/>
      <c r="F521" s="1532"/>
      <c r="G521" s="1136"/>
      <c r="H521" s="1106"/>
      <c r="M521" s="1566"/>
    </row>
    <row r="522" spans="2:13" hidden="1">
      <c r="B522" s="1540"/>
      <c r="C522" s="1332" t="s">
        <v>673</v>
      </c>
      <c r="D522" s="1539" t="s">
        <v>674</v>
      </c>
      <c r="E522" s="1539" t="s">
        <v>675</v>
      </c>
      <c r="F522" s="1532">
        <v>0.15</v>
      </c>
      <c r="G522" s="1104">
        <f>DUB!$I$10</f>
        <v>150000</v>
      </c>
      <c r="H522" s="1106">
        <f>G522*F522</f>
        <v>22500</v>
      </c>
      <c r="M522" s="1566"/>
    </row>
    <row r="523" spans="2:13" hidden="1">
      <c r="B523" s="1540"/>
      <c r="C523" s="1332" t="s">
        <v>683</v>
      </c>
      <c r="D523" s="1539" t="s">
        <v>684</v>
      </c>
      <c r="E523" s="1539" t="s">
        <v>675</v>
      </c>
      <c r="F523" s="1532">
        <v>1.4999999999999999E-2</v>
      </c>
      <c r="G523" s="1104">
        <f>DUB!$I$12</f>
        <v>225000</v>
      </c>
      <c r="H523" s="1106">
        <f>G523*F523</f>
        <v>3375</v>
      </c>
      <c r="M523" s="1566"/>
    </row>
    <row r="524" spans="2:13" hidden="1">
      <c r="B524" s="1540"/>
      <c r="C524" s="1332"/>
      <c r="D524" s="1539"/>
      <c r="E524" s="1539"/>
      <c r="F524" s="2074" t="s">
        <v>685</v>
      </c>
      <c r="G524" s="2074"/>
      <c r="H524" s="1106">
        <f>SUM(H522:H523)</f>
        <v>25875</v>
      </c>
      <c r="M524" s="1566"/>
    </row>
    <row r="525" spans="2:13" hidden="1">
      <c r="B525" s="1543" t="s">
        <v>686</v>
      </c>
      <c r="C525" s="1329" t="s">
        <v>687</v>
      </c>
      <c r="D525" s="1539"/>
      <c r="E525" s="1539"/>
      <c r="F525" s="1532"/>
      <c r="G525" s="1136"/>
      <c r="H525" s="1106"/>
      <c r="M525" s="1566"/>
    </row>
    <row r="526" spans="2:13" hidden="1">
      <c r="B526" s="1540"/>
      <c r="C526" s="1332" t="s">
        <v>812</v>
      </c>
      <c r="D526" s="1539"/>
      <c r="E526" s="1539" t="s">
        <v>773</v>
      </c>
      <c r="F526" s="1532">
        <v>6</v>
      </c>
      <c r="G526" s="1136">
        <f>DUB!I79</f>
        <v>35046</v>
      </c>
      <c r="H526" s="1106">
        <f>G526*F526</f>
        <v>210276</v>
      </c>
      <c r="M526" s="1566"/>
    </row>
    <row r="527" spans="2:13" hidden="1">
      <c r="B527" s="1540"/>
      <c r="C527" s="1125"/>
      <c r="D527" s="1546"/>
      <c r="E527" s="1546"/>
      <c r="F527" s="2074" t="s">
        <v>702</v>
      </c>
      <c r="G527" s="2074"/>
      <c r="H527" s="1106">
        <f>SUM(H526)</f>
        <v>210276</v>
      </c>
      <c r="M527" s="1566"/>
    </row>
    <row r="528" spans="2:13" s="496" customFormat="1" hidden="1">
      <c r="B528" s="1543" t="s">
        <v>703</v>
      </c>
      <c r="C528" s="2075" t="s">
        <v>3764</v>
      </c>
      <c r="D528" s="2075"/>
      <c r="E528" s="2075"/>
      <c r="F528" s="2075"/>
      <c r="G528" s="2075"/>
      <c r="H528" s="1107">
        <f>H524+H527</f>
        <v>236151</v>
      </c>
      <c r="J528" s="1559"/>
      <c r="K528" s="1559"/>
      <c r="L528" s="1559"/>
      <c r="M528" s="1635"/>
    </row>
    <row r="529" spans="2:13" s="496" customFormat="1" hidden="1">
      <c r="B529" s="1543" t="s">
        <v>706</v>
      </c>
      <c r="C529" s="2075" t="s">
        <v>796</v>
      </c>
      <c r="D529" s="2075"/>
      <c r="E529" s="1551"/>
      <c r="F529" s="2077" t="s">
        <v>3873</v>
      </c>
      <c r="G529" s="2077"/>
      <c r="H529" s="1107">
        <f>H528*0.15</f>
        <v>35422.65</v>
      </c>
      <c r="J529" s="1559"/>
      <c r="K529" s="1559"/>
      <c r="L529" s="1559"/>
      <c r="M529" s="1635"/>
    </row>
    <row r="530" spans="2:13" s="496" customFormat="1" hidden="1">
      <c r="B530" s="1543" t="s">
        <v>708</v>
      </c>
      <c r="C530" s="2078" t="s">
        <v>3765</v>
      </c>
      <c r="D530" s="2078"/>
      <c r="E530" s="2078"/>
      <c r="F530" s="2078"/>
      <c r="G530" s="2078"/>
      <c r="H530" s="1108">
        <f>ROUND(SUM(H528:H529),2)</f>
        <v>271573.65000000002</v>
      </c>
      <c r="I530" s="506">
        <f>SUM(H528:H529)</f>
        <v>271573.65000000002</v>
      </c>
      <c r="J530" s="1561"/>
      <c r="K530" s="1561"/>
      <c r="L530" s="1559"/>
      <c r="M530" s="1635"/>
    </row>
    <row r="531" spans="2:13" hidden="1">
      <c r="F531" s="1172"/>
      <c r="G531" s="1173"/>
      <c r="H531" s="1133"/>
      <c r="M531" s="1566"/>
    </row>
    <row r="532" spans="2:13" hidden="1">
      <c r="B532" s="1150" t="s">
        <v>3896</v>
      </c>
      <c r="C532" s="1232" t="s">
        <v>2680</v>
      </c>
      <c r="F532" s="1172"/>
      <c r="G532" s="1173"/>
      <c r="H532" s="1133"/>
      <c r="M532" s="1566"/>
    </row>
    <row r="533" spans="2:13" s="507" customFormat="1" ht="24.9" hidden="1" customHeight="1">
      <c r="B533" s="1748" t="s">
        <v>1003</v>
      </c>
      <c r="C533" s="1101" t="s">
        <v>1004</v>
      </c>
      <c r="D533" s="1101" t="s">
        <v>1005</v>
      </c>
      <c r="E533" s="1101" t="s">
        <v>1006</v>
      </c>
      <c r="F533" s="1102" t="s">
        <v>1007</v>
      </c>
      <c r="G533" s="1109" t="s">
        <v>2637</v>
      </c>
      <c r="H533" s="1110" t="s">
        <v>2638</v>
      </c>
      <c r="J533" s="1625"/>
      <c r="K533" s="1625"/>
      <c r="L533" s="1625"/>
      <c r="M533" s="1570"/>
    </row>
    <row r="534" spans="2:13" hidden="1">
      <c r="B534" s="1543" t="s">
        <v>671</v>
      </c>
      <c r="C534" s="1329" t="s">
        <v>672</v>
      </c>
      <c r="D534" s="1331"/>
      <c r="E534" s="1331"/>
      <c r="F534" s="1334"/>
      <c r="G534" s="1104"/>
      <c r="H534" s="1106"/>
      <c r="M534" s="1566"/>
    </row>
    <row r="535" spans="2:13" hidden="1">
      <c r="B535" s="1540"/>
      <c r="C535" s="1332" t="s">
        <v>673</v>
      </c>
      <c r="D535" s="1331" t="s">
        <v>674</v>
      </c>
      <c r="E535" s="1331" t="s">
        <v>675</v>
      </c>
      <c r="F535" s="1334">
        <v>0.25</v>
      </c>
      <c r="G535" s="1104">
        <f>DUB!$I$10</f>
        <v>150000</v>
      </c>
      <c r="H535" s="1106">
        <f>G535*F535</f>
        <v>37500</v>
      </c>
      <c r="M535" s="1566"/>
    </row>
    <row r="536" spans="2:13" hidden="1">
      <c r="B536" s="1540"/>
      <c r="C536" s="1332" t="s">
        <v>683</v>
      </c>
      <c r="D536" s="1331" t="s">
        <v>684</v>
      </c>
      <c r="E536" s="1331" t="s">
        <v>675</v>
      </c>
      <c r="F536" s="1334">
        <v>2.5000000000000001E-2</v>
      </c>
      <c r="G536" s="1104">
        <f>DUB!$I$12</f>
        <v>225000</v>
      </c>
      <c r="H536" s="1106">
        <f>G536*F536</f>
        <v>5625</v>
      </c>
      <c r="M536" s="1566"/>
    </row>
    <row r="537" spans="2:13" hidden="1">
      <c r="B537" s="1540"/>
      <c r="C537" s="1332"/>
      <c r="D537" s="1331"/>
      <c r="E537" s="1331"/>
      <c r="F537" s="2074" t="s">
        <v>685</v>
      </c>
      <c r="G537" s="2074"/>
      <c r="H537" s="1106">
        <f>SUM(H535:H536)</f>
        <v>43125</v>
      </c>
      <c r="M537" s="1566"/>
    </row>
    <row r="538" spans="2:13" hidden="1">
      <c r="B538" s="1543" t="s">
        <v>686</v>
      </c>
      <c r="C538" s="1329" t="s">
        <v>687</v>
      </c>
      <c r="D538" s="1331"/>
      <c r="E538" s="1331"/>
      <c r="F538" s="1334"/>
      <c r="G538" s="1104"/>
      <c r="H538" s="1106"/>
      <c r="M538" s="1566"/>
    </row>
    <row r="539" spans="2:13" hidden="1">
      <c r="B539" s="1540"/>
      <c r="C539" s="1332" t="s">
        <v>814</v>
      </c>
      <c r="D539" s="1331"/>
      <c r="E539" s="1331" t="s">
        <v>2646</v>
      </c>
      <c r="F539" s="1334">
        <v>1.2</v>
      </c>
      <c r="G539" s="1104">
        <f>DUB!$I$68</f>
        <v>221697</v>
      </c>
      <c r="H539" s="1106">
        <f>G539*F539</f>
        <v>266036.39999999997</v>
      </c>
      <c r="M539" s="1566"/>
    </row>
    <row r="540" spans="2:13" hidden="1">
      <c r="B540" s="1540"/>
      <c r="C540" s="1125"/>
      <c r="D540" s="1333"/>
      <c r="E540" s="1333"/>
      <c r="F540" s="2074" t="s">
        <v>702</v>
      </c>
      <c r="G540" s="2074"/>
      <c r="H540" s="1106">
        <f>SUM(H539)</f>
        <v>266036.39999999997</v>
      </c>
      <c r="M540" s="1566"/>
    </row>
    <row r="541" spans="2:13" s="496" customFormat="1" hidden="1">
      <c r="B541" s="1543" t="s">
        <v>703</v>
      </c>
      <c r="C541" s="2075" t="s">
        <v>3764</v>
      </c>
      <c r="D541" s="2075"/>
      <c r="E541" s="2075"/>
      <c r="F541" s="2075"/>
      <c r="G541" s="2075"/>
      <c r="H541" s="1107">
        <f>H537+H540</f>
        <v>309161.39999999997</v>
      </c>
      <c r="J541" s="1559"/>
      <c r="K541" s="1559"/>
      <c r="L541" s="1559"/>
      <c r="M541" s="1635"/>
    </row>
    <row r="542" spans="2:13" s="496" customFormat="1" hidden="1">
      <c r="B542" s="1543" t="s">
        <v>706</v>
      </c>
      <c r="C542" s="2076" t="s">
        <v>709</v>
      </c>
      <c r="D542" s="2076"/>
      <c r="E542" s="2076"/>
      <c r="F542" s="2077" t="s">
        <v>3873</v>
      </c>
      <c r="G542" s="2077"/>
      <c r="H542" s="1107">
        <f>H541*0.15</f>
        <v>46374.209999999992</v>
      </c>
      <c r="J542" s="1559"/>
      <c r="K542" s="1559"/>
      <c r="L542" s="1559"/>
      <c r="M542" s="1635"/>
    </row>
    <row r="543" spans="2:13" s="496" customFormat="1" hidden="1">
      <c r="B543" s="1543" t="s">
        <v>708</v>
      </c>
      <c r="C543" s="2078" t="s">
        <v>3765</v>
      </c>
      <c r="D543" s="2078"/>
      <c r="E543" s="2078"/>
      <c r="F543" s="2078"/>
      <c r="G543" s="2078"/>
      <c r="H543" s="1108">
        <f>ROUND(SUM(H541:H542),2)</f>
        <v>355535.61</v>
      </c>
      <c r="J543" s="1559"/>
      <c r="K543" s="1559"/>
      <c r="L543" s="1559"/>
      <c r="M543" s="1635"/>
    </row>
    <row r="544" spans="2:13" hidden="1">
      <c r="F544" s="1172"/>
      <c r="G544" s="1173"/>
      <c r="H544" s="1133"/>
      <c r="M544" s="1566"/>
    </row>
    <row r="545" spans="2:13" hidden="1">
      <c r="B545" s="1150" t="s">
        <v>2681</v>
      </c>
      <c r="C545" s="1112" t="s">
        <v>2682</v>
      </c>
      <c r="E545" s="1129"/>
      <c r="F545" s="1131"/>
      <c r="G545" s="1132"/>
      <c r="H545" s="1115"/>
      <c r="M545" s="1566"/>
    </row>
    <row r="546" spans="2:13" hidden="1">
      <c r="B546" s="1150" t="s">
        <v>3897</v>
      </c>
      <c r="C546" s="1112" t="s">
        <v>2683</v>
      </c>
      <c r="E546" s="1129"/>
      <c r="F546" s="1131"/>
      <c r="G546" s="1132"/>
      <c r="H546" s="1115"/>
      <c r="M546" s="1566"/>
    </row>
    <row r="547" spans="2:13" s="507" customFormat="1" ht="24.9" hidden="1" customHeight="1">
      <c r="B547" s="1748" t="s">
        <v>1003</v>
      </c>
      <c r="C547" s="1101" t="s">
        <v>1004</v>
      </c>
      <c r="D547" s="1101" t="s">
        <v>1005</v>
      </c>
      <c r="E547" s="1101" t="s">
        <v>1006</v>
      </c>
      <c r="F547" s="1102" t="s">
        <v>1007</v>
      </c>
      <c r="G547" s="1109" t="s">
        <v>2637</v>
      </c>
      <c r="H547" s="1110" t="s">
        <v>2638</v>
      </c>
      <c r="J547" s="1625"/>
      <c r="K547" s="1625"/>
      <c r="L547" s="1625"/>
      <c r="M547" s="1570"/>
    </row>
    <row r="548" spans="2:13" hidden="1">
      <c r="B548" s="1543" t="s">
        <v>671</v>
      </c>
      <c r="C548" s="1329" t="s">
        <v>672</v>
      </c>
      <c r="D548" s="1331"/>
      <c r="E548" s="1331"/>
      <c r="F548" s="1334"/>
      <c r="G548" s="1104"/>
      <c r="H548" s="1106"/>
      <c r="M548" s="1566"/>
    </row>
    <row r="549" spans="2:13" hidden="1">
      <c r="B549" s="1540"/>
      <c r="C549" s="1332" t="s">
        <v>673</v>
      </c>
      <c r="D549" s="1331" t="s">
        <v>674</v>
      </c>
      <c r="E549" s="1331" t="s">
        <v>675</v>
      </c>
      <c r="F549" s="1334">
        <v>1.5</v>
      </c>
      <c r="G549" s="1104">
        <f>DUB!$I$10</f>
        <v>150000</v>
      </c>
      <c r="H549" s="1106">
        <f>G549*F549</f>
        <v>225000</v>
      </c>
      <c r="M549" s="1566"/>
    </row>
    <row r="550" spans="2:13" hidden="1">
      <c r="B550" s="1540"/>
      <c r="C550" s="1332" t="s">
        <v>816</v>
      </c>
      <c r="D550" s="1331" t="s">
        <v>678</v>
      </c>
      <c r="E550" s="1331" t="s">
        <v>675</v>
      </c>
      <c r="F550" s="1334">
        <v>0.75</v>
      </c>
      <c r="G550" s="1104">
        <f>DUB!$I$11</f>
        <v>187000</v>
      </c>
      <c r="H550" s="1106">
        <f>G550*F550</f>
        <v>140250</v>
      </c>
      <c r="M550" s="1566"/>
    </row>
    <row r="551" spans="2:13" hidden="1">
      <c r="B551" s="1540"/>
      <c r="C551" s="1332" t="s">
        <v>680</v>
      </c>
      <c r="D551" s="1331" t="s">
        <v>681</v>
      </c>
      <c r="E551" s="1331" t="s">
        <v>675</v>
      </c>
      <c r="F551" s="1334">
        <v>7.4999999999999997E-2</v>
      </c>
      <c r="G551" s="1104">
        <f>DUB!$I$13</f>
        <v>240000</v>
      </c>
      <c r="H551" s="1106">
        <f>G551*F551</f>
        <v>18000</v>
      </c>
      <c r="M551" s="1566"/>
    </row>
    <row r="552" spans="2:13" hidden="1">
      <c r="B552" s="1540"/>
      <c r="C552" s="1332" t="s">
        <v>683</v>
      </c>
      <c r="D552" s="1331" t="s">
        <v>684</v>
      </c>
      <c r="E552" s="1331" t="s">
        <v>675</v>
      </c>
      <c r="F552" s="1334">
        <v>7.4999999999999997E-2</v>
      </c>
      <c r="G552" s="1104">
        <f>DUB!$I$12</f>
        <v>225000</v>
      </c>
      <c r="H552" s="1106">
        <f>G552*F552</f>
        <v>16875</v>
      </c>
      <c r="M552" s="1566"/>
    </row>
    <row r="553" spans="2:13" hidden="1">
      <c r="B553" s="1540"/>
      <c r="C553" s="1332"/>
      <c r="D553" s="1331"/>
      <c r="E553" s="1331"/>
      <c r="F553" s="2074" t="s">
        <v>685</v>
      </c>
      <c r="G553" s="2074"/>
      <c r="H553" s="1106">
        <f>SUM(H549:H552)</f>
        <v>400125</v>
      </c>
      <c r="M553" s="1566"/>
    </row>
    <row r="554" spans="2:13" hidden="1">
      <c r="B554" s="1543" t="s">
        <v>686</v>
      </c>
      <c r="C554" s="1329" t="s">
        <v>687</v>
      </c>
      <c r="D554" s="1331"/>
      <c r="E554" s="1331"/>
      <c r="F554" s="1334"/>
      <c r="G554" s="1104"/>
      <c r="H554" s="1106"/>
      <c r="M554" s="1566"/>
    </row>
    <row r="555" spans="2:13" hidden="1">
      <c r="B555" s="1540"/>
      <c r="C555" s="1332" t="s">
        <v>776</v>
      </c>
      <c r="D555" s="1331"/>
      <c r="E555" s="1331" t="s">
        <v>2646</v>
      </c>
      <c r="F555" s="1334">
        <v>1.2</v>
      </c>
      <c r="G555" s="1104">
        <f>DUB!$I$39</f>
        <v>382720</v>
      </c>
      <c r="H555" s="1106">
        <f>G555*F555</f>
        <v>459264</v>
      </c>
      <c r="M555" s="1566"/>
    </row>
    <row r="556" spans="2:13" hidden="1">
      <c r="B556" s="1540"/>
      <c r="C556" s="1332" t="s">
        <v>818</v>
      </c>
      <c r="D556" s="1331"/>
      <c r="E556" s="1331" t="s">
        <v>690</v>
      </c>
      <c r="F556" s="1334">
        <v>202</v>
      </c>
      <c r="G556" s="1104">
        <f>DUB!$I$65</f>
        <v>1575</v>
      </c>
      <c r="H556" s="1106">
        <f>G556*F556</f>
        <v>318150</v>
      </c>
      <c r="M556" s="1566"/>
    </row>
    <row r="557" spans="2:13" hidden="1">
      <c r="B557" s="1540"/>
      <c r="C557" s="1332" t="s">
        <v>808</v>
      </c>
      <c r="D557" s="1331"/>
      <c r="E557" s="1331" t="s">
        <v>2646</v>
      </c>
      <c r="F557" s="1334">
        <v>0.48499999999999999</v>
      </c>
      <c r="G557" s="1104">
        <f>DUB!$I$59</f>
        <v>208463</v>
      </c>
      <c r="H557" s="1106">
        <f>G557*F557</f>
        <v>101104.55499999999</v>
      </c>
      <c r="M557" s="1566"/>
    </row>
    <row r="558" spans="2:13" hidden="1">
      <c r="B558" s="1540"/>
      <c r="C558" s="1125"/>
      <c r="D558" s="1333"/>
      <c r="E558" s="1333"/>
      <c r="F558" s="2074" t="s">
        <v>702</v>
      </c>
      <c r="G558" s="2074"/>
      <c r="H558" s="1106">
        <f>SUM(H555:H557)</f>
        <v>878518.55499999993</v>
      </c>
      <c r="M558" s="1566"/>
    </row>
    <row r="559" spans="2:13" s="496" customFormat="1" hidden="1">
      <c r="B559" s="1543" t="s">
        <v>703</v>
      </c>
      <c r="C559" s="2075" t="s">
        <v>3764</v>
      </c>
      <c r="D559" s="2075"/>
      <c r="E559" s="2075"/>
      <c r="F559" s="2075"/>
      <c r="G559" s="2075"/>
      <c r="H559" s="1107">
        <f>H553+H558</f>
        <v>1278643.5549999999</v>
      </c>
      <c r="J559" s="1559"/>
      <c r="K559" s="1559"/>
      <c r="L559" s="1559"/>
      <c r="M559" s="1635"/>
    </row>
    <row r="560" spans="2:13" s="496" customFormat="1" hidden="1">
      <c r="B560" s="1543" t="s">
        <v>706</v>
      </c>
      <c r="C560" s="2076" t="s">
        <v>709</v>
      </c>
      <c r="D560" s="2076"/>
      <c r="E560" s="2076"/>
      <c r="F560" s="2077" t="s">
        <v>3873</v>
      </c>
      <c r="G560" s="2077"/>
      <c r="H560" s="1107">
        <f>H559*0.15</f>
        <v>191796.53324999998</v>
      </c>
      <c r="J560" s="1559"/>
      <c r="K560" s="1559"/>
      <c r="L560" s="1559"/>
      <c r="M560" s="1635"/>
    </row>
    <row r="561" spans="2:13" s="496" customFormat="1" hidden="1">
      <c r="B561" s="1543" t="s">
        <v>708</v>
      </c>
      <c r="C561" s="2078" t="s">
        <v>3765</v>
      </c>
      <c r="D561" s="2078"/>
      <c r="E561" s="2078"/>
      <c r="F561" s="2078"/>
      <c r="G561" s="2078"/>
      <c r="H561" s="1107">
        <f>ROUND(SUM(H559:H560),2)</f>
        <v>1470440.09</v>
      </c>
      <c r="I561" s="506">
        <f>SUM(H559:H560)</f>
        <v>1470440.08825</v>
      </c>
      <c r="J561" s="1561"/>
      <c r="K561" s="1561"/>
      <c r="L561" s="1559"/>
      <c r="M561" s="1635"/>
    </row>
    <row r="562" spans="2:13" hidden="1">
      <c r="F562" s="1172"/>
      <c r="G562" s="1173"/>
      <c r="H562" s="1133"/>
      <c r="M562" s="1566"/>
    </row>
    <row r="563" spans="2:13" hidden="1">
      <c r="B563" s="1100" t="s">
        <v>3898</v>
      </c>
      <c r="C563" s="1232" t="s">
        <v>2684</v>
      </c>
      <c r="F563" s="1172"/>
      <c r="G563" s="1173"/>
      <c r="H563" s="1133"/>
      <c r="M563" s="1566"/>
    </row>
    <row r="564" spans="2:13" s="507" customFormat="1" ht="24.9" hidden="1" customHeight="1">
      <c r="B564" s="1748" t="s">
        <v>1003</v>
      </c>
      <c r="C564" s="1101" t="s">
        <v>1004</v>
      </c>
      <c r="D564" s="1101" t="s">
        <v>1005</v>
      </c>
      <c r="E564" s="1101" t="s">
        <v>1006</v>
      </c>
      <c r="F564" s="1102" t="s">
        <v>1007</v>
      </c>
      <c r="G564" s="1109" t="s">
        <v>2637</v>
      </c>
      <c r="H564" s="1110" t="s">
        <v>2638</v>
      </c>
      <c r="J564" s="1625"/>
      <c r="K564" s="1625"/>
      <c r="L564" s="1625"/>
      <c r="M564" s="1570"/>
    </row>
    <row r="565" spans="2:13" hidden="1">
      <c r="B565" s="1543" t="s">
        <v>671</v>
      </c>
      <c r="C565" s="1329" t="s">
        <v>672</v>
      </c>
      <c r="D565" s="1331"/>
      <c r="E565" s="1331"/>
      <c r="F565" s="1334"/>
      <c r="G565" s="1104"/>
      <c r="H565" s="1106"/>
      <c r="M565" s="1566"/>
    </row>
    <row r="566" spans="2:13" hidden="1">
      <c r="B566" s="1540"/>
      <c r="C566" s="1332" t="s">
        <v>673</v>
      </c>
      <c r="D566" s="1331" t="s">
        <v>674</v>
      </c>
      <c r="E566" s="1331" t="s">
        <v>675</v>
      </c>
      <c r="F566" s="1334">
        <v>1.5</v>
      </c>
      <c r="G566" s="1104">
        <f>DUB!$I$10</f>
        <v>150000</v>
      </c>
      <c r="H566" s="1106">
        <f>G566*F566</f>
        <v>225000</v>
      </c>
      <c r="M566" s="1566"/>
    </row>
    <row r="567" spans="2:13" hidden="1">
      <c r="B567" s="1540"/>
      <c r="C567" s="1332" t="s">
        <v>816</v>
      </c>
      <c r="D567" s="1331" t="s">
        <v>678</v>
      </c>
      <c r="E567" s="1331" t="s">
        <v>675</v>
      </c>
      <c r="F567" s="1334">
        <v>0.75</v>
      </c>
      <c r="G567" s="1104">
        <f>DUB!$I$11</f>
        <v>187000</v>
      </c>
      <c r="H567" s="1106">
        <f>G567*F567</f>
        <v>140250</v>
      </c>
      <c r="M567" s="1566"/>
    </row>
    <row r="568" spans="2:13" hidden="1">
      <c r="B568" s="1540"/>
      <c r="C568" s="1332" t="s">
        <v>680</v>
      </c>
      <c r="D568" s="1331" t="s">
        <v>681</v>
      </c>
      <c r="E568" s="1331" t="s">
        <v>675</v>
      </c>
      <c r="F568" s="1334">
        <v>7.4999999999999997E-2</v>
      </c>
      <c r="G568" s="1104">
        <f>DUB!$I$13</f>
        <v>240000</v>
      </c>
      <c r="H568" s="1106">
        <f>G568*F568</f>
        <v>18000</v>
      </c>
      <c r="M568" s="1566"/>
    </row>
    <row r="569" spans="2:13" hidden="1">
      <c r="B569" s="1540"/>
      <c r="C569" s="1332" t="s">
        <v>683</v>
      </c>
      <c r="D569" s="1331" t="s">
        <v>684</v>
      </c>
      <c r="E569" s="1331" t="s">
        <v>675</v>
      </c>
      <c r="F569" s="1334">
        <v>7.4999999999999997E-2</v>
      </c>
      <c r="G569" s="1104">
        <f>DUB!$I$12</f>
        <v>225000</v>
      </c>
      <c r="H569" s="1106">
        <f>G569*F569</f>
        <v>16875</v>
      </c>
      <c r="M569" s="1566"/>
    </row>
    <row r="570" spans="2:13" hidden="1">
      <c r="B570" s="1540"/>
      <c r="C570" s="1332"/>
      <c r="D570" s="1331"/>
      <c r="E570" s="1331"/>
      <c r="F570" s="2074" t="s">
        <v>685</v>
      </c>
      <c r="G570" s="2074"/>
      <c r="H570" s="1106">
        <f>SUM(H566:H569)</f>
        <v>400125</v>
      </c>
      <c r="M570" s="1566"/>
    </row>
    <row r="571" spans="2:13" hidden="1">
      <c r="B571" s="1543" t="s">
        <v>686</v>
      </c>
      <c r="C571" s="1329" t="s">
        <v>687</v>
      </c>
      <c r="D571" s="1331"/>
      <c r="E571" s="1331"/>
      <c r="F571" s="1334"/>
      <c r="G571" s="1104"/>
      <c r="H571" s="1106"/>
      <c r="M571" s="1566"/>
    </row>
    <row r="572" spans="2:13" hidden="1">
      <c r="B572" s="1540"/>
      <c r="C572" s="1332" t="s">
        <v>776</v>
      </c>
      <c r="D572" s="1331"/>
      <c r="E572" s="1331" t="s">
        <v>2646</v>
      </c>
      <c r="F572" s="1334">
        <v>1.2</v>
      </c>
      <c r="G572" s="1104">
        <f>DUB!$I$39</f>
        <v>382720</v>
      </c>
      <c r="H572" s="1106">
        <f>G572*F572</f>
        <v>459264</v>
      </c>
      <c r="M572" s="1566"/>
    </row>
    <row r="573" spans="2:13" hidden="1">
      <c r="B573" s="1540"/>
      <c r="C573" s="1332" t="s">
        <v>818</v>
      </c>
      <c r="D573" s="1331"/>
      <c r="E573" s="1331" t="s">
        <v>690</v>
      </c>
      <c r="F573" s="1334">
        <v>163</v>
      </c>
      <c r="G573" s="1104">
        <f>DUB!$I$65</f>
        <v>1575</v>
      </c>
      <c r="H573" s="1106">
        <f>G573*F573</f>
        <v>256725</v>
      </c>
      <c r="M573" s="1566"/>
    </row>
    <row r="574" spans="2:13" hidden="1">
      <c r="B574" s="1540"/>
      <c r="C574" s="1332" t="s">
        <v>808</v>
      </c>
      <c r="D574" s="1331"/>
      <c r="E574" s="1331" t="s">
        <v>2646</v>
      </c>
      <c r="F574" s="1334">
        <v>0.52</v>
      </c>
      <c r="G574" s="1104">
        <f>DUB!$I$59</f>
        <v>208463</v>
      </c>
      <c r="H574" s="1106">
        <f>G574*F574</f>
        <v>108400.76000000001</v>
      </c>
      <c r="M574" s="1566"/>
    </row>
    <row r="575" spans="2:13" hidden="1">
      <c r="B575" s="1540"/>
      <c r="C575" s="1125"/>
      <c r="D575" s="1333"/>
      <c r="E575" s="1333"/>
      <c r="F575" s="2074" t="s">
        <v>702</v>
      </c>
      <c r="G575" s="2074"/>
      <c r="H575" s="1106">
        <f>SUM(H572:H574)</f>
        <v>824389.76</v>
      </c>
      <c r="M575" s="1566"/>
    </row>
    <row r="576" spans="2:13" s="496" customFormat="1" hidden="1">
      <c r="B576" s="1543" t="s">
        <v>703</v>
      </c>
      <c r="C576" s="2075" t="s">
        <v>3764</v>
      </c>
      <c r="D576" s="2075"/>
      <c r="E576" s="2075"/>
      <c r="F576" s="2075"/>
      <c r="G576" s="2075"/>
      <c r="H576" s="1107">
        <f>H570+H575</f>
        <v>1224514.76</v>
      </c>
      <c r="J576" s="1559"/>
      <c r="K576" s="1559"/>
      <c r="L576" s="1559"/>
      <c r="M576" s="1635"/>
    </row>
    <row r="577" spans="2:13" s="496" customFormat="1" hidden="1">
      <c r="B577" s="1543" t="s">
        <v>706</v>
      </c>
      <c r="C577" s="2076" t="s">
        <v>709</v>
      </c>
      <c r="D577" s="2076"/>
      <c r="E577" s="2076"/>
      <c r="F577" s="2077" t="s">
        <v>3873</v>
      </c>
      <c r="G577" s="2077"/>
      <c r="H577" s="1107">
        <f>H576*0.15</f>
        <v>183677.21400000001</v>
      </c>
      <c r="J577" s="1559"/>
      <c r="K577" s="1559"/>
      <c r="L577" s="1559"/>
      <c r="M577" s="1635"/>
    </row>
    <row r="578" spans="2:13" s="496" customFormat="1" hidden="1">
      <c r="B578" s="1543" t="s">
        <v>708</v>
      </c>
      <c r="C578" s="2078" t="s">
        <v>3765</v>
      </c>
      <c r="D578" s="2078"/>
      <c r="E578" s="2078"/>
      <c r="F578" s="2078"/>
      <c r="G578" s="2078"/>
      <c r="H578" s="1107">
        <f>ROUND(SUM(H576:H577),2)</f>
        <v>1408191.97</v>
      </c>
      <c r="I578" s="506">
        <f>SUM(H576:H577)</f>
        <v>1408191.9739999999</v>
      </c>
      <c r="J578" s="1561"/>
      <c r="K578" s="1561"/>
      <c r="L578" s="1559"/>
      <c r="M578" s="1635"/>
    </row>
    <row r="579" spans="2:13" hidden="1">
      <c r="B579" s="1143"/>
      <c r="C579" s="1144"/>
      <c r="D579" s="1143"/>
      <c r="E579" s="1143"/>
      <c r="F579" s="1145"/>
      <c r="G579" s="1146"/>
      <c r="H579" s="1147"/>
      <c r="M579" s="1566"/>
    </row>
    <row r="580" spans="2:13">
      <c r="B580" s="1100" t="s">
        <v>3899</v>
      </c>
      <c r="C580" s="1112" t="s">
        <v>2685</v>
      </c>
      <c r="D580" s="1129"/>
      <c r="E580" s="1129"/>
      <c r="F580" s="1131"/>
      <c r="G580" s="1132"/>
      <c r="H580" s="1115"/>
      <c r="M580" s="1566"/>
    </row>
    <row r="581" spans="2:13" s="507" customFormat="1" ht="24.9" customHeight="1">
      <c r="B581" s="1727" t="s">
        <v>1003</v>
      </c>
      <c r="C581" s="1728" t="s">
        <v>1004</v>
      </c>
      <c r="D581" s="1728" t="s">
        <v>1005</v>
      </c>
      <c r="E581" s="1728" t="s">
        <v>1006</v>
      </c>
      <c r="F581" s="1729" t="s">
        <v>1007</v>
      </c>
      <c r="G581" s="1866" t="s">
        <v>2637</v>
      </c>
      <c r="H581" s="1867" t="s">
        <v>2638</v>
      </c>
      <c r="I581" s="1739"/>
      <c r="J581" s="1605" t="s">
        <v>5335</v>
      </c>
      <c r="K581" s="1603" t="s">
        <v>5336</v>
      </c>
      <c r="L581" s="1603" t="s">
        <v>5337</v>
      </c>
      <c r="M581" s="1604" t="s">
        <v>5338</v>
      </c>
    </row>
    <row r="582" spans="2:13">
      <c r="B582" s="1733" t="s">
        <v>671</v>
      </c>
      <c r="C582" s="1329" t="s">
        <v>672</v>
      </c>
      <c r="D582" s="1331"/>
      <c r="E582" s="1331"/>
      <c r="F582" s="1334"/>
      <c r="G582" s="1104"/>
      <c r="H582" s="1106"/>
      <c r="J582" s="1597"/>
      <c r="K582" s="1597"/>
      <c r="L582" s="1597"/>
      <c r="M582" s="1563"/>
    </row>
    <row r="583" spans="2:13">
      <c r="B583" s="1182"/>
      <c r="C583" s="1332" t="s">
        <v>673</v>
      </c>
      <c r="D583" s="1331" t="s">
        <v>674</v>
      </c>
      <c r="E583" s="1331" t="s">
        <v>675</v>
      </c>
      <c r="F583" s="1334">
        <v>1.5</v>
      </c>
      <c r="G583" s="1104">
        <f>DUB!$I$10</f>
        <v>150000</v>
      </c>
      <c r="H583" s="1106">
        <f>G583*F583</f>
        <v>225000</v>
      </c>
      <c r="J583" s="1609" t="s">
        <v>5339</v>
      </c>
      <c r="K583" s="1611">
        <v>1</v>
      </c>
      <c r="L583" s="1608" t="s">
        <v>5340</v>
      </c>
      <c r="M583" s="1610">
        <f>H583*K583</f>
        <v>225000</v>
      </c>
    </row>
    <row r="584" spans="2:13">
      <c r="B584" s="1182"/>
      <c r="C584" s="1332" t="s">
        <v>816</v>
      </c>
      <c r="D584" s="1331" t="s">
        <v>678</v>
      </c>
      <c r="E584" s="1331" t="s">
        <v>675</v>
      </c>
      <c r="F584" s="1334">
        <v>0.75</v>
      </c>
      <c r="G584" s="1104">
        <f>DUB!$I$11</f>
        <v>187000</v>
      </c>
      <c r="H584" s="1106">
        <f>G584*F584</f>
        <v>140250</v>
      </c>
      <c r="J584" s="1609" t="s">
        <v>5339</v>
      </c>
      <c r="K584" s="1611">
        <v>1</v>
      </c>
      <c r="L584" s="1608" t="s">
        <v>5340</v>
      </c>
      <c r="M584" s="1610">
        <f t="shared" ref="M584:M586" si="7">H584*K584</f>
        <v>140250</v>
      </c>
    </row>
    <row r="585" spans="2:13">
      <c r="B585" s="1182"/>
      <c r="C585" s="1332" t="s">
        <v>680</v>
      </c>
      <c r="D585" s="1331" t="s">
        <v>681</v>
      </c>
      <c r="E585" s="1331" t="s">
        <v>675</v>
      </c>
      <c r="F585" s="1334">
        <v>7.4999999999999997E-2</v>
      </c>
      <c r="G585" s="1104">
        <f>DUB!$I$13</f>
        <v>240000</v>
      </c>
      <c r="H585" s="1106">
        <f>G585*F585</f>
        <v>18000</v>
      </c>
      <c r="J585" s="1609" t="s">
        <v>5339</v>
      </c>
      <c r="K585" s="1611">
        <v>1</v>
      </c>
      <c r="L585" s="1608" t="s">
        <v>5340</v>
      </c>
      <c r="M585" s="1610">
        <f t="shared" si="7"/>
        <v>18000</v>
      </c>
    </row>
    <row r="586" spans="2:13">
      <c r="B586" s="1182"/>
      <c r="C586" s="1332" t="s">
        <v>683</v>
      </c>
      <c r="D586" s="1331" t="s">
        <v>684</v>
      </c>
      <c r="E586" s="1331" t="s">
        <v>675</v>
      </c>
      <c r="F586" s="1334">
        <v>7.4999999999999997E-2</v>
      </c>
      <c r="G586" s="1104">
        <f>DUB!$I$12</f>
        <v>225000</v>
      </c>
      <c r="H586" s="1106">
        <f>G586*F586</f>
        <v>16875</v>
      </c>
      <c r="J586" s="1609" t="s">
        <v>5339</v>
      </c>
      <c r="K586" s="1611">
        <v>1</v>
      </c>
      <c r="L586" s="1608" t="s">
        <v>5340</v>
      </c>
      <c r="M586" s="1610">
        <f t="shared" si="7"/>
        <v>16875</v>
      </c>
    </row>
    <row r="587" spans="2:13">
      <c r="B587" s="1182"/>
      <c r="C587" s="1332"/>
      <c r="D587" s="1331"/>
      <c r="E587" s="1331"/>
      <c r="F587" s="2074" t="s">
        <v>685</v>
      </c>
      <c r="G587" s="2074"/>
      <c r="H587" s="1106">
        <f>SUM(H583:H586)</f>
        <v>400125</v>
      </c>
      <c r="J587" s="1597"/>
      <c r="K587" s="1597"/>
      <c r="L587" s="1597"/>
      <c r="M587" s="1564">
        <f>SUM(M583:M586)</f>
        <v>400125</v>
      </c>
    </row>
    <row r="588" spans="2:13">
      <c r="B588" s="1733" t="s">
        <v>686</v>
      </c>
      <c r="C588" s="1329" t="s">
        <v>687</v>
      </c>
      <c r="D588" s="1331"/>
      <c r="E588" s="1331"/>
      <c r="F588" s="1334"/>
      <c r="G588" s="1104"/>
      <c r="H588" s="1106"/>
      <c r="J588" s="1597"/>
      <c r="K588" s="1597"/>
      <c r="L588" s="1597"/>
      <c r="M588" s="1563"/>
    </row>
    <row r="589" spans="2:13">
      <c r="B589" s="1182"/>
      <c r="C589" s="1332" t="s">
        <v>776</v>
      </c>
      <c r="D589" s="1331"/>
      <c r="E589" s="1331" t="s">
        <v>2646</v>
      </c>
      <c r="F589" s="1334">
        <v>1.2</v>
      </c>
      <c r="G589" s="1104">
        <f>DUB!$I$39</f>
        <v>382720</v>
      </c>
      <c r="H589" s="1106">
        <f>G589*F589</f>
        <v>459264</v>
      </c>
      <c r="J589" s="1607" t="s">
        <v>5341</v>
      </c>
      <c r="K589" s="1611">
        <v>1</v>
      </c>
      <c r="L589" s="1607" t="s">
        <v>5341</v>
      </c>
      <c r="M589" s="1610">
        <f>H589*K589</f>
        <v>459264</v>
      </c>
    </row>
    <row r="590" spans="2:13">
      <c r="B590" s="1182"/>
      <c r="C590" s="1332" t="s">
        <v>818</v>
      </c>
      <c r="D590" s="1331"/>
      <c r="E590" s="1331" t="s">
        <v>690</v>
      </c>
      <c r="F590" s="1334">
        <v>136</v>
      </c>
      <c r="G590" s="1104">
        <f>DUB!$I$65</f>
        <v>1575</v>
      </c>
      <c r="H590" s="1106">
        <f>G590*F590</f>
        <v>214200</v>
      </c>
      <c r="J590" s="1607" t="s">
        <v>4925</v>
      </c>
      <c r="K590" s="1611">
        <v>0.97009999999999996</v>
      </c>
      <c r="L590" s="1634" t="s">
        <v>4925</v>
      </c>
      <c r="M590" s="1610">
        <f>H590*K590</f>
        <v>207795.41999999998</v>
      </c>
    </row>
    <row r="591" spans="2:13">
      <c r="B591" s="1182"/>
      <c r="C591" s="1332" t="s">
        <v>808</v>
      </c>
      <c r="D591" s="1331"/>
      <c r="E591" s="1331" t="s">
        <v>2646</v>
      </c>
      <c r="F591" s="1334">
        <v>0.54400000000000004</v>
      </c>
      <c r="G591" s="1104">
        <f>DUB!$I$59</f>
        <v>208463</v>
      </c>
      <c r="H591" s="1106">
        <f>G591*F591</f>
        <v>113403.872</v>
      </c>
      <c r="J591" s="1607" t="s">
        <v>5341</v>
      </c>
      <c r="K591" s="1611">
        <v>1</v>
      </c>
      <c r="L591" s="1607" t="s">
        <v>5341</v>
      </c>
      <c r="M591" s="1610">
        <f>H591*K591</f>
        <v>113403.872</v>
      </c>
    </row>
    <row r="592" spans="2:13">
      <c r="B592" s="1182"/>
      <c r="C592" s="1332"/>
      <c r="D592" s="1331"/>
      <c r="E592" s="1331"/>
      <c r="F592" s="2090" t="s">
        <v>702</v>
      </c>
      <c r="G592" s="2090"/>
      <c r="H592" s="1106">
        <f>SUM(H589:H591)</f>
        <v>786867.87199999997</v>
      </c>
      <c r="J592" s="1597"/>
      <c r="K592" s="1597"/>
      <c r="L592" s="1597"/>
      <c r="M592" s="1564">
        <f>SUM(M589:M591)</f>
        <v>780463.2919999999</v>
      </c>
    </row>
    <row r="593" spans="2:13" s="496" customFormat="1">
      <c r="B593" s="1733" t="s">
        <v>703</v>
      </c>
      <c r="C593" s="2089" t="s">
        <v>3764</v>
      </c>
      <c r="D593" s="2089"/>
      <c r="E593" s="2089"/>
      <c r="F593" s="2089"/>
      <c r="G593" s="2089"/>
      <c r="H593" s="1107">
        <f>H587+H592</f>
        <v>1186992.872</v>
      </c>
      <c r="J593" s="1600"/>
      <c r="K593" s="1633">
        <f>M593/H593</f>
        <v>0.99460436524002982</v>
      </c>
      <c r="L593" s="1600"/>
      <c r="M593" s="1564">
        <f>M592+M587</f>
        <v>1180588.2919999999</v>
      </c>
    </row>
    <row r="594" spans="2:13" s="496" customFormat="1">
      <c r="B594" s="1733" t="s">
        <v>706</v>
      </c>
      <c r="C594" s="2076" t="s">
        <v>709</v>
      </c>
      <c r="D594" s="2076"/>
      <c r="E594" s="2076"/>
      <c r="F594" s="2077" t="s">
        <v>3873</v>
      </c>
      <c r="G594" s="2077"/>
      <c r="H594" s="1107">
        <f>H593*0.15</f>
        <v>178048.9308</v>
      </c>
      <c r="J594" s="1600"/>
      <c r="K594" s="1600"/>
      <c r="L594" s="1600"/>
      <c r="M594" s="1564">
        <f>M593*0.15</f>
        <v>177088.24379999997</v>
      </c>
    </row>
    <row r="595" spans="2:13" s="496" customFormat="1">
      <c r="B595" s="1734" t="s">
        <v>708</v>
      </c>
      <c r="C595" s="2109" t="s">
        <v>3765</v>
      </c>
      <c r="D595" s="2109"/>
      <c r="E595" s="2109"/>
      <c r="F595" s="2109"/>
      <c r="G595" s="2109"/>
      <c r="H595" s="1857">
        <f>ROUND(SUM(H593:H594),2)</f>
        <v>1365041.8</v>
      </c>
      <c r="I595" s="1858">
        <f>SUM(H593:H594)</f>
        <v>1365041.8027999999</v>
      </c>
      <c r="J595" s="1602"/>
      <c r="K595" s="1602"/>
      <c r="L595" s="1600"/>
      <c r="M595" s="1917">
        <f>SUM(M593:M594)</f>
        <v>1357676.5358</v>
      </c>
    </row>
    <row r="596" spans="2:13" s="979" customFormat="1" hidden="1">
      <c r="B596" s="1624"/>
      <c r="C596" s="1096"/>
      <c r="D596" s="1095"/>
      <c r="E596" s="1095"/>
      <c r="F596" s="1172"/>
      <c r="G596" s="1173"/>
      <c r="H596" s="1133"/>
      <c r="J596" s="1557"/>
      <c r="K596" s="1557"/>
      <c r="L596" s="1557"/>
      <c r="M596" s="1619"/>
    </row>
    <row r="597" spans="2:13" s="979" customFormat="1" hidden="1">
      <c r="B597" s="1613" t="s">
        <v>3900</v>
      </c>
      <c r="C597" s="1232" t="s">
        <v>2686</v>
      </c>
      <c r="D597" s="1095"/>
      <c r="E597" s="1095"/>
      <c r="F597" s="1172"/>
      <c r="G597" s="1173"/>
      <c r="H597" s="1133"/>
      <c r="J597" s="1557"/>
      <c r="K597" s="1557"/>
      <c r="L597" s="1557"/>
      <c r="M597" s="1619"/>
    </row>
    <row r="598" spans="2:13" s="982" customFormat="1" ht="24.9" hidden="1" customHeight="1">
      <c r="B598" s="1648" t="s">
        <v>1003</v>
      </c>
      <c r="C598" s="1101" t="s">
        <v>1004</v>
      </c>
      <c r="D598" s="1101" t="s">
        <v>1005</v>
      </c>
      <c r="E598" s="1101" t="s">
        <v>1006</v>
      </c>
      <c r="F598" s="1102" t="s">
        <v>1007</v>
      </c>
      <c r="G598" s="1109" t="s">
        <v>2637</v>
      </c>
      <c r="H598" s="1110" t="s">
        <v>2638</v>
      </c>
      <c r="J598" s="1625"/>
      <c r="K598" s="1625"/>
      <c r="L598" s="1625"/>
      <c r="M598" s="1626"/>
    </row>
    <row r="599" spans="2:13" s="979" customFormat="1" hidden="1">
      <c r="B599" s="1649" t="s">
        <v>671</v>
      </c>
      <c r="C599" s="1329" t="s">
        <v>672</v>
      </c>
      <c r="D599" s="1331"/>
      <c r="E599" s="1331"/>
      <c r="F599" s="1334"/>
      <c r="G599" s="1104"/>
      <c r="H599" s="1106"/>
      <c r="J599" s="1557"/>
      <c r="K599" s="1557"/>
      <c r="L599" s="1557"/>
      <c r="M599" s="1619"/>
    </row>
    <row r="600" spans="2:13" s="979" customFormat="1" hidden="1">
      <c r="B600" s="1650"/>
      <c r="C600" s="1332" t="s">
        <v>673</v>
      </c>
      <c r="D600" s="1331" t="s">
        <v>674</v>
      </c>
      <c r="E600" s="1331" t="s">
        <v>675</v>
      </c>
      <c r="F600" s="1334">
        <v>1.5</v>
      </c>
      <c r="G600" s="1104">
        <f>DUB!$I$10</f>
        <v>150000</v>
      </c>
      <c r="H600" s="1106">
        <f>G600*F600</f>
        <v>225000</v>
      </c>
      <c r="J600" s="1557"/>
      <c r="K600" s="1557"/>
      <c r="L600" s="1557"/>
      <c r="M600" s="1619"/>
    </row>
    <row r="601" spans="2:13" s="979" customFormat="1" hidden="1">
      <c r="B601" s="1650"/>
      <c r="C601" s="1332" t="s">
        <v>816</v>
      </c>
      <c r="D601" s="1331" t="s">
        <v>678</v>
      </c>
      <c r="E601" s="1331" t="s">
        <v>675</v>
      </c>
      <c r="F601" s="1334">
        <v>0.75</v>
      </c>
      <c r="G601" s="1104">
        <f>DUB!$I$11</f>
        <v>187000</v>
      </c>
      <c r="H601" s="1106">
        <f>G601*F601</f>
        <v>140250</v>
      </c>
      <c r="J601" s="1557"/>
      <c r="K601" s="1557"/>
      <c r="L601" s="1557"/>
      <c r="M601" s="1619"/>
    </row>
    <row r="602" spans="2:13" s="979" customFormat="1" hidden="1">
      <c r="B602" s="1650"/>
      <c r="C602" s="1332" t="s">
        <v>680</v>
      </c>
      <c r="D602" s="1331" t="s">
        <v>681</v>
      </c>
      <c r="E602" s="1331" t="s">
        <v>675</v>
      </c>
      <c r="F602" s="1334">
        <v>7.4999999999999997E-2</v>
      </c>
      <c r="G602" s="1104">
        <f>DUB!$I$13</f>
        <v>240000</v>
      </c>
      <c r="H602" s="1106">
        <f>G602*F602</f>
        <v>18000</v>
      </c>
      <c r="J602" s="1557"/>
      <c r="K602" s="1557"/>
      <c r="L602" s="1557"/>
      <c r="M602" s="1619"/>
    </row>
    <row r="603" spans="2:13" s="979" customFormat="1" hidden="1">
      <c r="B603" s="1650"/>
      <c r="C603" s="1332" t="s">
        <v>683</v>
      </c>
      <c r="D603" s="1331" t="s">
        <v>684</v>
      </c>
      <c r="E603" s="1331" t="s">
        <v>675</v>
      </c>
      <c r="F603" s="1334">
        <v>7.4999999999999997E-2</v>
      </c>
      <c r="G603" s="1104">
        <f>DUB!$I$12</f>
        <v>225000</v>
      </c>
      <c r="H603" s="1106">
        <f>G603*F603</f>
        <v>16875</v>
      </c>
      <c r="J603" s="1557"/>
      <c r="K603" s="1557"/>
      <c r="L603" s="1557"/>
      <c r="M603" s="1619"/>
    </row>
    <row r="604" spans="2:13" s="979" customFormat="1" hidden="1">
      <c r="B604" s="1650"/>
      <c r="C604" s="1332"/>
      <c r="D604" s="1331"/>
      <c r="E604" s="1331"/>
      <c r="F604" s="2074" t="s">
        <v>685</v>
      </c>
      <c r="G604" s="2074"/>
      <c r="H604" s="1106">
        <f>SUM(H600:H603)</f>
        <v>400125</v>
      </c>
      <c r="J604" s="1557"/>
      <c r="K604" s="1557"/>
      <c r="L604" s="1557"/>
      <c r="M604" s="1619"/>
    </row>
    <row r="605" spans="2:13" s="979" customFormat="1" hidden="1">
      <c r="B605" s="1649" t="s">
        <v>686</v>
      </c>
      <c r="C605" s="1329" t="s">
        <v>687</v>
      </c>
      <c r="D605" s="1331"/>
      <c r="E605" s="1331"/>
      <c r="F605" s="1334"/>
      <c r="G605" s="1104"/>
      <c r="H605" s="1106"/>
      <c r="J605" s="1557"/>
      <c r="K605" s="1557"/>
      <c r="L605" s="1557"/>
      <c r="M605" s="1619"/>
    </row>
    <row r="606" spans="2:13" s="979" customFormat="1" hidden="1">
      <c r="B606" s="1650"/>
      <c r="C606" s="1332" t="s">
        <v>776</v>
      </c>
      <c r="D606" s="1331"/>
      <c r="E606" s="1331" t="s">
        <v>2646</v>
      </c>
      <c r="F606" s="1334">
        <v>1.2</v>
      </c>
      <c r="G606" s="1104">
        <f>DUB!$I$39</f>
        <v>382720</v>
      </c>
      <c r="H606" s="1106">
        <f>G606*F606</f>
        <v>459264</v>
      </c>
      <c r="J606" s="1557"/>
      <c r="K606" s="1557"/>
      <c r="L606" s="1557"/>
      <c r="M606" s="1619"/>
    </row>
    <row r="607" spans="2:13" s="979" customFormat="1" hidden="1">
      <c r="B607" s="1650"/>
      <c r="C607" s="1332" t="s">
        <v>818</v>
      </c>
      <c r="D607" s="1331"/>
      <c r="E607" s="1331" t="s">
        <v>690</v>
      </c>
      <c r="F607" s="1334">
        <v>117</v>
      </c>
      <c r="G607" s="1104">
        <f>DUB!$I$65</f>
        <v>1575</v>
      </c>
      <c r="H607" s="1106">
        <f>G607*F607</f>
        <v>184275</v>
      </c>
      <c r="J607" s="1557"/>
      <c r="K607" s="1557"/>
      <c r="L607" s="1557"/>
      <c r="M607" s="1619"/>
    </row>
    <row r="608" spans="2:13" s="979" customFormat="1" hidden="1">
      <c r="B608" s="1650"/>
      <c r="C608" s="1332" t="s">
        <v>808</v>
      </c>
      <c r="D608" s="1331"/>
      <c r="E608" s="1331" t="s">
        <v>2646</v>
      </c>
      <c r="F608" s="1334">
        <v>0.56100000000000005</v>
      </c>
      <c r="G608" s="1104">
        <f>DUB!$I$59</f>
        <v>208463</v>
      </c>
      <c r="H608" s="1106">
        <f>G608*F608</f>
        <v>116947.74300000002</v>
      </c>
      <c r="J608" s="1557"/>
      <c r="K608" s="1557"/>
      <c r="L608" s="1557"/>
      <c r="M608" s="1619"/>
    </row>
    <row r="609" spans="2:13" s="979" customFormat="1" hidden="1">
      <c r="B609" s="1650"/>
      <c r="C609" s="1332"/>
      <c r="D609" s="1331"/>
      <c r="E609" s="1331"/>
      <c r="F609" s="2090" t="s">
        <v>702</v>
      </c>
      <c r="G609" s="2090"/>
      <c r="H609" s="1106">
        <f>SUM(H606:H608)</f>
        <v>760486.74300000002</v>
      </c>
      <c r="J609" s="1557"/>
      <c r="K609" s="1557"/>
      <c r="L609" s="1557"/>
      <c r="M609" s="1619"/>
    </row>
    <row r="610" spans="2:13" s="980" customFormat="1" hidden="1">
      <c r="B610" s="1649" t="s">
        <v>703</v>
      </c>
      <c r="C610" s="2089" t="s">
        <v>3764</v>
      </c>
      <c r="D610" s="2089"/>
      <c r="E610" s="2089"/>
      <c r="F610" s="2089"/>
      <c r="G610" s="2089"/>
      <c r="H610" s="1107">
        <f>H604+H609</f>
        <v>1160611.743</v>
      </c>
      <c r="J610" s="1559"/>
      <c r="K610" s="1559"/>
      <c r="L610" s="1559"/>
      <c r="M610" s="1614"/>
    </row>
    <row r="611" spans="2:13" s="980" customFormat="1" hidden="1">
      <c r="B611" s="1649" t="s">
        <v>706</v>
      </c>
      <c r="C611" s="2076" t="s">
        <v>709</v>
      </c>
      <c r="D611" s="2076"/>
      <c r="E611" s="2076"/>
      <c r="F611" s="2077" t="s">
        <v>3873</v>
      </c>
      <c r="G611" s="2077"/>
      <c r="H611" s="1107">
        <f>H610*0.15</f>
        <v>174091.76144999999</v>
      </c>
      <c r="J611" s="1559"/>
      <c r="K611" s="1559"/>
      <c r="L611" s="1559"/>
      <c r="M611" s="1614"/>
    </row>
    <row r="612" spans="2:13" s="980" customFormat="1" hidden="1">
      <c r="B612" s="1649" t="s">
        <v>708</v>
      </c>
      <c r="C612" s="2078" t="s">
        <v>3765</v>
      </c>
      <c r="D612" s="2078"/>
      <c r="E612" s="2078"/>
      <c r="F612" s="2078"/>
      <c r="G612" s="2078"/>
      <c r="H612" s="1107">
        <f>ROUND(SUM(H610:H611),2)</f>
        <v>1334703.5</v>
      </c>
      <c r="I612" s="981">
        <f>SUM(H610:H611)</f>
        <v>1334703.5044499999</v>
      </c>
      <c r="J612" s="1561"/>
      <c r="K612" s="1561"/>
      <c r="L612" s="1559"/>
      <c r="M612" s="1614"/>
    </row>
    <row r="613" spans="2:13" s="979" customFormat="1" hidden="1">
      <c r="B613" s="1659"/>
      <c r="C613" s="1144"/>
      <c r="D613" s="1143"/>
      <c r="E613" s="1143"/>
      <c r="F613" s="1145"/>
      <c r="G613" s="1146"/>
      <c r="H613" s="1147"/>
      <c r="J613" s="1557"/>
      <c r="K613" s="1557"/>
      <c r="L613" s="1557"/>
      <c r="M613" s="1619"/>
    </row>
    <row r="614" spans="2:13" s="979" customFormat="1" hidden="1">
      <c r="B614" s="1613" t="s">
        <v>3901</v>
      </c>
      <c r="C614" s="1112" t="s">
        <v>2687</v>
      </c>
      <c r="D614" s="1129"/>
      <c r="E614" s="1129"/>
      <c r="F614" s="1131"/>
      <c r="G614" s="1132"/>
      <c r="H614" s="1115"/>
      <c r="J614" s="1557"/>
      <c r="K614" s="1557"/>
      <c r="L614" s="1557"/>
      <c r="M614" s="1619"/>
    </row>
    <row r="615" spans="2:13" s="982" customFormat="1" ht="24.9" hidden="1" customHeight="1">
      <c r="B615" s="1648" t="s">
        <v>1003</v>
      </c>
      <c r="C615" s="1101" t="s">
        <v>1004</v>
      </c>
      <c r="D615" s="1101" t="s">
        <v>1005</v>
      </c>
      <c r="E615" s="1101" t="s">
        <v>1006</v>
      </c>
      <c r="F615" s="1102" t="s">
        <v>1007</v>
      </c>
      <c r="G615" s="1109" t="s">
        <v>2637</v>
      </c>
      <c r="H615" s="1110" t="s">
        <v>2638</v>
      </c>
      <c r="J615" s="1625"/>
      <c r="K615" s="1625"/>
      <c r="L615" s="1625"/>
      <c r="M615" s="1626"/>
    </row>
    <row r="616" spans="2:13" s="979" customFormat="1" hidden="1">
      <c r="B616" s="1649" t="s">
        <v>671</v>
      </c>
      <c r="C616" s="1329" t="s">
        <v>672</v>
      </c>
      <c r="D616" s="1331"/>
      <c r="E616" s="1331"/>
      <c r="F616" s="1334"/>
      <c r="G616" s="1104"/>
      <c r="H616" s="1106"/>
      <c r="J616" s="1557"/>
      <c r="K616" s="1557"/>
      <c r="L616" s="1557"/>
      <c r="M616" s="1619"/>
    </row>
    <row r="617" spans="2:13" s="979" customFormat="1" hidden="1">
      <c r="B617" s="1650"/>
      <c r="C617" s="1332" t="s">
        <v>673</v>
      </c>
      <c r="D617" s="1331" t="s">
        <v>674</v>
      </c>
      <c r="E617" s="1331" t="s">
        <v>675</v>
      </c>
      <c r="F617" s="1334">
        <v>1.5</v>
      </c>
      <c r="G617" s="1104">
        <f>DUB!$I$10</f>
        <v>150000</v>
      </c>
      <c r="H617" s="1106">
        <f>G617*F617</f>
        <v>225000</v>
      </c>
      <c r="J617" s="1557"/>
      <c r="K617" s="1557"/>
      <c r="L617" s="1557"/>
      <c r="M617" s="1619"/>
    </row>
    <row r="618" spans="2:13" s="979" customFormat="1" hidden="1">
      <c r="B618" s="1650"/>
      <c r="C618" s="1332" t="s">
        <v>816</v>
      </c>
      <c r="D618" s="1331" t="s">
        <v>678</v>
      </c>
      <c r="E618" s="1331" t="s">
        <v>675</v>
      </c>
      <c r="F618" s="1334">
        <v>0.75</v>
      </c>
      <c r="G618" s="1104">
        <f>DUB!$I$11</f>
        <v>187000</v>
      </c>
      <c r="H618" s="1106">
        <f>G618*F618</f>
        <v>140250</v>
      </c>
      <c r="J618" s="1557"/>
      <c r="K618" s="1557"/>
      <c r="L618" s="1557"/>
      <c r="M618" s="1619"/>
    </row>
    <row r="619" spans="2:13" s="979" customFormat="1" hidden="1">
      <c r="B619" s="1650"/>
      <c r="C619" s="1332" t="s">
        <v>680</v>
      </c>
      <c r="D619" s="1331" t="s">
        <v>681</v>
      </c>
      <c r="E619" s="1331" t="s">
        <v>675</v>
      </c>
      <c r="F619" s="1334">
        <v>7.4999999999999997E-2</v>
      </c>
      <c r="G619" s="1104">
        <f>DUB!$I$13</f>
        <v>240000</v>
      </c>
      <c r="H619" s="1106">
        <f>G619*F619</f>
        <v>18000</v>
      </c>
      <c r="J619" s="1557"/>
      <c r="K619" s="1557"/>
      <c r="L619" s="1557"/>
      <c r="M619" s="1619"/>
    </row>
    <row r="620" spans="2:13" s="979" customFormat="1" hidden="1">
      <c r="B620" s="1650"/>
      <c r="C620" s="1332" t="s">
        <v>683</v>
      </c>
      <c r="D620" s="1331" t="s">
        <v>684</v>
      </c>
      <c r="E620" s="1331" t="s">
        <v>675</v>
      </c>
      <c r="F620" s="1334">
        <v>7.4999999999999997E-2</v>
      </c>
      <c r="G620" s="1104">
        <f>DUB!$I$12</f>
        <v>225000</v>
      </c>
      <c r="H620" s="1106">
        <f>G620*F620</f>
        <v>16875</v>
      </c>
      <c r="J620" s="1557"/>
      <c r="K620" s="1557"/>
      <c r="L620" s="1557"/>
      <c r="M620" s="1619"/>
    </row>
    <row r="621" spans="2:13" s="979" customFormat="1" hidden="1">
      <c r="B621" s="1650"/>
      <c r="C621" s="1332"/>
      <c r="D621" s="1331"/>
      <c r="E621" s="1331"/>
      <c r="F621" s="2074" t="s">
        <v>685</v>
      </c>
      <c r="G621" s="2074"/>
      <c r="H621" s="1106">
        <f>SUM(H617:H620)</f>
        <v>400125</v>
      </c>
      <c r="J621" s="1557"/>
      <c r="K621" s="1557"/>
      <c r="L621" s="1557"/>
      <c r="M621" s="1619"/>
    </row>
    <row r="622" spans="2:13" s="979" customFormat="1" hidden="1">
      <c r="B622" s="1649" t="s">
        <v>686</v>
      </c>
      <c r="C622" s="1329" t="s">
        <v>687</v>
      </c>
      <c r="D622" s="1331"/>
      <c r="E622" s="1331"/>
      <c r="F622" s="1334"/>
      <c r="G622" s="1104"/>
      <c r="H622" s="1106"/>
      <c r="J622" s="1557"/>
      <c r="K622" s="1557"/>
      <c r="L622" s="1557"/>
      <c r="M622" s="1619"/>
    </row>
    <row r="623" spans="2:13" s="979" customFormat="1" hidden="1">
      <c r="B623" s="1650"/>
      <c r="C623" s="1332" t="s">
        <v>776</v>
      </c>
      <c r="D623" s="1331"/>
      <c r="E623" s="1331" t="s">
        <v>2646</v>
      </c>
      <c r="F623" s="1334">
        <v>1.2</v>
      </c>
      <c r="G623" s="1104">
        <f>DUB!$I$39</f>
        <v>382720</v>
      </c>
      <c r="H623" s="1106">
        <f>G623*F623</f>
        <v>459264</v>
      </c>
      <c r="J623" s="1557"/>
      <c r="K623" s="1557"/>
      <c r="L623" s="1557"/>
      <c r="M623" s="1619"/>
    </row>
    <row r="624" spans="2:13" s="979" customFormat="1" hidden="1">
      <c r="B624" s="1650"/>
      <c r="C624" s="1332" t="s">
        <v>818</v>
      </c>
      <c r="D624" s="1331"/>
      <c r="E624" s="1331" t="s">
        <v>690</v>
      </c>
      <c r="F624" s="1334">
        <v>91</v>
      </c>
      <c r="G624" s="1104">
        <f>DUB!$I$65</f>
        <v>1575</v>
      </c>
      <c r="H624" s="1106">
        <f>G624*F624</f>
        <v>143325</v>
      </c>
      <c r="J624" s="1557"/>
      <c r="K624" s="1557"/>
      <c r="L624" s="1557"/>
      <c r="M624" s="1619"/>
    </row>
    <row r="625" spans="2:13" s="979" customFormat="1" hidden="1">
      <c r="B625" s="1650"/>
      <c r="C625" s="1332" t="s">
        <v>808</v>
      </c>
      <c r="D625" s="1331"/>
      <c r="E625" s="1331" t="s">
        <v>2646</v>
      </c>
      <c r="F625" s="1334">
        <v>0.58399999999999996</v>
      </c>
      <c r="G625" s="1104">
        <f>DUB!$I$59</f>
        <v>208463</v>
      </c>
      <c r="H625" s="1106">
        <f>G625*F625</f>
        <v>121742.39199999999</v>
      </c>
      <c r="J625" s="1557"/>
      <c r="K625" s="1557"/>
      <c r="L625" s="1557"/>
      <c r="M625" s="1619"/>
    </row>
    <row r="626" spans="2:13" s="979" customFormat="1" hidden="1">
      <c r="B626" s="1650"/>
      <c r="C626" s="1332"/>
      <c r="D626" s="1331"/>
      <c r="E626" s="1331"/>
      <c r="F626" s="2091" t="s">
        <v>702</v>
      </c>
      <c r="G626" s="2091"/>
      <c r="H626" s="1106">
        <f>SUM(H623:H625)</f>
        <v>724331.39199999999</v>
      </c>
      <c r="J626" s="1557"/>
      <c r="K626" s="1557"/>
      <c r="L626" s="1557"/>
      <c r="M626" s="1619"/>
    </row>
    <row r="627" spans="2:13" s="980" customFormat="1" hidden="1">
      <c r="B627" s="1649" t="s">
        <v>703</v>
      </c>
      <c r="C627" s="2075" t="s">
        <v>3764</v>
      </c>
      <c r="D627" s="2075"/>
      <c r="E627" s="2075"/>
      <c r="F627" s="2075"/>
      <c r="G627" s="2075"/>
      <c r="H627" s="1107">
        <f>H621+H626</f>
        <v>1124456.392</v>
      </c>
      <c r="J627" s="1559"/>
      <c r="K627" s="1559"/>
      <c r="L627" s="1559"/>
      <c r="M627" s="1614"/>
    </row>
    <row r="628" spans="2:13" s="980" customFormat="1" hidden="1">
      <c r="B628" s="1649" t="s">
        <v>706</v>
      </c>
      <c r="C628" s="2076" t="s">
        <v>709</v>
      </c>
      <c r="D628" s="2076"/>
      <c r="E628" s="2076"/>
      <c r="F628" s="2077" t="s">
        <v>3873</v>
      </c>
      <c r="G628" s="2077"/>
      <c r="H628" s="1107">
        <f>H627*0.15</f>
        <v>168668.45879999999</v>
      </c>
      <c r="J628" s="1559"/>
      <c r="K628" s="1559"/>
      <c r="L628" s="1559"/>
      <c r="M628" s="1614"/>
    </row>
    <row r="629" spans="2:13" s="980" customFormat="1" hidden="1">
      <c r="B629" s="1649" t="s">
        <v>708</v>
      </c>
      <c r="C629" s="2075" t="s">
        <v>3765</v>
      </c>
      <c r="D629" s="2075"/>
      <c r="E629" s="2075"/>
      <c r="F629" s="2075"/>
      <c r="G629" s="2075"/>
      <c r="H629" s="1107">
        <f>ROUND(SUM(H627:H628),2)</f>
        <v>1293124.8500000001</v>
      </c>
      <c r="I629" s="981">
        <f>SUM(H627:H628)</f>
        <v>1293124.8507999999</v>
      </c>
      <c r="J629" s="1561"/>
      <c r="K629" s="1561"/>
      <c r="L629" s="1559"/>
      <c r="M629" s="1614"/>
    </row>
    <row r="630" spans="2:13" s="979" customFormat="1" hidden="1">
      <c r="B630" s="1624"/>
      <c r="C630" s="1096"/>
      <c r="D630" s="1095"/>
      <c r="E630" s="1095"/>
      <c r="F630" s="1172"/>
      <c r="G630" s="1173"/>
      <c r="H630" s="1133"/>
      <c r="J630" s="1557"/>
      <c r="K630" s="1557"/>
      <c r="L630" s="1557"/>
      <c r="M630" s="1619"/>
    </row>
    <row r="631" spans="2:13" s="979" customFormat="1" hidden="1">
      <c r="B631" s="1613" t="s">
        <v>3902</v>
      </c>
      <c r="C631" s="1112" t="s">
        <v>2688</v>
      </c>
      <c r="D631" s="1129"/>
      <c r="E631" s="1129"/>
      <c r="F631" s="1131"/>
      <c r="G631" s="1132"/>
      <c r="H631" s="1115"/>
      <c r="J631" s="1557"/>
      <c r="K631" s="1557"/>
      <c r="L631" s="1557"/>
      <c r="M631" s="1619"/>
    </row>
    <row r="632" spans="2:13" s="982" customFormat="1" ht="24.9" hidden="1" customHeight="1">
      <c r="B632" s="1648" t="s">
        <v>1003</v>
      </c>
      <c r="C632" s="1101" t="s">
        <v>1004</v>
      </c>
      <c r="D632" s="1101" t="s">
        <v>1005</v>
      </c>
      <c r="E632" s="1101" t="s">
        <v>1006</v>
      </c>
      <c r="F632" s="1102" t="s">
        <v>1007</v>
      </c>
      <c r="G632" s="1109" t="s">
        <v>2637</v>
      </c>
      <c r="H632" s="1110" t="s">
        <v>2638</v>
      </c>
      <c r="J632" s="1625"/>
      <c r="K632" s="1625"/>
      <c r="L632" s="1625"/>
      <c r="M632" s="1626"/>
    </row>
    <row r="633" spans="2:13" s="979" customFormat="1" hidden="1">
      <c r="B633" s="1649" t="s">
        <v>671</v>
      </c>
      <c r="C633" s="1329" t="s">
        <v>672</v>
      </c>
      <c r="D633" s="1331"/>
      <c r="E633" s="1331"/>
      <c r="F633" s="1334"/>
      <c r="G633" s="1104"/>
      <c r="H633" s="1106"/>
      <c r="J633" s="1557"/>
      <c r="K633" s="1557"/>
      <c r="L633" s="1557"/>
      <c r="M633" s="1619"/>
    </row>
    <row r="634" spans="2:13" s="979" customFormat="1" hidden="1">
      <c r="B634" s="1650"/>
      <c r="C634" s="1332" t="s">
        <v>673</v>
      </c>
      <c r="D634" s="1331" t="s">
        <v>674</v>
      </c>
      <c r="E634" s="1331" t="s">
        <v>675</v>
      </c>
      <c r="F634" s="1334">
        <v>0.78</v>
      </c>
      <c r="G634" s="1104">
        <f>DUB!$I$10</f>
        <v>150000</v>
      </c>
      <c r="H634" s="1106">
        <f>G634*F634</f>
        <v>117000</v>
      </c>
      <c r="J634" s="1557"/>
      <c r="K634" s="1557"/>
      <c r="L634" s="1557"/>
      <c r="M634" s="1619"/>
    </row>
    <row r="635" spans="2:13" s="979" customFormat="1" hidden="1">
      <c r="B635" s="1650"/>
      <c r="C635" s="1332" t="s">
        <v>816</v>
      </c>
      <c r="D635" s="1331" t="s">
        <v>678</v>
      </c>
      <c r="E635" s="1331" t="s">
        <v>675</v>
      </c>
      <c r="F635" s="1334">
        <v>0.39</v>
      </c>
      <c r="G635" s="1104">
        <f>DUB!$I$11</f>
        <v>187000</v>
      </c>
      <c r="H635" s="1106">
        <f>G635*F635</f>
        <v>72930</v>
      </c>
      <c r="J635" s="1557"/>
      <c r="K635" s="1557"/>
      <c r="L635" s="1557"/>
      <c r="M635" s="1619"/>
    </row>
    <row r="636" spans="2:13" s="979" customFormat="1" hidden="1">
      <c r="B636" s="1650"/>
      <c r="C636" s="1332" t="s">
        <v>680</v>
      </c>
      <c r="D636" s="1331" t="s">
        <v>681</v>
      </c>
      <c r="E636" s="1331" t="s">
        <v>675</v>
      </c>
      <c r="F636" s="1334">
        <v>3.9E-2</v>
      </c>
      <c r="G636" s="1104">
        <f>DUB!$I$13</f>
        <v>240000</v>
      </c>
      <c r="H636" s="1106">
        <f>G636*F636</f>
        <v>9360</v>
      </c>
      <c r="J636" s="1557"/>
      <c r="K636" s="1557"/>
      <c r="L636" s="1557"/>
      <c r="M636" s="1619"/>
    </row>
    <row r="637" spans="2:13" s="979" customFormat="1" hidden="1">
      <c r="B637" s="1650"/>
      <c r="C637" s="1332" t="s">
        <v>683</v>
      </c>
      <c r="D637" s="1331" t="s">
        <v>684</v>
      </c>
      <c r="E637" s="1331" t="s">
        <v>675</v>
      </c>
      <c r="F637" s="1334">
        <v>3.9E-2</v>
      </c>
      <c r="G637" s="1104">
        <f>DUB!$I$12</f>
        <v>225000</v>
      </c>
      <c r="H637" s="1106">
        <f>G637*F637</f>
        <v>8775</v>
      </c>
      <c r="J637" s="1557"/>
      <c r="K637" s="1557"/>
      <c r="L637" s="1557"/>
      <c r="M637" s="1619"/>
    </row>
    <row r="638" spans="2:13" s="979" customFormat="1" hidden="1">
      <c r="B638" s="1650"/>
      <c r="C638" s="1332"/>
      <c r="D638" s="1331"/>
      <c r="E638" s="1331"/>
      <c r="F638" s="2074" t="s">
        <v>685</v>
      </c>
      <c r="G638" s="2074"/>
      <c r="H638" s="1106">
        <f>SUM(H634:H637)</f>
        <v>208065</v>
      </c>
      <c r="J638" s="1557"/>
      <c r="K638" s="1557"/>
      <c r="L638" s="1557"/>
      <c r="M638" s="1619"/>
    </row>
    <row r="639" spans="2:13" s="979" customFormat="1" hidden="1">
      <c r="B639" s="1649" t="s">
        <v>686</v>
      </c>
      <c r="C639" s="1329" t="s">
        <v>687</v>
      </c>
      <c r="D639" s="1331"/>
      <c r="E639" s="1331"/>
      <c r="F639" s="1334"/>
      <c r="G639" s="1104"/>
      <c r="H639" s="1106"/>
      <c r="J639" s="1557"/>
      <c r="K639" s="1557"/>
      <c r="L639" s="1557"/>
      <c r="M639" s="1619"/>
    </row>
    <row r="640" spans="2:13" s="979" customFormat="1" hidden="1">
      <c r="B640" s="1650"/>
      <c r="C640" s="1332" t="s">
        <v>776</v>
      </c>
      <c r="D640" s="1331"/>
      <c r="E640" s="1331" t="s">
        <v>2646</v>
      </c>
      <c r="F640" s="1334">
        <v>1.2</v>
      </c>
      <c r="G640" s="1104">
        <f>DUB!$I$39</f>
        <v>382720</v>
      </c>
      <c r="H640" s="1106">
        <f>G640*F640</f>
        <v>459264</v>
      </c>
      <c r="J640" s="1557"/>
      <c r="K640" s="1557"/>
      <c r="L640" s="1557"/>
      <c r="M640" s="1619"/>
    </row>
    <row r="641" spans="2:13" s="979" customFormat="1" hidden="1">
      <c r="B641" s="1650"/>
      <c r="C641" s="1332" t="s">
        <v>803</v>
      </c>
      <c r="D641" s="1331"/>
      <c r="E641" s="1331" t="s">
        <v>2646</v>
      </c>
      <c r="F641" s="1334">
        <v>0.432</v>
      </c>
      <c r="G641" s="1104">
        <f>DUB!$I$61</f>
        <v>152729</v>
      </c>
      <c r="H641" s="1106">
        <f>G641*F641</f>
        <v>65978.928</v>
      </c>
      <c r="J641" s="1557"/>
      <c r="K641" s="1557"/>
      <c r="L641" s="1557"/>
      <c r="M641" s="1619"/>
    </row>
    <row r="642" spans="2:13" s="979" customFormat="1" hidden="1">
      <c r="B642" s="1650"/>
      <c r="C642" s="1125"/>
      <c r="D642" s="1333"/>
      <c r="E642" s="1333"/>
      <c r="F642" s="2074" t="s">
        <v>702</v>
      </c>
      <c r="G642" s="2074"/>
      <c r="H642" s="1106">
        <f>SUM(H640:H641)</f>
        <v>525242.92799999996</v>
      </c>
      <c r="J642" s="1557"/>
      <c r="K642" s="1557"/>
      <c r="L642" s="1557"/>
      <c r="M642" s="1619"/>
    </row>
    <row r="643" spans="2:13" s="980" customFormat="1" hidden="1">
      <c r="B643" s="1649" t="s">
        <v>703</v>
      </c>
      <c r="C643" s="2075" t="s">
        <v>3764</v>
      </c>
      <c r="D643" s="2075"/>
      <c r="E643" s="2075"/>
      <c r="F643" s="2075"/>
      <c r="G643" s="2075"/>
      <c r="H643" s="1107">
        <f>H638+H642</f>
        <v>733307.92799999996</v>
      </c>
      <c r="J643" s="1559"/>
      <c r="K643" s="1559"/>
      <c r="L643" s="1559"/>
      <c r="M643" s="1614"/>
    </row>
    <row r="644" spans="2:13" s="980" customFormat="1" hidden="1">
      <c r="B644" s="1649" t="s">
        <v>706</v>
      </c>
      <c r="C644" s="2076" t="s">
        <v>709</v>
      </c>
      <c r="D644" s="2076"/>
      <c r="E644" s="2076"/>
      <c r="F644" s="2077" t="s">
        <v>3873</v>
      </c>
      <c r="G644" s="2077"/>
      <c r="H644" s="1107">
        <f>H643*0.15</f>
        <v>109996.18919999999</v>
      </c>
      <c r="J644" s="1559"/>
      <c r="K644" s="1559"/>
      <c r="L644" s="1559"/>
      <c r="M644" s="1614"/>
    </row>
    <row r="645" spans="2:13" s="980" customFormat="1" hidden="1">
      <c r="B645" s="1649" t="s">
        <v>708</v>
      </c>
      <c r="C645" s="2078" t="s">
        <v>3765</v>
      </c>
      <c r="D645" s="2078"/>
      <c r="E645" s="2078"/>
      <c r="F645" s="2078"/>
      <c r="G645" s="2078"/>
      <c r="H645" s="1107">
        <f>ROUND(SUM(H643:H644),2)</f>
        <v>843304.12</v>
      </c>
      <c r="I645" s="981">
        <f>SUM(H643:H644)</f>
        <v>843304.11719999998</v>
      </c>
      <c r="J645" s="1561"/>
      <c r="K645" s="1561"/>
      <c r="L645" s="1559"/>
      <c r="M645" s="1614"/>
    </row>
    <row r="646" spans="2:13" s="979" customFormat="1" hidden="1">
      <c r="B646" s="1624"/>
      <c r="C646" s="1096"/>
      <c r="D646" s="1095"/>
      <c r="E646" s="1095"/>
      <c r="F646" s="1172"/>
      <c r="G646" s="1173"/>
      <c r="H646" s="1133"/>
      <c r="J646" s="1557"/>
      <c r="K646" s="1557"/>
      <c r="L646" s="1557"/>
      <c r="M646" s="1619"/>
    </row>
    <row r="647" spans="2:13" s="979" customFormat="1" hidden="1">
      <c r="B647" s="1615" t="s">
        <v>3903</v>
      </c>
      <c r="C647" s="1232" t="s">
        <v>4414</v>
      </c>
      <c r="D647" s="1095"/>
      <c r="E647" s="1095"/>
      <c r="F647" s="1172"/>
      <c r="G647" s="1173"/>
      <c r="H647" s="1133"/>
      <c r="J647" s="1557"/>
      <c r="K647" s="1557"/>
      <c r="L647" s="1557"/>
      <c r="M647" s="1619"/>
    </row>
    <row r="648" spans="2:13" s="982" customFormat="1" ht="24.9" hidden="1" customHeight="1">
      <c r="B648" s="1648" t="s">
        <v>1003</v>
      </c>
      <c r="C648" s="1101" t="s">
        <v>1004</v>
      </c>
      <c r="D648" s="1101" t="s">
        <v>1005</v>
      </c>
      <c r="E648" s="1101" t="s">
        <v>1006</v>
      </c>
      <c r="F648" s="1102" t="s">
        <v>1007</v>
      </c>
      <c r="G648" s="1109" t="s">
        <v>2637</v>
      </c>
      <c r="H648" s="1110" t="s">
        <v>2638</v>
      </c>
      <c r="J648" s="1625"/>
      <c r="K648" s="1625"/>
      <c r="L648" s="1625"/>
      <c r="M648" s="1626"/>
    </row>
    <row r="649" spans="2:13" s="979" customFormat="1" hidden="1">
      <c r="B649" s="1649" t="s">
        <v>671</v>
      </c>
      <c r="C649" s="1329" t="s">
        <v>672</v>
      </c>
      <c r="D649" s="1331"/>
      <c r="E649" s="1331"/>
      <c r="F649" s="1334"/>
      <c r="G649" s="1104"/>
      <c r="H649" s="1106"/>
      <c r="J649" s="1557"/>
      <c r="K649" s="1557"/>
      <c r="L649" s="1557"/>
      <c r="M649" s="1619"/>
    </row>
    <row r="650" spans="2:13" s="979" customFormat="1" hidden="1">
      <c r="B650" s="1650"/>
      <c r="C650" s="1332" t="s">
        <v>673</v>
      </c>
      <c r="D650" s="1331" t="s">
        <v>674</v>
      </c>
      <c r="E650" s="1331" t="s">
        <v>675</v>
      </c>
      <c r="F650" s="1334">
        <v>3.4</v>
      </c>
      <c r="G650" s="1104">
        <f>DUB!$I$10</f>
        <v>150000</v>
      </c>
      <c r="H650" s="1106">
        <f>G650*F650</f>
        <v>510000</v>
      </c>
      <c r="J650" s="1557"/>
      <c r="K650" s="1557"/>
      <c r="L650" s="1557"/>
      <c r="M650" s="1619"/>
    </row>
    <row r="651" spans="2:13" s="979" customFormat="1" hidden="1">
      <c r="B651" s="1650"/>
      <c r="C651" s="1332" t="s">
        <v>816</v>
      </c>
      <c r="D651" s="1331" t="s">
        <v>678</v>
      </c>
      <c r="E651" s="1331" t="s">
        <v>675</v>
      </c>
      <c r="F651" s="1334">
        <v>0.85</v>
      </c>
      <c r="G651" s="1104">
        <f>DUB!$I$11</f>
        <v>187000</v>
      </c>
      <c r="H651" s="1106">
        <f>G651*F651</f>
        <v>158950</v>
      </c>
      <c r="J651" s="1557"/>
      <c r="K651" s="1557"/>
      <c r="L651" s="1557"/>
      <c r="M651" s="1619"/>
    </row>
    <row r="652" spans="2:13" s="979" customFormat="1" hidden="1">
      <c r="B652" s="1650"/>
      <c r="C652" s="1332" t="s">
        <v>680</v>
      </c>
      <c r="D652" s="1331" t="s">
        <v>681</v>
      </c>
      <c r="E652" s="1331" t="s">
        <v>675</v>
      </c>
      <c r="F652" s="1334">
        <v>8.5000000000000006E-2</v>
      </c>
      <c r="G652" s="1104">
        <f>DUB!$I$13</f>
        <v>240000</v>
      </c>
      <c r="H652" s="1106">
        <f>G652*F652</f>
        <v>20400</v>
      </c>
      <c r="J652" s="1557"/>
      <c r="K652" s="1557"/>
      <c r="L652" s="1557"/>
      <c r="M652" s="1619"/>
    </row>
    <row r="653" spans="2:13" s="979" customFormat="1" hidden="1">
      <c r="B653" s="1650"/>
      <c r="C653" s="1332" t="s">
        <v>683</v>
      </c>
      <c r="D653" s="1331" t="s">
        <v>684</v>
      </c>
      <c r="E653" s="1331" t="s">
        <v>675</v>
      </c>
      <c r="F653" s="1334">
        <v>0.17</v>
      </c>
      <c r="G653" s="1104">
        <f>DUB!$I$12</f>
        <v>225000</v>
      </c>
      <c r="H653" s="1106">
        <f>G653*F653</f>
        <v>38250</v>
      </c>
      <c r="J653" s="1557"/>
      <c r="K653" s="1557"/>
      <c r="L653" s="1557"/>
      <c r="M653" s="1619"/>
    </row>
    <row r="654" spans="2:13" s="979" customFormat="1" hidden="1">
      <c r="B654" s="1650"/>
      <c r="C654" s="1332"/>
      <c r="D654" s="1331"/>
      <c r="E654" s="1331"/>
      <c r="F654" s="2074" t="s">
        <v>685</v>
      </c>
      <c r="G654" s="2074"/>
      <c r="H654" s="1106">
        <f>SUM(H650:H653)</f>
        <v>727600</v>
      </c>
      <c r="J654" s="1557"/>
      <c r="K654" s="1557"/>
      <c r="L654" s="1557"/>
      <c r="M654" s="1619"/>
    </row>
    <row r="655" spans="2:13" s="979" customFormat="1" hidden="1">
      <c r="B655" s="1649" t="s">
        <v>686</v>
      </c>
      <c r="C655" s="1329" t="s">
        <v>687</v>
      </c>
      <c r="D655" s="1331"/>
      <c r="E655" s="1331"/>
      <c r="F655" s="1334"/>
      <c r="G655" s="1104"/>
      <c r="H655" s="1106"/>
      <c r="J655" s="1557"/>
      <c r="K655" s="1557"/>
      <c r="L655" s="1557"/>
      <c r="M655" s="1619"/>
    </row>
    <row r="656" spans="2:13" s="979" customFormat="1" hidden="1">
      <c r="B656" s="1650"/>
      <c r="C656" s="1332" t="s">
        <v>776</v>
      </c>
      <c r="D656" s="1331"/>
      <c r="E656" s="1331" t="s">
        <v>2646</v>
      </c>
      <c r="F656" s="1334">
        <v>0.48</v>
      </c>
      <c r="G656" s="1104">
        <f>DUB!$I$39</f>
        <v>382720</v>
      </c>
      <c r="H656" s="1106">
        <f t="shared" ref="H656:H661" si="8">G656*F656</f>
        <v>183705.60000000001</v>
      </c>
      <c r="J656" s="1557"/>
      <c r="K656" s="1557"/>
      <c r="L656" s="1557"/>
      <c r="M656" s="1619"/>
    </row>
    <row r="657" spans="2:13" s="979" customFormat="1" hidden="1">
      <c r="B657" s="1650"/>
      <c r="C657" s="1332" t="s">
        <v>818</v>
      </c>
      <c r="D657" s="1331"/>
      <c r="E657" s="1331" t="s">
        <v>690</v>
      </c>
      <c r="F657" s="1334">
        <v>194</v>
      </c>
      <c r="G657" s="1104">
        <f>DUB!$I$65</f>
        <v>1575</v>
      </c>
      <c r="H657" s="1106">
        <f t="shared" si="8"/>
        <v>305550</v>
      </c>
      <c r="J657" s="1557"/>
      <c r="K657" s="1557"/>
      <c r="L657" s="1557"/>
      <c r="M657" s="1619"/>
    </row>
    <row r="658" spans="2:13" s="979" customFormat="1" hidden="1">
      <c r="B658" s="1650"/>
      <c r="C658" s="1332" t="s">
        <v>831</v>
      </c>
      <c r="D658" s="1331"/>
      <c r="E658" s="1331" t="s">
        <v>2646</v>
      </c>
      <c r="F658" s="1334">
        <v>0.312</v>
      </c>
      <c r="G658" s="1104">
        <f>DUB!$I$59</f>
        <v>208463</v>
      </c>
      <c r="H658" s="1106">
        <f t="shared" si="8"/>
        <v>65040.455999999998</v>
      </c>
      <c r="J658" s="1557"/>
      <c r="K658" s="1557"/>
      <c r="L658" s="1557"/>
      <c r="M658" s="1619"/>
    </row>
    <row r="659" spans="2:13" s="979" customFormat="1" hidden="1">
      <c r="B659" s="1650"/>
      <c r="C659" s="1332" t="s">
        <v>833</v>
      </c>
      <c r="D659" s="1331"/>
      <c r="E659" s="1331" t="s">
        <v>2646</v>
      </c>
      <c r="F659" s="1334">
        <v>0.46800000000000003</v>
      </c>
      <c r="G659" s="1104">
        <f>DUB!$I$57</f>
        <v>202500</v>
      </c>
      <c r="H659" s="1106">
        <f t="shared" si="8"/>
        <v>94770</v>
      </c>
      <c r="J659" s="1557"/>
      <c r="K659" s="1557"/>
      <c r="L659" s="1557"/>
      <c r="M659" s="1619"/>
    </row>
    <row r="660" spans="2:13" s="979" customFormat="1" hidden="1">
      <c r="B660" s="1650"/>
      <c r="C660" s="1332" t="s">
        <v>834</v>
      </c>
      <c r="D660" s="1331"/>
      <c r="E660" s="1331" t="s">
        <v>690</v>
      </c>
      <c r="F660" s="1334">
        <v>126</v>
      </c>
      <c r="G660" s="1104">
        <f>DUB!$I$101</f>
        <v>15300</v>
      </c>
      <c r="H660" s="1106">
        <f t="shared" si="8"/>
        <v>1927800</v>
      </c>
      <c r="J660" s="1557"/>
      <c r="K660" s="1557"/>
      <c r="L660" s="1557"/>
      <c r="M660" s="1619"/>
    </row>
    <row r="661" spans="2:13" s="979" customFormat="1" hidden="1">
      <c r="B661" s="1650"/>
      <c r="C661" s="1332" t="s">
        <v>835</v>
      </c>
      <c r="D661" s="1331"/>
      <c r="E661" s="1331" t="s">
        <v>690</v>
      </c>
      <c r="F661" s="1334">
        <v>1.8</v>
      </c>
      <c r="G661" s="1104">
        <f>DUB!$I$108</f>
        <v>29497.5</v>
      </c>
      <c r="H661" s="1106">
        <f t="shared" si="8"/>
        <v>53095.5</v>
      </c>
      <c r="J661" s="1557"/>
      <c r="K661" s="1557"/>
      <c r="L661" s="1557"/>
      <c r="M661" s="1619"/>
    </row>
    <row r="662" spans="2:13" s="979" customFormat="1" hidden="1">
      <c r="B662" s="1650"/>
      <c r="C662" s="1125"/>
      <c r="D662" s="1333"/>
      <c r="E662" s="1333"/>
      <c r="F662" s="2074" t="s">
        <v>702</v>
      </c>
      <c r="G662" s="2074"/>
      <c r="H662" s="1106">
        <f>SUM(H656:H661)</f>
        <v>2629961.5559999999</v>
      </c>
      <c r="J662" s="1557"/>
      <c r="K662" s="1557"/>
      <c r="L662" s="1557"/>
      <c r="M662" s="1619"/>
    </row>
    <row r="663" spans="2:13" s="980" customFormat="1" hidden="1">
      <c r="B663" s="1649" t="s">
        <v>703</v>
      </c>
      <c r="C663" s="2075" t="s">
        <v>3764</v>
      </c>
      <c r="D663" s="2075"/>
      <c r="E663" s="2075"/>
      <c r="F663" s="2075"/>
      <c r="G663" s="2075"/>
      <c r="H663" s="1107">
        <f>H654+H662</f>
        <v>3357561.5559999999</v>
      </c>
      <c r="J663" s="1559"/>
      <c r="K663" s="1559"/>
      <c r="L663" s="1559"/>
      <c r="M663" s="1614"/>
    </row>
    <row r="664" spans="2:13" s="980" customFormat="1" hidden="1">
      <c r="B664" s="1649" t="s">
        <v>706</v>
      </c>
      <c r="C664" s="2076" t="s">
        <v>709</v>
      </c>
      <c r="D664" s="2076"/>
      <c r="E664" s="2076"/>
      <c r="F664" s="2077" t="s">
        <v>3873</v>
      </c>
      <c r="G664" s="2077"/>
      <c r="H664" s="1107">
        <f>H663*0.15</f>
        <v>503634.23339999997</v>
      </c>
      <c r="J664" s="1559"/>
      <c r="K664" s="1559"/>
      <c r="L664" s="1559"/>
      <c r="M664" s="1614"/>
    </row>
    <row r="665" spans="2:13" s="980" customFormat="1" hidden="1">
      <c r="B665" s="1649" t="s">
        <v>708</v>
      </c>
      <c r="C665" s="2078" t="s">
        <v>3765</v>
      </c>
      <c r="D665" s="2078"/>
      <c r="E665" s="2078"/>
      <c r="F665" s="2078"/>
      <c r="G665" s="2078"/>
      <c r="H665" s="1107">
        <f>ROUND(SUM(H663:H664),2)</f>
        <v>3861195.79</v>
      </c>
      <c r="I665" s="981">
        <f>SUM(H663:H664)</f>
        <v>3861195.7893999997</v>
      </c>
      <c r="J665" s="1561"/>
      <c r="K665" s="1561"/>
      <c r="L665" s="1559"/>
      <c r="M665" s="1614"/>
    </row>
    <row r="666" spans="2:13" s="979" customFormat="1" hidden="1">
      <c r="B666" s="1659"/>
      <c r="C666" s="1144"/>
      <c r="D666" s="1143"/>
      <c r="E666" s="1143"/>
      <c r="F666" s="1145"/>
      <c r="G666" s="1146"/>
      <c r="H666" s="1147"/>
      <c r="J666" s="1557"/>
      <c r="K666" s="1557"/>
      <c r="L666" s="1557"/>
      <c r="M666" s="1619"/>
    </row>
    <row r="667" spans="2:13" s="979" customFormat="1" hidden="1">
      <c r="B667" s="1615" t="s">
        <v>3904</v>
      </c>
      <c r="C667" s="1112" t="s">
        <v>3905</v>
      </c>
      <c r="D667" s="1095"/>
      <c r="E667" s="1129"/>
      <c r="F667" s="1131"/>
      <c r="G667" s="1132"/>
      <c r="H667" s="1115"/>
      <c r="J667" s="1557"/>
      <c r="K667" s="1557"/>
      <c r="L667" s="1557"/>
      <c r="M667" s="1619"/>
    </row>
    <row r="668" spans="2:13" s="982" customFormat="1" ht="24.9" hidden="1" customHeight="1">
      <c r="B668" s="1648" t="s">
        <v>1003</v>
      </c>
      <c r="C668" s="1101" t="s">
        <v>1004</v>
      </c>
      <c r="D668" s="1101" t="s">
        <v>1005</v>
      </c>
      <c r="E668" s="1101" t="s">
        <v>1006</v>
      </c>
      <c r="F668" s="1102" t="s">
        <v>1007</v>
      </c>
      <c r="G668" s="1109" t="s">
        <v>2637</v>
      </c>
      <c r="H668" s="1110" t="s">
        <v>2638</v>
      </c>
      <c r="J668" s="1625"/>
      <c r="K668" s="1625"/>
      <c r="L668" s="1625"/>
      <c r="M668" s="1626"/>
    </row>
    <row r="669" spans="2:13" s="979" customFormat="1" hidden="1">
      <c r="B669" s="1649" t="s">
        <v>671</v>
      </c>
      <c r="C669" s="1329" t="s">
        <v>672</v>
      </c>
      <c r="D669" s="1331"/>
      <c r="E669" s="1331"/>
      <c r="F669" s="1334"/>
      <c r="G669" s="1104"/>
      <c r="H669" s="1106"/>
      <c r="J669" s="1557"/>
      <c r="K669" s="1557"/>
      <c r="L669" s="1557"/>
      <c r="M669" s="1619"/>
    </row>
    <row r="670" spans="2:13" s="979" customFormat="1" hidden="1">
      <c r="B670" s="1650"/>
      <c r="C670" s="1332" t="s">
        <v>673</v>
      </c>
      <c r="D670" s="1331" t="s">
        <v>674</v>
      </c>
      <c r="E670" s="1331" t="s">
        <v>675</v>
      </c>
      <c r="F670" s="1334">
        <v>2.4</v>
      </c>
      <c r="G670" s="1104">
        <f>DUB!$I$10</f>
        <v>150000</v>
      </c>
      <c r="H670" s="1106">
        <f>G670*F670</f>
        <v>360000</v>
      </c>
      <c r="J670" s="1557"/>
      <c r="K670" s="1557"/>
      <c r="L670" s="1557"/>
      <c r="M670" s="1619"/>
    </row>
    <row r="671" spans="2:13" s="979" customFormat="1" hidden="1">
      <c r="B671" s="1650"/>
      <c r="C671" s="1332" t="s">
        <v>816</v>
      </c>
      <c r="D671" s="1331" t="s">
        <v>678</v>
      </c>
      <c r="E671" s="1331" t="s">
        <v>675</v>
      </c>
      <c r="F671" s="1334">
        <v>0.8</v>
      </c>
      <c r="G671" s="1104">
        <f>DUB!$I$11</f>
        <v>187000</v>
      </c>
      <c r="H671" s="1106">
        <f>G671*F671</f>
        <v>149600</v>
      </c>
      <c r="J671" s="1557"/>
      <c r="K671" s="1557"/>
      <c r="L671" s="1557"/>
      <c r="M671" s="1619"/>
    </row>
    <row r="672" spans="2:13" s="979" customFormat="1" hidden="1">
      <c r="B672" s="1650"/>
      <c r="C672" s="1332" t="s">
        <v>680</v>
      </c>
      <c r="D672" s="1331" t="s">
        <v>681</v>
      </c>
      <c r="E672" s="1331" t="s">
        <v>675</v>
      </c>
      <c r="F672" s="1334">
        <v>0.08</v>
      </c>
      <c r="G672" s="1104">
        <f>DUB!$I$13</f>
        <v>240000</v>
      </c>
      <c r="H672" s="1106">
        <f>G672*F672</f>
        <v>19200</v>
      </c>
      <c r="J672" s="1557"/>
      <c r="K672" s="1557"/>
      <c r="L672" s="1557"/>
      <c r="M672" s="1619"/>
    </row>
    <row r="673" spans="2:13" s="979" customFormat="1" hidden="1">
      <c r="B673" s="1650"/>
      <c r="C673" s="1332" t="s">
        <v>683</v>
      </c>
      <c r="D673" s="1331" t="s">
        <v>684</v>
      </c>
      <c r="E673" s="1331" t="s">
        <v>675</v>
      </c>
      <c r="F673" s="1334">
        <v>0.11899999999999999</v>
      </c>
      <c r="G673" s="1104">
        <f>DUB!$I$12</f>
        <v>225000</v>
      </c>
      <c r="H673" s="1106">
        <f>G673*F673</f>
        <v>26775</v>
      </c>
      <c r="J673" s="1557"/>
      <c r="K673" s="1557"/>
      <c r="L673" s="1557"/>
      <c r="M673" s="1619"/>
    </row>
    <row r="674" spans="2:13" s="979" customFormat="1" hidden="1">
      <c r="B674" s="1650"/>
      <c r="C674" s="1332"/>
      <c r="D674" s="1331"/>
      <c r="E674" s="1331"/>
      <c r="F674" s="2074" t="s">
        <v>685</v>
      </c>
      <c r="G674" s="2074"/>
      <c r="H674" s="1106">
        <f>SUM(H670:H673)</f>
        <v>555575</v>
      </c>
      <c r="J674" s="1557"/>
      <c r="K674" s="1557"/>
      <c r="L674" s="1557"/>
      <c r="M674" s="1619"/>
    </row>
    <row r="675" spans="2:13" s="979" customFormat="1" hidden="1">
      <c r="B675" s="1649" t="s">
        <v>686</v>
      </c>
      <c r="C675" s="1329" t="s">
        <v>687</v>
      </c>
      <c r="D675" s="1331"/>
      <c r="E675" s="1331"/>
      <c r="F675" s="1334"/>
      <c r="G675" s="1104"/>
      <c r="H675" s="1106"/>
      <c r="J675" s="1557"/>
      <c r="K675" s="1557"/>
      <c r="L675" s="1557"/>
      <c r="M675" s="1619"/>
    </row>
    <row r="676" spans="2:13" s="979" customFormat="1" hidden="1">
      <c r="B676" s="1650"/>
      <c r="C676" s="1332" t="s">
        <v>776</v>
      </c>
      <c r="D676" s="1331"/>
      <c r="E676" s="1331" t="s">
        <v>2646</v>
      </c>
      <c r="F676" s="1334">
        <v>0.45</v>
      </c>
      <c r="G676" s="1104">
        <f>DUB!$I$39</f>
        <v>382720</v>
      </c>
      <c r="H676" s="1106">
        <f>G676*F676</f>
        <v>172224</v>
      </c>
      <c r="J676" s="1557"/>
      <c r="K676" s="1557"/>
      <c r="L676" s="1557"/>
      <c r="M676" s="1619"/>
    </row>
    <row r="677" spans="2:13" s="979" customFormat="1" hidden="1">
      <c r="B677" s="1650"/>
      <c r="C677" s="1332" t="s">
        <v>818</v>
      </c>
      <c r="D677" s="1331"/>
      <c r="E677" s="1331" t="s">
        <v>690</v>
      </c>
      <c r="F677" s="1334">
        <v>194</v>
      </c>
      <c r="G677" s="1104">
        <f>DUB!$I$65</f>
        <v>1575</v>
      </c>
      <c r="H677" s="1106">
        <f>G677*F677</f>
        <v>305550</v>
      </c>
      <c r="J677" s="1557"/>
      <c r="K677" s="1557"/>
      <c r="L677" s="1557"/>
      <c r="M677" s="1619"/>
    </row>
    <row r="678" spans="2:13" s="979" customFormat="1" hidden="1">
      <c r="B678" s="1650"/>
      <c r="C678" s="1332" t="s">
        <v>831</v>
      </c>
      <c r="D678" s="1331"/>
      <c r="E678" s="1331" t="s">
        <v>2646</v>
      </c>
      <c r="F678" s="1334">
        <v>0.312</v>
      </c>
      <c r="G678" s="1104">
        <f>DUB!$I$59</f>
        <v>208463</v>
      </c>
      <c r="H678" s="1106">
        <f>G678*F678</f>
        <v>65040.455999999998</v>
      </c>
      <c r="J678" s="1557"/>
      <c r="K678" s="1557"/>
      <c r="L678" s="1557"/>
      <c r="M678" s="1619"/>
    </row>
    <row r="679" spans="2:13" s="979" customFormat="1" hidden="1">
      <c r="B679" s="1650"/>
      <c r="C679" s="1332" t="s">
        <v>833</v>
      </c>
      <c r="D679" s="1331"/>
      <c r="E679" s="1331" t="s">
        <v>2646</v>
      </c>
      <c r="F679" s="1334">
        <v>0.46800000000000003</v>
      </c>
      <c r="G679" s="1104">
        <f>DUB!$I$57</f>
        <v>202500</v>
      </c>
      <c r="H679" s="1106">
        <f>G679*F679</f>
        <v>94770</v>
      </c>
      <c r="J679" s="1557"/>
      <c r="K679" s="1557"/>
      <c r="L679" s="1557"/>
      <c r="M679" s="1619"/>
    </row>
    <row r="680" spans="2:13" s="979" customFormat="1" hidden="1">
      <c r="B680" s="1650"/>
      <c r="C680" s="1125"/>
      <c r="D680" s="1333"/>
      <c r="E680" s="1333"/>
      <c r="F680" s="2074" t="s">
        <v>702</v>
      </c>
      <c r="G680" s="2074"/>
      <c r="H680" s="1106">
        <f>SUM(H676:H679)</f>
        <v>637584.45600000001</v>
      </c>
      <c r="J680" s="1557"/>
      <c r="K680" s="1557"/>
      <c r="L680" s="1557"/>
      <c r="M680" s="1619"/>
    </row>
    <row r="681" spans="2:13" s="980" customFormat="1" hidden="1">
      <c r="B681" s="1649" t="s">
        <v>703</v>
      </c>
      <c r="C681" s="2075" t="s">
        <v>3764</v>
      </c>
      <c r="D681" s="2075"/>
      <c r="E681" s="2075"/>
      <c r="F681" s="2075"/>
      <c r="G681" s="2075"/>
      <c r="H681" s="1107">
        <f>H674+H680</f>
        <v>1193159.456</v>
      </c>
      <c r="J681" s="1559"/>
      <c r="K681" s="1559"/>
      <c r="L681" s="1559"/>
      <c r="M681" s="1614"/>
    </row>
    <row r="682" spans="2:13" s="980" customFormat="1" hidden="1">
      <c r="B682" s="1649" t="s">
        <v>706</v>
      </c>
      <c r="C682" s="2076" t="s">
        <v>709</v>
      </c>
      <c r="D682" s="2076"/>
      <c r="E682" s="2076"/>
      <c r="F682" s="2077" t="s">
        <v>3873</v>
      </c>
      <c r="G682" s="2077"/>
      <c r="H682" s="1107">
        <f>H681*0.15</f>
        <v>178973.9184</v>
      </c>
      <c r="J682" s="1559"/>
      <c r="K682" s="1559"/>
      <c r="L682" s="1559"/>
      <c r="M682" s="1614"/>
    </row>
    <row r="683" spans="2:13" s="980" customFormat="1" hidden="1">
      <c r="B683" s="1649" t="s">
        <v>708</v>
      </c>
      <c r="C683" s="2078" t="s">
        <v>3765</v>
      </c>
      <c r="D683" s="2078"/>
      <c r="E683" s="2078"/>
      <c r="F683" s="2078"/>
      <c r="G683" s="2078"/>
      <c r="H683" s="1107">
        <f>ROUND(SUM(H681:H682),2)</f>
        <v>1372133.37</v>
      </c>
      <c r="I683" s="981">
        <f>SUM(H681:H682)</f>
        <v>1372133.3744000001</v>
      </c>
      <c r="J683" s="1561"/>
      <c r="K683" s="1561"/>
      <c r="L683" s="1559"/>
      <c r="M683" s="1614"/>
    </row>
    <row r="684" spans="2:13" s="979" customFormat="1" hidden="1">
      <c r="B684" s="1624"/>
      <c r="C684" s="1096"/>
      <c r="D684" s="1095"/>
      <c r="E684" s="1095"/>
      <c r="F684" s="1172"/>
      <c r="G684" s="1173"/>
      <c r="H684" s="1133"/>
      <c r="J684" s="1557"/>
      <c r="K684" s="1557"/>
      <c r="L684" s="1557"/>
      <c r="M684" s="1619"/>
    </row>
    <row r="685" spans="2:13" s="979" customFormat="1" hidden="1">
      <c r="B685" s="1615" t="s">
        <v>4772</v>
      </c>
      <c r="C685" s="1112" t="s">
        <v>4767</v>
      </c>
      <c r="D685" s="1095"/>
      <c r="E685" s="1129"/>
      <c r="F685" s="1131"/>
      <c r="G685" s="1132"/>
      <c r="H685" s="1115"/>
      <c r="J685" s="1557"/>
      <c r="K685" s="1557"/>
      <c r="L685" s="1557"/>
      <c r="M685" s="1619"/>
    </row>
    <row r="686" spans="2:13" s="979" customFormat="1" ht="24.9" hidden="1" customHeight="1">
      <c r="B686" s="1648" t="s">
        <v>1003</v>
      </c>
      <c r="C686" s="1101" t="s">
        <v>1004</v>
      </c>
      <c r="D686" s="1101" t="s">
        <v>1005</v>
      </c>
      <c r="E686" s="1101" t="s">
        <v>1006</v>
      </c>
      <c r="F686" s="1102" t="s">
        <v>1007</v>
      </c>
      <c r="G686" s="1109" t="s">
        <v>2637</v>
      </c>
      <c r="H686" s="1110" t="s">
        <v>2638</v>
      </c>
      <c r="I686" s="982"/>
      <c r="J686" s="1625"/>
      <c r="K686" s="1625"/>
      <c r="L686" s="1557"/>
      <c r="M686" s="1619"/>
    </row>
    <row r="687" spans="2:13" s="979" customFormat="1" hidden="1">
      <c r="B687" s="1649" t="s">
        <v>671</v>
      </c>
      <c r="C687" s="1329" t="s">
        <v>672</v>
      </c>
      <c r="D687" s="1331"/>
      <c r="E687" s="1331"/>
      <c r="F687" s="1334"/>
      <c r="G687" s="1104"/>
      <c r="H687" s="1106"/>
      <c r="J687" s="1557"/>
      <c r="K687" s="1557"/>
      <c r="L687" s="1557"/>
      <c r="M687" s="1619"/>
    </row>
    <row r="688" spans="2:13" s="979" customFormat="1" hidden="1">
      <c r="B688" s="1650"/>
      <c r="C688" s="1332" t="s">
        <v>673</v>
      </c>
      <c r="D688" s="1331" t="s">
        <v>674</v>
      </c>
      <c r="E688" s="1331" t="s">
        <v>675</v>
      </c>
      <c r="F688" s="1334">
        <v>0.75</v>
      </c>
      <c r="G688" s="1104">
        <f>DUB!$I$10</f>
        <v>150000</v>
      </c>
      <c r="H688" s="1106">
        <f>G688*F688</f>
        <v>112500</v>
      </c>
      <c r="J688" s="1557"/>
      <c r="K688" s="1557"/>
      <c r="L688" s="1557"/>
      <c r="M688" s="1619"/>
    </row>
    <row r="689" spans="2:13" s="979" customFormat="1" hidden="1">
      <c r="B689" s="1650"/>
      <c r="C689" s="1332" t="s">
        <v>816</v>
      </c>
      <c r="D689" s="1331" t="s">
        <v>678</v>
      </c>
      <c r="E689" s="1331" t="s">
        <v>675</v>
      </c>
      <c r="F689" s="1334">
        <v>0.3</v>
      </c>
      <c r="G689" s="1104">
        <f>DUB!$I$11</f>
        <v>187000</v>
      </c>
      <c r="H689" s="1106">
        <f>G689*F689</f>
        <v>56100</v>
      </c>
      <c r="J689" s="1557"/>
      <c r="K689" s="1557"/>
      <c r="L689" s="1557"/>
      <c r="M689" s="1619"/>
    </row>
    <row r="690" spans="2:13" s="979" customFormat="1" hidden="1">
      <c r="B690" s="1650"/>
      <c r="C690" s="1332" t="s">
        <v>680</v>
      </c>
      <c r="D690" s="1331" t="s">
        <v>681</v>
      </c>
      <c r="E690" s="1331" t="s">
        <v>675</v>
      </c>
      <c r="F690" s="1334">
        <v>7.0000000000000007E-2</v>
      </c>
      <c r="G690" s="1104">
        <f>DUB!$I$13</f>
        <v>240000</v>
      </c>
      <c r="H690" s="1106">
        <f>G690*F690</f>
        <v>16800</v>
      </c>
      <c r="J690" s="1557"/>
      <c r="K690" s="1557"/>
      <c r="L690" s="1557"/>
      <c r="M690" s="1619"/>
    </row>
    <row r="691" spans="2:13" s="979" customFormat="1" hidden="1">
      <c r="B691" s="1650"/>
      <c r="C691" s="1332" t="s">
        <v>683</v>
      </c>
      <c r="D691" s="1331" t="s">
        <v>684</v>
      </c>
      <c r="E691" s="1331" t="s">
        <v>675</v>
      </c>
      <c r="F691" s="1334">
        <v>1.4999999999999999E-2</v>
      </c>
      <c r="G691" s="1104">
        <f>DUB!$I$12</f>
        <v>225000</v>
      </c>
      <c r="H691" s="1106">
        <f>G691*F691</f>
        <v>3375</v>
      </c>
      <c r="J691" s="1557"/>
      <c r="K691" s="1557"/>
      <c r="L691" s="1557"/>
      <c r="M691" s="1619"/>
    </row>
    <row r="692" spans="2:13" s="979" customFormat="1" hidden="1">
      <c r="B692" s="1650"/>
      <c r="C692" s="1332"/>
      <c r="D692" s="1331"/>
      <c r="E692" s="1331"/>
      <c r="F692" s="2074" t="s">
        <v>685</v>
      </c>
      <c r="G692" s="2074"/>
      <c r="H692" s="1106">
        <f>SUM(H688:H691)</f>
        <v>188775</v>
      </c>
      <c r="J692" s="1557"/>
      <c r="K692" s="1557"/>
      <c r="L692" s="1557"/>
      <c r="M692" s="1619"/>
    </row>
    <row r="693" spans="2:13" s="979" customFormat="1" hidden="1">
      <c r="B693" s="1649" t="s">
        <v>686</v>
      </c>
      <c r="C693" s="1329" t="s">
        <v>687</v>
      </c>
      <c r="D693" s="1331"/>
      <c r="E693" s="1331"/>
      <c r="F693" s="1334"/>
      <c r="G693" s="1104"/>
      <c r="H693" s="1106"/>
      <c r="J693" s="1557"/>
      <c r="K693" s="1557"/>
      <c r="L693" s="1557"/>
      <c r="M693" s="1619"/>
    </row>
    <row r="694" spans="2:13" s="979" customFormat="1" hidden="1">
      <c r="B694" s="1650"/>
      <c r="C694" s="1332" t="s">
        <v>4768</v>
      </c>
      <c r="D694" s="1331"/>
      <c r="E694" s="1331" t="s">
        <v>2646</v>
      </c>
      <c r="F694" s="1334">
        <v>1.2</v>
      </c>
      <c r="G694" s="1104">
        <f>DUB!I39</f>
        <v>382720</v>
      </c>
      <c r="H694" s="1106">
        <f>G694*F694</f>
        <v>459264</v>
      </c>
      <c r="J694" s="1557"/>
      <c r="K694" s="1557"/>
      <c r="L694" s="1557"/>
      <c r="M694" s="1619"/>
    </row>
    <row r="695" spans="2:13" s="979" customFormat="1" hidden="1">
      <c r="B695" s="1650"/>
      <c r="C695" s="1332" t="s">
        <v>4766</v>
      </c>
      <c r="D695" s="1331"/>
      <c r="E695" s="1331" t="s">
        <v>690</v>
      </c>
      <c r="F695" s="1334">
        <v>12.2</v>
      </c>
      <c r="G695" s="1104">
        <f>DUB!I107</f>
        <v>30060</v>
      </c>
      <c r="H695" s="1106">
        <f>G695*F695</f>
        <v>366732</v>
      </c>
      <c r="J695" s="1557"/>
      <c r="K695" s="1557"/>
      <c r="L695" s="1557"/>
      <c r="M695" s="1619"/>
    </row>
    <row r="696" spans="2:13" s="979" customFormat="1" hidden="1">
      <c r="B696" s="1650"/>
      <c r="C696" s="1332" t="s">
        <v>2957</v>
      </c>
      <c r="D696" s="1331"/>
      <c r="E696" s="1331" t="s">
        <v>690</v>
      </c>
      <c r="F696" s="1334">
        <v>30.1</v>
      </c>
      <c r="G696" s="1104">
        <f>DUB!I101</f>
        <v>15300</v>
      </c>
      <c r="H696" s="1106">
        <f>G696*F696</f>
        <v>460530</v>
      </c>
      <c r="J696" s="1557"/>
      <c r="K696" s="1557"/>
      <c r="L696" s="1557"/>
      <c r="M696" s="1619"/>
    </row>
    <row r="697" spans="2:13" s="979" customFormat="1" hidden="1">
      <c r="B697" s="1650"/>
      <c r="C697" s="1125"/>
      <c r="D697" s="1333"/>
      <c r="E697" s="1333"/>
      <c r="F697" s="2074" t="s">
        <v>702</v>
      </c>
      <c r="G697" s="2074"/>
      <c r="H697" s="1106">
        <f>SUM(H694:H696)</f>
        <v>1286526</v>
      </c>
      <c r="J697" s="1557"/>
      <c r="K697" s="1557"/>
      <c r="L697" s="1557"/>
      <c r="M697" s="1619"/>
    </row>
    <row r="698" spans="2:13" s="979" customFormat="1" hidden="1">
      <c r="B698" s="1649" t="s">
        <v>703</v>
      </c>
      <c r="C698" s="2075" t="s">
        <v>3764</v>
      </c>
      <c r="D698" s="2075"/>
      <c r="E698" s="2075"/>
      <c r="F698" s="2075"/>
      <c r="G698" s="2075"/>
      <c r="H698" s="1107">
        <f>H692+H697</f>
        <v>1475301</v>
      </c>
      <c r="I698" s="980"/>
      <c r="J698" s="1559"/>
      <c r="K698" s="1559"/>
      <c r="L698" s="1557"/>
      <c r="M698" s="1619"/>
    </row>
    <row r="699" spans="2:13" s="979" customFormat="1" hidden="1">
      <c r="B699" s="1649" t="s">
        <v>706</v>
      </c>
      <c r="C699" s="2076" t="s">
        <v>709</v>
      </c>
      <c r="D699" s="2076"/>
      <c r="E699" s="2076"/>
      <c r="F699" s="2077" t="s">
        <v>3873</v>
      </c>
      <c r="G699" s="2077"/>
      <c r="H699" s="1107">
        <f>H698*0.15</f>
        <v>221295.15</v>
      </c>
      <c r="I699" s="980"/>
      <c r="J699" s="1559"/>
      <c r="K699" s="1559"/>
      <c r="L699" s="1557"/>
      <c r="M699" s="1619"/>
    </row>
    <row r="700" spans="2:13" s="979" customFormat="1" hidden="1">
      <c r="B700" s="1722" t="s">
        <v>708</v>
      </c>
      <c r="C700" s="2089" t="s">
        <v>3765</v>
      </c>
      <c r="D700" s="2089"/>
      <c r="E700" s="2089"/>
      <c r="F700" s="2089"/>
      <c r="G700" s="2089"/>
      <c r="H700" s="1756">
        <f>ROUND(SUM(H698:H699),2)</f>
        <v>1696596.15</v>
      </c>
      <c r="I700" s="1757">
        <f>SUM(H698:H699)</f>
        <v>1696596.15</v>
      </c>
      <c r="J700" s="1561"/>
      <c r="K700" s="1561"/>
      <c r="L700" s="1557"/>
      <c r="M700" s="1619"/>
    </row>
    <row r="701" spans="2:13" s="979" customFormat="1">
      <c r="B701" s="1741"/>
      <c r="C701" s="1742"/>
      <c r="D701" s="1741"/>
      <c r="E701" s="1741"/>
      <c r="F701" s="1743"/>
      <c r="G701" s="1744"/>
      <c r="H701" s="1745"/>
      <c r="I701" s="1758"/>
      <c r="J701" s="1641"/>
      <c r="K701" s="1641"/>
      <c r="L701" s="1641"/>
      <c r="M701" s="1747"/>
    </row>
    <row r="702" spans="2:13" s="979" customFormat="1">
      <c r="B702" s="1100" t="s">
        <v>3906</v>
      </c>
      <c r="C702" s="1232" t="s">
        <v>2689</v>
      </c>
      <c r="D702" s="1095"/>
      <c r="E702" s="1095"/>
      <c r="F702" s="1172"/>
      <c r="G702" s="1173"/>
      <c r="H702" s="1133"/>
      <c r="J702" s="1557"/>
      <c r="K702" s="1557"/>
      <c r="L702" s="1557"/>
      <c r="M702" s="1566"/>
    </row>
    <row r="703" spans="2:13">
      <c r="B703" s="1150" t="s">
        <v>3907</v>
      </c>
      <c r="C703" s="1232" t="s">
        <v>2690</v>
      </c>
      <c r="F703" s="1172"/>
      <c r="G703" s="1173"/>
      <c r="H703" s="1133"/>
      <c r="M703" s="1566"/>
    </row>
    <row r="704" spans="2:13" s="507" customFormat="1" ht="24.9" customHeight="1">
      <c r="B704" s="1727" t="s">
        <v>1003</v>
      </c>
      <c r="C704" s="1736" t="s">
        <v>1004</v>
      </c>
      <c r="D704" s="1728" t="s">
        <v>1005</v>
      </c>
      <c r="E704" s="1728" t="s">
        <v>1006</v>
      </c>
      <c r="F704" s="1729" t="s">
        <v>1007</v>
      </c>
      <c r="G704" s="1866" t="s">
        <v>2637</v>
      </c>
      <c r="H704" s="1867" t="s">
        <v>2638</v>
      </c>
      <c r="I704" s="1739"/>
      <c r="J704" s="1605" t="s">
        <v>5335</v>
      </c>
      <c r="K704" s="1603" t="s">
        <v>5336</v>
      </c>
      <c r="L704" s="1603" t="s">
        <v>5337</v>
      </c>
      <c r="M704" s="1604" t="s">
        <v>5338</v>
      </c>
    </row>
    <row r="705" spans="2:13">
      <c r="B705" s="1733" t="s">
        <v>671</v>
      </c>
      <c r="C705" s="1537" t="s">
        <v>672</v>
      </c>
      <c r="D705" s="1331"/>
      <c r="E705" s="1331"/>
      <c r="F705" s="1334"/>
      <c r="G705" s="1104"/>
      <c r="H705" s="1106"/>
      <c r="J705" s="1597"/>
      <c r="K705" s="1597"/>
      <c r="L705" s="1597"/>
      <c r="M705" s="1563"/>
    </row>
    <row r="706" spans="2:13">
      <c r="B706" s="1182"/>
      <c r="C706" s="1536" t="s">
        <v>673</v>
      </c>
      <c r="D706" s="1331" t="s">
        <v>674</v>
      </c>
      <c r="E706" s="1331" t="s">
        <v>675</v>
      </c>
      <c r="F706" s="1334">
        <v>1.65</v>
      </c>
      <c r="G706" s="1104">
        <f>DUB!$I$10</f>
        <v>150000</v>
      </c>
      <c r="H706" s="1106">
        <f>G706*F706</f>
        <v>247500</v>
      </c>
      <c r="J706" s="1609" t="s">
        <v>5339</v>
      </c>
      <c r="K706" s="1611">
        <v>1</v>
      </c>
      <c r="L706" s="1608" t="s">
        <v>5340</v>
      </c>
      <c r="M706" s="1610">
        <f>H706*K706</f>
        <v>247500</v>
      </c>
    </row>
    <row r="707" spans="2:13">
      <c r="B707" s="1182"/>
      <c r="C707" s="1536" t="s">
        <v>816</v>
      </c>
      <c r="D707" s="1331" t="s">
        <v>678</v>
      </c>
      <c r="E707" s="1331" t="s">
        <v>675</v>
      </c>
      <c r="F707" s="1334">
        <v>0.27500000000000002</v>
      </c>
      <c r="G707" s="1104">
        <f>DUB!$I$11</f>
        <v>187000</v>
      </c>
      <c r="H707" s="1106">
        <f>G707*F707</f>
        <v>51425.000000000007</v>
      </c>
      <c r="J707" s="1609" t="s">
        <v>5339</v>
      </c>
      <c r="K707" s="1611">
        <v>1</v>
      </c>
      <c r="L707" s="1608" t="s">
        <v>5340</v>
      </c>
      <c r="M707" s="1610">
        <f t="shared" ref="M707:M709" si="9">H707*K707</f>
        <v>51425.000000000007</v>
      </c>
    </row>
    <row r="708" spans="2:13">
      <c r="B708" s="1182"/>
      <c r="C708" s="1536" t="s">
        <v>680</v>
      </c>
      <c r="D708" s="1331" t="s">
        <v>681</v>
      </c>
      <c r="E708" s="1331" t="s">
        <v>675</v>
      </c>
      <c r="F708" s="1334">
        <v>2.8000000000000001E-2</v>
      </c>
      <c r="G708" s="1104">
        <f>DUB!$I$13</f>
        <v>240000</v>
      </c>
      <c r="H708" s="1106">
        <f>G708*F708</f>
        <v>6720</v>
      </c>
      <c r="J708" s="1609" t="s">
        <v>5339</v>
      </c>
      <c r="K708" s="1611">
        <v>1</v>
      </c>
      <c r="L708" s="1608" t="s">
        <v>5340</v>
      </c>
      <c r="M708" s="1610">
        <f t="shared" si="9"/>
        <v>6720</v>
      </c>
    </row>
    <row r="709" spans="2:13">
      <c r="B709" s="1182"/>
      <c r="C709" s="1536" t="s">
        <v>683</v>
      </c>
      <c r="D709" s="1331" t="s">
        <v>684</v>
      </c>
      <c r="E709" s="1331" t="s">
        <v>675</v>
      </c>
      <c r="F709" s="1334">
        <v>8.3000000000000004E-2</v>
      </c>
      <c r="G709" s="1104">
        <f>DUB!$I$12</f>
        <v>225000</v>
      </c>
      <c r="H709" s="1106">
        <f>G709*F709</f>
        <v>18675</v>
      </c>
      <c r="J709" s="1609" t="s">
        <v>5339</v>
      </c>
      <c r="K709" s="1611">
        <v>1</v>
      </c>
      <c r="L709" s="1608" t="s">
        <v>5340</v>
      </c>
      <c r="M709" s="1610">
        <f t="shared" si="9"/>
        <v>18675</v>
      </c>
    </row>
    <row r="710" spans="2:13">
      <c r="B710" s="1182"/>
      <c r="C710" s="1536"/>
      <c r="D710" s="1331"/>
      <c r="E710" s="1331"/>
      <c r="F710" s="2074" t="s">
        <v>685</v>
      </c>
      <c r="G710" s="2074"/>
      <c r="H710" s="1106">
        <f>SUM(H706:H709)</f>
        <v>324320</v>
      </c>
      <c r="J710" s="1597"/>
      <c r="K710" s="1597"/>
      <c r="L710" s="1597"/>
      <c r="M710" s="1564">
        <f>SUM(M706:M709)</f>
        <v>324320</v>
      </c>
    </row>
    <row r="711" spans="2:13">
      <c r="B711" s="1733" t="s">
        <v>686</v>
      </c>
      <c r="C711" s="1537" t="s">
        <v>687</v>
      </c>
      <c r="D711" s="1331"/>
      <c r="E711" s="1331"/>
      <c r="F711" s="1334"/>
      <c r="G711" s="1104"/>
      <c r="H711" s="1106"/>
      <c r="J711" s="1597"/>
      <c r="K711" s="1597"/>
      <c r="L711" s="1597"/>
      <c r="M711" s="1563"/>
    </row>
    <row r="712" spans="2:13">
      <c r="B712" s="1182"/>
      <c r="C712" s="1536" t="s">
        <v>738</v>
      </c>
      <c r="D712" s="1331"/>
      <c r="E712" s="1331" t="s">
        <v>773</v>
      </c>
      <c r="F712" s="1334">
        <v>247</v>
      </c>
      <c r="G712" s="1104">
        <f>DUB!$I$65</f>
        <v>1575</v>
      </c>
      <c r="H712" s="1106">
        <f>G712*F712</f>
        <v>389025</v>
      </c>
      <c r="J712" s="1634" t="s">
        <v>4925</v>
      </c>
      <c r="K712" s="1611">
        <v>0.97009999999999996</v>
      </c>
      <c r="L712" s="1607" t="s">
        <v>5343</v>
      </c>
      <c r="M712" s="1610">
        <f>H712*K712</f>
        <v>377393.15249999997</v>
      </c>
    </row>
    <row r="713" spans="2:13">
      <c r="B713" s="1182"/>
      <c r="C713" s="1536" t="s">
        <v>831</v>
      </c>
      <c r="D713" s="1331"/>
      <c r="E713" s="1331" t="s">
        <v>773</v>
      </c>
      <c r="F713" s="1334">
        <v>869</v>
      </c>
      <c r="G713" s="1104">
        <f>DUB!$I$60</f>
        <v>208.46299999999999</v>
      </c>
      <c r="H713" s="1106">
        <f>G713*F713</f>
        <v>181154.34700000001</v>
      </c>
      <c r="J713" s="1607" t="s">
        <v>5341</v>
      </c>
      <c r="K713" s="1611">
        <v>1</v>
      </c>
      <c r="L713" s="1607" t="s">
        <v>5341</v>
      </c>
      <c r="M713" s="1610">
        <f>H713*K713</f>
        <v>181154.34700000001</v>
      </c>
    </row>
    <row r="714" spans="2:13">
      <c r="B714" s="1182"/>
      <c r="C714" s="1536" t="s">
        <v>841</v>
      </c>
      <c r="D714" s="1331"/>
      <c r="E714" s="1331" t="s">
        <v>773</v>
      </c>
      <c r="F714" s="1334">
        <v>999</v>
      </c>
      <c r="G714" s="1104">
        <f>DUB!$I$58</f>
        <v>225</v>
      </c>
      <c r="H714" s="1106">
        <f>G714*F714</f>
        <v>224775</v>
      </c>
      <c r="J714" s="1607" t="s">
        <v>5341</v>
      </c>
      <c r="K714" s="1611">
        <v>1</v>
      </c>
      <c r="L714" s="1607" t="s">
        <v>5341</v>
      </c>
      <c r="M714" s="1610">
        <f>H714*K714</f>
        <v>224775</v>
      </c>
    </row>
    <row r="715" spans="2:13">
      <c r="B715" s="1182"/>
      <c r="C715" s="1536" t="s">
        <v>842</v>
      </c>
      <c r="D715" s="1331"/>
      <c r="E715" s="1331" t="s">
        <v>701</v>
      </c>
      <c r="F715" s="1334">
        <v>215</v>
      </c>
      <c r="G715" s="1104">
        <f>DUB!$I$33</f>
        <v>44</v>
      </c>
      <c r="H715" s="1106">
        <f>G715*F715</f>
        <v>9460</v>
      </c>
      <c r="J715" s="1607" t="s">
        <v>5341</v>
      </c>
      <c r="K715" s="1611">
        <v>1</v>
      </c>
      <c r="L715" s="1607" t="s">
        <v>5341</v>
      </c>
      <c r="M715" s="1610">
        <f>H715*K715</f>
        <v>9460</v>
      </c>
    </row>
    <row r="716" spans="2:13">
      <c r="B716" s="1182"/>
      <c r="C716" s="1155"/>
      <c r="D716" s="1333"/>
      <c r="E716" s="1333"/>
      <c r="F716" s="2074" t="s">
        <v>702</v>
      </c>
      <c r="G716" s="2074"/>
      <c r="H716" s="1106">
        <f>SUM(H712:H715)</f>
        <v>804414.34700000007</v>
      </c>
      <c r="J716" s="1600"/>
      <c r="L716" s="1600"/>
      <c r="M716" s="1564">
        <f>SUM(M712:M715)</f>
        <v>792782.49949999992</v>
      </c>
    </row>
    <row r="717" spans="2:13" s="496" customFormat="1">
      <c r="B717" s="1733" t="s">
        <v>703</v>
      </c>
      <c r="C717" s="2075" t="s">
        <v>3764</v>
      </c>
      <c r="D717" s="2075"/>
      <c r="E717" s="2075"/>
      <c r="F717" s="2075"/>
      <c r="G717" s="2075"/>
      <c r="H717" s="1107">
        <f>H710+H716</f>
        <v>1128734.3470000001</v>
      </c>
      <c r="J717" s="1600"/>
      <c r="K717" s="1633">
        <f>M717/H717</f>
        <v>0.98969478732447913</v>
      </c>
      <c r="L717" s="1600"/>
      <c r="M717" s="1564">
        <f>M716+M710</f>
        <v>1117102.4994999999</v>
      </c>
    </row>
    <row r="718" spans="2:13" s="496" customFormat="1">
      <c r="B718" s="1733" t="s">
        <v>706</v>
      </c>
      <c r="C718" s="2076" t="s">
        <v>709</v>
      </c>
      <c r="D718" s="2076"/>
      <c r="E718" s="2076"/>
      <c r="F718" s="2077" t="s">
        <v>3873</v>
      </c>
      <c r="G718" s="2077"/>
      <c r="H718" s="1107">
        <f>H717*0.15</f>
        <v>169310.15205</v>
      </c>
      <c r="J718" s="1602"/>
      <c r="K718" s="1602"/>
      <c r="L718" s="1600"/>
      <c r="M718" s="1564">
        <f>M717*0.15</f>
        <v>167565.37492499998</v>
      </c>
    </row>
    <row r="719" spans="2:13" s="496" customFormat="1">
      <c r="B719" s="1734" t="s">
        <v>708</v>
      </c>
      <c r="C719" s="2109" t="s">
        <v>3765</v>
      </c>
      <c r="D719" s="2109"/>
      <c r="E719" s="2109"/>
      <c r="F719" s="2109"/>
      <c r="G719" s="2109"/>
      <c r="H719" s="1857">
        <f>ROUND(SUM(H717:H718),2)</f>
        <v>1298044.5</v>
      </c>
      <c r="I719" s="1873">
        <f>SUM(H717:H718)</f>
        <v>1298044.49905</v>
      </c>
      <c r="J719" s="1885"/>
      <c r="K719" s="1885"/>
      <c r="L719" s="1886"/>
      <c r="M719" s="1917">
        <f>SUM(M717:M718)</f>
        <v>1284667.8744249998</v>
      </c>
    </row>
    <row r="720" spans="2:13">
      <c r="B720" s="1751"/>
      <c r="C720" s="1752"/>
      <c r="D720" s="1751"/>
      <c r="E720" s="1751"/>
      <c r="F720" s="1753"/>
      <c r="G720" s="1754"/>
      <c r="H720" s="1755"/>
      <c r="I720" s="1746"/>
      <c r="J720" s="1641"/>
      <c r="K720" s="1641"/>
      <c r="L720" s="1641"/>
      <c r="M720" s="1747"/>
    </row>
    <row r="721" spans="2:13" s="979" customFormat="1" hidden="1">
      <c r="B721" s="1150" t="s">
        <v>3908</v>
      </c>
      <c r="C721" s="1112" t="s">
        <v>2691</v>
      </c>
      <c r="D721" s="1129"/>
      <c r="E721" s="1129"/>
      <c r="F721" s="1131"/>
      <c r="G721" s="1132"/>
      <c r="H721" s="1115"/>
      <c r="J721" s="1557"/>
      <c r="K721" s="1557"/>
      <c r="L721" s="1557"/>
      <c r="M721" s="1566"/>
    </row>
    <row r="722" spans="2:13" s="982" customFormat="1" ht="24.9" hidden="1" customHeight="1">
      <c r="B722" s="1748" t="s">
        <v>1003</v>
      </c>
      <c r="C722" s="1101" t="s">
        <v>1004</v>
      </c>
      <c r="D722" s="1116" t="s">
        <v>1005</v>
      </c>
      <c r="E722" s="1116" t="s">
        <v>1006</v>
      </c>
      <c r="F722" s="1102" t="s">
        <v>1007</v>
      </c>
      <c r="G722" s="1109" t="s">
        <v>3909</v>
      </c>
      <c r="H722" s="1110" t="s">
        <v>2638</v>
      </c>
      <c r="J722" s="1625"/>
      <c r="K722" s="1625"/>
      <c r="L722" s="1625"/>
      <c r="M722" s="1570"/>
    </row>
    <row r="723" spans="2:13" s="979" customFormat="1" hidden="1">
      <c r="B723" s="1543" t="s">
        <v>671</v>
      </c>
      <c r="C723" s="1329" t="s">
        <v>672</v>
      </c>
      <c r="D723" s="1539"/>
      <c r="E723" s="1539"/>
      <c r="F723" s="1334"/>
      <c r="G723" s="1104"/>
      <c r="H723" s="1106"/>
      <c r="J723" s="1557"/>
      <c r="K723" s="1557"/>
      <c r="L723" s="1557"/>
      <c r="M723" s="1566"/>
    </row>
    <row r="724" spans="2:13" s="979" customFormat="1" hidden="1">
      <c r="B724" s="1540"/>
      <c r="C724" s="1332" t="s">
        <v>673</v>
      </c>
      <c r="D724" s="1539" t="s">
        <v>674</v>
      </c>
      <c r="E724" s="1539" t="s">
        <v>675</v>
      </c>
      <c r="F724" s="1334">
        <v>1.65</v>
      </c>
      <c r="G724" s="1104">
        <f>DUB!$I$10</f>
        <v>150000</v>
      </c>
      <c r="H724" s="1106">
        <f>G724*F724</f>
        <v>247500</v>
      </c>
      <c r="J724" s="1557"/>
      <c r="K724" s="1557"/>
      <c r="L724" s="1557"/>
      <c r="M724" s="1566"/>
    </row>
    <row r="725" spans="2:13" s="979" customFormat="1" hidden="1">
      <c r="B725" s="1540"/>
      <c r="C725" s="1332" t="s">
        <v>816</v>
      </c>
      <c r="D725" s="1539" t="s">
        <v>678</v>
      </c>
      <c r="E725" s="1539" t="s">
        <v>675</v>
      </c>
      <c r="F725" s="1334">
        <v>0.27500000000000002</v>
      </c>
      <c r="G725" s="1104">
        <f>DUB!$I$11</f>
        <v>187000</v>
      </c>
      <c r="H725" s="1106">
        <f>G725*F725</f>
        <v>51425.000000000007</v>
      </c>
      <c r="J725" s="1557"/>
      <c r="K725" s="1557"/>
      <c r="L725" s="1557"/>
      <c r="M725" s="1566"/>
    </row>
    <row r="726" spans="2:13" s="979" customFormat="1" hidden="1">
      <c r="B726" s="1540"/>
      <c r="C726" s="1332" t="s">
        <v>680</v>
      </c>
      <c r="D726" s="1539" t="s">
        <v>681</v>
      </c>
      <c r="E726" s="1539" t="s">
        <v>675</v>
      </c>
      <c r="F726" s="1334">
        <v>2.8000000000000001E-2</v>
      </c>
      <c r="G726" s="1104">
        <f>DUB!$I$13</f>
        <v>240000</v>
      </c>
      <c r="H726" s="1106">
        <f>G726*F726</f>
        <v>6720</v>
      </c>
      <c r="J726" s="1557"/>
      <c r="K726" s="1557"/>
      <c r="L726" s="1557"/>
      <c r="M726" s="1566"/>
    </row>
    <row r="727" spans="2:13" s="979" customFormat="1" hidden="1">
      <c r="B727" s="1540"/>
      <c r="C727" s="1332" t="s">
        <v>683</v>
      </c>
      <c r="D727" s="1539" t="s">
        <v>684</v>
      </c>
      <c r="E727" s="1539" t="s">
        <v>675</v>
      </c>
      <c r="F727" s="1334">
        <v>8.3000000000000004E-2</v>
      </c>
      <c r="G727" s="1104">
        <f>DUB!$I$12</f>
        <v>225000</v>
      </c>
      <c r="H727" s="1106">
        <f>G727*F727</f>
        <v>18675</v>
      </c>
      <c r="J727" s="1557"/>
      <c r="K727" s="1557"/>
      <c r="L727" s="1557"/>
      <c r="M727" s="1566"/>
    </row>
    <row r="728" spans="2:13" s="979" customFormat="1" hidden="1">
      <c r="B728" s="1540"/>
      <c r="C728" s="1332"/>
      <c r="D728" s="1540"/>
      <c r="E728" s="1539"/>
      <c r="F728" s="2074" t="s">
        <v>685</v>
      </c>
      <c r="G728" s="2074"/>
      <c r="H728" s="1106">
        <f>SUM(H724:H727)</f>
        <v>324320</v>
      </c>
      <c r="J728" s="1557"/>
      <c r="K728" s="1557"/>
      <c r="L728" s="1557"/>
      <c r="M728" s="1566"/>
    </row>
    <row r="729" spans="2:13" s="979" customFormat="1" hidden="1">
      <c r="B729" s="1543" t="s">
        <v>686</v>
      </c>
      <c r="C729" s="1329" t="s">
        <v>687</v>
      </c>
      <c r="D729" s="1540"/>
      <c r="E729" s="1539"/>
      <c r="F729" s="1334"/>
      <c r="G729" s="1104"/>
      <c r="H729" s="1106"/>
      <c r="J729" s="1557"/>
      <c r="K729" s="1557"/>
      <c r="L729" s="1557"/>
      <c r="M729" s="1566"/>
    </row>
    <row r="730" spans="2:13" s="979" customFormat="1" hidden="1">
      <c r="B730" s="1540"/>
      <c r="C730" s="1536" t="s">
        <v>738</v>
      </c>
      <c r="D730" s="1540"/>
      <c r="E730" s="1539" t="s">
        <v>773</v>
      </c>
      <c r="F730" s="1334">
        <v>276</v>
      </c>
      <c r="G730" s="1104">
        <f>DUB!$I$65</f>
        <v>1575</v>
      </c>
      <c r="H730" s="1106">
        <f>G730*F730</f>
        <v>434700</v>
      </c>
      <c r="J730" s="1557"/>
      <c r="K730" s="1557"/>
      <c r="L730" s="1557"/>
      <c r="M730" s="1566"/>
    </row>
    <row r="731" spans="2:13" s="979" customFormat="1" hidden="1">
      <c r="B731" s="1540"/>
      <c r="C731" s="1536" t="s">
        <v>831</v>
      </c>
      <c r="D731" s="1540"/>
      <c r="E731" s="1539" t="s">
        <v>773</v>
      </c>
      <c r="F731" s="1334">
        <v>828</v>
      </c>
      <c r="G731" s="1104">
        <f>DUB!$I$60</f>
        <v>208.46299999999999</v>
      </c>
      <c r="H731" s="1106">
        <f>G731*F731</f>
        <v>172607.364</v>
      </c>
      <c r="J731" s="1557"/>
      <c r="K731" s="1557"/>
      <c r="L731" s="1557"/>
      <c r="M731" s="1566"/>
    </row>
    <row r="732" spans="2:13" s="979" customFormat="1" hidden="1">
      <c r="B732" s="1540"/>
      <c r="C732" s="1536" t="s">
        <v>841</v>
      </c>
      <c r="D732" s="1540"/>
      <c r="E732" s="1539" t="s">
        <v>773</v>
      </c>
      <c r="F732" s="1334">
        <v>1012</v>
      </c>
      <c r="G732" s="1104">
        <f>DUB!$I$58</f>
        <v>225</v>
      </c>
      <c r="H732" s="1106">
        <f>G732*F732</f>
        <v>227700</v>
      </c>
      <c r="J732" s="1557"/>
      <c r="K732" s="1557"/>
      <c r="L732" s="1557"/>
      <c r="M732" s="1566"/>
    </row>
    <row r="733" spans="2:13" s="979" customFormat="1" hidden="1">
      <c r="B733" s="1540"/>
      <c r="C733" s="1536" t="s">
        <v>842</v>
      </c>
      <c r="D733" s="1540"/>
      <c r="E733" s="1539" t="s">
        <v>701</v>
      </c>
      <c r="F733" s="1334">
        <v>215</v>
      </c>
      <c r="G733" s="1104">
        <f>DUB!$I$33</f>
        <v>44</v>
      </c>
      <c r="H733" s="1106">
        <f>G733*F733</f>
        <v>9460</v>
      </c>
      <c r="J733" s="1557"/>
      <c r="K733" s="1557"/>
      <c r="L733" s="1557"/>
      <c r="M733" s="1566"/>
    </row>
    <row r="734" spans="2:13" s="979" customFormat="1" hidden="1">
      <c r="B734" s="1540"/>
      <c r="C734" s="1125"/>
      <c r="D734" s="1547"/>
      <c r="E734" s="1333"/>
      <c r="F734" s="2074" t="s">
        <v>702</v>
      </c>
      <c r="G734" s="2074"/>
      <c r="H734" s="1106">
        <f>SUM(H730:H733)</f>
        <v>844467.36400000006</v>
      </c>
      <c r="J734" s="1557"/>
      <c r="K734" s="1557"/>
      <c r="L734" s="1557"/>
      <c r="M734" s="1566"/>
    </row>
    <row r="735" spans="2:13" s="980" customFormat="1" hidden="1">
      <c r="B735" s="1543" t="s">
        <v>703</v>
      </c>
      <c r="C735" s="2075" t="s">
        <v>3764</v>
      </c>
      <c r="D735" s="2075"/>
      <c r="E735" s="2075"/>
      <c r="F735" s="2075"/>
      <c r="G735" s="2075"/>
      <c r="H735" s="1107">
        <f>H728+H734</f>
        <v>1168787.3640000001</v>
      </c>
      <c r="J735" s="1559"/>
      <c r="K735" s="1559"/>
      <c r="L735" s="1559"/>
      <c r="M735" s="1635"/>
    </row>
    <row r="736" spans="2:13" s="980" customFormat="1" hidden="1">
      <c r="B736" s="1543" t="s">
        <v>706</v>
      </c>
      <c r="C736" s="2076" t="s">
        <v>709</v>
      </c>
      <c r="D736" s="2076"/>
      <c r="E736" s="2076"/>
      <c r="F736" s="2077" t="s">
        <v>3873</v>
      </c>
      <c r="G736" s="2077"/>
      <c r="H736" s="1107">
        <f>H735*0.15</f>
        <v>175318.10459999999</v>
      </c>
      <c r="J736" s="1559"/>
      <c r="K736" s="1559"/>
      <c r="L736" s="1559"/>
      <c r="M736" s="1635"/>
    </row>
    <row r="737" spans="2:13" s="980" customFormat="1" hidden="1">
      <c r="B737" s="1543" t="s">
        <v>708</v>
      </c>
      <c r="C737" s="2078" t="s">
        <v>3765</v>
      </c>
      <c r="D737" s="2078"/>
      <c r="E737" s="2078"/>
      <c r="F737" s="2078"/>
      <c r="G737" s="2078"/>
      <c r="H737" s="1107">
        <f>ROUND(SUM(H735:H736),2)</f>
        <v>1344105.47</v>
      </c>
      <c r="I737" s="981">
        <f>SUM(H735:H736)</f>
        <v>1344105.4686</v>
      </c>
      <c r="J737" s="1561"/>
      <c r="K737" s="1561"/>
      <c r="L737" s="1559"/>
      <c r="M737" s="1635"/>
    </row>
    <row r="738" spans="2:13" s="979" customFormat="1" hidden="1">
      <c r="B738" s="1095"/>
      <c r="C738" s="1096"/>
      <c r="D738" s="1095"/>
      <c r="E738" s="1095"/>
      <c r="F738" s="1172"/>
      <c r="G738" s="1173"/>
      <c r="H738" s="1133"/>
      <c r="J738" s="1557"/>
      <c r="K738" s="1557"/>
      <c r="L738" s="1557"/>
      <c r="M738" s="1566"/>
    </row>
    <row r="739" spans="2:13" s="979" customFormat="1" hidden="1">
      <c r="B739" s="1150" t="s">
        <v>2692</v>
      </c>
      <c r="C739" s="1232" t="s">
        <v>2693</v>
      </c>
      <c r="D739" s="1095"/>
      <c r="E739" s="1095"/>
      <c r="F739" s="1172"/>
      <c r="G739" s="1173"/>
      <c r="H739" s="1133"/>
      <c r="J739" s="1557"/>
      <c r="K739" s="1557"/>
      <c r="L739" s="1557"/>
      <c r="M739" s="1566"/>
    </row>
    <row r="740" spans="2:13" s="979" customFormat="1" hidden="1">
      <c r="B740" s="1759" t="s">
        <v>1003</v>
      </c>
      <c r="C740" s="1157" t="s">
        <v>1004</v>
      </c>
      <c r="D740" s="1156" t="s">
        <v>1005</v>
      </c>
      <c r="E740" s="1156" t="s">
        <v>1006</v>
      </c>
      <c r="F740" s="1158" t="s">
        <v>1007</v>
      </c>
      <c r="G740" s="1159" t="s">
        <v>2637</v>
      </c>
      <c r="H740" s="1107" t="s">
        <v>2638</v>
      </c>
      <c r="J740" s="1557"/>
      <c r="K740" s="1557"/>
      <c r="L740" s="1557"/>
      <c r="M740" s="1566"/>
    </row>
    <row r="741" spans="2:13" s="979" customFormat="1" hidden="1">
      <c r="B741" s="1543" t="s">
        <v>671</v>
      </c>
      <c r="C741" s="1329" t="s">
        <v>672</v>
      </c>
      <c r="D741" s="1331"/>
      <c r="E741" s="1331"/>
      <c r="F741" s="1334"/>
      <c r="G741" s="1104"/>
      <c r="H741" s="1106"/>
      <c r="J741" s="1557"/>
      <c r="K741" s="1557"/>
      <c r="L741" s="1557"/>
      <c r="M741" s="1566"/>
    </row>
    <row r="742" spans="2:13" s="979" customFormat="1" hidden="1">
      <c r="B742" s="1540"/>
      <c r="C742" s="1332" t="s">
        <v>673</v>
      </c>
      <c r="D742" s="1331" t="s">
        <v>674</v>
      </c>
      <c r="E742" s="1331" t="s">
        <v>675</v>
      </c>
      <c r="F742" s="1334">
        <v>1.65</v>
      </c>
      <c r="G742" s="1104">
        <f>DUB!$I$10</f>
        <v>150000</v>
      </c>
      <c r="H742" s="1106">
        <f>G742*F742</f>
        <v>247500</v>
      </c>
      <c r="J742" s="1557"/>
      <c r="K742" s="1557"/>
      <c r="L742" s="1557"/>
      <c r="M742" s="1566"/>
    </row>
    <row r="743" spans="2:13" s="979" customFormat="1" hidden="1">
      <c r="B743" s="1540"/>
      <c r="C743" s="1332" t="s">
        <v>816</v>
      </c>
      <c r="D743" s="1331" t="s">
        <v>678</v>
      </c>
      <c r="E743" s="1331" t="s">
        <v>675</v>
      </c>
      <c r="F743" s="1334">
        <v>0.27500000000000002</v>
      </c>
      <c r="G743" s="1104">
        <f>DUB!$I$11</f>
        <v>187000</v>
      </c>
      <c r="H743" s="1106">
        <f>G743*F743</f>
        <v>51425.000000000007</v>
      </c>
      <c r="J743" s="1557"/>
      <c r="K743" s="1557"/>
      <c r="L743" s="1557"/>
      <c r="M743" s="1566"/>
    </row>
    <row r="744" spans="2:13" s="979" customFormat="1" hidden="1">
      <c r="B744" s="1540"/>
      <c r="C744" s="1332" t="s">
        <v>680</v>
      </c>
      <c r="D744" s="1331" t="s">
        <v>681</v>
      </c>
      <c r="E744" s="1331" t="s">
        <v>675</v>
      </c>
      <c r="F744" s="1334">
        <v>2.8000000000000001E-2</v>
      </c>
      <c r="G744" s="1104">
        <f>DUB!$I$13</f>
        <v>240000</v>
      </c>
      <c r="H744" s="1106">
        <f>G744*F744</f>
        <v>6720</v>
      </c>
      <c r="J744" s="1557"/>
      <c r="K744" s="1557"/>
      <c r="L744" s="1557"/>
      <c r="M744" s="1566"/>
    </row>
    <row r="745" spans="2:13" s="979" customFormat="1" hidden="1">
      <c r="B745" s="1540"/>
      <c r="C745" s="1332" t="s">
        <v>683</v>
      </c>
      <c r="D745" s="1331" t="s">
        <v>684</v>
      </c>
      <c r="E745" s="1331" t="s">
        <v>675</v>
      </c>
      <c r="F745" s="1334">
        <v>8.3000000000000004E-2</v>
      </c>
      <c r="G745" s="1104">
        <f>DUB!$I$12</f>
        <v>225000</v>
      </c>
      <c r="H745" s="1106">
        <f>G745*F745</f>
        <v>18675</v>
      </c>
      <c r="J745" s="1557"/>
      <c r="K745" s="1557"/>
      <c r="L745" s="1557"/>
      <c r="M745" s="1566"/>
    </row>
    <row r="746" spans="2:13" s="979" customFormat="1" hidden="1">
      <c r="B746" s="1540"/>
      <c r="C746" s="1332"/>
      <c r="D746" s="1331"/>
      <c r="E746" s="1331"/>
      <c r="F746" s="2074" t="s">
        <v>685</v>
      </c>
      <c r="G746" s="2074"/>
      <c r="H746" s="1106">
        <f>SUM(H742:H745)</f>
        <v>324320</v>
      </c>
      <c r="J746" s="1557"/>
      <c r="K746" s="1557"/>
      <c r="L746" s="1557"/>
      <c r="M746" s="1566"/>
    </row>
    <row r="747" spans="2:13" s="979" customFormat="1" hidden="1">
      <c r="B747" s="1543" t="s">
        <v>686</v>
      </c>
      <c r="C747" s="1329" t="s">
        <v>687</v>
      </c>
      <c r="D747" s="1331"/>
      <c r="E747" s="1331"/>
      <c r="F747" s="1334"/>
      <c r="G747" s="1104"/>
      <c r="H747" s="1106"/>
      <c r="J747" s="1557"/>
      <c r="K747" s="1557"/>
      <c r="L747" s="1557"/>
      <c r="M747" s="1566"/>
    </row>
    <row r="748" spans="2:13" s="979" customFormat="1" hidden="1">
      <c r="B748" s="1540"/>
      <c r="C748" s="1332" t="s">
        <v>738</v>
      </c>
      <c r="D748" s="1331"/>
      <c r="E748" s="1331" t="s">
        <v>773</v>
      </c>
      <c r="F748" s="1334">
        <v>299</v>
      </c>
      <c r="G748" s="1104">
        <f>DUB!$I$65</f>
        <v>1575</v>
      </c>
      <c r="H748" s="1106">
        <f>G748*F748</f>
        <v>470925</v>
      </c>
      <c r="J748" s="1557"/>
      <c r="K748" s="1557"/>
      <c r="L748" s="1557"/>
      <c r="M748" s="1566"/>
    </row>
    <row r="749" spans="2:13" s="979" customFormat="1" hidden="1">
      <c r="B749" s="1540"/>
      <c r="C749" s="1332" t="s">
        <v>831</v>
      </c>
      <c r="D749" s="1331"/>
      <c r="E749" s="1331" t="s">
        <v>773</v>
      </c>
      <c r="F749" s="1334">
        <v>799</v>
      </c>
      <c r="G749" s="1104">
        <f>DUB!$I$60</f>
        <v>208.46299999999999</v>
      </c>
      <c r="H749" s="1106">
        <f>G749*F749</f>
        <v>166561.93700000001</v>
      </c>
      <c r="J749" s="1557"/>
      <c r="K749" s="1557"/>
      <c r="L749" s="1557"/>
      <c r="M749" s="1566"/>
    </row>
    <row r="750" spans="2:13" s="979" customFormat="1" hidden="1">
      <c r="B750" s="1540"/>
      <c r="C750" s="1332" t="s">
        <v>843</v>
      </c>
      <c r="D750" s="1331"/>
      <c r="E750" s="1331" t="s">
        <v>773</v>
      </c>
      <c r="F750" s="1334">
        <v>1017</v>
      </c>
      <c r="G750" s="1104">
        <f>DUB!$I$58</f>
        <v>225</v>
      </c>
      <c r="H750" s="1106">
        <f>G750*F750</f>
        <v>228825</v>
      </c>
      <c r="J750" s="1557"/>
      <c r="K750" s="1557"/>
      <c r="L750" s="1557"/>
      <c r="M750" s="1566"/>
    </row>
    <row r="751" spans="2:13" s="979" customFormat="1" hidden="1">
      <c r="B751" s="1540"/>
      <c r="C751" s="1332" t="s">
        <v>842</v>
      </c>
      <c r="D751" s="1331"/>
      <c r="E751" s="1331" t="s">
        <v>701</v>
      </c>
      <c r="F751" s="1334">
        <v>215</v>
      </c>
      <c r="G751" s="1104">
        <f>DUB!$I$33</f>
        <v>44</v>
      </c>
      <c r="H751" s="1106">
        <f>G751*F751</f>
        <v>9460</v>
      </c>
      <c r="J751" s="1557"/>
      <c r="K751" s="1557"/>
      <c r="L751" s="1557"/>
      <c r="M751" s="1566"/>
    </row>
    <row r="752" spans="2:13" s="979" customFormat="1" hidden="1">
      <c r="B752" s="1540"/>
      <c r="C752" s="1125"/>
      <c r="D752" s="1333"/>
      <c r="E752" s="1333"/>
      <c r="F752" s="2074" t="s">
        <v>702</v>
      </c>
      <c r="G752" s="2074"/>
      <c r="H752" s="1106">
        <f>SUM(H748:H751)</f>
        <v>875771.93700000003</v>
      </c>
      <c r="J752" s="1557"/>
      <c r="K752" s="1557"/>
      <c r="L752" s="1557"/>
      <c r="M752" s="1566"/>
    </row>
    <row r="753" spans="2:13" s="980" customFormat="1" hidden="1">
      <c r="B753" s="1543" t="s">
        <v>703</v>
      </c>
      <c r="C753" s="2075" t="s">
        <v>3764</v>
      </c>
      <c r="D753" s="2075"/>
      <c r="E753" s="2075"/>
      <c r="F753" s="2075"/>
      <c r="G753" s="2075"/>
      <c r="H753" s="1107">
        <f>H746+H752</f>
        <v>1200091.9369999999</v>
      </c>
      <c r="J753" s="1559"/>
      <c r="K753" s="1559"/>
      <c r="L753" s="1559"/>
      <c r="M753" s="1635"/>
    </row>
    <row r="754" spans="2:13" s="980" customFormat="1" hidden="1">
      <c r="B754" s="1543" t="s">
        <v>706</v>
      </c>
      <c r="C754" s="2076" t="s">
        <v>709</v>
      </c>
      <c r="D754" s="2076"/>
      <c r="E754" s="2076"/>
      <c r="F754" s="2077" t="s">
        <v>3873</v>
      </c>
      <c r="G754" s="2077"/>
      <c r="H754" s="1107">
        <f>H753*0.15</f>
        <v>180013.79054999998</v>
      </c>
      <c r="J754" s="1559"/>
      <c r="K754" s="1559"/>
      <c r="L754" s="1559"/>
      <c r="M754" s="1635"/>
    </row>
    <row r="755" spans="2:13" s="980" customFormat="1" hidden="1">
      <c r="B755" s="1543" t="s">
        <v>708</v>
      </c>
      <c r="C755" s="2078" t="s">
        <v>3765</v>
      </c>
      <c r="D755" s="2078"/>
      <c r="E755" s="2078"/>
      <c r="F755" s="2078"/>
      <c r="G755" s="2078"/>
      <c r="H755" s="1107">
        <f>ROUND(SUM(H753:H754),2)</f>
        <v>1380105.73</v>
      </c>
      <c r="I755" s="981">
        <f>SUM(H753:H754)</f>
        <v>1380105.72755</v>
      </c>
      <c r="J755" s="1561"/>
      <c r="K755" s="1561"/>
      <c r="L755" s="1559"/>
      <c r="M755" s="1635"/>
    </row>
    <row r="756" spans="2:13" s="979" customFormat="1" hidden="1">
      <c r="B756" s="1095"/>
      <c r="C756" s="1096"/>
      <c r="D756" s="1095"/>
      <c r="E756" s="1095"/>
      <c r="F756" s="1172"/>
      <c r="G756" s="1173"/>
      <c r="H756" s="1133"/>
      <c r="J756" s="1557"/>
      <c r="K756" s="1557"/>
      <c r="L756" s="1557"/>
      <c r="M756" s="1566"/>
    </row>
    <row r="757" spans="2:13" s="979" customFormat="1" hidden="1">
      <c r="B757" s="1150" t="s">
        <v>2128</v>
      </c>
      <c r="C757" s="1096"/>
      <c r="D757" s="1095"/>
      <c r="E757" s="1095"/>
      <c r="F757" s="1172"/>
      <c r="G757" s="1173"/>
      <c r="H757" s="1133"/>
      <c r="J757" s="1557"/>
      <c r="K757" s="1557"/>
      <c r="L757" s="1557"/>
      <c r="M757" s="1566"/>
    </row>
    <row r="758" spans="2:13" s="979" customFormat="1" hidden="1">
      <c r="B758" s="1760" t="s">
        <v>2648</v>
      </c>
      <c r="C758" s="1096"/>
      <c r="D758" s="1095"/>
      <c r="E758" s="1095"/>
      <c r="F758" s="1172"/>
      <c r="G758" s="1173"/>
      <c r="H758" s="1133"/>
      <c r="J758" s="1557"/>
      <c r="K758" s="1557"/>
      <c r="L758" s="1557"/>
      <c r="M758" s="1566"/>
    </row>
    <row r="759" spans="2:13" s="979" customFormat="1" hidden="1">
      <c r="B759" s="1100" t="s">
        <v>3912</v>
      </c>
      <c r="C759" s="1232" t="s">
        <v>4522</v>
      </c>
      <c r="D759" s="1095"/>
      <c r="E759" s="1095"/>
      <c r="F759" s="1172"/>
      <c r="G759" s="1173"/>
      <c r="H759" s="1133"/>
      <c r="J759" s="1557"/>
      <c r="K759" s="1557"/>
      <c r="L759" s="1557"/>
      <c r="M759" s="1566"/>
    </row>
    <row r="760" spans="2:13" s="982" customFormat="1" ht="24.9" hidden="1" customHeight="1">
      <c r="B760" s="1748" t="s">
        <v>1003</v>
      </c>
      <c r="C760" s="1101" t="s">
        <v>1004</v>
      </c>
      <c r="D760" s="1101" t="s">
        <v>1005</v>
      </c>
      <c r="E760" s="1101" t="s">
        <v>1006</v>
      </c>
      <c r="F760" s="1102" t="s">
        <v>1007</v>
      </c>
      <c r="G760" s="1109" t="s">
        <v>2637</v>
      </c>
      <c r="H760" s="1110" t="s">
        <v>2638</v>
      </c>
      <c r="J760" s="1625"/>
      <c r="K760" s="1625"/>
      <c r="L760" s="1625"/>
      <c r="M760" s="1570"/>
    </row>
    <row r="761" spans="2:13" s="979" customFormat="1" hidden="1">
      <c r="B761" s="1543" t="s">
        <v>671</v>
      </c>
      <c r="C761" s="1329" t="s">
        <v>672</v>
      </c>
      <c r="D761" s="1331"/>
      <c r="E761" s="1331"/>
      <c r="F761" s="1334"/>
      <c r="G761" s="1104"/>
      <c r="H761" s="1106"/>
      <c r="J761" s="1557"/>
      <c r="K761" s="1557"/>
      <c r="L761" s="1557"/>
      <c r="M761" s="1566"/>
    </row>
    <row r="762" spans="2:13" s="979" customFormat="1" hidden="1">
      <c r="B762" s="1540"/>
      <c r="C762" s="1332" t="s">
        <v>673</v>
      </c>
      <c r="D762" s="1331" t="s">
        <v>674</v>
      </c>
      <c r="E762" s="1331" t="s">
        <v>675</v>
      </c>
      <c r="F762" s="1334">
        <v>1.2</v>
      </c>
      <c r="G762" s="1104">
        <f>DUB!$I$10</f>
        <v>150000</v>
      </c>
      <c r="H762" s="1106">
        <f>G762*F762</f>
        <v>180000</v>
      </c>
      <c r="J762" s="1557"/>
      <c r="K762" s="1557"/>
      <c r="L762" s="1557"/>
      <c r="M762" s="1566"/>
    </row>
    <row r="763" spans="2:13" s="979" customFormat="1" hidden="1">
      <c r="B763" s="1540"/>
      <c r="C763" s="1332" t="s">
        <v>816</v>
      </c>
      <c r="D763" s="1331" t="s">
        <v>678</v>
      </c>
      <c r="E763" s="1331" t="s">
        <v>675</v>
      </c>
      <c r="F763" s="1334">
        <v>0.2</v>
      </c>
      <c r="G763" s="1104">
        <f>DUB!$I$11</f>
        <v>187000</v>
      </c>
      <c r="H763" s="1106">
        <f>G763*F763</f>
        <v>37400</v>
      </c>
      <c r="J763" s="1557"/>
      <c r="K763" s="1557"/>
      <c r="L763" s="1557"/>
      <c r="M763" s="1566"/>
    </row>
    <row r="764" spans="2:13" s="979" customFormat="1" hidden="1">
      <c r="B764" s="1540"/>
      <c r="C764" s="1332" t="s">
        <v>680</v>
      </c>
      <c r="D764" s="1331" t="s">
        <v>681</v>
      </c>
      <c r="E764" s="1331" t="s">
        <v>675</v>
      </c>
      <c r="F764" s="1334">
        <v>0.02</v>
      </c>
      <c r="G764" s="1104">
        <f>DUB!$I$13</f>
        <v>240000</v>
      </c>
      <c r="H764" s="1106">
        <f>G764*F764</f>
        <v>4800</v>
      </c>
      <c r="J764" s="1557"/>
      <c r="K764" s="1557"/>
      <c r="L764" s="1557"/>
      <c r="M764" s="1566"/>
    </row>
    <row r="765" spans="2:13" s="979" customFormat="1" hidden="1">
      <c r="B765" s="1540"/>
      <c r="C765" s="1332" t="s">
        <v>683</v>
      </c>
      <c r="D765" s="1331" t="s">
        <v>684</v>
      </c>
      <c r="E765" s="1331" t="s">
        <v>675</v>
      </c>
      <c r="F765" s="1334">
        <v>0.06</v>
      </c>
      <c r="G765" s="1104">
        <f>DUB!$I$12</f>
        <v>225000</v>
      </c>
      <c r="H765" s="1106">
        <f>G765*F765</f>
        <v>13500</v>
      </c>
      <c r="J765" s="1557"/>
      <c r="K765" s="1557"/>
      <c r="L765" s="1557"/>
      <c r="M765" s="1566"/>
    </row>
    <row r="766" spans="2:13" s="979" customFormat="1" hidden="1">
      <c r="B766" s="1540"/>
      <c r="C766" s="1332"/>
      <c r="D766" s="1331"/>
      <c r="E766" s="1331"/>
      <c r="F766" s="2074" t="s">
        <v>685</v>
      </c>
      <c r="G766" s="2074"/>
      <c r="H766" s="1106">
        <f>SUM(H762:H765)</f>
        <v>235700</v>
      </c>
      <c r="J766" s="1557"/>
      <c r="K766" s="1557"/>
      <c r="L766" s="1557"/>
      <c r="M766" s="1566"/>
    </row>
    <row r="767" spans="2:13" s="979" customFormat="1" hidden="1">
      <c r="B767" s="1543" t="s">
        <v>686</v>
      </c>
      <c r="C767" s="1329" t="s">
        <v>687</v>
      </c>
      <c r="D767" s="1331"/>
      <c r="E767" s="1331"/>
      <c r="F767" s="1334"/>
      <c r="G767" s="1104"/>
      <c r="H767" s="1106"/>
      <c r="J767" s="1557"/>
      <c r="K767" s="1557"/>
      <c r="L767" s="1557"/>
      <c r="M767" s="1566"/>
    </row>
    <row r="768" spans="2:13" s="979" customFormat="1" hidden="1">
      <c r="B768" s="1540"/>
      <c r="C768" s="1332" t="s">
        <v>738</v>
      </c>
      <c r="D768" s="1331"/>
      <c r="E768" s="1331" t="s">
        <v>773</v>
      </c>
      <c r="F768" s="1334">
        <v>230</v>
      </c>
      <c r="G768" s="1104">
        <f>DUB!$I$65</f>
        <v>1575</v>
      </c>
      <c r="H768" s="1106">
        <f>G768*F768</f>
        <v>362250</v>
      </c>
      <c r="J768" s="1557"/>
      <c r="K768" s="1557"/>
      <c r="L768" s="1557"/>
      <c r="M768" s="1566"/>
    </row>
    <row r="769" spans="2:13" s="979" customFormat="1" hidden="1">
      <c r="B769" s="1540"/>
      <c r="C769" s="1332" t="s">
        <v>831</v>
      </c>
      <c r="D769" s="1331"/>
      <c r="E769" s="1331" t="s">
        <v>773</v>
      </c>
      <c r="F769" s="1334">
        <v>893</v>
      </c>
      <c r="G769" s="1104">
        <f>DUB!$I$60</f>
        <v>208.46299999999999</v>
      </c>
      <c r="H769" s="1106">
        <f>G769*F769</f>
        <v>186157.459</v>
      </c>
      <c r="J769" s="1557"/>
      <c r="K769" s="1557"/>
      <c r="L769" s="1557"/>
      <c r="M769" s="1566"/>
    </row>
    <row r="770" spans="2:13" s="979" customFormat="1" hidden="1">
      <c r="B770" s="1540"/>
      <c r="C770" s="1126" t="s">
        <v>841</v>
      </c>
      <c r="D770" s="1331"/>
      <c r="E770" s="1331" t="s">
        <v>773</v>
      </c>
      <c r="F770" s="1334">
        <v>1027</v>
      </c>
      <c r="G770" s="1104">
        <f>DUB!$I$58</f>
        <v>225</v>
      </c>
      <c r="H770" s="1106">
        <f>G770*F770</f>
        <v>231075</v>
      </c>
      <c r="J770" s="1557"/>
      <c r="K770" s="1557"/>
      <c r="L770" s="1557"/>
      <c r="M770" s="1566"/>
    </row>
    <row r="771" spans="2:13" s="979" customFormat="1" hidden="1">
      <c r="B771" s="1540"/>
      <c r="C771" s="1332" t="s">
        <v>842</v>
      </c>
      <c r="D771" s="1331"/>
      <c r="E771" s="1331" t="s">
        <v>701</v>
      </c>
      <c r="F771" s="1334">
        <v>200</v>
      </c>
      <c r="G771" s="1104">
        <f>DUB!$I$33</f>
        <v>44</v>
      </c>
      <c r="H771" s="1106">
        <f>G771*F771</f>
        <v>8800</v>
      </c>
      <c r="J771" s="1557"/>
      <c r="K771" s="1557"/>
      <c r="L771" s="1557"/>
      <c r="M771" s="1566"/>
    </row>
    <row r="772" spans="2:13" s="979" customFormat="1" hidden="1">
      <c r="B772" s="1540"/>
      <c r="C772" s="1332"/>
      <c r="D772" s="1331"/>
      <c r="E772" s="1331"/>
      <c r="F772" s="2091" t="s">
        <v>702</v>
      </c>
      <c r="G772" s="2091"/>
      <c r="H772" s="1106">
        <f>SUM(H768:H771)</f>
        <v>788282.45900000003</v>
      </c>
      <c r="J772" s="1557"/>
      <c r="K772" s="1557"/>
      <c r="L772" s="1557"/>
      <c r="M772" s="1566"/>
    </row>
    <row r="773" spans="2:13" s="980" customFormat="1" hidden="1">
      <c r="B773" s="1543" t="s">
        <v>703</v>
      </c>
      <c r="C773" s="2075" t="s">
        <v>3764</v>
      </c>
      <c r="D773" s="2075"/>
      <c r="E773" s="2075"/>
      <c r="F773" s="2075"/>
      <c r="G773" s="2075"/>
      <c r="H773" s="1107">
        <f>H766+H772</f>
        <v>1023982.459</v>
      </c>
      <c r="J773" s="1559"/>
      <c r="K773" s="1559"/>
      <c r="L773" s="1559"/>
      <c r="M773" s="1635"/>
    </row>
    <row r="774" spans="2:13" s="980" customFormat="1" hidden="1">
      <c r="B774" s="1543" t="s">
        <v>706</v>
      </c>
      <c r="C774" s="2076" t="s">
        <v>709</v>
      </c>
      <c r="D774" s="2076"/>
      <c r="E774" s="2076"/>
      <c r="F774" s="2077" t="s">
        <v>3873</v>
      </c>
      <c r="G774" s="2077"/>
      <c r="H774" s="1107">
        <f>H773*0.15</f>
        <v>153597.36885</v>
      </c>
      <c r="J774" s="1559"/>
      <c r="K774" s="1559"/>
      <c r="L774" s="1559"/>
      <c r="M774" s="1635"/>
    </row>
    <row r="775" spans="2:13" s="980" customFormat="1" hidden="1">
      <c r="B775" s="1543" t="s">
        <v>708</v>
      </c>
      <c r="C775" s="2075" t="s">
        <v>3765</v>
      </c>
      <c r="D775" s="2075"/>
      <c r="E775" s="2075"/>
      <c r="F775" s="2075"/>
      <c r="G775" s="2075"/>
      <c r="H775" s="1107">
        <f>ROUND(SUM(H773:H774),2)</f>
        <v>1177579.83</v>
      </c>
      <c r="I775" s="981">
        <f>SUM(H773:H774)</f>
        <v>1177579.82785</v>
      </c>
      <c r="J775" s="1561"/>
      <c r="K775" s="1561"/>
      <c r="L775" s="1559"/>
      <c r="M775" s="1635"/>
    </row>
    <row r="776" spans="2:13" s="979" customFormat="1" hidden="1">
      <c r="B776" s="1095"/>
      <c r="C776" s="1096"/>
      <c r="D776" s="1095"/>
      <c r="E776" s="1095"/>
      <c r="F776" s="1172"/>
      <c r="G776" s="1173"/>
      <c r="H776" s="1133"/>
      <c r="J776" s="1557"/>
      <c r="K776" s="1557"/>
      <c r="L776" s="1557"/>
      <c r="M776" s="1566"/>
    </row>
    <row r="777" spans="2:13" s="979" customFormat="1" hidden="1">
      <c r="B777" s="1100" t="s">
        <v>3911</v>
      </c>
      <c r="C777" s="1232" t="s">
        <v>2694</v>
      </c>
      <c r="D777" s="1095"/>
      <c r="E777" s="1095"/>
      <c r="F777" s="1172"/>
      <c r="G777" s="1173"/>
      <c r="H777" s="1133"/>
      <c r="J777" s="1557"/>
      <c r="K777" s="1557"/>
      <c r="L777" s="1557"/>
      <c r="M777" s="1566"/>
    </row>
    <row r="778" spans="2:13" s="507" customFormat="1" ht="24.9" hidden="1" customHeight="1">
      <c r="B778" s="1748" t="s">
        <v>1003</v>
      </c>
      <c r="C778" s="1101" t="s">
        <v>1004</v>
      </c>
      <c r="D778" s="1101" t="s">
        <v>1005</v>
      </c>
      <c r="E778" s="1101" t="s">
        <v>1006</v>
      </c>
      <c r="F778" s="1102" t="s">
        <v>1007</v>
      </c>
      <c r="G778" s="1109" t="s">
        <v>2637</v>
      </c>
      <c r="H778" s="1110" t="s">
        <v>2638</v>
      </c>
      <c r="J778" s="1625"/>
      <c r="K778" s="1625"/>
      <c r="L778" s="1625"/>
      <c r="M778" s="1570"/>
    </row>
    <row r="779" spans="2:13" hidden="1">
      <c r="B779" s="1543" t="s">
        <v>671</v>
      </c>
      <c r="C779" s="1329" t="s">
        <v>672</v>
      </c>
      <c r="D779" s="1331"/>
      <c r="E779" s="1331"/>
      <c r="F779" s="1334"/>
      <c r="G779" s="1104"/>
      <c r="H779" s="1106"/>
      <c r="M779" s="1566"/>
    </row>
    <row r="780" spans="2:13" hidden="1">
      <c r="B780" s="1540"/>
      <c r="C780" s="1332" t="s">
        <v>673</v>
      </c>
      <c r="D780" s="1331" t="s">
        <v>674</v>
      </c>
      <c r="E780" s="1331" t="s">
        <v>675</v>
      </c>
      <c r="F780" s="1334">
        <v>1.65</v>
      </c>
      <c r="G780" s="1104">
        <f>DUB!$I$10</f>
        <v>150000</v>
      </c>
      <c r="H780" s="1106">
        <f>G780*F780</f>
        <v>247500</v>
      </c>
      <c r="M780" s="1566"/>
    </row>
    <row r="781" spans="2:13" hidden="1">
      <c r="B781" s="1540"/>
      <c r="C781" s="1332" t="s">
        <v>816</v>
      </c>
      <c r="D781" s="1331" t="s">
        <v>678</v>
      </c>
      <c r="E781" s="1331" t="s">
        <v>675</v>
      </c>
      <c r="F781" s="1334">
        <v>0.27500000000000002</v>
      </c>
      <c r="G781" s="1104">
        <f>DUB!$I$11</f>
        <v>187000</v>
      </c>
      <c r="H781" s="1106">
        <f>G781*F781</f>
        <v>51425.000000000007</v>
      </c>
      <c r="M781" s="1566"/>
    </row>
    <row r="782" spans="2:13" hidden="1">
      <c r="B782" s="1540"/>
      <c r="C782" s="1332" t="s">
        <v>680</v>
      </c>
      <c r="D782" s="1331" t="s">
        <v>681</v>
      </c>
      <c r="E782" s="1331" t="s">
        <v>675</v>
      </c>
      <c r="F782" s="1334">
        <v>2.8000000000000001E-2</v>
      </c>
      <c r="G782" s="1104">
        <f>DUB!$I$13</f>
        <v>240000</v>
      </c>
      <c r="H782" s="1106">
        <f>G782*F782</f>
        <v>6720</v>
      </c>
      <c r="M782" s="1566"/>
    </row>
    <row r="783" spans="2:13" hidden="1">
      <c r="B783" s="1540"/>
      <c r="C783" s="1332" t="s">
        <v>683</v>
      </c>
      <c r="D783" s="1331" t="s">
        <v>684</v>
      </c>
      <c r="E783" s="1331" t="s">
        <v>675</v>
      </c>
      <c r="F783" s="1334">
        <v>8.3000000000000004E-2</v>
      </c>
      <c r="G783" s="1104">
        <f>DUB!$I$12</f>
        <v>225000</v>
      </c>
      <c r="H783" s="1106">
        <f>G783*F783</f>
        <v>18675</v>
      </c>
      <c r="M783" s="1566"/>
    </row>
    <row r="784" spans="2:13" hidden="1">
      <c r="B784" s="1540"/>
      <c r="C784" s="1332"/>
      <c r="D784" s="1331"/>
      <c r="E784" s="1331"/>
      <c r="F784" s="2074" t="s">
        <v>685</v>
      </c>
      <c r="G784" s="2074"/>
      <c r="H784" s="1106">
        <f>SUM(H780:H783)</f>
        <v>324320</v>
      </c>
      <c r="M784" s="1566"/>
    </row>
    <row r="785" spans="2:13" hidden="1">
      <c r="B785" s="1543" t="s">
        <v>686</v>
      </c>
      <c r="C785" s="1329" t="s">
        <v>687</v>
      </c>
      <c r="D785" s="1331"/>
      <c r="E785" s="1331"/>
      <c r="F785" s="1334"/>
      <c r="G785" s="1104"/>
      <c r="H785" s="1106"/>
      <c r="M785" s="1566"/>
    </row>
    <row r="786" spans="2:13" hidden="1">
      <c r="B786" s="1540"/>
      <c r="C786" s="1332" t="s">
        <v>738</v>
      </c>
      <c r="D786" s="1331"/>
      <c r="E786" s="1331" t="s">
        <v>773</v>
      </c>
      <c r="F786" s="1334">
        <v>326</v>
      </c>
      <c r="G786" s="1104">
        <f>DUB!$I$65</f>
        <v>1575</v>
      </c>
      <c r="H786" s="1106">
        <f>G786*F786</f>
        <v>513450</v>
      </c>
      <c r="M786" s="1566"/>
    </row>
    <row r="787" spans="2:13" hidden="1">
      <c r="B787" s="1540"/>
      <c r="C787" s="1332" t="s">
        <v>831</v>
      </c>
      <c r="D787" s="1331"/>
      <c r="E787" s="1331" t="s">
        <v>773</v>
      </c>
      <c r="F787" s="1334">
        <v>760</v>
      </c>
      <c r="G787" s="1104">
        <f>DUB!$I$60</f>
        <v>208.46299999999999</v>
      </c>
      <c r="H787" s="1106">
        <f>G787*F787</f>
        <v>158431.88</v>
      </c>
      <c r="M787" s="1566"/>
    </row>
    <row r="788" spans="2:13" hidden="1">
      <c r="B788" s="1540"/>
      <c r="C788" s="1332" t="s">
        <v>2923</v>
      </c>
      <c r="D788" s="1331"/>
      <c r="E788" s="1331" t="s">
        <v>773</v>
      </c>
      <c r="F788" s="1334">
        <v>1029</v>
      </c>
      <c r="G788" s="1104">
        <f>DUB!$I$44</f>
        <v>271</v>
      </c>
      <c r="H788" s="1106">
        <f>G788*F788</f>
        <v>278859</v>
      </c>
      <c r="M788" s="1566"/>
    </row>
    <row r="789" spans="2:13" hidden="1">
      <c r="B789" s="1540"/>
      <c r="C789" s="1332" t="s">
        <v>842</v>
      </c>
      <c r="D789" s="1331"/>
      <c r="E789" s="1331" t="s">
        <v>701</v>
      </c>
      <c r="F789" s="1334">
        <v>215</v>
      </c>
      <c r="G789" s="1104">
        <f>DUB!$I$33</f>
        <v>44</v>
      </c>
      <c r="H789" s="1106">
        <f>G789*F789</f>
        <v>9460</v>
      </c>
      <c r="M789" s="1566"/>
    </row>
    <row r="790" spans="2:13" hidden="1">
      <c r="B790" s="1540"/>
      <c r="C790" s="1125"/>
      <c r="D790" s="1333"/>
      <c r="E790" s="1333"/>
      <c r="F790" s="2074" t="s">
        <v>702</v>
      </c>
      <c r="G790" s="2074"/>
      <c r="H790" s="1106">
        <f>SUM(H786:H789)</f>
        <v>960200.88</v>
      </c>
      <c r="M790" s="1566"/>
    </row>
    <row r="791" spans="2:13" s="496" customFormat="1" hidden="1">
      <c r="B791" s="1543" t="s">
        <v>703</v>
      </c>
      <c r="C791" s="2075" t="s">
        <v>3764</v>
      </c>
      <c r="D791" s="2075"/>
      <c r="E791" s="2075"/>
      <c r="F791" s="2075"/>
      <c r="G791" s="2075"/>
      <c r="H791" s="1107">
        <f>H784+H790</f>
        <v>1284520.8799999999</v>
      </c>
      <c r="J791" s="1559"/>
      <c r="K791" s="1559"/>
      <c r="L791" s="1559"/>
      <c r="M791" s="1635"/>
    </row>
    <row r="792" spans="2:13" s="496" customFormat="1" hidden="1">
      <c r="B792" s="1543" t="s">
        <v>706</v>
      </c>
      <c r="C792" s="2076" t="s">
        <v>709</v>
      </c>
      <c r="D792" s="2076"/>
      <c r="E792" s="2076"/>
      <c r="F792" s="2077" t="s">
        <v>3873</v>
      </c>
      <c r="G792" s="2077"/>
      <c r="H792" s="1107">
        <f>H791*0.15</f>
        <v>192678.13199999998</v>
      </c>
      <c r="J792" s="1559"/>
      <c r="K792" s="1559"/>
      <c r="L792" s="1559"/>
      <c r="M792" s="1635"/>
    </row>
    <row r="793" spans="2:13" s="496" customFormat="1" hidden="1">
      <c r="B793" s="1543" t="s">
        <v>708</v>
      </c>
      <c r="C793" s="2078" t="s">
        <v>3765</v>
      </c>
      <c r="D793" s="2078"/>
      <c r="E793" s="2078"/>
      <c r="F793" s="2078"/>
      <c r="G793" s="2078"/>
      <c r="H793" s="1107">
        <f>ROUND(SUM(H791:H792),2)</f>
        <v>1477199.01</v>
      </c>
      <c r="I793" s="506">
        <f>SUM(H791:H792)</f>
        <v>1477199.0119999999</v>
      </c>
      <c r="J793" s="1561"/>
      <c r="K793" s="1561"/>
      <c r="L793" s="1559"/>
      <c r="M793" s="1635"/>
    </row>
    <row r="794" spans="2:13" hidden="1">
      <c r="F794" s="1172"/>
      <c r="G794" s="1173"/>
      <c r="H794" s="1133"/>
      <c r="M794" s="1566"/>
    </row>
    <row r="795" spans="2:13" hidden="1">
      <c r="B795" s="1150" t="s">
        <v>3910</v>
      </c>
      <c r="C795" s="1232" t="s">
        <v>2695</v>
      </c>
      <c r="F795" s="1172"/>
      <c r="G795" s="1173"/>
      <c r="H795" s="1133"/>
      <c r="M795" s="1566"/>
    </row>
    <row r="796" spans="2:13" s="507" customFormat="1" ht="24.9" hidden="1" customHeight="1">
      <c r="B796" s="1748" t="s">
        <v>1003</v>
      </c>
      <c r="C796" s="1101" t="s">
        <v>1004</v>
      </c>
      <c r="D796" s="1101" t="s">
        <v>1005</v>
      </c>
      <c r="E796" s="1101" t="s">
        <v>1006</v>
      </c>
      <c r="F796" s="1102" t="s">
        <v>1007</v>
      </c>
      <c r="G796" s="1109" t="s">
        <v>2637</v>
      </c>
      <c r="H796" s="1110" t="s">
        <v>2638</v>
      </c>
      <c r="J796" s="1625"/>
      <c r="K796" s="1625"/>
      <c r="L796" s="1625"/>
      <c r="M796" s="1570"/>
    </row>
    <row r="797" spans="2:13" hidden="1">
      <c r="B797" s="1543" t="s">
        <v>671</v>
      </c>
      <c r="C797" s="1329" t="s">
        <v>672</v>
      </c>
      <c r="D797" s="1331"/>
      <c r="E797" s="1331"/>
      <c r="F797" s="1334"/>
      <c r="G797" s="1104"/>
      <c r="H797" s="1106"/>
      <c r="M797" s="1566"/>
    </row>
    <row r="798" spans="2:13" hidden="1">
      <c r="B798" s="1540"/>
      <c r="C798" s="1332" t="s">
        <v>673</v>
      </c>
      <c r="D798" s="1331" t="s">
        <v>674</v>
      </c>
      <c r="E798" s="1331" t="s">
        <v>675</v>
      </c>
      <c r="F798" s="1334">
        <v>1.65</v>
      </c>
      <c r="G798" s="1104">
        <f>DUB!$I$10</f>
        <v>150000</v>
      </c>
      <c r="H798" s="1106">
        <f>G798*F798</f>
        <v>247500</v>
      </c>
      <c r="M798" s="1566"/>
    </row>
    <row r="799" spans="2:13" hidden="1">
      <c r="B799" s="1540"/>
      <c r="C799" s="1332" t="s">
        <v>816</v>
      </c>
      <c r="D799" s="1331" t="s">
        <v>678</v>
      </c>
      <c r="E799" s="1331" t="s">
        <v>675</v>
      </c>
      <c r="F799" s="1334">
        <v>0.27500000000000002</v>
      </c>
      <c r="G799" s="1104">
        <f>DUB!$I$11</f>
        <v>187000</v>
      </c>
      <c r="H799" s="1106">
        <f>G799*F799</f>
        <v>51425.000000000007</v>
      </c>
      <c r="M799" s="1566"/>
    </row>
    <row r="800" spans="2:13" hidden="1">
      <c r="B800" s="1540"/>
      <c r="C800" s="1332" t="s">
        <v>680</v>
      </c>
      <c r="D800" s="1331" t="s">
        <v>681</v>
      </c>
      <c r="E800" s="1331" t="s">
        <v>675</v>
      </c>
      <c r="F800" s="1334">
        <v>2.8000000000000001E-2</v>
      </c>
      <c r="G800" s="1104">
        <f>DUB!$I$13</f>
        <v>240000</v>
      </c>
      <c r="H800" s="1106">
        <f>G800*F800</f>
        <v>6720</v>
      </c>
      <c r="M800" s="1566"/>
    </row>
    <row r="801" spans="2:13" hidden="1">
      <c r="B801" s="1540"/>
      <c r="C801" s="1332" t="s">
        <v>683</v>
      </c>
      <c r="D801" s="1331" t="s">
        <v>684</v>
      </c>
      <c r="E801" s="1331" t="s">
        <v>675</v>
      </c>
      <c r="F801" s="1334">
        <v>8.3000000000000004E-2</v>
      </c>
      <c r="G801" s="1104">
        <f>DUB!$I$12</f>
        <v>225000</v>
      </c>
      <c r="H801" s="1106">
        <f>G801*F801</f>
        <v>18675</v>
      </c>
      <c r="M801" s="1566"/>
    </row>
    <row r="802" spans="2:13" hidden="1">
      <c r="B802" s="1540"/>
      <c r="C802" s="1332"/>
      <c r="D802" s="1331"/>
      <c r="E802" s="1331"/>
      <c r="F802" s="2074" t="s">
        <v>685</v>
      </c>
      <c r="G802" s="2074"/>
      <c r="H802" s="1106">
        <f>SUM(H798:H801)</f>
        <v>324320</v>
      </c>
      <c r="M802" s="1566"/>
    </row>
    <row r="803" spans="2:13" hidden="1">
      <c r="B803" s="1543" t="s">
        <v>686</v>
      </c>
      <c r="C803" s="1329" t="s">
        <v>687</v>
      </c>
      <c r="D803" s="1331"/>
      <c r="E803" s="1331"/>
      <c r="F803" s="1334"/>
      <c r="G803" s="1104"/>
      <c r="H803" s="1106"/>
      <c r="M803" s="1566"/>
    </row>
    <row r="804" spans="2:13" hidden="1">
      <c r="B804" s="1540"/>
      <c r="C804" s="1332" t="s">
        <v>738</v>
      </c>
      <c r="D804" s="1331"/>
      <c r="E804" s="1331" t="s">
        <v>773</v>
      </c>
      <c r="F804" s="1334">
        <v>352</v>
      </c>
      <c r="G804" s="1104">
        <f>DUB!$I$65</f>
        <v>1575</v>
      </c>
      <c r="H804" s="1106">
        <f>G804*F804</f>
        <v>554400</v>
      </c>
      <c r="M804" s="1566"/>
    </row>
    <row r="805" spans="2:13" hidden="1">
      <c r="B805" s="1540"/>
      <c r="C805" s="1332" t="s">
        <v>831</v>
      </c>
      <c r="D805" s="1331"/>
      <c r="E805" s="1331" t="s">
        <v>773</v>
      </c>
      <c r="F805" s="1334">
        <v>731</v>
      </c>
      <c r="G805" s="1104">
        <f>DUB!$I$60</f>
        <v>208.46299999999999</v>
      </c>
      <c r="H805" s="1106">
        <f>G805*F805</f>
        <v>152386.45300000001</v>
      </c>
      <c r="M805" s="1566"/>
    </row>
    <row r="806" spans="2:13" hidden="1">
      <c r="B806" s="1540"/>
      <c r="C806" s="1332" t="s">
        <v>2923</v>
      </c>
      <c r="D806" s="1331"/>
      <c r="E806" s="1331" t="s">
        <v>773</v>
      </c>
      <c r="F806" s="1334">
        <v>1031</v>
      </c>
      <c r="G806" s="1104">
        <f>DUB!$I$44</f>
        <v>271</v>
      </c>
      <c r="H806" s="1106">
        <f>G806*F806</f>
        <v>279401</v>
      </c>
      <c r="M806" s="1566"/>
    </row>
    <row r="807" spans="2:13" hidden="1">
      <c r="B807" s="1540"/>
      <c r="C807" s="1332" t="s">
        <v>842</v>
      </c>
      <c r="D807" s="1331"/>
      <c r="E807" s="1331" t="s">
        <v>701</v>
      </c>
      <c r="F807" s="1334">
        <v>215</v>
      </c>
      <c r="G807" s="1104">
        <f>DUB!$I$33</f>
        <v>44</v>
      </c>
      <c r="H807" s="1106">
        <f>G807*F807</f>
        <v>9460</v>
      </c>
      <c r="M807" s="1566"/>
    </row>
    <row r="808" spans="2:13" hidden="1">
      <c r="B808" s="1540"/>
      <c r="C808" s="1125"/>
      <c r="D808" s="1333"/>
      <c r="E808" s="1333"/>
      <c r="F808" s="2074" t="s">
        <v>702</v>
      </c>
      <c r="G808" s="2074"/>
      <c r="H808" s="1106">
        <f>SUM(H804:H807)</f>
        <v>995647.45299999998</v>
      </c>
      <c r="M808" s="1566"/>
    </row>
    <row r="809" spans="2:13" s="496" customFormat="1" hidden="1">
      <c r="B809" s="1543" t="s">
        <v>703</v>
      </c>
      <c r="C809" s="2075" t="s">
        <v>3764</v>
      </c>
      <c r="D809" s="2075"/>
      <c r="E809" s="2075"/>
      <c r="F809" s="2075"/>
      <c r="G809" s="2075"/>
      <c r="H809" s="1107">
        <f>H802+H808</f>
        <v>1319967.453</v>
      </c>
      <c r="J809" s="1559"/>
      <c r="K809" s="1559"/>
      <c r="L809" s="1559"/>
      <c r="M809" s="1635"/>
    </row>
    <row r="810" spans="2:13" s="496" customFormat="1" hidden="1">
      <c r="B810" s="1543" t="s">
        <v>706</v>
      </c>
      <c r="C810" s="2076" t="s">
        <v>709</v>
      </c>
      <c r="D810" s="2076"/>
      <c r="E810" s="2076"/>
      <c r="F810" s="2077" t="s">
        <v>3873</v>
      </c>
      <c r="G810" s="2077"/>
      <c r="H810" s="1107">
        <f>H809*0.15</f>
        <v>197995.11794999999</v>
      </c>
      <c r="J810" s="1559"/>
      <c r="K810" s="1559"/>
      <c r="L810" s="1559"/>
      <c r="M810" s="1635"/>
    </row>
    <row r="811" spans="2:13" s="496" customFormat="1" hidden="1">
      <c r="B811" s="1543" t="s">
        <v>708</v>
      </c>
      <c r="C811" s="2078" t="s">
        <v>3765</v>
      </c>
      <c r="D811" s="2078"/>
      <c r="E811" s="2078"/>
      <c r="F811" s="2078"/>
      <c r="G811" s="2078"/>
      <c r="H811" s="1107">
        <f>ROUND(SUM(H809:H810),2)</f>
        <v>1517962.57</v>
      </c>
      <c r="I811" s="506">
        <f>SUM(H809:H810)</f>
        <v>1517962.5709500001</v>
      </c>
      <c r="J811" s="1561"/>
      <c r="K811" s="1561"/>
      <c r="L811" s="1559"/>
      <c r="M811" s="1635"/>
    </row>
    <row r="812" spans="2:13" hidden="1">
      <c r="F812" s="1172"/>
      <c r="G812" s="1173"/>
      <c r="H812" s="1133"/>
      <c r="M812" s="1566"/>
    </row>
    <row r="813" spans="2:13" hidden="1">
      <c r="B813" s="1150" t="s">
        <v>3913</v>
      </c>
      <c r="C813" s="1232" t="s">
        <v>2696</v>
      </c>
      <c r="F813" s="1172"/>
      <c r="G813" s="1173"/>
      <c r="H813" s="1133"/>
      <c r="M813" s="1566"/>
    </row>
    <row r="814" spans="2:13" s="507" customFormat="1" ht="24.9" hidden="1" customHeight="1">
      <c r="B814" s="1748" t="s">
        <v>1003</v>
      </c>
      <c r="C814" s="1101" t="s">
        <v>1004</v>
      </c>
      <c r="D814" s="1101" t="s">
        <v>1005</v>
      </c>
      <c r="E814" s="1101" t="s">
        <v>1006</v>
      </c>
      <c r="F814" s="1102" t="s">
        <v>1007</v>
      </c>
      <c r="G814" s="1109" t="s">
        <v>2637</v>
      </c>
      <c r="H814" s="1110" t="s">
        <v>2638</v>
      </c>
      <c r="J814" s="1625"/>
      <c r="K814" s="1625"/>
      <c r="L814" s="1625"/>
      <c r="M814" s="1570"/>
    </row>
    <row r="815" spans="2:13" hidden="1">
      <c r="B815" s="1543" t="s">
        <v>671</v>
      </c>
      <c r="C815" s="1329" t="s">
        <v>672</v>
      </c>
      <c r="D815" s="1331"/>
      <c r="E815" s="1331"/>
      <c r="F815" s="1334"/>
      <c r="G815" s="1104"/>
      <c r="H815" s="1106"/>
      <c r="M815" s="1566"/>
    </row>
    <row r="816" spans="2:13" hidden="1">
      <c r="B816" s="1540"/>
      <c r="C816" s="1332" t="s">
        <v>673</v>
      </c>
      <c r="D816" s="1331" t="s">
        <v>674</v>
      </c>
      <c r="E816" s="1331" t="s">
        <v>675</v>
      </c>
      <c r="F816" s="1334">
        <v>1.65</v>
      </c>
      <c r="G816" s="1104">
        <f>DUB!$I$10</f>
        <v>150000</v>
      </c>
      <c r="H816" s="1106">
        <f>G816*F816</f>
        <v>247500</v>
      </c>
      <c r="M816" s="1566"/>
    </row>
    <row r="817" spans="2:13" hidden="1">
      <c r="B817" s="1540"/>
      <c r="C817" s="1332" t="s">
        <v>816</v>
      </c>
      <c r="D817" s="1331" t="s">
        <v>678</v>
      </c>
      <c r="E817" s="1331" t="s">
        <v>675</v>
      </c>
      <c r="F817" s="1334">
        <v>0.27500000000000002</v>
      </c>
      <c r="G817" s="1104">
        <f>DUB!$I$11</f>
        <v>187000</v>
      </c>
      <c r="H817" s="1106">
        <f>G817*F817</f>
        <v>51425.000000000007</v>
      </c>
      <c r="M817" s="1566"/>
    </row>
    <row r="818" spans="2:13" hidden="1">
      <c r="B818" s="1540"/>
      <c r="C818" s="1332" t="s">
        <v>680</v>
      </c>
      <c r="D818" s="1331" t="s">
        <v>681</v>
      </c>
      <c r="E818" s="1331" t="s">
        <v>675</v>
      </c>
      <c r="F818" s="1334">
        <v>2.8000000000000001E-2</v>
      </c>
      <c r="G818" s="1104">
        <f>DUB!$I$13</f>
        <v>240000</v>
      </c>
      <c r="H818" s="1106">
        <f>G818*F818</f>
        <v>6720</v>
      </c>
      <c r="M818" s="1566"/>
    </row>
    <row r="819" spans="2:13" hidden="1">
      <c r="B819" s="1540"/>
      <c r="C819" s="1332" t="s">
        <v>683</v>
      </c>
      <c r="D819" s="1331" t="s">
        <v>684</v>
      </c>
      <c r="E819" s="1331" t="s">
        <v>675</v>
      </c>
      <c r="F819" s="1334">
        <v>8.3000000000000004E-2</v>
      </c>
      <c r="G819" s="1104">
        <f>DUB!$I$12</f>
        <v>225000</v>
      </c>
      <c r="H819" s="1106">
        <f>G819*F819</f>
        <v>18675</v>
      </c>
      <c r="M819" s="1566"/>
    </row>
    <row r="820" spans="2:13" hidden="1">
      <c r="B820" s="1540"/>
      <c r="C820" s="1332"/>
      <c r="D820" s="1331"/>
      <c r="E820" s="1331"/>
      <c r="F820" s="2074" t="s">
        <v>685</v>
      </c>
      <c r="G820" s="2074"/>
      <c r="H820" s="1106">
        <f>SUM(H816:H819)</f>
        <v>324320</v>
      </c>
      <c r="M820" s="1566"/>
    </row>
    <row r="821" spans="2:13" hidden="1">
      <c r="B821" s="1543" t="s">
        <v>686</v>
      </c>
      <c r="C821" s="1329" t="s">
        <v>687</v>
      </c>
      <c r="D821" s="1331"/>
      <c r="E821" s="1331"/>
      <c r="F821" s="1334"/>
      <c r="G821" s="1104"/>
      <c r="H821" s="1106"/>
      <c r="M821" s="1566"/>
    </row>
    <row r="822" spans="2:13" hidden="1">
      <c r="B822" s="1540"/>
      <c r="C822" s="1332" t="s">
        <v>738</v>
      </c>
      <c r="D822" s="1331"/>
      <c r="E822" s="1331" t="s">
        <v>773</v>
      </c>
      <c r="F822" s="1334">
        <v>371</v>
      </c>
      <c r="G822" s="1104">
        <f>DUB!$I$65</f>
        <v>1575</v>
      </c>
      <c r="H822" s="1106">
        <f>G822*F822</f>
        <v>584325</v>
      </c>
      <c r="M822" s="1566"/>
    </row>
    <row r="823" spans="2:13" hidden="1">
      <c r="B823" s="1540"/>
      <c r="C823" s="1332" t="s">
        <v>831</v>
      </c>
      <c r="D823" s="1331"/>
      <c r="E823" s="1331" t="s">
        <v>773</v>
      </c>
      <c r="F823" s="1334">
        <v>698</v>
      </c>
      <c r="G823" s="1104">
        <f>DUB!$I$60</f>
        <v>208.46299999999999</v>
      </c>
      <c r="H823" s="1106">
        <f>G823*F823</f>
        <v>145507.174</v>
      </c>
      <c r="M823" s="1566"/>
    </row>
    <row r="824" spans="2:13" hidden="1">
      <c r="B824" s="1540"/>
      <c r="C824" s="1332" t="s">
        <v>2923</v>
      </c>
      <c r="D824" s="1331"/>
      <c r="E824" s="1331" t="s">
        <v>773</v>
      </c>
      <c r="F824" s="1334">
        <v>1047</v>
      </c>
      <c r="G824" s="1104">
        <f>DUB!$I$44</f>
        <v>271</v>
      </c>
      <c r="H824" s="1106">
        <f>G824*F824</f>
        <v>283737</v>
      </c>
      <c r="M824" s="1566"/>
    </row>
    <row r="825" spans="2:13" hidden="1">
      <c r="B825" s="1540"/>
      <c r="C825" s="1332" t="s">
        <v>842</v>
      </c>
      <c r="D825" s="1331"/>
      <c r="E825" s="1331" t="s">
        <v>701</v>
      </c>
      <c r="F825" s="1334">
        <v>215</v>
      </c>
      <c r="G825" s="1104">
        <f>DUB!$I$33</f>
        <v>44</v>
      </c>
      <c r="H825" s="1106">
        <f>G825*F825</f>
        <v>9460</v>
      </c>
      <c r="M825" s="1566"/>
    </row>
    <row r="826" spans="2:13" hidden="1">
      <c r="B826" s="1540"/>
      <c r="C826" s="1125"/>
      <c r="D826" s="1333"/>
      <c r="E826" s="1333"/>
      <c r="F826" s="2074" t="s">
        <v>702</v>
      </c>
      <c r="G826" s="2074"/>
      <c r="H826" s="1106">
        <f>SUM(H822:H825)</f>
        <v>1023029.174</v>
      </c>
      <c r="M826" s="1566"/>
    </row>
    <row r="827" spans="2:13" s="496" customFormat="1" hidden="1">
      <c r="B827" s="1543" t="s">
        <v>703</v>
      </c>
      <c r="C827" s="2075" t="s">
        <v>3764</v>
      </c>
      <c r="D827" s="2075"/>
      <c r="E827" s="2075"/>
      <c r="F827" s="2075"/>
      <c r="G827" s="2075"/>
      <c r="H827" s="1107">
        <f>H820+H826</f>
        <v>1347349.1740000001</v>
      </c>
      <c r="J827" s="1559"/>
      <c r="K827" s="1559"/>
      <c r="L827" s="1559"/>
      <c r="M827" s="1635"/>
    </row>
    <row r="828" spans="2:13" s="496" customFormat="1" hidden="1">
      <c r="B828" s="1543" t="s">
        <v>706</v>
      </c>
      <c r="C828" s="2076" t="s">
        <v>709</v>
      </c>
      <c r="D828" s="2076"/>
      <c r="E828" s="2076"/>
      <c r="F828" s="2077" t="s">
        <v>3873</v>
      </c>
      <c r="G828" s="2077"/>
      <c r="H828" s="1107">
        <f>H827*0.15</f>
        <v>202102.37610000002</v>
      </c>
      <c r="J828" s="1559"/>
      <c r="K828" s="1559"/>
      <c r="L828" s="1559"/>
      <c r="M828" s="1635"/>
    </row>
    <row r="829" spans="2:13" s="496" customFormat="1" hidden="1">
      <c r="B829" s="1543" t="s">
        <v>708</v>
      </c>
      <c r="C829" s="2078" t="s">
        <v>3765</v>
      </c>
      <c r="D829" s="2078"/>
      <c r="E829" s="2078"/>
      <c r="F829" s="2078"/>
      <c r="G829" s="2078"/>
      <c r="H829" s="1107">
        <f>ROUND(SUM(H827:H828),2)</f>
        <v>1549451.55</v>
      </c>
      <c r="I829" s="506">
        <f>SUM(H827:H828)</f>
        <v>1549451.5501000001</v>
      </c>
      <c r="J829" s="1561"/>
      <c r="K829" s="1561"/>
      <c r="L829" s="1559"/>
      <c r="M829" s="1635"/>
    </row>
    <row r="830" spans="2:13" hidden="1">
      <c r="F830" s="1172"/>
      <c r="G830" s="1173"/>
      <c r="H830" s="1133"/>
      <c r="M830" s="1566"/>
    </row>
    <row r="831" spans="2:13" hidden="1">
      <c r="B831" s="1150" t="s">
        <v>3914</v>
      </c>
      <c r="C831" s="1232" t="s">
        <v>2697</v>
      </c>
      <c r="F831" s="1172"/>
      <c r="G831" s="1173"/>
      <c r="H831" s="1133"/>
      <c r="M831" s="1566"/>
    </row>
    <row r="832" spans="2:13" s="507" customFormat="1" ht="24.9" hidden="1" customHeight="1">
      <c r="B832" s="1748" t="s">
        <v>1003</v>
      </c>
      <c r="C832" s="1101" t="s">
        <v>1004</v>
      </c>
      <c r="D832" s="1101" t="s">
        <v>1005</v>
      </c>
      <c r="E832" s="1101" t="s">
        <v>1006</v>
      </c>
      <c r="F832" s="1102" t="s">
        <v>1007</v>
      </c>
      <c r="G832" s="1109" t="s">
        <v>2637</v>
      </c>
      <c r="H832" s="1110" t="s">
        <v>2638</v>
      </c>
      <c r="J832" s="1625"/>
      <c r="K832" s="1625"/>
      <c r="L832" s="1625"/>
      <c r="M832" s="1570"/>
    </row>
    <row r="833" spans="2:13" hidden="1">
      <c r="B833" s="1543" t="s">
        <v>671</v>
      </c>
      <c r="C833" s="1329" t="s">
        <v>672</v>
      </c>
      <c r="D833" s="1331"/>
      <c r="E833" s="1331"/>
      <c r="F833" s="1334"/>
      <c r="G833" s="1104"/>
      <c r="H833" s="1106"/>
      <c r="M833" s="1566"/>
    </row>
    <row r="834" spans="2:13" hidden="1">
      <c r="B834" s="1540"/>
      <c r="C834" s="1332" t="s">
        <v>673</v>
      </c>
      <c r="D834" s="1331" t="s">
        <v>674</v>
      </c>
      <c r="E834" s="1331" t="s">
        <v>675</v>
      </c>
      <c r="F834" s="1334">
        <v>1.65</v>
      </c>
      <c r="G834" s="1104">
        <f>DUB!$I$10</f>
        <v>150000</v>
      </c>
      <c r="H834" s="1106">
        <f>G834*F834</f>
        <v>247500</v>
      </c>
      <c r="M834" s="1566"/>
    </row>
    <row r="835" spans="2:13" hidden="1">
      <c r="B835" s="1540"/>
      <c r="C835" s="1332" t="s">
        <v>816</v>
      </c>
      <c r="D835" s="1331" t="s">
        <v>678</v>
      </c>
      <c r="E835" s="1331" t="s">
        <v>675</v>
      </c>
      <c r="F835" s="1334">
        <v>0.27500000000000002</v>
      </c>
      <c r="G835" s="1104">
        <f>DUB!$I$11</f>
        <v>187000</v>
      </c>
      <c r="H835" s="1106">
        <f>G835*F835</f>
        <v>51425.000000000007</v>
      </c>
      <c r="M835" s="1566"/>
    </row>
    <row r="836" spans="2:13" hidden="1">
      <c r="B836" s="1540"/>
      <c r="C836" s="1332" t="s">
        <v>680</v>
      </c>
      <c r="D836" s="1331" t="s">
        <v>681</v>
      </c>
      <c r="E836" s="1331" t="s">
        <v>675</v>
      </c>
      <c r="F836" s="1334">
        <v>2.8000000000000001E-2</v>
      </c>
      <c r="G836" s="1104">
        <f>DUB!$I$13</f>
        <v>240000</v>
      </c>
      <c r="H836" s="1106">
        <f>G836*F836</f>
        <v>6720</v>
      </c>
      <c r="M836" s="1566"/>
    </row>
    <row r="837" spans="2:13" hidden="1">
      <c r="B837" s="1540"/>
      <c r="C837" s="1332" t="s">
        <v>683</v>
      </c>
      <c r="D837" s="1331" t="s">
        <v>684</v>
      </c>
      <c r="E837" s="1331" t="s">
        <v>675</v>
      </c>
      <c r="F837" s="1334">
        <v>8.3000000000000004E-2</v>
      </c>
      <c r="G837" s="1104">
        <f>DUB!$I$12</f>
        <v>225000</v>
      </c>
      <c r="H837" s="1106">
        <f>G837*F837</f>
        <v>18675</v>
      </c>
      <c r="M837" s="1566"/>
    </row>
    <row r="838" spans="2:13" hidden="1">
      <c r="B838" s="1540"/>
      <c r="C838" s="1332"/>
      <c r="D838" s="1331"/>
      <c r="E838" s="1331"/>
      <c r="F838" s="2074" t="s">
        <v>685</v>
      </c>
      <c r="G838" s="2074"/>
      <c r="H838" s="1106">
        <f>SUM(H834:H837)</f>
        <v>324320</v>
      </c>
      <c r="M838" s="1566"/>
    </row>
    <row r="839" spans="2:13" hidden="1">
      <c r="B839" s="1543" t="s">
        <v>686</v>
      </c>
      <c r="C839" s="1329" t="s">
        <v>687</v>
      </c>
      <c r="D839" s="1331"/>
      <c r="E839" s="1331"/>
      <c r="F839" s="1334"/>
      <c r="G839" s="1104"/>
      <c r="H839" s="1106"/>
      <c r="M839" s="1566"/>
    </row>
    <row r="840" spans="2:13" hidden="1">
      <c r="B840" s="1540"/>
      <c r="C840" s="1332" t="s">
        <v>738</v>
      </c>
      <c r="D840" s="1331"/>
      <c r="E840" s="1331" t="s">
        <v>773</v>
      </c>
      <c r="F840" s="1334">
        <v>384</v>
      </c>
      <c r="G840" s="1104">
        <f>DUB!$I$65</f>
        <v>1575</v>
      </c>
      <c r="H840" s="1106">
        <f>G840*F840</f>
        <v>604800</v>
      </c>
      <c r="M840" s="1566"/>
    </row>
    <row r="841" spans="2:13" hidden="1">
      <c r="B841" s="1540"/>
      <c r="C841" s="1332" t="s">
        <v>831</v>
      </c>
      <c r="D841" s="1331"/>
      <c r="E841" s="1331" t="s">
        <v>773</v>
      </c>
      <c r="F841" s="1334">
        <v>692</v>
      </c>
      <c r="G841" s="1104">
        <f>DUB!$I$60</f>
        <v>208.46299999999999</v>
      </c>
      <c r="H841" s="1106">
        <f>G841*F841</f>
        <v>144256.39600000001</v>
      </c>
      <c r="M841" s="1566"/>
    </row>
    <row r="842" spans="2:13" hidden="1">
      <c r="B842" s="1540"/>
      <c r="C842" s="1332" t="s">
        <v>2923</v>
      </c>
      <c r="D842" s="1331"/>
      <c r="E842" s="1331" t="s">
        <v>773</v>
      </c>
      <c r="F842" s="1334">
        <v>1039</v>
      </c>
      <c r="G842" s="1104">
        <f>$G$824</f>
        <v>271</v>
      </c>
      <c r="H842" s="1106">
        <f>G842*F842</f>
        <v>281569</v>
      </c>
      <c r="M842" s="1566"/>
    </row>
    <row r="843" spans="2:13" hidden="1">
      <c r="B843" s="1540"/>
      <c r="C843" s="1332" t="s">
        <v>842</v>
      </c>
      <c r="D843" s="1331"/>
      <c r="E843" s="1331" t="s">
        <v>701</v>
      </c>
      <c r="F843" s="1334">
        <v>215</v>
      </c>
      <c r="G843" s="1104">
        <f>DUB!$I$33</f>
        <v>44</v>
      </c>
      <c r="H843" s="1106">
        <f>G843*F843</f>
        <v>9460</v>
      </c>
      <c r="M843" s="1566"/>
    </row>
    <row r="844" spans="2:13" hidden="1">
      <c r="B844" s="1540"/>
      <c r="C844" s="1125"/>
      <c r="D844" s="1333"/>
      <c r="E844" s="1333"/>
      <c r="F844" s="2074" t="s">
        <v>702</v>
      </c>
      <c r="G844" s="2074"/>
      <c r="H844" s="1106">
        <f>SUM(H840:H843)</f>
        <v>1040085.3959999999</v>
      </c>
      <c r="M844" s="1566"/>
    </row>
    <row r="845" spans="2:13" s="496" customFormat="1" hidden="1">
      <c r="B845" s="1543" t="s">
        <v>703</v>
      </c>
      <c r="C845" s="2075" t="s">
        <v>3764</v>
      </c>
      <c r="D845" s="2075"/>
      <c r="E845" s="2075"/>
      <c r="F845" s="2075"/>
      <c r="G845" s="2075"/>
      <c r="H845" s="1107">
        <f>H838+H844</f>
        <v>1364405.3959999999</v>
      </c>
      <c r="J845" s="1559"/>
      <c r="K845" s="1559"/>
      <c r="L845" s="1559"/>
      <c r="M845" s="1635"/>
    </row>
    <row r="846" spans="2:13" s="496" customFormat="1" hidden="1">
      <c r="B846" s="1543" t="s">
        <v>706</v>
      </c>
      <c r="C846" s="2076" t="s">
        <v>709</v>
      </c>
      <c r="D846" s="2076"/>
      <c r="E846" s="2076"/>
      <c r="F846" s="2077" t="s">
        <v>3873</v>
      </c>
      <c r="G846" s="2077"/>
      <c r="H846" s="1107">
        <f>H845*0.15</f>
        <v>204660.8094</v>
      </c>
      <c r="J846" s="1559"/>
      <c r="K846" s="1559"/>
      <c r="L846" s="1559"/>
      <c r="M846" s="1635"/>
    </row>
    <row r="847" spans="2:13" s="496" customFormat="1" hidden="1">
      <c r="B847" s="1543" t="s">
        <v>708</v>
      </c>
      <c r="C847" s="2078" t="s">
        <v>3765</v>
      </c>
      <c r="D847" s="2078"/>
      <c r="E847" s="2078"/>
      <c r="F847" s="2078"/>
      <c r="G847" s="2078"/>
      <c r="H847" s="1107">
        <f>ROUND(SUM(H845:H846),2)</f>
        <v>1569066.21</v>
      </c>
      <c r="I847" s="506">
        <f>SUM(H845:H846)</f>
        <v>1569066.2053999999</v>
      </c>
      <c r="J847" s="1561"/>
      <c r="K847" s="1561"/>
      <c r="L847" s="1559"/>
      <c r="M847" s="1635"/>
    </row>
    <row r="848" spans="2:13">
      <c r="F848" s="1172"/>
      <c r="G848" s="1173"/>
      <c r="H848" s="1133"/>
      <c r="M848" s="1566"/>
    </row>
    <row r="849" spans="2:13">
      <c r="B849" s="1150" t="s">
        <v>3915</v>
      </c>
      <c r="C849" s="1232" t="s">
        <v>2698</v>
      </c>
      <c r="F849" s="1172"/>
      <c r="G849" s="1173"/>
      <c r="H849" s="1133"/>
      <c r="M849" s="1566"/>
    </row>
    <row r="850" spans="2:13" s="507" customFormat="1" ht="24.9" customHeight="1">
      <c r="B850" s="1727" t="s">
        <v>1003</v>
      </c>
      <c r="C850" s="1728" t="s">
        <v>1004</v>
      </c>
      <c r="D850" s="1728" t="s">
        <v>1005</v>
      </c>
      <c r="E850" s="1728" t="s">
        <v>1006</v>
      </c>
      <c r="F850" s="1729" t="s">
        <v>1007</v>
      </c>
      <c r="G850" s="1866" t="s">
        <v>2637</v>
      </c>
      <c r="H850" s="1867" t="s">
        <v>2638</v>
      </c>
      <c r="I850" s="1739"/>
      <c r="J850" s="1605" t="s">
        <v>5335</v>
      </c>
      <c r="K850" s="1603" t="s">
        <v>5336</v>
      </c>
      <c r="L850" s="1603" t="s">
        <v>5337</v>
      </c>
      <c r="M850" s="1604" t="s">
        <v>5338</v>
      </c>
    </row>
    <row r="851" spans="2:13">
      <c r="B851" s="1733" t="s">
        <v>671</v>
      </c>
      <c r="C851" s="1329" t="s">
        <v>672</v>
      </c>
      <c r="D851" s="1331"/>
      <c r="E851" s="1331"/>
      <c r="F851" s="1334"/>
      <c r="G851" s="1104"/>
      <c r="H851" s="1106"/>
      <c r="J851" s="1597"/>
      <c r="K851" s="1597"/>
      <c r="L851" s="1597"/>
      <c r="M851" s="1563"/>
    </row>
    <row r="852" spans="2:13">
      <c r="B852" s="1182"/>
      <c r="C852" s="1332" t="s">
        <v>673</v>
      </c>
      <c r="D852" s="1331" t="s">
        <v>674</v>
      </c>
      <c r="E852" s="1331" t="s">
        <v>675</v>
      </c>
      <c r="F852" s="1334">
        <v>1.65</v>
      </c>
      <c r="G852" s="1104">
        <f>DUB!$I$10</f>
        <v>150000</v>
      </c>
      <c r="H852" s="1106">
        <f>G852*F852</f>
        <v>247500</v>
      </c>
      <c r="J852" s="1609" t="s">
        <v>5339</v>
      </c>
      <c r="K852" s="1611">
        <v>1</v>
      </c>
      <c r="L852" s="1608" t="s">
        <v>5340</v>
      </c>
      <c r="M852" s="1610">
        <f>H852*K852</f>
        <v>247500</v>
      </c>
    </row>
    <row r="853" spans="2:13">
      <c r="B853" s="1182"/>
      <c r="C853" s="1332" t="s">
        <v>816</v>
      </c>
      <c r="D853" s="1331" t="s">
        <v>678</v>
      </c>
      <c r="E853" s="1331" t="s">
        <v>675</v>
      </c>
      <c r="F853" s="1334">
        <v>0.27500000000000002</v>
      </c>
      <c r="G853" s="1104">
        <f>DUB!$I$11</f>
        <v>187000</v>
      </c>
      <c r="H853" s="1106">
        <f>G853*F853</f>
        <v>51425.000000000007</v>
      </c>
      <c r="J853" s="1609" t="s">
        <v>5339</v>
      </c>
      <c r="K853" s="1611">
        <v>1</v>
      </c>
      <c r="L853" s="1608" t="s">
        <v>5340</v>
      </c>
      <c r="M853" s="1610">
        <f t="shared" ref="M853:M855" si="10">H853*K853</f>
        <v>51425.000000000007</v>
      </c>
    </row>
    <row r="854" spans="2:13">
      <c r="B854" s="1182"/>
      <c r="C854" s="1332" t="s">
        <v>680</v>
      </c>
      <c r="D854" s="1331" t="s">
        <v>681</v>
      </c>
      <c r="E854" s="1331" t="s">
        <v>675</v>
      </c>
      <c r="F854" s="1334">
        <v>2.8000000000000001E-2</v>
      </c>
      <c r="G854" s="1104">
        <f>DUB!$I$13</f>
        <v>240000</v>
      </c>
      <c r="H854" s="1106">
        <f>G854*F854</f>
        <v>6720</v>
      </c>
      <c r="J854" s="1609" t="s">
        <v>5339</v>
      </c>
      <c r="K854" s="1611">
        <v>1</v>
      </c>
      <c r="L854" s="1608" t="s">
        <v>5340</v>
      </c>
      <c r="M854" s="1610">
        <f t="shared" si="10"/>
        <v>6720</v>
      </c>
    </row>
    <row r="855" spans="2:13">
      <c r="B855" s="1182"/>
      <c r="C855" s="1332" t="s">
        <v>683</v>
      </c>
      <c r="D855" s="1331" t="s">
        <v>684</v>
      </c>
      <c r="E855" s="1331" t="s">
        <v>675</v>
      </c>
      <c r="F855" s="1334">
        <v>8.3000000000000004E-2</v>
      </c>
      <c r="G855" s="1104">
        <f>DUB!$I$12</f>
        <v>225000</v>
      </c>
      <c r="H855" s="1106">
        <f>G855*F855</f>
        <v>18675</v>
      </c>
      <c r="J855" s="1609" t="s">
        <v>5339</v>
      </c>
      <c r="K855" s="1611">
        <v>1</v>
      </c>
      <c r="L855" s="1608" t="s">
        <v>5340</v>
      </c>
      <c r="M855" s="1610">
        <f t="shared" si="10"/>
        <v>18675</v>
      </c>
    </row>
    <row r="856" spans="2:13">
      <c r="B856" s="1182"/>
      <c r="C856" s="1332"/>
      <c r="D856" s="1331"/>
      <c r="E856" s="1331"/>
      <c r="F856" s="2074" t="s">
        <v>685</v>
      </c>
      <c r="G856" s="2074"/>
      <c r="H856" s="1106">
        <f>SUM(H852:H855)</f>
        <v>324320</v>
      </c>
      <c r="J856" s="1597"/>
      <c r="K856" s="1597"/>
      <c r="L856" s="1597"/>
      <c r="M856" s="1564">
        <f>SUM(M852:M855)</f>
        <v>324320</v>
      </c>
    </row>
    <row r="857" spans="2:13">
      <c r="B857" s="1733" t="s">
        <v>686</v>
      </c>
      <c r="C857" s="1329" t="s">
        <v>687</v>
      </c>
      <c r="D857" s="1331"/>
      <c r="E857" s="1331"/>
      <c r="F857" s="1334"/>
      <c r="G857" s="1104"/>
      <c r="H857" s="1106"/>
      <c r="J857" s="1597"/>
      <c r="K857" s="1597"/>
      <c r="L857" s="1597"/>
      <c r="M857" s="1563"/>
    </row>
    <row r="858" spans="2:13">
      <c r="B858" s="1182"/>
      <c r="C858" s="1332" t="s">
        <v>738</v>
      </c>
      <c r="D858" s="1331"/>
      <c r="E858" s="1331" t="s">
        <v>773</v>
      </c>
      <c r="F858" s="1334">
        <v>406</v>
      </c>
      <c r="G858" s="1104">
        <f>DUB!$I$65</f>
        <v>1575</v>
      </c>
      <c r="H858" s="1106">
        <f>G858*F858</f>
        <v>639450</v>
      </c>
      <c r="J858" s="1634" t="s">
        <v>4925</v>
      </c>
      <c r="K858" s="1611">
        <v>0.97009999999999996</v>
      </c>
      <c r="L858" s="1607" t="s">
        <v>5343</v>
      </c>
      <c r="M858" s="1610">
        <f>H858*K858</f>
        <v>620330.44499999995</v>
      </c>
    </row>
    <row r="859" spans="2:13">
      <c r="B859" s="1182"/>
      <c r="C859" s="1332" t="s">
        <v>831</v>
      </c>
      <c r="D859" s="1331"/>
      <c r="E859" s="1331" t="s">
        <v>773</v>
      </c>
      <c r="F859" s="1334">
        <v>684</v>
      </c>
      <c r="G859" s="1104">
        <f>DUB!$I$60</f>
        <v>208.46299999999999</v>
      </c>
      <c r="H859" s="1106">
        <f>G859*F859</f>
        <v>142588.69200000001</v>
      </c>
      <c r="J859" s="1607" t="s">
        <v>5341</v>
      </c>
      <c r="K859" s="1611">
        <v>1</v>
      </c>
      <c r="L859" s="1607" t="s">
        <v>5341</v>
      </c>
      <c r="M859" s="1610">
        <f>H859*K859</f>
        <v>142588.69200000001</v>
      </c>
    </row>
    <row r="860" spans="2:13">
      <c r="B860" s="1182"/>
      <c r="C860" s="1332" t="s">
        <v>2923</v>
      </c>
      <c r="D860" s="1331"/>
      <c r="E860" s="1331" t="s">
        <v>773</v>
      </c>
      <c r="F860" s="1334">
        <v>1026</v>
      </c>
      <c r="G860" s="1104">
        <f>$G$842</f>
        <v>271</v>
      </c>
      <c r="H860" s="1106">
        <f>G860*F860</f>
        <v>278046</v>
      </c>
      <c r="J860" s="1607" t="s">
        <v>5341</v>
      </c>
      <c r="K860" s="1611">
        <v>1</v>
      </c>
      <c r="L860" s="1607" t="s">
        <v>5341</v>
      </c>
      <c r="M860" s="1610">
        <f>H860*K860</f>
        <v>278046</v>
      </c>
    </row>
    <row r="861" spans="2:13">
      <c r="B861" s="1182"/>
      <c r="C861" s="1332" t="s">
        <v>842</v>
      </c>
      <c r="D861" s="1331"/>
      <c r="E861" s="1331" t="s">
        <v>701</v>
      </c>
      <c r="F861" s="1334">
        <v>215</v>
      </c>
      <c r="G861" s="1104">
        <f>DUB!$I$33</f>
        <v>44</v>
      </c>
      <c r="H861" s="1106">
        <f>G861*F861</f>
        <v>9460</v>
      </c>
      <c r="J861" s="1607" t="s">
        <v>5341</v>
      </c>
      <c r="K861" s="1611">
        <v>1</v>
      </c>
      <c r="L861" s="1607" t="s">
        <v>5341</v>
      </c>
      <c r="M861" s="1610">
        <f>H861*K861</f>
        <v>9460</v>
      </c>
    </row>
    <row r="862" spans="2:13">
      <c r="B862" s="1182"/>
      <c r="C862" s="1125"/>
      <c r="D862" s="1333"/>
      <c r="E862" s="1333"/>
      <c r="F862" s="2074" t="s">
        <v>702</v>
      </c>
      <c r="G862" s="2074"/>
      <c r="H862" s="1106">
        <f>SUM(H858:H861)</f>
        <v>1069544.692</v>
      </c>
      <c r="J862" s="1600"/>
      <c r="L862" s="1600"/>
      <c r="M862" s="1564">
        <f>SUM(M858:M861)</f>
        <v>1050425.1370000001</v>
      </c>
    </row>
    <row r="863" spans="2:13" s="496" customFormat="1">
      <c r="B863" s="1733" t="s">
        <v>703</v>
      </c>
      <c r="C863" s="2075" t="s">
        <v>3764</v>
      </c>
      <c r="D863" s="2075"/>
      <c r="E863" s="2075"/>
      <c r="F863" s="2075"/>
      <c r="G863" s="2075"/>
      <c r="H863" s="1107">
        <f>H856+H862</f>
        <v>1393864.692</v>
      </c>
      <c r="J863" s="1600"/>
      <c r="K863" s="1633">
        <f>M863/H863</f>
        <v>0.98628306240215746</v>
      </c>
      <c r="L863" s="1600"/>
      <c r="M863" s="1564">
        <f>M862+M856</f>
        <v>1374745.1370000001</v>
      </c>
    </row>
    <row r="864" spans="2:13" s="496" customFormat="1">
      <c r="B864" s="1733" t="s">
        <v>706</v>
      </c>
      <c r="C864" s="2076" t="s">
        <v>709</v>
      </c>
      <c r="D864" s="2076"/>
      <c r="E864" s="2076"/>
      <c r="F864" s="2077" t="s">
        <v>3873</v>
      </c>
      <c r="G864" s="2077"/>
      <c r="H864" s="1107">
        <f>H863*0.15</f>
        <v>209079.70379999999</v>
      </c>
      <c r="J864" s="1602"/>
      <c r="K864" s="1602"/>
      <c r="L864" s="1600"/>
      <c r="M864" s="1564">
        <f>M863*0.15</f>
        <v>206211.77055000002</v>
      </c>
    </row>
    <row r="865" spans="2:13" s="496" customFormat="1">
      <c r="B865" s="1734" t="s">
        <v>708</v>
      </c>
      <c r="C865" s="2109" t="s">
        <v>3765</v>
      </c>
      <c r="D865" s="2109"/>
      <c r="E865" s="2109"/>
      <c r="F865" s="2109"/>
      <c r="G865" s="2109"/>
      <c r="H865" s="1857">
        <f>ROUND(SUM(H863:H864),2)</f>
        <v>1602944.4</v>
      </c>
      <c r="I865" s="1873">
        <f>SUM(H863:H864)</f>
        <v>1602944.3958000001</v>
      </c>
      <c r="J865" s="1885"/>
      <c r="K865" s="1885"/>
      <c r="L865" s="1886"/>
      <c r="M865" s="1917">
        <f>SUM(M863:M864)</f>
        <v>1580956.9075500001</v>
      </c>
    </row>
    <row r="866" spans="2:13" hidden="1">
      <c r="B866" s="1624"/>
      <c r="F866" s="1172"/>
      <c r="G866" s="1173"/>
      <c r="H866" s="1133"/>
      <c r="M866" s="1619"/>
    </row>
    <row r="867" spans="2:13" hidden="1">
      <c r="B867" s="1613" t="s">
        <v>3916</v>
      </c>
      <c r="C867" s="1232" t="s">
        <v>2699</v>
      </c>
      <c r="F867" s="1172"/>
      <c r="G867" s="1173"/>
      <c r="H867" s="1133"/>
      <c r="M867" s="1619"/>
    </row>
    <row r="868" spans="2:13" s="507" customFormat="1" ht="24.9" hidden="1" customHeight="1">
      <c r="B868" s="1648" t="s">
        <v>1003</v>
      </c>
      <c r="C868" s="1101" t="s">
        <v>1004</v>
      </c>
      <c r="D868" s="1101" t="s">
        <v>1005</v>
      </c>
      <c r="E868" s="1101" t="s">
        <v>1006</v>
      </c>
      <c r="F868" s="1102" t="s">
        <v>1007</v>
      </c>
      <c r="G868" s="1109" t="s">
        <v>2637</v>
      </c>
      <c r="H868" s="1110" t="s">
        <v>2638</v>
      </c>
      <c r="J868" s="1625"/>
      <c r="K868" s="1625"/>
      <c r="L868" s="1625"/>
      <c r="M868" s="1626"/>
    </row>
    <row r="869" spans="2:13" hidden="1">
      <c r="B869" s="1649" t="s">
        <v>671</v>
      </c>
      <c r="C869" s="1329" t="s">
        <v>672</v>
      </c>
      <c r="D869" s="1331"/>
      <c r="E869" s="1331"/>
      <c r="F869" s="1334"/>
      <c r="G869" s="1104"/>
      <c r="H869" s="1106"/>
      <c r="M869" s="1619"/>
    </row>
    <row r="870" spans="2:13" hidden="1">
      <c r="B870" s="1650"/>
      <c r="C870" s="1332" t="s">
        <v>673</v>
      </c>
      <c r="D870" s="1331" t="s">
        <v>674</v>
      </c>
      <c r="E870" s="1331" t="s">
        <v>675</v>
      </c>
      <c r="F870" s="1334">
        <v>1.65</v>
      </c>
      <c r="G870" s="1104">
        <f>DUB!$I$10</f>
        <v>150000</v>
      </c>
      <c r="H870" s="1106">
        <f>G870*F870</f>
        <v>247500</v>
      </c>
      <c r="M870" s="1619"/>
    </row>
    <row r="871" spans="2:13" hidden="1">
      <c r="B871" s="1650"/>
      <c r="C871" s="1332" t="s">
        <v>816</v>
      </c>
      <c r="D871" s="1331" t="s">
        <v>678</v>
      </c>
      <c r="E871" s="1331" t="s">
        <v>675</v>
      </c>
      <c r="F871" s="1334">
        <v>0.27500000000000002</v>
      </c>
      <c r="G871" s="1104">
        <f>DUB!$I$11</f>
        <v>187000</v>
      </c>
      <c r="H871" s="1106">
        <f>G871*F871</f>
        <v>51425.000000000007</v>
      </c>
      <c r="M871" s="1619"/>
    </row>
    <row r="872" spans="2:13" hidden="1">
      <c r="B872" s="1650"/>
      <c r="C872" s="1332" t="s">
        <v>680</v>
      </c>
      <c r="D872" s="1331" t="s">
        <v>681</v>
      </c>
      <c r="E872" s="1331" t="s">
        <v>675</v>
      </c>
      <c r="F872" s="1334">
        <v>2.8000000000000001E-2</v>
      </c>
      <c r="G872" s="1104">
        <f>DUB!$I$13</f>
        <v>240000</v>
      </c>
      <c r="H872" s="1106">
        <f>G872*F872</f>
        <v>6720</v>
      </c>
      <c r="M872" s="1619"/>
    </row>
    <row r="873" spans="2:13" hidden="1">
      <c r="B873" s="1650"/>
      <c r="C873" s="1332" t="s">
        <v>683</v>
      </c>
      <c r="D873" s="1331" t="s">
        <v>684</v>
      </c>
      <c r="E873" s="1331" t="s">
        <v>675</v>
      </c>
      <c r="F873" s="1334">
        <v>8.3000000000000004E-2</v>
      </c>
      <c r="G873" s="1104">
        <f>DUB!$I$12</f>
        <v>225000</v>
      </c>
      <c r="H873" s="1106">
        <f>G873*F873</f>
        <v>18675</v>
      </c>
      <c r="M873" s="1619"/>
    </row>
    <row r="874" spans="2:13" hidden="1">
      <c r="B874" s="1650"/>
      <c r="C874" s="1332"/>
      <c r="D874" s="1331"/>
      <c r="E874" s="1331"/>
      <c r="F874" s="2074" t="s">
        <v>685</v>
      </c>
      <c r="G874" s="2074"/>
      <c r="H874" s="1106">
        <f>SUM(H870:H873)</f>
        <v>324320</v>
      </c>
      <c r="M874" s="1619"/>
    </row>
    <row r="875" spans="2:13" hidden="1">
      <c r="B875" s="1649" t="s">
        <v>686</v>
      </c>
      <c r="C875" s="1329" t="s">
        <v>687</v>
      </c>
      <c r="D875" s="1331"/>
      <c r="E875" s="1331"/>
      <c r="F875" s="1334"/>
      <c r="G875" s="1104"/>
      <c r="H875" s="1106"/>
      <c r="M875" s="1619"/>
    </row>
    <row r="876" spans="2:13" hidden="1">
      <c r="B876" s="1650"/>
      <c r="C876" s="1332" t="s">
        <v>738</v>
      </c>
      <c r="D876" s="1331"/>
      <c r="E876" s="1331" t="s">
        <v>773</v>
      </c>
      <c r="F876" s="1334">
        <v>413</v>
      </c>
      <c r="G876" s="1104">
        <f>DUB!$I$65</f>
        <v>1575</v>
      </c>
      <c r="H876" s="1106">
        <f>G876*F876</f>
        <v>650475</v>
      </c>
      <c r="M876" s="1619"/>
    </row>
    <row r="877" spans="2:13" hidden="1">
      <c r="B877" s="1650"/>
      <c r="C877" s="1332" t="s">
        <v>831</v>
      </c>
      <c r="D877" s="1331"/>
      <c r="E877" s="1331" t="s">
        <v>773</v>
      </c>
      <c r="F877" s="1334">
        <v>681</v>
      </c>
      <c r="G877" s="1104">
        <f>DUB!$I$60</f>
        <v>208.46299999999999</v>
      </c>
      <c r="H877" s="1106">
        <f>G877*F877</f>
        <v>141963.30299999999</v>
      </c>
      <c r="M877" s="1619"/>
    </row>
    <row r="878" spans="2:13" hidden="1">
      <c r="B878" s="1650"/>
      <c r="C878" s="1332" t="s">
        <v>2923</v>
      </c>
      <c r="D878" s="1331"/>
      <c r="E878" s="1331" t="s">
        <v>773</v>
      </c>
      <c r="F878" s="1334">
        <v>1021</v>
      </c>
      <c r="G878" s="1104">
        <f>$G$860</f>
        <v>271</v>
      </c>
      <c r="H878" s="1106">
        <f>G878*F878</f>
        <v>276691</v>
      </c>
      <c r="M878" s="1619"/>
    </row>
    <row r="879" spans="2:13" hidden="1">
      <c r="B879" s="1650"/>
      <c r="C879" s="1332" t="s">
        <v>842</v>
      </c>
      <c r="D879" s="1331"/>
      <c r="E879" s="1331" t="s">
        <v>701</v>
      </c>
      <c r="F879" s="1334">
        <v>215</v>
      </c>
      <c r="G879" s="1104">
        <f>DUB!$I$33</f>
        <v>44</v>
      </c>
      <c r="H879" s="1106">
        <f>G879*F879</f>
        <v>9460</v>
      </c>
      <c r="M879" s="1619"/>
    </row>
    <row r="880" spans="2:13" hidden="1">
      <c r="B880" s="1650"/>
      <c r="C880" s="1332"/>
      <c r="D880" s="1331"/>
      <c r="E880" s="1331"/>
      <c r="F880" s="2091" t="s">
        <v>702</v>
      </c>
      <c r="G880" s="2091"/>
      <c r="H880" s="1106">
        <f>SUM(H876:H879)</f>
        <v>1078589.3029999998</v>
      </c>
      <c r="M880" s="1619"/>
    </row>
    <row r="881" spans="2:13" s="496" customFormat="1" hidden="1">
      <c r="B881" s="1649" t="s">
        <v>703</v>
      </c>
      <c r="C881" s="2075" t="s">
        <v>3764</v>
      </c>
      <c r="D881" s="2075"/>
      <c r="E881" s="2075"/>
      <c r="F881" s="2075"/>
      <c r="G881" s="2075"/>
      <c r="H881" s="1107">
        <f>H874+H880</f>
        <v>1402909.3029999998</v>
      </c>
      <c r="J881" s="1559"/>
      <c r="K881" s="1559"/>
      <c r="L881" s="1559"/>
      <c r="M881" s="1614"/>
    </row>
    <row r="882" spans="2:13" s="496" customFormat="1" hidden="1">
      <c r="B882" s="1649" t="s">
        <v>706</v>
      </c>
      <c r="C882" s="2076" t="s">
        <v>709</v>
      </c>
      <c r="D882" s="2076"/>
      <c r="E882" s="2076"/>
      <c r="F882" s="2077" t="s">
        <v>3873</v>
      </c>
      <c r="G882" s="2077"/>
      <c r="H882" s="1107">
        <f>H881*0.15</f>
        <v>210436.39544999998</v>
      </c>
      <c r="J882" s="1559"/>
      <c r="K882" s="1559"/>
      <c r="L882" s="1559"/>
      <c r="M882" s="1614"/>
    </row>
    <row r="883" spans="2:13" s="496" customFormat="1" hidden="1">
      <c r="B883" s="1649" t="s">
        <v>708</v>
      </c>
      <c r="C883" s="2075" t="s">
        <v>3765</v>
      </c>
      <c r="D883" s="2075"/>
      <c r="E883" s="2075"/>
      <c r="F883" s="2075"/>
      <c r="G883" s="2075"/>
      <c r="H883" s="1107">
        <f>ROUND(SUM(H881:H882),2)</f>
        <v>1613345.7</v>
      </c>
      <c r="I883" s="506">
        <f>SUM(H881:H882)</f>
        <v>1613345.6984499998</v>
      </c>
      <c r="J883" s="1561"/>
      <c r="K883" s="1561"/>
      <c r="L883" s="1559"/>
      <c r="M883" s="1614"/>
    </row>
    <row r="884" spans="2:13" hidden="1">
      <c r="B884" s="1624"/>
      <c r="F884" s="1172"/>
      <c r="G884" s="1173"/>
      <c r="H884" s="1133"/>
      <c r="M884" s="1619"/>
    </row>
    <row r="885" spans="2:13" hidden="1">
      <c r="B885" s="1613" t="s">
        <v>3917</v>
      </c>
      <c r="C885" s="1232" t="s">
        <v>2700</v>
      </c>
      <c r="F885" s="1172"/>
      <c r="G885" s="1173"/>
      <c r="H885" s="1133"/>
      <c r="M885" s="1619"/>
    </row>
    <row r="886" spans="2:13" s="507" customFormat="1" ht="24.9" hidden="1" customHeight="1">
      <c r="B886" s="1648" t="s">
        <v>1003</v>
      </c>
      <c r="C886" s="1101" t="s">
        <v>1004</v>
      </c>
      <c r="D886" s="1101" t="s">
        <v>1005</v>
      </c>
      <c r="E886" s="1101" t="s">
        <v>1006</v>
      </c>
      <c r="F886" s="1102" t="s">
        <v>1007</v>
      </c>
      <c r="G886" s="1109" t="s">
        <v>2637</v>
      </c>
      <c r="H886" s="1110" t="s">
        <v>2638</v>
      </c>
      <c r="J886" s="1625"/>
      <c r="K886" s="1625"/>
      <c r="L886" s="1625"/>
      <c r="M886" s="1626"/>
    </row>
    <row r="887" spans="2:13" hidden="1">
      <c r="B887" s="1649" t="s">
        <v>671</v>
      </c>
      <c r="C887" s="1329" t="s">
        <v>672</v>
      </c>
      <c r="D887" s="1331"/>
      <c r="E887" s="1331"/>
      <c r="F887" s="1334"/>
      <c r="G887" s="1104"/>
      <c r="H887" s="1106"/>
      <c r="M887" s="1619"/>
    </row>
    <row r="888" spans="2:13" hidden="1">
      <c r="B888" s="1650"/>
      <c r="C888" s="1332" t="s">
        <v>673</v>
      </c>
      <c r="D888" s="1331" t="s">
        <v>674</v>
      </c>
      <c r="E888" s="1331" t="s">
        <v>675</v>
      </c>
      <c r="F888" s="1334">
        <v>2.1</v>
      </c>
      <c r="G888" s="1104">
        <f>DUB!$I$10</f>
        <v>150000</v>
      </c>
      <c r="H888" s="1106">
        <f>G888*F888</f>
        <v>315000</v>
      </c>
      <c r="M888" s="1619"/>
    </row>
    <row r="889" spans="2:13" hidden="1">
      <c r="B889" s="1650"/>
      <c r="C889" s="1332" t="s">
        <v>816</v>
      </c>
      <c r="D889" s="1331" t="s">
        <v>678</v>
      </c>
      <c r="E889" s="1331" t="s">
        <v>675</v>
      </c>
      <c r="F889" s="1334">
        <v>0.35</v>
      </c>
      <c r="G889" s="1104">
        <f>DUB!$I$11</f>
        <v>187000</v>
      </c>
      <c r="H889" s="1106">
        <f>G889*F889</f>
        <v>65449.999999999993</v>
      </c>
      <c r="M889" s="1619"/>
    </row>
    <row r="890" spans="2:13" hidden="1">
      <c r="B890" s="1650"/>
      <c r="C890" s="1332" t="s">
        <v>680</v>
      </c>
      <c r="D890" s="1331" t="s">
        <v>681</v>
      </c>
      <c r="E890" s="1331" t="s">
        <v>675</v>
      </c>
      <c r="F890" s="1334">
        <v>3.5000000000000003E-2</v>
      </c>
      <c r="G890" s="1104">
        <f>DUB!$I$13</f>
        <v>240000</v>
      </c>
      <c r="H890" s="1106">
        <f>G890*F890</f>
        <v>8400</v>
      </c>
      <c r="M890" s="1619"/>
    </row>
    <row r="891" spans="2:13" hidden="1">
      <c r="B891" s="1650"/>
      <c r="C891" s="1332" t="s">
        <v>683</v>
      </c>
      <c r="D891" s="1331" t="s">
        <v>684</v>
      </c>
      <c r="E891" s="1331" t="s">
        <v>675</v>
      </c>
      <c r="F891" s="1334">
        <v>0.105</v>
      </c>
      <c r="G891" s="1104">
        <f>DUB!$I$12</f>
        <v>225000</v>
      </c>
      <c r="H891" s="1106">
        <f>G891*F891</f>
        <v>23625</v>
      </c>
      <c r="M891" s="1619"/>
    </row>
    <row r="892" spans="2:13" hidden="1">
      <c r="B892" s="1650"/>
      <c r="C892" s="1332"/>
      <c r="D892" s="1331"/>
      <c r="E892" s="1331"/>
      <c r="F892" s="2091" t="s">
        <v>685</v>
      </c>
      <c r="G892" s="2091"/>
      <c r="H892" s="1106">
        <f>SUM(H888:H891)</f>
        <v>412475</v>
      </c>
      <c r="M892" s="1619"/>
    </row>
    <row r="893" spans="2:13" hidden="1">
      <c r="B893" s="1649" t="s">
        <v>686</v>
      </c>
      <c r="C893" s="1329" t="s">
        <v>687</v>
      </c>
      <c r="D893" s="1331"/>
      <c r="E893" s="1331"/>
      <c r="F893" s="1334"/>
      <c r="G893" s="1104"/>
      <c r="H893" s="1106"/>
      <c r="M893" s="1619"/>
    </row>
    <row r="894" spans="2:13" hidden="1">
      <c r="B894" s="1650"/>
      <c r="C894" s="1332" t="s">
        <v>738</v>
      </c>
      <c r="D894" s="1331"/>
      <c r="E894" s="1331" t="s">
        <v>773</v>
      </c>
      <c r="F894" s="1334">
        <v>439</v>
      </c>
      <c r="G894" s="1104">
        <f>DUB!$I$65</f>
        <v>1575</v>
      </c>
      <c r="H894" s="1106">
        <f>G894*F894</f>
        <v>691425</v>
      </c>
      <c r="M894" s="1619"/>
    </row>
    <row r="895" spans="2:13" hidden="1">
      <c r="B895" s="1650"/>
      <c r="C895" s="1332" t="s">
        <v>831</v>
      </c>
      <c r="D895" s="1331"/>
      <c r="E895" s="1331" t="s">
        <v>773</v>
      </c>
      <c r="F895" s="1334">
        <v>670</v>
      </c>
      <c r="G895" s="1104">
        <f>DUB!$I$60</f>
        <v>208.46299999999999</v>
      </c>
      <c r="H895" s="1106">
        <f>G895*F895</f>
        <v>139670.21</v>
      </c>
      <c r="M895" s="1619"/>
    </row>
    <row r="896" spans="2:13" hidden="1">
      <c r="B896" s="1650"/>
      <c r="C896" s="1332" t="s">
        <v>2923</v>
      </c>
      <c r="D896" s="1331"/>
      <c r="E896" s="1331" t="s">
        <v>773</v>
      </c>
      <c r="F896" s="1334">
        <v>1006</v>
      </c>
      <c r="G896" s="1104">
        <f>$G$878</f>
        <v>271</v>
      </c>
      <c r="H896" s="1106">
        <f>G896*F896</f>
        <v>272626</v>
      </c>
      <c r="M896" s="1619"/>
    </row>
    <row r="897" spans="2:13" hidden="1">
      <c r="B897" s="1650"/>
      <c r="C897" s="1332" t="s">
        <v>842</v>
      </c>
      <c r="D897" s="1331"/>
      <c r="E897" s="1331" t="s">
        <v>701</v>
      </c>
      <c r="F897" s="1334">
        <v>215</v>
      </c>
      <c r="G897" s="1104">
        <f>DUB!$I$33</f>
        <v>44</v>
      </c>
      <c r="H897" s="1106">
        <f>G897*F897</f>
        <v>9460</v>
      </c>
      <c r="M897" s="1619"/>
    </row>
    <row r="898" spans="2:13" hidden="1">
      <c r="B898" s="1650"/>
      <c r="C898" s="1332"/>
      <c r="D898" s="1331"/>
      <c r="E898" s="1331"/>
      <c r="F898" s="2091" t="s">
        <v>702</v>
      </c>
      <c r="G898" s="2091"/>
      <c r="H898" s="1106">
        <f>SUM(H894:H897)</f>
        <v>1113181.21</v>
      </c>
      <c r="M898" s="1619"/>
    </row>
    <row r="899" spans="2:13" s="496" customFormat="1" hidden="1">
      <c r="B899" s="1649" t="s">
        <v>703</v>
      </c>
      <c r="C899" s="2075" t="s">
        <v>3764</v>
      </c>
      <c r="D899" s="2075"/>
      <c r="E899" s="2075"/>
      <c r="F899" s="2075"/>
      <c r="G899" s="2075"/>
      <c r="H899" s="1107">
        <f>H892+H898</f>
        <v>1525656.21</v>
      </c>
      <c r="J899" s="1559"/>
      <c r="K899" s="1559"/>
      <c r="L899" s="1559"/>
      <c r="M899" s="1614"/>
    </row>
    <row r="900" spans="2:13" s="496" customFormat="1" hidden="1">
      <c r="B900" s="1649" t="s">
        <v>706</v>
      </c>
      <c r="C900" s="2076" t="s">
        <v>709</v>
      </c>
      <c r="D900" s="2076"/>
      <c r="E900" s="2076"/>
      <c r="F900" s="2077" t="s">
        <v>3873</v>
      </c>
      <c r="G900" s="2077"/>
      <c r="H900" s="1107">
        <f>H899*0.15</f>
        <v>228848.43149999998</v>
      </c>
      <c r="J900" s="1559"/>
      <c r="K900" s="1559"/>
      <c r="L900" s="1559"/>
      <c r="M900" s="1614"/>
    </row>
    <row r="901" spans="2:13" s="496" customFormat="1" hidden="1">
      <c r="B901" s="1649" t="s">
        <v>708</v>
      </c>
      <c r="C901" s="2075" t="s">
        <v>3765</v>
      </c>
      <c r="D901" s="2075"/>
      <c r="E901" s="2075"/>
      <c r="F901" s="2075"/>
      <c r="G901" s="2075"/>
      <c r="H901" s="1107">
        <f>ROUND(SUM(H899:H900),2)</f>
        <v>1754504.64</v>
      </c>
      <c r="I901" s="506">
        <f>SUM(H899:H900)</f>
        <v>1754504.6414999999</v>
      </c>
      <c r="J901" s="1561"/>
      <c r="K901" s="1561"/>
      <c r="L901" s="1559"/>
      <c r="M901" s="1614"/>
    </row>
    <row r="902" spans="2:13" hidden="1">
      <c r="B902" s="1624"/>
      <c r="F902" s="1172"/>
      <c r="G902" s="1173"/>
      <c r="H902" s="1133"/>
      <c r="M902" s="1619"/>
    </row>
    <row r="903" spans="2:13" hidden="1">
      <c r="B903" s="1613" t="s">
        <v>3918</v>
      </c>
      <c r="C903" s="1232" t="s">
        <v>2701</v>
      </c>
      <c r="F903" s="1172"/>
      <c r="G903" s="1173"/>
      <c r="H903" s="1133"/>
      <c r="M903" s="1619"/>
    </row>
    <row r="904" spans="2:13" s="507" customFormat="1" ht="24.9" hidden="1" customHeight="1">
      <c r="B904" s="1648" t="s">
        <v>1003</v>
      </c>
      <c r="C904" s="1101" t="s">
        <v>1004</v>
      </c>
      <c r="D904" s="1101" t="s">
        <v>1005</v>
      </c>
      <c r="E904" s="1101" t="s">
        <v>1006</v>
      </c>
      <c r="F904" s="1102" t="s">
        <v>1007</v>
      </c>
      <c r="G904" s="1109" t="s">
        <v>2637</v>
      </c>
      <c r="H904" s="1110" t="s">
        <v>2638</v>
      </c>
      <c r="J904" s="1625"/>
      <c r="K904" s="1625"/>
      <c r="L904" s="1625"/>
      <c r="M904" s="1626"/>
    </row>
    <row r="905" spans="2:13" hidden="1">
      <c r="B905" s="1649" t="s">
        <v>671</v>
      </c>
      <c r="C905" s="1329" t="s">
        <v>672</v>
      </c>
      <c r="D905" s="1331"/>
      <c r="E905" s="1331"/>
      <c r="F905" s="1334"/>
      <c r="G905" s="1104"/>
      <c r="H905" s="1106"/>
      <c r="M905" s="1619"/>
    </row>
    <row r="906" spans="2:13" hidden="1">
      <c r="B906" s="1650"/>
      <c r="C906" s="1332" t="s">
        <v>673</v>
      </c>
      <c r="D906" s="1331" t="s">
        <v>674</v>
      </c>
      <c r="E906" s="1331" t="s">
        <v>675</v>
      </c>
      <c r="F906" s="1334">
        <v>2.1</v>
      </c>
      <c r="G906" s="1104">
        <f>DUB!$I$10</f>
        <v>150000</v>
      </c>
      <c r="H906" s="1106">
        <f>G906*F906</f>
        <v>315000</v>
      </c>
      <c r="M906" s="1619"/>
    </row>
    <row r="907" spans="2:13" hidden="1">
      <c r="B907" s="1650"/>
      <c r="C907" s="1332" t="s">
        <v>816</v>
      </c>
      <c r="D907" s="1331" t="s">
        <v>678</v>
      </c>
      <c r="E907" s="1331" t="s">
        <v>675</v>
      </c>
      <c r="F907" s="1334">
        <v>0.35</v>
      </c>
      <c r="G907" s="1104">
        <f>DUB!$I$11</f>
        <v>187000</v>
      </c>
      <c r="H907" s="1106">
        <f>G907*F907</f>
        <v>65449.999999999993</v>
      </c>
      <c r="M907" s="1619"/>
    </row>
    <row r="908" spans="2:13" hidden="1">
      <c r="B908" s="1650"/>
      <c r="C908" s="1332" t="s">
        <v>680</v>
      </c>
      <c r="D908" s="1331" t="s">
        <v>681</v>
      </c>
      <c r="E908" s="1331" t="s">
        <v>675</v>
      </c>
      <c r="F908" s="1334">
        <v>3.5000000000000003E-2</v>
      </c>
      <c r="G908" s="1104">
        <f>DUB!$I$13</f>
        <v>240000</v>
      </c>
      <c r="H908" s="1106">
        <f>G908*F908</f>
        <v>8400</v>
      </c>
      <c r="M908" s="1619"/>
    </row>
    <row r="909" spans="2:13" hidden="1">
      <c r="B909" s="1650"/>
      <c r="C909" s="1332" t="s">
        <v>683</v>
      </c>
      <c r="D909" s="1331" t="s">
        <v>684</v>
      </c>
      <c r="E909" s="1331" t="s">
        <v>675</v>
      </c>
      <c r="F909" s="1334">
        <v>0.105</v>
      </c>
      <c r="G909" s="1104">
        <f>DUB!$I$12</f>
        <v>225000</v>
      </c>
      <c r="H909" s="1106">
        <f>G909*F909</f>
        <v>23625</v>
      </c>
      <c r="M909" s="1619"/>
    </row>
    <row r="910" spans="2:13" hidden="1">
      <c r="B910" s="1650"/>
      <c r="C910" s="1332"/>
      <c r="D910" s="1331"/>
      <c r="E910" s="1331"/>
      <c r="F910" s="2091" t="s">
        <v>685</v>
      </c>
      <c r="G910" s="2091"/>
      <c r="H910" s="1106">
        <f>SUM(H906:H909)</f>
        <v>412475</v>
      </c>
      <c r="M910" s="1619"/>
    </row>
    <row r="911" spans="2:13" hidden="1">
      <c r="B911" s="1649" t="s">
        <v>686</v>
      </c>
      <c r="C911" s="1329" t="s">
        <v>687</v>
      </c>
      <c r="D911" s="1331"/>
      <c r="E911" s="1331"/>
      <c r="F911" s="1334"/>
      <c r="G911" s="1104"/>
      <c r="H911" s="1106"/>
      <c r="M911" s="1619"/>
    </row>
    <row r="912" spans="2:13" hidden="1">
      <c r="B912" s="1650"/>
      <c r="C912" s="1332" t="s">
        <v>738</v>
      </c>
      <c r="D912" s="1331"/>
      <c r="E912" s="1331" t="s">
        <v>773</v>
      </c>
      <c r="F912" s="1334">
        <v>448</v>
      </c>
      <c r="G912" s="1104">
        <f>DUB!$I$65</f>
        <v>1575</v>
      </c>
      <c r="H912" s="1106">
        <f>G912*F912</f>
        <v>705600</v>
      </c>
      <c r="M912" s="1619"/>
    </row>
    <row r="913" spans="2:13" hidden="1">
      <c r="B913" s="1650"/>
      <c r="C913" s="1332" t="s">
        <v>831</v>
      </c>
      <c r="D913" s="1331"/>
      <c r="E913" s="1331" t="s">
        <v>773</v>
      </c>
      <c r="F913" s="1334">
        <v>667</v>
      </c>
      <c r="G913" s="1104">
        <f>DUB!$I$60</f>
        <v>208.46299999999999</v>
      </c>
      <c r="H913" s="1106">
        <f>G913*F913</f>
        <v>139044.821</v>
      </c>
      <c r="M913" s="1619"/>
    </row>
    <row r="914" spans="2:13" hidden="1">
      <c r="B914" s="1650"/>
      <c r="C914" s="1332" t="s">
        <v>2923</v>
      </c>
      <c r="D914" s="1331"/>
      <c r="E914" s="1331" t="s">
        <v>773</v>
      </c>
      <c r="F914" s="1334">
        <v>1000</v>
      </c>
      <c r="G914" s="1104">
        <f>$G$896</f>
        <v>271</v>
      </c>
      <c r="H914" s="1106">
        <f>G914*F914</f>
        <v>271000</v>
      </c>
      <c r="M914" s="1619"/>
    </row>
    <row r="915" spans="2:13" hidden="1">
      <c r="B915" s="1650"/>
      <c r="C915" s="1332" t="s">
        <v>842</v>
      </c>
      <c r="D915" s="1331"/>
      <c r="E915" s="1331" t="s">
        <v>701</v>
      </c>
      <c r="F915" s="1334">
        <v>215</v>
      </c>
      <c r="G915" s="1104">
        <f>DUB!$I$33</f>
        <v>44</v>
      </c>
      <c r="H915" s="1106">
        <f>G915*F915</f>
        <v>9460</v>
      </c>
      <c r="M915" s="1619"/>
    </row>
    <row r="916" spans="2:13" hidden="1">
      <c r="B916" s="1650"/>
      <c r="C916" s="1332"/>
      <c r="D916" s="1331"/>
      <c r="E916" s="1331"/>
      <c r="F916" s="2091" t="s">
        <v>702</v>
      </c>
      <c r="G916" s="2091"/>
      <c r="H916" s="1106">
        <f>SUM(H912:H915)</f>
        <v>1125104.821</v>
      </c>
      <c r="M916" s="1619"/>
    </row>
    <row r="917" spans="2:13" s="496" customFormat="1" hidden="1">
      <c r="B917" s="1649" t="s">
        <v>703</v>
      </c>
      <c r="C917" s="2075" t="s">
        <v>3764</v>
      </c>
      <c r="D917" s="2075"/>
      <c r="E917" s="2075"/>
      <c r="F917" s="2075"/>
      <c r="G917" s="2075"/>
      <c r="H917" s="1107">
        <f>H910+H916</f>
        <v>1537579.821</v>
      </c>
      <c r="J917" s="1559"/>
      <c r="K917" s="1559"/>
      <c r="L917" s="1559"/>
      <c r="M917" s="1614"/>
    </row>
    <row r="918" spans="2:13" s="496" customFormat="1" hidden="1">
      <c r="B918" s="1649" t="s">
        <v>706</v>
      </c>
      <c r="C918" s="2076" t="s">
        <v>709</v>
      </c>
      <c r="D918" s="2076"/>
      <c r="E918" s="2076"/>
      <c r="F918" s="2077" t="s">
        <v>3873</v>
      </c>
      <c r="G918" s="2077"/>
      <c r="H918" s="1107">
        <f>H917*0.15</f>
        <v>230636.97315000001</v>
      </c>
      <c r="J918" s="1559"/>
      <c r="K918" s="1559"/>
      <c r="L918" s="1559"/>
      <c r="M918" s="1614"/>
    </row>
    <row r="919" spans="2:13" s="496" customFormat="1" hidden="1">
      <c r="B919" s="1649" t="s">
        <v>708</v>
      </c>
      <c r="C919" s="2075" t="s">
        <v>3765</v>
      </c>
      <c r="D919" s="2075"/>
      <c r="E919" s="2075"/>
      <c r="F919" s="2075"/>
      <c r="G919" s="2075"/>
      <c r="H919" s="1107">
        <f>ROUND(SUM(H917:H918),2)</f>
        <v>1768216.79</v>
      </c>
      <c r="I919" s="506">
        <f>SUM(H917:H918)</f>
        <v>1768216.79415</v>
      </c>
      <c r="J919" s="1561"/>
      <c r="K919" s="1561"/>
      <c r="L919" s="1559"/>
      <c r="M919" s="1614"/>
    </row>
    <row r="920" spans="2:13" hidden="1">
      <c r="B920" s="1624"/>
      <c r="F920" s="1172"/>
      <c r="G920" s="1173"/>
      <c r="H920" s="1133"/>
      <c r="M920" s="1619"/>
    </row>
    <row r="921" spans="2:13" hidden="1">
      <c r="B921" s="1613" t="s">
        <v>3919</v>
      </c>
      <c r="C921" s="1232" t="s">
        <v>2702</v>
      </c>
      <c r="F921" s="1172"/>
      <c r="G921" s="1173"/>
      <c r="H921" s="1133"/>
      <c r="M921" s="1619"/>
    </row>
    <row r="922" spans="2:13" s="507" customFormat="1" ht="24.9" hidden="1" customHeight="1">
      <c r="B922" s="1648" t="s">
        <v>1003</v>
      </c>
      <c r="C922" s="1101" t="s">
        <v>1004</v>
      </c>
      <c r="D922" s="1116" t="s">
        <v>1005</v>
      </c>
      <c r="E922" s="1116" t="s">
        <v>1006</v>
      </c>
      <c r="F922" s="1139" t="s">
        <v>1007</v>
      </c>
      <c r="G922" s="1103" t="s">
        <v>2637</v>
      </c>
      <c r="H922" s="1110" t="s">
        <v>2638</v>
      </c>
      <c r="J922" s="1625"/>
      <c r="K922" s="1625"/>
      <c r="L922" s="1625"/>
      <c r="M922" s="1626"/>
    </row>
    <row r="923" spans="2:13" hidden="1">
      <c r="B923" s="1649" t="s">
        <v>671</v>
      </c>
      <c r="C923" s="1329" t="s">
        <v>672</v>
      </c>
      <c r="D923" s="1539"/>
      <c r="E923" s="1539"/>
      <c r="F923" s="1532"/>
      <c r="G923" s="1152"/>
      <c r="H923" s="1106"/>
      <c r="M923" s="1619"/>
    </row>
    <row r="924" spans="2:13" hidden="1">
      <c r="B924" s="1650"/>
      <c r="C924" s="1332" t="s">
        <v>673</v>
      </c>
      <c r="D924" s="1539" t="s">
        <v>674</v>
      </c>
      <c r="E924" s="1539" t="s">
        <v>675</v>
      </c>
      <c r="F924" s="1532">
        <v>2.1</v>
      </c>
      <c r="G924" s="1104">
        <f>DUB!$I$10</f>
        <v>150000</v>
      </c>
      <c r="H924" s="1106">
        <f>G924*F924</f>
        <v>315000</v>
      </c>
      <c r="M924" s="1619"/>
    </row>
    <row r="925" spans="2:13" hidden="1">
      <c r="B925" s="1650"/>
      <c r="C925" s="1332" t="s">
        <v>816</v>
      </c>
      <c r="D925" s="1539" t="s">
        <v>678</v>
      </c>
      <c r="E925" s="1539" t="s">
        <v>675</v>
      </c>
      <c r="F925" s="1532">
        <v>0.35</v>
      </c>
      <c r="G925" s="1104">
        <f>DUB!$I$11</f>
        <v>187000</v>
      </c>
      <c r="H925" s="1106">
        <f>G925*F925</f>
        <v>65449.999999999993</v>
      </c>
      <c r="M925" s="1619"/>
    </row>
    <row r="926" spans="2:13" hidden="1">
      <c r="B926" s="1650"/>
      <c r="C926" s="1332" t="s">
        <v>680</v>
      </c>
      <c r="D926" s="1539" t="s">
        <v>681</v>
      </c>
      <c r="E926" s="1539" t="s">
        <v>675</v>
      </c>
      <c r="F926" s="1532">
        <v>3.5000000000000003E-2</v>
      </c>
      <c r="G926" s="1104">
        <f>DUB!$I$13</f>
        <v>240000</v>
      </c>
      <c r="H926" s="1106">
        <f>G926*F926</f>
        <v>8400</v>
      </c>
      <c r="M926" s="1619"/>
    </row>
    <row r="927" spans="2:13" hidden="1">
      <c r="B927" s="1650"/>
      <c r="C927" s="1332" t="s">
        <v>683</v>
      </c>
      <c r="D927" s="1539" t="s">
        <v>684</v>
      </c>
      <c r="E927" s="1539" t="s">
        <v>675</v>
      </c>
      <c r="F927" s="1532">
        <v>0.105</v>
      </c>
      <c r="G927" s="1104">
        <f>DUB!$I$12</f>
        <v>225000</v>
      </c>
      <c r="H927" s="1106">
        <f>G927*F927</f>
        <v>23625</v>
      </c>
      <c r="M927" s="1619"/>
    </row>
    <row r="928" spans="2:13" hidden="1">
      <c r="B928" s="1650"/>
      <c r="C928" s="1332"/>
      <c r="D928" s="1331"/>
      <c r="E928" s="1539"/>
      <c r="F928" s="2080" t="s">
        <v>685</v>
      </c>
      <c r="G928" s="2081"/>
      <c r="H928" s="1106">
        <f>SUM(H924:H927)</f>
        <v>412475</v>
      </c>
      <c r="M928" s="1619"/>
    </row>
    <row r="929" spans="2:13" hidden="1">
      <c r="B929" s="1649" t="s">
        <v>686</v>
      </c>
      <c r="C929" s="1329" t="s">
        <v>687</v>
      </c>
      <c r="D929" s="1331"/>
      <c r="E929" s="1539"/>
      <c r="F929" s="1532"/>
      <c r="G929" s="1152"/>
      <c r="H929" s="1106"/>
      <c r="M929" s="1619"/>
    </row>
    <row r="930" spans="2:13" hidden="1">
      <c r="B930" s="1650"/>
      <c r="C930" s="1332" t="s">
        <v>738</v>
      </c>
      <c r="D930" s="1331"/>
      <c r="E930" s="1539" t="s">
        <v>773</v>
      </c>
      <c r="F930" s="1532">
        <v>400</v>
      </c>
      <c r="G930" s="1104">
        <f>DUB!$I$65</f>
        <v>1575</v>
      </c>
      <c r="H930" s="1106">
        <f>G930*F930</f>
        <v>630000</v>
      </c>
      <c r="M930" s="1619"/>
    </row>
    <row r="931" spans="2:13" hidden="1">
      <c r="B931" s="1650"/>
      <c r="C931" s="1332" t="s">
        <v>831</v>
      </c>
      <c r="D931" s="1331"/>
      <c r="E931" s="1539" t="s">
        <v>2646</v>
      </c>
      <c r="F931" s="1532">
        <v>0.48</v>
      </c>
      <c r="G931" s="1104">
        <f>DUB!$I$59</f>
        <v>208463</v>
      </c>
      <c r="H931" s="1106">
        <f>G931*F931</f>
        <v>100062.23999999999</v>
      </c>
      <c r="M931" s="1619"/>
    </row>
    <row r="932" spans="2:13" hidden="1">
      <c r="B932" s="1650"/>
      <c r="C932" s="1332" t="s">
        <v>848</v>
      </c>
      <c r="D932" s="1331"/>
      <c r="E932" s="1539" t="s">
        <v>2646</v>
      </c>
      <c r="F932" s="1532">
        <v>0.8</v>
      </c>
      <c r="G932" s="1104">
        <f>DUB!$I$57</f>
        <v>202500</v>
      </c>
      <c r="H932" s="1106">
        <f>G932*F932</f>
        <v>162000</v>
      </c>
      <c r="M932" s="1619"/>
    </row>
    <row r="933" spans="2:13" hidden="1">
      <c r="B933" s="1650"/>
      <c r="C933" s="1332" t="s">
        <v>849</v>
      </c>
      <c r="D933" s="1331"/>
      <c r="E933" s="1539" t="s">
        <v>773</v>
      </c>
      <c r="F933" s="1532">
        <v>1.2</v>
      </c>
      <c r="G933" s="1152">
        <v>100000</v>
      </c>
      <c r="H933" s="1106">
        <f>G933*F933</f>
        <v>120000</v>
      </c>
      <c r="M933" s="1619"/>
    </row>
    <row r="934" spans="2:13" hidden="1">
      <c r="B934" s="1650"/>
      <c r="C934" s="1332"/>
      <c r="D934" s="1331"/>
      <c r="E934" s="1540"/>
      <c r="F934" s="2080" t="s">
        <v>702</v>
      </c>
      <c r="G934" s="2081"/>
      <c r="H934" s="1106">
        <f>SUM(H930:H933)</f>
        <v>1012062.24</v>
      </c>
      <c r="M934" s="1619"/>
    </row>
    <row r="935" spans="2:13" s="496" customFormat="1" hidden="1">
      <c r="B935" s="1649" t="s">
        <v>703</v>
      </c>
      <c r="C935" s="1117" t="s">
        <v>3764</v>
      </c>
      <c r="D935" s="1120"/>
      <c r="E935" s="1120"/>
      <c r="F935" s="1121"/>
      <c r="G935" s="1160"/>
      <c r="H935" s="1107">
        <f>H928+H934</f>
        <v>1424537.24</v>
      </c>
      <c r="J935" s="1559"/>
      <c r="K935" s="1559"/>
      <c r="L935" s="1559"/>
      <c r="M935" s="1614"/>
    </row>
    <row r="936" spans="2:13" s="496" customFormat="1" hidden="1">
      <c r="B936" s="1649" t="s">
        <v>706</v>
      </c>
      <c r="C936" s="1123" t="s">
        <v>709</v>
      </c>
      <c r="D936" s="1124"/>
      <c r="E936" s="1154"/>
      <c r="F936" s="1545" t="s">
        <v>3873</v>
      </c>
      <c r="G936" s="1160"/>
      <c r="H936" s="1107">
        <f>H935*0.15</f>
        <v>213680.58599999998</v>
      </c>
      <c r="J936" s="1559"/>
      <c r="K936" s="1559"/>
      <c r="L936" s="1559"/>
      <c r="M936" s="1614"/>
    </row>
    <row r="937" spans="2:13" s="496" customFormat="1" hidden="1">
      <c r="B937" s="1649" t="s">
        <v>708</v>
      </c>
      <c r="C937" s="2075" t="s">
        <v>3765</v>
      </c>
      <c r="D937" s="2075"/>
      <c r="E937" s="2075"/>
      <c r="F937" s="2075"/>
      <c r="G937" s="2075"/>
      <c r="H937" s="1107">
        <f>ROUND(SUM(H935:H936),2)</f>
        <v>1638217.83</v>
      </c>
      <c r="I937" s="506">
        <f>SUM(H935:H936)</f>
        <v>1638217.8259999999</v>
      </c>
      <c r="J937" s="1561"/>
      <c r="K937" s="1561"/>
      <c r="L937" s="1559"/>
      <c r="M937" s="1614"/>
    </row>
    <row r="938" spans="2:13" hidden="1">
      <c r="B938" s="1659"/>
      <c r="C938" s="1144"/>
      <c r="D938" s="1143"/>
      <c r="E938" s="1143"/>
      <c r="F938" s="1145"/>
      <c r="G938" s="1146"/>
      <c r="H938" s="1147"/>
      <c r="M938" s="1619"/>
    </row>
    <row r="939" spans="2:13" hidden="1">
      <c r="B939" s="1613" t="s">
        <v>3920</v>
      </c>
      <c r="C939" s="1112" t="s">
        <v>2703</v>
      </c>
      <c r="D939" s="1129"/>
      <c r="E939" s="1129"/>
      <c r="F939" s="1131"/>
      <c r="G939" s="1132"/>
      <c r="H939" s="1115"/>
      <c r="M939" s="1619"/>
    </row>
    <row r="940" spans="2:13" s="507" customFormat="1" ht="24.9" hidden="1" customHeight="1">
      <c r="B940" s="1648" t="s">
        <v>1003</v>
      </c>
      <c r="C940" s="1101" t="s">
        <v>1004</v>
      </c>
      <c r="D940" s="1116" t="s">
        <v>1005</v>
      </c>
      <c r="E940" s="1101" t="s">
        <v>1006</v>
      </c>
      <c r="F940" s="1102" t="s">
        <v>1007</v>
      </c>
      <c r="G940" s="1109" t="s">
        <v>2637</v>
      </c>
      <c r="H940" s="1110" t="s">
        <v>2638</v>
      </c>
      <c r="J940" s="1625"/>
      <c r="K940" s="1625"/>
      <c r="L940" s="1625"/>
      <c r="M940" s="1626"/>
    </row>
    <row r="941" spans="2:13" hidden="1">
      <c r="B941" s="1660" t="s">
        <v>671</v>
      </c>
      <c r="C941" s="1535" t="s">
        <v>672</v>
      </c>
      <c r="D941" s="1161"/>
      <c r="E941" s="1548"/>
      <c r="F941" s="1162"/>
      <c r="G941" s="1163"/>
      <c r="H941" s="1164"/>
      <c r="M941" s="1619"/>
    </row>
    <row r="942" spans="2:13" hidden="1">
      <c r="B942" s="1661"/>
      <c r="C942" s="1165" t="s">
        <v>673</v>
      </c>
      <c r="D942" s="1161" t="s">
        <v>674</v>
      </c>
      <c r="E942" s="1548" t="s">
        <v>675</v>
      </c>
      <c r="F942" s="1162">
        <v>0.06</v>
      </c>
      <c r="G942" s="1163">
        <f>DUB!$I$10</f>
        <v>150000</v>
      </c>
      <c r="H942" s="1164">
        <f>G942*F942</f>
        <v>9000</v>
      </c>
      <c r="M942" s="1619"/>
    </row>
    <row r="943" spans="2:13" hidden="1">
      <c r="B943" s="1661"/>
      <c r="C943" s="1165" t="s">
        <v>850</v>
      </c>
      <c r="D943" s="1161" t="s">
        <v>678</v>
      </c>
      <c r="E943" s="1548" t="s">
        <v>675</v>
      </c>
      <c r="F943" s="1162">
        <v>0.03</v>
      </c>
      <c r="G943" s="1163">
        <f>DUB!$I$11</f>
        <v>187000</v>
      </c>
      <c r="H943" s="1164">
        <f>G943*F943</f>
        <v>5610</v>
      </c>
      <c r="M943" s="1619"/>
    </row>
    <row r="944" spans="2:13" hidden="1">
      <c r="B944" s="1661"/>
      <c r="C944" s="1165" t="s">
        <v>680</v>
      </c>
      <c r="D944" s="1161" t="s">
        <v>681</v>
      </c>
      <c r="E944" s="1548" t="s">
        <v>675</v>
      </c>
      <c r="F944" s="1162">
        <v>3.0000000000000001E-3</v>
      </c>
      <c r="G944" s="1163">
        <f>DUB!$I$13</f>
        <v>240000</v>
      </c>
      <c r="H944" s="1164">
        <f>G944*F944</f>
        <v>720</v>
      </c>
      <c r="M944" s="1619"/>
    </row>
    <row r="945" spans="2:13" hidden="1">
      <c r="B945" s="1661"/>
      <c r="C945" s="1165" t="s">
        <v>683</v>
      </c>
      <c r="D945" s="1161" t="s">
        <v>684</v>
      </c>
      <c r="E945" s="1548" t="s">
        <v>675</v>
      </c>
      <c r="F945" s="1162">
        <v>3.0000000000000001E-3</v>
      </c>
      <c r="G945" s="1163">
        <f>DUB!$I$12</f>
        <v>225000</v>
      </c>
      <c r="H945" s="1164">
        <f>G945*F945</f>
        <v>675</v>
      </c>
      <c r="M945" s="1619"/>
    </row>
    <row r="946" spans="2:13" hidden="1">
      <c r="B946" s="1661"/>
      <c r="C946" s="1165"/>
      <c r="D946" s="1161"/>
      <c r="E946" s="1548"/>
      <c r="F946" s="2100" t="s">
        <v>685</v>
      </c>
      <c r="G946" s="2100"/>
      <c r="H946" s="1164">
        <f>SUM(H942:H945)</f>
        <v>16005</v>
      </c>
      <c r="M946" s="1619"/>
    </row>
    <row r="947" spans="2:13" hidden="1">
      <c r="B947" s="1660" t="s">
        <v>686</v>
      </c>
      <c r="C947" s="1535" t="s">
        <v>687</v>
      </c>
      <c r="D947" s="1161"/>
      <c r="E947" s="1548"/>
      <c r="F947" s="1162"/>
      <c r="G947" s="1163"/>
      <c r="H947" s="1164"/>
      <c r="M947" s="1619"/>
    </row>
    <row r="948" spans="2:13" hidden="1">
      <c r="B948" s="1661"/>
      <c r="C948" s="1166" t="s">
        <v>3315</v>
      </c>
      <c r="D948" s="1161"/>
      <c r="E948" s="1548" t="s">
        <v>853</v>
      </c>
      <c r="F948" s="1162">
        <v>1.05</v>
      </c>
      <c r="G948" s="1163">
        <f>DUB!$I$528</f>
        <v>64260</v>
      </c>
      <c r="H948" s="1164">
        <f>G948*F948</f>
        <v>67473</v>
      </c>
      <c r="M948" s="1619"/>
    </row>
    <row r="949" spans="2:13" hidden="1">
      <c r="B949" s="1661"/>
      <c r="C949" s="1165"/>
      <c r="D949" s="1161"/>
      <c r="E949" s="1548"/>
      <c r="F949" s="2132" t="s">
        <v>702</v>
      </c>
      <c r="G949" s="2132"/>
      <c r="H949" s="1164">
        <f>SUM(H948)</f>
        <v>67473</v>
      </c>
      <c r="M949" s="1619"/>
    </row>
    <row r="950" spans="2:13" s="496" customFormat="1" hidden="1">
      <c r="B950" s="1660" t="s">
        <v>703</v>
      </c>
      <c r="C950" s="2099" t="s">
        <v>3764</v>
      </c>
      <c r="D950" s="2099"/>
      <c r="E950" s="2099"/>
      <c r="F950" s="2099"/>
      <c r="G950" s="2099"/>
      <c r="H950" s="1138">
        <f>H946+H949</f>
        <v>83478</v>
      </c>
      <c r="J950" s="1559"/>
      <c r="K950" s="1559"/>
      <c r="L950" s="1559"/>
      <c r="M950" s="1614"/>
    </row>
    <row r="951" spans="2:13" s="496" customFormat="1" hidden="1">
      <c r="B951" s="1660" t="s">
        <v>706</v>
      </c>
      <c r="C951" s="2094" t="s">
        <v>709</v>
      </c>
      <c r="D951" s="2094"/>
      <c r="E951" s="2094"/>
      <c r="F951" s="2095" t="s">
        <v>3873</v>
      </c>
      <c r="G951" s="2095"/>
      <c r="H951" s="1138">
        <f>H950*0.15</f>
        <v>12521.699999999999</v>
      </c>
      <c r="J951" s="1559"/>
      <c r="K951" s="1559"/>
      <c r="L951" s="1559"/>
      <c r="M951" s="1614"/>
    </row>
    <row r="952" spans="2:13" s="496" customFormat="1" hidden="1">
      <c r="B952" s="1660" t="s">
        <v>708</v>
      </c>
      <c r="C952" s="2099" t="s">
        <v>3765</v>
      </c>
      <c r="D952" s="2099"/>
      <c r="E952" s="2099"/>
      <c r="F952" s="2099"/>
      <c r="G952" s="2099"/>
      <c r="H952" s="1107">
        <f>ROUND(SUM(H950:H951),2)</f>
        <v>95999.7</v>
      </c>
      <c r="J952" s="1559"/>
      <c r="K952" s="1559"/>
      <c r="L952" s="1559"/>
      <c r="M952" s="1614"/>
    </row>
    <row r="953" spans="2:13" hidden="1">
      <c r="B953" s="1624"/>
      <c r="F953" s="1172"/>
      <c r="G953" s="1173"/>
      <c r="H953" s="1133"/>
      <c r="M953" s="1619"/>
    </row>
    <row r="954" spans="2:13" hidden="1">
      <c r="B954" s="1613" t="s">
        <v>3921</v>
      </c>
      <c r="C954" s="1232" t="s">
        <v>2704</v>
      </c>
      <c r="F954" s="1172"/>
      <c r="G954" s="1173"/>
      <c r="H954" s="1133"/>
      <c r="M954" s="1619"/>
    </row>
    <row r="955" spans="2:13" s="507" customFormat="1" ht="24.9" hidden="1" customHeight="1">
      <c r="B955" s="1648" t="s">
        <v>1003</v>
      </c>
      <c r="C955" s="1101" t="s">
        <v>1004</v>
      </c>
      <c r="D955" s="1101" t="s">
        <v>1005</v>
      </c>
      <c r="E955" s="1101" t="s">
        <v>1006</v>
      </c>
      <c r="F955" s="1102" t="s">
        <v>1007</v>
      </c>
      <c r="G955" s="1109" t="s">
        <v>2637</v>
      </c>
      <c r="H955" s="1110" t="s">
        <v>2638</v>
      </c>
      <c r="J955" s="1625"/>
      <c r="K955" s="1625"/>
      <c r="L955" s="1625"/>
      <c r="M955" s="1626"/>
    </row>
    <row r="956" spans="2:13" hidden="1">
      <c r="B956" s="1660" t="s">
        <v>671</v>
      </c>
      <c r="C956" s="1535" t="s">
        <v>672</v>
      </c>
      <c r="D956" s="1548"/>
      <c r="E956" s="1548"/>
      <c r="F956" s="1162"/>
      <c r="G956" s="1163"/>
      <c r="H956" s="1164"/>
      <c r="M956" s="1619"/>
    </row>
    <row r="957" spans="2:13" hidden="1">
      <c r="B957" s="1661"/>
      <c r="C957" s="1165" t="s">
        <v>673</v>
      </c>
      <c r="D957" s="1548" t="s">
        <v>674</v>
      </c>
      <c r="E957" s="1548" t="s">
        <v>675</v>
      </c>
      <c r="F957" s="1162">
        <v>7.0000000000000007E-2</v>
      </c>
      <c r="G957" s="1163">
        <f>DUB!$I$10</f>
        <v>150000</v>
      </c>
      <c r="H957" s="1164">
        <f>G957*F957</f>
        <v>10500.000000000002</v>
      </c>
      <c r="M957" s="1619"/>
    </row>
    <row r="958" spans="2:13" hidden="1">
      <c r="B958" s="1661"/>
      <c r="C958" s="1165" t="s">
        <v>850</v>
      </c>
      <c r="D958" s="1548" t="s">
        <v>678</v>
      </c>
      <c r="E958" s="1548" t="s">
        <v>675</v>
      </c>
      <c r="F958" s="1162">
        <v>3.5000000000000003E-2</v>
      </c>
      <c r="G958" s="1163">
        <f>DUB!$I$11</f>
        <v>187000</v>
      </c>
      <c r="H958" s="1164">
        <f>G958*F958</f>
        <v>6545.0000000000009</v>
      </c>
      <c r="M958" s="1619"/>
    </row>
    <row r="959" spans="2:13" hidden="1">
      <c r="B959" s="1661"/>
      <c r="C959" s="1165" t="s">
        <v>680</v>
      </c>
      <c r="D959" s="1548" t="s">
        <v>681</v>
      </c>
      <c r="E959" s="1548" t="s">
        <v>675</v>
      </c>
      <c r="F959" s="1162">
        <v>4.0000000000000001E-3</v>
      </c>
      <c r="G959" s="1163">
        <f>DUB!$I$13</f>
        <v>240000</v>
      </c>
      <c r="H959" s="1164">
        <f>G959*F959</f>
        <v>960</v>
      </c>
      <c r="M959" s="1619"/>
    </row>
    <row r="960" spans="2:13" hidden="1">
      <c r="B960" s="1661"/>
      <c r="C960" s="1165" t="s">
        <v>683</v>
      </c>
      <c r="D960" s="1548" t="s">
        <v>684</v>
      </c>
      <c r="E960" s="1548" t="s">
        <v>675</v>
      </c>
      <c r="F960" s="1162">
        <v>7.0000000000000001E-3</v>
      </c>
      <c r="G960" s="1163">
        <f>DUB!$I$12</f>
        <v>225000</v>
      </c>
      <c r="H960" s="1164">
        <f>G960*F960</f>
        <v>1575</v>
      </c>
      <c r="M960" s="1619"/>
    </row>
    <row r="961" spans="2:13" hidden="1">
      <c r="B961" s="1661"/>
      <c r="C961" s="1165"/>
      <c r="D961" s="1548"/>
      <c r="E961" s="1548"/>
      <c r="F961" s="2100" t="s">
        <v>685</v>
      </c>
      <c r="G961" s="2100"/>
      <c r="H961" s="1164">
        <f>SUM(H957:H960)</f>
        <v>19580.000000000004</v>
      </c>
      <c r="M961" s="1619"/>
    </row>
    <row r="962" spans="2:13" hidden="1">
      <c r="B962" s="1660" t="s">
        <v>686</v>
      </c>
      <c r="C962" s="1535" t="s">
        <v>687</v>
      </c>
      <c r="D962" s="1548"/>
      <c r="E962" s="1548"/>
      <c r="F962" s="1162"/>
      <c r="G962" s="1163"/>
      <c r="H962" s="1164"/>
      <c r="M962" s="1619"/>
    </row>
    <row r="963" spans="2:13" hidden="1">
      <c r="B963" s="1661"/>
      <c r="C963" s="1166" t="s">
        <v>3316</v>
      </c>
      <c r="D963" s="1548"/>
      <c r="E963" s="1548" t="s">
        <v>853</v>
      </c>
      <c r="F963" s="1162">
        <v>1.05</v>
      </c>
      <c r="G963" s="1163">
        <f>DUB!$I$529</f>
        <v>85680</v>
      </c>
      <c r="H963" s="1164">
        <f>G963*F963</f>
        <v>89964</v>
      </c>
      <c r="M963" s="1619"/>
    </row>
    <row r="964" spans="2:13" hidden="1">
      <c r="B964" s="1661"/>
      <c r="C964" s="1165"/>
      <c r="D964" s="1548"/>
      <c r="E964" s="1548"/>
      <c r="F964" s="2098" t="s">
        <v>702</v>
      </c>
      <c r="G964" s="2098"/>
      <c r="H964" s="1164">
        <f>SUM(H963)</f>
        <v>89964</v>
      </c>
      <c r="M964" s="1619"/>
    </row>
    <row r="965" spans="2:13" s="496" customFormat="1" hidden="1">
      <c r="B965" s="1660" t="s">
        <v>703</v>
      </c>
      <c r="C965" s="2092" t="s">
        <v>3764</v>
      </c>
      <c r="D965" s="2092"/>
      <c r="E965" s="2092"/>
      <c r="F965" s="2092"/>
      <c r="G965" s="2092"/>
      <c r="H965" s="1138">
        <f>H961+H964</f>
        <v>109544</v>
      </c>
      <c r="J965" s="1559"/>
      <c r="K965" s="1559"/>
      <c r="L965" s="1559"/>
      <c r="M965" s="1614"/>
    </row>
    <row r="966" spans="2:13" s="496" customFormat="1" hidden="1">
      <c r="B966" s="1660" t="s">
        <v>706</v>
      </c>
      <c r="C966" s="2094" t="s">
        <v>709</v>
      </c>
      <c r="D966" s="2094"/>
      <c r="E966" s="2094"/>
      <c r="F966" s="2095" t="s">
        <v>3873</v>
      </c>
      <c r="G966" s="2095"/>
      <c r="H966" s="1138">
        <f>H965*0.15</f>
        <v>16431.599999999999</v>
      </c>
      <c r="J966" s="1559"/>
      <c r="K966" s="1559"/>
      <c r="L966" s="1559"/>
      <c r="M966" s="1614"/>
    </row>
    <row r="967" spans="2:13" s="496" customFormat="1" hidden="1">
      <c r="B967" s="1660" t="s">
        <v>708</v>
      </c>
      <c r="C967" s="2096" t="s">
        <v>3765</v>
      </c>
      <c r="D967" s="2096"/>
      <c r="E967" s="2096"/>
      <c r="F967" s="2096"/>
      <c r="G967" s="2096"/>
      <c r="H967" s="1107">
        <f>ROUND(SUM(H965:H966),2)</f>
        <v>125975.6</v>
      </c>
      <c r="I967" s="522">
        <f>SUM(H965:H966)</f>
        <v>125975.6</v>
      </c>
      <c r="J967" s="1565"/>
      <c r="K967" s="1565"/>
      <c r="L967" s="1559"/>
      <c r="M967" s="1614"/>
    </row>
    <row r="968" spans="2:13" hidden="1">
      <c r="B968" s="1662"/>
      <c r="C968" s="1168"/>
      <c r="D968" s="1167"/>
      <c r="E968" s="1167"/>
      <c r="F968" s="1552"/>
      <c r="G968" s="1169"/>
      <c r="H968" s="1170"/>
      <c r="M968" s="1619"/>
    </row>
    <row r="969" spans="2:13" hidden="1">
      <c r="B969" s="1613" t="s">
        <v>2832</v>
      </c>
      <c r="C969" s="1171" t="s">
        <v>3313</v>
      </c>
      <c r="F969" s="1172"/>
      <c r="G969" s="1173"/>
      <c r="H969" s="1133"/>
      <c r="M969" s="1619"/>
    </row>
    <row r="970" spans="2:13" s="507" customFormat="1" ht="24.9" hidden="1" customHeight="1">
      <c r="B970" s="1648" t="s">
        <v>1003</v>
      </c>
      <c r="C970" s="1101" t="s">
        <v>1004</v>
      </c>
      <c r="D970" s="1101" t="s">
        <v>1005</v>
      </c>
      <c r="E970" s="1101" t="s">
        <v>1006</v>
      </c>
      <c r="F970" s="1102" t="s">
        <v>1007</v>
      </c>
      <c r="G970" s="1109" t="s">
        <v>2637</v>
      </c>
      <c r="H970" s="1110" t="s">
        <v>2638</v>
      </c>
      <c r="J970" s="1625"/>
      <c r="K970" s="1625"/>
      <c r="L970" s="1625"/>
      <c r="M970" s="1626"/>
    </row>
    <row r="971" spans="2:13" hidden="1">
      <c r="B971" s="1660" t="s">
        <v>671</v>
      </c>
      <c r="C971" s="1535" t="s">
        <v>672</v>
      </c>
      <c r="D971" s="1548"/>
      <c r="E971" s="1548"/>
      <c r="F971" s="1162"/>
      <c r="G971" s="1163"/>
      <c r="H971" s="1164"/>
      <c r="M971" s="1619"/>
    </row>
    <row r="972" spans="2:13" hidden="1">
      <c r="B972" s="1661"/>
      <c r="C972" s="1165" t="s">
        <v>673</v>
      </c>
      <c r="D972" s="1548" t="s">
        <v>674</v>
      </c>
      <c r="E972" s="1548" t="s">
        <v>675</v>
      </c>
      <c r="F972" s="1162">
        <v>0.08</v>
      </c>
      <c r="G972" s="1163">
        <f>DUB!$I$10</f>
        <v>150000</v>
      </c>
      <c r="H972" s="1164">
        <f>G972*F972</f>
        <v>12000</v>
      </c>
      <c r="M972" s="1619"/>
    </row>
    <row r="973" spans="2:13" hidden="1">
      <c r="B973" s="1661"/>
      <c r="C973" s="1165" t="s">
        <v>816</v>
      </c>
      <c r="D973" s="1548" t="s">
        <v>678</v>
      </c>
      <c r="E973" s="1548" t="s">
        <v>675</v>
      </c>
      <c r="F973" s="1162">
        <v>0.04</v>
      </c>
      <c r="G973" s="1163">
        <f>DUB!$I$11</f>
        <v>187000</v>
      </c>
      <c r="H973" s="1164">
        <f>G973*F973</f>
        <v>7480</v>
      </c>
      <c r="M973" s="1619"/>
    </row>
    <row r="974" spans="2:13" hidden="1">
      <c r="B974" s="1661"/>
      <c r="C974" s="1165" t="s">
        <v>680</v>
      </c>
      <c r="D974" s="1548" t="s">
        <v>681</v>
      </c>
      <c r="E974" s="1548" t="s">
        <v>675</v>
      </c>
      <c r="F974" s="1162">
        <v>4.0000000000000001E-3</v>
      </c>
      <c r="G974" s="1163">
        <f>DUB!$I$13</f>
        <v>240000</v>
      </c>
      <c r="H974" s="1164">
        <f>G974*F974</f>
        <v>960</v>
      </c>
      <c r="M974" s="1619"/>
    </row>
    <row r="975" spans="2:13" hidden="1">
      <c r="B975" s="1661"/>
      <c r="C975" s="1165" t="s">
        <v>683</v>
      </c>
      <c r="D975" s="1548" t="s">
        <v>684</v>
      </c>
      <c r="E975" s="1548" t="s">
        <v>675</v>
      </c>
      <c r="F975" s="1162">
        <v>4.0000000000000001E-3</v>
      </c>
      <c r="G975" s="1163">
        <f>DUB!$I$12</f>
        <v>225000</v>
      </c>
      <c r="H975" s="1164">
        <f>G975*F975</f>
        <v>900</v>
      </c>
      <c r="M975" s="1619"/>
    </row>
    <row r="976" spans="2:13" hidden="1">
      <c r="B976" s="1661"/>
      <c r="C976" s="1165"/>
      <c r="D976" s="1548"/>
      <c r="E976" s="1548"/>
      <c r="F976" s="2100" t="s">
        <v>685</v>
      </c>
      <c r="G976" s="2100"/>
      <c r="H976" s="1164">
        <f>SUM(H972:H975)</f>
        <v>21340</v>
      </c>
      <c r="M976" s="1619"/>
    </row>
    <row r="977" spans="2:13" hidden="1">
      <c r="B977" s="1660" t="s">
        <v>686</v>
      </c>
      <c r="C977" s="1535" t="s">
        <v>687</v>
      </c>
      <c r="D977" s="1548"/>
      <c r="E977" s="1548"/>
      <c r="F977" s="1162"/>
      <c r="G977" s="1163"/>
      <c r="H977" s="1164"/>
      <c r="M977" s="1619"/>
    </row>
    <row r="978" spans="2:13" hidden="1">
      <c r="B978" s="1661"/>
      <c r="C978" s="1166" t="s">
        <v>3314</v>
      </c>
      <c r="D978" s="1548"/>
      <c r="E978" s="1548" t="s">
        <v>853</v>
      </c>
      <c r="F978" s="1162">
        <v>1.05</v>
      </c>
      <c r="G978" s="1163">
        <f>DUB!$I$530</f>
        <v>155295</v>
      </c>
      <c r="H978" s="1164">
        <f>G978*F978</f>
        <v>163059.75</v>
      </c>
      <c r="M978" s="1619"/>
    </row>
    <row r="979" spans="2:13" hidden="1">
      <c r="B979" s="1661"/>
      <c r="C979" s="1165"/>
      <c r="D979" s="1548"/>
      <c r="E979" s="1548"/>
      <c r="F979" s="2132" t="s">
        <v>702</v>
      </c>
      <c r="G979" s="2132"/>
      <c r="H979" s="1164">
        <f>SUM(H978)</f>
        <v>163059.75</v>
      </c>
      <c r="M979" s="1619"/>
    </row>
    <row r="980" spans="2:13" s="496" customFormat="1" hidden="1">
      <c r="B980" s="1660" t="s">
        <v>703</v>
      </c>
      <c r="C980" s="2099" t="s">
        <v>3764</v>
      </c>
      <c r="D980" s="2099"/>
      <c r="E980" s="2099"/>
      <c r="F980" s="2099"/>
      <c r="G980" s="2099"/>
      <c r="H980" s="1138">
        <f>H976+H979</f>
        <v>184399.75</v>
      </c>
      <c r="J980" s="1559"/>
      <c r="K980" s="1559"/>
      <c r="L980" s="1559"/>
      <c r="M980" s="1614"/>
    </row>
    <row r="981" spans="2:13" s="496" customFormat="1" hidden="1">
      <c r="B981" s="1660" t="s">
        <v>706</v>
      </c>
      <c r="C981" s="2094" t="s">
        <v>709</v>
      </c>
      <c r="D981" s="2094"/>
      <c r="E981" s="2094"/>
      <c r="F981" s="2095" t="s">
        <v>3873</v>
      </c>
      <c r="G981" s="2095"/>
      <c r="H981" s="1138">
        <f>H980*0.15</f>
        <v>27659.962499999998</v>
      </c>
      <c r="J981" s="1559"/>
      <c r="K981" s="1559"/>
      <c r="L981" s="1559"/>
      <c r="M981" s="1614"/>
    </row>
    <row r="982" spans="2:13" s="496" customFormat="1" hidden="1">
      <c r="B982" s="1761" t="s">
        <v>708</v>
      </c>
      <c r="C982" s="2093" t="s">
        <v>3765</v>
      </c>
      <c r="D982" s="2093"/>
      <c r="E982" s="2093"/>
      <c r="F982" s="2093"/>
      <c r="G982" s="2093"/>
      <c r="H982" s="1756">
        <f>ROUND(SUM(H980:H981),2)</f>
        <v>212059.71</v>
      </c>
      <c r="I982" s="1762">
        <f>SUM(H980:H981)</f>
        <v>212059.71249999999</v>
      </c>
      <c r="J982" s="1565"/>
      <c r="K982" s="1565"/>
      <c r="L982" s="1559"/>
      <c r="M982" s="1614"/>
    </row>
    <row r="983" spans="2:13">
      <c r="B983" s="1741"/>
      <c r="C983" s="1742"/>
      <c r="D983" s="1741"/>
      <c r="E983" s="1741"/>
      <c r="F983" s="1743"/>
      <c r="G983" s="1744"/>
      <c r="H983" s="1745"/>
      <c r="I983" s="1746"/>
      <c r="J983" s="1641"/>
      <c r="K983" s="1641"/>
      <c r="L983" s="1641"/>
      <c r="M983" s="1747"/>
    </row>
    <row r="984" spans="2:13">
      <c r="B984" s="1100" t="s">
        <v>3922</v>
      </c>
      <c r="C984" s="1232" t="s">
        <v>3507</v>
      </c>
      <c r="F984" s="1172"/>
      <c r="G984" s="1173"/>
      <c r="H984" s="1133"/>
      <c r="M984" s="1566"/>
    </row>
    <row r="985" spans="2:13" s="507" customFormat="1" ht="24.9" customHeight="1">
      <c r="B985" s="1727" t="s">
        <v>1003</v>
      </c>
      <c r="C985" s="1728" t="s">
        <v>1004</v>
      </c>
      <c r="D985" s="1728" t="s">
        <v>1005</v>
      </c>
      <c r="E985" s="1728" t="s">
        <v>1006</v>
      </c>
      <c r="F985" s="1729" t="s">
        <v>1007</v>
      </c>
      <c r="G985" s="1866" t="s">
        <v>2637</v>
      </c>
      <c r="H985" s="1867" t="s">
        <v>2638</v>
      </c>
      <c r="I985" s="1739"/>
      <c r="J985" s="1605" t="s">
        <v>5335</v>
      </c>
      <c r="K985" s="1603" t="s">
        <v>5336</v>
      </c>
      <c r="L985" s="1603" t="s">
        <v>5337</v>
      </c>
      <c r="M985" s="1604" t="s">
        <v>5338</v>
      </c>
    </row>
    <row r="986" spans="2:13">
      <c r="B986" s="1887" t="s">
        <v>671</v>
      </c>
      <c r="C986" s="1535" t="s">
        <v>672</v>
      </c>
      <c r="D986" s="1548"/>
      <c r="E986" s="1548"/>
      <c r="F986" s="1162"/>
      <c r="G986" s="1163"/>
      <c r="H986" s="1164"/>
      <c r="J986" s="1597"/>
      <c r="K986" s="1597"/>
      <c r="L986" s="1597"/>
      <c r="M986" s="1563"/>
    </row>
    <row r="987" spans="2:13">
      <c r="B987" s="1888"/>
      <c r="C987" s="1165" t="s">
        <v>673</v>
      </c>
      <c r="D987" s="1548" t="s">
        <v>674</v>
      </c>
      <c r="E987" s="1548" t="s">
        <v>675</v>
      </c>
      <c r="F987" s="1162">
        <v>7.0000000000000007E-2</v>
      </c>
      <c r="G987" s="1163">
        <f>DUB!$I$10</f>
        <v>150000</v>
      </c>
      <c r="H987" s="1164">
        <f>G987*F987</f>
        <v>10500.000000000002</v>
      </c>
      <c r="J987" s="1609" t="s">
        <v>5339</v>
      </c>
      <c r="K987" s="1611">
        <v>1</v>
      </c>
      <c r="L987" s="1608" t="s">
        <v>5340</v>
      </c>
      <c r="M987" s="1610">
        <f>H987*K987</f>
        <v>10500.000000000002</v>
      </c>
    </row>
    <row r="988" spans="2:13">
      <c r="B988" s="1888"/>
      <c r="C988" s="1165" t="s">
        <v>855</v>
      </c>
      <c r="D988" s="1548" t="s">
        <v>678</v>
      </c>
      <c r="E988" s="1548" t="s">
        <v>675</v>
      </c>
      <c r="F988" s="1162">
        <v>7.0000000000000007E-2</v>
      </c>
      <c r="G988" s="1163">
        <f>DUB!$I$11</f>
        <v>187000</v>
      </c>
      <c r="H988" s="1164">
        <f>G988*F988</f>
        <v>13090.000000000002</v>
      </c>
      <c r="J988" s="1609" t="s">
        <v>5339</v>
      </c>
      <c r="K988" s="1611">
        <v>1</v>
      </c>
      <c r="L988" s="1608" t="s">
        <v>5340</v>
      </c>
      <c r="M988" s="1610">
        <f t="shared" ref="M988:M990" si="11">H988*K988</f>
        <v>13090.000000000002</v>
      </c>
    </row>
    <row r="989" spans="2:13">
      <c r="B989" s="1888"/>
      <c r="C989" s="1165" t="s">
        <v>680</v>
      </c>
      <c r="D989" s="1548" t="s">
        <v>681</v>
      </c>
      <c r="E989" s="1548" t="s">
        <v>675</v>
      </c>
      <c r="F989" s="1162">
        <v>7.0000000000000001E-3</v>
      </c>
      <c r="G989" s="1163">
        <f>DUB!$I$13</f>
        <v>240000</v>
      </c>
      <c r="H989" s="1164">
        <f>G989*F989</f>
        <v>1680</v>
      </c>
      <c r="J989" s="1609" t="s">
        <v>5339</v>
      </c>
      <c r="K989" s="1611">
        <v>1</v>
      </c>
      <c r="L989" s="1608" t="s">
        <v>5340</v>
      </c>
      <c r="M989" s="1610">
        <f t="shared" si="11"/>
        <v>1680</v>
      </c>
    </row>
    <row r="990" spans="2:13">
      <c r="B990" s="1888"/>
      <c r="C990" s="1165" t="s">
        <v>683</v>
      </c>
      <c r="D990" s="1548" t="s">
        <v>684</v>
      </c>
      <c r="E990" s="1548" t="s">
        <v>675</v>
      </c>
      <c r="F990" s="1162">
        <v>4.0000000000000001E-3</v>
      </c>
      <c r="G990" s="1163">
        <f>DUB!$I$12</f>
        <v>225000</v>
      </c>
      <c r="H990" s="1164">
        <f>G990*F990</f>
        <v>900</v>
      </c>
      <c r="J990" s="1609" t="s">
        <v>5339</v>
      </c>
      <c r="K990" s="1611">
        <v>1</v>
      </c>
      <c r="L990" s="1608" t="s">
        <v>5340</v>
      </c>
      <c r="M990" s="1610">
        <f t="shared" si="11"/>
        <v>900</v>
      </c>
    </row>
    <row r="991" spans="2:13">
      <c r="B991" s="1888"/>
      <c r="C991" s="1165"/>
      <c r="D991" s="1548"/>
      <c r="E991" s="1548"/>
      <c r="F991" s="2100" t="s">
        <v>685</v>
      </c>
      <c r="G991" s="2100"/>
      <c r="H991" s="1164">
        <f>SUM(H987:H990)</f>
        <v>26170.000000000004</v>
      </c>
      <c r="J991" s="1597"/>
      <c r="K991" s="1597"/>
      <c r="L991" s="1597"/>
      <c r="M991" s="1564">
        <f>SUM(M987:M990)</f>
        <v>26170.000000000004</v>
      </c>
    </row>
    <row r="992" spans="2:13">
      <c r="B992" s="1887" t="s">
        <v>686</v>
      </c>
      <c r="C992" s="1535" t="s">
        <v>687</v>
      </c>
      <c r="D992" s="1548"/>
      <c r="E992" s="1548"/>
      <c r="F992" s="1162"/>
      <c r="G992" s="1163"/>
      <c r="H992" s="1164"/>
      <c r="J992" s="1597"/>
      <c r="K992" s="1597"/>
      <c r="L992" s="1597"/>
      <c r="M992" s="1563"/>
    </row>
    <row r="993" spans="2:13">
      <c r="B993" s="1888"/>
      <c r="C993" s="1166" t="s">
        <v>3508</v>
      </c>
      <c r="D993" s="1548"/>
      <c r="E993" s="1548" t="s">
        <v>773</v>
      </c>
      <c r="F993" s="1162">
        <v>10.5</v>
      </c>
      <c r="G993" s="1163">
        <f>DUB!$I$101</f>
        <v>15300</v>
      </c>
      <c r="H993" s="1164">
        <f>G993*F993</f>
        <v>160650</v>
      </c>
      <c r="J993" s="1634" t="s">
        <v>4925</v>
      </c>
      <c r="K993" s="1611">
        <v>0.51470000000000005</v>
      </c>
      <c r="L993" s="1607" t="s">
        <v>5343</v>
      </c>
      <c r="M993" s="1610">
        <f>H993*K993</f>
        <v>82686.555000000008</v>
      </c>
    </row>
    <row r="994" spans="2:13">
      <c r="B994" s="1888"/>
      <c r="C994" s="1165" t="s">
        <v>835</v>
      </c>
      <c r="D994" s="1548"/>
      <c r="E994" s="1548" t="s">
        <v>773</v>
      </c>
      <c r="F994" s="1162">
        <v>0.15</v>
      </c>
      <c r="G994" s="1163">
        <f>DUB!$I$108</f>
        <v>29497.5</v>
      </c>
      <c r="H994" s="1164">
        <f>G994*F994</f>
        <v>4424.625</v>
      </c>
      <c r="J994" s="1634" t="s">
        <v>4925</v>
      </c>
      <c r="K994" s="1611">
        <v>0.54969999999999997</v>
      </c>
      <c r="L994" s="1607" t="s">
        <v>5343</v>
      </c>
      <c r="M994" s="1610">
        <f>H994*K994</f>
        <v>2432.2163624999998</v>
      </c>
    </row>
    <row r="995" spans="2:13">
      <c r="B995" s="1888"/>
      <c r="C995" s="1165"/>
      <c r="D995" s="1548"/>
      <c r="E995" s="1548"/>
      <c r="F995" s="2098" t="s">
        <v>702</v>
      </c>
      <c r="G995" s="2098"/>
      <c r="H995" s="1164">
        <f>SUM(H993:H994)</f>
        <v>165074.625</v>
      </c>
      <c r="J995" s="1607"/>
      <c r="K995" s="1611"/>
      <c r="L995" s="1607"/>
      <c r="M995" s="1564">
        <f>SUM(M993:M994)</f>
        <v>85118.771362500003</v>
      </c>
    </row>
    <row r="996" spans="2:13" s="496" customFormat="1">
      <c r="B996" s="1887" t="s">
        <v>703</v>
      </c>
      <c r="C996" s="2092" t="s">
        <v>3764</v>
      </c>
      <c r="D996" s="2092"/>
      <c r="E996" s="2092"/>
      <c r="F996" s="2092"/>
      <c r="G996" s="2092"/>
      <c r="H996" s="1138">
        <f>H991+H995</f>
        <v>191244.625</v>
      </c>
      <c r="J996" s="1607"/>
      <c r="K996" s="1633">
        <f>M996/H996</f>
        <v>0.58191842705383223</v>
      </c>
      <c r="L996" s="1607"/>
      <c r="M996" s="1889">
        <f>M991+M995</f>
        <v>111288.7713625</v>
      </c>
    </row>
    <row r="997" spans="2:13" s="496" customFormat="1">
      <c r="B997" s="1887" t="s">
        <v>706</v>
      </c>
      <c r="C997" s="2094" t="s">
        <v>709</v>
      </c>
      <c r="D997" s="2094"/>
      <c r="E997" s="2094"/>
      <c r="F997" s="2095" t="s">
        <v>3873</v>
      </c>
      <c r="G997" s="2095"/>
      <c r="H997" s="1138">
        <f>H996*0.15</f>
        <v>28686.693749999999</v>
      </c>
      <c r="J997" s="1600"/>
      <c r="K997" s="1557"/>
      <c r="L997" s="1600"/>
      <c r="M997" s="1889">
        <f>M996*0.15</f>
        <v>16693.315704375</v>
      </c>
    </row>
    <row r="998" spans="2:13" s="496" customFormat="1">
      <c r="B998" s="1887" t="s">
        <v>708</v>
      </c>
      <c r="C998" s="2096" t="s">
        <v>3765</v>
      </c>
      <c r="D998" s="2096"/>
      <c r="E998" s="2096"/>
      <c r="F998" s="2096"/>
      <c r="G998" s="2096"/>
      <c r="H998" s="1138">
        <f>SUM(H996:H997)</f>
        <v>219931.31875000001</v>
      </c>
      <c r="J998" s="1600"/>
      <c r="K998" s="1638"/>
      <c r="L998" s="1600"/>
      <c r="M998" s="1889">
        <f>SUM(M996:M997)</f>
        <v>127982.087066875</v>
      </c>
    </row>
    <row r="999" spans="2:13" s="496" customFormat="1">
      <c r="B999" s="1890" t="s">
        <v>711</v>
      </c>
      <c r="C999" s="2097" t="s">
        <v>3401</v>
      </c>
      <c r="D999" s="2097"/>
      <c r="E999" s="2097"/>
      <c r="F999" s="2097"/>
      <c r="G999" s="2097"/>
      <c r="H999" s="1857">
        <f>ROUND((H998/10),2)</f>
        <v>21993.13</v>
      </c>
      <c r="I999" s="1891">
        <f>H998/10</f>
        <v>21993.131874999999</v>
      </c>
      <c r="J999" s="1892"/>
      <c r="K999" s="1602"/>
      <c r="L999" s="1600"/>
      <c r="M999" s="1918">
        <f>ROUND((M998/10),2)</f>
        <v>12798.21</v>
      </c>
    </row>
    <row r="1000" spans="2:13" s="496" customFormat="1">
      <c r="B1000" s="1763"/>
      <c r="C1000" s="1764"/>
      <c r="D1000" s="1763"/>
      <c r="E1000" s="1764"/>
      <c r="F1000" s="1765"/>
      <c r="G1000" s="1766"/>
      <c r="H1000" s="1767"/>
      <c r="I1000" s="1768"/>
      <c r="J1000" s="1644"/>
      <c r="K1000" s="1644"/>
      <c r="L1000" s="1645"/>
      <c r="M1000" s="1769"/>
    </row>
    <row r="1001" spans="2:13">
      <c r="B1001" s="1100" t="s">
        <v>3551</v>
      </c>
      <c r="C1001" s="1232" t="s">
        <v>3510</v>
      </c>
      <c r="F1001" s="1172"/>
      <c r="G1001" s="1173"/>
      <c r="H1001" s="1133"/>
      <c r="M1001" s="1566"/>
    </row>
    <row r="1002" spans="2:13" s="507" customFormat="1" ht="24.9" customHeight="1">
      <c r="B1002" s="1727" t="s">
        <v>1003</v>
      </c>
      <c r="C1002" s="1728" t="s">
        <v>1004</v>
      </c>
      <c r="D1002" s="1728" t="s">
        <v>1005</v>
      </c>
      <c r="E1002" s="1728" t="s">
        <v>1006</v>
      </c>
      <c r="F1002" s="1729" t="s">
        <v>1007</v>
      </c>
      <c r="G1002" s="1866" t="s">
        <v>2637</v>
      </c>
      <c r="H1002" s="1867" t="s">
        <v>2638</v>
      </c>
      <c r="I1002" s="1739"/>
      <c r="J1002" s="1605" t="s">
        <v>5335</v>
      </c>
      <c r="K1002" s="1603" t="s">
        <v>5336</v>
      </c>
      <c r="L1002" s="1603" t="s">
        <v>5337</v>
      </c>
      <c r="M1002" s="1604" t="s">
        <v>5338</v>
      </c>
    </row>
    <row r="1003" spans="2:13">
      <c r="B1003" s="1887" t="s">
        <v>671</v>
      </c>
      <c r="C1003" s="1535" t="s">
        <v>672</v>
      </c>
      <c r="D1003" s="1548"/>
      <c r="E1003" s="1548"/>
      <c r="F1003" s="1162"/>
      <c r="G1003" s="1163"/>
      <c r="H1003" s="1164"/>
      <c r="J1003" s="1597"/>
      <c r="K1003" s="1597"/>
      <c r="L1003" s="1597"/>
      <c r="M1003" s="1563"/>
    </row>
    <row r="1004" spans="2:13">
      <c r="B1004" s="1888"/>
      <c r="C1004" s="1165" t="s">
        <v>673</v>
      </c>
      <c r="D1004" s="1548" t="s">
        <v>674</v>
      </c>
      <c r="E1004" s="1548" t="s">
        <v>675</v>
      </c>
      <c r="F1004" s="1162">
        <v>7.0000000000000007E-2</v>
      </c>
      <c r="G1004" s="1163">
        <f>DUB!$I$10</f>
        <v>150000</v>
      </c>
      <c r="H1004" s="1164">
        <f>G1004*F1004</f>
        <v>10500.000000000002</v>
      </c>
      <c r="J1004" s="1609" t="s">
        <v>5339</v>
      </c>
      <c r="K1004" s="1611">
        <v>1</v>
      </c>
      <c r="L1004" s="1608" t="s">
        <v>5340</v>
      </c>
      <c r="M1004" s="1610">
        <f>H1004*K1004</f>
        <v>10500.000000000002</v>
      </c>
    </row>
    <row r="1005" spans="2:13">
      <c r="B1005" s="1888"/>
      <c r="C1005" s="1165" t="s">
        <v>855</v>
      </c>
      <c r="D1005" s="1548" t="s">
        <v>678</v>
      </c>
      <c r="E1005" s="1548" t="s">
        <v>675</v>
      </c>
      <c r="F1005" s="1162">
        <v>7.0000000000000007E-2</v>
      </c>
      <c r="G1005" s="1163">
        <f>DUB!$I$11</f>
        <v>187000</v>
      </c>
      <c r="H1005" s="1164">
        <f>G1005*F1005</f>
        <v>13090.000000000002</v>
      </c>
      <c r="J1005" s="1609" t="s">
        <v>5339</v>
      </c>
      <c r="K1005" s="1611">
        <v>1</v>
      </c>
      <c r="L1005" s="1608" t="s">
        <v>5340</v>
      </c>
      <c r="M1005" s="1610">
        <f t="shared" ref="M1005:M1007" si="12">H1005*K1005</f>
        <v>13090.000000000002</v>
      </c>
    </row>
    <row r="1006" spans="2:13">
      <c r="B1006" s="1888"/>
      <c r="C1006" s="1165" t="s">
        <v>680</v>
      </c>
      <c r="D1006" s="1548" t="s">
        <v>681</v>
      </c>
      <c r="E1006" s="1548" t="s">
        <v>675</v>
      </c>
      <c r="F1006" s="1162">
        <v>7.0000000000000001E-3</v>
      </c>
      <c r="G1006" s="1163">
        <f>DUB!$I$13</f>
        <v>240000</v>
      </c>
      <c r="H1006" s="1164">
        <f>G1006*F1006</f>
        <v>1680</v>
      </c>
      <c r="J1006" s="1609" t="s">
        <v>5339</v>
      </c>
      <c r="K1006" s="1611">
        <v>1</v>
      </c>
      <c r="L1006" s="1608" t="s">
        <v>5340</v>
      </c>
      <c r="M1006" s="1610">
        <f t="shared" si="12"/>
        <v>1680</v>
      </c>
    </row>
    <row r="1007" spans="2:13">
      <c r="B1007" s="1888"/>
      <c r="C1007" s="1165" t="s">
        <v>683</v>
      </c>
      <c r="D1007" s="1548" t="s">
        <v>684</v>
      </c>
      <c r="E1007" s="1548" t="s">
        <v>675</v>
      </c>
      <c r="F1007" s="1162">
        <v>4.0000000000000001E-3</v>
      </c>
      <c r="G1007" s="1163">
        <f>DUB!$I$12</f>
        <v>225000</v>
      </c>
      <c r="H1007" s="1164">
        <f>G1007*F1007</f>
        <v>900</v>
      </c>
      <c r="J1007" s="1609" t="s">
        <v>5339</v>
      </c>
      <c r="K1007" s="1611">
        <v>1</v>
      </c>
      <c r="L1007" s="1608" t="s">
        <v>5340</v>
      </c>
      <c r="M1007" s="1610">
        <f t="shared" si="12"/>
        <v>900</v>
      </c>
    </row>
    <row r="1008" spans="2:13">
      <c r="B1008" s="1888"/>
      <c r="C1008" s="1165"/>
      <c r="D1008" s="1548"/>
      <c r="E1008" s="1548"/>
      <c r="F1008" s="2100" t="s">
        <v>685</v>
      </c>
      <c r="G1008" s="2100"/>
      <c r="H1008" s="1164">
        <f>SUM(H1004:H1007)</f>
        <v>26170.000000000004</v>
      </c>
      <c r="J1008" s="1597"/>
      <c r="K1008" s="1597"/>
      <c r="L1008" s="1597"/>
      <c r="M1008" s="1564">
        <f>SUM(M1004:M1007)</f>
        <v>26170.000000000004</v>
      </c>
    </row>
    <row r="1009" spans="2:13">
      <c r="B1009" s="1887" t="s">
        <v>686</v>
      </c>
      <c r="C1009" s="1535" t="s">
        <v>687</v>
      </c>
      <c r="D1009" s="1548"/>
      <c r="E1009" s="1548"/>
      <c r="F1009" s="1162"/>
      <c r="G1009" s="1163"/>
      <c r="H1009" s="1164"/>
      <c r="J1009" s="1597"/>
      <c r="K1009" s="1597"/>
      <c r="L1009" s="1597"/>
      <c r="M1009" s="1563"/>
    </row>
    <row r="1010" spans="2:13">
      <c r="B1010" s="1888"/>
      <c r="C1010" s="1166" t="s">
        <v>3511</v>
      </c>
      <c r="D1010" s="1548"/>
      <c r="E1010" s="1548" t="s">
        <v>773</v>
      </c>
      <c r="F1010" s="1162">
        <v>10.5</v>
      </c>
      <c r="G1010" s="1163">
        <f>DUB!I102</f>
        <v>17100</v>
      </c>
      <c r="H1010" s="1164">
        <f>G1010*F1010</f>
        <v>179550</v>
      </c>
      <c r="J1010" s="1634" t="s">
        <v>4925</v>
      </c>
      <c r="K1010" s="1611">
        <v>0.51470000000000005</v>
      </c>
      <c r="L1010" s="1607" t="s">
        <v>5343</v>
      </c>
      <c r="M1010" s="1610">
        <f>H1010*K1010</f>
        <v>92414.385000000009</v>
      </c>
    </row>
    <row r="1011" spans="2:13">
      <c r="B1011" s="1888"/>
      <c r="C1011" s="1165" t="s">
        <v>835</v>
      </c>
      <c r="D1011" s="1548"/>
      <c r="E1011" s="1548" t="s">
        <v>773</v>
      </c>
      <c r="F1011" s="1162">
        <v>0.15</v>
      </c>
      <c r="G1011" s="1163">
        <f>DUB!$I$108</f>
        <v>29497.5</v>
      </c>
      <c r="H1011" s="1164">
        <f>G1011*F1011</f>
        <v>4424.625</v>
      </c>
      <c r="J1011" s="1634" t="s">
        <v>4925</v>
      </c>
      <c r="K1011" s="1611">
        <v>0.54969999999999997</v>
      </c>
      <c r="L1011" s="1607" t="s">
        <v>5343</v>
      </c>
      <c r="M1011" s="1610">
        <f>H1011*K1011</f>
        <v>2432.2163624999998</v>
      </c>
    </row>
    <row r="1012" spans="2:13">
      <c r="B1012" s="1888"/>
      <c r="C1012" s="1165"/>
      <c r="D1012" s="1548"/>
      <c r="E1012" s="1548"/>
      <c r="F1012" s="2098" t="s">
        <v>702</v>
      </c>
      <c r="G1012" s="2098"/>
      <c r="H1012" s="1164">
        <f>SUM(H1010:H1011)</f>
        <v>183974.625</v>
      </c>
      <c r="J1012" s="1607"/>
      <c r="K1012" s="1611"/>
      <c r="L1012" s="1607"/>
      <c r="M1012" s="1564">
        <f>SUM(M1010:M1011)</f>
        <v>94846.601362500005</v>
      </c>
    </row>
    <row r="1013" spans="2:13" s="496" customFormat="1">
      <c r="B1013" s="1887" t="s">
        <v>703</v>
      </c>
      <c r="C1013" s="2092" t="s">
        <v>3764</v>
      </c>
      <c r="D1013" s="2092"/>
      <c r="E1013" s="2092"/>
      <c r="F1013" s="2092"/>
      <c r="G1013" s="2092"/>
      <c r="H1013" s="1138">
        <f>H1008+H1012</f>
        <v>210144.625</v>
      </c>
      <c r="J1013" s="1607"/>
      <c r="K1013" s="1633">
        <f>M1013/H1013</f>
        <v>0.5758729320937902</v>
      </c>
      <c r="L1013" s="1607"/>
      <c r="M1013" s="1889">
        <f>M1008+M1012</f>
        <v>121016.60136250001</v>
      </c>
    </row>
    <row r="1014" spans="2:13" s="496" customFormat="1">
      <c r="B1014" s="1887" t="s">
        <v>706</v>
      </c>
      <c r="C1014" s="2094" t="s">
        <v>709</v>
      </c>
      <c r="D1014" s="2094"/>
      <c r="E1014" s="2094"/>
      <c r="F1014" s="2095" t="s">
        <v>3873</v>
      </c>
      <c r="G1014" s="2095"/>
      <c r="H1014" s="1138">
        <f>H1013*0.15</f>
        <v>31521.693749999999</v>
      </c>
      <c r="J1014" s="1600"/>
      <c r="K1014" s="1557"/>
      <c r="L1014" s="1600"/>
      <c r="M1014" s="1889">
        <f>M1013*0.15</f>
        <v>18152.490204375001</v>
      </c>
    </row>
    <row r="1015" spans="2:13" s="496" customFormat="1">
      <c r="B1015" s="1887" t="s">
        <v>708</v>
      </c>
      <c r="C1015" s="2096" t="s">
        <v>3765</v>
      </c>
      <c r="D1015" s="2096"/>
      <c r="E1015" s="2096"/>
      <c r="F1015" s="2096"/>
      <c r="G1015" s="2096"/>
      <c r="H1015" s="1138">
        <f>SUM(H1013:H1014)</f>
        <v>241666.31875000001</v>
      </c>
      <c r="J1015" s="1600"/>
      <c r="K1015" s="1638"/>
      <c r="L1015" s="1600"/>
      <c r="M1015" s="1889">
        <f>SUM(M1013:M1014)</f>
        <v>139169.09156687499</v>
      </c>
    </row>
    <row r="1016" spans="2:13" s="496" customFormat="1">
      <c r="B1016" s="1890" t="s">
        <v>711</v>
      </c>
      <c r="C1016" s="2097" t="s">
        <v>3401</v>
      </c>
      <c r="D1016" s="2097"/>
      <c r="E1016" s="2097"/>
      <c r="F1016" s="2097"/>
      <c r="G1016" s="2097"/>
      <c r="H1016" s="1857">
        <f>ROUND((H1015/10),2)</f>
        <v>24166.63</v>
      </c>
      <c r="I1016" s="1891">
        <f>H1015/10</f>
        <v>24166.631874999999</v>
      </c>
      <c r="J1016" s="1892"/>
      <c r="K1016" s="1602"/>
      <c r="L1016" s="1600"/>
      <c r="M1016" s="1918">
        <f>ROUND((M1015/10),2)</f>
        <v>13916.91</v>
      </c>
    </row>
    <row r="1017" spans="2:13" hidden="1">
      <c r="B1017" s="1624"/>
      <c r="C1017" s="1177"/>
      <c r="F1017" s="1172"/>
      <c r="G1017" s="1173"/>
      <c r="H1017" s="1133"/>
      <c r="M1017" s="1619"/>
    </row>
    <row r="1018" spans="2:13" hidden="1">
      <c r="B1018" s="1613" t="s">
        <v>3926</v>
      </c>
      <c r="C1018" s="1232" t="s">
        <v>2833</v>
      </c>
      <c r="F1018" s="1172"/>
      <c r="G1018" s="1173"/>
      <c r="H1018" s="1133"/>
      <c r="M1018" s="1619"/>
    </row>
    <row r="1019" spans="2:13" s="507" customFormat="1" ht="24.9" hidden="1" customHeight="1">
      <c r="B1019" s="1648" t="s">
        <v>1003</v>
      </c>
      <c r="C1019" s="1101" t="s">
        <v>1004</v>
      </c>
      <c r="D1019" s="1101" t="s">
        <v>1005</v>
      </c>
      <c r="E1019" s="1101" t="s">
        <v>1006</v>
      </c>
      <c r="F1019" s="1102" t="s">
        <v>1007</v>
      </c>
      <c r="G1019" s="1109" t="s">
        <v>2637</v>
      </c>
      <c r="H1019" s="1110" t="s">
        <v>2638</v>
      </c>
      <c r="J1019" s="1625"/>
      <c r="K1019" s="1625"/>
      <c r="L1019" s="1625"/>
      <c r="M1019" s="1626"/>
    </row>
    <row r="1020" spans="2:13" hidden="1">
      <c r="B1020" s="1649" t="s">
        <v>671</v>
      </c>
      <c r="C1020" s="1329" t="s">
        <v>672</v>
      </c>
      <c r="D1020" s="1331"/>
      <c r="E1020" s="1331"/>
      <c r="F1020" s="1334"/>
      <c r="G1020" s="1104"/>
      <c r="H1020" s="1106"/>
      <c r="M1020" s="1619"/>
    </row>
    <row r="1021" spans="2:13" hidden="1">
      <c r="B1021" s="1650"/>
      <c r="C1021" s="1332" t="s">
        <v>673</v>
      </c>
      <c r="D1021" s="1331" t="s">
        <v>674</v>
      </c>
      <c r="E1021" s="1331" t="s">
        <v>675</v>
      </c>
      <c r="F1021" s="1334">
        <v>2.5000000000000001E-2</v>
      </c>
      <c r="G1021" s="1104">
        <f>DUB!$I$10</f>
        <v>150000</v>
      </c>
      <c r="H1021" s="1106">
        <f>G1021*F1021</f>
        <v>3750</v>
      </c>
      <c r="M1021" s="1619"/>
    </row>
    <row r="1022" spans="2:13" hidden="1">
      <c r="B1022" s="1650"/>
      <c r="C1022" s="1332" t="s">
        <v>855</v>
      </c>
      <c r="D1022" s="1331" t="s">
        <v>678</v>
      </c>
      <c r="E1022" s="1331" t="s">
        <v>675</v>
      </c>
      <c r="F1022" s="1334">
        <v>2.5000000000000001E-2</v>
      </c>
      <c r="G1022" s="1104">
        <f>DUB!$I$11</f>
        <v>187000</v>
      </c>
      <c r="H1022" s="1106">
        <f>G1022*F1022</f>
        <v>4675</v>
      </c>
      <c r="M1022" s="1619"/>
    </row>
    <row r="1023" spans="2:13" hidden="1">
      <c r="B1023" s="1650"/>
      <c r="C1023" s="1332" t="s">
        <v>680</v>
      </c>
      <c r="D1023" s="1331" t="s">
        <v>681</v>
      </c>
      <c r="E1023" s="1331" t="s">
        <v>675</v>
      </c>
      <c r="F1023" s="1334">
        <v>2.5000000000000001E-2</v>
      </c>
      <c r="G1023" s="1104">
        <f>DUB!$I$13</f>
        <v>240000</v>
      </c>
      <c r="H1023" s="1106">
        <f>G1023*F1023</f>
        <v>6000</v>
      </c>
      <c r="M1023" s="1619"/>
    </row>
    <row r="1024" spans="2:13" hidden="1">
      <c r="B1024" s="1650"/>
      <c r="C1024" s="1332" t="s">
        <v>683</v>
      </c>
      <c r="D1024" s="1331" t="s">
        <v>684</v>
      </c>
      <c r="E1024" s="1331" t="s">
        <v>675</v>
      </c>
      <c r="F1024" s="1334">
        <v>1E-3</v>
      </c>
      <c r="G1024" s="1104">
        <f>DUB!$I$12</f>
        <v>225000</v>
      </c>
      <c r="H1024" s="1106">
        <f>G1024*F1024</f>
        <v>225</v>
      </c>
      <c r="M1024" s="1619"/>
    </row>
    <row r="1025" spans="2:13" hidden="1">
      <c r="B1025" s="1650"/>
      <c r="C1025" s="1332"/>
      <c r="D1025" s="1331"/>
      <c r="E1025" s="1331"/>
      <c r="F1025" s="2074" t="s">
        <v>685</v>
      </c>
      <c r="G1025" s="2074"/>
      <c r="H1025" s="1106">
        <f>SUM(H1021:H1024)</f>
        <v>14650</v>
      </c>
      <c r="M1025" s="1619"/>
    </row>
    <row r="1026" spans="2:13" hidden="1">
      <c r="B1026" s="1649" t="s">
        <v>686</v>
      </c>
      <c r="C1026" s="1329" t="s">
        <v>687</v>
      </c>
      <c r="D1026" s="1331"/>
      <c r="E1026" s="1331"/>
      <c r="F1026" s="1334"/>
      <c r="G1026" s="1104"/>
      <c r="H1026" s="1106"/>
      <c r="M1026" s="1619"/>
    </row>
    <row r="1027" spans="2:13" hidden="1">
      <c r="B1027" s="1650"/>
      <c r="C1027" s="1126" t="s">
        <v>3512</v>
      </c>
      <c r="D1027" s="1331"/>
      <c r="E1027" s="1331" t="s">
        <v>773</v>
      </c>
      <c r="F1027" s="1334">
        <v>10.199999999999999</v>
      </c>
      <c r="G1027" s="1104">
        <f>DUB!$I$102</f>
        <v>17100</v>
      </c>
      <c r="H1027" s="1106">
        <f>G1027*F1027</f>
        <v>174420</v>
      </c>
      <c r="M1027" s="1619"/>
    </row>
    <row r="1028" spans="2:13" hidden="1">
      <c r="B1028" s="1650"/>
      <c r="C1028" s="1332" t="s">
        <v>835</v>
      </c>
      <c r="D1028" s="1331"/>
      <c r="E1028" s="1331" t="s">
        <v>773</v>
      </c>
      <c r="F1028" s="1334">
        <v>0.05</v>
      </c>
      <c r="G1028" s="1104">
        <f>DUB!$I$108</f>
        <v>29497.5</v>
      </c>
      <c r="H1028" s="1106">
        <f>G1028*F1028</f>
        <v>1474.875</v>
      </c>
      <c r="M1028" s="1619"/>
    </row>
    <row r="1029" spans="2:13" hidden="1">
      <c r="B1029" s="1650"/>
      <c r="C1029" s="1332"/>
      <c r="D1029" s="1331"/>
      <c r="E1029" s="1331"/>
      <c r="F1029" s="2090" t="s">
        <v>702</v>
      </c>
      <c r="G1029" s="2090"/>
      <c r="H1029" s="1106">
        <f>SUM(H1027:H1028)</f>
        <v>175894.875</v>
      </c>
      <c r="M1029" s="1619"/>
    </row>
    <row r="1030" spans="2:13" s="496" customFormat="1" hidden="1">
      <c r="B1030" s="1649" t="s">
        <v>703</v>
      </c>
      <c r="C1030" s="2089" t="s">
        <v>3764</v>
      </c>
      <c r="D1030" s="2089"/>
      <c r="E1030" s="2089"/>
      <c r="F1030" s="2089"/>
      <c r="G1030" s="2089"/>
      <c r="H1030" s="1107">
        <f>H1025+H1029</f>
        <v>190544.875</v>
      </c>
      <c r="J1030" s="1559"/>
      <c r="K1030" s="1559"/>
      <c r="L1030" s="1559"/>
      <c r="M1030" s="1614"/>
    </row>
    <row r="1031" spans="2:13" s="496" customFormat="1" hidden="1">
      <c r="B1031" s="1649" t="s">
        <v>706</v>
      </c>
      <c r="C1031" s="2076" t="s">
        <v>709</v>
      </c>
      <c r="D1031" s="2076"/>
      <c r="E1031" s="2076"/>
      <c r="F1031" s="2077" t="s">
        <v>3873</v>
      </c>
      <c r="G1031" s="2077"/>
      <c r="H1031" s="1107">
        <f>H1030*0.15</f>
        <v>28581.731250000001</v>
      </c>
      <c r="J1031" s="1559"/>
      <c r="K1031" s="1559"/>
      <c r="L1031" s="1559"/>
      <c r="M1031" s="1614"/>
    </row>
    <row r="1032" spans="2:13" s="496" customFormat="1" hidden="1">
      <c r="B1032" s="1649" t="s">
        <v>708</v>
      </c>
      <c r="C1032" s="2078" t="s">
        <v>3765</v>
      </c>
      <c r="D1032" s="2078"/>
      <c r="E1032" s="2078"/>
      <c r="F1032" s="2078"/>
      <c r="G1032" s="2078"/>
      <c r="H1032" s="1107">
        <f>SUM(H1030:H1031)</f>
        <v>219126.60625000001</v>
      </c>
      <c r="J1032" s="1559"/>
      <c r="K1032" s="1559"/>
      <c r="L1032" s="1559"/>
      <c r="M1032" s="1614"/>
    </row>
    <row r="1033" spans="2:13" s="496" customFormat="1" hidden="1">
      <c r="B1033" s="1722" t="s">
        <v>711</v>
      </c>
      <c r="C1033" s="2089" t="s">
        <v>3402</v>
      </c>
      <c r="D1033" s="2089"/>
      <c r="E1033" s="2089"/>
      <c r="F1033" s="2089"/>
      <c r="G1033" s="2089"/>
      <c r="H1033" s="1756">
        <f>ROUND((H1032/10),2)</f>
        <v>21912.66</v>
      </c>
      <c r="I1033" s="1750">
        <f>H1032/10</f>
        <v>21912.660625</v>
      </c>
      <c r="J1033" s="1561"/>
      <c r="K1033" s="1561"/>
      <c r="L1033" s="1559"/>
      <c r="M1033" s="1614"/>
    </row>
    <row r="1034" spans="2:13">
      <c r="B1034" s="1751"/>
      <c r="C1034" s="1752"/>
      <c r="D1034" s="1751"/>
      <c r="E1034" s="1752"/>
      <c r="F1034" s="1753"/>
      <c r="G1034" s="1754"/>
      <c r="H1034" s="1755"/>
      <c r="I1034" s="1746"/>
      <c r="J1034" s="1641"/>
      <c r="K1034" s="1641"/>
      <c r="L1034" s="1641"/>
      <c r="M1034" s="1747"/>
    </row>
    <row r="1035" spans="2:13" hidden="1">
      <c r="B1035" s="1100" t="s">
        <v>3925</v>
      </c>
      <c r="C1035" s="1112" t="s">
        <v>2834</v>
      </c>
      <c r="D1035" s="1129"/>
      <c r="E1035" s="1129"/>
      <c r="F1035" s="1131"/>
      <c r="G1035" s="1132"/>
      <c r="H1035" s="1115"/>
      <c r="M1035" s="1566"/>
    </row>
    <row r="1036" spans="2:13" s="507" customFormat="1" ht="24.9" hidden="1" customHeight="1">
      <c r="B1036" s="1748" t="s">
        <v>1003</v>
      </c>
      <c r="C1036" s="1101" t="s">
        <v>1004</v>
      </c>
      <c r="D1036" s="1101" t="s">
        <v>1005</v>
      </c>
      <c r="E1036" s="1101" t="s">
        <v>1006</v>
      </c>
      <c r="F1036" s="1102" t="s">
        <v>1007</v>
      </c>
      <c r="G1036" s="1109" t="s">
        <v>2637</v>
      </c>
      <c r="H1036" s="1110" t="s">
        <v>2638</v>
      </c>
      <c r="J1036" s="1625"/>
      <c r="K1036" s="1625"/>
      <c r="L1036" s="1625"/>
      <c r="M1036" s="1570"/>
    </row>
    <row r="1037" spans="2:13" hidden="1">
      <c r="B1037" s="1543" t="s">
        <v>671</v>
      </c>
      <c r="C1037" s="1329" t="s">
        <v>672</v>
      </c>
      <c r="D1037" s="1331"/>
      <c r="E1037" s="1331"/>
      <c r="F1037" s="1334"/>
      <c r="G1037" s="1104"/>
      <c r="H1037" s="1106"/>
      <c r="M1037" s="1566"/>
    </row>
    <row r="1038" spans="2:13" hidden="1">
      <c r="B1038" s="1540"/>
      <c r="C1038" s="1332" t="s">
        <v>673</v>
      </c>
      <c r="D1038" s="1331" t="s">
        <v>674</v>
      </c>
      <c r="E1038" s="1331" t="s">
        <v>675</v>
      </c>
      <c r="F1038" s="1334">
        <v>0.52</v>
      </c>
      <c r="G1038" s="1104">
        <f>DUB!$I$10</f>
        <v>150000</v>
      </c>
      <c r="H1038" s="1106">
        <f>G1038*F1038</f>
        <v>78000</v>
      </c>
      <c r="M1038" s="1566"/>
    </row>
    <row r="1039" spans="2:13" hidden="1">
      <c r="B1039" s="1540"/>
      <c r="C1039" s="1332" t="s">
        <v>677</v>
      </c>
      <c r="D1039" s="1331" t="s">
        <v>678</v>
      </c>
      <c r="E1039" s="1331" t="s">
        <v>675</v>
      </c>
      <c r="F1039" s="1334">
        <v>0.26</v>
      </c>
      <c r="G1039" s="1104">
        <f>DUB!$I$11</f>
        <v>187000</v>
      </c>
      <c r="H1039" s="1106">
        <f>G1039*F1039</f>
        <v>48620</v>
      </c>
      <c r="M1039" s="1566"/>
    </row>
    <row r="1040" spans="2:13" hidden="1">
      <c r="B1040" s="1540"/>
      <c r="C1040" s="1332" t="s">
        <v>680</v>
      </c>
      <c r="D1040" s="1331" t="s">
        <v>681</v>
      </c>
      <c r="E1040" s="1331" t="s">
        <v>675</v>
      </c>
      <c r="F1040" s="1334">
        <v>2.5999999999999999E-2</v>
      </c>
      <c r="G1040" s="1104">
        <f>DUB!$I$13</f>
        <v>240000</v>
      </c>
      <c r="H1040" s="1106">
        <f>G1040*F1040</f>
        <v>6240</v>
      </c>
      <c r="M1040" s="1566"/>
    </row>
    <row r="1041" spans="2:13" hidden="1">
      <c r="B1041" s="1540"/>
      <c r="C1041" s="1332" t="s">
        <v>683</v>
      </c>
      <c r="D1041" s="1331" t="s">
        <v>684</v>
      </c>
      <c r="E1041" s="1331" t="s">
        <v>675</v>
      </c>
      <c r="F1041" s="1334">
        <v>2.5999999999999999E-2</v>
      </c>
      <c r="G1041" s="1104">
        <f>DUB!$I$12</f>
        <v>225000</v>
      </c>
      <c r="H1041" s="1106">
        <f>G1041*F1041</f>
        <v>5850</v>
      </c>
      <c r="M1041" s="1566"/>
    </row>
    <row r="1042" spans="2:13" hidden="1">
      <c r="B1042" s="1540"/>
      <c r="C1042" s="1332"/>
      <c r="D1042" s="1331"/>
      <c r="E1042" s="1331"/>
      <c r="F1042" s="2074" t="s">
        <v>685</v>
      </c>
      <c r="G1042" s="2074"/>
      <c r="H1042" s="1106">
        <f>SUM(H1038:H1041)</f>
        <v>138710</v>
      </c>
      <c r="M1042" s="1566"/>
    </row>
    <row r="1043" spans="2:13" hidden="1">
      <c r="B1043" s="1543" t="s">
        <v>686</v>
      </c>
      <c r="C1043" s="1329" t="s">
        <v>687</v>
      </c>
      <c r="D1043" s="1331"/>
      <c r="E1043" s="1331"/>
      <c r="F1043" s="1334"/>
      <c r="G1043" s="1104"/>
      <c r="H1043" s="1106"/>
      <c r="M1043" s="1566"/>
    </row>
    <row r="1044" spans="2:13" hidden="1">
      <c r="B1044" s="1540"/>
      <c r="C1044" s="1332" t="s">
        <v>859</v>
      </c>
      <c r="D1044" s="1331"/>
      <c r="E1044" s="1331" t="s">
        <v>2646</v>
      </c>
      <c r="F1044" s="1334">
        <v>0.04</v>
      </c>
      <c r="G1044" s="1104">
        <f>DUB!$I$85</f>
        <v>6250000</v>
      </c>
      <c r="H1044" s="1106">
        <f>G1044*F1044</f>
        <v>250000</v>
      </c>
      <c r="M1044" s="1566"/>
    </row>
    <row r="1045" spans="2:13" hidden="1">
      <c r="B1045" s="1540"/>
      <c r="C1045" s="1332" t="s">
        <v>860</v>
      </c>
      <c r="D1045" s="1331"/>
      <c r="E1045" s="1331" t="s">
        <v>773</v>
      </c>
      <c r="F1045" s="1334">
        <v>0.3</v>
      </c>
      <c r="G1045" s="1104">
        <f>DUB!$I$128</f>
        <v>20441.7</v>
      </c>
      <c r="H1045" s="1106">
        <f>G1045*F1045</f>
        <v>6132.51</v>
      </c>
      <c r="M1045" s="1566"/>
    </row>
    <row r="1046" spans="2:13" hidden="1">
      <c r="B1046" s="1540"/>
      <c r="C1046" s="1332" t="s">
        <v>861</v>
      </c>
      <c r="D1046" s="1331"/>
      <c r="E1046" s="1331" t="s">
        <v>701</v>
      </c>
      <c r="F1046" s="1334">
        <v>0.1</v>
      </c>
      <c r="G1046" s="1104">
        <f>DUB!$I$489</f>
        <v>13455</v>
      </c>
      <c r="H1046" s="1106">
        <f>G1046*F1046</f>
        <v>1345.5</v>
      </c>
      <c r="M1046" s="1566"/>
    </row>
    <row r="1047" spans="2:13" hidden="1">
      <c r="B1047" s="1540"/>
      <c r="C1047" s="1332"/>
      <c r="D1047" s="1331"/>
      <c r="E1047" s="1331"/>
      <c r="F1047" s="2090" t="s">
        <v>702</v>
      </c>
      <c r="G1047" s="2090"/>
      <c r="H1047" s="1106">
        <f>SUM(H1044:H1046)</f>
        <v>257478.01</v>
      </c>
      <c r="M1047" s="1566"/>
    </row>
    <row r="1048" spans="2:13" s="496" customFormat="1" hidden="1">
      <c r="B1048" s="1543" t="s">
        <v>703</v>
      </c>
      <c r="C1048" s="2089" t="s">
        <v>3764</v>
      </c>
      <c r="D1048" s="2089"/>
      <c r="E1048" s="2089"/>
      <c r="F1048" s="2089"/>
      <c r="G1048" s="2089"/>
      <c r="H1048" s="1107">
        <f>H1042+H1047</f>
        <v>396188.01</v>
      </c>
      <c r="J1048" s="1559"/>
      <c r="K1048" s="1559"/>
      <c r="L1048" s="1559"/>
      <c r="M1048" s="1635"/>
    </row>
    <row r="1049" spans="2:13" s="496" customFormat="1" hidden="1">
      <c r="B1049" s="1543" t="s">
        <v>706</v>
      </c>
      <c r="C1049" s="2076" t="s">
        <v>709</v>
      </c>
      <c r="D1049" s="2076"/>
      <c r="E1049" s="2076"/>
      <c r="F1049" s="2077" t="s">
        <v>3873</v>
      </c>
      <c r="G1049" s="2077"/>
      <c r="H1049" s="1107">
        <f>H1048*0.15</f>
        <v>59428.201499999996</v>
      </c>
      <c r="J1049" s="1559"/>
      <c r="K1049" s="1559"/>
      <c r="L1049" s="1559"/>
      <c r="M1049" s="1635"/>
    </row>
    <row r="1050" spans="2:13" s="496" customFormat="1" hidden="1">
      <c r="B1050" s="1543" t="s">
        <v>708</v>
      </c>
      <c r="C1050" s="2078" t="s">
        <v>3765</v>
      </c>
      <c r="D1050" s="2078"/>
      <c r="E1050" s="2078"/>
      <c r="F1050" s="2078"/>
      <c r="G1050" s="2078"/>
      <c r="H1050" s="1107">
        <f>ROUND(SUM(H1048:H1049),2)</f>
        <v>455616.21</v>
      </c>
      <c r="I1050" s="506">
        <f>SUM(H1048:H1049)</f>
        <v>455616.21149999998</v>
      </c>
      <c r="J1050" s="1561"/>
      <c r="K1050" s="1561"/>
      <c r="L1050" s="1559"/>
      <c r="M1050" s="1635"/>
    </row>
    <row r="1051" spans="2:13" hidden="1">
      <c r="F1051" s="1172"/>
      <c r="G1051" s="1173"/>
      <c r="H1051" s="1133"/>
      <c r="M1051" s="1566"/>
    </row>
    <row r="1052" spans="2:13">
      <c r="B1052" s="1100" t="s">
        <v>4513</v>
      </c>
      <c r="C1052" s="1112" t="s">
        <v>4514</v>
      </c>
      <c r="D1052" s="1129"/>
      <c r="E1052" s="1129"/>
      <c r="F1052" s="1131"/>
      <c r="G1052" s="1132"/>
      <c r="H1052" s="1115"/>
      <c r="M1052" s="1566"/>
    </row>
    <row r="1053" spans="2:13" ht="24.9" customHeight="1">
      <c r="B1053" s="1727" t="s">
        <v>1003</v>
      </c>
      <c r="C1053" s="1728" t="s">
        <v>1004</v>
      </c>
      <c r="D1053" s="1728" t="s">
        <v>1005</v>
      </c>
      <c r="E1053" s="1728" t="s">
        <v>1006</v>
      </c>
      <c r="F1053" s="1729" t="s">
        <v>1007</v>
      </c>
      <c r="G1053" s="1866" t="s">
        <v>2637</v>
      </c>
      <c r="H1053" s="1867" t="s">
        <v>2638</v>
      </c>
      <c r="I1053" s="1746"/>
      <c r="J1053" s="1605" t="s">
        <v>5335</v>
      </c>
      <c r="K1053" s="1603" t="s">
        <v>5336</v>
      </c>
      <c r="L1053" s="1603" t="s">
        <v>5337</v>
      </c>
      <c r="M1053" s="1604" t="s">
        <v>5338</v>
      </c>
    </row>
    <row r="1054" spans="2:13">
      <c r="B1054" s="1733" t="s">
        <v>671</v>
      </c>
      <c r="C1054" s="1329" t="s">
        <v>672</v>
      </c>
      <c r="D1054" s="1331"/>
      <c r="E1054" s="1331"/>
      <c r="F1054" s="1334"/>
      <c r="G1054" s="1104"/>
      <c r="H1054" s="1106"/>
      <c r="J1054" s="1597"/>
      <c r="K1054" s="1597"/>
      <c r="L1054" s="1597"/>
      <c r="M1054" s="1563"/>
    </row>
    <row r="1055" spans="2:13">
      <c r="B1055" s="1182"/>
      <c r="C1055" s="1332" t="s">
        <v>673</v>
      </c>
      <c r="D1055" s="1331" t="s">
        <v>674</v>
      </c>
      <c r="E1055" s="1331" t="s">
        <v>675</v>
      </c>
      <c r="F1055" s="1334">
        <v>0.52</v>
      </c>
      <c r="G1055" s="1104">
        <f>DUB!$I$10</f>
        <v>150000</v>
      </c>
      <c r="H1055" s="1106">
        <f>G1055*F1055</f>
        <v>78000</v>
      </c>
      <c r="J1055" s="1609" t="s">
        <v>5339</v>
      </c>
      <c r="K1055" s="1611">
        <v>1</v>
      </c>
      <c r="L1055" s="1608" t="s">
        <v>5340</v>
      </c>
      <c r="M1055" s="1610">
        <f>H1055*K1055</f>
        <v>78000</v>
      </c>
    </row>
    <row r="1056" spans="2:13">
      <c r="B1056" s="1182"/>
      <c r="C1056" s="1332" t="s">
        <v>677</v>
      </c>
      <c r="D1056" s="1331" t="s">
        <v>678</v>
      </c>
      <c r="E1056" s="1331" t="s">
        <v>675</v>
      </c>
      <c r="F1056" s="1334">
        <v>0.26</v>
      </c>
      <c r="G1056" s="1104">
        <f>DUB!$I$11</f>
        <v>187000</v>
      </c>
      <c r="H1056" s="1106">
        <f>G1056*F1056</f>
        <v>48620</v>
      </c>
      <c r="J1056" s="1609" t="s">
        <v>5339</v>
      </c>
      <c r="K1056" s="1611">
        <v>1</v>
      </c>
      <c r="L1056" s="1608" t="s">
        <v>5340</v>
      </c>
      <c r="M1056" s="1610">
        <f t="shared" ref="M1056:M1058" si="13">H1056*K1056</f>
        <v>48620</v>
      </c>
    </row>
    <row r="1057" spans="2:13">
      <c r="B1057" s="1182"/>
      <c r="C1057" s="1332" t="s">
        <v>680</v>
      </c>
      <c r="D1057" s="1331" t="s">
        <v>681</v>
      </c>
      <c r="E1057" s="1331" t="s">
        <v>675</v>
      </c>
      <c r="F1057" s="1334">
        <v>2.5999999999999999E-2</v>
      </c>
      <c r="G1057" s="1104">
        <f>DUB!$I$13</f>
        <v>240000</v>
      </c>
      <c r="H1057" s="1106">
        <f>G1057*F1057</f>
        <v>6240</v>
      </c>
      <c r="J1057" s="1609" t="s">
        <v>5339</v>
      </c>
      <c r="K1057" s="1611">
        <v>1</v>
      </c>
      <c r="L1057" s="1608" t="s">
        <v>5340</v>
      </c>
      <c r="M1057" s="1610">
        <f t="shared" si="13"/>
        <v>6240</v>
      </c>
    </row>
    <row r="1058" spans="2:13">
      <c r="B1058" s="1182"/>
      <c r="C1058" s="1332" t="s">
        <v>683</v>
      </c>
      <c r="D1058" s="1331" t="s">
        <v>684</v>
      </c>
      <c r="E1058" s="1331" t="s">
        <v>675</v>
      </c>
      <c r="F1058" s="1334">
        <v>2.5999999999999999E-2</v>
      </c>
      <c r="G1058" s="1104">
        <f>DUB!$I$12</f>
        <v>225000</v>
      </c>
      <c r="H1058" s="1106">
        <f>G1058*F1058</f>
        <v>5850</v>
      </c>
      <c r="J1058" s="1609" t="s">
        <v>5339</v>
      </c>
      <c r="K1058" s="1611">
        <v>1</v>
      </c>
      <c r="L1058" s="1608" t="s">
        <v>5340</v>
      </c>
      <c r="M1058" s="1610">
        <f t="shared" si="13"/>
        <v>5850</v>
      </c>
    </row>
    <row r="1059" spans="2:13">
      <c r="B1059" s="1182"/>
      <c r="C1059" s="1332"/>
      <c r="D1059" s="1331"/>
      <c r="E1059" s="1331"/>
      <c r="F1059" s="2074" t="s">
        <v>685</v>
      </c>
      <c r="G1059" s="2074"/>
      <c r="H1059" s="1106">
        <f>SUM(H1055:H1058)</f>
        <v>138710</v>
      </c>
      <c r="J1059" s="1597"/>
      <c r="K1059" s="1597"/>
      <c r="L1059" s="1597"/>
      <c r="M1059" s="1564">
        <f>SUM(M1055:M1058)</f>
        <v>138710</v>
      </c>
    </row>
    <row r="1060" spans="2:13">
      <c r="B1060" s="1733" t="s">
        <v>686</v>
      </c>
      <c r="C1060" s="1329" t="s">
        <v>687</v>
      </c>
      <c r="D1060" s="1331"/>
      <c r="E1060" s="1331"/>
      <c r="F1060" s="1334"/>
      <c r="G1060" s="1104"/>
      <c r="H1060" s="1106"/>
      <c r="J1060" s="1597"/>
      <c r="K1060" s="1597"/>
      <c r="L1060" s="1597"/>
      <c r="M1060" s="1563"/>
    </row>
    <row r="1061" spans="2:13">
      <c r="B1061" s="1182"/>
      <c r="C1061" s="1332" t="s">
        <v>859</v>
      </c>
      <c r="D1061" s="1331"/>
      <c r="E1061" s="1331" t="s">
        <v>2646</v>
      </c>
      <c r="F1061" s="1334">
        <v>0.04</v>
      </c>
      <c r="G1061" s="1104">
        <f>DUB!$I$85</f>
        <v>6250000</v>
      </c>
      <c r="H1061" s="1106">
        <f>G1061*F1061</f>
        <v>250000</v>
      </c>
      <c r="J1061" s="1607" t="s">
        <v>5341</v>
      </c>
      <c r="K1061" s="1611">
        <v>1</v>
      </c>
      <c r="L1061" s="1607" t="s">
        <v>5341</v>
      </c>
      <c r="M1061" s="1610">
        <f>H1061*K1061</f>
        <v>250000</v>
      </c>
    </row>
    <row r="1062" spans="2:13">
      <c r="B1062" s="1182"/>
      <c r="C1062" s="1332" t="s">
        <v>860</v>
      </c>
      <c r="D1062" s="1331"/>
      <c r="E1062" s="1331" t="s">
        <v>773</v>
      </c>
      <c r="F1062" s="1334">
        <v>0.3</v>
      </c>
      <c r="G1062" s="1104">
        <f>DUB!$I$128</f>
        <v>20441.7</v>
      </c>
      <c r="H1062" s="1106">
        <f>G1062*F1062</f>
        <v>6132.51</v>
      </c>
      <c r="J1062" s="1634" t="s">
        <v>4925</v>
      </c>
      <c r="K1062" s="1611">
        <v>0.31559999999999999</v>
      </c>
      <c r="L1062" s="1607" t="s">
        <v>5343</v>
      </c>
      <c r="M1062" s="1610">
        <f>H1062*K1062</f>
        <v>1935.4201559999999</v>
      </c>
    </row>
    <row r="1063" spans="2:13">
      <c r="B1063" s="1182"/>
      <c r="C1063" s="1332" t="s">
        <v>861</v>
      </c>
      <c r="D1063" s="1331"/>
      <c r="E1063" s="1331" t="s">
        <v>701</v>
      </c>
      <c r="F1063" s="1334">
        <v>0.1</v>
      </c>
      <c r="G1063" s="1104">
        <f>DUB!$I$489</f>
        <v>13455</v>
      </c>
      <c r="H1063" s="1106">
        <f>G1063*F1063</f>
        <v>1345.5</v>
      </c>
      <c r="J1063" s="1607"/>
      <c r="K1063" s="1611"/>
      <c r="L1063" s="1607"/>
      <c r="M1063" s="1610">
        <f>H1063*K1063</f>
        <v>0</v>
      </c>
    </row>
    <row r="1064" spans="2:13">
      <c r="B1064" s="1182"/>
      <c r="C1064" s="1332"/>
      <c r="D1064" s="1331"/>
      <c r="E1064" s="1331"/>
      <c r="F1064" s="2091" t="s">
        <v>702</v>
      </c>
      <c r="G1064" s="2091"/>
      <c r="H1064" s="1106">
        <f>SUM(H1061:H1063)</f>
        <v>257478.01</v>
      </c>
      <c r="J1064" s="1607"/>
      <c r="K1064" s="1611"/>
      <c r="L1064" s="1607"/>
      <c r="M1064" s="1137">
        <f>SUM(M1061:M1063)</f>
        <v>251935.42015600001</v>
      </c>
    </row>
    <row r="1065" spans="2:13">
      <c r="B1065" s="1182"/>
      <c r="C1065" s="1332"/>
      <c r="D1065" s="1331"/>
      <c r="E1065" s="1331"/>
      <c r="F1065" s="1331" t="s">
        <v>4519</v>
      </c>
      <c r="G1065" s="1142"/>
      <c r="H1065" s="1106">
        <f>H1064*0.5</f>
        <v>128739.005</v>
      </c>
      <c r="J1065" s="1600"/>
      <c r="L1065" s="1600"/>
      <c r="M1065" s="1137">
        <f>M1064*0.5</f>
        <v>125967.710078</v>
      </c>
    </row>
    <row r="1066" spans="2:13">
      <c r="B1066" s="1733" t="s">
        <v>703</v>
      </c>
      <c r="C1066" s="2075" t="s">
        <v>3764</v>
      </c>
      <c r="D1066" s="2075"/>
      <c r="E1066" s="2075"/>
      <c r="F1066" s="2075"/>
      <c r="G1066" s="2075"/>
      <c r="H1066" s="1107">
        <f>H1059+H1065</f>
        <v>267449.005</v>
      </c>
      <c r="J1066" s="1600"/>
      <c r="K1066" s="1633">
        <f>M1066/H1066</f>
        <v>0.98963804362629793</v>
      </c>
      <c r="L1066" s="1600"/>
      <c r="M1066" s="1564">
        <f>M1065+M1059</f>
        <v>264677.71007799997</v>
      </c>
    </row>
    <row r="1067" spans="2:13">
      <c r="B1067" s="1733" t="s">
        <v>706</v>
      </c>
      <c r="C1067" s="2076" t="s">
        <v>709</v>
      </c>
      <c r="D1067" s="2076"/>
      <c r="E1067" s="2076"/>
      <c r="F1067" s="2077" t="s">
        <v>3873</v>
      </c>
      <c r="G1067" s="2077"/>
      <c r="H1067" s="1107">
        <f>H1066*0.15</f>
        <v>40117.350749999998</v>
      </c>
      <c r="J1067" s="1602"/>
      <c r="K1067" s="1602"/>
      <c r="L1067" s="1600"/>
      <c r="M1067" s="1564">
        <f>M1066*0.15</f>
        <v>39701.656511699992</v>
      </c>
    </row>
    <row r="1068" spans="2:13">
      <c r="B1068" s="1734" t="s">
        <v>708</v>
      </c>
      <c r="C1068" s="2131" t="s">
        <v>3765</v>
      </c>
      <c r="D1068" s="2131"/>
      <c r="E1068" s="2131"/>
      <c r="F1068" s="2131"/>
      <c r="G1068" s="2131"/>
      <c r="H1068" s="1857">
        <f>ROUND(SUM(H1066:H1067),2)</f>
        <v>307566.36</v>
      </c>
      <c r="I1068" s="1883"/>
      <c r="J1068" s="1885"/>
      <c r="K1068" s="1885"/>
      <c r="L1068" s="1886"/>
      <c r="M1068" s="1917">
        <f>SUM(M1066:M1067)</f>
        <v>304379.36658969999</v>
      </c>
    </row>
    <row r="1069" spans="2:13">
      <c r="B1069" s="1741"/>
      <c r="C1069" s="1742"/>
      <c r="D1069" s="1741"/>
      <c r="E1069" s="1741"/>
      <c r="F1069" s="1743"/>
      <c r="G1069" s="1744"/>
      <c r="H1069" s="1745"/>
      <c r="I1069" s="1746"/>
      <c r="J1069" s="1641"/>
      <c r="K1069" s="1641"/>
      <c r="L1069" s="1641"/>
      <c r="M1069" s="1747"/>
    </row>
    <row r="1070" spans="2:13" hidden="1">
      <c r="B1070" s="1150" t="s">
        <v>3924</v>
      </c>
      <c r="C1070" s="1232" t="s">
        <v>2835</v>
      </c>
      <c r="F1070" s="1172"/>
      <c r="G1070" s="1173"/>
      <c r="H1070" s="1133"/>
      <c r="M1070" s="1566"/>
    </row>
    <row r="1071" spans="2:13" s="507" customFormat="1" ht="24.9" hidden="1" customHeight="1">
      <c r="B1071" s="1748" t="s">
        <v>1003</v>
      </c>
      <c r="C1071" s="1101" t="s">
        <v>1004</v>
      </c>
      <c r="D1071" s="1101" t="s">
        <v>1005</v>
      </c>
      <c r="E1071" s="1101" t="s">
        <v>1006</v>
      </c>
      <c r="F1071" s="1102" t="s">
        <v>1007</v>
      </c>
      <c r="G1071" s="1109" t="s">
        <v>2637</v>
      </c>
      <c r="H1071" s="1110" t="s">
        <v>2638</v>
      </c>
      <c r="J1071" s="1625"/>
      <c r="K1071" s="1625"/>
      <c r="L1071" s="1625"/>
      <c r="M1071" s="1570"/>
    </row>
    <row r="1072" spans="2:13" hidden="1">
      <c r="B1072" s="1543" t="s">
        <v>671</v>
      </c>
      <c r="C1072" s="1329" t="s">
        <v>672</v>
      </c>
      <c r="D1072" s="1331"/>
      <c r="E1072" s="1331"/>
      <c r="F1072" s="1334"/>
      <c r="G1072" s="1104"/>
      <c r="H1072" s="1106"/>
      <c r="M1072" s="1566"/>
    </row>
    <row r="1073" spans="2:13" hidden="1">
      <c r="B1073" s="1540"/>
      <c r="C1073" s="1332" t="s">
        <v>673</v>
      </c>
      <c r="D1073" s="1331" t="s">
        <v>674</v>
      </c>
      <c r="E1073" s="1331" t="s">
        <v>675</v>
      </c>
      <c r="F1073" s="1334">
        <v>0.52</v>
      </c>
      <c r="G1073" s="1104">
        <f>DUB!$I$10</f>
        <v>150000</v>
      </c>
      <c r="H1073" s="1106">
        <f>G1073*F1073</f>
        <v>78000</v>
      </c>
      <c r="M1073" s="1566"/>
    </row>
    <row r="1074" spans="2:13" hidden="1">
      <c r="B1074" s="1540"/>
      <c r="C1074" s="1332" t="s">
        <v>677</v>
      </c>
      <c r="D1074" s="1331" t="s">
        <v>678</v>
      </c>
      <c r="E1074" s="1331" t="s">
        <v>675</v>
      </c>
      <c r="F1074" s="1334">
        <v>0.26</v>
      </c>
      <c r="G1074" s="1104">
        <f>DUB!$I$11</f>
        <v>187000</v>
      </c>
      <c r="H1074" s="1106">
        <f>G1074*F1074</f>
        <v>48620</v>
      </c>
      <c r="M1074" s="1566"/>
    </row>
    <row r="1075" spans="2:13" hidden="1">
      <c r="B1075" s="1540"/>
      <c r="C1075" s="1332" t="s">
        <v>680</v>
      </c>
      <c r="D1075" s="1331" t="s">
        <v>681</v>
      </c>
      <c r="E1075" s="1331" t="s">
        <v>675</v>
      </c>
      <c r="F1075" s="1334">
        <v>2.5999999999999999E-2</v>
      </c>
      <c r="G1075" s="1104">
        <f>DUB!$I$13</f>
        <v>240000</v>
      </c>
      <c r="H1075" s="1106">
        <f>G1075*F1075</f>
        <v>6240</v>
      </c>
      <c r="M1075" s="1566"/>
    </row>
    <row r="1076" spans="2:13" hidden="1">
      <c r="B1076" s="1540"/>
      <c r="C1076" s="1332" t="s">
        <v>683</v>
      </c>
      <c r="D1076" s="1331" t="s">
        <v>684</v>
      </c>
      <c r="E1076" s="1331" t="s">
        <v>675</v>
      </c>
      <c r="F1076" s="1334">
        <v>2.5999999999999999E-2</v>
      </c>
      <c r="G1076" s="1104">
        <f>DUB!$I$12</f>
        <v>225000</v>
      </c>
      <c r="H1076" s="1106">
        <f>G1076*F1076</f>
        <v>5850</v>
      </c>
      <c r="M1076" s="1566"/>
    </row>
    <row r="1077" spans="2:13" hidden="1">
      <c r="B1077" s="1540"/>
      <c r="C1077" s="1332"/>
      <c r="D1077" s="1331"/>
      <c r="E1077" s="1331"/>
      <c r="F1077" s="2074" t="s">
        <v>685</v>
      </c>
      <c r="G1077" s="2074"/>
      <c r="H1077" s="1106">
        <f>SUM(H1073:H1076)</f>
        <v>138710</v>
      </c>
      <c r="M1077" s="1566"/>
    </row>
    <row r="1078" spans="2:13" hidden="1">
      <c r="B1078" s="1543" t="s">
        <v>686</v>
      </c>
      <c r="C1078" s="1329" t="s">
        <v>687</v>
      </c>
      <c r="D1078" s="1331"/>
      <c r="E1078" s="1331"/>
      <c r="F1078" s="1334"/>
      <c r="G1078" s="1104"/>
      <c r="H1078" s="1106"/>
      <c r="M1078" s="1566"/>
    </row>
    <row r="1079" spans="2:13" hidden="1">
      <c r="B1079" s="1540"/>
      <c r="C1079" s="1332" t="s">
        <v>859</v>
      </c>
      <c r="D1079" s="1331"/>
      <c r="E1079" s="1330" t="s">
        <v>2646</v>
      </c>
      <c r="F1079" s="1334">
        <v>4.4999999999999998E-2</v>
      </c>
      <c r="G1079" s="1104">
        <f>DUB!$I$85</f>
        <v>6250000</v>
      </c>
      <c r="H1079" s="1106">
        <f>G1079*F1079</f>
        <v>281250</v>
      </c>
      <c r="M1079" s="1566"/>
    </row>
    <row r="1080" spans="2:13" hidden="1">
      <c r="B1080" s="1540"/>
      <c r="C1080" s="1332" t="s">
        <v>862</v>
      </c>
      <c r="D1080" s="1331"/>
      <c r="E1080" s="1331" t="s">
        <v>773</v>
      </c>
      <c r="F1080" s="1334">
        <v>0.3</v>
      </c>
      <c r="G1080" s="1104">
        <f>DUB!$I$128</f>
        <v>20441.7</v>
      </c>
      <c r="H1080" s="1106">
        <f>G1080*F1080</f>
        <v>6132.51</v>
      </c>
      <c r="M1080" s="1566"/>
    </row>
    <row r="1081" spans="2:13" hidden="1">
      <c r="B1081" s="1540"/>
      <c r="C1081" s="1332" t="s">
        <v>861</v>
      </c>
      <c r="D1081" s="1331"/>
      <c r="E1081" s="1331" t="s">
        <v>701</v>
      </c>
      <c r="F1081" s="1334">
        <v>0.1</v>
      </c>
      <c r="G1081" s="1104">
        <f>DUB!$I$489</f>
        <v>13455</v>
      </c>
      <c r="H1081" s="1106">
        <f>G1081*F1081</f>
        <v>1345.5</v>
      </c>
      <c r="M1081" s="1566"/>
    </row>
    <row r="1082" spans="2:13" hidden="1">
      <c r="B1082" s="1540"/>
      <c r="C1082" s="1332"/>
      <c r="D1082" s="1331"/>
      <c r="E1082" s="1331"/>
      <c r="F1082" s="2090" t="s">
        <v>702</v>
      </c>
      <c r="G1082" s="2090"/>
      <c r="H1082" s="1106">
        <f>SUM(H1079:H1081)</f>
        <v>288728.01</v>
      </c>
      <c r="M1082" s="1566"/>
    </row>
    <row r="1083" spans="2:13" s="496" customFormat="1" hidden="1">
      <c r="B1083" s="1543" t="s">
        <v>703</v>
      </c>
      <c r="C1083" s="2089" t="s">
        <v>3764</v>
      </c>
      <c r="D1083" s="2089"/>
      <c r="E1083" s="2089"/>
      <c r="F1083" s="2089"/>
      <c r="G1083" s="2089"/>
      <c r="H1083" s="1107">
        <f>H1077+H1082</f>
        <v>427438.01</v>
      </c>
      <c r="J1083" s="1559"/>
      <c r="K1083" s="1559"/>
      <c r="L1083" s="1559"/>
      <c r="M1083" s="1635"/>
    </row>
    <row r="1084" spans="2:13" s="496" customFormat="1" hidden="1">
      <c r="B1084" s="1543" t="s">
        <v>706</v>
      </c>
      <c r="C1084" s="2076" t="s">
        <v>709</v>
      </c>
      <c r="D1084" s="2076"/>
      <c r="E1084" s="2076"/>
      <c r="F1084" s="2077" t="s">
        <v>3873</v>
      </c>
      <c r="G1084" s="2077"/>
      <c r="H1084" s="1107">
        <f>H1083*0.15</f>
        <v>64115.701499999996</v>
      </c>
      <c r="J1084" s="1559"/>
      <c r="K1084" s="1559"/>
      <c r="L1084" s="1559"/>
      <c r="M1084" s="1635"/>
    </row>
    <row r="1085" spans="2:13" s="496" customFormat="1" hidden="1">
      <c r="B1085" s="1543" t="s">
        <v>708</v>
      </c>
      <c r="C1085" s="2078" t="s">
        <v>3765</v>
      </c>
      <c r="D1085" s="2078"/>
      <c r="E1085" s="2078"/>
      <c r="F1085" s="2078"/>
      <c r="G1085" s="2078"/>
      <c r="H1085" s="1107">
        <f>ROUND(SUM(H1083:H1084),2)</f>
        <v>491553.71</v>
      </c>
      <c r="I1085" s="506">
        <f>SUM(H1083:H1084)</f>
        <v>491553.71149999998</v>
      </c>
      <c r="J1085" s="1561"/>
      <c r="K1085" s="1561"/>
      <c r="L1085" s="1559"/>
      <c r="M1085" s="1635"/>
    </row>
    <row r="1086" spans="2:13" hidden="1">
      <c r="B1086" s="1143"/>
      <c r="C1086" s="1144"/>
      <c r="D1086" s="1143"/>
      <c r="E1086" s="1143"/>
      <c r="F1086" s="1145"/>
      <c r="G1086" s="1146"/>
      <c r="H1086" s="1147"/>
      <c r="M1086" s="1566"/>
    </row>
    <row r="1087" spans="2:13">
      <c r="B1087" s="1150" t="s">
        <v>4515</v>
      </c>
      <c r="C1087" s="1232" t="s">
        <v>4516</v>
      </c>
      <c r="F1087" s="1172"/>
      <c r="G1087" s="1173"/>
      <c r="H1087" s="1133"/>
      <c r="M1087" s="1566"/>
    </row>
    <row r="1088" spans="2:13" ht="24.9" customHeight="1">
      <c r="B1088" s="1727" t="s">
        <v>1003</v>
      </c>
      <c r="C1088" s="1728" t="s">
        <v>1004</v>
      </c>
      <c r="D1088" s="1728" t="s">
        <v>1005</v>
      </c>
      <c r="E1088" s="1728" t="s">
        <v>1006</v>
      </c>
      <c r="F1088" s="1729" t="s">
        <v>1007</v>
      </c>
      <c r="G1088" s="1866" t="s">
        <v>2637</v>
      </c>
      <c r="H1088" s="1867" t="s">
        <v>2638</v>
      </c>
      <c r="I1088" s="1746"/>
      <c r="J1088" s="1605" t="s">
        <v>5335</v>
      </c>
      <c r="K1088" s="1603" t="s">
        <v>5336</v>
      </c>
      <c r="L1088" s="1603" t="s">
        <v>5337</v>
      </c>
      <c r="M1088" s="1604" t="s">
        <v>5338</v>
      </c>
    </row>
    <row r="1089" spans="2:13">
      <c r="B1089" s="1733" t="s">
        <v>671</v>
      </c>
      <c r="C1089" s="1329" t="s">
        <v>672</v>
      </c>
      <c r="D1089" s="1331"/>
      <c r="E1089" s="1331"/>
      <c r="F1089" s="1334"/>
      <c r="G1089" s="1104"/>
      <c r="H1089" s="1106"/>
      <c r="J1089" s="1597"/>
      <c r="K1089" s="1597"/>
      <c r="L1089" s="1597"/>
      <c r="M1089" s="1563"/>
    </row>
    <row r="1090" spans="2:13">
      <c r="B1090" s="1182"/>
      <c r="C1090" s="1332" t="s">
        <v>673</v>
      </c>
      <c r="D1090" s="1331" t="s">
        <v>674</v>
      </c>
      <c r="E1090" s="1331" t="s">
        <v>675</v>
      </c>
      <c r="F1090" s="1334">
        <v>0.52</v>
      </c>
      <c r="G1090" s="1104">
        <f>DUB!$I$10</f>
        <v>150000</v>
      </c>
      <c r="H1090" s="1106">
        <f>G1090*F1090</f>
        <v>78000</v>
      </c>
      <c r="J1090" s="1609" t="s">
        <v>5339</v>
      </c>
      <c r="K1090" s="1611">
        <v>1</v>
      </c>
      <c r="L1090" s="1608" t="s">
        <v>5340</v>
      </c>
      <c r="M1090" s="1610">
        <f>H1090*K1090</f>
        <v>78000</v>
      </c>
    </row>
    <row r="1091" spans="2:13">
      <c r="B1091" s="1182"/>
      <c r="C1091" s="1332" t="s">
        <v>677</v>
      </c>
      <c r="D1091" s="1331" t="s">
        <v>678</v>
      </c>
      <c r="E1091" s="1331" t="s">
        <v>675</v>
      </c>
      <c r="F1091" s="1334">
        <v>0.26</v>
      </c>
      <c r="G1091" s="1104">
        <f>DUB!$I$11</f>
        <v>187000</v>
      </c>
      <c r="H1091" s="1106">
        <f>G1091*F1091</f>
        <v>48620</v>
      </c>
      <c r="J1091" s="1609" t="s">
        <v>5339</v>
      </c>
      <c r="K1091" s="1611">
        <v>1</v>
      </c>
      <c r="L1091" s="1608" t="s">
        <v>5340</v>
      </c>
      <c r="M1091" s="1610">
        <f t="shared" ref="M1091:M1093" si="14">H1091*K1091</f>
        <v>48620</v>
      </c>
    </row>
    <row r="1092" spans="2:13">
      <c r="B1092" s="1182"/>
      <c r="C1092" s="1332" t="s">
        <v>680</v>
      </c>
      <c r="D1092" s="1331" t="s">
        <v>681</v>
      </c>
      <c r="E1092" s="1331" t="s">
        <v>675</v>
      </c>
      <c r="F1092" s="1334">
        <v>2.5999999999999999E-2</v>
      </c>
      <c r="G1092" s="1104">
        <f>DUB!$I$13</f>
        <v>240000</v>
      </c>
      <c r="H1092" s="1106">
        <f>G1092*F1092</f>
        <v>6240</v>
      </c>
      <c r="J1092" s="1609" t="s">
        <v>5339</v>
      </c>
      <c r="K1092" s="1611">
        <v>1</v>
      </c>
      <c r="L1092" s="1608" t="s">
        <v>5340</v>
      </c>
      <c r="M1092" s="1610">
        <f t="shared" si="14"/>
        <v>6240</v>
      </c>
    </row>
    <row r="1093" spans="2:13">
      <c r="B1093" s="1182"/>
      <c r="C1093" s="1332" t="s">
        <v>683</v>
      </c>
      <c r="D1093" s="1331" t="s">
        <v>684</v>
      </c>
      <c r="E1093" s="1331" t="s">
        <v>675</v>
      </c>
      <c r="F1093" s="1334">
        <v>2.5999999999999999E-2</v>
      </c>
      <c r="G1093" s="1104">
        <f>DUB!$I$12</f>
        <v>225000</v>
      </c>
      <c r="H1093" s="1106">
        <f>G1093*F1093</f>
        <v>5850</v>
      </c>
      <c r="J1093" s="1609" t="s">
        <v>5339</v>
      </c>
      <c r="K1093" s="1611">
        <v>1</v>
      </c>
      <c r="L1093" s="1608" t="s">
        <v>5340</v>
      </c>
      <c r="M1093" s="1610">
        <f t="shared" si="14"/>
        <v>5850</v>
      </c>
    </row>
    <row r="1094" spans="2:13">
      <c r="B1094" s="1182"/>
      <c r="C1094" s="1332"/>
      <c r="D1094" s="1331"/>
      <c r="E1094" s="1331"/>
      <c r="F1094" s="2074" t="s">
        <v>685</v>
      </c>
      <c r="G1094" s="2074"/>
      <c r="H1094" s="1106">
        <f>SUM(H1090:H1093)</f>
        <v>138710</v>
      </c>
      <c r="J1094" s="1597"/>
      <c r="K1094" s="1597"/>
      <c r="L1094" s="1597"/>
      <c r="M1094" s="1564">
        <f>SUM(M1090:M1093)</f>
        <v>138710</v>
      </c>
    </row>
    <row r="1095" spans="2:13">
      <c r="B1095" s="1733" t="s">
        <v>686</v>
      </c>
      <c r="C1095" s="1329" t="s">
        <v>687</v>
      </c>
      <c r="D1095" s="1331"/>
      <c r="E1095" s="1331"/>
      <c r="F1095" s="1334"/>
      <c r="G1095" s="1104"/>
      <c r="H1095" s="1106"/>
      <c r="J1095" s="1597"/>
      <c r="K1095" s="1597"/>
      <c r="L1095" s="1597"/>
      <c r="M1095" s="1563"/>
    </row>
    <row r="1096" spans="2:13">
      <c r="B1096" s="1182"/>
      <c r="C1096" s="1332" t="s">
        <v>859</v>
      </c>
      <c r="D1096" s="1331"/>
      <c r="E1096" s="1331" t="s">
        <v>2646</v>
      </c>
      <c r="F1096" s="1334">
        <v>4.4999999999999998E-2</v>
      </c>
      <c r="G1096" s="1104">
        <f>DUB!$I$85</f>
        <v>6250000</v>
      </c>
      <c r="H1096" s="1106">
        <f>G1096*F1096</f>
        <v>281250</v>
      </c>
      <c r="J1096" s="1607" t="s">
        <v>5341</v>
      </c>
      <c r="K1096" s="1611">
        <v>1</v>
      </c>
      <c r="L1096" s="1607" t="s">
        <v>5341</v>
      </c>
      <c r="M1096" s="1610">
        <f>H1096*K1096</f>
        <v>281250</v>
      </c>
    </row>
    <row r="1097" spans="2:13">
      <c r="B1097" s="1182"/>
      <c r="C1097" s="1332" t="s">
        <v>862</v>
      </c>
      <c r="D1097" s="1331"/>
      <c r="E1097" s="1331" t="s">
        <v>773</v>
      </c>
      <c r="F1097" s="1334">
        <v>0.3</v>
      </c>
      <c r="G1097" s="1104">
        <f>DUB!$I$128</f>
        <v>20441.7</v>
      </c>
      <c r="H1097" s="1106">
        <f>G1097*F1097</f>
        <v>6132.51</v>
      </c>
      <c r="J1097" s="1634" t="s">
        <v>4925</v>
      </c>
      <c r="K1097" s="1611">
        <v>0.31559999999999999</v>
      </c>
      <c r="L1097" s="1607" t="s">
        <v>5343</v>
      </c>
      <c r="M1097" s="1610">
        <f>H1097*K1097</f>
        <v>1935.4201559999999</v>
      </c>
    </row>
    <row r="1098" spans="2:13">
      <c r="B1098" s="1182"/>
      <c r="C1098" s="1332" t="s">
        <v>861</v>
      </c>
      <c r="D1098" s="1331"/>
      <c r="E1098" s="1331" t="s">
        <v>701</v>
      </c>
      <c r="F1098" s="1334">
        <v>0.1</v>
      </c>
      <c r="G1098" s="1104">
        <f>DUB!$I$489</f>
        <v>13455</v>
      </c>
      <c r="H1098" s="1106">
        <f>G1098*F1098</f>
        <v>1345.5</v>
      </c>
      <c r="J1098" s="1607"/>
      <c r="K1098" s="1611"/>
      <c r="L1098" s="1607"/>
      <c r="M1098" s="1610">
        <f>H1098*K1098</f>
        <v>0</v>
      </c>
    </row>
    <row r="1099" spans="2:13">
      <c r="B1099" s="1884"/>
      <c r="C1099" s="1125"/>
      <c r="D1099" s="1333"/>
      <c r="E1099" s="1333"/>
      <c r="F1099" s="2136" t="s">
        <v>702</v>
      </c>
      <c r="G1099" s="2136"/>
      <c r="H1099" s="1178">
        <f>SUM(H1096:H1098)</f>
        <v>288728.01</v>
      </c>
      <c r="J1099" s="1607"/>
      <c r="K1099" s="1611"/>
      <c r="L1099" s="1607"/>
      <c r="M1099" s="1137">
        <f>SUM(M1096:M1098)</f>
        <v>283185.42015600001</v>
      </c>
    </row>
    <row r="1100" spans="2:13">
      <c r="B1100" s="1182"/>
      <c r="C1100" s="1332"/>
      <c r="D1100" s="1331"/>
      <c r="E1100" s="1331"/>
      <c r="F1100" s="1331" t="s">
        <v>4519</v>
      </c>
      <c r="G1100" s="1142"/>
      <c r="H1100" s="1106">
        <f>H1099*0.5</f>
        <v>144364.005</v>
      </c>
      <c r="J1100" s="1600"/>
      <c r="L1100" s="1600"/>
      <c r="M1100" s="1137">
        <f>M1099*0.5</f>
        <v>141592.710078</v>
      </c>
    </row>
    <row r="1101" spans="2:13">
      <c r="B1101" s="1733" t="s">
        <v>703</v>
      </c>
      <c r="C1101" s="2075" t="s">
        <v>3764</v>
      </c>
      <c r="D1101" s="2075"/>
      <c r="E1101" s="2075"/>
      <c r="F1101" s="2075"/>
      <c r="G1101" s="2075"/>
      <c r="H1101" s="1107">
        <f>H1094+H1100</f>
        <v>283074.005</v>
      </c>
      <c r="J1101" s="1600"/>
      <c r="K1101" s="1633">
        <f>M1101/H1101</f>
        <v>0.9902099985408408</v>
      </c>
      <c r="L1101" s="1600"/>
      <c r="M1101" s="1564">
        <f>M1100+M1094</f>
        <v>280302.71007799997</v>
      </c>
    </row>
    <row r="1102" spans="2:13">
      <c r="B1102" s="1733" t="s">
        <v>706</v>
      </c>
      <c r="C1102" s="2076" t="s">
        <v>709</v>
      </c>
      <c r="D1102" s="2076"/>
      <c r="E1102" s="2076"/>
      <c r="F1102" s="2077" t="s">
        <v>3873</v>
      </c>
      <c r="G1102" s="2077"/>
      <c r="H1102" s="1107">
        <f>H1101*0.15</f>
        <v>42461.100749999998</v>
      </c>
      <c r="J1102" s="1602"/>
      <c r="K1102" s="1602"/>
      <c r="L1102" s="1600"/>
      <c r="M1102" s="1564">
        <f>M1101*0.15</f>
        <v>42045.406511699992</v>
      </c>
    </row>
    <row r="1103" spans="2:13">
      <c r="B1103" s="1734" t="s">
        <v>708</v>
      </c>
      <c r="C1103" s="2131" t="s">
        <v>3765</v>
      </c>
      <c r="D1103" s="2131"/>
      <c r="E1103" s="2131"/>
      <c r="F1103" s="2131"/>
      <c r="G1103" s="2131"/>
      <c r="H1103" s="1857">
        <f>ROUND(SUM(H1101:H1102),2)</f>
        <v>325535.11</v>
      </c>
      <c r="I1103" s="1883"/>
      <c r="J1103" s="1885"/>
      <c r="K1103" s="1885"/>
      <c r="L1103" s="1886"/>
      <c r="M1103" s="1917">
        <f>SUM(M1101:M1102)</f>
        <v>322348.11658969999</v>
      </c>
    </row>
    <row r="1104" spans="2:13">
      <c r="B1104" s="1751"/>
      <c r="C1104" s="1752"/>
      <c r="D1104" s="1751"/>
      <c r="E1104" s="1751"/>
      <c r="F1104" s="1753"/>
      <c r="G1104" s="1754"/>
      <c r="H1104" s="1755"/>
      <c r="I1104" s="1746"/>
      <c r="J1104" s="1641"/>
      <c r="K1104" s="1641"/>
      <c r="L1104" s="1641"/>
      <c r="M1104" s="1747"/>
    </row>
    <row r="1105" spans="2:13" hidden="1">
      <c r="B1105" s="1100" t="s">
        <v>3923</v>
      </c>
      <c r="C1105" s="1112" t="s">
        <v>2836</v>
      </c>
      <c r="D1105" s="1129"/>
      <c r="E1105" s="1129"/>
      <c r="F1105" s="1131"/>
      <c r="G1105" s="1132"/>
      <c r="H1105" s="1115"/>
      <c r="M1105" s="1566"/>
    </row>
    <row r="1106" spans="2:13" s="507" customFormat="1" ht="24.9" hidden="1" customHeight="1">
      <c r="B1106" s="1748" t="s">
        <v>1003</v>
      </c>
      <c r="C1106" s="1101" t="s">
        <v>1004</v>
      </c>
      <c r="D1106" s="1101" t="s">
        <v>1005</v>
      </c>
      <c r="E1106" s="1101" t="s">
        <v>1006</v>
      </c>
      <c r="F1106" s="1102" t="s">
        <v>1007</v>
      </c>
      <c r="G1106" s="1109" t="s">
        <v>2637</v>
      </c>
      <c r="H1106" s="1110" t="s">
        <v>2638</v>
      </c>
      <c r="J1106" s="1625"/>
      <c r="K1106" s="1625"/>
      <c r="L1106" s="1625"/>
      <c r="M1106" s="1570"/>
    </row>
    <row r="1107" spans="2:13" hidden="1">
      <c r="B1107" s="1543" t="s">
        <v>671</v>
      </c>
      <c r="C1107" s="1329" t="s">
        <v>672</v>
      </c>
      <c r="D1107" s="1331"/>
      <c r="E1107" s="1331"/>
      <c r="F1107" s="1334"/>
      <c r="G1107" s="1104"/>
      <c r="H1107" s="1106"/>
      <c r="M1107" s="1566"/>
    </row>
    <row r="1108" spans="2:13" hidden="1">
      <c r="B1108" s="1540"/>
      <c r="C1108" s="1332" t="s">
        <v>673</v>
      </c>
      <c r="D1108" s="1331" t="s">
        <v>674</v>
      </c>
      <c r="E1108" s="1331" t="s">
        <v>675</v>
      </c>
      <c r="F1108" s="1334">
        <v>0.66</v>
      </c>
      <c r="G1108" s="1104">
        <f>DUB!$I$10</f>
        <v>150000</v>
      </c>
      <c r="H1108" s="1106">
        <f>G1108*F1108</f>
        <v>99000</v>
      </c>
      <c r="M1108" s="1566"/>
    </row>
    <row r="1109" spans="2:13" hidden="1">
      <c r="B1109" s="1540"/>
      <c r="C1109" s="1332" t="s">
        <v>677</v>
      </c>
      <c r="D1109" s="1331" t="s">
        <v>678</v>
      </c>
      <c r="E1109" s="1331" t="s">
        <v>675</v>
      </c>
      <c r="F1109" s="1334">
        <v>0.33</v>
      </c>
      <c r="G1109" s="1104">
        <f>DUB!$I$11</f>
        <v>187000</v>
      </c>
      <c r="H1109" s="1106">
        <f>G1109*F1109</f>
        <v>61710</v>
      </c>
      <c r="M1109" s="1566"/>
    </row>
    <row r="1110" spans="2:13" hidden="1">
      <c r="B1110" s="1540"/>
      <c r="C1110" s="1332" t="s">
        <v>680</v>
      </c>
      <c r="D1110" s="1331" t="s">
        <v>681</v>
      </c>
      <c r="E1110" s="1331" t="s">
        <v>675</v>
      </c>
      <c r="F1110" s="1334">
        <v>3.3000000000000002E-2</v>
      </c>
      <c r="G1110" s="1104">
        <f>DUB!$I$13</f>
        <v>240000</v>
      </c>
      <c r="H1110" s="1106">
        <f>G1110*F1110</f>
        <v>7920</v>
      </c>
      <c r="M1110" s="1566"/>
    </row>
    <row r="1111" spans="2:13" hidden="1">
      <c r="B1111" s="1540"/>
      <c r="C1111" s="1332" t="s">
        <v>683</v>
      </c>
      <c r="D1111" s="1331" t="s">
        <v>684</v>
      </c>
      <c r="E1111" s="1331" t="s">
        <v>675</v>
      </c>
      <c r="F1111" s="1334">
        <v>3.3000000000000002E-2</v>
      </c>
      <c r="G1111" s="1104">
        <f>DUB!$I$12</f>
        <v>225000</v>
      </c>
      <c r="H1111" s="1106">
        <f>G1111*F1111</f>
        <v>7425</v>
      </c>
      <c r="M1111" s="1566"/>
    </row>
    <row r="1112" spans="2:13" hidden="1">
      <c r="B1112" s="1540"/>
      <c r="C1112" s="1332"/>
      <c r="D1112" s="1331"/>
      <c r="E1112" s="1331"/>
      <c r="F1112" s="2074" t="s">
        <v>685</v>
      </c>
      <c r="G1112" s="2074"/>
      <c r="H1112" s="1106">
        <f>SUM(H1108:H1111)</f>
        <v>176055</v>
      </c>
      <c r="M1112" s="1566"/>
    </row>
    <row r="1113" spans="2:13" hidden="1">
      <c r="B1113" s="1543" t="s">
        <v>686</v>
      </c>
      <c r="C1113" s="1329" t="s">
        <v>687</v>
      </c>
      <c r="D1113" s="1331"/>
      <c r="E1113" s="1331"/>
      <c r="F1113" s="1334"/>
      <c r="G1113" s="1104"/>
      <c r="H1113" s="1106"/>
      <c r="M1113" s="1566"/>
    </row>
    <row r="1114" spans="2:13" hidden="1">
      <c r="B1114" s="1540"/>
      <c r="C1114" s="1332" t="s">
        <v>859</v>
      </c>
      <c r="D1114" s="1331"/>
      <c r="E1114" s="1331" t="s">
        <v>2646</v>
      </c>
      <c r="F1114" s="1334">
        <v>0.04</v>
      </c>
      <c r="G1114" s="1104">
        <f>DUB!$I$85</f>
        <v>6250000</v>
      </c>
      <c r="H1114" s="1106">
        <f t="shared" ref="H1114:H1119" si="15">G1114*F1114</f>
        <v>250000</v>
      </c>
      <c r="M1114" s="1566"/>
    </row>
    <row r="1115" spans="2:13" hidden="1">
      <c r="B1115" s="1540"/>
      <c r="C1115" s="1332" t="s">
        <v>864</v>
      </c>
      <c r="D1115" s="1331"/>
      <c r="E1115" s="1331" t="s">
        <v>773</v>
      </c>
      <c r="F1115" s="1334">
        <v>0.4</v>
      </c>
      <c r="G1115" s="1104">
        <f>DUB!$I$128</f>
        <v>20441.7</v>
      </c>
      <c r="H1115" s="1106">
        <f t="shared" si="15"/>
        <v>8176.68</v>
      </c>
      <c r="M1115" s="1566"/>
    </row>
    <row r="1116" spans="2:13" hidden="1">
      <c r="B1116" s="1540"/>
      <c r="C1116" s="1332" t="s">
        <v>861</v>
      </c>
      <c r="D1116" s="1331"/>
      <c r="E1116" s="1331" t="s">
        <v>701</v>
      </c>
      <c r="F1116" s="1334">
        <v>0.2</v>
      </c>
      <c r="G1116" s="1104">
        <f>DUB!$I$489</f>
        <v>13455</v>
      </c>
      <c r="H1116" s="1106">
        <f t="shared" si="15"/>
        <v>2691</v>
      </c>
      <c r="M1116" s="1566"/>
    </row>
    <row r="1117" spans="2:13" hidden="1">
      <c r="B1117" s="1540"/>
      <c r="C1117" s="1332" t="s">
        <v>3403</v>
      </c>
      <c r="D1117" s="1331"/>
      <c r="E1117" s="1331" t="s">
        <v>2646</v>
      </c>
      <c r="F1117" s="1334">
        <v>1.4999999999999999E-2</v>
      </c>
      <c r="G1117" s="1104">
        <f>$G$1114</f>
        <v>6250000</v>
      </c>
      <c r="H1117" s="1106">
        <f t="shared" si="15"/>
        <v>93750</v>
      </c>
      <c r="M1117" s="1566"/>
    </row>
    <row r="1118" spans="2:13" hidden="1">
      <c r="B1118" s="1540"/>
      <c r="C1118" s="1332" t="s">
        <v>4415</v>
      </c>
      <c r="D1118" s="1331"/>
      <c r="E1118" s="1331" t="s">
        <v>715</v>
      </c>
      <c r="F1118" s="1334">
        <v>0.35</v>
      </c>
      <c r="G1118" s="1104">
        <f>DUB!$I$94</f>
        <v>143750</v>
      </c>
      <c r="H1118" s="1106">
        <f t="shared" si="15"/>
        <v>50312.5</v>
      </c>
      <c r="M1118" s="1566"/>
    </row>
    <row r="1119" spans="2:13" hidden="1">
      <c r="B1119" s="1540"/>
      <c r="C1119" s="1126" t="s">
        <v>3317</v>
      </c>
      <c r="D1119" s="1331"/>
      <c r="E1119" s="1331" t="s">
        <v>688</v>
      </c>
      <c r="F1119" s="1179">
        <v>2</v>
      </c>
      <c r="G1119" s="1104">
        <f>DUB!$I$80</f>
        <v>41220</v>
      </c>
      <c r="H1119" s="1106">
        <f t="shared" si="15"/>
        <v>82440</v>
      </c>
      <c r="M1119" s="1566"/>
    </row>
    <row r="1120" spans="2:13" hidden="1">
      <c r="B1120" s="1540"/>
      <c r="C1120" s="1332"/>
      <c r="D1120" s="1331"/>
      <c r="E1120" s="1331"/>
      <c r="F1120" s="2090" t="s">
        <v>702</v>
      </c>
      <c r="G1120" s="2090"/>
      <c r="H1120" s="1106">
        <f>SUM(H1114:H1119)</f>
        <v>487370.18</v>
      </c>
      <c r="M1120" s="1566"/>
    </row>
    <row r="1121" spans="2:13" s="496" customFormat="1" hidden="1">
      <c r="B1121" s="1543" t="s">
        <v>703</v>
      </c>
      <c r="C1121" s="2089" t="s">
        <v>3764</v>
      </c>
      <c r="D1121" s="2089"/>
      <c r="E1121" s="2089"/>
      <c r="F1121" s="2089"/>
      <c r="G1121" s="2089"/>
      <c r="H1121" s="1107">
        <f>H1112+H1120</f>
        <v>663425.17999999993</v>
      </c>
      <c r="J1121" s="1559"/>
      <c r="K1121" s="1559"/>
      <c r="L1121" s="1559"/>
      <c r="M1121" s="1635"/>
    </row>
    <row r="1122" spans="2:13" s="496" customFormat="1" hidden="1">
      <c r="B1122" s="1543" t="s">
        <v>706</v>
      </c>
      <c r="C1122" s="2076" t="s">
        <v>709</v>
      </c>
      <c r="D1122" s="2076"/>
      <c r="E1122" s="2076"/>
      <c r="F1122" s="2077" t="s">
        <v>3873</v>
      </c>
      <c r="G1122" s="2077"/>
      <c r="H1122" s="1107">
        <f>H1121*0.15</f>
        <v>99513.776999999987</v>
      </c>
      <c r="J1122" s="1559"/>
      <c r="K1122" s="1559"/>
      <c r="L1122" s="1559"/>
      <c r="M1122" s="1635"/>
    </row>
    <row r="1123" spans="2:13" s="496" customFormat="1" hidden="1">
      <c r="B1123" s="1543" t="s">
        <v>708</v>
      </c>
      <c r="C1123" s="2078" t="s">
        <v>3765</v>
      </c>
      <c r="D1123" s="2078"/>
      <c r="E1123" s="2078"/>
      <c r="F1123" s="2078"/>
      <c r="G1123" s="2078"/>
      <c r="H1123" s="1107">
        <f>ROUND(SUM(H1121:H1122),2)</f>
        <v>762938.96</v>
      </c>
      <c r="I1123" s="506">
        <f>SUM(H1121:H1122)</f>
        <v>762938.95699999994</v>
      </c>
      <c r="J1123" s="1561"/>
      <c r="K1123" s="1561"/>
      <c r="L1123" s="1559"/>
      <c r="M1123" s="1635"/>
    </row>
    <row r="1124" spans="2:13" hidden="1">
      <c r="F1124" s="1172"/>
      <c r="G1124" s="1173"/>
      <c r="H1124" s="1133"/>
      <c r="M1124" s="1566"/>
    </row>
    <row r="1125" spans="2:13">
      <c r="B1125" s="1100" t="s">
        <v>4517</v>
      </c>
      <c r="C1125" s="1112" t="s">
        <v>4518</v>
      </c>
      <c r="D1125" s="1129"/>
      <c r="E1125" s="1129"/>
      <c r="F1125" s="1131"/>
      <c r="G1125" s="1132"/>
      <c r="H1125" s="1115"/>
      <c r="M1125" s="1566"/>
    </row>
    <row r="1126" spans="2:13" ht="24.9" customHeight="1">
      <c r="B1126" s="1727" t="s">
        <v>1003</v>
      </c>
      <c r="C1126" s="1728" t="s">
        <v>1004</v>
      </c>
      <c r="D1126" s="1728" t="s">
        <v>1005</v>
      </c>
      <c r="E1126" s="1728" t="s">
        <v>1006</v>
      </c>
      <c r="F1126" s="1729" t="s">
        <v>1007</v>
      </c>
      <c r="G1126" s="1866" t="s">
        <v>2637</v>
      </c>
      <c r="H1126" s="1867" t="s">
        <v>2638</v>
      </c>
      <c r="I1126" s="1746"/>
      <c r="J1126" s="1605" t="s">
        <v>5335</v>
      </c>
      <c r="K1126" s="1603" t="s">
        <v>5336</v>
      </c>
      <c r="L1126" s="1603" t="s">
        <v>5337</v>
      </c>
      <c r="M1126" s="1604" t="s">
        <v>5338</v>
      </c>
    </row>
    <row r="1127" spans="2:13">
      <c r="B1127" s="1733" t="s">
        <v>671</v>
      </c>
      <c r="C1127" s="1329" t="s">
        <v>672</v>
      </c>
      <c r="D1127" s="1331"/>
      <c r="E1127" s="1331"/>
      <c r="F1127" s="1334"/>
      <c r="G1127" s="1104"/>
      <c r="H1127" s="1106"/>
      <c r="J1127" s="1597"/>
      <c r="K1127" s="1597"/>
      <c r="L1127" s="1597"/>
      <c r="M1127" s="1563"/>
    </row>
    <row r="1128" spans="2:13">
      <c r="B1128" s="1182"/>
      <c r="C1128" s="1332" t="s">
        <v>673</v>
      </c>
      <c r="D1128" s="1331" t="s">
        <v>674</v>
      </c>
      <c r="E1128" s="1331" t="s">
        <v>675</v>
      </c>
      <c r="F1128" s="1334">
        <v>0.66</v>
      </c>
      <c r="G1128" s="1104">
        <f>DUB!$I$10</f>
        <v>150000</v>
      </c>
      <c r="H1128" s="1106">
        <f>G1128*F1128</f>
        <v>99000</v>
      </c>
      <c r="J1128" s="1609" t="s">
        <v>5339</v>
      </c>
      <c r="K1128" s="1611">
        <v>1</v>
      </c>
      <c r="L1128" s="1608" t="s">
        <v>5340</v>
      </c>
      <c r="M1128" s="1610">
        <f>H1128*K1128</f>
        <v>99000</v>
      </c>
    </row>
    <row r="1129" spans="2:13">
      <c r="B1129" s="1182"/>
      <c r="C1129" s="1332" t="s">
        <v>677</v>
      </c>
      <c r="D1129" s="1331" t="s">
        <v>678</v>
      </c>
      <c r="E1129" s="1331" t="s">
        <v>675</v>
      </c>
      <c r="F1129" s="1334">
        <v>0.33</v>
      </c>
      <c r="G1129" s="1104">
        <f>DUB!$I$11</f>
        <v>187000</v>
      </c>
      <c r="H1129" s="1106">
        <f>G1129*F1129</f>
        <v>61710</v>
      </c>
      <c r="J1129" s="1609" t="s">
        <v>5339</v>
      </c>
      <c r="K1129" s="1611">
        <v>1</v>
      </c>
      <c r="L1129" s="1608" t="s">
        <v>5340</v>
      </c>
      <c r="M1129" s="1610">
        <f t="shared" ref="M1129:M1131" si="16">H1129*K1129</f>
        <v>61710</v>
      </c>
    </row>
    <row r="1130" spans="2:13">
      <c r="B1130" s="1182"/>
      <c r="C1130" s="1332" t="s">
        <v>680</v>
      </c>
      <c r="D1130" s="1331" t="s">
        <v>681</v>
      </c>
      <c r="E1130" s="1331" t="s">
        <v>675</v>
      </c>
      <c r="F1130" s="1334">
        <v>3.3000000000000002E-2</v>
      </c>
      <c r="G1130" s="1104">
        <f>DUB!$I$13</f>
        <v>240000</v>
      </c>
      <c r="H1130" s="1106">
        <f>G1130*F1130</f>
        <v>7920</v>
      </c>
      <c r="J1130" s="1609" t="s">
        <v>5339</v>
      </c>
      <c r="K1130" s="1611">
        <v>1</v>
      </c>
      <c r="L1130" s="1608" t="s">
        <v>5340</v>
      </c>
      <c r="M1130" s="1610">
        <f t="shared" si="16"/>
        <v>7920</v>
      </c>
    </row>
    <row r="1131" spans="2:13">
      <c r="B1131" s="1182"/>
      <c r="C1131" s="1332" t="s">
        <v>683</v>
      </c>
      <c r="D1131" s="1331" t="s">
        <v>684</v>
      </c>
      <c r="E1131" s="1331" t="s">
        <v>675</v>
      </c>
      <c r="F1131" s="1334">
        <v>3.3000000000000002E-2</v>
      </c>
      <c r="G1131" s="1104">
        <f>DUB!$I$12</f>
        <v>225000</v>
      </c>
      <c r="H1131" s="1106">
        <f>G1131*F1131</f>
        <v>7425</v>
      </c>
      <c r="J1131" s="1609" t="s">
        <v>5339</v>
      </c>
      <c r="K1131" s="1611">
        <v>1</v>
      </c>
      <c r="L1131" s="1608" t="s">
        <v>5340</v>
      </c>
      <c r="M1131" s="1610">
        <f t="shared" si="16"/>
        <v>7425</v>
      </c>
    </row>
    <row r="1132" spans="2:13">
      <c r="B1132" s="1182"/>
      <c r="C1132" s="1332"/>
      <c r="D1132" s="1331"/>
      <c r="E1132" s="1331"/>
      <c r="F1132" s="2074" t="s">
        <v>685</v>
      </c>
      <c r="G1132" s="2074"/>
      <c r="H1132" s="1106">
        <f>SUM(H1128:H1131)</f>
        <v>176055</v>
      </c>
      <c r="J1132" s="1597"/>
      <c r="K1132" s="1597"/>
      <c r="L1132" s="1597"/>
      <c r="M1132" s="1564">
        <f>SUM(M1128:M1131)</f>
        <v>176055</v>
      </c>
    </row>
    <row r="1133" spans="2:13">
      <c r="B1133" s="1733" t="s">
        <v>686</v>
      </c>
      <c r="C1133" s="1329" t="s">
        <v>687</v>
      </c>
      <c r="D1133" s="1331"/>
      <c r="E1133" s="1331"/>
      <c r="F1133" s="1334"/>
      <c r="G1133" s="1104"/>
      <c r="H1133" s="1106"/>
      <c r="J1133" s="1597"/>
      <c r="K1133" s="1597"/>
      <c r="L1133" s="1597"/>
      <c r="M1133" s="1563"/>
    </row>
    <row r="1134" spans="2:13">
      <c r="B1134" s="1182"/>
      <c r="C1134" s="1332" t="s">
        <v>859</v>
      </c>
      <c r="D1134" s="1331"/>
      <c r="E1134" s="1331" t="s">
        <v>2646</v>
      </c>
      <c r="F1134" s="1334">
        <v>0.04</v>
      </c>
      <c r="G1134" s="1104">
        <f>DUB!$I$85</f>
        <v>6250000</v>
      </c>
      <c r="H1134" s="1106">
        <f t="shared" ref="H1134:H1139" si="17">G1134*F1134</f>
        <v>250000</v>
      </c>
      <c r="J1134" s="1607" t="s">
        <v>5341</v>
      </c>
      <c r="K1134" s="1611">
        <v>1</v>
      </c>
      <c r="L1134" s="1607" t="s">
        <v>5341</v>
      </c>
      <c r="M1134" s="1137">
        <f>K1134*H1134</f>
        <v>250000</v>
      </c>
    </row>
    <row r="1135" spans="2:13">
      <c r="B1135" s="1182"/>
      <c r="C1135" s="1332" t="s">
        <v>864</v>
      </c>
      <c r="D1135" s="1331"/>
      <c r="E1135" s="1331" t="s">
        <v>773</v>
      </c>
      <c r="F1135" s="1334">
        <v>0.4</v>
      </c>
      <c r="G1135" s="1104">
        <f>DUB!$I$128</f>
        <v>20441.7</v>
      </c>
      <c r="H1135" s="1106">
        <f t="shared" si="17"/>
        <v>8176.68</v>
      </c>
      <c r="J1135" s="1634" t="s">
        <v>4925</v>
      </c>
      <c r="K1135" s="1611">
        <v>0.31559999999999999</v>
      </c>
      <c r="L1135" s="1607" t="s">
        <v>5343</v>
      </c>
      <c r="M1135" s="1137">
        <f t="shared" ref="M1135:M1139" si="18">K1135*H1135</f>
        <v>2580.5602079999999</v>
      </c>
    </row>
    <row r="1136" spans="2:13">
      <c r="B1136" s="1182"/>
      <c r="C1136" s="1332" t="s">
        <v>861</v>
      </c>
      <c r="D1136" s="1331"/>
      <c r="E1136" s="1331" t="s">
        <v>701</v>
      </c>
      <c r="F1136" s="1334">
        <v>0.2</v>
      </c>
      <c r="G1136" s="1104">
        <f>DUB!$I$489</f>
        <v>13455</v>
      </c>
      <c r="H1136" s="1106">
        <f t="shared" si="17"/>
        <v>2691</v>
      </c>
      <c r="J1136" s="1607"/>
      <c r="K1136" s="1611"/>
      <c r="L1136" s="1607"/>
      <c r="M1136" s="1137">
        <f t="shared" si="18"/>
        <v>0</v>
      </c>
    </row>
    <row r="1137" spans="2:13">
      <c r="B1137" s="1182"/>
      <c r="C1137" s="1332" t="s">
        <v>3403</v>
      </c>
      <c r="D1137" s="1331"/>
      <c r="E1137" s="1331" t="s">
        <v>2646</v>
      </c>
      <c r="F1137" s="1334">
        <v>1.4999999999999999E-2</v>
      </c>
      <c r="G1137" s="1104">
        <f>$G$1114</f>
        <v>6250000</v>
      </c>
      <c r="H1137" s="1106">
        <f t="shared" si="17"/>
        <v>93750</v>
      </c>
      <c r="J1137" s="1607" t="s">
        <v>5341</v>
      </c>
      <c r="K1137" s="1611">
        <v>1</v>
      </c>
      <c r="L1137" s="1607" t="s">
        <v>5341</v>
      </c>
      <c r="M1137" s="1137">
        <f t="shared" si="18"/>
        <v>93750</v>
      </c>
    </row>
    <row r="1138" spans="2:13">
      <c r="B1138" s="1182"/>
      <c r="C1138" s="1332" t="s">
        <v>4415</v>
      </c>
      <c r="D1138" s="1331"/>
      <c r="E1138" s="1331" t="s">
        <v>715</v>
      </c>
      <c r="F1138" s="1334">
        <v>0.35</v>
      </c>
      <c r="G1138" s="1104">
        <f>DUB!$I$94</f>
        <v>143750</v>
      </c>
      <c r="H1138" s="1106">
        <f t="shared" si="17"/>
        <v>50312.5</v>
      </c>
      <c r="J1138" s="1634" t="s">
        <v>4925</v>
      </c>
      <c r="K1138" s="1611">
        <v>0.82630000000000003</v>
      </c>
      <c r="L1138" s="1607" t="s">
        <v>5343</v>
      </c>
      <c r="M1138" s="1137">
        <f t="shared" si="18"/>
        <v>41573.21875</v>
      </c>
    </row>
    <row r="1139" spans="2:13">
      <c r="B1139" s="1182"/>
      <c r="C1139" s="1126" t="s">
        <v>3317</v>
      </c>
      <c r="D1139" s="1331"/>
      <c r="E1139" s="1331" t="s">
        <v>688</v>
      </c>
      <c r="F1139" s="1179">
        <v>2</v>
      </c>
      <c r="G1139" s="1104">
        <f>DUB!$I$80</f>
        <v>41220</v>
      </c>
      <c r="H1139" s="1106">
        <f t="shared" si="17"/>
        <v>82440</v>
      </c>
      <c r="J1139" s="1607" t="s">
        <v>5341</v>
      </c>
      <c r="K1139" s="1611">
        <v>1</v>
      </c>
      <c r="L1139" s="1607" t="s">
        <v>5341</v>
      </c>
      <c r="M1139" s="1137">
        <f t="shared" si="18"/>
        <v>82440</v>
      </c>
    </row>
    <row r="1140" spans="2:13">
      <c r="B1140" s="1884"/>
      <c r="C1140" s="1125"/>
      <c r="D1140" s="1333"/>
      <c r="E1140" s="1333"/>
      <c r="F1140" s="2136" t="s">
        <v>702</v>
      </c>
      <c r="G1140" s="2136"/>
      <c r="H1140" s="1178">
        <f>SUM(H1134:H1139)</f>
        <v>487370.18</v>
      </c>
      <c r="J1140" s="1602"/>
      <c r="K1140" s="1602"/>
      <c r="L1140" s="1600"/>
      <c r="M1140" s="1874">
        <f>SUM(M1134:M1139)</f>
        <v>470343.77895800001</v>
      </c>
    </row>
    <row r="1141" spans="2:13">
      <c r="B1141" s="1182"/>
      <c r="C1141" s="1332"/>
      <c r="D1141" s="1331"/>
      <c r="E1141" s="1331"/>
      <c r="F1141" s="1331" t="s">
        <v>4519</v>
      </c>
      <c r="G1141" s="1142"/>
      <c r="H1141" s="1106">
        <f>H1140*0.5</f>
        <v>243685.09</v>
      </c>
      <c r="J1141" s="1639"/>
      <c r="K1141" s="1639"/>
      <c r="L1141" s="1640"/>
      <c r="M1141" s="1137">
        <f>M1140*0.5</f>
        <v>235171.889479</v>
      </c>
    </row>
    <row r="1142" spans="2:13">
      <c r="B1142" s="1733" t="s">
        <v>703</v>
      </c>
      <c r="C1142" s="2075" t="s">
        <v>3764</v>
      </c>
      <c r="D1142" s="2075"/>
      <c r="E1142" s="2075"/>
      <c r="F1142" s="2075"/>
      <c r="G1142" s="2075"/>
      <c r="H1142" s="1107">
        <f>H1132+H1141</f>
        <v>419740.08999999997</v>
      </c>
      <c r="J1142" s="1597"/>
      <c r="K1142" s="1633">
        <f>M1142/H1142</f>
        <v>0.979717923725132</v>
      </c>
      <c r="L1142" s="1597"/>
      <c r="M1142" s="1203">
        <f>M1132+M1141</f>
        <v>411226.889479</v>
      </c>
    </row>
    <row r="1143" spans="2:13">
      <c r="B1143" s="1733" t="s">
        <v>706</v>
      </c>
      <c r="C1143" s="2076" t="s">
        <v>709</v>
      </c>
      <c r="D1143" s="2076"/>
      <c r="E1143" s="2076"/>
      <c r="F1143" s="2077" t="s">
        <v>3873</v>
      </c>
      <c r="G1143" s="2077"/>
      <c r="H1143" s="1107">
        <f>H1142*0.15</f>
        <v>62961.013499999994</v>
      </c>
      <c r="J1143" s="1597"/>
      <c r="K1143" s="1597"/>
      <c r="L1143" s="1597"/>
      <c r="M1143" s="1203">
        <f>M1142*0.15</f>
        <v>61684.033421849999</v>
      </c>
    </row>
    <row r="1144" spans="2:13">
      <c r="B1144" s="1734" t="s">
        <v>708</v>
      </c>
      <c r="C1144" s="2109" t="s">
        <v>3765</v>
      </c>
      <c r="D1144" s="2109"/>
      <c r="E1144" s="2109"/>
      <c r="F1144" s="2109"/>
      <c r="G1144" s="2109"/>
      <c r="H1144" s="1857">
        <f>ROUND(SUM(H1142:H1143),2)</f>
        <v>482701.1</v>
      </c>
      <c r="I1144" s="1883"/>
      <c r="J1144" s="1597"/>
      <c r="K1144" s="1597"/>
      <c r="L1144" s="1597"/>
      <c r="M1144" s="1918">
        <f>ROUND(SUM(M1142:M1143),2)</f>
        <v>472910.92</v>
      </c>
    </row>
    <row r="1145" spans="2:13" hidden="1">
      <c r="B1145" s="1624"/>
      <c r="F1145" s="1172"/>
      <c r="G1145" s="1173"/>
      <c r="H1145" s="1133"/>
      <c r="M1145" s="1619"/>
    </row>
    <row r="1146" spans="2:13" hidden="1">
      <c r="B1146" s="1613" t="s">
        <v>3927</v>
      </c>
      <c r="C1146" s="1232" t="s">
        <v>2837</v>
      </c>
      <c r="F1146" s="1172"/>
      <c r="G1146" s="1173"/>
      <c r="H1146" s="1133"/>
      <c r="M1146" s="1619"/>
    </row>
    <row r="1147" spans="2:13" s="507" customFormat="1" ht="24.9" hidden="1" customHeight="1">
      <c r="B1147" s="1648" t="s">
        <v>1003</v>
      </c>
      <c r="C1147" s="1101" t="s">
        <v>1004</v>
      </c>
      <c r="D1147" s="1101" t="s">
        <v>1005</v>
      </c>
      <c r="E1147" s="1101" t="s">
        <v>1006</v>
      </c>
      <c r="F1147" s="1102" t="s">
        <v>1007</v>
      </c>
      <c r="G1147" s="1109" t="s">
        <v>2637</v>
      </c>
      <c r="H1147" s="1110" t="s">
        <v>2638</v>
      </c>
      <c r="J1147" s="1625"/>
      <c r="K1147" s="1625"/>
      <c r="L1147" s="1625"/>
      <c r="M1147" s="1626"/>
    </row>
    <row r="1148" spans="2:13" hidden="1">
      <c r="B1148" s="1649" t="s">
        <v>671</v>
      </c>
      <c r="C1148" s="1329" t="s">
        <v>672</v>
      </c>
      <c r="D1148" s="1331"/>
      <c r="E1148" s="1331"/>
      <c r="F1148" s="1334"/>
      <c r="G1148" s="1104"/>
      <c r="H1148" s="1106"/>
      <c r="M1148" s="1619"/>
    </row>
    <row r="1149" spans="2:13" hidden="1">
      <c r="B1149" s="1650"/>
      <c r="C1149" s="1332" t="s">
        <v>673</v>
      </c>
      <c r="D1149" s="1331" t="s">
        <v>674</v>
      </c>
      <c r="E1149" s="1331" t="s">
        <v>675</v>
      </c>
      <c r="F1149" s="1334">
        <v>0.66</v>
      </c>
      <c r="G1149" s="1104">
        <f>DUB!$I$10</f>
        <v>150000</v>
      </c>
      <c r="H1149" s="1106">
        <f>G1149*F1149</f>
        <v>99000</v>
      </c>
      <c r="M1149" s="1619"/>
    </row>
    <row r="1150" spans="2:13" hidden="1">
      <c r="B1150" s="1650"/>
      <c r="C1150" s="1332" t="s">
        <v>677</v>
      </c>
      <c r="D1150" s="1331" t="s">
        <v>678</v>
      </c>
      <c r="E1150" s="1331" t="s">
        <v>675</v>
      </c>
      <c r="F1150" s="1334">
        <v>0.33</v>
      </c>
      <c r="G1150" s="1104">
        <f>DUB!$I$11</f>
        <v>187000</v>
      </c>
      <c r="H1150" s="1106">
        <f>G1150*F1150</f>
        <v>61710</v>
      </c>
      <c r="M1150" s="1619"/>
    </row>
    <row r="1151" spans="2:13" hidden="1">
      <c r="B1151" s="1650"/>
      <c r="C1151" s="1332" t="s">
        <v>680</v>
      </c>
      <c r="D1151" s="1331" t="s">
        <v>681</v>
      </c>
      <c r="E1151" s="1331" t="s">
        <v>675</v>
      </c>
      <c r="F1151" s="1334">
        <v>3.3000000000000002E-2</v>
      </c>
      <c r="G1151" s="1104">
        <f>DUB!$I$13</f>
        <v>240000</v>
      </c>
      <c r="H1151" s="1106">
        <f>G1151*F1151</f>
        <v>7920</v>
      </c>
      <c r="M1151" s="1619"/>
    </row>
    <row r="1152" spans="2:13" hidden="1">
      <c r="B1152" s="1650"/>
      <c r="C1152" s="1332" t="s">
        <v>683</v>
      </c>
      <c r="D1152" s="1331" t="s">
        <v>684</v>
      </c>
      <c r="E1152" s="1331" t="s">
        <v>675</v>
      </c>
      <c r="F1152" s="1334">
        <v>3.3000000000000002E-2</v>
      </c>
      <c r="G1152" s="1104">
        <f>DUB!$I$12</f>
        <v>225000</v>
      </c>
      <c r="H1152" s="1106">
        <f>G1152*F1152</f>
        <v>7425</v>
      </c>
      <c r="M1152" s="1619"/>
    </row>
    <row r="1153" spans="2:13" hidden="1">
      <c r="B1153" s="1650"/>
      <c r="C1153" s="1332"/>
      <c r="D1153" s="1331"/>
      <c r="E1153" s="1331"/>
      <c r="F1153" s="2074" t="s">
        <v>685</v>
      </c>
      <c r="G1153" s="2074"/>
      <c r="H1153" s="1106">
        <f>SUM(H1149:H1152)</f>
        <v>176055</v>
      </c>
      <c r="M1153" s="1619"/>
    </row>
    <row r="1154" spans="2:13" hidden="1">
      <c r="B1154" s="1649" t="s">
        <v>686</v>
      </c>
      <c r="C1154" s="1329" t="s">
        <v>687</v>
      </c>
      <c r="D1154" s="1331"/>
      <c r="E1154" s="1331"/>
      <c r="F1154" s="1334"/>
      <c r="G1154" s="1104"/>
      <c r="H1154" s="1106"/>
      <c r="M1154" s="1619"/>
    </row>
    <row r="1155" spans="2:13" hidden="1">
      <c r="B1155" s="1650"/>
      <c r="C1155" s="1332" t="s">
        <v>859</v>
      </c>
      <c r="D1155" s="1331"/>
      <c r="E1155" s="1331" t="s">
        <v>2646</v>
      </c>
      <c r="F1155" s="1334">
        <v>0.04</v>
      </c>
      <c r="G1155" s="1104">
        <f>DUB!$I$85</f>
        <v>6250000</v>
      </c>
      <c r="H1155" s="1106">
        <f t="shared" ref="H1155:H1160" si="19">G1155*F1155</f>
        <v>250000</v>
      </c>
      <c r="M1155" s="1619"/>
    </row>
    <row r="1156" spans="2:13" hidden="1">
      <c r="B1156" s="1650"/>
      <c r="C1156" s="1332" t="s">
        <v>864</v>
      </c>
      <c r="D1156" s="1331"/>
      <c r="E1156" s="1331" t="s">
        <v>773</v>
      </c>
      <c r="F1156" s="1334">
        <v>0.4</v>
      </c>
      <c r="G1156" s="1104">
        <f>DUB!$I$128</f>
        <v>20441.7</v>
      </c>
      <c r="H1156" s="1106">
        <f t="shared" si="19"/>
        <v>8176.68</v>
      </c>
      <c r="M1156" s="1619"/>
    </row>
    <row r="1157" spans="2:13" hidden="1">
      <c r="B1157" s="1650"/>
      <c r="C1157" s="1332" t="s">
        <v>861</v>
      </c>
      <c r="D1157" s="1331"/>
      <c r="E1157" s="1331" t="s">
        <v>701</v>
      </c>
      <c r="F1157" s="1334">
        <v>0.2</v>
      </c>
      <c r="G1157" s="1104">
        <f>DUB!$I$489</f>
        <v>13455</v>
      </c>
      <c r="H1157" s="1106">
        <f t="shared" si="19"/>
        <v>2691</v>
      </c>
      <c r="M1157" s="1619"/>
    </row>
    <row r="1158" spans="2:13" hidden="1">
      <c r="B1158" s="1650"/>
      <c r="C1158" s="1332" t="s">
        <v>3403</v>
      </c>
      <c r="D1158" s="1331"/>
      <c r="E1158" s="1331" t="s">
        <v>2646</v>
      </c>
      <c r="F1158" s="1334">
        <v>1.7999999999999999E-2</v>
      </c>
      <c r="G1158" s="1104">
        <f>$G$1155</f>
        <v>6250000</v>
      </c>
      <c r="H1158" s="1106">
        <f t="shared" si="19"/>
        <v>112499.99999999999</v>
      </c>
      <c r="M1158" s="1619"/>
    </row>
    <row r="1159" spans="2:13" hidden="1">
      <c r="B1159" s="1650"/>
      <c r="C1159" s="1544" t="s">
        <v>5299</v>
      </c>
      <c r="D1159" s="1331"/>
      <c r="E1159" s="1331" t="s">
        <v>715</v>
      </c>
      <c r="F1159" s="1334">
        <v>0.35</v>
      </c>
      <c r="G1159" s="1104">
        <f>DUB!$I$94</f>
        <v>143750</v>
      </c>
      <c r="H1159" s="1106">
        <f t="shared" si="19"/>
        <v>50312.5</v>
      </c>
      <c r="M1159" s="1619"/>
    </row>
    <row r="1160" spans="2:13" hidden="1">
      <c r="B1160" s="1650"/>
      <c r="C1160" s="1126" t="s">
        <v>3318</v>
      </c>
      <c r="D1160" s="1331"/>
      <c r="E1160" s="1331" t="s">
        <v>688</v>
      </c>
      <c r="F1160" s="1179">
        <v>2</v>
      </c>
      <c r="G1160" s="1104">
        <f>DUB!$I$80</f>
        <v>41220</v>
      </c>
      <c r="H1160" s="1106">
        <f t="shared" si="19"/>
        <v>82440</v>
      </c>
      <c r="M1160" s="1619"/>
    </row>
    <row r="1161" spans="2:13" hidden="1">
      <c r="B1161" s="1650"/>
      <c r="C1161" s="1332"/>
      <c r="D1161" s="1331"/>
      <c r="E1161" s="1331"/>
      <c r="F1161" s="2090" t="s">
        <v>702</v>
      </c>
      <c r="G1161" s="2090"/>
      <c r="H1161" s="1106">
        <f>SUM(H1155:H1160)</f>
        <v>506120.18</v>
      </c>
      <c r="M1161" s="1619"/>
    </row>
    <row r="1162" spans="2:13" s="496" customFormat="1" hidden="1">
      <c r="B1162" s="1649" t="s">
        <v>703</v>
      </c>
      <c r="C1162" s="2089" t="s">
        <v>3764</v>
      </c>
      <c r="D1162" s="2089"/>
      <c r="E1162" s="2089"/>
      <c r="F1162" s="2089"/>
      <c r="G1162" s="2089"/>
      <c r="H1162" s="1107">
        <f>H1153+H1161</f>
        <v>682175.17999999993</v>
      </c>
      <c r="J1162" s="1559"/>
      <c r="K1162" s="1559"/>
      <c r="L1162" s="1559"/>
      <c r="M1162" s="1614"/>
    </row>
    <row r="1163" spans="2:13" s="496" customFormat="1" hidden="1">
      <c r="B1163" s="1649" t="s">
        <v>706</v>
      </c>
      <c r="C1163" s="2076" t="s">
        <v>709</v>
      </c>
      <c r="D1163" s="2076"/>
      <c r="E1163" s="2076"/>
      <c r="F1163" s="2077" t="s">
        <v>3873</v>
      </c>
      <c r="G1163" s="2077"/>
      <c r="H1163" s="1107">
        <f>H1162*0.15</f>
        <v>102326.27699999999</v>
      </c>
      <c r="J1163" s="1559"/>
      <c r="K1163" s="1559"/>
      <c r="L1163" s="1559"/>
      <c r="M1163" s="1614"/>
    </row>
    <row r="1164" spans="2:13" s="496" customFormat="1" hidden="1">
      <c r="B1164" s="1649" t="s">
        <v>708</v>
      </c>
      <c r="C1164" s="2078" t="s">
        <v>3765</v>
      </c>
      <c r="D1164" s="2078"/>
      <c r="E1164" s="2078"/>
      <c r="F1164" s="2078"/>
      <c r="G1164" s="2078"/>
      <c r="H1164" s="1107">
        <f>ROUND(SUM(H1162:H1163),2)</f>
        <v>784501.46</v>
      </c>
      <c r="I1164" s="506">
        <f>SUM(H1162:H1163)</f>
        <v>784501.45699999994</v>
      </c>
      <c r="J1164" s="1561"/>
      <c r="K1164" s="1561"/>
      <c r="L1164" s="1559"/>
      <c r="M1164" s="1614"/>
    </row>
    <row r="1165" spans="2:13" hidden="1">
      <c r="B1165" s="1659"/>
      <c r="C1165" s="1144"/>
      <c r="D1165" s="1143"/>
      <c r="E1165" s="1143"/>
      <c r="F1165" s="1145"/>
      <c r="G1165" s="1146"/>
      <c r="H1165" s="1147"/>
      <c r="M1165" s="1619"/>
    </row>
    <row r="1166" spans="2:13" hidden="1">
      <c r="B1166" s="1613" t="s">
        <v>4527</v>
      </c>
      <c r="C1166" s="1232" t="s">
        <v>4528</v>
      </c>
      <c r="F1166" s="1172"/>
      <c r="G1166" s="1173"/>
      <c r="H1166" s="1133"/>
      <c r="M1166" s="1619"/>
    </row>
    <row r="1167" spans="2:13" ht="24.9" hidden="1" customHeight="1">
      <c r="B1167" s="1648" t="s">
        <v>1003</v>
      </c>
      <c r="C1167" s="1101" t="s">
        <v>1004</v>
      </c>
      <c r="D1167" s="1101" t="s">
        <v>1005</v>
      </c>
      <c r="E1167" s="1101" t="s">
        <v>1006</v>
      </c>
      <c r="F1167" s="1102" t="s">
        <v>1007</v>
      </c>
      <c r="G1167" s="1109" t="s">
        <v>2637</v>
      </c>
      <c r="H1167" s="1110" t="s">
        <v>2638</v>
      </c>
      <c r="M1167" s="1619"/>
    </row>
    <row r="1168" spans="2:13" hidden="1">
      <c r="B1168" s="1649" t="s">
        <v>671</v>
      </c>
      <c r="C1168" s="1329" t="s">
        <v>672</v>
      </c>
      <c r="D1168" s="1331"/>
      <c r="E1168" s="1331"/>
      <c r="F1168" s="1334"/>
      <c r="G1168" s="1104"/>
      <c r="H1168" s="1106"/>
      <c r="M1168" s="1619"/>
    </row>
    <row r="1169" spans="2:13" hidden="1">
      <c r="B1169" s="1650"/>
      <c r="C1169" s="1332" t="s">
        <v>673</v>
      </c>
      <c r="D1169" s="1331" t="s">
        <v>674</v>
      </c>
      <c r="E1169" s="1331" t="s">
        <v>675</v>
      </c>
      <c r="F1169" s="1334">
        <v>0.66</v>
      </c>
      <c r="G1169" s="1104">
        <f>DUB!$I$10</f>
        <v>150000</v>
      </c>
      <c r="H1169" s="1106">
        <f>G1169*F1169</f>
        <v>99000</v>
      </c>
      <c r="M1169" s="1619"/>
    </row>
    <row r="1170" spans="2:13" hidden="1">
      <c r="B1170" s="1650"/>
      <c r="C1170" s="1332" t="s">
        <v>677</v>
      </c>
      <c r="D1170" s="1331" t="s">
        <v>678</v>
      </c>
      <c r="E1170" s="1331" t="s">
        <v>675</v>
      </c>
      <c r="F1170" s="1334">
        <v>0.33</v>
      </c>
      <c r="G1170" s="1104">
        <f>DUB!$I$11</f>
        <v>187000</v>
      </c>
      <c r="H1170" s="1106">
        <f>G1170*F1170</f>
        <v>61710</v>
      </c>
      <c r="M1170" s="1619"/>
    </row>
    <row r="1171" spans="2:13" hidden="1">
      <c r="B1171" s="1650"/>
      <c r="C1171" s="1332" t="s">
        <v>680</v>
      </c>
      <c r="D1171" s="1331" t="s">
        <v>681</v>
      </c>
      <c r="E1171" s="1331" t="s">
        <v>675</v>
      </c>
      <c r="F1171" s="1334">
        <v>3.3000000000000002E-2</v>
      </c>
      <c r="G1171" s="1104">
        <f>DUB!$I$13</f>
        <v>240000</v>
      </c>
      <c r="H1171" s="1106">
        <f>G1171*F1171</f>
        <v>7920</v>
      </c>
      <c r="M1171" s="1619"/>
    </row>
    <row r="1172" spans="2:13" hidden="1">
      <c r="B1172" s="1650"/>
      <c r="C1172" s="1332" t="s">
        <v>683</v>
      </c>
      <c r="D1172" s="1331" t="s">
        <v>684</v>
      </c>
      <c r="E1172" s="1331" t="s">
        <v>675</v>
      </c>
      <c r="F1172" s="1334">
        <v>3.3000000000000002E-2</v>
      </c>
      <c r="G1172" s="1104">
        <f>DUB!$I$12</f>
        <v>225000</v>
      </c>
      <c r="H1172" s="1106">
        <f>G1172*F1172</f>
        <v>7425</v>
      </c>
      <c r="M1172" s="1619"/>
    </row>
    <row r="1173" spans="2:13" hidden="1">
      <c r="B1173" s="1650"/>
      <c r="C1173" s="1332"/>
      <c r="D1173" s="1331"/>
      <c r="E1173" s="1331"/>
      <c r="F1173" s="2074" t="s">
        <v>685</v>
      </c>
      <c r="G1173" s="2074"/>
      <c r="H1173" s="1106">
        <f>SUM(H1169:H1172)</f>
        <v>176055</v>
      </c>
      <c r="M1173" s="1619"/>
    </row>
    <row r="1174" spans="2:13" hidden="1">
      <c r="B1174" s="1649" t="s">
        <v>686</v>
      </c>
      <c r="C1174" s="1329" t="s">
        <v>687</v>
      </c>
      <c r="D1174" s="1331"/>
      <c r="E1174" s="1331"/>
      <c r="F1174" s="1334"/>
      <c r="G1174" s="1104"/>
      <c r="H1174" s="1106"/>
      <c r="M1174" s="1619"/>
    </row>
    <row r="1175" spans="2:13" hidden="1">
      <c r="B1175" s="1650"/>
      <c r="C1175" s="1332" t="s">
        <v>859</v>
      </c>
      <c r="D1175" s="1331"/>
      <c r="E1175" s="1331" t="s">
        <v>2646</v>
      </c>
      <c r="F1175" s="1334">
        <v>0.04</v>
      </c>
      <c r="G1175" s="1104">
        <f>DUB!$I$85</f>
        <v>6250000</v>
      </c>
      <c r="H1175" s="1106">
        <f t="shared" ref="H1175:H1180" si="20">G1175*F1175</f>
        <v>250000</v>
      </c>
      <c r="M1175" s="1619"/>
    </row>
    <row r="1176" spans="2:13" hidden="1">
      <c r="B1176" s="1650"/>
      <c r="C1176" s="1332" t="s">
        <v>864</v>
      </c>
      <c r="D1176" s="1331"/>
      <c r="E1176" s="1331" t="s">
        <v>773</v>
      </c>
      <c r="F1176" s="1334">
        <v>0.4</v>
      </c>
      <c r="G1176" s="1104">
        <f>DUB!$I$128</f>
        <v>20441.7</v>
      </c>
      <c r="H1176" s="1106">
        <f t="shared" si="20"/>
        <v>8176.68</v>
      </c>
      <c r="M1176" s="1619"/>
    </row>
    <row r="1177" spans="2:13" hidden="1">
      <c r="B1177" s="1650"/>
      <c r="C1177" s="1332" t="s">
        <v>861</v>
      </c>
      <c r="D1177" s="1331"/>
      <c r="E1177" s="1331" t="s">
        <v>701</v>
      </c>
      <c r="F1177" s="1334">
        <v>0.2</v>
      </c>
      <c r="G1177" s="1104">
        <f>DUB!$I$489</f>
        <v>13455</v>
      </c>
      <c r="H1177" s="1106">
        <f t="shared" si="20"/>
        <v>2691</v>
      </c>
      <c r="M1177" s="1619"/>
    </row>
    <row r="1178" spans="2:13" hidden="1">
      <c r="B1178" s="1650"/>
      <c r="C1178" s="1332" t="s">
        <v>3403</v>
      </c>
      <c r="D1178" s="1331"/>
      <c r="E1178" s="1331" t="s">
        <v>2646</v>
      </c>
      <c r="F1178" s="1334">
        <v>1.7999999999999999E-2</v>
      </c>
      <c r="G1178" s="1104">
        <f>$G$1155</f>
        <v>6250000</v>
      </c>
      <c r="H1178" s="1106">
        <f t="shared" si="20"/>
        <v>112499.99999999999</v>
      </c>
      <c r="M1178" s="1619"/>
    </row>
    <row r="1179" spans="2:13" hidden="1">
      <c r="B1179" s="1650"/>
      <c r="C1179" s="1544" t="s">
        <v>5299</v>
      </c>
      <c r="D1179" s="1331"/>
      <c r="E1179" s="1331" t="s">
        <v>715</v>
      </c>
      <c r="F1179" s="1334">
        <v>0.35</v>
      </c>
      <c r="G1179" s="1104">
        <f>DUB!$I$94</f>
        <v>143750</v>
      </c>
      <c r="H1179" s="1106">
        <f t="shared" si="20"/>
        <v>50312.5</v>
      </c>
      <c r="M1179" s="1619"/>
    </row>
    <row r="1180" spans="2:13" hidden="1">
      <c r="B1180" s="1650"/>
      <c r="C1180" s="1126" t="s">
        <v>3318</v>
      </c>
      <c r="D1180" s="1331"/>
      <c r="E1180" s="1331" t="s">
        <v>688</v>
      </c>
      <c r="F1180" s="1179">
        <v>2</v>
      </c>
      <c r="G1180" s="1104">
        <f>DUB!$I$80</f>
        <v>41220</v>
      </c>
      <c r="H1180" s="1106">
        <f t="shared" si="20"/>
        <v>82440</v>
      </c>
      <c r="M1180" s="1619"/>
    </row>
    <row r="1181" spans="2:13" hidden="1">
      <c r="B1181" s="1663"/>
      <c r="C1181" s="1125"/>
      <c r="D1181" s="1333"/>
      <c r="E1181" s="1333"/>
      <c r="F1181" s="2136" t="s">
        <v>702</v>
      </c>
      <c r="G1181" s="2136"/>
      <c r="H1181" s="1178">
        <f>SUM(H1175:H1180)</f>
        <v>506120.18</v>
      </c>
      <c r="M1181" s="1619"/>
    </row>
    <row r="1182" spans="2:13" hidden="1">
      <c r="B1182" s="1650"/>
      <c r="C1182" s="1332"/>
      <c r="D1182" s="1331"/>
      <c r="E1182" s="1331"/>
      <c r="F1182" s="1331" t="s">
        <v>4519</v>
      </c>
      <c r="G1182" s="1142"/>
      <c r="H1182" s="1106">
        <f>H1181*0.5</f>
        <v>253060.09</v>
      </c>
      <c r="M1182" s="1619"/>
    </row>
    <row r="1183" spans="2:13" hidden="1">
      <c r="B1183" s="1649" t="s">
        <v>703</v>
      </c>
      <c r="C1183" s="2075" t="s">
        <v>3764</v>
      </c>
      <c r="D1183" s="2075"/>
      <c r="E1183" s="2075"/>
      <c r="F1183" s="2075"/>
      <c r="G1183" s="2075"/>
      <c r="H1183" s="1107">
        <f>H1173+H1182</f>
        <v>429115.08999999997</v>
      </c>
      <c r="M1183" s="1619"/>
    </row>
    <row r="1184" spans="2:13" hidden="1">
      <c r="B1184" s="1649" t="s">
        <v>706</v>
      </c>
      <c r="C1184" s="2076" t="s">
        <v>709</v>
      </c>
      <c r="D1184" s="2076"/>
      <c r="E1184" s="2076"/>
      <c r="F1184" s="2077" t="s">
        <v>3873</v>
      </c>
      <c r="G1184" s="2077"/>
      <c r="H1184" s="1107">
        <f>H1183*0.15</f>
        <v>64367.263499999994</v>
      </c>
      <c r="M1184" s="1619"/>
    </row>
    <row r="1185" spans="2:13" hidden="1">
      <c r="B1185" s="1649" t="s">
        <v>708</v>
      </c>
      <c r="C1185" s="2078" t="s">
        <v>3765</v>
      </c>
      <c r="D1185" s="2078"/>
      <c r="E1185" s="2078"/>
      <c r="F1185" s="2078"/>
      <c r="G1185" s="2078"/>
      <c r="H1185" s="1107">
        <f>ROUND(SUM(H1183:H1184),2)</f>
        <v>493482.35</v>
      </c>
      <c r="M1185" s="1619"/>
    </row>
    <row r="1186" spans="2:13" hidden="1">
      <c r="B1186" s="1623"/>
      <c r="C1186" s="1130"/>
      <c r="D1186" s="1129"/>
      <c r="E1186" s="1129"/>
      <c r="F1186" s="1131"/>
      <c r="G1186" s="1132"/>
      <c r="H1186" s="1115"/>
      <c r="M1186" s="1619"/>
    </row>
    <row r="1187" spans="2:13" hidden="1">
      <c r="B1187" s="1613" t="s">
        <v>4529</v>
      </c>
      <c r="C1187" s="1112" t="s">
        <v>2838</v>
      </c>
      <c r="D1187" s="1129"/>
      <c r="E1187" s="1129"/>
      <c r="F1187" s="1131"/>
      <c r="G1187" s="1132"/>
      <c r="H1187" s="1115"/>
      <c r="M1187" s="1619"/>
    </row>
    <row r="1188" spans="2:13" s="507" customFormat="1" ht="24.9" hidden="1" customHeight="1">
      <c r="B1188" s="1648" t="s">
        <v>1003</v>
      </c>
      <c r="C1188" s="1101" t="s">
        <v>1004</v>
      </c>
      <c r="D1188" s="1101" t="s">
        <v>1005</v>
      </c>
      <c r="E1188" s="1101" t="s">
        <v>1006</v>
      </c>
      <c r="F1188" s="1102" t="s">
        <v>1007</v>
      </c>
      <c r="G1188" s="1109" t="s">
        <v>2637</v>
      </c>
      <c r="H1188" s="1110" t="s">
        <v>2638</v>
      </c>
      <c r="J1188" s="1625"/>
      <c r="K1188" s="1625"/>
      <c r="L1188" s="1625"/>
      <c r="M1188" s="1626"/>
    </row>
    <row r="1189" spans="2:13" hidden="1">
      <c r="B1189" s="1649" t="s">
        <v>671</v>
      </c>
      <c r="C1189" s="1329" t="s">
        <v>672</v>
      </c>
      <c r="D1189" s="1331"/>
      <c r="E1189" s="1331"/>
      <c r="F1189" s="1334"/>
      <c r="G1189" s="1104"/>
      <c r="H1189" s="1106"/>
      <c r="M1189" s="1619"/>
    </row>
    <row r="1190" spans="2:13" hidden="1">
      <c r="B1190" s="1650"/>
      <c r="C1190" s="1332" t="s">
        <v>673</v>
      </c>
      <c r="D1190" s="1331" t="s">
        <v>674</v>
      </c>
      <c r="E1190" s="1331" t="s">
        <v>675</v>
      </c>
      <c r="F1190" s="1334">
        <v>0.66</v>
      </c>
      <c r="G1190" s="1104">
        <f>DUB!$I$10</f>
        <v>150000</v>
      </c>
      <c r="H1190" s="1106">
        <f>G1190*F1190</f>
        <v>99000</v>
      </c>
      <c r="M1190" s="1619"/>
    </row>
    <row r="1191" spans="2:13" hidden="1">
      <c r="B1191" s="1650"/>
      <c r="C1191" s="1332" t="s">
        <v>677</v>
      </c>
      <c r="D1191" s="1331" t="s">
        <v>678</v>
      </c>
      <c r="E1191" s="1331" t="s">
        <v>675</v>
      </c>
      <c r="F1191" s="1334">
        <v>0.33</v>
      </c>
      <c r="G1191" s="1104">
        <f>DUB!$I$11</f>
        <v>187000</v>
      </c>
      <c r="H1191" s="1106">
        <f>G1191*F1191</f>
        <v>61710</v>
      </c>
      <c r="M1191" s="1619"/>
    </row>
    <row r="1192" spans="2:13" hidden="1">
      <c r="B1192" s="1650"/>
      <c r="C1192" s="1332" t="s">
        <v>680</v>
      </c>
      <c r="D1192" s="1331" t="s">
        <v>681</v>
      </c>
      <c r="E1192" s="1331" t="s">
        <v>675</v>
      </c>
      <c r="F1192" s="1334">
        <v>3.3000000000000002E-2</v>
      </c>
      <c r="G1192" s="1104">
        <f>DUB!$I$13</f>
        <v>240000</v>
      </c>
      <c r="H1192" s="1106">
        <f>G1192*F1192</f>
        <v>7920</v>
      </c>
      <c r="M1192" s="1619"/>
    </row>
    <row r="1193" spans="2:13" hidden="1">
      <c r="B1193" s="1650"/>
      <c r="C1193" s="1332" t="s">
        <v>683</v>
      </c>
      <c r="D1193" s="1331" t="s">
        <v>684</v>
      </c>
      <c r="E1193" s="1331" t="s">
        <v>675</v>
      </c>
      <c r="F1193" s="1334">
        <v>3.3000000000000002E-2</v>
      </c>
      <c r="G1193" s="1104">
        <f>DUB!$I$12</f>
        <v>225000</v>
      </c>
      <c r="H1193" s="1106">
        <f>G1193*F1193</f>
        <v>7425</v>
      </c>
      <c r="M1193" s="1619"/>
    </row>
    <row r="1194" spans="2:13" hidden="1">
      <c r="B1194" s="1650"/>
      <c r="C1194" s="1332"/>
      <c r="D1194" s="1331"/>
      <c r="E1194" s="1331"/>
      <c r="F1194" s="2074" t="s">
        <v>685</v>
      </c>
      <c r="G1194" s="2074"/>
      <c r="H1194" s="1106">
        <f>SUM(H1190:H1193)</f>
        <v>176055</v>
      </c>
      <c r="M1194" s="1619"/>
    </row>
    <row r="1195" spans="2:13" hidden="1">
      <c r="B1195" s="1649" t="s">
        <v>686</v>
      </c>
      <c r="C1195" s="1329" t="s">
        <v>687</v>
      </c>
      <c r="D1195" s="1331"/>
      <c r="E1195" s="1331"/>
      <c r="F1195" s="1334"/>
      <c r="G1195" s="1104"/>
      <c r="H1195" s="1106"/>
      <c r="M1195" s="1619"/>
    </row>
    <row r="1196" spans="2:13" hidden="1">
      <c r="B1196" s="1650"/>
      <c r="C1196" s="1332" t="s">
        <v>859</v>
      </c>
      <c r="D1196" s="1331"/>
      <c r="E1196" s="1331" t="s">
        <v>2646</v>
      </c>
      <c r="F1196" s="1334">
        <v>0.04</v>
      </c>
      <c r="G1196" s="1104">
        <f>DUB!$I$85</f>
        <v>6250000</v>
      </c>
      <c r="H1196" s="1106">
        <f t="shared" ref="H1196:H1201" si="21">G1196*F1196</f>
        <v>250000</v>
      </c>
      <c r="M1196" s="1619"/>
    </row>
    <row r="1197" spans="2:13" hidden="1">
      <c r="B1197" s="1650"/>
      <c r="C1197" s="1332" t="s">
        <v>864</v>
      </c>
      <c r="D1197" s="1331"/>
      <c r="E1197" s="1331" t="s">
        <v>773</v>
      </c>
      <c r="F1197" s="1334">
        <v>0.4</v>
      </c>
      <c r="G1197" s="1104">
        <f>DUB!$I$128</f>
        <v>20441.7</v>
      </c>
      <c r="H1197" s="1106">
        <f t="shared" si="21"/>
        <v>8176.68</v>
      </c>
      <c r="M1197" s="1619"/>
    </row>
    <row r="1198" spans="2:13" hidden="1">
      <c r="B1198" s="1650"/>
      <c r="C1198" s="1332" t="s">
        <v>861</v>
      </c>
      <c r="D1198" s="1331"/>
      <c r="E1198" s="1331" t="s">
        <v>701</v>
      </c>
      <c r="F1198" s="1334">
        <v>0.2</v>
      </c>
      <c r="G1198" s="1104">
        <f>DUB!$I$489</f>
        <v>13455</v>
      </c>
      <c r="H1198" s="1106">
        <f t="shared" si="21"/>
        <v>2691</v>
      </c>
      <c r="M1198" s="1619"/>
    </row>
    <row r="1199" spans="2:13" hidden="1">
      <c r="B1199" s="1650"/>
      <c r="C1199" s="1332" t="s">
        <v>3403</v>
      </c>
      <c r="D1199" s="1331"/>
      <c r="E1199" s="1331" t="s">
        <v>2646</v>
      </c>
      <c r="F1199" s="1334">
        <v>1.4999999999999999E-2</v>
      </c>
      <c r="G1199" s="1104">
        <f>$G$1196</f>
        <v>6250000</v>
      </c>
      <c r="H1199" s="1106">
        <f t="shared" si="21"/>
        <v>93750</v>
      </c>
      <c r="M1199" s="1619"/>
    </row>
    <row r="1200" spans="2:13" hidden="1">
      <c r="B1200" s="1650"/>
      <c r="C1200" s="1544" t="s">
        <v>5299</v>
      </c>
      <c r="D1200" s="1331"/>
      <c r="E1200" s="1331" t="s">
        <v>715</v>
      </c>
      <c r="F1200" s="1334">
        <v>0.35</v>
      </c>
      <c r="G1200" s="1104">
        <f>DUB!$I$94</f>
        <v>143750</v>
      </c>
      <c r="H1200" s="1106">
        <f t="shared" si="21"/>
        <v>50312.5</v>
      </c>
      <c r="M1200" s="1619"/>
    </row>
    <row r="1201" spans="2:13" hidden="1">
      <c r="B1201" s="1650"/>
      <c r="C1201" s="1126" t="s">
        <v>3319</v>
      </c>
      <c r="D1201" s="1331"/>
      <c r="E1201" s="1331" t="s">
        <v>688</v>
      </c>
      <c r="F1201" s="1334">
        <v>6</v>
      </c>
      <c r="G1201" s="1104">
        <f>DUB!$I$80</f>
        <v>41220</v>
      </c>
      <c r="H1201" s="1106">
        <f t="shared" si="21"/>
        <v>247320</v>
      </c>
      <c r="M1201" s="1619"/>
    </row>
    <row r="1202" spans="2:13" hidden="1">
      <c r="B1202" s="1650"/>
      <c r="C1202" s="1332"/>
      <c r="D1202" s="1331"/>
      <c r="E1202" s="1331"/>
      <c r="F1202" s="2090" t="s">
        <v>702</v>
      </c>
      <c r="G1202" s="2090"/>
      <c r="H1202" s="1106">
        <f>SUM(H1196:H1201)</f>
        <v>652250.17999999993</v>
      </c>
      <c r="M1202" s="1619"/>
    </row>
    <row r="1203" spans="2:13" s="496" customFormat="1" hidden="1">
      <c r="B1203" s="1649" t="s">
        <v>703</v>
      </c>
      <c r="C1203" s="2089" t="s">
        <v>3764</v>
      </c>
      <c r="D1203" s="2089"/>
      <c r="E1203" s="2089"/>
      <c r="F1203" s="2089"/>
      <c r="G1203" s="2089"/>
      <c r="H1203" s="1107">
        <f>H1194+H1202</f>
        <v>828305.17999999993</v>
      </c>
      <c r="J1203" s="1559"/>
      <c r="K1203" s="1559"/>
      <c r="L1203" s="1559"/>
      <c r="M1203" s="1614"/>
    </row>
    <row r="1204" spans="2:13" s="496" customFormat="1" hidden="1">
      <c r="B1204" s="1649" t="s">
        <v>706</v>
      </c>
      <c r="C1204" s="2076" t="s">
        <v>709</v>
      </c>
      <c r="D1204" s="2076"/>
      <c r="E1204" s="2076"/>
      <c r="F1204" s="2077" t="s">
        <v>3873</v>
      </c>
      <c r="G1204" s="2077"/>
      <c r="H1204" s="1107">
        <f>H1203*0.15</f>
        <v>124245.77699999999</v>
      </c>
      <c r="J1204" s="1559"/>
      <c r="K1204" s="1559"/>
      <c r="L1204" s="1559"/>
      <c r="M1204" s="1614"/>
    </row>
    <row r="1205" spans="2:13" s="496" customFormat="1" hidden="1">
      <c r="B1205" s="1649" t="s">
        <v>708</v>
      </c>
      <c r="C1205" s="2078" t="s">
        <v>3765</v>
      </c>
      <c r="D1205" s="2078"/>
      <c r="E1205" s="2078"/>
      <c r="F1205" s="2078"/>
      <c r="G1205" s="2078"/>
      <c r="H1205" s="1107">
        <f>ROUND(SUM(H1203:H1204),2)</f>
        <v>952550.96</v>
      </c>
      <c r="I1205" s="506">
        <f>SUM(H1203:H1204)</f>
        <v>952550.95699999994</v>
      </c>
      <c r="J1205" s="1561"/>
      <c r="K1205" s="1561"/>
      <c r="L1205" s="1559"/>
      <c r="M1205" s="1614"/>
    </row>
    <row r="1206" spans="2:13" hidden="1">
      <c r="B1206" s="1624"/>
      <c r="F1206" s="1172"/>
      <c r="G1206" s="1173"/>
      <c r="H1206" s="1133"/>
      <c r="M1206" s="1619"/>
    </row>
    <row r="1207" spans="2:13">
      <c r="B1207" s="1741"/>
      <c r="C1207" s="1742"/>
      <c r="D1207" s="1741"/>
      <c r="E1207" s="1741"/>
      <c r="F1207" s="1743"/>
      <c r="G1207" s="1744"/>
      <c r="H1207" s="1745"/>
      <c r="I1207" s="1746"/>
      <c r="J1207" s="1641"/>
      <c r="K1207" s="1641"/>
      <c r="L1207" s="1641"/>
      <c r="M1207" s="1747"/>
    </row>
    <row r="1208" spans="2:13">
      <c r="B1208" s="1100" t="s">
        <v>4417</v>
      </c>
      <c r="C1208" s="1112" t="s">
        <v>4530</v>
      </c>
      <c r="D1208" s="1129"/>
      <c r="E1208" s="1129"/>
      <c r="F1208" s="1131"/>
      <c r="G1208" s="1132"/>
      <c r="H1208" s="1115"/>
      <c r="M1208" s="1566"/>
    </row>
    <row r="1209" spans="2:13" ht="24.9" customHeight="1">
      <c r="B1209" s="1727" t="s">
        <v>1003</v>
      </c>
      <c r="C1209" s="1728" t="s">
        <v>1004</v>
      </c>
      <c r="D1209" s="1728" t="s">
        <v>1005</v>
      </c>
      <c r="E1209" s="1728" t="s">
        <v>1006</v>
      </c>
      <c r="F1209" s="1729" t="s">
        <v>1007</v>
      </c>
      <c r="G1209" s="1866" t="s">
        <v>2637</v>
      </c>
      <c r="H1209" s="1867" t="s">
        <v>2638</v>
      </c>
      <c r="I1209" s="1746"/>
      <c r="J1209" s="1605" t="s">
        <v>5335</v>
      </c>
      <c r="K1209" s="1603" t="s">
        <v>5336</v>
      </c>
      <c r="L1209" s="1603" t="s">
        <v>5337</v>
      </c>
      <c r="M1209" s="1604" t="s">
        <v>5338</v>
      </c>
    </row>
    <row r="1210" spans="2:13">
      <c r="B1210" s="1733" t="s">
        <v>671</v>
      </c>
      <c r="C1210" s="1329" t="s">
        <v>672</v>
      </c>
      <c r="D1210" s="1331"/>
      <c r="E1210" s="1331"/>
      <c r="F1210" s="1334"/>
      <c r="G1210" s="1104"/>
      <c r="H1210" s="1106"/>
      <c r="J1210" s="1597"/>
      <c r="K1210" s="1597"/>
      <c r="L1210" s="1597"/>
      <c r="M1210" s="1563"/>
    </row>
    <row r="1211" spans="2:13">
      <c r="B1211" s="1182"/>
      <c r="C1211" s="1332" t="s">
        <v>673</v>
      </c>
      <c r="D1211" s="1331" t="s">
        <v>674</v>
      </c>
      <c r="E1211" s="1331" t="s">
        <v>675</v>
      </c>
      <c r="F1211" s="1334">
        <v>0.66</v>
      </c>
      <c r="G1211" s="1104">
        <f>DUB!$I$10</f>
        <v>150000</v>
      </c>
      <c r="H1211" s="1106">
        <f>G1211*F1211</f>
        <v>99000</v>
      </c>
      <c r="J1211" s="1609" t="s">
        <v>5339</v>
      </c>
      <c r="K1211" s="1611">
        <v>1</v>
      </c>
      <c r="L1211" s="1608" t="s">
        <v>5340</v>
      </c>
      <c r="M1211" s="1610">
        <f>H1211*K1211</f>
        <v>99000</v>
      </c>
    </row>
    <row r="1212" spans="2:13">
      <c r="B1212" s="1182"/>
      <c r="C1212" s="1332" t="s">
        <v>677</v>
      </c>
      <c r="D1212" s="1331" t="s">
        <v>678</v>
      </c>
      <c r="E1212" s="1331" t="s">
        <v>675</v>
      </c>
      <c r="F1212" s="1334">
        <v>0.33</v>
      </c>
      <c r="G1212" s="1104">
        <f>DUB!$I$11</f>
        <v>187000</v>
      </c>
      <c r="H1212" s="1106">
        <f>G1212*F1212</f>
        <v>61710</v>
      </c>
      <c r="J1212" s="1609" t="s">
        <v>5339</v>
      </c>
      <c r="K1212" s="1611">
        <v>1</v>
      </c>
      <c r="L1212" s="1608" t="s">
        <v>5340</v>
      </c>
      <c r="M1212" s="1610">
        <f t="shared" ref="M1212:M1214" si="22">H1212*K1212</f>
        <v>61710</v>
      </c>
    </row>
    <row r="1213" spans="2:13">
      <c r="B1213" s="1182"/>
      <c r="C1213" s="1332" t="s">
        <v>680</v>
      </c>
      <c r="D1213" s="1331" t="s">
        <v>681</v>
      </c>
      <c r="E1213" s="1331" t="s">
        <v>675</v>
      </c>
      <c r="F1213" s="1334">
        <v>3.3000000000000002E-2</v>
      </c>
      <c r="G1213" s="1104">
        <f>DUB!$I$13</f>
        <v>240000</v>
      </c>
      <c r="H1213" s="1106">
        <f>G1213*F1213</f>
        <v>7920</v>
      </c>
      <c r="J1213" s="1609" t="s">
        <v>5339</v>
      </c>
      <c r="K1213" s="1611">
        <v>1</v>
      </c>
      <c r="L1213" s="1608" t="s">
        <v>5340</v>
      </c>
      <c r="M1213" s="1610">
        <f t="shared" si="22"/>
        <v>7920</v>
      </c>
    </row>
    <row r="1214" spans="2:13">
      <c r="B1214" s="1182"/>
      <c r="C1214" s="1332" t="s">
        <v>683</v>
      </c>
      <c r="D1214" s="1331" t="s">
        <v>684</v>
      </c>
      <c r="E1214" s="1331" t="s">
        <v>675</v>
      </c>
      <c r="F1214" s="1334">
        <v>3.3000000000000002E-2</v>
      </c>
      <c r="G1214" s="1104">
        <f>DUB!$I$12</f>
        <v>225000</v>
      </c>
      <c r="H1214" s="1106">
        <f>G1214*F1214</f>
        <v>7425</v>
      </c>
      <c r="J1214" s="1609" t="s">
        <v>5339</v>
      </c>
      <c r="K1214" s="1611">
        <v>1</v>
      </c>
      <c r="L1214" s="1608" t="s">
        <v>5340</v>
      </c>
      <c r="M1214" s="1610">
        <f t="shared" si="22"/>
        <v>7425</v>
      </c>
    </row>
    <row r="1215" spans="2:13">
      <c r="B1215" s="1182"/>
      <c r="C1215" s="1332"/>
      <c r="D1215" s="1331"/>
      <c r="E1215" s="1331"/>
      <c r="F1215" s="2074" t="s">
        <v>685</v>
      </c>
      <c r="G1215" s="2074"/>
      <c r="H1215" s="1106">
        <f>SUM(H1211:H1214)</f>
        <v>176055</v>
      </c>
      <c r="J1215" s="1597"/>
      <c r="K1215" s="1597"/>
      <c r="L1215" s="1597"/>
      <c r="M1215" s="1564">
        <f>SUM(M1211:M1214)</f>
        <v>176055</v>
      </c>
    </row>
    <row r="1216" spans="2:13">
      <c r="B1216" s="1733" t="s">
        <v>686</v>
      </c>
      <c r="C1216" s="1329" t="s">
        <v>687</v>
      </c>
      <c r="D1216" s="1331"/>
      <c r="E1216" s="1331"/>
      <c r="F1216" s="1334"/>
      <c r="G1216" s="1104"/>
      <c r="H1216" s="1106"/>
      <c r="J1216" s="1597"/>
      <c r="K1216" s="1597"/>
      <c r="L1216" s="1597"/>
      <c r="M1216" s="1563"/>
    </row>
    <row r="1217" spans="2:13">
      <c r="B1217" s="1182"/>
      <c r="C1217" s="1332" t="s">
        <v>859</v>
      </c>
      <c r="D1217" s="1331"/>
      <c r="E1217" s="1331" t="s">
        <v>2646</v>
      </c>
      <c r="F1217" s="1334">
        <v>0.04</v>
      </c>
      <c r="G1217" s="1104">
        <f>DUB!$I$85</f>
        <v>6250000</v>
      </c>
      <c r="H1217" s="1106">
        <f t="shared" ref="H1217:H1222" si="23">G1217*F1217</f>
        <v>250000</v>
      </c>
      <c r="J1217" s="1607" t="s">
        <v>5341</v>
      </c>
      <c r="K1217" s="1611">
        <v>1</v>
      </c>
      <c r="L1217" s="1607" t="s">
        <v>5341</v>
      </c>
      <c r="M1217" s="1137">
        <f>K1217*H1217</f>
        <v>250000</v>
      </c>
    </row>
    <row r="1218" spans="2:13">
      <c r="B1218" s="1182"/>
      <c r="C1218" s="1332" t="s">
        <v>864</v>
      </c>
      <c r="D1218" s="1331"/>
      <c r="E1218" s="1331" t="s">
        <v>773</v>
      </c>
      <c r="F1218" s="1334">
        <v>0.4</v>
      </c>
      <c r="G1218" s="1104">
        <f>DUB!$I$128</f>
        <v>20441.7</v>
      </c>
      <c r="H1218" s="1106">
        <f t="shared" si="23"/>
        <v>8176.68</v>
      </c>
      <c r="J1218" s="1634" t="s">
        <v>4925</v>
      </c>
      <c r="K1218" s="1611">
        <v>0.31559999999999999</v>
      </c>
      <c r="L1218" s="1607" t="s">
        <v>5343</v>
      </c>
      <c r="M1218" s="1137">
        <f t="shared" ref="M1218:M1222" si="24">K1218*H1218</f>
        <v>2580.5602079999999</v>
      </c>
    </row>
    <row r="1219" spans="2:13">
      <c r="B1219" s="1182"/>
      <c r="C1219" s="1332" t="s">
        <v>861</v>
      </c>
      <c r="D1219" s="1331"/>
      <c r="E1219" s="1331" t="s">
        <v>701</v>
      </c>
      <c r="F1219" s="1334">
        <v>0.2</v>
      </c>
      <c r="G1219" s="1104">
        <f>DUB!$I$489</f>
        <v>13455</v>
      </c>
      <c r="H1219" s="1106">
        <f t="shared" si="23"/>
        <v>2691</v>
      </c>
      <c r="J1219" s="1607"/>
      <c r="K1219" s="1611"/>
      <c r="L1219" s="1607"/>
      <c r="M1219" s="1137">
        <f t="shared" si="24"/>
        <v>0</v>
      </c>
    </row>
    <row r="1220" spans="2:13">
      <c r="B1220" s="1182"/>
      <c r="C1220" s="1332" t="s">
        <v>3403</v>
      </c>
      <c r="D1220" s="1331"/>
      <c r="E1220" s="1331" t="s">
        <v>2646</v>
      </c>
      <c r="F1220" s="1334">
        <v>1.4999999999999999E-2</v>
      </c>
      <c r="G1220" s="1104">
        <f>$G$1196</f>
        <v>6250000</v>
      </c>
      <c r="H1220" s="1106">
        <f t="shared" si="23"/>
        <v>93750</v>
      </c>
      <c r="J1220" s="1607" t="s">
        <v>5341</v>
      </c>
      <c r="K1220" s="1611">
        <v>1</v>
      </c>
      <c r="L1220" s="1607" t="s">
        <v>5341</v>
      </c>
      <c r="M1220" s="1137">
        <f t="shared" si="24"/>
        <v>93750</v>
      </c>
    </row>
    <row r="1221" spans="2:13">
      <c r="B1221" s="1182"/>
      <c r="C1221" s="1544" t="s">
        <v>5299</v>
      </c>
      <c r="D1221" s="1331"/>
      <c r="E1221" s="1331" t="s">
        <v>715</v>
      </c>
      <c r="F1221" s="1334">
        <v>0.35</v>
      </c>
      <c r="G1221" s="1104">
        <f>DUB!$I$94</f>
        <v>143750</v>
      </c>
      <c r="H1221" s="1106">
        <f t="shared" si="23"/>
        <v>50312.5</v>
      </c>
      <c r="J1221" s="1634" t="s">
        <v>4925</v>
      </c>
      <c r="K1221" s="1611">
        <v>0.82630000000000003</v>
      </c>
      <c r="L1221" s="1607" t="s">
        <v>5343</v>
      </c>
      <c r="M1221" s="1137">
        <f t="shared" si="24"/>
        <v>41573.21875</v>
      </c>
    </row>
    <row r="1222" spans="2:13">
      <c r="B1222" s="1182"/>
      <c r="C1222" s="1126" t="s">
        <v>3319</v>
      </c>
      <c r="D1222" s="1331"/>
      <c r="E1222" s="1331" t="s">
        <v>688</v>
      </c>
      <c r="F1222" s="1334">
        <v>6</v>
      </c>
      <c r="G1222" s="1104">
        <f>DUB!$I$80</f>
        <v>41220</v>
      </c>
      <c r="H1222" s="1106">
        <f t="shared" si="23"/>
        <v>247320</v>
      </c>
      <c r="J1222" s="1607" t="s">
        <v>5341</v>
      </c>
      <c r="K1222" s="1611">
        <v>1</v>
      </c>
      <c r="L1222" s="1607" t="s">
        <v>5341</v>
      </c>
      <c r="M1222" s="1137">
        <f t="shared" si="24"/>
        <v>247320</v>
      </c>
    </row>
    <row r="1223" spans="2:13">
      <c r="B1223" s="1182"/>
      <c r="C1223" s="1332"/>
      <c r="D1223" s="1331"/>
      <c r="E1223" s="1331"/>
      <c r="F1223" s="2091" t="s">
        <v>702</v>
      </c>
      <c r="G1223" s="2091"/>
      <c r="H1223" s="1106">
        <f>SUM(H1217:H1222)</f>
        <v>652250.17999999993</v>
      </c>
      <c r="J1223" s="1602"/>
      <c r="K1223" s="1602"/>
      <c r="L1223" s="1600"/>
      <c r="M1223" s="1874">
        <f>SUM(M1217:M1222)</f>
        <v>635223.77895800001</v>
      </c>
    </row>
    <row r="1224" spans="2:13">
      <c r="B1224" s="1182"/>
      <c r="C1224" s="1332"/>
      <c r="D1224" s="1331"/>
      <c r="E1224" s="1331"/>
      <c r="F1224" s="1331" t="s">
        <v>4519</v>
      </c>
      <c r="G1224" s="1142"/>
      <c r="H1224" s="1106">
        <f>H1223*0.5</f>
        <v>326125.08999999997</v>
      </c>
      <c r="J1224" s="1639"/>
      <c r="K1224" s="1639"/>
      <c r="L1224" s="1640"/>
      <c r="M1224" s="1137">
        <f>M1223*0.5</f>
        <v>317611.889479</v>
      </c>
    </row>
    <row r="1225" spans="2:13">
      <c r="B1225" s="1733" t="s">
        <v>703</v>
      </c>
      <c r="C1225" s="2075" t="s">
        <v>3764</v>
      </c>
      <c r="D1225" s="2075"/>
      <c r="E1225" s="2075"/>
      <c r="F1225" s="2075"/>
      <c r="G1225" s="2075"/>
      <c r="H1225" s="1107">
        <f>H1215+H1224</f>
        <v>502180.08999999997</v>
      </c>
      <c r="J1225" s="1597"/>
      <c r="K1225" s="1633">
        <f>M1225/H1225</f>
        <v>0.98304751484472441</v>
      </c>
      <c r="L1225" s="1597"/>
      <c r="M1225" s="1203">
        <f>M1215+M1224</f>
        <v>493666.889479</v>
      </c>
    </row>
    <row r="1226" spans="2:13">
      <c r="B1226" s="1733" t="s">
        <v>706</v>
      </c>
      <c r="C1226" s="2076" t="s">
        <v>709</v>
      </c>
      <c r="D1226" s="2076"/>
      <c r="E1226" s="2076"/>
      <c r="F1226" s="2077" t="s">
        <v>3873</v>
      </c>
      <c r="G1226" s="2077"/>
      <c r="H1226" s="1107">
        <f>H1225*0.15</f>
        <v>75327.013499999986</v>
      </c>
      <c r="J1226" s="1597"/>
      <c r="K1226" s="1597"/>
      <c r="L1226" s="1597"/>
      <c r="M1226" s="1203">
        <f>M1225*0.15</f>
        <v>74050.033421849992</v>
      </c>
    </row>
    <row r="1227" spans="2:13">
      <c r="B1227" s="1734" t="s">
        <v>708</v>
      </c>
      <c r="C1227" s="2109" t="s">
        <v>3765</v>
      </c>
      <c r="D1227" s="2109"/>
      <c r="E1227" s="2109"/>
      <c r="F1227" s="2109"/>
      <c r="G1227" s="2109"/>
      <c r="H1227" s="1857">
        <f>ROUND(SUM(H1225:H1226),2)</f>
        <v>577507.1</v>
      </c>
      <c r="I1227" s="1883"/>
      <c r="J1227" s="1597"/>
      <c r="K1227" s="1597"/>
      <c r="L1227" s="1597"/>
      <c r="M1227" s="1918">
        <f>ROUND(SUM(M1225:M1226),2)</f>
        <v>567716.92000000004</v>
      </c>
    </row>
    <row r="1228" spans="2:13" s="1511" customFormat="1" hidden="1">
      <c r="B1228" s="1664"/>
      <c r="C1228" s="1665"/>
      <c r="D1228" s="1666"/>
      <c r="E1228" s="1666"/>
      <c r="F1228" s="1667"/>
      <c r="G1228" s="1668"/>
      <c r="H1228" s="1669"/>
      <c r="J1228" s="1557"/>
      <c r="K1228" s="1557"/>
      <c r="L1228" s="1557"/>
      <c r="M1228" s="1619"/>
    </row>
    <row r="1229" spans="2:13" s="1511" customFormat="1" hidden="1">
      <c r="B1229" s="1670" t="s">
        <v>4416</v>
      </c>
      <c r="C1229" s="1512" t="s">
        <v>4418</v>
      </c>
      <c r="D1229" s="1513"/>
      <c r="E1229" s="1513"/>
      <c r="F1229" s="1514"/>
      <c r="G1229" s="1515"/>
      <c r="H1229" s="1516"/>
      <c r="J1229" s="1557"/>
      <c r="K1229" s="1557"/>
      <c r="L1229" s="1557"/>
      <c r="M1229" s="1619"/>
    </row>
    <row r="1230" spans="2:13" s="1511" customFormat="1" ht="24.9" hidden="1" customHeight="1">
      <c r="B1230" s="1671" t="s">
        <v>1003</v>
      </c>
      <c r="C1230" s="1517" t="s">
        <v>1004</v>
      </c>
      <c r="D1230" s="1517" t="s">
        <v>1005</v>
      </c>
      <c r="E1230" s="1517" t="s">
        <v>1006</v>
      </c>
      <c r="F1230" s="1518" t="s">
        <v>1007</v>
      </c>
      <c r="G1230" s="1519" t="s">
        <v>2637</v>
      </c>
      <c r="H1230" s="1520" t="s">
        <v>2638</v>
      </c>
      <c r="J1230" s="1557"/>
      <c r="K1230" s="1557"/>
      <c r="L1230" s="1557"/>
      <c r="M1230" s="1619"/>
    </row>
    <row r="1231" spans="2:13" s="1511" customFormat="1" hidden="1">
      <c r="B1231" s="1672" t="s">
        <v>671</v>
      </c>
      <c r="C1231" s="1521" t="s">
        <v>672</v>
      </c>
      <c r="D1231" s="1522"/>
      <c r="E1231" s="1522"/>
      <c r="F1231" s="1523"/>
      <c r="G1231" s="1524"/>
      <c r="H1231" s="1525"/>
      <c r="J1231" s="1557"/>
      <c r="K1231" s="1557"/>
      <c r="L1231" s="1557"/>
      <c r="M1231" s="1619"/>
    </row>
    <row r="1232" spans="2:13" s="1511" customFormat="1" hidden="1">
      <c r="B1232" s="1673"/>
      <c r="C1232" s="1526" t="s">
        <v>673</v>
      </c>
      <c r="D1232" s="1522" t="s">
        <v>674</v>
      </c>
      <c r="E1232" s="1522" t="s">
        <v>675</v>
      </c>
      <c r="F1232" s="1523">
        <v>0.32</v>
      </c>
      <c r="G1232" s="1524">
        <f>DUB!$I$10</f>
        <v>150000</v>
      </c>
      <c r="H1232" s="1525">
        <f>G1232*F1232</f>
        <v>48000</v>
      </c>
      <c r="J1232" s="1557"/>
      <c r="K1232" s="1557"/>
      <c r="L1232" s="1557"/>
      <c r="M1232" s="1619"/>
    </row>
    <row r="1233" spans="2:13" s="1511" customFormat="1" hidden="1">
      <c r="B1233" s="1673"/>
      <c r="C1233" s="1526" t="s">
        <v>677</v>
      </c>
      <c r="D1233" s="1522" t="s">
        <v>678</v>
      </c>
      <c r="E1233" s="1522" t="s">
        <v>675</v>
      </c>
      <c r="F1233" s="1523">
        <v>0.33</v>
      </c>
      <c r="G1233" s="1524">
        <f>DUB!$I$11</f>
        <v>187000</v>
      </c>
      <c r="H1233" s="1525">
        <f>G1233*F1233</f>
        <v>61710</v>
      </c>
      <c r="J1233" s="1557"/>
      <c r="K1233" s="1557"/>
      <c r="L1233" s="1557"/>
      <c r="M1233" s="1619"/>
    </row>
    <row r="1234" spans="2:13" s="1511" customFormat="1" hidden="1">
      <c r="B1234" s="1673"/>
      <c r="C1234" s="1526" t="s">
        <v>680</v>
      </c>
      <c r="D1234" s="1522" t="s">
        <v>681</v>
      </c>
      <c r="E1234" s="1522" t="s">
        <v>675</v>
      </c>
      <c r="F1234" s="1523">
        <v>3.3000000000000002E-2</v>
      </c>
      <c r="G1234" s="1524">
        <f>DUB!$I$13</f>
        <v>240000</v>
      </c>
      <c r="H1234" s="1525">
        <f>G1234*F1234</f>
        <v>7920</v>
      </c>
      <c r="J1234" s="1557"/>
      <c r="K1234" s="1557"/>
      <c r="L1234" s="1557"/>
      <c r="M1234" s="1619"/>
    </row>
    <row r="1235" spans="2:13" s="1511" customFormat="1" hidden="1">
      <c r="B1235" s="1673"/>
      <c r="C1235" s="1526" t="s">
        <v>683</v>
      </c>
      <c r="D1235" s="1522" t="s">
        <v>684</v>
      </c>
      <c r="E1235" s="1522" t="s">
        <v>675</v>
      </c>
      <c r="F1235" s="1523">
        <v>6.0000000000000001E-3</v>
      </c>
      <c r="G1235" s="1524">
        <f>DUB!$I$12</f>
        <v>225000</v>
      </c>
      <c r="H1235" s="1525">
        <f>G1235*F1235</f>
        <v>1350</v>
      </c>
      <c r="J1235" s="1557"/>
      <c r="K1235" s="1557"/>
      <c r="L1235" s="1557"/>
      <c r="M1235" s="1619"/>
    </row>
    <row r="1236" spans="2:13" s="1511" customFormat="1" hidden="1">
      <c r="B1236" s="1673"/>
      <c r="C1236" s="1526"/>
      <c r="D1236" s="1522"/>
      <c r="E1236" s="1522"/>
      <c r="F1236" s="2138" t="s">
        <v>685</v>
      </c>
      <c r="G1236" s="2138"/>
      <c r="H1236" s="1525">
        <f>SUM(H1232:H1235)</f>
        <v>118980</v>
      </c>
      <c r="J1236" s="1557"/>
      <c r="K1236" s="1557"/>
      <c r="L1236" s="1557"/>
      <c r="M1236" s="1619"/>
    </row>
    <row r="1237" spans="2:13" s="1511" customFormat="1" hidden="1">
      <c r="B1237" s="1672" t="s">
        <v>686</v>
      </c>
      <c r="C1237" s="1521" t="s">
        <v>687</v>
      </c>
      <c r="D1237" s="1522"/>
      <c r="E1237" s="1522"/>
      <c r="F1237" s="1523"/>
      <c r="G1237" s="1524"/>
      <c r="H1237" s="1525"/>
      <c r="J1237" s="1557"/>
      <c r="K1237" s="1557"/>
      <c r="L1237" s="1557"/>
      <c r="M1237" s="1619"/>
    </row>
    <row r="1238" spans="2:13" s="1511" customFormat="1" hidden="1">
      <c r="B1238" s="1673"/>
      <c r="C1238" s="1526" t="s">
        <v>859</v>
      </c>
      <c r="D1238" s="1522"/>
      <c r="E1238" s="1522" t="s">
        <v>2646</v>
      </c>
      <c r="F1238" s="1523">
        <v>2.5000000000000001E-2</v>
      </c>
      <c r="G1238" s="1524">
        <f>DUB!$I$85</f>
        <v>6250000</v>
      </c>
      <c r="H1238" s="1525">
        <f t="shared" ref="H1238:H1243" si="25">G1238*F1238</f>
        <v>156250</v>
      </c>
      <c r="J1238" s="1557"/>
      <c r="K1238" s="1557"/>
      <c r="L1238" s="1557"/>
      <c r="M1238" s="1619"/>
    </row>
    <row r="1239" spans="2:13" s="1511" customFormat="1" hidden="1">
      <c r="B1239" s="1673"/>
      <c r="C1239" s="1526" t="s">
        <v>864</v>
      </c>
      <c r="D1239" s="1522"/>
      <c r="E1239" s="1522" t="s">
        <v>773</v>
      </c>
      <c r="F1239" s="1523">
        <v>0.4</v>
      </c>
      <c r="G1239" s="1524">
        <f>DUB!$I$128</f>
        <v>20441.7</v>
      </c>
      <c r="H1239" s="1525">
        <f t="shared" si="25"/>
        <v>8176.68</v>
      </c>
      <c r="J1239" s="1557"/>
      <c r="K1239" s="1557"/>
      <c r="L1239" s="1557"/>
      <c r="M1239" s="1619"/>
    </row>
    <row r="1240" spans="2:13" s="1511" customFormat="1" hidden="1">
      <c r="B1240" s="1673"/>
      <c r="C1240" s="1526" t="s">
        <v>3403</v>
      </c>
      <c r="D1240" s="1522"/>
      <c r="E1240" s="1522" t="s">
        <v>2646</v>
      </c>
      <c r="F1240" s="1523">
        <v>1.4999999999999999E-2</v>
      </c>
      <c r="G1240" s="1524">
        <f>$G$1238</f>
        <v>6250000</v>
      </c>
      <c r="H1240" s="1525">
        <f t="shared" si="25"/>
        <v>93750</v>
      </c>
      <c r="J1240" s="1557"/>
      <c r="K1240" s="1557"/>
      <c r="L1240" s="1557"/>
      <c r="M1240" s="1619"/>
    </row>
    <row r="1241" spans="2:13" s="1511" customFormat="1" hidden="1">
      <c r="B1241" s="1673"/>
      <c r="C1241" s="1526" t="s">
        <v>4419</v>
      </c>
      <c r="D1241" s="1522"/>
      <c r="E1241" s="1522" t="s">
        <v>2647</v>
      </c>
      <c r="F1241" s="1523">
        <v>1.05</v>
      </c>
      <c r="G1241" s="1524">
        <f>DUB!$I$165</f>
        <v>130122</v>
      </c>
      <c r="H1241" s="1525">
        <f t="shared" si="25"/>
        <v>136628.1</v>
      </c>
      <c r="J1241" s="1557"/>
      <c r="K1241" s="1557"/>
      <c r="L1241" s="1557"/>
      <c r="M1241" s="1619"/>
    </row>
    <row r="1242" spans="2:13" s="1511" customFormat="1" hidden="1">
      <c r="B1242" s="1673"/>
      <c r="C1242" s="1526" t="s">
        <v>4420</v>
      </c>
      <c r="D1242" s="1522"/>
      <c r="E1242" s="1522" t="s">
        <v>853</v>
      </c>
      <c r="F1242" s="1523">
        <v>1.05</v>
      </c>
      <c r="G1242" s="1524">
        <f>DUB!$I$166</f>
        <v>13383</v>
      </c>
      <c r="H1242" s="1525">
        <f t="shared" si="25"/>
        <v>14052.150000000001</v>
      </c>
      <c r="J1242" s="1557"/>
      <c r="K1242" s="1557"/>
      <c r="L1242" s="1557"/>
      <c r="M1242" s="1619"/>
    </row>
    <row r="1243" spans="2:13" s="1511" customFormat="1" hidden="1">
      <c r="B1243" s="1673"/>
      <c r="C1243" s="1527" t="s">
        <v>3319</v>
      </c>
      <c r="D1243" s="1522"/>
      <c r="E1243" s="1522" t="s">
        <v>688</v>
      </c>
      <c r="F1243" s="1523">
        <v>2</v>
      </c>
      <c r="G1243" s="1524">
        <f>DUB!$I$80</f>
        <v>41220</v>
      </c>
      <c r="H1243" s="1525">
        <f t="shared" si="25"/>
        <v>82440</v>
      </c>
      <c r="J1243" s="1557"/>
      <c r="K1243" s="1557"/>
      <c r="L1243" s="1557"/>
      <c r="M1243" s="1619"/>
    </row>
    <row r="1244" spans="2:13" s="1511" customFormat="1" hidden="1">
      <c r="B1244" s="1673"/>
      <c r="C1244" s="1526"/>
      <c r="D1244" s="1522"/>
      <c r="E1244" s="1522"/>
      <c r="F1244" s="2133" t="s">
        <v>702</v>
      </c>
      <c r="G1244" s="2133"/>
      <c r="H1244" s="1525">
        <f>SUM(H1238:H1243)</f>
        <v>491296.93000000005</v>
      </c>
      <c r="J1244" s="1557"/>
      <c r="K1244" s="1557"/>
      <c r="L1244" s="1557"/>
      <c r="M1244" s="1619"/>
    </row>
    <row r="1245" spans="2:13" s="1511" customFormat="1" hidden="1">
      <c r="B1245" s="1672" t="s">
        <v>703</v>
      </c>
      <c r="C1245" s="2134" t="s">
        <v>3764</v>
      </c>
      <c r="D1245" s="2134"/>
      <c r="E1245" s="2134"/>
      <c r="F1245" s="2134"/>
      <c r="G1245" s="2134"/>
      <c r="H1245" s="1528">
        <f>H1236+H1244</f>
        <v>610276.93000000005</v>
      </c>
      <c r="J1245" s="1557"/>
      <c r="K1245" s="1557"/>
      <c r="L1245" s="1557"/>
      <c r="M1245" s="1619"/>
    </row>
    <row r="1246" spans="2:13" s="1511" customFormat="1" hidden="1">
      <c r="B1246" s="1672" t="s">
        <v>706</v>
      </c>
      <c r="C1246" s="2135" t="s">
        <v>709</v>
      </c>
      <c r="D1246" s="2135"/>
      <c r="E1246" s="2135"/>
      <c r="F1246" s="2137" t="s">
        <v>3873</v>
      </c>
      <c r="G1246" s="2137"/>
      <c r="H1246" s="1528">
        <f>H1245*0.15</f>
        <v>91541.539499999999</v>
      </c>
      <c r="J1246" s="1557"/>
      <c r="K1246" s="1557"/>
      <c r="L1246" s="1557"/>
      <c r="M1246" s="1619"/>
    </row>
    <row r="1247" spans="2:13" s="1511" customFormat="1" hidden="1">
      <c r="B1247" s="1770" t="s">
        <v>708</v>
      </c>
      <c r="C1247" s="2134" t="s">
        <v>3765</v>
      </c>
      <c r="D1247" s="2134"/>
      <c r="E1247" s="2134"/>
      <c r="F1247" s="2134"/>
      <c r="G1247" s="2134"/>
      <c r="H1247" s="1771">
        <f>ROUND(SUM(H1245:H1246),2)</f>
        <v>701818.47</v>
      </c>
      <c r="J1247" s="1557"/>
      <c r="K1247" s="1557"/>
      <c r="L1247" s="1557"/>
      <c r="M1247" s="1619"/>
    </row>
    <row r="1248" spans="2:13" s="1511" customFormat="1">
      <c r="B1248" s="1741"/>
      <c r="C1248" s="1742"/>
      <c r="D1248" s="1741"/>
      <c r="E1248" s="1741"/>
      <c r="F1248" s="1743"/>
      <c r="G1248" s="1744"/>
      <c r="H1248" s="1745"/>
      <c r="I1248" s="1772"/>
      <c r="J1248" s="1641"/>
      <c r="K1248" s="1641"/>
      <c r="L1248" s="1641"/>
      <c r="M1248" s="1747"/>
    </row>
    <row r="1249" spans="2:13" s="1511" customFormat="1">
      <c r="B1249" s="1100" t="s">
        <v>3928</v>
      </c>
      <c r="C1249" s="1232" t="s">
        <v>4421</v>
      </c>
      <c r="D1249" s="1095"/>
      <c r="E1249" s="1095"/>
      <c r="F1249" s="1172"/>
      <c r="G1249" s="1173"/>
      <c r="H1249" s="1133"/>
      <c r="J1249" s="1557"/>
      <c r="K1249" s="1557"/>
      <c r="L1249" s="1557"/>
      <c r="M1249" s="1566"/>
    </row>
    <row r="1250" spans="2:13" s="1529" customFormat="1" ht="24.9" customHeight="1">
      <c r="B1250" s="1727" t="s">
        <v>1003</v>
      </c>
      <c r="C1250" s="1736" t="s">
        <v>1004</v>
      </c>
      <c r="D1250" s="1875" t="s">
        <v>1005</v>
      </c>
      <c r="E1250" s="1736" t="s">
        <v>1006</v>
      </c>
      <c r="F1250" s="1865" t="s">
        <v>1007</v>
      </c>
      <c r="G1250" s="1737" t="s">
        <v>2637</v>
      </c>
      <c r="H1250" s="1867" t="s">
        <v>2638</v>
      </c>
      <c r="I1250" s="1876"/>
      <c r="J1250" s="1605" t="s">
        <v>5335</v>
      </c>
      <c r="K1250" s="1603" t="s">
        <v>5336</v>
      </c>
      <c r="L1250" s="1603" t="s">
        <v>5337</v>
      </c>
      <c r="M1250" s="1604" t="s">
        <v>5338</v>
      </c>
    </row>
    <row r="1251" spans="2:13" s="1511" customFormat="1">
      <c r="B1251" s="1733" t="s">
        <v>671</v>
      </c>
      <c r="C1251" s="1117" t="s">
        <v>672</v>
      </c>
      <c r="D1251" s="1180"/>
      <c r="E1251" s="1539"/>
      <c r="F1251" s="1532"/>
      <c r="G1251" s="1136"/>
      <c r="H1251" s="1106"/>
      <c r="J1251" s="1597"/>
      <c r="K1251" s="1597"/>
      <c r="L1251" s="1597"/>
      <c r="M1251" s="1563"/>
    </row>
    <row r="1252" spans="2:13" s="1511" customFormat="1">
      <c r="B1252" s="1182"/>
      <c r="C1252" s="1118" t="s">
        <v>673</v>
      </c>
      <c r="D1252" s="1180" t="s">
        <v>674</v>
      </c>
      <c r="E1252" s="1539" t="s">
        <v>675</v>
      </c>
      <c r="F1252" s="1532">
        <v>0.66</v>
      </c>
      <c r="G1252" s="1104">
        <f>DUB!$I$10</f>
        <v>150000</v>
      </c>
      <c r="H1252" s="1106">
        <f>G1252*F1252</f>
        <v>99000</v>
      </c>
      <c r="J1252" s="1609" t="s">
        <v>5339</v>
      </c>
      <c r="K1252" s="1611">
        <v>1</v>
      </c>
      <c r="L1252" s="1608" t="s">
        <v>5340</v>
      </c>
      <c r="M1252" s="1610">
        <f>H1252*K1252</f>
        <v>99000</v>
      </c>
    </row>
    <row r="1253" spans="2:13" s="1511" customFormat="1">
      <c r="B1253" s="1182"/>
      <c r="C1253" s="1118" t="s">
        <v>677</v>
      </c>
      <c r="D1253" s="1180" t="s">
        <v>678</v>
      </c>
      <c r="E1253" s="1539" t="s">
        <v>675</v>
      </c>
      <c r="F1253" s="1532">
        <v>0.33</v>
      </c>
      <c r="G1253" s="1104">
        <f>DUB!$I$11</f>
        <v>187000</v>
      </c>
      <c r="H1253" s="1106">
        <f>G1253*F1253</f>
        <v>61710</v>
      </c>
      <c r="J1253" s="1609" t="s">
        <v>5339</v>
      </c>
      <c r="K1253" s="1611">
        <v>1</v>
      </c>
      <c r="L1253" s="1608" t="s">
        <v>5340</v>
      </c>
      <c r="M1253" s="1610">
        <f t="shared" ref="M1253:M1255" si="26">H1253*K1253</f>
        <v>61710</v>
      </c>
    </row>
    <row r="1254" spans="2:13" s="1511" customFormat="1">
      <c r="B1254" s="1182"/>
      <c r="C1254" s="1118" t="s">
        <v>680</v>
      </c>
      <c r="D1254" s="1180" t="s">
        <v>681</v>
      </c>
      <c r="E1254" s="1539" t="s">
        <v>675</v>
      </c>
      <c r="F1254" s="1532">
        <v>3.3000000000000002E-2</v>
      </c>
      <c r="G1254" s="1104">
        <f>DUB!$I$13</f>
        <v>240000</v>
      </c>
      <c r="H1254" s="1106">
        <f>G1254*F1254</f>
        <v>7920</v>
      </c>
      <c r="J1254" s="1609" t="s">
        <v>5339</v>
      </c>
      <c r="K1254" s="1611">
        <v>1</v>
      </c>
      <c r="L1254" s="1608" t="s">
        <v>5340</v>
      </c>
      <c r="M1254" s="1610">
        <f t="shared" si="26"/>
        <v>7920</v>
      </c>
    </row>
    <row r="1255" spans="2:13" s="1511" customFormat="1">
      <c r="B1255" s="1182"/>
      <c r="C1255" s="1118" t="s">
        <v>683</v>
      </c>
      <c r="D1255" s="1180" t="s">
        <v>684</v>
      </c>
      <c r="E1255" s="1539" t="s">
        <v>675</v>
      </c>
      <c r="F1255" s="1532">
        <v>3.3000000000000002E-2</v>
      </c>
      <c r="G1255" s="1104">
        <f>DUB!$I$12</f>
        <v>225000</v>
      </c>
      <c r="H1255" s="1106">
        <f>G1255*F1255</f>
        <v>7425</v>
      </c>
      <c r="J1255" s="1609" t="s">
        <v>5339</v>
      </c>
      <c r="K1255" s="1611">
        <v>1</v>
      </c>
      <c r="L1255" s="1608" t="s">
        <v>5340</v>
      </c>
      <c r="M1255" s="1610">
        <f t="shared" si="26"/>
        <v>7425</v>
      </c>
    </row>
    <row r="1256" spans="2:13" s="1511" customFormat="1">
      <c r="B1256" s="1182"/>
      <c r="C1256" s="1118"/>
      <c r="D1256" s="1180"/>
      <c r="E1256" s="1539"/>
      <c r="F1256" s="2080" t="s">
        <v>685</v>
      </c>
      <c r="G1256" s="2081"/>
      <c r="H1256" s="1106">
        <f>SUM(H1252:H1255)</f>
        <v>176055</v>
      </c>
      <c r="J1256" s="1597"/>
      <c r="K1256" s="1597"/>
      <c r="L1256" s="1597"/>
      <c r="M1256" s="1564">
        <f>SUM(M1252:M1255)</f>
        <v>176055</v>
      </c>
    </row>
    <row r="1257" spans="2:13" s="1511" customFormat="1">
      <c r="B1257" s="1733" t="s">
        <v>686</v>
      </c>
      <c r="C1257" s="1117" t="s">
        <v>687</v>
      </c>
      <c r="D1257" s="1180"/>
      <c r="E1257" s="1539"/>
      <c r="F1257" s="1532"/>
      <c r="G1257" s="1136"/>
      <c r="H1257" s="1106"/>
      <c r="J1257" s="1597"/>
      <c r="K1257" s="1597"/>
      <c r="L1257" s="1597"/>
      <c r="M1257" s="1563"/>
    </row>
    <row r="1258" spans="2:13" s="1511" customFormat="1">
      <c r="B1258" s="1182"/>
      <c r="C1258" s="1118" t="s">
        <v>859</v>
      </c>
      <c r="D1258" s="1180"/>
      <c r="E1258" s="1539" t="s">
        <v>2646</v>
      </c>
      <c r="F1258" s="1532">
        <v>0.03</v>
      </c>
      <c r="G1258" s="1104">
        <f>DUB!$I$85</f>
        <v>6250000</v>
      </c>
      <c r="H1258" s="1106">
        <f t="shared" ref="H1258:H1263" si="27">G1258*F1258</f>
        <v>187500</v>
      </c>
      <c r="J1258" s="1607" t="s">
        <v>5341</v>
      </c>
      <c r="K1258" s="1611">
        <v>1</v>
      </c>
      <c r="L1258" s="1607" t="s">
        <v>5341</v>
      </c>
      <c r="M1258" s="1137">
        <f>K1258*H1258</f>
        <v>187500</v>
      </c>
    </row>
    <row r="1259" spans="2:13" s="1511" customFormat="1">
      <c r="B1259" s="1182"/>
      <c r="C1259" s="1118" t="s">
        <v>864</v>
      </c>
      <c r="D1259" s="1180"/>
      <c r="E1259" s="1539" t="s">
        <v>773</v>
      </c>
      <c r="F1259" s="1532">
        <v>0.4</v>
      </c>
      <c r="G1259" s="1104">
        <f>DUB!$I$128</f>
        <v>20441.7</v>
      </c>
      <c r="H1259" s="1106">
        <f t="shared" si="27"/>
        <v>8176.68</v>
      </c>
      <c r="J1259" s="1634" t="s">
        <v>4925</v>
      </c>
      <c r="K1259" s="1611">
        <v>0.31559999999999999</v>
      </c>
      <c r="L1259" s="1607" t="s">
        <v>5343</v>
      </c>
      <c r="M1259" s="1137">
        <f t="shared" ref="M1259:M1263" si="28">K1259*H1259</f>
        <v>2580.5602079999999</v>
      </c>
    </row>
    <row r="1260" spans="2:13" s="1511" customFormat="1">
      <c r="B1260" s="1182"/>
      <c r="C1260" s="1118" t="s">
        <v>861</v>
      </c>
      <c r="D1260" s="1180"/>
      <c r="E1260" s="1539" t="s">
        <v>701</v>
      </c>
      <c r="F1260" s="1532">
        <v>0.2</v>
      </c>
      <c r="G1260" s="1104">
        <f>DUB!$I$489</f>
        <v>13455</v>
      </c>
      <c r="H1260" s="1106">
        <f t="shared" si="27"/>
        <v>2691</v>
      </c>
      <c r="J1260" s="1607"/>
      <c r="K1260" s="1611"/>
      <c r="L1260" s="1607"/>
      <c r="M1260" s="1137">
        <f t="shared" si="28"/>
        <v>0</v>
      </c>
    </row>
    <row r="1261" spans="2:13" s="1511" customFormat="1">
      <c r="B1261" s="1182"/>
      <c r="C1261" s="1118" t="s">
        <v>3403</v>
      </c>
      <c r="D1261" s="1180"/>
      <c r="E1261" s="1539" t="s">
        <v>2646</v>
      </c>
      <c r="F1261" s="1532">
        <v>0.02</v>
      </c>
      <c r="G1261" s="1104">
        <f>$G$1258</f>
        <v>6250000</v>
      </c>
      <c r="H1261" s="1106">
        <f t="shared" si="27"/>
        <v>125000</v>
      </c>
      <c r="J1261" s="1607" t="s">
        <v>5341</v>
      </c>
      <c r="K1261" s="1611">
        <v>1</v>
      </c>
      <c r="L1261" s="1607" t="s">
        <v>5341</v>
      </c>
      <c r="M1261" s="1137">
        <f t="shared" si="28"/>
        <v>125000</v>
      </c>
    </row>
    <row r="1262" spans="2:13" s="1511" customFormat="1">
      <c r="B1262" s="1182"/>
      <c r="C1262" s="1181" t="s">
        <v>5299</v>
      </c>
      <c r="D1262" s="1180"/>
      <c r="E1262" s="1539" t="s">
        <v>715</v>
      </c>
      <c r="F1262" s="1532">
        <v>0.35</v>
      </c>
      <c r="G1262" s="1104">
        <f>DUB!$I$94</f>
        <v>143750</v>
      </c>
      <c r="H1262" s="1106">
        <f t="shared" si="27"/>
        <v>50312.5</v>
      </c>
      <c r="J1262" s="1634" t="s">
        <v>4925</v>
      </c>
      <c r="K1262" s="1611">
        <v>0.82630000000000003</v>
      </c>
      <c r="L1262" s="1607" t="s">
        <v>5343</v>
      </c>
      <c r="M1262" s="1137">
        <f t="shared" si="28"/>
        <v>41573.21875</v>
      </c>
    </row>
    <row r="1263" spans="2:13" s="1511" customFormat="1">
      <c r="B1263" s="1182"/>
      <c r="C1263" s="1119" t="s">
        <v>2649</v>
      </c>
      <c r="D1263" s="1182"/>
      <c r="E1263" s="1183" t="s">
        <v>688</v>
      </c>
      <c r="F1263" s="1184">
        <v>3</v>
      </c>
      <c r="G1263" s="1104">
        <f>DUB!$I$80</f>
        <v>41220</v>
      </c>
      <c r="H1263" s="1106">
        <f t="shared" si="27"/>
        <v>123660</v>
      </c>
      <c r="J1263" s="1607" t="s">
        <v>5341</v>
      </c>
      <c r="K1263" s="1611">
        <v>1</v>
      </c>
      <c r="L1263" s="1607" t="s">
        <v>5341</v>
      </c>
      <c r="M1263" s="1137">
        <f t="shared" si="28"/>
        <v>123660</v>
      </c>
    </row>
    <row r="1264" spans="2:13" s="1511" customFormat="1">
      <c r="B1264" s="1182"/>
      <c r="C1264" s="1118"/>
      <c r="D1264" s="1182"/>
      <c r="E1264" s="1539"/>
      <c r="F1264" s="2080" t="s">
        <v>702</v>
      </c>
      <c r="G1264" s="2081"/>
      <c r="H1264" s="1106">
        <f>SUM(H1258:H1263)</f>
        <v>497340.18</v>
      </c>
      <c r="J1264" s="1602"/>
      <c r="K1264" s="1602"/>
      <c r="L1264" s="1600"/>
      <c r="M1264" s="1874">
        <f>SUM(M1258:M1263)</f>
        <v>480313.77895800001</v>
      </c>
    </row>
    <row r="1265" spans="2:13" s="1530" customFormat="1">
      <c r="B1265" s="1733" t="s">
        <v>703</v>
      </c>
      <c r="C1265" s="1117" t="s">
        <v>3764</v>
      </c>
      <c r="D1265" s="1185"/>
      <c r="E1265" s="1120"/>
      <c r="F1265" s="1121"/>
      <c r="G1265" s="1122"/>
      <c r="H1265" s="1107">
        <f>H1256+H1264</f>
        <v>673395.17999999993</v>
      </c>
      <c r="J1265" s="1639"/>
      <c r="K1265" s="1633">
        <f>M1265/H1265</f>
        <v>0.97471558818998394</v>
      </c>
      <c r="L1265" s="1640"/>
      <c r="M1265" s="1203">
        <f>M1256+M1264</f>
        <v>656368.77895800001</v>
      </c>
    </row>
    <row r="1266" spans="2:13" s="1530" customFormat="1">
      <c r="B1266" s="1733" t="s">
        <v>706</v>
      </c>
      <c r="C1266" s="1123" t="s">
        <v>709</v>
      </c>
      <c r="D1266" s="1186"/>
      <c r="E1266" s="1124"/>
      <c r="F1266" s="1545" t="s">
        <v>3873</v>
      </c>
      <c r="G1266" s="1122"/>
      <c r="H1266" s="1107">
        <f>H1265*0.15</f>
        <v>101009.27699999999</v>
      </c>
      <c r="J1266" s="1597"/>
      <c r="K1266" s="1633"/>
      <c r="L1266" s="1597"/>
      <c r="M1266" s="1203">
        <f>M1265*0.15</f>
        <v>98455.316843699999</v>
      </c>
    </row>
    <row r="1267" spans="2:13" s="1530" customFormat="1">
      <c r="B1267" s="1734" t="s">
        <v>708</v>
      </c>
      <c r="C1267" s="1877" t="s">
        <v>3765</v>
      </c>
      <c r="D1267" s="1878"/>
      <c r="E1267" s="1879"/>
      <c r="F1267" s="1880"/>
      <c r="G1267" s="1881"/>
      <c r="H1267" s="1857">
        <f>ROUND(SUM(H1265:H1266),2)</f>
        <v>774404.46</v>
      </c>
      <c r="I1267" s="1882">
        <f>SUM(H1265:H1266)</f>
        <v>774404.45699999994</v>
      </c>
      <c r="J1267" s="1597"/>
      <c r="K1267" s="1597"/>
      <c r="L1267" s="1597"/>
      <c r="M1267" s="1918">
        <f>ROUND(SUM(M1265:M1266),2)</f>
        <v>754824.1</v>
      </c>
    </row>
    <row r="1268" spans="2:13" s="1511" customFormat="1">
      <c r="B1268" s="1751"/>
      <c r="C1268" s="1752"/>
      <c r="D1268" s="1751"/>
      <c r="E1268" s="1751"/>
      <c r="F1268" s="1753"/>
      <c r="G1268" s="1754"/>
      <c r="H1268" s="1755"/>
      <c r="I1268" s="1772"/>
      <c r="J1268" s="1641"/>
      <c r="K1268" s="1641"/>
      <c r="L1268" s="1641"/>
      <c r="M1268" s="1767"/>
    </row>
    <row r="1269" spans="2:13" s="1511" customFormat="1">
      <c r="B1269" s="1111" t="s">
        <v>3929</v>
      </c>
      <c r="C1269" s="1112" t="s">
        <v>4402</v>
      </c>
      <c r="D1269" s="1129"/>
      <c r="E1269" s="1129"/>
      <c r="F1269" s="1131"/>
      <c r="G1269" s="1132"/>
      <c r="H1269" s="1115"/>
      <c r="J1269" s="1557"/>
      <c r="K1269" s="1557"/>
      <c r="L1269" s="1557"/>
      <c r="M1269" s="1566"/>
    </row>
    <row r="1270" spans="2:13" s="507" customFormat="1" ht="24.9" customHeight="1">
      <c r="B1270" s="1727" t="s">
        <v>1003</v>
      </c>
      <c r="C1270" s="1728" t="s">
        <v>1004</v>
      </c>
      <c r="D1270" s="1728" t="s">
        <v>1005</v>
      </c>
      <c r="E1270" s="1736" t="s">
        <v>1006</v>
      </c>
      <c r="F1270" s="1865" t="s">
        <v>1007</v>
      </c>
      <c r="G1270" s="1737" t="s">
        <v>2637</v>
      </c>
      <c r="H1270" s="1867" t="s">
        <v>2638</v>
      </c>
      <c r="I1270" s="1739"/>
      <c r="J1270" s="1605" t="s">
        <v>5335</v>
      </c>
      <c r="K1270" s="1603" t="s">
        <v>5336</v>
      </c>
      <c r="L1270" s="1603" t="s">
        <v>5337</v>
      </c>
      <c r="M1270" s="1604" t="s">
        <v>5338</v>
      </c>
    </row>
    <row r="1271" spans="2:13">
      <c r="B1271" s="1733" t="s">
        <v>671</v>
      </c>
      <c r="C1271" s="1329" t="s">
        <v>672</v>
      </c>
      <c r="D1271" s="1331"/>
      <c r="E1271" s="1539"/>
      <c r="F1271" s="1334"/>
      <c r="G1271" s="1104"/>
      <c r="H1271" s="1106"/>
      <c r="J1271" s="1597"/>
      <c r="K1271" s="1597"/>
      <c r="L1271" s="1597"/>
      <c r="M1271" s="1563"/>
    </row>
    <row r="1272" spans="2:13">
      <c r="B1272" s="1182"/>
      <c r="C1272" s="1332" t="s">
        <v>673</v>
      </c>
      <c r="D1272" s="1331" t="s">
        <v>674</v>
      </c>
      <c r="E1272" s="1539" t="s">
        <v>675</v>
      </c>
      <c r="F1272" s="1532">
        <v>0.66</v>
      </c>
      <c r="G1272" s="1104">
        <f>DUB!$I$10</f>
        <v>150000</v>
      </c>
      <c r="H1272" s="1106">
        <f>G1272*F1272</f>
        <v>99000</v>
      </c>
      <c r="J1272" s="1609" t="s">
        <v>5339</v>
      </c>
      <c r="K1272" s="1611">
        <v>1</v>
      </c>
      <c r="L1272" s="1608" t="s">
        <v>5340</v>
      </c>
      <c r="M1272" s="1610">
        <f>H1272*K1272</f>
        <v>99000</v>
      </c>
    </row>
    <row r="1273" spans="2:13">
      <c r="B1273" s="1182"/>
      <c r="C1273" s="1332" t="s">
        <v>677</v>
      </c>
      <c r="D1273" s="1331" t="s">
        <v>678</v>
      </c>
      <c r="E1273" s="1539" t="s">
        <v>675</v>
      </c>
      <c r="F1273" s="1532">
        <v>0.33</v>
      </c>
      <c r="G1273" s="1104">
        <f>DUB!$I$11</f>
        <v>187000</v>
      </c>
      <c r="H1273" s="1106">
        <f>G1273*F1273</f>
        <v>61710</v>
      </c>
      <c r="J1273" s="1609" t="s">
        <v>5339</v>
      </c>
      <c r="K1273" s="1611">
        <v>1</v>
      </c>
      <c r="L1273" s="1608" t="s">
        <v>5340</v>
      </c>
      <c r="M1273" s="1610">
        <f t="shared" ref="M1273:M1275" si="29">H1273*K1273</f>
        <v>61710</v>
      </c>
    </row>
    <row r="1274" spans="2:13">
      <c r="B1274" s="1182"/>
      <c r="C1274" s="1332" t="s">
        <v>680</v>
      </c>
      <c r="D1274" s="1331" t="s">
        <v>681</v>
      </c>
      <c r="E1274" s="1539" t="s">
        <v>675</v>
      </c>
      <c r="F1274" s="1532">
        <v>3.3000000000000002E-2</v>
      </c>
      <c r="G1274" s="1104">
        <f>DUB!$I$13</f>
        <v>240000</v>
      </c>
      <c r="H1274" s="1106">
        <f>G1274*F1274</f>
        <v>7920</v>
      </c>
      <c r="J1274" s="1609" t="s">
        <v>5339</v>
      </c>
      <c r="K1274" s="1611">
        <v>1</v>
      </c>
      <c r="L1274" s="1608" t="s">
        <v>5340</v>
      </c>
      <c r="M1274" s="1610">
        <f t="shared" si="29"/>
        <v>7920</v>
      </c>
    </row>
    <row r="1275" spans="2:13">
      <c r="B1275" s="1182"/>
      <c r="C1275" s="1332" t="s">
        <v>683</v>
      </c>
      <c r="D1275" s="1331" t="s">
        <v>684</v>
      </c>
      <c r="E1275" s="1539" t="s">
        <v>675</v>
      </c>
      <c r="F1275" s="1532">
        <v>3.3000000000000002E-2</v>
      </c>
      <c r="G1275" s="1104">
        <f>DUB!$I$12</f>
        <v>225000</v>
      </c>
      <c r="H1275" s="1106">
        <f>G1275*F1275</f>
        <v>7425</v>
      </c>
      <c r="J1275" s="1609" t="s">
        <v>5339</v>
      </c>
      <c r="K1275" s="1611">
        <v>1</v>
      </c>
      <c r="L1275" s="1608" t="s">
        <v>5340</v>
      </c>
      <c r="M1275" s="1610">
        <f t="shared" si="29"/>
        <v>7425</v>
      </c>
    </row>
    <row r="1276" spans="2:13">
      <c r="B1276" s="1182"/>
      <c r="C1276" s="1332"/>
      <c r="D1276" s="1331"/>
      <c r="E1276" s="1539"/>
      <c r="F1276" s="2080" t="s">
        <v>685</v>
      </c>
      <c r="G1276" s="2081"/>
      <c r="H1276" s="1106">
        <f>SUM(H1272:H1275)</f>
        <v>176055</v>
      </c>
      <c r="J1276" s="1597"/>
      <c r="K1276" s="1597"/>
      <c r="L1276" s="1597"/>
      <c r="M1276" s="1564">
        <f>SUM(M1272:M1275)</f>
        <v>176055</v>
      </c>
    </row>
    <row r="1277" spans="2:13">
      <c r="B1277" s="1733" t="s">
        <v>686</v>
      </c>
      <c r="C1277" s="1329" t="s">
        <v>687</v>
      </c>
      <c r="D1277" s="1331"/>
      <c r="E1277" s="1539"/>
      <c r="F1277" s="1532"/>
      <c r="G1277" s="1152"/>
      <c r="H1277" s="1106"/>
      <c r="J1277" s="1597"/>
      <c r="K1277" s="1597"/>
      <c r="L1277" s="1597"/>
      <c r="M1277" s="1563"/>
    </row>
    <row r="1278" spans="2:13">
      <c r="B1278" s="1182"/>
      <c r="C1278" s="1332" t="s">
        <v>859</v>
      </c>
      <c r="D1278" s="1331"/>
      <c r="E1278" s="1551" t="s">
        <v>2646</v>
      </c>
      <c r="F1278" s="1532">
        <v>0.03</v>
      </c>
      <c r="G1278" s="1104">
        <f>DUB!$I$85</f>
        <v>6250000</v>
      </c>
      <c r="H1278" s="1106">
        <f t="shared" ref="H1278:H1283" si="30">G1278*F1278</f>
        <v>187500</v>
      </c>
      <c r="J1278" s="1607" t="s">
        <v>5341</v>
      </c>
      <c r="K1278" s="1611">
        <v>1</v>
      </c>
      <c r="L1278" s="1607" t="s">
        <v>5341</v>
      </c>
      <c r="M1278" s="1137">
        <f>K1278*H1278</f>
        <v>187500</v>
      </c>
    </row>
    <row r="1279" spans="2:13">
      <c r="B1279" s="1182"/>
      <c r="C1279" s="1332" t="s">
        <v>864</v>
      </c>
      <c r="D1279" s="1331"/>
      <c r="E1279" s="1539" t="s">
        <v>773</v>
      </c>
      <c r="F1279" s="1532">
        <v>0.4</v>
      </c>
      <c r="G1279" s="1104">
        <f>DUB!$I$128</f>
        <v>20441.7</v>
      </c>
      <c r="H1279" s="1106">
        <f t="shared" si="30"/>
        <v>8176.68</v>
      </c>
      <c r="J1279" s="1634" t="s">
        <v>4925</v>
      </c>
      <c r="K1279" s="1611">
        <v>0.31559999999999999</v>
      </c>
      <c r="L1279" s="1607" t="s">
        <v>5343</v>
      </c>
      <c r="M1279" s="1137">
        <f t="shared" ref="M1279:M1283" si="31">K1279*H1279</f>
        <v>2580.5602079999999</v>
      </c>
    </row>
    <row r="1280" spans="2:13">
      <c r="B1280" s="1182"/>
      <c r="C1280" s="1332" t="s">
        <v>861</v>
      </c>
      <c r="D1280" s="1331"/>
      <c r="E1280" s="1539" t="s">
        <v>701</v>
      </c>
      <c r="F1280" s="1532">
        <v>0.15</v>
      </c>
      <c r="G1280" s="1104">
        <f>DUB!$I$489</f>
        <v>13455</v>
      </c>
      <c r="H1280" s="1106">
        <f t="shared" si="30"/>
        <v>2018.25</v>
      </c>
      <c r="J1280" s="1607"/>
      <c r="K1280" s="1611"/>
      <c r="L1280" s="1607"/>
      <c r="M1280" s="1137">
        <f t="shared" si="31"/>
        <v>0</v>
      </c>
    </row>
    <row r="1281" spans="2:13">
      <c r="B1281" s="1182"/>
      <c r="C1281" s="1332" t="s">
        <v>3403</v>
      </c>
      <c r="D1281" s="1331"/>
      <c r="E1281" s="1551" t="s">
        <v>2646</v>
      </c>
      <c r="F1281" s="1532">
        <v>1.4999999999999999E-2</v>
      </c>
      <c r="G1281" s="1104">
        <f>$G$1278</f>
        <v>6250000</v>
      </c>
      <c r="H1281" s="1106">
        <f t="shared" si="30"/>
        <v>93750</v>
      </c>
      <c r="J1281" s="1607" t="s">
        <v>5341</v>
      </c>
      <c r="K1281" s="1611">
        <v>1</v>
      </c>
      <c r="L1281" s="1607" t="s">
        <v>5341</v>
      </c>
      <c r="M1281" s="1137">
        <f t="shared" si="31"/>
        <v>93750</v>
      </c>
    </row>
    <row r="1282" spans="2:13">
      <c r="B1282" s="1182"/>
      <c r="C1282" s="1544" t="s">
        <v>5299</v>
      </c>
      <c r="D1282" s="1331"/>
      <c r="E1282" s="1539" t="s">
        <v>715</v>
      </c>
      <c r="F1282" s="1532">
        <v>0.35</v>
      </c>
      <c r="G1282" s="1104">
        <f>DUB!$I$94</f>
        <v>143750</v>
      </c>
      <c r="H1282" s="1106">
        <f t="shared" si="30"/>
        <v>50312.5</v>
      </c>
      <c r="J1282" s="1634" t="s">
        <v>4925</v>
      </c>
      <c r="K1282" s="1611">
        <v>0.82630000000000003</v>
      </c>
      <c r="L1282" s="1607" t="s">
        <v>5343</v>
      </c>
      <c r="M1282" s="1137">
        <f t="shared" si="31"/>
        <v>41573.21875</v>
      </c>
    </row>
    <row r="1283" spans="2:13">
      <c r="B1283" s="1182"/>
      <c r="C1283" s="1332" t="s">
        <v>2650</v>
      </c>
      <c r="D1283" s="1331"/>
      <c r="E1283" s="1183" t="s">
        <v>688</v>
      </c>
      <c r="F1283" s="1184">
        <v>2</v>
      </c>
      <c r="G1283" s="1104">
        <f>DUB!$I$80</f>
        <v>41220</v>
      </c>
      <c r="H1283" s="1106">
        <f t="shared" si="30"/>
        <v>82440</v>
      </c>
      <c r="J1283" s="1607" t="s">
        <v>5341</v>
      </c>
      <c r="K1283" s="1611">
        <v>1</v>
      </c>
      <c r="L1283" s="1607" t="s">
        <v>5341</v>
      </c>
      <c r="M1283" s="1137">
        <f t="shared" si="31"/>
        <v>82440</v>
      </c>
    </row>
    <row r="1284" spans="2:13">
      <c r="B1284" s="1182"/>
      <c r="C1284" s="1332"/>
      <c r="D1284" s="1331"/>
      <c r="E1284" s="1331"/>
      <c r="F1284" s="2080" t="s">
        <v>702</v>
      </c>
      <c r="G1284" s="2081"/>
      <c r="H1284" s="1106">
        <f>SUM(H1278:H1283)</f>
        <v>424197.43</v>
      </c>
      <c r="J1284" s="1602"/>
      <c r="K1284" s="1602"/>
      <c r="L1284" s="1600"/>
      <c r="M1284" s="1874">
        <f>SUM(M1278:M1283)</f>
        <v>407843.77895800001</v>
      </c>
    </row>
    <row r="1285" spans="2:13" s="496" customFormat="1">
      <c r="B1285" s="1733" t="s">
        <v>703</v>
      </c>
      <c r="C1285" s="1117" t="s">
        <v>3764</v>
      </c>
      <c r="D1285" s="1120"/>
      <c r="E1285" s="1120"/>
      <c r="F1285" s="1121"/>
      <c r="G1285" s="1160"/>
      <c r="H1285" s="1107">
        <f>H1276+H1284</f>
        <v>600252.42999999993</v>
      </c>
      <c r="J1285" s="1639"/>
      <c r="K1285" s="1633">
        <f>M1285/H1285</f>
        <v>0.97275537719689043</v>
      </c>
      <c r="L1285" s="1640"/>
      <c r="M1285" s="1203">
        <f>M1276+M1284</f>
        <v>583898.77895800001</v>
      </c>
    </row>
    <row r="1286" spans="2:13" s="496" customFormat="1">
      <c r="B1286" s="1733" t="s">
        <v>706</v>
      </c>
      <c r="C1286" s="1123" t="s">
        <v>709</v>
      </c>
      <c r="D1286" s="1124"/>
      <c r="E1286" s="1154"/>
      <c r="F1286" s="1545" t="s">
        <v>3873</v>
      </c>
      <c r="G1286" s="1160"/>
      <c r="H1286" s="1107">
        <f>H1285*0.15</f>
        <v>90037.864499999981</v>
      </c>
      <c r="J1286" s="1597"/>
      <c r="K1286" s="1633"/>
      <c r="L1286" s="1597"/>
      <c r="M1286" s="1203">
        <f>M1285*0.15</f>
        <v>87584.816843699999</v>
      </c>
    </row>
    <row r="1287" spans="2:13" s="496" customFormat="1">
      <c r="B1287" s="1734" t="s">
        <v>708</v>
      </c>
      <c r="C1287" s="2109" t="s">
        <v>3765</v>
      </c>
      <c r="D1287" s="2109"/>
      <c r="E1287" s="2109"/>
      <c r="F1287" s="2109"/>
      <c r="G1287" s="2109"/>
      <c r="H1287" s="1857">
        <f>ROUND(SUM(H1285:H1286),2)</f>
        <v>690290.29</v>
      </c>
      <c r="I1287" s="1873">
        <f>SUM(H1285:H1286)</f>
        <v>690290.29449999996</v>
      </c>
      <c r="J1287" s="1597"/>
      <c r="K1287" s="1597"/>
      <c r="L1287" s="1597"/>
      <c r="M1287" s="1918">
        <f>ROUND(SUM(M1285:M1286),2)</f>
        <v>671483.6</v>
      </c>
    </row>
    <row r="1288" spans="2:13">
      <c r="B1288" s="1741"/>
      <c r="C1288" s="1742"/>
      <c r="D1288" s="1741"/>
      <c r="E1288" s="1741"/>
      <c r="F1288" s="1743"/>
      <c r="G1288" s="1744"/>
      <c r="H1288" s="1745"/>
      <c r="I1288" s="1746"/>
      <c r="J1288" s="1641"/>
      <c r="K1288" s="1641"/>
      <c r="L1288" s="1641"/>
      <c r="M1288" s="1747"/>
    </row>
    <row r="1289" spans="2:13" hidden="1">
      <c r="B1289" s="1100" t="s">
        <v>3930</v>
      </c>
      <c r="C1289" s="1232" t="s">
        <v>2839</v>
      </c>
      <c r="F1289" s="1172"/>
      <c r="G1289" s="1173"/>
      <c r="H1289" s="1133"/>
      <c r="M1289" s="1566"/>
    </row>
    <row r="1290" spans="2:13" s="507" customFormat="1" ht="24.9" hidden="1" customHeight="1">
      <c r="B1290" s="1748" t="s">
        <v>1003</v>
      </c>
      <c r="C1290" s="1101" t="s">
        <v>1004</v>
      </c>
      <c r="D1290" s="1101" t="s">
        <v>1005</v>
      </c>
      <c r="E1290" s="1101" t="s">
        <v>1006</v>
      </c>
      <c r="F1290" s="1102" t="s">
        <v>1007</v>
      </c>
      <c r="G1290" s="1109" t="s">
        <v>2639</v>
      </c>
      <c r="H1290" s="1110" t="s">
        <v>2638</v>
      </c>
      <c r="J1290" s="1625"/>
      <c r="K1290" s="1625"/>
      <c r="L1290" s="1625"/>
      <c r="M1290" s="1570"/>
    </row>
    <row r="1291" spans="2:13" hidden="1">
      <c r="B1291" s="1543" t="s">
        <v>671</v>
      </c>
      <c r="C1291" s="1329" t="s">
        <v>672</v>
      </c>
      <c r="D1291" s="1331"/>
      <c r="E1291" s="1331"/>
      <c r="F1291" s="1334"/>
      <c r="G1291" s="1104"/>
      <c r="H1291" s="1106"/>
      <c r="M1291" s="1566"/>
    </row>
    <row r="1292" spans="2:13" hidden="1">
      <c r="B1292" s="1540"/>
      <c r="C1292" s="1332" t="s">
        <v>673</v>
      </c>
      <c r="D1292" s="1331" t="s">
        <v>674</v>
      </c>
      <c r="E1292" s="1331" t="s">
        <v>675</v>
      </c>
      <c r="F1292" s="1334">
        <v>0.15</v>
      </c>
      <c r="G1292" s="1104">
        <f>DUB!$I$10</f>
        <v>150000</v>
      </c>
      <c r="H1292" s="1106">
        <f>G1292*F1292</f>
        <v>22500</v>
      </c>
      <c r="M1292" s="1566"/>
    </row>
    <row r="1293" spans="2:13" hidden="1">
      <c r="B1293" s="1540"/>
      <c r="C1293" s="1332" t="s">
        <v>677</v>
      </c>
      <c r="D1293" s="1331" t="s">
        <v>678</v>
      </c>
      <c r="E1293" s="1331" t="s">
        <v>675</v>
      </c>
      <c r="F1293" s="1334">
        <v>0.05</v>
      </c>
      <c r="G1293" s="1104">
        <f>DUB!$I$11</f>
        <v>187000</v>
      </c>
      <c r="H1293" s="1106">
        <f>G1293*F1293</f>
        <v>9350</v>
      </c>
      <c r="M1293" s="1566"/>
    </row>
    <row r="1294" spans="2:13" hidden="1">
      <c r="B1294" s="1540"/>
      <c r="C1294" s="1332" t="s">
        <v>680</v>
      </c>
      <c r="D1294" s="1331" t="s">
        <v>681</v>
      </c>
      <c r="E1294" s="1331" t="s">
        <v>675</v>
      </c>
      <c r="F1294" s="1334">
        <v>5.0000000000000001E-3</v>
      </c>
      <c r="G1294" s="1104">
        <f>DUB!$I$13</f>
        <v>240000</v>
      </c>
      <c r="H1294" s="1106">
        <f>G1294*F1294</f>
        <v>1200</v>
      </c>
      <c r="M1294" s="1566"/>
    </row>
    <row r="1295" spans="2:13" hidden="1">
      <c r="B1295" s="1540"/>
      <c r="C1295" s="1332" t="s">
        <v>683</v>
      </c>
      <c r="D1295" s="1331" t="s">
        <v>684</v>
      </c>
      <c r="E1295" s="1331" t="s">
        <v>675</v>
      </c>
      <c r="F1295" s="1334">
        <v>8.0000000000000002E-3</v>
      </c>
      <c r="G1295" s="1104">
        <f>DUB!$I$12</f>
        <v>225000</v>
      </c>
      <c r="H1295" s="1106">
        <f>G1295*F1295</f>
        <v>1800</v>
      </c>
      <c r="M1295" s="1566"/>
    </row>
    <row r="1296" spans="2:13" hidden="1">
      <c r="B1296" s="1540"/>
      <c r="C1296" s="1332"/>
      <c r="D1296" s="1331"/>
      <c r="E1296" s="1331"/>
      <c r="F1296" s="2074" t="s">
        <v>685</v>
      </c>
      <c r="G1296" s="2074"/>
      <c r="H1296" s="1106">
        <f>SUM(H1292:H1295)</f>
        <v>34850</v>
      </c>
      <c r="M1296" s="1566"/>
    </row>
    <row r="1297" spans="2:13" hidden="1">
      <c r="B1297" s="1543" t="s">
        <v>686</v>
      </c>
      <c r="C1297" s="1329" t="s">
        <v>687</v>
      </c>
      <c r="D1297" s="1331"/>
      <c r="E1297" s="1331"/>
      <c r="F1297" s="1334"/>
      <c r="G1297" s="1104"/>
      <c r="H1297" s="1106"/>
      <c r="M1297" s="1566"/>
    </row>
    <row r="1298" spans="2:13" hidden="1">
      <c r="B1298" s="1540"/>
      <c r="C1298" s="1332" t="s">
        <v>869</v>
      </c>
      <c r="D1298" s="1331"/>
      <c r="E1298" s="1331" t="s">
        <v>2646</v>
      </c>
      <c r="F1298" s="1334">
        <v>2.64E-2</v>
      </c>
      <c r="G1298" s="1104">
        <f>DUB!$I$85</f>
        <v>6250000</v>
      </c>
      <c r="H1298" s="1106">
        <f>G1298*F1298</f>
        <v>165000</v>
      </c>
      <c r="M1298" s="1566"/>
    </row>
    <row r="1299" spans="2:13" hidden="1">
      <c r="B1299" s="1540"/>
      <c r="C1299" s="1332" t="s">
        <v>864</v>
      </c>
      <c r="D1299" s="1331"/>
      <c r="E1299" s="1331" t="s">
        <v>773</v>
      </c>
      <c r="F1299" s="1334">
        <v>0.6</v>
      </c>
      <c r="G1299" s="1104">
        <f>DUB!$I$128</f>
        <v>20441.7</v>
      </c>
      <c r="H1299" s="1106">
        <f>G1299*F1299</f>
        <v>12265.02</v>
      </c>
      <c r="M1299" s="1566"/>
    </row>
    <row r="1300" spans="2:13" hidden="1">
      <c r="B1300" s="1540"/>
      <c r="C1300" s="1332" t="s">
        <v>2651</v>
      </c>
      <c r="D1300" s="1331"/>
      <c r="E1300" s="1187" t="s">
        <v>688</v>
      </c>
      <c r="F1300" s="1179">
        <v>0.5</v>
      </c>
      <c r="G1300" s="1104">
        <f>DUB!$I$80</f>
        <v>41220</v>
      </c>
      <c r="H1300" s="1106">
        <f>G1300*F1300</f>
        <v>20610</v>
      </c>
      <c r="M1300" s="1566"/>
    </row>
    <row r="1301" spans="2:13" hidden="1">
      <c r="B1301" s="1540"/>
      <c r="C1301" s="1332"/>
      <c r="D1301" s="1331"/>
      <c r="E1301" s="1331"/>
      <c r="F1301" s="2090" t="s">
        <v>702</v>
      </c>
      <c r="G1301" s="2090"/>
      <c r="H1301" s="1106">
        <f>SUM(H1298:H1300)</f>
        <v>197875.02</v>
      </c>
      <c r="M1301" s="1566"/>
    </row>
    <row r="1302" spans="2:13" s="496" customFormat="1" hidden="1">
      <c r="B1302" s="1543" t="s">
        <v>703</v>
      </c>
      <c r="C1302" s="2089" t="s">
        <v>3764</v>
      </c>
      <c r="D1302" s="2089"/>
      <c r="E1302" s="2089"/>
      <c r="F1302" s="2089"/>
      <c r="G1302" s="2089"/>
      <c r="H1302" s="1107">
        <f>H1296+H1301</f>
        <v>232725.02</v>
      </c>
      <c r="J1302" s="1559"/>
      <c r="K1302" s="1559"/>
      <c r="L1302" s="1559"/>
      <c r="M1302" s="1635"/>
    </row>
    <row r="1303" spans="2:13" s="496" customFormat="1" hidden="1">
      <c r="B1303" s="1543" t="s">
        <v>706</v>
      </c>
      <c r="C1303" s="2076" t="s">
        <v>709</v>
      </c>
      <c r="D1303" s="2076"/>
      <c r="E1303" s="2076"/>
      <c r="F1303" s="2077" t="s">
        <v>3873</v>
      </c>
      <c r="G1303" s="2077"/>
      <c r="H1303" s="1107">
        <f>H1302*0.15</f>
        <v>34908.752999999997</v>
      </c>
      <c r="J1303" s="1559"/>
      <c r="K1303" s="1559"/>
      <c r="L1303" s="1559"/>
      <c r="M1303" s="1635"/>
    </row>
    <row r="1304" spans="2:13" s="496" customFormat="1" hidden="1">
      <c r="B1304" s="1543" t="s">
        <v>708</v>
      </c>
      <c r="C1304" s="2078" t="s">
        <v>3765</v>
      </c>
      <c r="D1304" s="2078"/>
      <c r="E1304" s="2078"/>
      <c r="F1304" s="2078"/>
      <c r="G1304" s="2078"/>
      <c r="H1304" s="1107">
        <f>ROUND(SUM(H1302:H1303),2)</f>
        <v>267633.77</v>
      </c>
      <c r="I1304" s="506">
        <f>SUM(H1302:H1303)</f>
        <v>267633.77299999999</v>
      </c>
      <c r="J1304" s="1561"/>
      <c r="K1304" s="1561"/>
      <c r="L1304" s="1559"/>
      <c r="M1304" s="1635"/>
    </row>
    <row r="1305" spans="2:13" hidden="1">
      <c r="B1305" s="1143"/>
      <c r="C1305" s="1144"/>
      <c r="D1305" s="1143"/>
      <c r="E1305" s="1143"/>
      <c r="F1305" s="1145"/>
      <c r="G1305" s="1146"/>
      <c r="H1305" s="1147"/>
      <c r="M1305" s="1566"/>
    </row>
    <row r="1306" spans="2:13">
      <c r="B1306" s="1100" t="s">
        <v>3931</v>
      </c>
      <c r="C1306" s="1232" t="s">
        <v>2886</v>
      </c>
      <c r="F1306" s="1172"/>
      <c r="G1306" s="1173"/>
      <c r="H1306" s="1133"/>
      <c r="M1306" s="1566"/>
    </row>
    <row r="1307" spans="2:13" s="507" customFormat="1" ht="24.9" customHeight="1">
      <c r="B1307" s="1727" t="s">
        <v>1003</v>
      </c>
      <c r="C1307" s="1728" t="s">
        <v>1004</v>
      </c>
      <c r="D1307" s="1728" t="s">
        <v>1005</v>
      </c>
      <c r="E1307" s="1728" t="s">
        <v>1006</v>
      </c>
      <c r="F1307" s="1729" t="s">
        <v>1007</v>
      </c>
      <c r="G1307" s="1866" t="s">
        <v>2637</v>
      </c>
      <c r="H1307" s="1867" t="s">
        <v>2638</v>
      </c>
      <c r="I1307" s="1739"/>
      <c r="J1307" s="1605" t="s">
        <v>5335</v>
      </c>
      <c r="K1307" s="1603" t="s">
        <v>5336</v>
      </c>
      <c r="L1307" s="1603" t="s">
        <v>5337</v>
      </c>
      <c r="M1307" s="1604" t="s">
        <v>5338</v>
      </c>
    </row>
    <row r="1308" spans="2:13">
      <c r="B1308" s="1733" t="s">
        <v>671</v>
      </c>
      <c r="C1308" s="1329" t="s">
        <v>672</v>
      </c>
      <c r="D1308" s="1331"/>
      <c r="E1308" s="1331"/>
      <c r="F1308" s="1334"/>
      <c r="G1308" s="1104"/>
      <c r="H1308" s="1106"/>
      <c r="J1308" s="1597"/>
      <c r="K1308" s="1597"/>
      <c r="L1308" s="1597"/>
      <c r="M1308" s="1563"/>
    </row>
    <row r="1309" spans="2:13">
      <c r="B1309" s="1182"/>
      <c r="C1309" s="1332" t="s">
        <v>673</v>
      </c>
      <c r="D1309" s="1331" t="s">
        <v>674</v>
      </c>
      <c r="E1309" s="1331" t="s">
        <v>675</v>
      </c>
      <c r="F1309" s="1334">
        <v>0.18</v>
      </c>
      <c r="G1309" s="1104">
        <f>DUB!$I$10</f>
        <v>150000</v>
      </c>
      <c r="H1309" s="1106">
        <f t="shared" ref="H1309:H1314" si="32">G1309*F1309</f>
        <v>27000</v>
      </c>
      <c r="J1309" s="1609" t="s">
        <v>5339</v>
      </c>
      <c r="K1309" s="1611">
        <v>1</v>
      </c>
      <c r="L1309" s="1608" t="s">
        <v>5340</v>
      </c>
      <c r="M1309" s="1610">
        <f>H1309*K1309</f>
        <v>27000</v>
      </c>
    </row>
    <row r="1310" spans="2:13">
      <c r="B1310" s="1182"/>
      <c r="C1310" s="1332" t="s">
        <v>731</v>
      </c>
      <c r="D1310" s="1331" t="s">
        <v>678</v>
      </c>
      <c r="E1310" s="1331" t="s">
        <v>675</v>
      </c>
      <c r="F1310" s="1334">
        <v>0.02</v>
      </c>
      <c r="G1310" s="1104">
        <f>DUB!$I$11</f>
        <v>187000</v>
      </c>
      <c r="H1310" s="1106">
        <f t="shared" si="32"/>
        <v>3740</v>
      </c>
      <c r="J1310" s="1609" t="s">
        <v>5339</v>
      </c>
      <c r="K1310" s="1611">
        <v>1</v>
      </c>
      <c r="L1310" s="1608" t="s">
        <v>5340</v>
      </c>
      <c r="M1310" s="1610">
        <f t="shared" ref="M1310:M1312" si="33">H1310*K1310</f>
        <v>3740</v>
      </c>
    </row>
    <row r="1311" spans="2:13">
      <c r="B1311" s="1182"/>
      <c r="C1311" s="1332" t="s">
        <v>871</v>
      </c>
      <c r="D1311" s="1331" t="s">
        <v>678</v>
      </c>
      <c r="E1311" s="1331" t="s">
        <v>675</v>
      </c>
      <c r="F1311" s="1334">
        <v>0.02</v>
      </c>
      <c r="G1311" s="1104">
        <f>DUB!$I$11</f>
        <v>187000</v>
      </c>
      <c r="H1311" s="1106">
        <f t="shared" si="32"/>
        <v>3740</v>
      </c>
      <c r="J1311" s="1609" t="s">
        <v>5339</v>
      </c>
      <c r="K1311" s="1611">
        <v>1</v>
      </c>
      <c r="L1311" s="1608" t="s">
        <v>5340</v>
      </c>
      <c r="M1311" s="1610">
        <f>H1311*K1311</f>
        <v>3740</v>
      </c>
    </row>
    <row r="1312" spans="2:13">
      <c r="B1312" s="1182"/>
      <c r="C1312" s="1332" t="s">
        <v>872</v>
      </c>
      <c r="D1312" s="1331" t="s">
        <v>678</v>
      </c>
      <c r="E1312" s="1331" t="s">
        <v>675</v>
      </c>
      <c r="F1312" s="1334">
        <v>0.02</v>
      </c>
      <c r="G1312" s="1104">
        <f>DUB!$I$11</f>
        <v>187000</v>
      </c>
      <c r="H1312" s="1106">
        <f t="shared" si="32"/>
        <v>3740</v>
      </c>
      <c r="J1312" s="1609" t="s">
        <v>5339</v>
      </c>
      <c r="K1312" s="1611">
        <v>1</v>
      </c>
      <c r="L1312" s="1608" t="s">
        <v>5340</v>
      </c>
      <c r="M1312" s="1610">
        <f t="shared" si="33"/>
        <v>3740</v>
      </c>
    </row>
    <row r="1313" spans="2:13">
      <c r="B1313" s="1182"/>
      <c r="C1313" s="1332" t="s">
        <v>751</v>
      </c>
      <c r="D1313" s="1331" t="s">
        <v>681</v>
      </c>
      <c r="E1313" s="1331" t="s">
        <v>675</v>
      </c>
      <c r="F1313" s="1334">
        <v>6.0000000000000001E-3</v>
      </c>
      <c r="G1313" s="1104">
        <f>DUB!$I$13</f>
        <v>240000</v>
      </c>
      <c r="H1313" s="1106">
        <f t="shared" si="32"/>
        <v>1440</v>
      </c>
      <c r="J1313" s="1609" t="s">
        <v>5339</v>
      </c>
      <c r="K1313" s="1611">
        <v>1</v>
      </c>
      <c r="L1313" s="1608" t="s">
        <v>5340</v>
      </c>
      <c r="M1313" s="1610">
        <f>H1313*K1313</f>
        <v>1440</v>
      </c>
    </row>
    <row r="1314" spans="2:13">
      <c r="B1314" s="1182"/>
      <c r="C1314" s="1332" t="s">
        <v>683</v>
      </c>
      <c r="D1314" s="1331" t="s">
        <v>684</v>
      </c>
      <c r="E1314" s="1331" t="s">
        <v>675</v>
      </c>
      <c r="F1314" s="1334">
        <v>8.9999999999999993E-3</v>
      </c>
      <c r="G1314" s="1104">
        <f>DUB!$I$12</f>
        <v>225000</v>
      </c>
      <c r="H1314" s="1106">
        <f t="shared" si="32"/>
        <v>2024.9999999999998</v>
      </c>
      <c r="J1314" s="1609" t="s">
        <v>5339</v>
      </c>
      <c r="K1314" s="1611">
        <v>1</v>
      </c>
      <c r="L1314" s="1608" t="s">
        <v>5340</v>
      </c>
      <c r="M1314" s="1610">
        <f t="shared" ref="M1314" si="34">H1314*K1314</f>
        <v>2024.9999999999998</v>
      </c>
    </row>
    <row r="1315" spans="2:13">
      <c r="B1315" s="1182"/>
      <c r="C1315" s="1332"/>
      <c r="D1315" s="1331"/>
      <c r="E1315" s="1331"/>
      <c r="F1315" s="2074" t="s">
        <v>685</v>
      </c>
      <c r="G1315" s="2074"/>
      <c r="H1315" s="1106">
        <f>SUM(H1309:H1314)</f>
        <v>41685</v>
      </c>
      <c r="J1315" s="1597"/>
      <c r="K1315" s="1597"/>
      <c r="L1315" s="1597"/>
      <c r="M1315" s="1203">
        <f>SUM(M1309:M1314)</f>
        <v>41685</v>
      </c>
    </row>
    <row r="1316" spans="2:13">
      <c r="B1316" s="1733" t="s">
        <v>686</v>
      </c>
      <c r="C1316" s="1329" t="s">
        <v>687</v>
      </c>
      <c r="D1316" s="1331"/>
      <c r="E1316" s="1331"/>
      <c r="F1316" s="1334"/>
      <c r="G1316" s="1104"/>
      <c r="H1316" s="1106"/>
      <c r="J1316" s="1597"/>
      <c r="K1316" s="1597"/>
      <c r="L1316" s="1597"/>
      <c r="M1316" s="1563"/>
    </row>
    <row r="1317" spans="2:13">
      <c r="B1317" s="1182"/>
      <c r="C1317" s="1332" t="s">
        <v>859</v>
      </c>
      <c r="D1317" s="1331"/>
      <c r="E1317" s="1331" t="s">
        <v>2646</v>
      </c>
      <c r="F1317" s="1334">
        <v>2E-3</v>
      </c>
      <c r="G1317" s="1152">
        <f>DUB!$I$85</f>
        <v>6250000</v>
      </c>
      <c r="H1317" s="1106">
        <f t="shared" ref="H1317:H1323" si="35">G1317*F1317</f>
        <v>12500</v>
      </c>
      <c r="J1317" s="1607" t="s">
        <v>5341</v>
      </c>
      <c r="K1317" s="1611">
        <v>1</v>
      </c>
      <c r="L1317" s="1607" t="s">
        <v>5341</v>
      </c>
      <c r="M1317" s="1610">
        <f>H1317*K1317</f>
        <v>12500</v>
      </c>
    </row>
    <row r="1318" spans="2:13">
      <c r="B1318" s="1182"/>
      <c r="C1318" s="1332" t="s">
        <v>864</v>
      </c>
      <c r="D1318" s="1331"/>
      <c r="E1318" s="1331" t="s">
        <v>773</v>
      </c>
      <c r="F1318" s="1334">
        <v>0.01</v>
      </c>
      <c r="G1318" s="1152">
        <f>DUB!$I$128</f>
        <v>20441.7</v>
      </c>
      <c r="H1318" s="1106">
        <f t="shared" si="35"/>
        <v>204.417</v>
      </c>
      <c r="J1318" s="1642" t="s">
        <v>4925</v>
      </c>
      <c r="K1318" s="1611">
        <v>0.31559999999999999</v>
      </c>
      <c r="L1318" s="1607" t="s">
        <v>5343</v>
      </c>
      <c r="M1318" s="1610">
        <f t="shared" ref="M1318:M1323" si="36">H1318*K1318</f>
        <v>64.5140052</v>
      </c>
    </row>
    <row r="1319" spans="2:13">
      <c r="B1319" s="1182"/>
      <c r="C1319" s="1332" t="s">
        <v>875</v>
      </c>
      <c r="D1319" s="1331"/>
      <c r="E1319" s="1331" t="s">
        <v>773</v>
      </c>
      <c r="F1319" s="1334">
        <v>3</v>
      </c>
      <c r="G1319" s="1152">
        <f>DUB!$I$101</f>
        <v>15300</v>
      </c>
      <c r="H1319" s="1106">
        <f t="shared" si="35"/>
        <v>45900</v>
      </c>
      <c r="J1319" s="1642" t="s">
        <v>4925</v>
      </c>
      <c r="K1319" s="1611">
        <v>0.51470000000000005</v>
      </c>
      <c r="L1319" s="1607" t="s">
        <v>5343</v>
      </c>
      <c r="M1319" s="1610">
        <f t="shared" si="36"/>
        <v>23624.730000000003</v>
      </c>
    </row>
    <row r="1320" spans="2:13">
      <c r="B1320" s="1182"/>
      <c r="C1320" s="1332" t="s">
        <v>835</v>
      </c>
      <c r="D1320" s="1331"/>
      <c r="E1320" s="1331" t="s">
        <v>773</v>
      </c>
      <c r="F1320" s="1334">
        <v>0.45</v>
      </c>
      <c r="G1320" s="1152">
        <f>DUB!$I$108</f>
        <v>29497.5</v>
      </c>
      <c r="H1320" s="1106">
        <f t="shared" si="35"/>
        <v>13273.875</v>
      </c>
      <c r="J1320" s="1642" t="s">
        <v>4925</v>
      </c>
      <c r="K1320" s="1611">
        <v>0.54969999999999997</v>
      </c>
      <c r="L1320" s="1607" t="s">
        <v>5343</v>
      </c>
      <c r="M1320" s="1610">
        <f t="shared" si="36"/>
        <v>7296.6490875</v>
      </c>
    </row>
    <row r="1321" spans="2:13">
      <c r="B1321" s="1182"/>
      <c r="C1321" s="1332" t="s">
        <v>738</v>
      </c>
      <c r="D1321" s="1331"/>
      <c r="E1321" s="1331" t="s">
        <v>773</v>
      </c>
      <c r="F1321" s="1334">
        <v>4</v>
      </c>
      <c r="G1321" s="1152">
        <f>DUB!$I$65</f>
        <v>1575</v>
      </c>
      <c r="H1321" s="1106">
        <f t="shared" si="35"/>
        <v>6300</v>
      </c>
      <c r="J1321" s="1642" t="s">
        <v>4925</v>
      </c>
      <c r="K1321" s="1611">
        <v>0.91010000000000002</v>
      </c>
      <c r="L1321" s="1607" t="s">
        <v>5343</v>
      </c>
      <c r="M1321" s="1610">
        <f t="shared" si="36"/>
        <v>5733.63</v>
      </c>
    </row>
    <row r="1322" spans="2:13">
      <c r="B1322" s="1182"/>
      <c r="C1322" s="1332" t="s">
        <v>831</v>
      </c>
      <c r="D1322" s="1331"/>
      <c r="E1322" s="1331" t="s">
        <v>2646</v>
      </c>
      <c r="F1322" s="1334">
        <v>6.0000000000000001E-3</v>
      </c>
      <c r="G1322" s="1152">
        <f>DUB!$I$59</f>
        <v>208463</v>
      </c>
      <c r="H1322" s="1106">
        <f t="shared" si="35"/>
        <v>1250.778</v>
      </c>
      <c r="J1322" s="1607" t="s">
        <v>5341</v>
      </c>
      <c r="K1322" s="1611">
        <v>1</v>
      </c>
      <c r="L1322" s="1607" t="s">
        <v>5341</v>
      </c>
      <c r="M1322" s="1610">
        <f t="shared" si="36"/>
        <v>1250.778</v>
      </c>
    </row>
    <row r="1323" spans="2:13">
      <c r="B1323" s="1182"/>
      <c r="C1323" s="1332" t="s">
        <v>833</v>
      </c>
      <c r="D1323" s="1331"/>
      <c r="E1323" s="1331" t="s">
        <v>2646</v>
      </c>
      <c r="F1323" s="1334">
        <v>8.9999999999999993E-3</v>
      </c>
      <c r="G1323" s="1152">
        <f>DUB!$I$57</f>
        <v>202500</v>
      </c>
      <c r="H1323" s="1106">
        <f t="shared" si="35"/>
        <v>1822.4999999999998</v>
      </c>
      <c r="J1323" s="1607" t="s">
        <v>5341</v>
      </c>
      <c r="K1323" s="1611">
        <v>1</v>
      </c>
      <c r="L1323" s="1607" t="s">
        <v>5341</v>
      </c>
      <c r="M1323" s="1610">
        <f t="shared" si="36"/>
        <v>1822.4999999999998</v>
      </c>
    </row>
    <row r="1324" spans="2:13">
      <c r="B1324" s="1182"/>
      <c r="C1324" s="1332"/>
      <c r="D1324" s="1331"/>
      <c r="E1324" s="1331"/>
      <c r="F1324" s="2090" t="s">
        <v>702</v>
      </c>
      <c r="G1324" s="2090"/>
      <c r="H1324" s="1106">
        <f>SUM(H1317:H1323)</f>
        <v>81251.570000000007</v>
      </c>
      <c r="J1324" s="1597"/>
      <c r="K1324" s="1597"/>
      <c r="L1324" s="1597"/>
      <c r="M1324" s="1203">
        <f>SUM(M1317:M1323)</f>
        <v>52292.8010927</v>
      </c>
    </row>
    <row r="1325" spans="2:13" s="496" customFormat="1">
      <c r="B1325" s="1733" t="s">
        <v>703</v>
      </c>
      <c r="C1325" s="2089" t="s">
        <v>3764</v>
      </c>
      <c r="D1325" s="2089"/>
      <c r="E1325" s="2089"/>
      <c r="F1325" s="2089"/>
      <c r="G1325" s="2089"/>
      <c r="H1325" s="1107">
        <f>H1315+H1324</f>
        <v>122936.57</v>
      </c>
      <c r="J1325" s="1600"/>
      <c r="K1325" s="1633">
        <f>M1325/H1325</f>
        <v>0.76444137893793518</v>
      </c>
      <c r="L1325" s="1600"/>
      <c r="M1325" s="1203">
        <f>M1315+M1324</f>
        <v>93977.8010927</v>
      </c>
    </row>
    <row r="1326" spans="2:13" s="496" customFormat="1">
      <c r="B1326" s="1733" t="s">
        <v>706</v>
      </c>
      <c r="C1326" s="2076" t="s">
        <v>876</v>
      </c>
      <c r="D1326" s="2076"/>
      <c r="E1326" s="2076"/>
      <c r="F1326" s="2077" t="s">
        <v>3873</v>
      </c>
      <c r="G1326" s="2077"/>
      <c r="H1326" s="1107">
        <f>H1325*0.15</f>
        <v>18440.485499999999</v>
      </c>
      <c r="J1326" s="1600"/>
      <c r="K1326" s="1600"/>
      <c r="L1326" s="1600"/>
      <c r="M1326" s="1203">
        <f>M1325*0.15</f>
        <v>14096.670163904999</v>
      </c>
    </row>
    <row r="1327" spans="2:13" s="496" customFormat="1">
      <c r="B1327" s="1734" t="s">
        <v>708</v>
      </c>
      <c r="C1327" s="2109" t="s">
        <v>3765</v>
      </c>
      <c r="D1327" s="2109"/>
      <c r="E1327" s="2109"/>
      <c r="F1327" s="2109"/>
      <c r="G1327" s="2109"/>
      <c r="H1327" s="1857">
        <f>ROUND(SUM(H1325:H1326),2)</f>
        <v>141377.06</v>
      </c>
      <c r="I1327" s="1858">
        <f>SUM(H1325:H1326)</f>
        <v>141377.05550000002</v>
      </c>
      <c r="J1327" s="1602"/>
      <c r="K1327" s="1602"/>
      <c r="L1327" s="1600"/>
      <c r="M1327" s="1918">
        <f>ROUND(SUM(M1325:M1326),2)</f>
        <v>108074.47</v>
      </c>
    </row>
    <row r="1328" spans="2:13" s="496" customFormat="1">
      <c r="B1328" s="1773"/>
      <c r="C1328" s="1774"/>
      <c r="D1328" s="1774"/>
      <c r="E1328" s="1774"/>
      <c r="F1328" s="1774"/>
      <c r="G1328" s="1774"/>
      <c r="H1328" s="1767"/>
      <c r="I1328" s="1775"/>
      <c r="J1328" s="1644"/>
      <c r="K1328" s="1644"/>
      <c r="L1328" s="1645"/>
      <c r="M1328" s="1776"/>
    </row>
    <row r="1329" spans="2:13" s="496" customFormat="1">
      <c r="B1329" s="1100" t="s">
        <v>5013</v>
      </c>
      <c r="C1329" s="1112" t="s">
        <v>5012</v>
      </c>
      <c r="D1329" s="1129"/>
      <c r="E1329" s="1129"/>
      <c r="F1329" s="1131"/>
      <c r="G1329" s="1132"/>
      <c r="H1329" s="1115"/>
      <c r="I1329" s="525"/>
      <c r="J1329" s="1561"/>
      <c r="K1329" s="1561"/>
      <c r="L1329" s="1559"/>
      <c r="M1329" s="1635"/>
    </row>
    <row r="1330" spans="2:13" s="496" customFormat="1">
      <c r="B1330" s="1727" t="s">
        <v>1003</v>
      </c>
      <c r="C1330" s="1728" t="s">
        <v>1004</v>
      </c>
      <c r="D1330" s="1728" t="s">
        <v>1005</v>
      </c>
      <c r="E1330" s="1728" t="s">
        <v>1006</v>
      </c>
      <c r="F1330" s="1729" t="s">
        <v>1007</v>
      </c>
      <c r="G1330" s="1866" t="s">
        <v>2637</v>
      </c>
      <c r="H1330" s="1867" t="s">
        <v>2638</v>
      </c>
      <c r="I1330" s="1775"/>
      <c r="J1330" s="1605" t="s">
        <v>5335</v>
      </c>
      <c r="K1330" s="1603" t="s">
        <v>5336</v>
      </c>
      <c r="L1330" s="1603" t="s">
        <v>5337</v>
      </c>
      <c r="M1330" s="1604" t="s">
        <v>5338</v>
      </c>
    </row>
    <row r="1331" spans="2:13" s="496" customFormat="1">
      <c r="B1331" s="1733" t="s">
        <v>671</v>
      </c>
      <c r="C1331" s="1329" t="s">
        <v>672</v>
      </c>
      <c r="D1331" s="1331"/>
      <c r="E1331" s="1331"/>
      <c r="F1331" s="1334"/>
      <c r="G1331" s="1104"/>
      <c r="H1331" s="1106"/>
      <c r="I1331" s="525"/>
      <c r="J1331" s="1597"/>
      <c r="K1331" s="1597"/>
      <c r="L1331" s="1597"/>
      <c r="M1331" s="1563"/>
    </row>
    <row r="1332" spans="2:13" s="496" customFormat="1">
      <c r="B1332" s="1182"/>
      <c r="C1332" s="1332" t="s">
        <v>673</v>
      </c>
      <c r="D1332" s="1331" t="s">
        <v>674</v>
      </c>
      <c r="E1332" s="1331" t="s">
        <v>675</v>
      </c>
      <c r="F1332" s="1334">
        <v>0.29699999999999999</v>
      </c>
      <c r="G1332" s="1104">
        <f>DUB!$I$10</f>
        <v>150000</v>
      </c>
      <c r="H1332" s="1106">
        <f t="shared" ref="H1332:H1337" si="37">G1332*F1332</f>
        <v>44550</v>
      </c>
      <c r="I1332" s="525"/>
      <c r="J1332" s="1609" t="s">
        <v>5339</v>
      </c>
      <c r="K1332" s="1611">
        <v>1</v>
      </c>
      <c r="L1332" s="1608" t="s">
        <v>5340</v>
      </c>
      <c r="M1332" s="1610">
        <f>H1332*K1332</f>
        <v>44550</v>
      </c>
    </row>
    <row r="1333" spans="2:13" s="496" customFormat="1">
      <c r="B1333" s="1182"/>
      <c r="C1333" s="1332" t="s">
        <v>731</v>
      </c>
      <c r="D1333" s="1331" t="s">
        <v>678</v>
      </c>
      <c r="E1333" s="1331" t="s">
        <v>675</v>
      </c>
      <c r="F1333" s="1334">
        <v>3.3000000000000002E-2</v>
      </c>
      <c r="G1333" s="1104">
        <f>DUB!$I$11</f>
        <v>187000</v>
      </c>
      <c r="H1333" s="1106">
        <f t="shared" si="37"/>
        <v>6171</v>
      </c>
      <c r="I1333" s="525"/>
      <c r="J1333" s="1609" t="s">
        <v>5339</v>
      </c>
      <c r="K1333" s="1611">
        <v>1</v>
      </c>
      <c r="L1333" s="1608" t="s">
        <v>5340</v>
      </c>
      <c r="M1333" s="1610">
        <f t="shared" ref="M1333" si="38">H1333*K1333</f>
        <v>6171</v>
      </c>
    </row>
    <row r="1334" spans="2:13" s="496" customFormat="1">
      <c r="B1334" s="1182"/>
      <c r="C1334" s="1332" t="s">
        <v>871</v>
      </c>
      <c r="D1334" s="1331" t="s">
        <v>678</v>
      </c>
      <c r="E1334" s="1331" t="s">
        <v>675</v>
      </c>
      <c r="F1334" s="1334">
        <v>3.3000000000000002E-2</v>
      </c>
      <c r="G1334" s="1104">
        <f>DUB!$I$11</f>
        <v>187000</v>
      </c>
      <c r="H1334" s="1106">
        <f t="shared" si="37"/>
        <v>6171</v>
      </c>
      <c r="I1334" s="525"/>
      <c r="J1334" s="1609" t="s">
        <v>5339</v>
      </c>
      <c r="K1334" s="1611">
        <v>1</v>
      </c>
      <c r="L1334" s="1608" t="s">
        <v>5340</v>
      </c>
      <c r="M1334" s="1610">
        <f>H1334*K1334</f>
        <v>6171</v>
      </c>
    </row>
    <row r="1335" spans="2:13" s="496" customFormat="1">
      <c r="B1335" s="1182"/>
      <c r="C1335" s="1332" t="s">
        <v>872</v>
      </c>
      <c r="D1335" s="1331" t="s">
        <v>678</v>
      </c>
      <c r="E1335" s="1331" t="s">
        <v>675</v>
      </c>
      <c r="F1335" s="1334">
        <v>3.3000000000000002E-2</v>
      </c>
      <c r="G1335" s="1104">
        <f>DUB!$I$11</f>
        <v>187000</v>
      </c>
      <c r="H1335" s="1106">
        <f t="shared" si="37"/>
        <v>6171</v>
      </c>
      <c r="I1335" s="525"/>
      <c r="J1335" s="1609" t="s">
        <v>5339</v>
      </c>
      <c r="K1335" s="1611">
        <v>1</v>
      </c>
      <c r="L1335" s="1608" t="s">
        <v>5340</v>
      </c>
      <c r="M1335" s="1610">
        <f t="shared" ref="M1335" si="39">H1335*K1335</f>
        <v>6171</v>
      </c>
    </row>
    <row r="1336" spans="2:13" s="496" customFormat="1">
      <c r="B1336" s="1182"/>
      <c r="C1336" s="1332" t="s">
        <v>751</v>
      </c>
      <c r="D1336" s="1331" t="s">
        <v>681</v>
      </c>
      <c r="E1336" s="1331" t="s">
        <v>675</v>
      </c>
      <c r="F1336" s="1334">
        <v>0.01</v>
      </c>
      <c r="G1336" s="1104">
        <f>DUB!$I$13</f>
        <v>240000</v>
      </c>
      <c r="H1336" s="1106">
        <f t="shared" si="37"/>
        <v>2400</v>
      </c>
      <c r="I1336" s="525"/>
      <c r="J1336" s="1609" t="s">
        <v>5339</v>
      </c>
      <c r="K1336" s="1611">
        <v>1</v>
      </c>
      <c r="L1336" s="1608" t="s">
        <v>5340</v>
      </c>
      <c r="M1336" s="1610">
        <f>H1336*K1336</f>
        <v>2400</v>
      </c>
    </row>
    <row r="1337" spans="2:13" s="496" customFormat="1">
      <c r="B1337" s="1182"/>
      <c r="C1337" s="1332" t="s">
        <v>683</v>
      </c>
      <c r="D1337" s="1331" t="s">
        <v>684</v>
      </c>
      <c r="E1337" s="1331" t="s">
        <v>675</v>
      </c>
      <c r="F1337" s="1334">
        <v>1.4999999999999999E-2</v>
      </c>
      <c r="G1337" s="1104">
        <f>DUB!$I$12</f>
        <v>225000</v>
      </c>
      <c r="H1337" s="1106">
        <f t="shared" si="37"/>
        <v>3375</v>
      </c>
      <c r="I1337" s="525"/>
      <c r="J1337" s="1609" t="s">
        <v>5339</v>
      </c>
      <c r="K1337" s="1611">
        <v>1</v>
      </c>
      <c r="L1337" s="1608" t="s">
        <v>5340</v>
      </c>
      <c r="M1337" s="1610">
        <f t="shared" ref="M1337" si="40">H1337*K1337</f>
        <v>3375</v>
      </c>
    </row>
    <row r="1338" spans="2:13" s="496" customFormat="1">
      <c r="B1338" s="1182"/>
      <c r="C1338" s="1332"/>
      <c r="D1338" s="1331"/>
      <c r="E1338" s="1331"/>
      <c r="F1338" s="2079" t="s">
        <v>685</v>
      </c>
      <c r="G1338" s="2079"/>
      <c r="H1338" s="1106">
        <f>SUM(H1332:H1337)</f>
        <v>68838</v>
      </c>
      <c r="I1338" s="525"/>
      <c r="J1338" s="1597"/>
      <c r="K1338" s="1597"/>
      <c r="L1338" s="1597"/>
      <c r="M1338" s="1203">
        <f>SUM(M1332:M1337)</f>
        <v>68838</v>
      </c>
    </row>
    <row r="1339" spans="2:13" s="496" customFormat="1">
      <c r="B1339" s="1733" t="s">
        <v>686</v>
      </c>
      <c r="C1339" s="1329" t="s">
        <v>687</v>
      </c>
      <c r="D1339" s="1331"/>
      <c r="E1339" s="1331"/>
      <c r="F1339" s="1334"/>
      <c r="G1339" s="1104"/>
      <c r="H1339" s="1106"/>
      <c r="I1339" s="525"/>
      <c r="J1339" s="1597"/>
      <c r="K1339" s="1597"/>
      <c r="L1339" s="1597"/>
      <c r="M1339" s="1563"/>
    </row>
    <row r="1340" spans="2:13" s="496" customFormat="1">
      <c r="B1340" s="1182"/>
      <c r="C1340" s="1332" t="s">
        <v>859</v>
      </c>
      <c r="D1340" s="1331"/>
      <c r="E1340" s="1331" t="s">
        <v>2646</v>
      </c>
      <c r="F1340" s="1334">
        <v>3.0000000000000001E-3</v>
      </c>
      <c r="G1340" s="1152">
        <f>DUB!$I$85</f>
        <v>6250000</v>
      </c>
      <c r="H1340" s="1106">
        <f t="shared" ref="H1340:H1346" si="41">G1340*F1340</f>
        <v>18750</v>
      </c>
      <c r="I1340" s="525"/>
      <c r="J1340" s="1607" t="s">
        <v>5341</v>
      </c>
      <c r="K1340" s="1611">
        <v>1</v>
      </c>
      <c r="L1340" s="1607" t="s">
        <v>5341</v>
      </c>
      <c r="M1340" s="1610">
        <f>H1340*K1340</f>
        <v>18750</v>
      </c>
    </row>
    <row r="1341" spans="2:13" s="496" customFormat="1">
      <c r="B1341" s="1182"/>
      <c r="C1341" s="1332" t="s">
        <v>864</v>
      </c>
      <c r="D1341" s="1331"/>
      <c r="E1341" s="1331" t="s">
        <v>773</v>
      </c>
      <c r="F1341" s="1334">
        <v>0.02</v>
      </c>
      <c r="G1341" s="1152">
        <f>DUB!$I$128</f>
        <v>20441.7</v>
      </c>
      <c r="H1341" s="1106">
        <f t="shared" si="41"/>
        <v>408.834</v>
      </c>
      <c r="I1341" s="525"/>
      <c r="J1341" s="1642" t="s">
        <v>4925</v>
      </c>
      <c r="K1341" s="1611">
        <v>0.31559999999999999</v>
      </c>
      <c r="L1341" s="1607" t="s">
        <v>5343</v>
      </c>
      <c r="M1341" s="1610">
        <f t="shared" ref="M1341:M1346" si="42">H1341*K1341</f>
        <v>129.0280104</v>
      </c>
    </row>
    <row r="1342" spans="2:13" s="496" customFormat="1">
      <c r="B1342" s="1182"/>
      <c r="C1342" s="1332" t="s">
        <v>875</v>
      </c>
      <c r="D1342" s="1331"/>
      <c r="E1342" s="1331" t="s">
        <v>773</v>
      </c>
      <c r="F1342" s="1334">
        <v>3.6</v>
      </c>
      <c r="G1342" s="1152">
        <f>DUB!$I$101</f>
        <v>15300</v>
      </c>
      <c r="H1342" s="1106">
        <f t="shared" si="41"/>
        <v>55080</v>
      </c>
      <c r="I1342" s="525"/>
      <c r="J1342" s="1642" t="s">
        <v>4925</v>
      </c>
      <c r="K1342" s="1611">
        <v>0.51470000000000005</v>
      </c>
      <c r="L1342" s="1607" t="s">
        <v>5343</v>
      </c>
      <c r="M1342" s="1610">
        <f t="shared" si="42"/>
        <v>28349.676000000003</v>
      </c>
    </row>
    <row r="1343" spans="2:13" s="496" customFormat="1">
      <c r="B1343" s="1182"/>
      <c r="C1343" s="1332" t="s">
        <v>835</v>
      </c>
      <c r="D1343" s="1331"/>
      <c r="E1343" s="1331" t="s">
        <v>773</v>
      </c>
      <c r="F1343" s="1334">
        <v>0.05</v>
      </c>
      <c r="G1343" s="1152">
        <f>DUB!$I$108</f>
        <v>29497.5</v>
      </c>
      <c r="H1343" s="1106">
        <f t="shared" si="41"/>
        <v>1474.875</v>
      </c>
      <c r="I1343" s="525"/>
      <c r="J1343" s="1642" t="s">
        <v>4925</v>
      </c>
      <c r="K1343" s="1611">
        <v>0.54969999999999997</v>
      </c>
      <c r="L1343" s="1607" t="s">
        <v>5343</v>
      </c>
      <c r="M1343" s="1610">
        <f t="shared" si="42"/>
        <v>810.73878749999994</v>
      </c>
    </row>
    <row r="1344" spans="2:13" s="496" customFormat="1">
      <c r="B1344" s="1182"/>
      <c r="C1344" s="1332" t="s">
        <v>738</v>
      </c>
      <c r="D1344" s="1331"/>
      <c r="E1344" s="1331" t="s">
        <v>773</v>
      </c>
      <c r="F1344" s="1334">
        <v>6.5</v>
      </c>
      <c r="G1344" s="1152">
        <f>DUB!$I$65</f>
        <v>1575</v>
      </c>
      <c r="H1344" s="1106">
        <f t="shared" si="41"/>
        <v>10237.5</v>
      </c>
      <c r="I1344" s="525"/>
      <c r="J1344" s="1642" t="s">
        <v>4925</v>
      </c>
      <c r="K1344" s="1611">
        <v>0.91010000000000002</v>
      </c>
      <c r="L1344" s="1607" t="s">
        <v>5343</v>
      </c>
      <c r="M1344" s="1610">
        <f t="shared" si="42"/>
        <v>9317.1487500000003</v>
      </c>
    </row>
    <row r="1345" spans="2:13" s="496" customFormat="1">
      <c r="B1345" s="1182"/>
      <c r="C1345" s="1332" t="s">
        <v>831</v>
      </c>
      <c r="D1345" s="1331"/>
      <c r="E1345" s="1331" t="s">
        <v>2646</v>
      </c>
      <c r="F1345" s="1334">
        <v>1.0999999999999999E-2</v>
      </c>
      <c r="G1345" s="1152">
        <f>DUB!$I$59</f>
        <v>208463</v>
      </c>
      <c r="H1345" s="1106">
        <f t="shared" si="41"/>
        <v>2293.0929999999998</v>
      </c>
      <c r="I1345" s="525"/>
      <c r="J1345" s="1607" t="s">
        <v>5341</v>
      </c>
      <c r="K1345" s="1611">
        <v>1</v>
      </c>
      <c r="L1345" s="1607" t="s">
        <v>5341</v>
      </c>
      <c r="M1345" s="1610">
        <f t="shared" si="42"/>
        <v>2293.0929999999998</v>
      </c>
    </row>
    <row r="1346" spans="2:13" s="496" customFormat="1">
      <c r="B1346" s="1182"/>
      <c r="C1346" s="1332" t="s">
        <v>833</v>
      </c>
      <c r="D1346" s="1331"/>
      <c r="E1346" s="1331" t="s">
        <v>2646</v>
      </c>
      <c r="F1346" s="1334">
        <v>1.9E-2</v>
      </c>
      <c r="G1346" s="1152">
        <f>DUB!$I$57</f>
        <v>202500</v>
      </c>
      <c r="H1346" s="1106">
        <f t="shared" si="41"/>
        <v>3847.5</v>
      </c>
      <c r="I1346" s="525"/>
      <c r="J1346" s="1607" t="s">
        <v>5341</v>
      </c>
      <c r="K1346" s="1611">
        <v>1</v>
      </c>
      <c r="L1346" s="1607" t="s">
        <v>5341</v>
      </c>
      <c r="M1346" s="1610">
        <f t="shared" si="42"/>
        <v>3847.5</v>
      </c>
    </row>
    <row r="1347" spans="2:13" s="496" customFormat="1">
      <c r="B1347" s="1182"/>
      <c r="C1347" s="1332"/>
      <c r="D1347" s="1331"/>
      <c r="E1347" s="1331"/>
      <c r="F1347" s="2080" t="s">
        <v>702</v>
      </c>
      <c r="G1347" s="2081"/>
      <c r="H1347" s="1106">
        <f>SUM(H1340:H1346)</f>
        <v>92091.801999999996</v>
      </c>
      <c r="I1347" s="525"/>
      <c r="J1347" s="1597"/>
      <c r="K1347" s="1597"/>
      <c r="L1347" s="1597"/>
      <c r="M1347" s="1203">
        <f>SUM(M1340:M1346)</f>
        <v>63497.184547900004</v>
      </c>
    </row>
    <row r="1348" spans="2:13" s="496" customFormat="1">
      <c r="B1348" s="1733" t="s">
        <v>703</v>
      </c>
      <c r="C1348" s="1189" t="s">
        <v>3764</v>
      </c>
      <c r="D1348" s="1190"/>
      <c r="E1348" s="1190"/>
      <c r="F1348" s="1191"/>
      <c r="G1348" s="1192"/>
      <c r="H1348" s="1107">
        <f>H1338+H1347</f>
        <v>160929.802</v>
      </c>
      <c r="I1348" s="525"/>
      <c r="J1348" s="1600"/>
      <c r="K1348" s="1633">
        <f>M1348/H1348</f>
        <v>0.82231620808121042</v>
      </c>
      <c r="L1348" s="1600"/>
      <c r="M1348" s="1203">
        <f>M1338+M1347</f>
        <v>132335.18454789999</v>
      </c>
    </row>
    <row r="1349" spans="2:13" s="496" customFormat="1">
      <c r="B1349" s="1733" t="s">
        <v>706</v>
      </c>
      <c r="C1349" s="1193" t="s">
        <v>876</v>
      </c>
      <c r="D1349" s="1194"/>
      <c r="E1349" s="1194"/>
      <c r="F1349" s="1195" t="s">
        <v>3873</v>
      </c>
      <c r="G1349" s="1159"/>
      <c r="H1349" s="1107">
        <f>H1348*0.15</f>
        <v>24139.470299999997</v>
      </c>
      <c r="I1349" s="525"/>
      <c r="J1349" s="1600"/>
      <c r="K1349" s="1600"/>
      <c r="L1349" s="1600"/>
      <c r="M1349" s="1203">
        <f>M1348*0.15</f>
        <v>19850.277682184998</v>
      </c>
    </row>
    <row r="1350" spans="2:13" s="496" customFormat="1">
      <c r="B1350" s="1734" t="s">
        <v>708</v>
      </c>
      <c r="C1350" s="1868" t="s">
        <v>3765</v>
      </c>
      <c r="D1350" s="1869"/>
      <c r="E1350" s="1869"/>
      <c r="F1350" s="1870"/>
      <c r="G1350" s="1871"/>
      <c r="H1350" s="1857">
        <f>ROUND(SUM(H1348:H1349),2)</f>
        <v>185069.27</v>
      </c>
      <c r="I1350" s="1872"/>
      <c r="J1350" s="1602"/>
      <c r="K1350" s="1602"/>
      <c r="L1350" s="1600"/>
      <c r="M1350" s="1918">
        <f>ROUND(SUM(M1348:M1349),2)</f>
        <v>152185.46</v>
      </c>
    </row>
    <row r="1351" spans="2:13" s="496" customFormat="1">
      <c r="B1351" s="1773"/>
      <c r="C1351" s="1774"/>
      <c r="D1351" s="1774"/>
      <c r="E1351" s="1774"/>
      <c r="F1351" s="1774"/>
      <c r="G1351" s="1774"/>
      <c r="H1351" s="1767"/>
      <c r="I1351" s="1775"/>
      <c r="J1351" s="1644"/>
      <c r="K1351" s="1644"/>
      <c r="L1351" s="1645"/>
      <c r="M1351" s="1776"/>
    </row>
    <row r="1352" spans="2:13" hidden="1">
      <c r="B1352" s="1143"/>
      <c r="C1352" s="1144"/>
      <c r="D1352" s="1143"/>
      <c r="E1352" s="1143"/>
      <c r="F1352" s="1145"/>
      <c r="G1352" s="1146"/>
      <c r="H1352" s="1147"/>
      <c r="M1352" s="1566"/>
    </row>
    <row r="1353" spans="2:13">
      <c r="B1353" s="1100" t="s">
        <v>3932</v>
      </c>
      <c r="C1353" s="1112" t="s">
        <v>4401</v>
      </c>
      <c r="D1353" s="1129"/>
      <c r="E1353" s="1129"/>
      <c r="F1353" s="1131"/>
      <c r="G1353" s="1132"/>
      <c r="H1353" s="1115"/>
      <c r="M1353" s="1566"/>
    </row>
    <row r="1354" spans="2:13" s="507" customFormat="1" ht="24.9" customHeight="1">
      <c r="B1354" s="1727" t="s">
        <v>1003</v>
      </c>
      <c r="C1354" s="1728" t="s">
        <v>1004</v>
      </c>
      <c r="D1354" s="1728" t="s">
        <v>1005</v>
      </c>
      <c r="E1354" s="1728" t="s">
        <v>1006</v>
      </c>
      <c r="F1354" s="1729" t="s">
        <v>1007</v>
      </c>
      <c r="G1354" s="1866" t="s">
        <v>2637</v>
      </c>
      <c r="H1354" s="1867" t="s">
        <v>2638</v>
      </c>
      <c r="I1354" s="1739"/>
      <c r="J1354" s="1605" t="s">
        <v>5335</v>
      </c>
      <c r="K1354" s="1603" t="s">
        <v>5336</v>
      </c>
      <c r="L1354" s="1603" t="s">
        <v>5337</v>
      </c>
      <c r="M1354" s="1604" t="s">
        <v>5338</v>
      </c>
    </row>
    <row r="1355" spans="2:13">
      <c r="B1355" s="1733" t="s">
        <v>671</v>
      </c>
      <c r="C1355" s="1329" t="s">
        <v>672</v>
      </c>
      <c r="D1355" s="1331"/>
      <c r="E1355" s="1331"/>
      <c r="F1355" s="1334"/>
      <c r="G1355" s="1104"/>
      <c r="H1355" s="1106"/>
      <c r="J1355" s="1597"/>
      <c r="K1355" s="1597"/>
      <c r="L1355" s="1597"/>
      <c r="M1355" s="1563"/>
    </row>
    <row r="1356" spans="2:13">
      <c r="B1356" s="1182"/>
      <c r="C1356" s="1332" t="s">
        <v>673</v>
      </c>
      <c r="D1356" s="1331" t="s">
        <v>674</v>
      </c>
      <c r="E1356" s="1331" t="s">
        <v>675</v>
      </c>
      <c r="F1356" s="1334">
        <v>0.29699999999999999</v>
      </c>
      <c r="G1356" s="1104">
        <f>DUB!$I$10</f>
        <v>150000</v>
      </c>
      <c r="H1356" s="1106">
        <f t="shared" ref="H1356:H1361" si="43">G1356*F1356</f>
        <v>44550</v>
      </c>
      <c r="J1356" s="1609" t="s">
        <v>5339</v>
      </c>
      <c r="K1356" s="1611">
        <v>1</v>
      </c>
      <c r="L1356" s="1608" t="s">
        <v>5340</v>
      </c>
      <c r="M1356" s="1610">
        <f>H1356*K1356</f>
        <v>44550</v>
      </c>
    </row>
    <row r="1357" spans="2:13">
      <c r="B1357" s="1182"/>
      <c r="C1357" s="1332" t="s">
        <v>731</v>
      </c>
      <c r="D1357" s="1331" t="s">
        <v>678</v>
      </c>
      <c r="E1357" s="1331" t="s">
        <v>675</v>
      </c>
      <c r="F1357" s="1334">
        <v>3.3000000000000002E-2</v>
      </c>
      <c r="G1357" s="1104">
        <f>DUB!$I$11</f>
        <v>187000</v>
      </c>
      <c r="H1357" s="1106">
        <f t="shared" si="43"/>
        <v>6171</v>
      </c>
      <c r="J1357" s="1609" t="s">
        <v>5339</v>
      </c>
      <c r="K1357" s="1611">
        <v>1</v>
      </c>
      <c r="L1357" s="1608" t="s">
        <v>5340</v>
      </c>
      <c r="M1357" s="1610">
        <f t="shared" ref="M1357" si="44">H1357*K1357</f>
        <v>6171</v>
      </c>
    </row>
    <row r="1358" spans="2:13">
      <c r="B1358" s="1182"/>
      <c r="C1358" s="1332" t="s">
        <v>871</v>
      </c>
      <c r="D1358" s="1331" t="s">
        <v>678</v>
      </c>
      <c r="E1358" s="1331" t="s">
        <v>675</v>
      </c>
      <c r="F1358" s="1334">
        <v>3.3000000000000002E-2</v>
      </c>
      <c r="G1358" s="1104">
        <f>DUB!$I$11</f>
        <v>187000</v>
      </c>
      <c r="H1358" s="1106">
        <f t="shared" si="43"/>
        <v>6171</v>
      </c>
      <c r="J1358" s="1609" t="s">
        <v>5339</v>
      </c>
      <c r="K1358" s="1611">
        <v>1</v>
      </c>
      <c r="L1358" s="1608" t="s">
        <v>5340</v>
      </c>
      <c r="M1358" s="1610">
        <f>H1358*K1358</f>
        <v>6171</v>
      </c>
    </row>
    <row r="1359" spans="2:13">
      <c r="B1359" s="1182"/>
      <c r="C1359" s="1332" t="s">
        <v>872</v>
      </c>
      <c r="D1359" s="1331" t="s">
        <v>678</v>
      </c>
      <c r="E1359" s="1331" t="s">
        <v>675</v>
      </c>
      <c r="F1359" s="1334">
        <v>3.3000000000000002E-2</v>
      </c>
      <c r="G1359" s="1104">
        <f>DUB!$I$11</f>
        <v>187000</v>
      </c>
      <c r="H1359" s="1106">
        <f t="shared" si="43"/>
        <v>6171</v>
      </c>
      <c r="J1359" s="1609" t="s">
        <v>5339</v>
      </c>
      <c r="K1359" s="1611">
        <v>1</v>
      </c>
      <c r="L1359" s="1608" t="s">
        <v>5340</v>
      </c>
      <c r="M1359" s="1610">
        <f t="shared" ref="M1359" si="45">H1359*K1359</f>
        <v>6171</v>
      </c>
    </row>
    <row r="1360" spans="2:13">
      <c r="B1360" s="1182"/>
      <c r="C1360" s="1332" t="s">
        <v>751</v>
      </c>
      <c r="D1360" s="1331" t="s">
        <v>681</v>
      </c>
      <c r="E1360" s="1331" t="s">
        <v>675</v>
      </c>
      <c r="F1360" s="1334">
        <v>0.01</v>
      </c>
      <c r="G1360" s="1104">
        <f>DUB!$I$13</f>
        <v>240000</v>
      </c>
      <c r="H1360" s="1106">
        <f t="shared" si="43"/>
        <v>2400</v>
      </c>
      <c r="J1360" s="1609" t="s">
        <v>5339</v>
      </c>
      <c r="K1360" s="1611">
        <v>1</v>
      </c>
      <c r="L1360" s="1608" t="s">
        <v>5340</v>
      </c>
      <c r="M1360" s="1610">
        <f>H1360*K1360</f>
        <v>2400</v>
      </c>
    </row>
    <row r="1361" spans="2:13">
      <c r="B1361" s="1182"/>
      <c r="C1361" s="1332" t="s">
        <v>683</v>
      </c>
      <c r="D1361" s="1331" t="s">
        <v>684</v>
      </c>
      <c r="E1361" s="1331" t="s">
        <v>675</v>
      </c>
      <c r="F1361" s="1334">
        <v>1.4999999999999999E-2</v>
      </c>
      <c r="G1361" s="1104">
        <f>DUB!$I$12</f>
        <v>225000</v>
      </c>
      <c r="H1361" s="1106">
        <f t="shared" si="43"/>
        <v>3375</v>
      </c>
      <c r="J1361" s="1609" t="s">
        <v>5339</v>
      </c>
      <c r="K1361" s="1611">
        <v>1</v>
      </c>
      <c r="L1361" s="1608" t="s">
        <v>5340</v>
      </c>
      <c r="M1361" s="1610">
        <f t="shared" ref="M1361" si="46">H1361*K1361</f>
        <v>3375</v>
      </c>
    </row>
    <row r="1362" spans="2:13">
      <c r="B1362" s="1182"/>
      <c r="C1362" s="1332"/>
      <c r="D1362" s="1331"/>
      <c r="E1362" s="1331"/>
      <c r="F1362" s="2079" t="s">
        <v>685</v>
      </c>
      <c r="G1362" s="2079"/>
      <c r="H1362" s="1106">
        <f>SUM(H1356:H1361)</f>
        <v>68838</v>
      </c>
      <c r="J1362" s="1597"/>
      <c r="K1362" s="1597"/>
      <c r="L1362" s="1597"/>
      <c r="M1362" s="1203">
        <f>SUM(M1356:M1361)</f>
        <v>68838</v>
      </c>
    </row>
    <row r="1363" spans="2:13">
      <c r="B1363" s="1733" t="s">
        <v>686</v>
      </c>
      <c r="C1363" s="1329" t="s">
        <v>687</v>
      </c>
      <c r="D1363" s="1331"/>
      <c r="E1363" s="1331"/>
      <c r="F1363" s="1334"/>
      <c r="G1363" s="1104"/>
      <c r="H1363" s="1106"/>
      <c r="J1363" s="1597"/>
      <c r="K1363" s="1597"/>
      <c r="L1363" s="1597"/>
      <c r="M1363" s="1563"/>
    </row>
    <row r="1364" spans="2:13">
      <c r="B1364" s="1182"/>
      <c r="C1364" s="1332" t="s">
        <v>859</v>
      </c>
      <c r="D1364" s="1331"/>
      <c r="E1364" s="1331" t="s">
        <v>2646</v>
      </c>
      <c r="F1364" s="1334">
        <v>3.0000000000000001E-3</v>
      </c>
      <c r="G1364" s="1152">
        <f>DUB!$I$85</f>
        <v>6250000</v>
      </c>
      <c r="H1364" s="1106">
        <f t="shared" ref="H1364:H1370" si="47">G1364*F1364</f>
        <v>18750</v>
      </c>
      <c r="J1364" s="1607" t="s">
        <v>5341</v>
      </c>
      <c r="K1364" s="1611">
        <v>1</v>
      </c>
      <c r="L1364" s="1607" t="s">
        <v>5341</v>
      </c>
      <c r="M1364" s="1610">
        <f>H1364*K1364</f>
        <v>18750</v>
      </c>
    </row>
    <row r="1365" spans="2:13">
      <c r="B1365" s="1182"/>
      <c r="C1365" s="1332" t="s">
        <v>864</v>
      </c>
      <c r="D1365" s="1331"/>
      <c r="E1365" s="1331" t="s">
        <v>773</v>
      </c>
      <c r="F1365" s="1334">
        <v>0.02</v>
      </c>
      <c r="G1365" s="1152">
        <f>DUB!$I$128</f>
        <v>20441.7</v>
      </c>
      <c r="H1365" s="1106">
        <f t="shared" si="47"/>
        <v>408.834</v>
      </c>
      <c r="J1365" s="1642" t="s">
        <v>4925</v>
      </c>
      <c r="K1365" s="1611">
        <v>0.31559999999999999</v>
      </c>
      <c r="L1365" s="1607" t="s">
        <v>5343</v>
      </c>
      <c r="M1365" s="1610">
        <f t="shared" ref="M1365:M1370" si="48">H1365*K1365</f>
        <v>129.0280104</v>
      </c>
    </row>
    <row r="1366" spans="2:13">
      <c r="B1366" s="1182"/>
      <c r="C1366" s="1332" t="s">
        <v>875</v>
      </c>
      <c r="D1366" s="1331"/>
      <c r="E1366" s="1331" t="s">
        <v>773</v>
      </c>
      <c r="F1366" s="1334">
        <v>3.6</v>
      </c>
      <c r="G1366" s="1152">
        <f>DUB!$I$101</f>
        <v>15300</v>
      </c>
      <c r="H1366" s="1106">
        <f t="shared" si="47"/>
        <v>55080</v>
      </c>
      <c r="J1366" s="1642" t="s">
        <v>4925</v>
      </c>
      <c r="K1366" s="1611">
        <v>0.51470000000000005</v>
      </c>
      <c r="L1366" s="1607" t="s">
        <v>5343</v>
      </c>
      <c r="M1366" s="1610">
        <f t="shared" si="48"/>
        <v>28349.676000000003</v>
      </c>
    </row>
    <row r="1367" spans="2:13">
      <c r="B1367" s="1182"/>
      <c r="C1367" s="1332" t="s">
        <v>835</v>
      </c>
      <c r="D1367" s="1331"/>
      <c r="E1367" s="1331" t="s">
        <v>773</v>
      </c>
      <c r="F1367" s="1334">
        <v>0.05</v>
      </c>
      <c r="G1367" s="1152">
        <f>DUB!$I$108</f>
        <v>29497.5</v>
      </c>
      <c r="H1367" s="1106">
        <f t="shared" si="47"/>
        <v>1474.875</v>
      </c>
      <c r="J1367" s="1642" t="s">
        <v>4925</v>
      </c>
      <c r="K1367" s="1611">
        <v>0.54969999999999997</v>
      </c>
      <c r="L1367" s="1607" t="s">
        <v>5343</v>
      </c>
      <c r="M1367" s="1610">
        <f t="shared" si="48"/>
        <v>810.73878749999994</v>
      </c>
    </row>
    <row r="1368" spans="2:13">
      <c r="B1368" s="1182"/>
      <c r="C1368" s="1332" t="s">
        <v>738</v>
      </c>
      <c r="D1368" s="1331"/>
      <c r="E1368" s="1331" t="s">
        <v>773</v>
      </c>
      <c r="F1368" s="1334">
        <v>5.5</v>
      </c>
      <c r="G1368" s="1152">
        <f>DUB!$I$65</f>
        <v>1575</v>
      </c>
      <c r="H1368" s="1106">
        <f t="shared" si="47"/>
        <v>8662.5</v>
      </c>
      <c r="J1368" s="1642" t="s">
        <v>4925</v>
      </c>
      <c r="K1368" s="1611">
        <v>0.91010000000000002</v>
      </c>
      <c r="L1368" s="1607" t="s">
        <v>5343</v>
      </c>
      <c r="M1368" s="1610">
        <f t="shared" si="48"/>
        <v>7883.74125</v>
      </c>
    </row>
    <row r="1369" spans="2:13">
      <c r="B1369" s="1182"/>
      <c r="C1369" s="1332" t="s">
        <v>831</v>
      </c>
      <c r="D1369" s="1331"/>
      <c r="E1369" s="1331" t="s">
        <v>2646</v>
      </c>
      <c r="F1369" s="1334">
        <v>8.9999999999999993E-3</v>
      </c>
      <c r="G1369" s="1152">
        <f>DUB!$I$59</f>
        <v>208463</v>
      </c>
      <c r="H1369" s="1106">
        <f t="shared" si="47"/>
        <v>1876.1669999999999</v>
      </c>
      <c r="J1369" s="1607" t="s">
        <v>5341</v>
      </c>
      <c r="K1369" s="1611">
        <v>1</v>
      </c>
      <c r="L1369" s="1607" t="s">
        <v>5341</v>
      </c>
      <c r="M1369" s="1610">
        <f t="shared" si="48"/>
        <v>1876.1669999999999</v>
      </c>
    </row>
    <row r="1370" spans="2:13">
      <c r="B1370" s="1182"/>
      <c r="C1370" s="1332" t="s">
        <v>833</v>
      </c>
      <c r="D1370" s="1331"/>
      <c r="E1370" s="1331" t="s">
        <v>2646</v>
      </c>
      <c r="F1370" s="1334">
        <v>1.4999999999999999E-2</v>
      </c>
      <c r="G1370" s="1152">
        <f>DUB!$I$57</f>
        <v>202500</v>
      </c>
      <c r="H1370" s="1106">
        <f t="shared" si="47"/>
        <v>3037.5</v>
      </c>
      <c r="J1370" s="1607" t="s">
        <v>5341</v>
      </c>
      <c r="K1370" s="1611">
        <v>1</v>
      </c>
      <c r="L1370" s="1607" t="s">
        <v>5341</v>
      </c>
      <c r="M1370" s="1610">
        <f t="shared" si="48"/>
        <v>3037.5</v>
      </c>
    </row>
    <row r="1371" spans="2:13">
      <c r="B1371" s="1182"/>
      <c r="C1371" s="1332"/>
      <c r="D1371" s="1331"/>
      <c r="E1371" s="1331"/>
      <c r="F1371" s="2080" t="s">
        <v>702</v>
      </c>
      <c r="G1371" s="2081"/>
      <c r="H1371" s="1106">
        <f>SUM(H1364:H1370)</f>
        <v>89289.876000000004</v>
      </c>
      <c r="J1371" s="1597"/>
      <c r="K1371" s="1597"/>
      <c r="L1371" s="1597"/>
      <c r="M1371" s="1203">
        <f>SUM(M1364:M1370)</f>
        <v>60836.851047900003</v>
      </c>
    </row>
    <row r="1372" spans="2:13" s="496" customFormat="1">
      <c r="B1372" s="1733" t="s">
        <v>703</v>
      </c>
      <c r="C1372" s="1189" t="s">
        <v>3764</v>
      </c>
      <c r="D1372" s="1190"/>
      <c r="E1372" s="1190"/>
      <c r="F1372" s="1191"/>
      <c r="G1372" s="1192"/>
      <c r="H1372" s="1107">
        <f>H1362+H1371</f>
        <v>158127.87599999999</v>
      </c>
      <c r="J1372" s="1600"/>
      <c r="K1372" s="1633">
        <f>M1372/H1372</f>
        <v>0.82006319396777339</v>
      </c>
      <c r="L1372" s="1600"/>
      <c r="M1372" s="1203">
        <f>M1362+M1371</f>
        <v>129674.85104790001</v>
      </c>
    </row>
    <row r="1373" spans="2:13" s="496" customFormat="1">
      <c r="B1373" s="1733" t="s">
        <v>706</v>
      </c>
      <c r="C1373" s="1193" t="s">
        <v>876</v>
      </c>
      <c r="D1373" s="1194"/>
      <c r="E1373" s="1194"/>
      <c r="F1373" s="1195" t="s">
        <v>3873</v>
      </c>
      <c r="G1373" s="1159"/>
      <c r="H1373" s="1107">
        <f>H1372*0.15</f>
        <v>23719.181399999998</v>
      </c>
      <c r="J1373" s="1600"/>
      <c r="K1373" s="1600"/>
      <c r="L1373" s="1600"/>
      <c r="M1373" s="1203">
        <f>M1372*0.15</f>
        <v>19451.227657185002</v>
      </c>
    </row>
    <row r="1374" spans="2:13" s="496" customFormat="1">
      <c r="B1374" s="1734" t="s">
        <v>708</v>
      </c>
      <c r="C1374" s="1868" t="s">
        <v>3765</v>
      </c>
      <c r="D1374" s="1869"/>
      <c r="E1374" s="1869"/>
      <c r="F1374" s="1870"/>
      <c r="G1374" s="1871"/>
      <c r="H1374" s="1857">
        <f>ROUND(SUM(H1372:H1373),2)</f>
        <v>181847.06</v>
      </c>
      <c r="I1374" s="1873">
        <f>SUM(H1372:H1373)</f>
        <v>181847.05739999999</v>
      </c>
      <c r="J1374" s="1602"/>
      <c r="K1374" s="1602"/>
      <c r="L1374" s="1600"/>
      <c r="M1374" s="1918">
        <f>ROUND(SUM(M1372:M1373),2)</f>
        <v>149126.07999999999</v>
      </c>
    </row>
    <row r="1375" spans="2:13" s="496" customFormat="1">
      <c r="B1375" s="1773"/>
      <c r="C1375" s="1777"/>
      <c r="D1375" s="1773"/>
      <c r="E1375" s="1773"/>
      <c r="F1375" s="1778"/>
      <c r="G1375" s="1779"/>
      <c r="H1375" s="1767"/>
      <c r="I1375" s="1775"/>
      <c r="J1375" s="1644"/>
      <c r="K1375" s="1644"/>
      <c r="L1375" s="1645"/>
      <c r="M1375" s="1776"/>
    </row>
    <row r="1376" spans="2:13" s="496" customFormat="1">
      <c r="B1376" s="1100" t="s">
        <v>5011</v>
      </c>
      <c r="C1376" s="1112" t="s">
        <v>5010</v>
      </c>
      <c r="D1376" s="1129"/>
      <c r="E1376" s="1129"/>
      <c r="F1376" s="1131"/>
      <c r="G1376" s="1132"/>
      <c r="H1376" s="1115"/>
      <c r="I1376" s="525"/>
      <c r="J1376" s="1561"/>
      <c r="K1376" s="1561"/>
      <c r="L1376" s="1559"/>
      <c r="M1376" s="1635"/>
    </row>
    <row r="1377" spans="2:15" s="496" customFormat="1" ht="24.9" customHeight="1">
      <c r="B1377" s="1727" t="s">
        <v>1003</v>
      </c>
      <c r="C1377" s="1728" t="s">
        <v>1004</v>
      </c>
      <c r="D1377" s="1728" t="s">
        <v>1005</v>
      </c>
      <c r="E1377" s="1728" t="s">
        <v>1006</v>
      </c>
      <c r="F1377" s="1729" t="s">
        <v>1007</v>
      </c>
      <c r="G1377" s="1866" t="s">
        <v>2637</v>
      </c>
      <c r="H1377" s="1867" t="s">
        <v>2638</v>
      </c>
      <c r="I1377" s="1775"/>
      <c r="J1377" s="1605" t="s">
        <v>5335</v>
      </c>
      <c r="K1377" s="1603" t="s">
        <v>5336</v>
      </c>
      <c r="L1377" s="1603" t="s">
        <v>5337</v>
      </c>
      <c r="M1377" s="1604" t="s">
        <v>5338</v>
      </c>
    </row>
    <row r="1378" spans="2:15" s="496" customFormat="1">
      <c r="B1378" s="1733" t="s">
        <v>671</v>
      </c>
      <c r="C1378" s="1329" t="s">
        <v>672</v>
      </c>
      <c r="D1378" s="1331"/>
      <c r="E1378" s="1331"/>
      <c r="F1378" s="1334"/>
      <c r="G1378" s="1104"/>
      <c r="H1378" s="1106"/>
      <c r="I1378" s="525"/>
      <c r="J1378" s="1597"/>
      <c r="K1378" s="1597"/>
      <c r="L1378" s="1597"/>
      <c r="M1378" s="1563"/>
    </row>
    <row r="1379" spans="2:15" s="496" customFormat="1">
      <c r="B1379" s="1182"/>
      <c r="C1379" s="1332" t="s">
        <v>673</v>
      </c>
      <c r="D1379" s="1331" t="s">
        <v>674</v>
      </c>
      <c r="E1379" s="1331" t="s">
        <v>675</v>
      </c>
      <c r="F1379" s="1334">
        <v>0.29699999999999999</v>
      </c>
      <c r="G1379" s="1104">
        <f>DUB!$I$10</f>
        <v>150000</v>
      </c>
      <c r="H1379" s="1106">
        <f t="shared" ref="H1379:H1384" si="49">G1379*F1379</f>
        <v>44550</v>
      </c>
      <c r="I1379" s="525"/>
      <c r="J1379" s="1609" t="s">
        <v>5339</v>
      </c>
      <c r="K1379" s="1611">
        <v>1</v>
      </c>
      <c r="L1379" s="1608" t="s">
        <v>5340</v>
      </c>
      <c r="M1379" s="1610">
        <f>H1379*K1379</f>
        <v>44550</v>
      </c>
    </row>
    <row r="1380" spans="2:15" s="496" customFormat="1">
      <c r="B1380" s="1182"/>
      <c r="C1380" s="1332" t="s">
        <v>731</v>
      </c>
      <c r="D1380" s="1331" t="s">
        <v>678</v>
      </c>
      <c r="E1380" s="1331" t="s">
        <v>675</v>
      </c>
      <c r="F1380" s="1334">
        <v>3.3000000000000002E-2</v>
      </c>
      <c r="G1380" s="1104">
        <f>DUB!$I$11</f>
        <v>187000</v>
      </c>
      <c r="H1380" s="1106">
        <f t="shared" si="49"/>
        <v>6171</v>
      </c>
      <c r="I1380" s="525"/>
      <c r="J1380" s="1609" t="s">
        <v>5339</v>
      </c>
      <c r="K1380" s="1611">
        <v>1</v>
      </c>
      <c r="L1380" s="1608" t="s">
        <v>5340</v>
      </c>
      <c r="M1380" s="1610">
        <f t="shared" ref="M1380" si="50">H1380*K1380</f>
        <v>6171</v>
      </c>
    </row>
    <row r="1381" spans="2:15" s="496" customFormat="1">
      <c r="B1381" s="1182"/>
      <c r="C1381" s="1332" t="s">
        <v>871</v>
      </c>
      <c r="D1381" s="1331" t="s">
        <v>678</v>
      </c>
      <c r="E1381" s="1331" t="s">
        <v>675</v>
      </c>
      <c r="F1381" s="1334">
        <v>3.3000000000000002E-2</v>
      </c>
      <c r="G1381" s="1104">
        <f>DUB!$I$11</f>
        <v>187000</v>
      </c>
      <c r="H1381" s="1106">
        <f t="shared" si="49"/>
        <v>6171</v>
      </c>
      <c r="I1381" s="525"/>
      <c r="J1381" s="1609" t="s">
        <v>5339</v>
      </c>
      <c r="K1381" s="1611">
        <v>1</v>
      </c>
      <c r="L1381" s="1608" t="s">
        <v>5340</v>
      </c>
      <c r="M1381" s="1610">
        <f>H1381*K1381</f>
        <v>6171</v>
      </c>
      <c r="N1381" s="764"/>
    </row>
    <row r="1382" spans="2:15" s="496" customFormat="1">
      <c r="B1382" s="1182"/>
      <c r="C1382" s="1332" t="s">
        <v>872</v>
      </c>
      <c r="D1382" s="1331" t="s">
        <v>678</v>
      </c>
      <c r="E1382" s="1331" t="s">
        <v>675</v>
      </c>
      <c r="F1382" s="1334">
        <v>3.3000000000000002E-2</v>
      </c>
      <c r="G1382" s="1104">
        <f>DUB!$I$11</f>
        <v>187000</v>
      </c>
      <c r="H1382" s="1106">
        <f t="shared" si="49"/>
        <v>6171</v>
      </c>
      <c r="I1382" s="525"/>
      <c r="J1382" s="1609" t="s">
        <v>5339</v>
      </c>
      <c r="K1382" s="1611">
        <v>1</v>
      </c>
      <c r="L1382" s="1608" t="s">
        <v>5340</v>
      </c>
      <c r="M1382" s="1610">
        <f t="shared" ref="M1382" si="51">H1382*K1382</f>
        <v>6171</v>
      </c>
    </row>
    <row r="1383" spans="2:15" s="496" customFormat="1">
      <c r="B1383" s="1182"/>
      <c r="C1383" s="1332" t="s">
        <v>751</v>
      </c>
      <c r="D1383" s="1331" t="s">
        <v>681</v>
      </c>
      <c r="E1383" s="1331" t="s">
        <v>675</v>
      </c>
      <c r="F1383" s="1334">
        <v>0.01</v>
      </c>
      <c r="G1383" s="1104">
        <f>DUB!$I$13</f>
        <v>240000</v>
      </c>
      <c r="H1383" s="1106">
        <f t="shared" si="49"/>
        <v>2400</v>
      </c>
      <c r="I1383" s="525"/>
      <c r="J1383" s="1609" t="s">
        <v>5339</v>
      </c>
      <c r="K1383" s="1611">
        <v>1</v>
      </c>
      <c r="L1383" s="1608" t="s">
        <v>5340</v>
      </c>
      <c r="M1383" s="1610">
        <f>H1383*K1383</f>
        <v>2400</v>
      </c>
    </row>
    <row r="1384" spans="2:15" s="496" customFormat="1">
      <c r="B1384" s="1182"/>
      <c r="C1384" s="1332" t="s">
        <v>683</v>
      </c>
      <c r="D1384" s="1331" t="s">
        <v>684</v>
      </c>
      <c r="E1384" s="1331" t="s">
        <v>675</v>
      </c>
      <c r="F1384" s="1334">
        <v>1.4999999999999999E-2</v>
      </c>
      <c r="G1384" s="1104">
        <f>DUB!$I$12</f>
        <v>225000</v>
      </c>
      <c r="H1384" s="1106">
        <f t="shared" si="49"/>
        <v>3375</v>
      </c>
      <c r="I1384" s="525"/>
      <c r="J1384" s="1609" t="s">
        <v>5339</v>
      </c>
      <c r="K1384" s="1611">
        <v>1</v>
      </c>
      <c r="L1384" s="1608" t="s">
        <v>5340</v>
      </c>
      <c r="M1384" s="1610">
        <f t="shared" ref="M1384" si="52">H1384*K1384</f>
        <v>3375</v>
      </c>
    </row>
    <row r="1385" spans="2:15" s="496" customFormat="1">
      <c r="B1385" s="1182"/>
      <c r="C1385" s="1332"/>
      <c r="D1385" s="1331"/>
      <c r="E1385" s="1331"/>
      <c r="F1385" s="2079" t="s">
        <v>685</v>
      </c>
      <c r="G1385" s="2079"/>
      <c r="H1385" s="1106">
        <f>SUM(H1379:H1384)</f>
        <v>68838</v>
      </c>
      <c r="I1385" s="525"/>
      <c r="J1385" s="1597"/>
      <c r="K1385" s="1597"/>
      <c r="L1385" s="1597"/>
      <c r="M1385" s="1203">
        <f>SUM(M1379:M1384)</f>
        <v>68838</v>
      </c>
      <c r="O1385" s="517"/>
    </row>
    <row r="1386" spans="2:15" s="496" customFormat="1">
      <c r="B1386" s="1733" t="s">
        <v>686</v>
      </c>
      <c r="C1386" s="1329" t="s">
        <v>687</v>
      </c>
      <c r="D1386" s="1331"/>
      <c r="E1386" s="1331"/>
      <c r="F1386" s="1334"/>
      <c r="G1386" s="1104"/>
      <c r="H1386" s="1106"/>
      <c r="I1386" s="525"/>
      <c r="J1386" s="1597"/>
      <c r="K1386" s="1597"/>
      <c r="L1386" s="1597"/>
      <c r="M1386" s="1563"/>
    </row>
    <row r="1387" spans="2:15" s="496" customFormat="1">
      <c r="B1387" s="1182"/>
      <c r="C1387" s="1332" t="s">
        <v>859</v>
      </c>
      <c r="D1387" s="1331"/>
      <c r="E1387" s="1331" t="s">
        <v>2646</v>
      </c>
      <c r="F1387" s="1334">
        <v>3.0000000000000001E-3</v>
      </c>
      <c r="G1387" s="1152">
        <f>DUB!$I$85</f>
        <v>6250000</v>
      </c>
      <c r="H1387" s="1106">
        <f t="shared" ref="H1387:H1393" si="53">G1387*F1387</f>
        <v>18750</v>
      </c>
      <c r="I1387" s="525"/>
      <c r="J1387" s="1607" t="s">
        <v>5341</v>
      </c>
      <c r="K1387" s="1611">
        <v>1</v>
      </c>
      <c r="L1387" s="1607" t="s">
        <v>5341</v>
      </c>
      <c r="M1387" s="1610">
        <f>H1387*K1387</f>
        <v>18750</v>
      </c>
    </row>
    <row r="1388" spans="2:15" s="496" customFormat="1">
      <c r="B1388" s="1182"/>
      <c r="C1388" s="1332" t="s">
        <v>864</v>
      </c>
      <c r="D1388" s="1331"/>
      <c r="E1388" s="1331" t="s">
        <v>773</v>
      </c>
      <c r="F1388" s="1334">
        <v>0.02</v>
      </c>
      <c r="G1388" s="1152">
        <f>DUB!$I$128</f>
        <v>20441.7</v>
      </c>
      <c r="H1388" s="1106">
        <f t="shared" si="53"/>
        <v>408.834</v>
      </c>
      <c r="I1388" s="525"/>
      <c r="J1388" s="1642" t="s">
        <v>4925</v>
      </c>
      <c r="K1388" s="1611">
        <v>0.31559999999999999</v>
      </c>
      <c r="L1388" s="1607" t="s">
        <v>5343</v>
      </c>
      <c r="M1388" s="1610">
        <f t="shared" ref="M1388:M1393" si="54">H1388*K1388</f>
        <v>129.0280104</v>
      </c>
    </row>
    <row r="1389" spans="2:15" s="496" customFormat="1">
      <c r="B1389" s="1182"/>
      <c r="C1389" s="1332" t="s">
        <v>875</v>
      </c>
      <c r="D1389" s="1331"/>
      <c r="E1389" s="1331" t="s">
        <v>773</v>
      </c>
      <c r="F1389" s="1334">
        <v>3.6</v>
      </c>
      <c r="G1389" s="1152">
        <f>DUB!$I$101</f>
        <v>15300</v>
      </c>
      <c r="H1389" s="1106">
        <f t="shared" si="53"/>
        <v>55080</v>
      </c>
      <c r="I1389" s="525"/>
      <c r="J1389" s="1642" t="s">
        <v>4925</v>
      </c>
      <c r="K1389" s="1611">
        <v>0.51470000000000005</v>
      </c>
      <c r="L1389" s="1607" t="s">
        <v>5343</v>
      </c>
      <c r="M1389" s="1610">
        <f t="shared" si="54"/>
        <v>28349.676000000003</v>
      </c>
    </row>
    <row r="1390" spans="2:15" s="496" customFormat="1">
      <c r="B1390" s="1182"/>
      <c r="C1390" s="1332" t="s">
        <v>835</v>
      </c>
      <c r="D1390" s="1331"/>
      <c r="E1390" s="1331" t="s">
        <v>773</v>
      </c>
      <c r="F1390" s="1334">
        <v>0.05</v>
      </c>
      <c r="G1390" s="1152">
        <f>DUB!$I$108</f>
        <v>29497.5</v>
      </c>
      <c r="H1390" s="1106">
        <f t="shared" si="53"/>
        <v>1474.875</v>
      </c>
      <c r="I1390" s="525"/>
      <c r="J1390" s="1642" t="s">
        <v>4925</v>
      </c>
      <c r="K1390" s="1611">
        <v>0.54969999999999997</v>
      </c>
      <c r="L1390" s="1607" t="s">
        <v>5343</v>
      </c>
      <c r="M1390" s="1610">
        <f t="shared" si="54"/>
        <v>810.73878749999994</v>
      </c>
    </row>
    <row r="1391" spans="2:15" s="496" customFormat="1">
      <c r="B1391" s="1182"/>
      <c r="C1391" s="1332" t="s">
        <v>738</v>
      </c>
      <c r="D1391" s="1331"/>
      <c r="E1391" s="1331" t="s">
        <v>773</v>
      </c>
      <c r="F1391" s="1334">
        <v>5.5</v>
      </c>
      <c r="G1391" s="1152">
        <f>DUB!$I$65</f>
        <v>1575</v>
      </c>
      <c r="H1391" s="1106">
        <f t="shared" si="53"/>
        <v>8662.5</v>
      </c>
      <c r="I1391" s="525"/>
      <c r="J1391" s="1642" t="s">
        <v>4925</v>
      </c>
      <c r="K1391" s="1611">
        <v>0.91010000000000002</v>
      </c>
      <c r="L1391" s="1607" t="s">
        <v>5343</v>
      </c>
      <c r="M1391" s="1610">
        <f t="shared" si="54"/>
        <v>7883.74125</v>
      </c>
    </row>
    <row r="1392" spans="2:15" s="496" customFormat="1">
      <c r="B1392" s="1182"/>
      <c r="C1392" s="1332" t="s">
        <v>831</v>
      </c>
      <c r="D1392" s="1331"/>
      <c r="E1392" s="1331" t="s">
        <v>2646</v>
      </c>
      <c r="F1392" s="1334">
        <v>8.9999999999999993E-3</v>
      </c>
      <c r="G1392" s="1152">
        <f>DUB!$I$59</f>
        <v>208463</v>
      </c>
      <c r="H1392" s="1106">
        <f t="shared" si="53"/>
        <v>1876.1669999999999</v>
      </c>
      <c r="I1392" s="525"/>
      <c r="J1392" s="1607" t="s">
        <v>5341</v>
      </c>
      <c r="K1392" s="1611">
        <v>1</v>
      </c>
      <c r="L1392" s="1607" t="s">
        <v>5341</v>
      </c>
      <c r="M1392" s="1610">
        <f t="shared" si="54"/>
        <v>1876.1669999999999</v>
      </c>
    </row>
    <row r="1393" spans="2:13" s="496" customFormat="1">
      <c r="B1393" s="1182"/>
      <c r="C1393" s="1332" t="s">
        <v>833</v>
      </c>
      <c r="D1393" s="1331"/>
      <c r="E1393" s="1331" t="s">
        <v>2646</v>
      </c>
      <c r="F1393" s="1334">
        <v>1.4999999999999999E-2</v>
      </c>
      <c r="G1393" s="1152">
        <f>DUB!$I$57</f>
        <v>202500</v>
      </c>
      <c r="H1393" s="1106">
        <f t="shared" si="53"/>
        <v>3037.5</v>
      </c>
      <c r="I1393" s="525"/>
      <c r="J1393" s="1607" t="s">
        <v>5341</v>
      </c>
      <c r="K1393" s="1611">
        <v>1</v>
      </c>
      <c r="L1393" s="1607" t="s">
        <v>5341</v>
      </c>
      <c r="M1393" s="1610">
        <f t="shared" si="54"/>
        <v>3037.5</v>
      </c>
    </row>
    <row r="1394" spans="2:13" s="496" customFormat="1">
      <c r="B1394" s="1182"/>
      <c r="C1394" s="1332"/>
      <c r="D1394" s="1331"/>
      <c r="E1394" s="1331"/>
      <c r="F1394" s="2080" t="s">
        <v>702</v>
      </c>
      <c r="G1394" s="2081"/>
      <c r="H1394" s="1106">
        <f>SUM(H1387:H1393)</f>
        <v>89289.876000000004</v>
      </c>
      <c r="I1394" s="525"/>
      <c r="J1394" s="1597"/>
      <c r="K1394" s="1597"/>
      <c r="L1394" s="1597"/>
      <c r="M1394" s="1203">
        <f>SUM(M1387:M1393)</f>
        <v>60836.851047900003</v>
      </c>
    </row>
    <row r="1395" spans="2:13" s="496" customFormat="1">
      <c r="B1395" s="1733" t="s">
        <v>703</v>
      </c>
      <c r="C1395" s="1189" t="s">
        <v>3764</v>
      </c>
      <c r="D1395" s="1190"/>
      <c r="E1395" s="1190"/>
      <c r="F1395" s="1191"/>
      <c r="G1395" s="1192"/>
      <c r="H1395" s="1107">
        <f>H1385+H1394</f>
        <v>158127.87599999999</v>
      </c>
      <c r="I1395" s="525"/>
      <c r="J1395" s="1600"/>
      <c r="K1395" s="1633">
        <f>M1395/H1395</f>
        <v>0.82006319396777339</v>
      </c>
      <c r="L1395" s="1600"/>
      <c r="M1395" s="1203">
        <f>M1385+M1394</f>
        <v>129674.85104790001</v>
      </c>
    </row>
    <row r="1396" spans="2:13" s="496" customFormat="1">
      <c r="B1396" s="1733" t="s">
        <v>706</v>
      </c>
      <c r="C1396" s="1193" t="s">
        <v>876</v>
      </c>
      <c r="D1396" s="1194"/>
      <c r="E1396" s="1194"/>
      <c r="F1396" s="1195" t="s">
        <v>3873</v>
      </c>
      <c r="G1396" s="1159"/>
      <c r="H1396" s="1107">
        <f>H1395*0.15</f>
        <v>23719.181399999998</v>
      </c>
      <c r="I1396" s="525"/>
      <c r="J1396" s="1600"/>
      <c r="K1396" s="1600"/>
      <c r="L1396" s="1600"/>
      <c r="M1396" s="1203">
        <f>M1395*0.15</f>
        <v>19451.227657185002</v>
      </c>
    </row>
    <row r="1397" spans="2:13" s="496" customFormat="1">
      <c r="B1397" s="1734" t="s">
        <v>708</v>
      </c>
      <c r="C1397" s="1868" t="s">
        <v>3765</v>
      </c>
      <c r="D1397" s="1869"/>
      <c r="E1397" s="1869"/>
      <c r="F1397" s="1870"/>
      <c r="G1397" s="1871"/>
      <c r="H1397" s="1857">
        <f>ROUND(SUM(H1395:H1396),2)</f>
        <v>181847.06</v>
      </c>
      <c r="I1397" s="1872"/>
      <c r="J1397" s="1602"/>
      <c r="K1397" s="1602"/>
      <c r="L1397" s="1600"/>
      <c r="M1397" s="1918">
        <f>ROUND(SUM(M1395:M1396),2)</f>
        <v>149126.07999999999</v>
      </c>
    </row>
    <row r="1398" spans="2:13" s="496" customFormat="1" hidden="1">
      <c r="B1398" s="1622"/>
      <c r="C1398" s="1199"/>
      <c r="D1398" s="1111"/>
      <c r="E1398" s="1111"/>
      <c r="F1398" s="1113"/>
      <c r="G1398" s="1114"/>
      <c r="H1398" s="1176"/>
      <c r="I1398" s="525"/>
      <c r="J1398" s="1561"/>
      <c r="K1398" s="1561"/>
      <c r="L1398" s="1559"/>
      <c r="M1398" s="1614"/>
    </row>
    <row r="1399" spans="2:13" hidden="1">
      <c r="B1399" s="1624"/>
      <c r="F1399" s="1172"/>
      <c r="G1399" s="1173"/>
      <c r="H1399" s="1133"/>
      <c r="M1399" s="1619"/>
    </row>
    <row r="1400" spans="2:13" hidden="1">
      <c r="B1400" s="1615" t="s">
        <v>2840</v>
      </c>
      <c r="C1400" s="1232" t="s">
        <v>2841</v>
      </c>
      <c r="F1400" s="1172"/>
      <c r="G1400" s="1173"/>
      <c r="H1400" s="1133"/>
      <c r="M1400" s="1619"/>
    </row>
    <row r="1401" spans="2:13" hidden="1">
      <c r="B1401" s="1615" t="s">
        <v>3933</v>
      </c>
      <c r="C1401" s="1232" t="s">
        <v>2842</v>
      </c>
      <c r="F1401" s="1172"/>
      <c r="G1401" s="1173"/>
      <c r="H1401" s="1133"/>
      <c r="M1401" s="1619"/>
    </row>
    <row r="1402" spans="2:13" s="507" customFormat="1" ht="24.9" hidden="1" customHeight="1">
      <c r="B1402" s="1648" t="s">
        <v>1003</v>
      </c>
      <c r="C1402" s="1101" t="s">
        <v>1004</v>
      </c>
      <c r="D1402" s="1101" t="s">
        <v>1005</v>
      </c>
      <c r="E1402" s="1101" t="s">
        <v>1006</v>
      </c>
      <c r="F1402" s="1102" t="s">
        <v>1007</v>
      </c>
      <c r="G1402" s="1109" t="s">
        <v>2637</v>
      </c>
      <c r="H1402" s="1110" t="s">
        <v>2638</v>
      </c>
      <c r="J1402" s="1625"/>
      <c r="K1402" s="1625"/>
      <c r="L1402" s="1625"/>
      <c r="M1402" s="1626"/>
    </row>
    <row r="1403" spans="2:13" hidden="1">
      <c r="B1403" s="1649" t="s">
        <v>671</v>
      </c>
      <c r="C1403" s="1200" t="s">
        <v>672</v>
      </c>
      <c r="D1403" s="1331"/>
      <c r="E1403" s="1331"/>
      <c r="F1403" s="1334"/>
      <c r="G1403" s="1104"/>
      <c r="H1403" s="1106"/>
      <c r="M1403" s="1619"/>
    </row>
    <row r="1404" spans="2:13" hidden="1">
      <c r="B1404" s="1650"/>
      <c r="C1404" s="1142" t="s">
        <v>673</v>
      </c>
      <c r="D1404" s="1331" t="s">
        <v>674</v>
      </c>
      <c r="E1404" s="1331" t="s">
        <v>675</v>
      </c>
      <c r="F1404" s="1334">
        <v>0.13200000000000001</v>
      </c>
      <c r="G1404" s="1104">
        <f>DUB!$I$10</f>
        <v>150000</v>
      </c>
      <c r="H1404" s="1106">
        <f>G1404*F1404</f>
        <v>19800</v>
      </c>
      <c r="M1404" s="1619"/>
    </row>
    <row r="1405" spans="2:13" hidden="1">
      <c r="B1405" s="1650"/>
      <c r="C1405" s="1142" t="s">
        <v>731</v>
      </c>
      <c r="D1405" s="1331" t="s">
        <v>678</v>
      </c>
      <c r="E1405" s="1331" t="s">
        <v>675</v>
      </c>
      <c r="F1405" s="1334">
        <v>2.1999999999999999E-2</v>
      </c>
      <c r="G1405" s="1104">
        <f>DUB!$I$11</f>
        <v>187000</v>
      </c>
      <c r="H1405" s="1106">
        <f>G1405*F1405</f>
        <v>4114</v>
      </c>
      <c r="M1405" s="1619"/>
    </row>
    <row r="1406" spans="2:13" hidden="1">
      <c r="B1406" s="1650"/>
      <c r="C1406" s="1142" t="s">
        <v>751</v>
      </c>
      <c r="D1406" s="1331" t="s">
        <v>681</v>
      </c>
      <c r="E1406" s="1331" t="s">
        <v>675</v>
      </c>
      <c r="F1406" s="1334">
        <v>2E-3</v>
      </c>
      <c r="G1406" s="1104">
        <f>DUB!$I$13</f>
        <v>240000</v>
      </c>
      <c r="H1406" s="1106">
        <f>G1406*F1406</f>
        <v>480</v>
      </c>
      <c r="M1406" s="1619"/>
    </row>
    <row r="1407" spans="2:13" hidden="1">
      <c r="B1407" s="1650"/>
      <c r="C1407" s="1142" t="s">
        <v>683</v>
      </c>
      <c r="D1407" s="1331" t="s">
        <v>684</v>
      </c>
      <c r="E1407" s="1331" t="s">
        <v>675</v>
      </c>
      <c r="F1407" s="1334">
        <v>7.0000000000000001E-3</v>
      </c>
      <c r="G1407" s="1104">
        <f>DUB!$I$12</f>
        <v>225000</v>
      </c>
      <c r="H1407" s="1106">
        <f>G1407*F1407</f>
        <v>1575</v>
      </c>
      <c r="M1407" s="1619"/>
    </row>
    <row r="1408" spans="2:13" hidden="1">
      <c r="B1408" s="1650"/>
      <c r="C1408" s="1142"/>
      <c r="D1408" s="1331"/>
      <c r="E1408" s="1331"/>
      <c r="F1408" s="2080" t="s">
        <v>685</v>
      </c>
      <c r="G1408" s="2081"/>
      <c r="H1408" s="1106">
        <f>SUM(H1404:H1407)</f>
        <v>25969</v>
      </c>
      <c r="M1408" s="1619"/>
    </row>
    <row r="1409" spans="2:13" hidden="1">
      <c r="B1409" s="1649" t="s">
        <v>686</v>
      </c>
      <c r="C1409" s="1200" t="s">
        <v>687</v>
      </c>
      <c r="D1409" s="1331"/>
      <c r="E1409" s="1331"/>
      <c r="F1409" s="1334"/>
      <c r="G1409" s="1104"/>
      <c r="H1409" s="1106"/>
      <c r="M1409" s="1619"/>
    </row>
    <row r="1410" spans="2:13" hidden="1">
      <c r="B1410" s="1650"/>
      <c r="C1410" s="1142" t="s">
        <v>790</v>
      </c>
      <c r="D1410" s="1331"/>
      <c r="E1410" s="1331" t="s">
        <v>690</v>
      </c>
      <c r="F1410" s="1334">
        <v>26.08</v>
      </c>
      <c r="G1410" s="1152">
        <f>DUB!$I$65</f>
        <v>1575</v>
      </c>
      <c r="H1410" s="1106">
        <f>G1410*F1410</f>
        <v>41076</v>
      </c>
      <c r="M1410" s="1619"/>
    </row>
    <row r="1411" spans="2:13" hidden="1">
      <c r="B1411" s="1650"/>
      <c r="C1411" s="1142" t="s">
        <v>691</v>
      </c>
      <c r="D1411" s="1331"/>
      <c r="E1411" s="1331" t="s">
        <v>690</v>
      </c>
      <c r="F1411" s="1334">
        <v>60.8</v>
      </c>
      <c r="G1411" s="1152">
        <f>DUB!$I$60</f>
        <v>208.46299999999999</v>
      </c>
      <c r="H1411" s="1106">
        <f>G1411*F1411</f>
        <v>12674.550399999998</v>
      </c>
      <c r="M1411" s="1619"/>
    </row>
    <row r="1412" spans="2:13" hidden="1">
      <c r="B1412" s="1650"/>
      <c r="C1412" s="1142" t="s">
        <v>2923</v>
      </c>
      <c r="D1412" s="1331"/>
      <c r="E1412" s="1331" t="s">
        <v>690</v>
      </c>
      <c r="F1412" s="1334">
        <v>82.32</v>
      </c>
      <c r="G1412" s="1152">
        <f>DUB!$I$44</f>
        <v>271</v>
      </c>
      <c r="H1412" s="1106">
        <f>G1412*F1412</f>
        <v>22308.719999999998</v>
      </c>
      <c r="M1412" s="1619"/>
    </row>
    <row r="1413" spans="2:13" hidden="1">
      <c r="B1413" s="1650"/>
      <c r="C1413" s="1142" t="s">
        <v>842</v>
      </c>
      <c r="D1413" s="1331"/>
      <c r="E1413" s="1331" t="s">
        <v>896</v>
      </c>
      <c r="F1413" s="1334">
        <v>17.2</v>
      </c>
      <c r="G1413" s="1104">
        <f>DUB!$I$33</f>
        <v>44</v>
      </c>
      <c r="H1413" s="1106">
        <f>G1413*F1413</f>
        <v>756.8</v>
      </c>
      <c r="M1413" s="1619"/>
    </row>
    <row r="1414" spans="2:13" hidden="1">
      <c r="B1414" s="1650"/>
      <c r="C1414" s="1142"/>
      <c r="D1414" s="1331"/>
      <c r="E1414" s="1331"/>
      <c r="F1414" s="2080" t="s">
        <v>702</v>
      </c>
      <c r="G1414" s="2081"/>
      <c r="H1414" s="1106">
        <f>SUM(H1410:H1413)</f>
        <v>76816.070399999997</v>
      </c>
      <c r="M1414" s="1619"/>
    </row>
    <row r="1415" spans="2:13" s="496" customFormat="1" hidden="1">
      <c r="B1415" s="1649" t="s">
        <v>703</v>
      </c>
      <c r="C1415" s="1189" t="s">
        <v>3764</v>
      </c>
      <c r="D1415" s="1190"/>
      <c r="E1415" s="1330"/>
      <c r="F1415" s="1195"/>
      <c r="G1415" s="1159"/>
      <c r="H1415" s="1107">
        <f>H1408+H1414</f>
        <v>102785.0704</v>
      </c>
      <c r="J1415" s="1559"/>
      <c r="K1415" s="1559"/>
      <c r="L1415" s="1559"/>
      <c r="M1415" s="1614"/>
    </row>
    <row r="1416" spans="2:13" s="496" customFormat="1" hidden="1">
      <c r="B1416" s="1649" t="s">
        <v>706</v>
      </c>
      <c r="C1416" s="1193" t="s">
        <v>876</v>
      </c>
      <c r="D1416" s="1194"/>
      <c r="E1416" s="1194"/>
      <c r="F1416" s="1195" t="s">
        <v>3873</v>
      </c>
      <c r="G1416" s="1159"/>
      <c r="H1416" s="1107">
        <f>H1415*0.15</f>
        <v>15417.760559999999</v>
      </c>
      <c r="J1416" s="1559"/>
      <c r="K1416" s="1559"/>
      <c r="L1416" s="1559"/>
      <c r="M1416" s="1614"/>
    </row>
    <row r="1417" spans="2:13" s="496" customFormat="1" hidden="1">
      <c r="B1417" s="1649" t="s">
        <v>708</v>
      </c>
      <c r="C1417" s="1196" t="s">
        <v>3765</v>
      </c>
      <c r="D1417" s="1541"/>
      <c r="E1417" s="1541"/>
      <c r="F1417" s="1197"/>
      <c r="G1417" s="1198"/>
      <c r="H1417" s="1107">
        <f>ROUND(SUM(H1415:H1416),2)</f>
        <v>118202.83</v>
      </c>
      <c r="I1417" s="506">
        <f>SUM(H1415:H1416)</f>
        <v>118202.83095999999</v>
      </c>
      <c r="J1417" s="1561"/>
      <c r="K1417" s="1561"/>
      <c r="L1417" s="1559"/>
      <c r="M1417" s="1614"/>
    </row>
    <row r="1418" spans="2:13" hidden="1">
      <c r="B1418" s="1624"/>
      <c r="F1418" s="1172"/>
      <c r="G1418" s="1173"/>
      <c r="H1418" s="1133"/>
      <c r="M1418" s="1619"/>
    </row>
    <row r="1419" spans="2:13" hidden="1">
      <c r="B1419" s="1615" t="s">
        <v>3934</v>
      </c>
      <c r="C1419" s="1232" t="s">
        <v>2843</v>
      </c>
      <c r="F1419" s="1172"/>
      <c r="G1419" s="1173"/>
      <c r="H1419" s="1133"/>
      <c r="M1419" s="1619"/>
    </row>
    <row r="1420" spans="2:13" s="507" customFormat="1" ht="24.9" hidden="1" customHeight="1">
      <c r="B1420" s="1648" t="s">
        <v>1003</v>
      </c>
      <c r="C1420" s="1101" t="s">
        <v>1004</v>
      </c>
      <c r="D1420" s="1101" t="s">
        <v>1005</v>
      </c>
      <c r="E1420" s="1101" t="s">
        <v>1006</v>
      </c>
      <c r="F1420" s="1102" t="s">
        <v>1007</v>
      </c>
      <c r="G1420" s="1109" t="s">
        <v>2637</v>
      </c>
      <c r="H1420" s="1110" t="s">
        <v>2638</v>
      </c>
      <c r="J1420" s="1625"/>
      <c r="K1420" s="1625"/>
      <c r="L1420" s="1625"/>
      <c r="M1420" s="1626"/>
    </row>
    <row r="1421" spans="2:13" hidden="1">
      <c r="B1421" s="1649" t="s">
        <v>671</v>
      </c>
      <c r="C1421" s="1329" t="s">
        <v>672</v>
      </c>
      <c r="D1421" s="1331"/>
      <c r="E1421" s="1331"/>
      <c r="F1421" s="1334"/>
      <c r="G1421" s="1104"/>
      <c r="H1421" s="1106"/>
      <c r="M1421" s="1619"/>
    </row>
    <row r="1422" spans="2:13" hidden="1">
      <c r="B1422" s="1650"/>
      <c r="C1422" s="1332" t="s">
        <v>673</v>
      </c>
      <c r="D1422" s="1331" t="s">
        <v>674</v>
      </c>
      <c r="E1422" s="1331" t="s">
        <v>675</v>
      </c>
      <c r="F1422" s="1334">
        <v>0.16500000000000001</v>
      </c>
      <c r="G1422" s="1104">
        <f>DUB!$I$10</f>
        <v>150000</v>
      </c>
      <c r="H1422" s="1106">
        <f>G1422*F1422</f>
        <v>24750</v>
      </c>
      <c r="M1422" s="1619"/>
    </row>
    <row r="1423" spans="2:13" hidden="1">
      <c r="B1423" s="1650"/>
      <c r="C1423" s="1332" t="s">
        <v>731</v>
      </c>
      <c r="D1423" s="1331" t="s">
        <v>678</v>
      </c>
      <c r="E1423" s="1331" t="s">
        <v>675</v>
      </c>
      <c r="F1423" s="1334">
        <v>2.8000000000000001E-2</v>
      </c>
      <c r="G1423" s="1104">
        <f>DUB!$I$11</f>
        <v>187000</v>
      </c>
      <c r="H1423" s="1106">
        <f>G1423*F1423</f>
        <v>5236</v>
      </c>
      <c r="M1423" s="1619"/>
    </row>
    <row r="1424" spans="2:13" hidden="1">
      <c r="B1424" s="1650"/>
      <c r="C1424" s="1332" t="s">
        <v>751</v>
      </c>
      <c r="D1424" s="1331" t="s">
        <v>681</v>
      </c>
      <c r="E1424" s="1331" t="s">
        <v>675</v>
      </c>
      <c r="F1424" s="1334">
        <v>3.0000000000000001E-3</v>
      </c>
      <c r="G1424" s="1104">
        <f>DUB!$I$13</f>
        <v>240000</v>
      </c>
      <c r="H1424" s="1106">
        <f>G1424*F1424</f>
        <v>720</v>
      </c>
      <c r="M1424" s="1619"/>
    </row>
    <row r="1425" spans="2:13" hidden="1">
      <c r="B1425" s="1650"/>
      <c r="C1425" s="1332" t="s">
        <v>683</v>
      </c>
      <c r="D1425" s="1331" t="s">
        <v>684</v>
      </c>
      <c r="E1425" s="1331" t="s">
        <v>675</v>
      </c>
      <c r="F1425" s="1334">
        <v>8.0000000000000002E-3</v>
      </c>
      <c r="G1425" s="1104">
        <f>DUB!$I$12</f>
        <v>225000</v>
      </c>
      <c r="H1425" s="1106">
        <f>G1425*F1425</f>
        <v>1800</v>
      </c>
      <c r="M1425" s="1619"/>
    </row>
    <row r="1426" spans="2:13" hidden="1">
      <c r="B1426" s="1650"/>
      <c r="C1426" s="1332"/>
      <c r="D1426" s="1331"/>
      <c r="E1426" s="1331"/>
      <c r="F1426" s="2074" t="s">
        <v>685</v>
      </c>
      <c r="G1426" s="2074"/>
      <c r="H1426" s="1106">
        <f>SUM(H1422:H1425)</f>
        <v>32506</v>
      </c>
      <c r="M1426" s="1619"/>
    </row>
    <row r="1427" spans="2:13" hidden="1">
      <c r="B1427" s="1649" t="s">
        <v>686</v>
      </c>
      <c r="C1427" s="1329" t="s">
        <v>687</v>
      </c>
      <c r="D1427" s="1331"/>
      <c r="E1427" s="1331"/>
      <c r="F1427" s="1334"/>
      <c r="G1427" s="1104"/>
      <c r="H1427" s="1106"/>
      <c r="M1427" s="1619"/>
    </row>
    <row r="1428" spans="2:13" hidden="1">
      <c r="B1428" s="1650"/>
      <c r="C1428" s="1332" t="s">
        <v>790</v>
      </c>
      <c r="D1428" s="1331"/>
      <c r="E1428" s="1331" t="s">
        <v>690</v>
      </c>
      <c r="F1428" s="1334">
        <v>32.6</v>
      </c>
      <c r="G1428" s="1152">
        <f>DUB!$I$65</f>
        <v>1575</v>
      </c>
      <c r="H1428" s="1106">
        <f>G1428*F1428</f>
        <v>51345</v>
      </c>
      <c r="M1428" s="1619"/>
    </row>
    <row r="1429" spans="2:13" hidden="1">
      <c r="B1429" s="1650"/>
      <c r="C1429" s="1332" t="s">
        <v>691</v>
      </c>
      <c r="D1429" s="1331"/>
      <c r="E1429" s="1331" t="s">
        <v>690</v>
      </c>
      <c r="F1429" s="1334">
        <v>76</v>
      </c>
      <c r="G1429" s="1152">
        <f>DUB!$I$60</f>
        <v>208.46299999999999</v>
      </c>
      <c r="H1429" s="1106">
        <f>G1429*F1429</f>
        <v>15843.188</v>
      </c>
      <c r="M1429" s="1619"/>
    </row>
    <row r="1430" spans="2:13" hidden="1">
      <c r="B1430" s="1650"/>
      <c r="C1430" s="1142" t="s">
        <v>2923</v>
      </c>
      <c r="D1430" s="1331"/>
      <c r="E1430" s="1331" t="s">
        <v>690</v>
      </c>
      <c r="F1430" s="1334">
        <v>102.9</v>
      </c>
      <c r="G1430" s="1152">
        <f>DUB!$I$44</f>
        <v>271</v>
      </c>
      <c r="H1430" s="1106">
        <f>G1430*F1430</f>
        <v>27885.9</v>
      </c>
      <c r="M1430" s="1619"/>
    </row>
    <row r="1431" spans="2:13" hidden="1">
      <c r="B1431" s="1650"/>
      <c r="C1431" s="1332" t="s">
        <v>842</v>
      </c>
      <c r="D1431" s="1331"/>
      <c r="E1431" s="1331" t="s">
        <v>896</v>
      </c>
      <c r="F1431" s="1334">
        <v>21.5</v>
      </c>
      <c r="G1431" s="1104">
        <f>DUB!$I$33</f>
        <v>44</v>
      </c>
      <c r="H1431" s="1106">
        <f>G1431*F1431</f>
        <v>946</v>
      </c>
      <c r="M1431" s="1619"/>
    </row>
    <row r="1432" spans="2:13" hidden="1">
      <c r="B1432" s="1650"/>
      <c r="C1432" s="1332"/>
      <c r="D1432" s="1331"/>
      <c r="E1432" s="1331"/>
      <c r="F1432" s="2091" t="s">
        <v>702</v>
      </c>
      <c r="G1432" s="2091"/>
      <c r="H1432" s="1106">
        <f>SUM(H1428:H1431)</f>
        <v>96020.087999999989</v>
      </c>
      <c r="M1432" s="1619"/>
    </row>
    <row r="1433" spans="2:13" s="496" customFormat="1" hidden="1">
      <c r="B1433" s="1649" t="s">
        <v>703</v>
      </c>
      <c r="C1433" s="2089" t="s">
        <v>3764</v>
      </c>
      <c r="D1433" s="2089"/>
      <c r="E1433" s="2089"/>
      <c r="F1433" s="2089"/>
      <c r="G1433" s="2089"/>
      <c r="H1433" s="1107">
        <f>H1426+H1432</f>
        <v>128526.08799999999</v>
      </c>
      <c r="J1433" s="1559"/>
      <c r="K1433" s="1559"/>
      <c r="L1433" s="1559"/>
      <c r="M1433" s="1614"/>
    </row>
    <row r="1434" spans="2:13" s="496" customFormat="1" hidden="1">
      <c r="B1434" s="1649" t="s">
        <v>706</v>
      </c>
      <c r="C1434" s="2076" t="s">
        <v>876</v>
      </c>
      <c r="D1434" s="2076"/>
      <c r="E1434" s="2076"/>
      <c r="F1434" s="2077" t="s">
        <v>3873</v>
      </c>
      <c r="G1434" s="2077"/>
      <c r="H1434" s="1107">
        <f>H1433*0.15</f>
        <v>19278.913199999999</v>
      </c>
      <c r="J1434" s="1559"/>
      <c r="K1434" s="1559"/>
      <c r="L1434" s="1559"/>
      <c r="M1434" s="1614"/>
    </row>
    <row r="1435" spans="2:13" s="496" customFormat="1" hidden="1">
      <c r="B1435" s="1649" t="s">
        <v>708</v>
      </c>
      <c r="C1435" s="2078" t="s">
        <v>3765</v>
      </c>
      <c r="D1435" s="2078"/>
      <c r="E1435" s="2078"/>
      <c r="F1435" s="2078"/>
      <c r="G1435" s="2078"/>
      <c r="H1435" s="1107">
        <f>ROUND(SUM(H1433:H1434),2)</f>
        <v>147805</v>
      </c>
      <c r="I1435" s="506">
        <f>SUM(H1433:H1434)</f>
        <v>147805.0012</v>
      </c>
      <c r="J1435" s="1561"/>
      <c r="K1435" s="1561"/>
      <c r="L1435" s="1559"/>
      <c r="M1435" s="1614"/>
    </row>
    <row r="1436" spans="2:13" hidden="1">
      <c r="B1436" s="1659"/>
      <c r="C1436" s="1144"/>
      <c r="D1436" s="1143"/>
      <c r="E1436" s="1143"/>
      <c r="F1436" s="1145"/>
      <c r="G1436" s="1146"/>
      <c r="H1436" s="1147"/>
      <c r="M1436" s="1619"/>
    </row>
    <row r="1437" spans="2:13" hidden="1">
      <c r="B1437" s="1615" t="s">
        <v>3935</v>
      </c>
      <c r="C1437" s="1112" t="s">
        <v>2844</v>
      </c>
      <c r="D1437" s="1129"/>
      <c r="E1437" s="1129"/>
      <c r="F1437" s="1131"/>
      <c r="G1437" s="1132"/>
      <c r="H1437" s="1115"/>
      <c r="M1437" s="1619"/>
    </row>
    <row r="1438" spans="2:13" s="507" customFormat="1" ht="24.9" hidden="1" customHeight="1">
      <c r="B1438" s="1648" t="s">
        <v>1003</v>
      </c>
      <c r="C1438" s="1101" t="s">
        <v>1004</v>
      </c>
      <c r="D1438" s="1101" t="s">
        <v>1005</v>
      </c>
      <c r="E1438" s="1101" t="s">
        <v>1006</v>
      </c>
      <c r="F1438" s="1102" t="s">
        <v>1007</v>
      </c>
      <c r="G1438" s="1109" t="s">
        <v>2637</v>
      </c>
      <c r="H1438" s="1110" t="s">
        <v>2638</v>
      </c>
      <c r="J1438" s="1625"/>
      <c r="K1438" s="1625"/>
      <c r="L1438" s="1625"/>
      <c r="M1438" s="1626"/>
    </row>
    <row r="1439" spans="2:13" hidden="1">
      <c r="B1439" s="1649" t="s">
        <v>671</v>
      </c>
      <c r="C1439" s="1329" t="s">
        <v>672</v>
      </c>
      <c r="D1439" s="1331"/>
      <c r="E1439" s="1331"/>
      <c r="F1439" s="1334"/>
      <c r="G1439" s="1104"/>
      <c r="H1439" s="1106"/>
      <c r="M1439" s="1619"/>
    </row>
    <row r="1440" spans="2:13" hidden="1">
      <c r="B1440" s="1650"/>
      <c r="C1440" s="1332" t="s">
        <v>673</v>
      </c>
      <c r="D1440" s="1331" t="s">
        <v>674</v>
      </c>
      <c r="E1440" s="1331" t="s">
        <v>675</v>
      </c>
      <c r="F1440" s="1334">
        <v>0.19800000000000001</v>
      </c>
      <c r="G1440" s="1104">
        <f>DUB!$I$10</f>
        <v>150000</v>
      </c>
      <c r="H1440" s="1106">
        <f>G1440*F1440</f>
        <v>29700</v>
      </c>
      <c r="M1440" s="1619"/>
    </row>
    <row r="1441" spans="2:13" hidden="1">
      <c r="B1441" s="1650"/>
      <c r="C1441" s="1332" t="s">
        <v>731</v>
      </c>
      <c r="D1441" s="1331" t="s">
        <v>678</v>
      </c>
      <c r="E1441" s="1331" t="s">
        <v>675</v>
      </c>
      <c r="F1441" s="1334">
        <v>3.3000000000000002E-2</v>
      </c>
      <c r="G1441" s="1104">
        <f>DUB!$I$11</f>
        <v>187000</v>
      </c>
      <c r="H1441" s="1106">
        <f>G1441*F1441</f>
        <v>6171</v>
      </c>
      <c r="M1441" s="1619"/>
    </row>
    <row r="1442" spans="2:13" hidden="1">
      <c r="B1442" s="1650"/>
      <c r="C1442" s="1332" t="s">
        <v>751</v>
      </c>
      <c r="D1442" s="1331" t="s">
        <v>681</v>
      </c>
      <c r="E1442" s="1331" t="s">
        <v>675</v>
      </c>
      <c r="F1442" s="1334">
        <v>3.0000000000000001E-3</v>
      </c>
      <c r="G1442" s="1104">
        <f>DUB!$I$13</f>
        <v>240000</v>
      </c>
      <c r="H1442" s="1106">
        <f>G1442*F1442</f>
        <v>720</v>
      </c>
      <c r="M1442" s="1619"/>
    </row>
    <row r="1443" spans="2:13" hidden="1">
      <c r="B1443" s="1650"/>
      <c r="C1443" s="1332" t="s">
        <v>683</v>
      </c>
      <c r="D1443" s="1331" t="s">
        <v>684</v>
      </c>
      <c r="E1443" s="1331" t="s">
        <v>675</v>
      </c>
      <c r="F1443" s="1334">
        <v>0.01</v>
      </c>
      <c r="G1443" s="1104">
        <f>DUB!$I$12</f>
        <v>225000</v>
      </c>
      <c r="H1443" s="1106">
        <f>G1443*F1443</f>
        <v>2250</v>
      </c>
      <c r="M1443" s="1619"/>
    </row>
    <row r="1444" spans="2:13" hidden="1">
      <c r="B1444" s="1650"/>
      <c r="C1444" s="1332"/>
      <c r="D1444" s="1331"/>
      <c r="E1444" s="1331"/>
      <c r="F1444" s="2074" t="s">
        <v>685</v>
      </c>
      <c r="G1444" s="2074"/>
      <c r="H1444" s="1106">
        <f>SUM(H1440:H1443)</f>
        <v>38841</v>
      </c>
      <c r="M1444" s="1619"/>
    </row>
    <row r="1445" spans="2:13" hidden="1">
      <c r="B1445" s="1649" t="s">
        <v>686</v>
      </c>
      <c r="C1445" s="1329" t="s">
        <v>687</v>
      </c>
      <c r="D1445" s="1331"/>
      <c r="E1445" s="1331"/>
      <c r="F1445" s="1334"/>
      <c r="G1445" s="1104"/>
      <c r="H1445" s="1106"/>
      <c r="M1445" s="1619"/>
    </row>
    <row r="1446" spans="2:13" hidden="1">
      <c r="B1446" s="1650"/>
      <c r="C1446" s="1332" t="s">
        <v>790</v>
      </c>
      <c r="D1446" s="1331"/>
      <c r="E1446" s="1331" t="s">
        <v>690</v>
      </c>
      <c r="F1446" s="1334">
        <v>32.119999999999997</v>
      </c>
      <c r="G1446" s="1152">
        <f>DUB!$I$65</f>
        <v>1575</v>
      </c>
      <c r="H1446" s="1106">
        <f>G1446*F1446</f>
        <v>50588.999999999993</v>
      </c>
      <c r="M1446" s="1619"/>
    </row>
    <row r="1447" spans="2:13" hidden="1">
      <c r="B1447" s="1650"/>
      <c r="C1447" s="1332" t="s">
        <v>691</v>
      </c>
      <c r="D1447" s="1331"/>
      <c r="E1447" s="1331" t="s">
        <v>690</v>
      </c>
      <c r="F1447" s="1334">
        <v>91.2</v>
      </c>
      <c r="G1447" s="1152">
        <f>DUB!$I$60</f>
        <v>208.46299999999999</v>
      </c>
      <c r="H1447" s="1106">
        <f>G1447*F1447</f>
        <v>19011.8256</v>
      </c>
      <c r="M1447" s="1619"/>
    </row>
    <row r="1448" spans="2:13" hidden="1">
      <c r="B1448" s="1650"/>
      <c r="C1448" s="1142" t="s">
        <v>2923</v>
      </c>
      <c r="D1448" s="1331"/>
      <c r="E1448" s="1331" t="s">
        <v>690</v>
      </c>
      <c r="F1448" s="1334">
        <v>123.48</v>
      </c>
      <c r="G1448" s="1152">
        <f>DUB!$I$44</f>
        <v>271</v>
      </c>
      <c r="H1448" s="1106">
        <f>G1448*F1448</f>
        <v>33463.08</v>
      </c>
      <c r="M1448" s="1619"/>
    </row>
    <row r="1449" spans="2:13" hidden="1">
      <c r="B1449" s="1650"/>
      <c r="C1449" s="1332" t="s">
        <v>842</v>
      </c>
      <c r="D1449" s="1331"/>
      <c r="E1449" s="1331" t="s">
        <v>896</v>
      </c>
      <c r="F1449" s="1334">
        <v>25.8</v>
      </c>
      <c r="G1449" s="1104">
        <f>DUB!$I$33</f>
        <v>44</v>
      </c>
      <c r="H1449" s="1106">
        <f>G1449*F1449</f>
        <v>1135.2</v>
      </c>
      <c r="M1449" s="1619"/>
    </row>
    <row r="1450" spans="2:13" hidden="1">
      <c r="B1450" s="1650"/>
      <c r="C1450" s="1125"/>
      <c r="D1450" s="1333"/>
      <c r="E1450" s="1333"/>
      <c r="F1450" s="2074" t="s">
        <v>702</v>
      </c>
      <c r="G1450" s="2074"/>
      <c r="H1450" s="1106">
        <f>SUM(H1446:H1449)</f>
        <v>104199.1056</v>
      </c>
      <c r="M1450" s="1619"/>
    </row>
    <row r="1451" spans="2:13" s="496" customFormat="1" hidden="1">
      <c r="B1451" s="1649" t="s">
        <v>703</v>
      </c>
      <c r="C1451" s="2075" t="s">
        <v>3764</v>
      </c>
      <c r="D1451" s="2075"/>
      <c r="E1451" s="2075"/>
      <c r="F1451" s="2075"/>
      <c r="G1451" s="2075"/>
      <c r="H1451" s="1107">
        <f>H1444+H1450</f>
        <v>143040.10560000001</v>
      </c>
      <c r="J1451" s="1559"/>
      <c r="K1451" s="1559"/>
      <c r="L1451" s="1559"/>
      <c r="M1451" s="1614"/>
    </row>
    <row r="1452" spans="2:13" s="496" customFormat="1" hidden="1">
      <c r="B1452" s="1649" t="s">
        <v>706</v>
      </c>
      <c r="C1452" s="2076" t="s">
        <v>876</v>
      </c>
      <c r="D1452" s="2076"/>
      <c r="E1452" s="2076"/>
      <c r="F1452" s="2077" t="s">
        <v>3873</v>
      </c>
      <c r="G1452" s="2077"/>
      <c r="H1452" s="1107">
        <f>H1451*0.15</f>
        <v>21456.01584</v>
      </c>
      <c r="J1452" s="1559"/>
      <c r="K1452" s="1559"/>
      <c r="L1452" s="1559"/>
      <c r="M1452" s="1614"/>
    </row>
    <row r="1453" spans="2:13" s="496" customFormat="1" hidden="1">
      <c r="B1453" s="1649" t="s">
        <v>708</v>
      </c>
      <c r="C1453" s="2078" t="s">
        <v>3765</v>
      </c>
      <c r="D1453" s="2078"/>
      <c r="E1453" s="2078"/>
      <c r="F1453" s="2078"/>
      <c r="G1453" s="2078"/>
      <c r="H1453" s="1107">
        <f>ROUND(SUM(H1451:H1452),2)</f>
        <v>164496.12</v>
      </c>
      <c r="I1453" s="506">
        <f>SUM(H1451:H1452)</f>
        <v>164496.12144000002</v>
      </c>
      <c r="J1453" s="1561"/>
      <c r="K1453" s="1561"/>
      <c r="L1453" s="1559"/>
      <c r="M1453" s="1614"/>
    </row>
    <row r="1454" spans="2:13" hidden="1">
      <c r="B1454" s="1624"/>
      <c r="F1454" s="1172"/>
      <c r="G1454" s="1173"/>
      <c r="H1454" s="1133"/>
      <c r="M1454" s="1619"/>
    </row>
    <row r="1455" spans="2:13" hidden="1">
      <c r="B1455" s="1615" t="s">
        <v>3936</v>
      </c>
      <c r="C1455" s="1232" t="s">
        <v>2845</v>
      </c>
      <c r="F1455" s="1172"/>
      <c r="G1455" s="1173"/>
      <c r="H1455" s="1133"/>
      <c r="M1455" s="1619"/>
    </row>
    <row r="1456" spans="2:13" s="507" customFormat="1" ht="24.9" hidden="1" customHeight="1">
      <c r="B1456" s="1648" t="s">
        <v>1003</v>
      </c>
      <c r="C1456" s="1101" t="s">
        <v>1004</v>
      </c>
      <c r="D1456" s="1101" t="s">
        <v>1005</v>
      </c>
      <c r="E1456" s="1101" t="s">
        <v>1006</v>
      </c>
      <c r="F1456" s="1102" t="s">
        <v>1007</v>
      </c>
      <c r="G1456" s="1109" t="s">
        <v>2637</v>
      </c>
      <c r="H1456" s="1110" t="s">
        <v>2638</v>
      </c>
      <c r="J1456" s="1625"/>
      <c r="K1456" s="1625"/>
      <c r="L1456" s="1625"/>
      <c r="M1456" s="1626"/>
    </row>
    <row r="1457" spans="2:13" hidden="1">
      <c r="B1457" s="1649" t="s">
        <v>671</v>
      </c>
      <c r="C1457" s="1329" t="s">
        <v>672</v>
      </c>
      <c r="D1457" s="1331"/>
      <c r="E1457" s="1331"/>
      <c r="F1457" s="1334"/>
      <c r="G1457" s="1104"/>
      <c r="H1457" s="1106"/>
      <c r="M1457" s="1619"/>
    </row>
    <row r="1458" spans="2:13" hidden="1">
      <c r="B1458" s="1650"/>
      <c r="C1458" s="1332" t="s">
        <v>673</v>
      </c>
      <c r="D1458" s="1331" t="s">
        <v>674</v>
      </c>
      <c r="E1458" s="1331" t="s">
        <v>675</v>
      </c>
      <c r="F1458" s="1334">
        <v>0.248</v>
      </c>
      <c r="G1458" s="1104">
        <f>DUB!$I$10</f>
        <v>150000</v>
      </c>
      <c r="H1458" s="1106">
        <f>G1458*F1458</f>
        <v>37200</v>
      </c>
      <c r="M1458" s="1619"/>
    </row>
    <row r="1459" spans="2:13" hidden="1">
      <c r="B1459" s="1650"/>
      <c r="C1459" s="1332" t="s">
        <v>731</v>
      </c>
      <c r="D1459" s="1331" t="s">
        <v>678</v>
      </c>
      <c r="E1459" s="1331" t="s">
        <v>675</v>
      </c>
      <c r="F1459" s="1334">
        <v>4.1000000000000002E-2</v>
      </c>
      <c r="G1459" s="1104">
        <f>DUB!$I$11</f>
        <v>187000</v>
      </c>
      <c r="H1459" s="1106">
        <f>G1459*F1459</f>
        <v>7667</v>
      </c>
      <c r="M1459" s="1619"/>
    </row>
    <row r="1460" spans="2:13" hidden="1">
      <c r="B1460" s="1650"/>
      <c r="C1460" s="1332" t="s">
        <v>751</v>
      </c>
      <c r="D1460" s="1331" t="s">
        <v>681</v>
      </c>
      <c r="E1460" s="1331" t="s">
        <v>675</v>
      </c>
      <c r="F1460" s="1334">
        <v>4.0000000000000001E-3</v>
      </c>
      <c r="G1460" s="1104">
        <f>DUB!$I$13</f>
        <v>240000</v>
      </c>
      <c r="H1460" s="1106">
        <f>G1460*F1460</f>
        <v>960</v>
      </c>
      <c r="M1460" s="1619"/>
    </row>
    <row r="1461" spans="2:13" hidden="1">
      <c r="B1461" s="1650"/>
      <c r="C1461" s="1332" t="s">
        <v>683</v>
      </c>
      <c r="D1461" s="1331" t="s">
        <v>684</v>
      </c>
      <c r="E1461" s="1331" t="s">
        <v>675</v>
      </c>
      <c r="F1461" s="1334">
        <v>1.2999999999999999E-2</v>
      </c>
      <c r="G1461" s="1104">
        <f>DUB!$I$12</f>
        <v>225000</v>
      </c>
      <c r="H1461" s="1106">
        <f>G1461*F1461</f>
        <v>2925</v>
      </c>
      <c r="M1461" s="1619"/>
    </row>
    <row r="1462" spans="2:13" hidden="1">
      <c r="B1462" s="1650"/>
      <c r="C1462" s="1332"/>
      <c r="D1462" s="1331"/>
      <c r="E1462" s="1331"/>
      <c r="F1462" s="2074" t="s">
        <v>685</v>
      </c>
      <c r="G1462" s="2074"/>
      <c r="H1462" s="1106">
        <f>SUM(H1458:H1461)</f>
        <v>48752</v>
      </c>
      <c r="M1462" s="1619"/>
    </row>
    <row r="1463" spans="2:13" hidden="1">
      <c r="B1463" s="1649" t="s">
        <v>686</v>
      </c>
      <c r="C1463" s="1329" t="s">
        <v>687</v>
      </c>
      <c r="D1463" s="1331"/>
      <c r="E1463" s="1331"/>
      <c r="F1463" s="1334"/>
      <c r="G1463" s="1104"/>
      <c r="H1463" s="1106"/>
      <c r="M1463" s="1619"/>
    </row>
    <row r="1464" spans="2:13" hidden="1">
      <c r="B1464" s="1650"/>
      <c r="C1464" s="1332" t="s">
        <v>790</v>
      </c>
      <c r="D1464" s="1331"/>
      <c r="E1464" s="1331" t="s">
        <v>690</v>
      </c>
      <c r="F1464" s="1334">
        <v>48.9</v>
      </c>
      <c r="G1464" s="1152">
        <f>DUB!$I$65</f>
        <v>1575</v>
      </c>
      <c r="H1464" s="1106">
        <f>G1464*F1464</f>
        <v>77017.5</v>
      </c>
      <c r="M1464" s="1619"/>
    </row>
    <row r="1465" spans="2:13" hidden="1">
      <c r="B1465" s="1650"/>
      <c r="C1465" s="1332" t="s">
        <v>691</v>
      </c>
      <c r="D1465" s="1331"/>
      <c r="E1465" s="1331" t="s">
        <v>690</v>
      </c>
      <c r="F1465" s="1334">
        <v>114</v>
      </c>
      <c r="G1465" s="1152">
        <f>DUB!$I$60</f>
        <v>208.46299999999999</v>
      </c>
      <c r="H1465" s="1106">
        <f>G1465*F1465</f>
        <v>23764.781999999999</v>
      </c>
      <c r="M1465" s="1619"/>
    </row>
    <row r="1466" spans="2:13" hidden="1">
      <c r="B1466" s="1650"/>
      <c r="C1466" s="1142" t="s">
        <v>2923</v>
      </c>
      <c r="D1466" s="1331"/>
      <c r="E1466" s="1331" t="s">
        <v>690</v>
      </c>
      <c r="F1466" s="1334">
        <v>154.35</v>
      </c>
      <c r="G1466" s="1152">
        <f>DUB!$I$44</f>
        <v>271</v>
      </c>
      <c r="H1466" s="1106">
        <f>G1466*F1466</f>
        <v>41828.85</v>
      </c>
      <c r="M1466" s="1619"/>
    </row>
    <row r="1467" spans="2:13" hidden="1">
      <c r="B1467" s="1650"/>
      <c r="C1467" s="1332" t="s">
        <v>842</v>
      </c>
      <c r="D1467" s="1331"/>
      <c r="E1467" s="1331" t="s">
        <v>896</v>
      </c>
      <c r="F1467" s="1334">
        <v>32.25</v>
      </c>
      <c r="G1467" s="1104">
        <f>DUB!$I$33</f>
        <v>44</v>
      </c>
      <c r="H1467" s="1106">
        <f>G1467*F1467</f>
        <v>1419</v>
      </c>
      <c r="M1467" s="1619"/>
    </row>
    <row r="1468" spans="2:13" hidden="1">
      <c r="B1468" s="1650"/>
      <c r="C1468" s="1125"/>
      <c r="D1468" s="1333"/>
      <c r="E1468" s="1333"/>
      <c r="F1468" s="2074" t="s">
        <v>702</v>
      </c>
      <c r="G1468" s="2074"/>
      <c r="H1468" s="1106">
        <f>SUM(H1464:H1467)</f>
        <v>144030.13200000001</v>
      </c>
      <c r="M1468" s="1619"/>
    </row>
    <row r="1469" spans="2:13" s="496" customFormat="1" hidden="1">
      <c r="B1469" s="1649" t="s">
        <v>703</v>
      </c>
      <c r="C1469" s="2075" t="s">
        <v>3764</v>
      </c>
      <c r="D1469" s="2075"/>
      <c r="E1469" s="2075"/>
      <c r="F1469" s="2075"/>
      <c r="G1469" s="2075"/>
      <c r="H1469" s="1107">
        <f>H1462+H1468</f>
        <v>192782.13200000001</v>
      </c>
      <c r="J1469" s="1559"/>
      <c r="K1469" s="1559"/>
      <c r="L1469" s="1559"/>
      <c r="M1469" s="1614"/>
    </row>
    <row r="1470" spans="2:13" s="496" customFormat="1" hidden="1">
      <c r="B1470" s="1649" t="s">
        <v>706</v>
      </c>
      <c r="C1470" s="2076" t="s">
        <v>876</v>
      </c>
      <c r="D1470" s="2076"/>
      <c r="E1470" s="2076"/>
      <c r="F1470" s="2077" t="s">
        <v>3873</v>
      </c>
      <c r="G1470" s="2077"/>
      <c r="H1470" s="1107">
        <f>H1469*0.15</f>
        <v>28917.319800000001</v>
      </c>
      <c r="J1470" s="1559"/>
      <c r="K1470" s="1559"/>
      <c r="L1470" s="1559"/>
      <c r="M1470" s="1614"/>
    </row>
    <row r="1471" spans="2:13" s="496" customFormat="1" hidden="1">
      <c r="B1471" s="1649" t="s">
        <v>708</v>
      </c>
      <c r="C1471" s="2078" t="s">
        <v>3765</v>
      </c>
      <c r="D1471" s="2078"/>
      <c r="E1471" s="2078"/>
      <c r="F1471" s="2078"/>
      <c r="G1471" s="2078"/>
      <c r="H1471" s="1107">
        <f>ROUND(SUM(H1469:H1470),2)</f>
        <v>221699.45</v>
      </c>
      <c r="I1471" s="506">
        <f>SUM(H1469:H1470)</f>
        <v>221699.45180000001</v>
      </c>
      <c r="J1471" s="1561"/>
      <c r="K1471" s="1561"/>
      <c r="L1471" s="1559"/>
      <c r="M1471" s="1614"/>
    </row>
    <row r="1472" spans="2:13" hidden="1">
      <c r="B1472" s="1659"/>
      <c r="C1472" s="1144"/>
      <c r="D1472" s="1143"/>
      <c r="E1472" s="1143"/>
      <c r="F1472" s="1145"/>
      <c r="G1472" s="1146"/>
      <c r="H1472" s="1147"/>
      <c r="M1472" s="1619"/>
    </row>
    <row r="1473" spans="2:13" hidden="1">
      <c r="B1473" s="1613" t="s">
        <v>3937</v>
      </c>
      <c r="C1473" s="1112" t="s">
        <v>2846</v>
      </c>
      <c r="D1473" s="1129"/>
      <c r="E1473" s="1129"/>
      <c r="F1473" s="1131"/>
      <c r="G1473" s="1132"/>
      <c r="H1473" s="1115"/>
      <c r="M1473" s="1619"/>
    </row>
    <row r="1474" spans="2:13" s="507" customFormat="1" ht="24.9" hidden="1" customHeight="1">
      <c r="B1474" s="1648" t="s">
        <v>1003</v>
      </c>
      <c r="C1474" s="1101" t="s">
        <v>1004</v>
      </c>
      <c r="D1474" s="1101" t="s">
        <v>1005</v>
      </c>
      <c r="E1474" s="1101" t="s">
        <v>1006</v>
      </c>
      <c r="F1474" s="1102" t="s">
        <v>1007</v>
      </c>
      <c r="G1474" s="1109" t="s">
        <v>2637</v>
      </c>
      <c r="H1474" s="1110" t="s">
        <v>2638</v>
      </c>
      <c r="J1474" s="1625"/>
      <c r="K1474" s="1625"/>
      <c r="L1474" s="1625"/>
      <c r="M1474" s="1626"/>
    </row>
    <row r="1475" spans="2:13" hidden="1">
      <c r="B1475" s="1649" t="s">
        <v>671</v>
      </c>
      <c r="C1475" s="1329" t="s">
        <v>672</v>
      </c>
      <c r="D1475" s="1331"/>
      <c r="E1475" s="1331"/>
      <c r="F1475" s="1334"/>
      <c r="G1475" s="1104"/>
      <c r="H1475" s="1106"/>
      <c r="M1475" s="1619"/>
    </row>
    <row r="1476" spans="2:13" hidden="1">
      <c r="B1476" s="1650"/>
      <c r="C1476" s="1332" t="s">
        <v>673</v>
      </c>
      <c r="D1476" s="1331" t="s">
        <v>674</v>
      </c>
      <c r="E1476" s="1331" t="s">
        <v>675</v>
      </c>
      <c r="F1476" s="1334">
        <v>7.0000000000000001E-3</v>
      </c>
      <c r="G1476" s="1104">
        <f>DUB!$I$10</f>
        <v>150000</v>
      </c>
      <c r="H1476" s="1106">
        <f>G1476*F1476</f>
        <v>1050</v>
      </c>
      <c r="M1476" s="1619"/>
    </row>
    <row r="1477" spans="2:13" hidden="1">
      <c r="B1477" s="1650"/>
      <c r="C1477" s="1332" t="s">
        <v>731</v>
      </c>
      <c r="D1477" s="1331" t="s">
        <v>678</v>
      </c>
      <c r="E1477" s="1331" t="s">
        <v>675</v>
      </c>
      <c r="F1477" s="1334">
        <v>7.5999999999999998E-2</v>
      </c>
      <c r="G1477" s="1104">
        <f>DUB!$I$11</f>
        <v>187000</v>
      </c>
      <c r="H1477" s="1106">
        <f>G1477*F1477</f>
        <v>14212</v>
      </c>
      <c r="M1477" s="1619"/>
    </row>
    <row r="1478" spans="2:13" hidden="1">
      <c r="B1478" s="1650"/>
      <c r="C1478" s="1332" t="s">
        <v>751</v>
      </c>
      <c r="D1478" s="1331" t="s">
        <v>681</v>
      </c>
      <c r="E1478" s="1331" t="s">
        <v>675</v>
      </c>
      <c r="F1478" s="1334">
        <v>8.0000000000000002E-3</v>
      </c>
      <c r="G1478" s="1104">
        <f>DUB!$I$13</f>
        <v>240000</v>
      </c>
      <c r="H1478" s="1106">
        <f>G1478*F1478</f>
        <v>1920</v>
      </c>
      <c r="M1478" s="1619"/>
    </row>
    <row r="1479" spans="2:13" hidden="1">
      <c r="B1479" s="1650"/>
      <c r="C1479" s="1332" t="s">
        <v>683</v>
      </c>
      <c r="D1479" s="1331" t="s">
        <v>684</v>
      </c>
      <c r="E1479" s="1331" t="s">
        <v>675</v>
      </c>
      <c r="F1479" s="1334">
        <v>1E-3</v>
      </c>
      <c r="G1479" s="1104">
        <f>DUB!$I$12</f>
        <v>225000</v>
      </c>
      <c r="H1479" s="1106">
        <f>G1479*F1479</f>
        <v>225</v>
      </c>
      <c r="M1479" s="1619"/>
    </row>
    <row r="1480" spans="2:13" hidden="1">
      <c r="B1480" s="1650"/>
      <c r="C1480" s="1332"/>
      <c r="D1480" s="1331"/>
      <c r="E1480" s="1331"/>
      <c r="F1480" s="2074" t="s">
        <v>685</v>
      </c>
      <c r="G1480" s="2074"/>
      <c r="H1480" s="1106">
        <f>SUM(H1476:H1479)</f>
        <v>17407</v>
      </c>
      <c r="M1480" s="1619"/>
    </row>
    <row r="1481" spans="2:13" hidden="1">
      <c r="B1481" s="1649" t="s">
        <v>686</v>
      </c>
      <c r="C1481" s="1329" t="s">
        <v>687</v>
      </c>
      <c r="D1481" s="1331"/>
      <c r="E1481" s="1331"/>
      <c r="F1481" s="1334"/>
      <c r="G1481" s="1104"/>
      <c r="H1481" s="1106"/>
      <c r="M1481" s="1619"/>
    </row>
    <row r="1482" spans="2:13" hidden="1">
      <c r="B1482" s="1650"/>
      <c r="C1482" s="1332" t="s">
        <v>902</v>
      </c>
      <c r="D1482" s="1331" t="str">
        <f>B703</f>
        <v>A.4.1.1.1</v>
      </c>
      <c r="E1482" s="1331" t="s">
        <v>2646</v>
      </c>
      <c r="F1482" s="1334">
        <v>0.08</v>
      </c>
      <c r="G1482" s="1104">
        <f>I719</f>
        <v>1298044.49905</v>
      </c>
      <c r="H1482" s="1106">
        <f t="shared" ref="H1482:H1487" si="55">G1482*F1482</f>
        <v>103843.559924</v>
      </c>
      <c r="M1482" s="1619"/>
    </row>
    <row r="1483" spans="2:13" hidden="1">
      <c r="B1483" s="1650"/>
      <c r="C1483" s="1332" t="s">
        <v>903</v>
      </c>
      <c r="D1483" s="1331"/>
      <c r="E1483" s="1331" t="s">
        <v>690</v>
      </c>
      <c r="F1483" s="1334">
        <v>9.3940000000000001</v>
      </c>
      <c r="G1483" s="1104">
        <f>DUB!$I$103</f>
        <v>15700</v>
      </c>
      <c r="H1483" s="1106">
        <f t="shared" si="55"/>
        <v>147485.79999999999</v>
      </c>
      <c r="M1483" s="1619"/>
    </row>
    <row r="1484" spans="2:13" hidden="1">
      <c r="B1484" s="1650"/>
      <c r="C1484" s="1332" t="s">
        <v>904</v>
      </c>
      <c r="D1484" s="1331"/>
      <c r="E1484" s="1331" t="s">
        <v>2646</v>
      </c>
      <c r="F1484" s="1334">
        <v>5.0000000000000001E-3</v>
      </c>
      <c r="G1484" s="1152">
        <f>DUB!$I$85</f>
        <v>6250000</v>
      </c>
      <c r="H1484" s="1106">
        <f t="shared" si="55"/>
        <v>31250</v>
      </c>
      <c r="M1484" s="1619"/>
    </row>
    <row r="1485" spans="2:13" hidden="1">
      <c r="B1485" s="1650"/>
      <c r="C1485" s="1332" t="s">
        <v>905</v>
      </c>
      <c r="D1485" s="1331"/>
      <c r="E1485" s="1331" t="s">
        <v>715</v>
      </c>
      <c r="F1485" s="1334">
        <v>0.08</v>
      </c>
      <c r="G1485" s="1104">
        <f>DUB!$I$97</f>
        <v>348075</v>
      </c>
      <c r="H1485" s="1106">
        <f t="shared" si="55"/>
        <v>27846</v>
      </c>
      <c r="M1485" s="1619"/>
    </row>
    <row r="1486" spans="2:13" hidden="1">
      <c r="B1486" s="1650"/>
      <c r="C1486" s="1332" t="s">
        <v>861</v>
      </c>
      <c r="D1486" s="1331"/>
      <c r="E1486" s="1331" t="s">
        <v>896</v>
      </c>
      <c r="F1486" s="1334">
        <v>0.2</v>
      </c>
      <c r="G1486" s="1104">
        <f>DUB!$I$489</f>
        <v>13455</v>
      </c>
      <c r="H1486" s="1106">
        <f t="shared" si="55"/>
        <v>2691</v>
      </c>
      <c r="M1486" s="1619"/>
    </row>
    <row r="1487" spans="2:13" hidden="1">
      <c r="B1487" s="1650"/>
      <c r="C1487" s="1126" t="s">
        <v>3321</v>
      </c>
      <c r="D1487" s="1331"/>
      <c r="E1487" s="1331" t="s">
        <v>743</v>
      </c>
      <c r="F1487" s="1334">
        <v>3.8820000000000001</v>
      </c>
      <c r="G1487" s="1104">
        <f>DUB!$I$146</f>
        <v>7281</v>
      </c>
      <c r="H1487" s="1106">
        <f t="shared" si="55"/>
        <v>28264.842000000001</v>
      </c>
      <c r="M1487" s="1619"/>
    </row>
    <row r="1488" spans="2:13" hidden="1">
      <c r="B1488" s="1650"/>
      <c r="C1488" s="1125"/>
      <c r="D1488" s="1333"/>
      <c r="E1488" s="1333"/>
      <c r="F1488" s="2074" t="s">
        <v>702</v>
      </c>
      <c r="G1488" s="2074"/>
      <c r="H1488" s="1106">
        <f>SUM(H1482:H1487)</f>
        <v>341381.20192399999</v>
      </c>
      <c r="M1488" s="1619"/>
    </row>
    <row r="1489" spans="2:13" s="496" customFormat="1" hidden="1">
      <c r="B1489" s="1649" t="s">
        <v>703</v>
      </c>
      <c r="C1489" s="2075" t="s">
        <v>3764</v>
      </c>
      <c r="D1489" s="2075"/>
      <c r="E1489" s="2075"/>
      <c r="F1489" s="2075"/>
      <c r="G1489" s="2075"/>
      <c r="H1489" s="1107">
        <f>H1480+H1488</f>
        <v>358788.20192399999</v>
      </c>
      <c r="J1489" s="1559"/>
      <c r="K1489" s="1559"/>
      <c r="L1489" s="1559"/>
      <c r="M1489" s="1614"/>
    </row>
    <row r="1490" spans="2:13" s="496" customFormat="1" hidden="1">
      <c r="B1490" s="1649" t="s">
        <v>706</v>
      </c>
      <c r="C1490" s="2076" t="s">
        <v>876</v>
      </c>
      <c r="D1490" s="2076"/>
      <c r="E1490" s="2076"/>
      <c r="F1490" s="2077" t="s">
        <v>3873</v>
      </c>
      <c r="G1490" s="2077"/>
      <c r="H1490" s="1107">
        <f>H1489*0.15</f>
        <v>53818.230288599996</v>
      </c>
      <c r="J1490" s="1559"/>
      <c r="K1490" s="1559"/>
      <c r="L1490" s="1559"/>
      <c r="M1490" s="1614"/>
    </row>
    <row r="1491" spans="2:13" s="496" customFormat="1" hidden="1">
      <c r="B1491" s="1649" t="s">
        <v>708</v>
      </c>
      <c r="C1491" s="2078" t="s">
        <v>3765</v>
      </c>
      <c r="D1491" s="2078"/>
      <c r="E1491" s="2078"/>
      <c r="F1491" s="2078"/>
      <c r="G1491" s="2078"/>
      <c r="H1491" s="1107">
        <f>ROUND(SUM(H1489:H1490),2)</f>
        <v>412606.43</v>
      </c>
      <c r="I1491" s="506">
        <f>SUM(H1489:H1490)</f>
        <v>412606.43221260002</v>
      </c>
      <c r="J1491" s="1561"/>
      <c r="K1491" s="1561"/>
      <c r="L1491" s="1559"/>
      <c r="M1491" s="1614"/>
    </row>
    <row r="1492" spans="2:13" hidden="1">
      <c r="B1492" s="1624"/>
      <c r="F1492" s="1172"/>
      <c r="G1492" s="1173"/>
      <c r="H1492" s="1133"/>
      <c r="M1492" s="1619"/>
    </row>
    <row r="1493" spans="2:13" hidden="1">
      <c r="B1493" s="1613" t="s">
        <v>3938</v>
      </c>
      <c r="C1493" s="1232" t="s">
        <v>2847</v>
      </c>
      <c r="F1493" s="1172"/>
      <c r="G1493" s="1173"/>
      <c r="H1493" s="1133"/>
      <c r="M1493" s="1619"/>
    </row>
    <row r="1494" spans="2:13" s="507" customFormat="1" ht="24.9" hidden="1" customHeight="1">
      <c r="B1494" s="1648" t="s">
        <v>1003</v>
      </c>
      <c r="C1494" s="1101" t="s">
        <v>1004</v>
      </c>
      <c r="D1494" s="1101" t="s">
        <v>1005</v>
      </c>
      <c r="E1494" s="1101" t="s">
        <v>1006</v>
      </c>
      <c r="F1494" s="1102" t="s">
        <v>1007</v>
      </c>
      <c r="G1494" s="1109" t="s">
        <v>2637</v>
      </c>
      <c r="H1494" s="1110" t="s">
        <v>2638</v>
      </c>
      <c r="J1494" s="1625"/>
      <c r="K1494" s="1625"/>
      <c r="L1494" s="1625"/>
      <c r="M1494" s="1626"/>
    </row>
    <row r="1495" spans="2:13" hidden="1">
      <c r="B1495" s="1649" t="s">
        <v>671</v>
      </c>
      <c r="C1495" s="1329" t="s">
        <v>672</v>
      </c>
      <c r="D1495" s="1331"/>
      <c r="E1495" s="1331"/>
      <c r="F1495" s="1334"/>
      <c r="G1495" s="1104"/>
      <c r="H1495" s="1106"/>
      <c r="M1495" s="1619"/>
    </row>
    <row r="1496" spans="2:13" hidden="1">
      <c r="B1496" s="1650"/>
      <c r="C1496" s="1332" t="s">
        <v>673</v>
      </c>
      <c r="D1496" s="1331" t="s">
        <v>674</v>
      </c>
      <c r="E1496" s="1331" t="s">
        <v>675</v>
      </c>
      <c r="F1496" s="1334">
        <v>4.0000000000000001E-3</v>
      </c>
      <c r="G1496" s="1104">
        <f>DUB!$I$10</f>
        <v>150000</v>
      </c>
      <c r="H1496" s="1106">
        <f>G1496*F1496</f>
        <v>600</v>
      </c>
      <c r="M1496" s="1619"/>
    </row>
    <row r="1497" spans="2:13" hidden="1">
      <c r="B1497" s="1650"/>
      <c r="C1497" s="1332" t="s">
        <v>731</v>
      </c>
      <c r="D1497" s="1331" t="s">
        <v>678</v>
      </c>
      <c r="E1497" s="1331" t="s">
        <v>675</v>
      </c>
      <c r="F1497" s="1334">
        <v>3.7999999999999999E-2</v>
      </c>
      <c r="G1497" s="1104">
        <f>DUB!$I$11</f>
        <v>187000</v>
      </c>
      <c r="H1497" s="1106">
        <f>G1497*F1497</f>
        <v>7106</v>
      </c>
      <c r="M1497" s="1619"/>
    </row>
    <row r="1498" spans="2:13" hidden="1">
      <c r="B1498" s="1650"/>
      <c r="C1498" s="1332" t="s">
        <v>751</v>
      </c>
      <c r="D1498" s="1331" t="s">
        <v>681</v>
      </c>
      <c r="E1498" s="1331" t="s">
        <v>675</v>
      </c>
      <c r="F1498" s="1334">
        <v>4.0000000000000001E-3</v>
      </c>
      <c r="G1498" s="1104">
        <f>DUB!$I$13</f>
        <v>240000</v>
      </c>
      <c r="H1498" s="1106">
        <f>G1498*F1498</f>
        <v>960</v>
      </c>
      <c r="M1498" s="1619"/>
    </row>
    <row r="1499" spans="2:13" hidden="1">
      <c r="B1499" s="1650"/>
      <c r="C1499" s="1332" t="s">
        <v>683</v>
      </c>
      <c r="D1499" s="1331" t="s">
        <v>684</v>
      </c>
      <c r="E1499" s="1331" t="s">
        <v>675</v>
      </c>
      <c r="F1499" s="1334">
        <v>1E-3</v>
      </c>
      <c r="G1499" s="1104">
        <f>DUB!$I$12</f>
        <v>225000</v>
      </c>
      <c r="H1499" s="1106">
        <f>G1499*F1499</f>
        <v>225</v>
      </c>
      <c r="M1499" s="1619"/>
    </row>
    <row r="1500" spans="2:13" hidden="1">
      <c r="B1500" s="1650"/>
      <c r="C1500" s="1332"/>
      <c r="D1500" s="1331"/>
      <c r="E1500" s="1331"/>
      <c r="F1500" s="2074" t="s">
        <v>685</v>
      </c>
      <c r="G1500" s="2074"/>
      <c r="H1500" s="1106">
        <f>SUM(H1496:H1499)</f>
        <v>8891</v>
      </c>
      <c r="M1500" s="1619"/>
    </row>
    <row r="1501" spans="2:13" hidden="1">
      <c r="B1501" s="1649" t="s">
        <v>686</v>
      </c>
      <c r="C1501" s="1329" t="s">
        <v>687</v>
      </c>
      <c r="D1501" s="1331"/>
      <c r="E1501" s="1331"/>
      <c r="F1501" s="1334"/>
      <c r="G1501" s="1104"/>
      <c r="H1501" s="1106"/>
      <c r="M1501" s="1619"/>
    </row>
    <row r="1502" spans="2:13" hidden="1">
      <c r="B1502" s="1650"/>
      <c r="C1502" s="1332" t="s">
        <v>904</v>
      </c>
      <c r="D1502" s="1331"/>
      <c r="E1502" s="1331" t="s">
        <v>2646</v>
      </c>
      <c r="F1502" s="1334">
        <v>5.0000000000000001E-3</v>
      </c>
      <c r="G1502" s="1152">
        <f>DUB!$I$85</f>
        <v>6250000</v>
      </c>
      <c r="H1502" s="1106">
        <f>G1502*F1502</f>
        <v>31250</v>
      </c>
      <c r="M1502" s="1619"/>
    </row>
    <row r="1503" spans="2:13" hidden="1">
      <c r="B1503" s="1650"/>
      <c r="C1503" s="1332" t="s">
        <v>905</v>
      </c>
      <c r="D1503" s="1331"/>
      <c r="E1503" s="1331" t="s">
        <v>715</v>
      </c>
      <c r="F1503" s="1334">
        <v>4.2999999999999997E-2</v>
      </c>
      <c r="G1503" s="1104">
        <f>DUB!$I$97</f>
        <v>348075</v>
      </c>
      <c r="H1503" s="1106">
        <f>G1503*F1503</f>
        <v>14967.224999999999</v>
      </c>
      <c r="M1503" s="1619"/>
    </row>
    <row r="1504" spans="2:13" hidden="1">
      <c r="B1504" s="1650"/>
      <c r="C1504" s="1332" t="s">
        <v>861</v>
      </c>
      <c r="D1504" s="1331"/>
      <c r="E1504" s="1331" t="s">
        <v>896</v>
      </c>
      <c r="F1504" s="1334">
        <v>0.2</v>
      </c>
      <c r="G1504" s="1104">
        <f>DUB!$I$489</f>
        <v>13455</v>
      </c>
      <c r="H1504" s="1106">
        <f>G1504*F1504</f>
        <v>2691</v>
      </c>
      <c r="M1504" s="1619"/>
    </row>
    <row r="1505" spans="2:13" hidden="1">
      <c r="B1505" s="1650"/>
      <c r="C1505" s="1126" t="s">
        <v>3321</v>
      </c>
      <c r="D1505" s="1331"/>
      <c r="E1505" s="1331" t="s">
        <v>743</v>
      </c>
      <c r="F1505" s="1334">
        <v>0.69299999999999995</v>
      </c>
      <c r="G1505" s="1104">
        <f>DUB!$I$146</f>
        <v>7281</v>
      </c>
      <c r="H1505" s="1106">
        <f>G1505*F1505</f>
        <v>5045.7329999999993</v>
      </c>
      <c r="M1505" s="1619"/>
    </row>
    <row r="1506" spans="2:13" hidden="1">
      <c r="B1506" s="1650"/>
      <c r="C1506" s="1125"/>
      <c r="D1506" s="1333"/>
      <c r="E1506" s="1333"/>
      <c r="F1506" s="2074" t="s">
        <v>702</v>
      </c>
      <c r="G1506" s="2074"/>
      <c r="H1506" s="1106">
        <f>SUM(H1502:H1505)</f>
        <v>53953.957999999999</v>
      </c>
      <c r="M1506" s="1619"/>
    </row>
    <row r="1507" spans="2:13" s="496" customFormat="1" hidden="1">
      <c r="B1507" s="1649" t="s">
        <v>703</v>
      </c>
      <c r="C1507" s="2075" t="s">
        <v>3764</v>
      </c>
      <c r="D1507" s="2075"/>
      <c r="E1507" s="2075"/>
      <c r="F1507" s="2075"/>
      <c r="G1507" s="2075"/>
      <c r="H1507" s="1107">
        <f>H1500+H1506</f>
        <v>62844.957999999999</v>
      </c>
      <c r="J1507" s="1559"/>
      <c r="K1507" s="1559"/>
      <c r="L1507" s="1559"/>
      <c r="M1507" s="1614"/>
    </row>
    <row r="1508" spans="2:13" s="496" customFormat="1" hidden="1">
      <c r="B1508" s="1649" t="s">
        <v>706</v>
      </c>
      <c r="C1508" s="2076" t="s">
        <v>876</v>
      </c>
      <c r="D1508" s="2076"/>
      <c r="E1508" s="2076"/>
      <c r="F1508" s="2077" t="s">
        <v>3873</v>
      </c>
      <c r="G1508" s="2077"/>
      <c r="H1508" s="1107">
        <f>H1507*0.15</f>
        <v>9426.7436999999991</v>
      </c>
      <c r="J1508" s="1559"/>
      <c r="K1508" s="1559"/>
      <c r="L1508" s="1559"/>
      <c r="M1508" s="1614"/>
    </row>
    <row r="1509" spans="2:13" s="496" customFormat="1" hidden="1">
      <c r="B1509" s="1649" t="s">
        <v>708</v>
      </c>
      <c r="C1509" s="2078" t="s">
        <v>3765</v>
      </c>
      <c r="D1509" s="2078"/>
      <c r="E1509" s="2078"/>
      <c r="F1509" s="2078"/>
      <c r="G1509" s="2078"/>
      <c r="H1509" s="1107">
        <f>ROUND(SUM(H1507:H1508),2)</f>
        <v>72271.7</v>
      </c>
      <c r="I1509" s="506">
        <f>SUM(H1507:H1508)</f>
        <v>72271.701700000005</v>
      </c>
      <c r="J1509" s="1561"/>
      <c r="K1509" s="1561"/>
      <c r="L1509" s="1559"/>
      <c r="M1509" s="1614"/>
    </row>
    <row r="1510" spans="2:13" hidden="1">
      <c r="B1510" s="1659"/>
      <c r="C1510" s="1144"/>
      <c r="D1510" s="1143"/>
      <c r="E1510" s="1143"/>
      <c r="F1510" s="1145"/>
      <c r="G1510" s="1146"/>
      <c r="H1510" s="1147"/>
      <c r="M1510" s="1619"/>
    </row>
    <row r="1511" spans="2:13" hidden="1">
      <c r="B1511" s="1613" t="s">
        <v>3939</v>
      </c>
      <c r="C1511" s="1112" t="s">
        <v>2848</v>
      </c>
      <c r="D1511" s="1129"/>
      <c r="E1511" s="1129"/>
      <c r="F1511" s="1131"/>
      <c r="G1511" s="1132"/>
      <c r="H1511" s="1115"/>
      <c r="M1511" s="1619"/>
    </row>
    <row r="1512" spans="2:13" s="507" customFormat="1" ht="24.9" hidden="1" customHeight="1">
      <c r="B1512" s="1648" t="s">
        <v>1003</v>
      </c>
      <c r="C1512" s="1101" t="s">
        <v>1004</v>
      </c>
      <c r="D1512" s="1101" t="s">
        <v>1005</v>
      </c>
      <c r="E1512" s="1101" t="s">
        <v>1006</v>
      </c>
      <c r="F1512" s="1102" t="s">
        <v>1007</v>
      </c>
      <c r="G1512" s="1109" t="s">
        <v>2637</v>
      </c>
      <c r="H1512" s="1110" t="s">
        <v>2638</v>
      </c>
      <c r="J1512" s="1625"/>
      <c r="K1512" s="1625"/>
      <c r="L1512" s="1625"/>
      <c r="M1512" s="1626"/>
    </row>
    <row r="1513" spans="2:13" hidden="1">
      <c r="B1513" s="1649" t="s">
        <v>671</v>
      </c>
      <c r="C1513" s="1329" t="s">
        <v>672</v>
      </c>
      <c r="D1513" s="1331"/>
      <c r="E1513" s="1331"/>
      <c r="F1513" s="1334"/>
      <c r="G1513" s="1104"/>
      <c r="H1513" s="1106"/>
      <c r="M1513" s="1619"/>
    </row>
    <row r="1514" spans="2:13" hidden="1">
      <c r="B1514" s="1650"/>
      <c r="C1514" s="1332" t="s">
        <v>673</v>
      </c>
      <c r="D1514" s="1331" t="s">
        <v>674</v>
      </c>
      <c r="E1514" s="1331" t="s">
        <v>675</v>
      </c>
      <c r="F1514" s="1334">
        <v>4.0000000000000001E-3</v>
      </c>
      <c r="G1514" s="1104">
        <f>DUB!$I$10</f>
        <v>150000</v>
      </c>
      <c r="H1514" s="1106">
        <f>G1514*F1514</f>
        <v>600</v>
      </c>
      <c r="M1514" s="1619"/>
    </row>
    <row r="1515" spans="2:13" hidden="1">
      <c r="B1515" s="1650"/>
      <c r="C1515" s="1332" t="s">
        <v>731</v>
      </c>
      <c r="D1515" s="1331" t="s">
        <v>678</v>
      </c>
      <c r="E1515" s="1331" t="s">
        <v>675</v>
      </c>
      <c r="F1515" s="1334">
        <v>3.7999999999999999E-2</v>
      </c>
      <c r="G1515" s="1104">
        <f>DUB!$I$11</f>
        <v>187000</v>
      </c>
      <c r="H1515" s="1106">
        <f>G1515*F1515</f>
        <v>7106</v>
      </c>
      <c r="M1515" s="1619"/>
    </row>
    <row r="1516" spans="2:13" hidden="1">
      <c r="B1516" s="1650"/>
      <c r="C1516" s="1332" t="s">
        <v>751</v>
      </c>
      <c r="D1516" s="1331" t="s">
        <v>681</v>
      </c>
      <c r="E1516" s="1331" t="s">
        <v>675</v>
      </c>
      <c r="F1516" s="1334">
        <v>4.0000000000000001E-3</v>
      </c>
      <c r="G1516" s="1104">
        <f>DUB!$I$13</f>
        <v>240000</v>
      </c>
      <c r="H1516" s="1106">
        <f>G1516*F1516</f>
        <v>960</v>
      </c>
      <c r="M1516" s="1619"/>
    </row>
    <row r="1517" spans="2:13" hidden="1">
      <c r="B1517" s="1650"/>
      <c r="C1517" s="1332" t="s">
        <v>683</v>
      </c>
      <c r="D1517" s="1331" t="s">
        <v>684</v>
      </c>
      <c r="E1517" s="1331" t="s">
        <v>675</v>
      </c>
      <c r="F1517" s="1334">
        <v>1E-3</v>
      </c>
      <c r="G1517" s="1104">
        <f>DUB!$I$12</f>
        <v>225000</v>
      </c>
      <c r="H1517" s="1106">
        <f>G1517*F1517</f>
        <v>225</v>
      </c>
      <c r="M1517" s="1619"/>
    </row>
    <row r="1518" spans="2:13" hidden="1">
      <c r="B1518" s="1650"/>
      <c r="C1518" s="1332"/>
      <c r="D1518" s="1331"/>
      <c r="E1518" s="1331"/>
      <c r="F1518" s="2074" t="s">
        <v>685</v>
      </c>
      <c r="G1518" s="2074"/>
      <c r="H1518" s="1106">
        <f>SUM(H1514:H1517)</f>
        <v>8891</v>
      </c>
      <c r="M1518" s="1619"/>
    </row>
    <row r="1519" spans="2:13" hidden="1">
      <c r="B1519" s="1649" t="s">
        <v>686</v>
      </c>
      <c r="C1519" s="1329" t="s">
        <v>687</v>
      </c>
      <c r="D1519" s="1331"/>
      <c r="E1519" s="1331"/>
      <c r="F1519" s="1334"/>
      <c r="G1519" s="1104"/>
      <c r="H1519" s="1106"/>
      <c r="M1519" s="1619"/>
    </row>
    <row r="1520" spans="2:13" hidden="1">
      <c r="B1520" s="1650"/>
      <c r="C1520" s="1332" t="s">
        <v>904</v>
      </c>
      <c r="D1520" s="1331"/>
      <c r="E1520" s="1331" t="s">
        <v>2646</v>
      </c>
      <c r="F1520" s="1334">
        <v>4.0000000000000001E-3</v>
      </c>
      <c r="G1520" s="1152">
        <f>DUB!$I$85</f>
        <v>6250000</v>
      </c>
      <c r="H1520" s="1106">
        <f>G1520*F1520</f>
        <v>25000</v>
      </c>
      <c r="M1520" s="1619"/>
    </row>
    <row r="1521" spans="2:13" hidden="1">
      <c r="B1521" s="1650"/>
      <c r="C1521" s="1332" t="s">
        <v>905</v>
      </c>
      <c r="D1521" s="1331"/>
      <c r="E1521" s="1331" t="s">
        <v>715</v>
      </c>
      <c r="F1521" s="1334">
        <v>4.8000000000000001E-2</v>
      </c>
      <c r="G1521" s="1104">
        <f>DUB!$I$97</f>
        <v>348075</v>
      </c>
      <c r="H1521" s="1106">
        <f>G1521*F1521</f>
        <v>16707.599999999999</v>
      </c>
      <c r="M1521" s="1619"/>
    </row>
    <row r="1522" spans="2:13" hidden="1">
      <c r="B1522" s="1650"/>
      <c r="C1522" s="1332" t="s">
        <v>861</v>
      </c>
      <c r="D1522" s="1331"/>
      <c r="E1522" s="1331" t="s">
        <v>896</v>
      </c>
      <c r="F1522" s="1334">
        <v>0.2</v>
      </c>
      <c r="G1522" s="1104">
        <f>DUB!$I$489</f>
        <v>13455</v>
      </c>
      <c r="H1522" s="1106">
        <f>G1522*F1522</f>
        <v>2691</v>
      </c>
      <c r="M1522" s="1619"/>
    </row>
    <row r="1523" spans="2:13" hidden="1">
      <c r="B1523" s="1650"/>
      <c r="C1523" s="1332" t="s">
        <v>910</v>
      </c>
      <c r="D1523" s="1331"/>
      <c r="E1523" s="1331" t="s">
        <v>690</v>
      </c>
      <c r="F1523" s="1334">
        <v>4.5999999999999999E-2</v>
      </c>
      <c r="G1523" s="1104">
        <f>DUB!I128</f>
        <v>20441.7</v>
      </c>
      <c r="H1523" s="1106">
        <f>G1523*F1523</f>
        <v>940.31820000000005</v>
      </c>
      <c r="M1523" s="1619"/>
    </row>
    <row r="1524" spans="2:13" hidden="1">
      <c r="B1524" s="1650"/>
      <c r="C1524" s="1126" t="s">
        <v>3321</v>
      </c>
      <c r="D1524" s="1331"/>
      <c r="E1524" s="1331" t="s">
        <v>743</v>
      </c>
      <c r="F1524" s="1334">
        <v>0.69299999999999995</v>
      </c>
      <c r="G1524" s="1104">
        <f>DUB!$I$146</f>
        <v>7281</v>
      </c>
      <c r="H1524" s="1106">
        <f>G1524*F1524</f>
        <v>5045.7329999999993</v>
      </c>
      <c r="M1524" s="1619"/>
    </row>
    <row r="1525" spans="2:13" hidden="1">
      <c r="B1525" s="1650"/>
      <c r="C1525" s="1125"/>
      <c r="D1525" s="1333"/>
      <c r="E1525" s="1333"/>
      <c r="F1525" s="2074" t="s">
        <v>702</v>
      </c>
      <c r="G1525" s="2074"/>
      <c r="H1525" s="1106">
        <f>SUM(H1520:H1524)</f>
        <v>50384.6512</v>
      </c>
      <c r="M1525" s="1619"/>
    </row>
    <row r="1526" spans="2:13" s="496" customFormat="1" hidden="1">
      <c r="B1526" s="1649" t="s">
        <v>703</v>
      </c>
      <c r="C1526" s="2075" t="s">
        <v>3764</v>
      </c>
      <c r="D1526" s="2075"/>
      <c r="E1526" s="2075"/>
      <c r="F1526" s="2075"/>
      <c r="G1526" s="2075"/>
      <c r="H1526" s="1107">
        <f>H1518+H1525</f>
        <v>59275.6512</v>
      </c>
      <c r="J1526" s="1559"/>
      <c r="K1526" s="1559"/>
      <c r="L1526" s="1559"/>
      <c r="M1526" s="1614"/>
    </row>
    <row r="1527" spans="2:13" s="496" customFormat="1" hidden="1">
      <c r="B1527" s="1649" t="s">
        <v>706</v>
      </c>
      <c r="C1527" s="2076" t="s">
        <v>876</v>
      </c>
      <c r="D1527" s="2076"/>
      <c r="E1527" s="2076"/>
      <c r="F1527" s="2077" t="s">
        <v>3873</v>
      </c>
      <c r="G1527" s="2077"/>
      <c r="H1527" s="1107">
        <f>H1526*0.15</f>
        <v>8891.3476799999989</v>
      </c>
      <c r="J1527" s="1559"/>
      <c r="K1527" s="1559"/>
      <c r="L1527" s="1559"/>
      <c r="M1527" s="1614"/>
    </row>
    <row r="1528" spans="2:13" s="496" customFormat="1" hidden="1">
      <c r="B1528" s="1649" t="s">
        <v>708</v>
      </c>
      <c r="C1528" s="2078" t="s">
        <v>3765</v>
      </c>
      <c r="D1528" s="2078"/>
      <c r="E1528" s="2078"/>
      <c r="F1528" s="2078"/>
      <c r="G1528" s="2078"/>
      <c r="H1528" s="1107">
        <f>ROUND(SUM(H1526:H1527),2)</f>
        <v>68167</v>
      </c>
      <c r="I1528" s="506">
        <f>SUM(H1526:H1527)</f>
        <v>68166.998879999999</v>
      </c>
      <c r="J1528" s="1561"/>
      <c r="K1528" s="1561"/>
      <c r="L1528" s="1559"/>
      <c r="M1528" s="1614"/>
    </row>
    <row r="1529" spans="2:13" hidden="1">
      <c r="B1529" s="1624"/>
      <c r="F1529" s="1172"/>
      <c r="G1529" s="1173"/>
      <c r="H1529" s="1133"/>
      <c r="M1529" s="1619"/>
    </row>
    <row r="1530" spans="2:13" hidden="1">
      <c r="B1530" s="1613" t="s">
        <v>3940</v>
      </c>
      <c r="C1530" s="1232" t="s">
        <v>2849</v>
      </c>
      <c r="F1530" s="1172"/>
      <c r="G1530" s="1173"/>
      <c r="H1530" s="1133"/>
      <c r="M1530" s="1619"/>
    </row>
    <row r="1531" spans="2:13" s="507" customFormat="1" ht="24.9" hidden="1" customHeight="1">
      <c r="B1531" s="1648" t="s">
        <v>1003</v>
      </c>
      <c r="C1531" s="1101" t="s">
        <v>1004</v>
      </c>
      <c r="D1531" s="1101" t="s">
        <v>1005</v>
      </c>
      <c r="E1531" s="1101" t="s">
        <v>1006</v>
      </c>
      <c r="F1531" s="1102" t="s">
        <v>1007</v>
      </c>
      <c r="G1531" s="1109" t="s">
        <v>2637</v>
      </c>
      <c r="H1531" s="1110" t="s">
        <v>2638</v>
      </c>
      <c r="J1531" s="1625"/>
      <c r="K1531" s="1625"/>
      <c r="L1531" s="1625"/>
      <c r="M1531" s="1626"/>
    </row>
    <row r="1532" spans="2:13" hidden="1">
      <c r="B1532" s="1649" t="s">
        <v>671</v>
      </c>
      <c r="C1532" s="1329" t="s">
        <v>672</v>
      </c>
      <c r="D1532" s="1331"/>
      <c r="E1532" s="1331"/>
      <c r="F1532" s="1334"/>
      <c r="G1532" s="1104"/>
      <c r="H1532" s="1106"/>
      <c r="M1532" s="1619"/>
    </row>
    <row r="1533" spans="2:13" hidden="1">
      <c r="B1533" s="1650"/>
      <c r="C1533" s="1332" t="s">
        <v>673</v>
      </c>
      <c r="D1533" s="1331" t="s">
        <v>674</v>
      </c>
      <c r="E1533" s="1331" t="s">
        <v>675</v>
      </c>
      <c r="F1533" s="1334">
        <v>5.2999999999999999E-2</v>
      </c>
      <c r="G1533" s="1104">
        <f>DUB!$I$10</f>
        <v>150000</v>
      </c>
      <c r="H1533" s="1106">
        <f>G1533*F1533</f>
        <v>7950</v>
      </c>
      <c r="M1533" s="1619"/>
    </row>
    <row r="1534" spans="2:13" hidden="1">
      <c r="B1534" s="1650"/>
      <c r="C1534" s="1332" t="s">
        <v>871</v>
      </c>
      <c r="D1534" s="1331" t="s">
        <v>678</v>
      </c>
      <c r="E1534" s="1331" t="s">
        <v>675</v>
      </c>
      <c r="F1534" s="1334">
        <v>1.7999999999999999E-2</v>
      </c>
      <c r="G1534" s="1104">
        <f>DUB!$I$11</f>
        <v>187000</v>
      </c>
      <c r="H1534" s="1106">
        <f>G1534*F1534</f>
        <v>3365.9999999999995</v>
      </c>
      <c r="M1534" s="1619"/>
    </row>
    <row r="1535" spans="2:13" hidden="1">
      <c r="B1535" s="1650"/>
      <c r="C1535" s="1332" t="s">
        <v>683</v>
      </c>
      <c r="D1535" s="1331" t="s">
        <v>684</v>
      </c>
      <c r="E1535" s="1331" t="s">
        <v>675</v>
      </c>
      <c r="F1535" s="1334">
        <v>5.0000000000000001E-3</v>
      </c>
      <c r="G1535" s="1104">
        <f>DUB!$I$12</f>
        <v>225000</v>
      </c>
      <c r="H1535" s="1106">
        <f>G1535*F1535</f>
        <v>1125</v>
      </c>
      <c r="M1535" s="1619"/>
    </row>
    <row r="1536" spans="2:13" hidden="1">
      <c r="B1536" s="1650"/>
      <c r="C1536" s="1332"/>
      <c r="D1536" s="1331"/>
      <c r="E1536" s="1331"/>
      <c r="F1536" s="2091" t="s">
        <v>685</v>
      </c>
      <c r="G1536" s="2091"/>
      <c r="H1536" s="1106">
        <f>SUM(H1533:H1535)</f>
        <v>12441</v>
      </c>
      <c r="M1536" s="1619"/>
    </row>
    <row r="1537" spans="2:13" hidden="1">
      <c r="B1537" s="1649" t="s">
        <v>686</v>
      </c>
      <c r="C1537" s="1329" t="s">
        <v>687</v>
      </c>
      <c r="D1537" s="1331"/>
      <c r="E1537" s="1331"/>
      <c r="F1537" s="1334"/>
      <c r="G1537" s="1104"/>
      <c r="H1537" s="1106"/>
      <c r="M1537" s="1619"/>
    </row>
    <row r="1538" spans="2:13" hidden="1">
      <c r="B1538" s="1650"/>
      <c r="C1538" s="1332"/>
      <c r="D1538" s="1331"/>
      <c r="E1538" s="1331"/>
      <c r="F1538" s="2091" t="s">
        <v>702</v>
      </c>
      <c r="G1538" s="2091"/>
      <c r="H1538" s="1106"/>
      <c r="M1538" s="1619"/>
    </row>
    <row r="1539" spans="2:13" s="496" customFormat="1" hidden="1">
      <c r="B1539" s="1649" t="s">
        <v>703</v>
      </c>
      <c r="C1539" s="2075" t="s">
        <v>3764</v>
      </c>
      <c r="D1539" s="2075"/>
      <c r="E1539" s="2075"/>
      <c r="F1539" s="2075"/>
      <c r="G1539" s="2075"/>
      <c r="H1539" s="1107">
        <f>H1536+H1538</f>
        <v>12441</v>
      </c>
      <c r="J1539" s="1559"/>
      <c r="K1539" s="1559"/>
      <c r="L1539" s="1559"/>
      <c r="M1539" s="1614"/>
    </row>
    <row r="1540" spans="2:13" s="496" customFormat="1" hidden="1">
      <c r="B1540" s="1649" t="s">
        <v>706</v>
      </c>
      <c r="C1540" s="2076" t="s">
        <v>876</v>
      </c>
      <c r="D1540" s="2076"/>
      <c r="E1540" s="2076"/>
      <c r="F1540" s="2077" t="s">
        <v>3873</v>
      </c>
      <c r="G1540" s="2077"/>
      <c r="H1540" s="1107">
        <f>H1539*0.15</f>
        <v>1866.1499999999999</v>
      </c>
      <c r="J1540" s="1559"/>
      <c r="K1540" s="1559"/>
      <c r="L1540" s="1559"/>
      <c r="M1540" s="1614"/>
    </row>
    <row r="1541" spans="2:13" s="496" customFormat="1" hidden="1">
      <c r="B1541" s="1649" t="s">
        <v>708</v>
      </c>
      <c r="C1541" s="2075" t="s">
        <v>3765</v>
      </c>
      <c r="D1541" s="2075"/>
      <c r="E1541" s="2075"/>
      <c r="F1541" s="2075"/>
      <c r="G1541" s="2075"/>
      <c r="H1541" s="1107">
        <f>ROUND(SUM(H1539:H1540),2)</f>
        <v>14307.15</v>
      </c>
      <c r="I1541" s="506">
        <f>SUM(H1539:H1540)</f>
        <v>14307.15</v>
      </c>
      <c r="J1541" s="1561"/>
      <c r="K1541" s="1561"/>
      <c r="L1541" s="1559"/>
      <c r="M1541" s="1614"/>
    </row>
    <row r="1542" spans="2:13" hidden="1">
      <c r="B1542" s="1659"/>
      <c r="C1542" s="1144"/>
      <c r="D1542" s="1143"/>
      <c r="E1542" s="1143"/>
      <c r="F1542" s="1145"/>
      <c r="G1542" s="1146"/>
      <c r="H1542" s="1147"/>
      <c r="M1542" s="1619"/>
    </row>
    <row r="1543" spans="2:13" hidden="1">
      <c r="B1543" s="1613" t="s">
        <v>3941</v>
      </c>
      <c r="C1543" s="1112" t="s">
        <v>2850</v>
      </c>
      <c r="D1543" s="1129"/>
      <c r="E1543" s="1129"/>
      <c r="F1543" s="1131"/>
      <c r="G1543" s="1132"/>
      <c r="H1543" s="1115"/>
      <c r="M1543" s="1619"/>
    </row>
    <row r="1544" spans="2:13" s="507" customFormat="1" ht="24.9" hidden="1" customHeight="1">
      <c r="B1544" s="1648" t="s">
        <v>1003</v>
      </c>
      <c r="C1544" s="1101" t="s">
        <v>1004</v>
      </c>
      <c r="D1544" s="1101" t="s">
        <v>1005</v>
      </c>
      <c r="E1544" s="1101" t="s">
        <v>1006</v>
      </c>
      <c r="F1544" s="1102" t="s">
        <v>1007</v>
      </c>
      <c r="G1544" s="1109" t="s">
        <v>2637</v>
      </c>
      <c r="H1544" s="1110" t="s">
        <v>2638</v>
      </c>
      <c r="J1544" s="1625"/>
      <c r="K1544" s="1625"/>
      <c r="L1544" s="1625"/>
      <c r="M1544" s="1626"/>
    </row>
    <row r="1545" spans="2:13" hidden="1">
      <c r="B1545" s="1649" t="s">
        <v>671</v>
      </c>
      <c r="C1545" s="1329" t="s">
        <v>672</v>
      </c>
      <c r="D1545" s="1331"/>
      <c r="E1545" s="1331"/>
      <c r="F1545" s="1334"/>
      <c r="G1545" s="1104"/>
      <c r="H1545" s="1106"/>
      <c r="M1545" s="1619"/>
    </row>
    <row r="1546" spans="2:13" hidden="1">
      <c r="B1546" s="1650"/>
      <c r="C1546" s="1332" t="s">
        <v>673</v>
      </c>
      <c r="D1546" s="1331" t="s">
        <v>674</v>
      </c>
      <c r="E1546" s="1331" t="s">
        <v>675</v>
      </c>
      <c r="F1546" s="1334">
        <v>8.8999999999999996E-2</v>
      </c>
      <c r="G1546" s="1104">
        <f>DUB!$I$10</f>
        <v>150000</v>
      </c>
      <c r="H1546" s="1106">
        <f>G1546*F1546</f>
        <v>13350</v>
      </c>
      <c r="M1546" s="1619"/>
    </row>
    <row r="1547" spans="2:13" hidden="1">
      <c r="B1547" s="1650"/>
      <c r="C1547" s="1332" t="s">
        <v>871</v>
      </c>
      <c r="D1547" s="1331" t="s">
        <v>678</v>
      </c>
      <c r="E1547" s="1331" t="s">
        <v>675</v>
      </c>
      <c r="F1547" s="1334">
        <v>0.03</v>
      </c>
      <c r="G1547" s="1104">
        <f>DUB!$I$11</f>
        <v>187000</v>
      </c>
      <c r="H1547" s="1106">
        <f>G1547*F1547</f>
        <v>5610</v>
      </c>
      <c r="M1547" s="1619"/>
    </row>
    <row r="1548" spans="2:13" hidden="1">
      <c r="B1548" s="1650"/>
      <c r="C1548" s="1332" t="s">
        <v>683</v>
      </c>
      <c r="D1548" s="1331" t="s">
        <v>684</v>
      </c>
      <c r="E1548" s="1331" t="s">
        <v>675</v>
      </c>
      <c r="F1548" s="1334">
        <v>5.0000000000000001E-3</v>
      </c>
      <c r="G1548" s="1104">
        <f>DUB!$I$12</f>
        <v>225000</v>
      </c>
      <c r="H1548" s="1106">
        <f>G1548*F1548</f>
        <v>1125</v>
      </c>
      <c r="M1548" s="1619"/>
    </row>
    <row r="1549" spans="2:13" hidden="1">
      <c r="B1549" s="1650"/>
      <c r="C1549" s="1332"/>
      <c r="D1549" s="1331"/>
      <c r="E1549" s="1331"/>
      <c r="F1549" s="2074" t="s">
        <v>685</v>
      </c>
      <c r="G1549" s="2074"/>
      <c r="H1549" s="1106">
        <f>SUM(H1546:H1548)</f>
        <v>20085</v>
      </c>
      <c r="M1549" s="1619"/>
    </row>
    <row r="1550" spans="2:13" hidden="1">
      <c r="B1550" s="1649" t="s">
        <v>686</v>
      </c>
      <c r="C1550" s="1329" t="s">
        <v>687</v>
      </c>
      <c r="D1550" s="1331"/>
      <c r="E1550" s="1331"/>
      <c r="F1550" s="1334"/>
      <c r="G1550" s="1104"/>
      <c r="H1550" s="1106"/>
      <c r="M1550" s="1619"/>
    </row>
    <row r="1551" spans="2:13" hidden="1">
      <c r="B1551" s="1650"/>
      <c r="C1551" s="1332"/>
      <c r="D1551" s="1331"/>
      <c r="E1551" s="1331"/>
      <c r="F1551" s="2090" t="s">
        <v>702</v>
      </c>
      <c r="G1551" s="2090"/>
      <c r="H1551" s="1106"/>
      <c r="M1551" s="1619"/>
    </row>
    <row r="1552" spans="2:13" s="496" customFormat="1" hidden="1">
      <c r="B1552" s="1649" t="s">
        <v>703</v>
      </c>
      <c r="C1552" s="2075" t="s">
        <v>3764</v>
      </c>
      <c r="D1552" s="2075"/>
      <c r="E1552" s="2075"/>
      <c r="F1552" s="2075"/>
      <c r="G1552" s="2075"/>
      <c r="H1552" s="1107">
        <f>H1549+H1551</f>
        <v>20085</v>
      </c>
      <c r="J1552" s="1559"/>
      <c r="K1552" s="1559"/>
      <c r="L1552" s="1559"/>
      <c r="M1552" s="1614"/>
    </row>
    <row r="1553" spans="2:13" s="496" customFormat="1" hidden="1">
      <c r="B1553" s="1649" t="s">
        <v>706</v>
      </c>
      <c r="C1553" s="2076" t="s">
        <v>876</v>
      </c>
      <c r="D1553" s="2076"/>
      <c r="E1553" s="2076"/>
      <c r="F1553" s="2077" t="s">
        <v>3873</v>
      </c>
      <c r="G1553" s="2077"/>
      <c r="H1553" s="1107">
        <f>H1552*0.15</f>
        <v>3012.75</v>
      </c>
      <c r="J1553" s="1559"/>
      <c r="K1553" s="1559"/>
      <c r="L1553" s="1559"/>
      <c r="M1553" s="1614"/>
    </row>
    <row r="1554" spans="2:13" s="496" customFormat="1" hidden="1">
      <c r="B1554" s="1649" t="s">
        <v>708</v>
      </c>
      <c r="C1554" s="2078" t="s">
        <v>3765</v>
      </c>
      <c r="D1554" s="2078"/>
      <c r="E1554" s="2078"/>
      <c r="F1554" s="2078"/>
      <c r="G1554" s="2078"/>
      <c r="H1554" s="1107">
        <f>ROUND(SUM(H1552:H1553),2)</f>
        <v>23097.75</v>
      </c>
      <c r="I1554" s="506">
        <f>SUM(H1552:H1553)</f>
        <v>23097.75</v>
      </c>
      <c r="J1554" s="1561"/>
      <c r="K1554" s="1561"/>
      <c r="L1554" s="1559"/>
      <c r="M1554" s="1614"/>
    </row>
    <row r="1555" spans="2:13" hidden="1">
      <c r="B1555" s="1659"/>
      <c r="C1555" s="1144"/>
      <c r="D1555" s="1143"/>
      <c r="E1555" s="1143"/>
      <c r="F1555" s="1145"/>
      <c r="G1555" s="1146"/>
      <c r="H1555" s="1147"/>
      <c r="M1555" s="1619"/>
    </row>
    <row r="1556" spans="2:13" hidden="1">
      <c r="B1556" s="1615" t="s">
        <v>3942</v>
      </c>
      <c r="C1556" s="1112" t="s">
        <v>2851</v>
      </c>
      <c r="D1556" s="1129"/>
      <c r="E1556" s="1129"/>
      <c r="F1556" s="1131"/>
      <c r="G1556" s="1132"/>
      <c r="H1556" s="1115"/>
      <c r="M1556" s="1619"/>
    </row>
    <row r="1557" spans="2:13" s="507" customFormat="1" ht="24.9" hidden="1" customHeight="1">
      <c r="B1557" s="1648" t="s">
        <v>1003</v>
      </c>
      <c r="C1557" s="1101" t="s">
        <v>1004</v>
      </c>
      <c r="D1557" s="1101" t="s">
        <v>1005</v>
      </c>
      <c r="E1557" s="1101" t="s">
        <v>1006</v>
      </c>
      <c r="F1557" s="1102" t="s">
        <v>1007</v>
      </c>
      <c r="G1557" s="1109" t="s">
        <v>2637</v>
      </c>
      <c r="H1557" s="1110" t="s">
        <v>2638</v>
      </c>
      <c r="J1557" s="1625"/>
      <c r="K1557" s="1625"/>
      <c r="L1557" s="1625"/>
      <c r="M1557" s="1626"/>
    </row>
    <row r="1558" spans="2:13" hidden="1">
      <c r="B1558" s="1649" t="s">
        <v>671</v>
      </c>
      <c r="C1558" s="1329" t="s">
        <v>672</v>
      </c>
      <c r="D1558" s="1331"/>
      <c r="E1558" s="1331"/>
      <c r="F1558" s="1334"/>
      <c r="G1558" s="1104"/>
      <c r="H1558" s="1106"/>
      <c r="M1558" s="1619"/>
    </row>
    <row r="1559" spans="2:13" hidden="1">
      <c r="B1559" s="1650"/>
      <c r="C1559" s="1332" t="s">
        <v>673</v>
      </c>
      <c r="D1559" s="1331" t="s">
        <v>674</v>
      </c>
      <c r="E1559" s="1331" t="s">
        <v>675</v>
      </c>
      <c r="F1559" s="1334">
        <v>7.0999999999999994E-2</v>
      </c>
      <c r="G1559" s="1104">
        <f>DUB!$I$10</f>
        <v>150000</v>
      </c>
      <c r="H1559" s="1106">
        <f>G1559*F1559</f>
        <v>10649.999999999998</v>
      </c>
      <c r="M1559" s="1619"/>
    </row>
    <row r="1560" spans="2:13" hidden="1">
      <c r="B1560" s="1650"/>
      <c r="C1560" s="1332" t="s">
        <v>871</v>
      </c>
      <c r="D1560" s="1331" t="s">
        <v>678</v>
      </c>
      <c r="E1560" s="1331" t="s">
        <v>675</v>
      </c>
      <c r="F1560" s="1334">
        <v>2.4E-2</v>
      </c>
      <c r="G1560" s="1104">
        <f>DUB!$I$11</f>
        <v>187000</v>
      </c>
      <c r="H1560" s="1106">
        <f>G1560*F1560</f>
        <v>4488</v>
      </c>
      <c r="M1560" s="1619"/>
    </row>
    <row r="1561" spans="2:13" hidden="1">
      <c r="B1561" s="1650"/>
      <c r="C1561" s="1332" t="s">
        <v>683</v>
      </c>
      <c r="D1561" s="1331" t="s">
        <v>684</v>
      </c>
      <c r="E1561" s="1331" t="s">
        <v>675</v>
      </c>
      <c r="F1561" s="1334">
        <v>5.0000000000000001E-3</v>
      </c>
      <c r="G1561" s="1104">
        <f>DUB!$I$12</f>
        <v>225000</v>
      </c>
      <c r="H1561" s="1106">
        <f>G1561*F1561</f>
        <v>1125</v>
      </c>
      <c r="M1561" s="1619"/>
    </row>
    <row r="1562" spans="2:13" hidden="1">
      <c r="B1562" s="1650"/>
      <c r="C1562" s="1332"/>
      <c r="D1562" s="1331"/>
      <c r="E1562" s="1331"/>
      <c r="F1562" s="2074" t="s">
        <v>685</v>
      </c>
      <c r="G1562" s="2074"/>
      <c r="H1562" s="1106">
        <f>SUM(H1559:H1561)</f>
        <v>16262.999999999998</v>
      </c>
      <c r="M1562" s="1619"/>
    </row>
    <row r="1563" spans="2:13" hidden="1">
      <c r="B1563" s="1649" t="s">
        <v>686</v>
      </c>
      <c r="C1563" s="1329" t="s">
        <v>687</v>
      </c>
      <c r="D1563" s="1331"/>
      <c r="E1563" s="1331"/>
      <c r="F1563" s="1334"/>
      <c r="G1563" s="1104"/>
      <c r="H1563" s="1106"/>
      <c r="M1563" s="1619"/>
    </row>
    <row r="1564" spans="2:13" hidden="1">
      <c r="B1564" s="1650"/>
      <c r="C1564" s="1332"/>
      <c r="D1564" s="1331"/>
      <c r="E1564" s="1331"/>
      <c r="F1564" s="2090" t="s">
        <v>702</v>
      </c>
      <c r="G1564" s="2090"/>
      <c r="H1564" s="1106"/>
      <c r="M1564" s="1619"/>
    </row>
    <row r="1565" spans="2:13" s="496" customFormat="1" hidden="1">
      <c r="B1565" s="1649" t="s">
        <v>703</v>
      </c>
      <c r="C1565" s="2089" t="s">
        <v>3764</v>
      </c>
      <c r="D1565" s="2089"/>
      <c r="E1565" s="2089"/>
      <c r="F1565" s="2089"/>
      <c r="G1565" s="2089"/>
      <c r="H1565" s="1107">
        <f>H1562+H1564</f>
        <v>16262.999999999998</v>
      </c>
      <c r="J1565" s="1559"/>
      <c r="K1565" s="1559"/>
      <c r="L1565" s="1559"/>
      <c r="M1565" s="1614"/>
    </row>
    <row r="1566" spans="2:13" s="496" customFormat="1" hidden="1">
      <c r="B1566" s="1649" t="s">
        <v>706</v>
      </c>
      <c r="C1566" s="2076" t="s">
        <v>876</v>
      </c>
      <c r="D1566" s="2076"/>
      <c r="E1566" s="2076"/>
      <c r="F1566" s="2077" t="s">
        <v>3873</v>
      </c>
      <c r="G1566" s="2077"/>
      <c r="H1566" s="1107">
        <f>H1565*0.15</f>
        <v>2439.4499999999998</v>
      </c>
      <c r="J1566" s="1559"/>
      <c r="K1566" s="1559"/>
      <c r="L1566" s="1559"/>
      <c r="M1566" s="1614"/>
    </row>
    <row r="1567" spans="2:13" s="496" customFormat="1" hidden="1">
      <c r="B1567" s="1649" t="s">
        <v>708</v>
      </c>
      <c r="C1567" s="2078" t="s">
        <v>3765</v>
      </c>
      <c r="D1567" s="2078"/>
      <c r="E1567" s="2078"/>
      <c r="F1567" s="2078"/>
      <c r="G1567" s="2078"/>
      <c r="H1567" s="1107">
        <f>ROUND(SUM(H1565:H1566),2)</f>
        <v>18702.45</v>
      </c>
      <c r="I1567" s="506">
        <f>SUM(H1565:H1566)</f>
        <v>18702.449999999997</v>
      </c>
      <c r="J1567" s="1561"/>
      <c r="K1567" s="1561"/>
      <c r="L1567" s="1559"/>
      <c r="M1567" s="1614"/>
    </row>
    <row r="1568" spans="2:13" hidden="1">
      <c r="B1568" s="1624"/>
      <c r="F1568" s="1172"/>
      <c r="G1568" s="1173"/>
      <c r="H1568" s="1133"/>
      <c r="M1568" s="1619"/>
    </row>
    <row r="1569" spans="2:13" hidden="1">
      <c r="B1569" s="1613" t="s">
        <v>3943</v>
      </c>
      <c r="C1569" s="1232" t="s">
        <v>2852</v>
      </c>
      <c r="F1569" s="1172"/>
      <c r="G1569" s="1173"/>
      <c r="H1569" s="1133"/>
      <c r="M1569" s="1619"/>
    </row>
    <row r="1570" spans="2:13" s="507" customFormat="1" ht="24.9" hidden="1" customHeight="1">
      <c r="B1570" s="1648" t="s">
        <v>1003</v>
      </c>
      <c r="C1570" s="1101" t="s">
        <v>1004</v>
      </c>
      <c r="D1570" s="1101" t="s">
        <v>1005</v>
      </c>
      <c r="E1570" s="1101" t="s">
        <v>1006</v>
      </c>
      <c r="F1570" s="1102" t="s">
        <v>1007</v>
      </c>
      <c r="G1570" s="1109" t="s">
        <v>2637</v>
      </c>
      <c r="H1570" s="1110" t="s">
        <v>2638</v>
      </c>
      <c r="J1570" s="1625"/>
      <c r="K1570" s="1625"/>
      <c r="L1570" s="1625"/>
      <c r="M1570" s="1626"/>
    </row>
    <row r="1571" spans="2:13" hidden="1">
      <c r="B1571" s="1649" t="s">
        <v>671</v>
      </c>
      <c r="C1571" s="1329" t="s">
        <v>672</v>
      </c>
      <c r="D1571" s="1331"/>
      <c r="E1571" s="1331"/>
      <c r="F1571" s="1334"/>
      <c r="G1571" s="1104"/>
      <c r="H1571" s="1106"/>
      <c r="M1571" s="1619"/>
    </row>
    <row r="1572" spans="2:13" hidden="1">
      <c r="B1572" s="1650"/>
      <c r="C1572" s="1332" t="s">
        <v>673</v>
      </c>
      <c r="D1572" s="1331" t="s">
        <v>674</v>
      </c>
      <c r="E1572" s="1331" t="s">
        <v>675</v>
      </c>
      <c r="F1572" s="1334">
        <v>6.4000000000000001E-2</v>
      </c>
      <c r="G1572" s="1104">
        <f>DUB!$I$10</f>
        <v>150000</v>
      </c>
      <c r="H1572" s="1106">
        <f>G1572*F1572</f>
        <v>9600</v>
      </c>
      <c r="M1572" s="1619"/>
    </row>
    <row r="1573" spans="2:13" hidden="1">
      <c r="B1573" s="1650"/>
      <c r="C1573" s="1332" t="s">
        <v>731</v>
      </c>
      <c r="D1573" s="1331" t="s">
        <v>678</v>
      </c>
      <c r="E1573" s="1331" t="s">
        <v>675</v>
      </c>
      <c r="F1573" s="1334">
        <v>0.24399999999999999</v>
      </c>
      <c r="G1573" s="1104">
        <f>DUB!$I$11</f>
        <v>187000</v>
      </c>
      <c r="H1573" s="1106">
        <f>G1573*F1573</f>
        <v>45628</v>
      </c>
      <c r="M1573" s="1619"/>
    </row>
    <row r="1574" spans="2:13" hidden="1">
      <c r="B1574" s="1650"/>
      <c r="C1574" s="1332" t="s">
        <v>917</v>
      </c>
      <c r="D1574" s="1331" t="s">
        <v>678</v>
      </c>
      <c r="E1574" s="1331" t="s">
        <v>675</v>
      </c>
      <c r="F1574" s="1334">
        <v>0.128</v>
      </c>
      <c r="G1574" s="1104">
        <f>DUB!$I$11</f>
        <v>187000</v>
      </c>
      <c r="H1574" s="1106">
        <f>G1574*F1574</f>
        <v>23936</v>
      </c>
      <c r="M1574" s="1619"/>
    </row>
    <row r="1575" spans="2:13" hidden="1">
      <c r="B1575" s="1650"/>
      <c r="C1575" s="1332" t="s">
        <v>680</v>
      </c>
      <c r="D1575" s="1331" t="s">
        <v>681</v>
      </c>
      <c r="E1575" s="1331" t="s">
        <v>675</v>
      </c>
      <c r="F1575" s="1334">
        <v>3.4000000000000002E-2</v>
      </c>
      <c r="G1575" s="1104">
        <f>DUB!$I$13</f>
        <v>240000</v>
      </c>
      <c r="H1575" s="1106">
        <f>G1575*F1575</f>
        <v>8160.0000000000009</v>
      </c>
      <c r="M1575" s="1619"/>
    </row>
    <row r="1576" spans="2:13" hidden="1">
      <c r="B1576" s="1650"/>
      <c r="C1576" s="1332" t="s">
        <v>683</v>
      </c>
      <c r="D1576" s="1331" t="s">
        <v>684</v>
      </c>
      <c r="E1576" s="1331" t="s">
        <v>675</v>
      </c>
      <c r="F1576" s="1334">
        <v>7.2999999999999995E-2</v>
      </c>
      <c r="G1576" s="1104">
        <f>DUB!$I$12</f>
        <v>225000</v>
      </c>
      <c r="H1576" s="1106">
        <f>G1576*F1576</f>
        <v>16425</v>
      </c>
      <c r="M1576" s="1619"/>
    </row>
    <row r="1577" spans="2:13" hidden="1">
      <c r="B1577" s="1650"/>
      <c r="C1577" s="1332"/>
      <c r="D1577" s="1331"/>
      <c r="E1577" s="1331"/>
      <c r="F1577" s="2074" t="s">
        <v>685</v>
      </c>
      <c r="G1577" s="2074"/>
      <c r="H1577" s="1106">
        <f>SUM(H1572:H1576)</f>
        <v>103749</v>
      </c>
      <c r="M1577" s="1619"/>
    </row>
    <row r="1578" spans="2:13" hidden="1">
      <c r="B1578" s="1649" t="s">
        <v>686</v>
      </c>
      <c r="C1578" s="1329" t="s">
        <v>687</v>
      </c>
      <c r="D1578" s="1331"/>
      <c r="E1578" s="1331"/>
      <c r="F1578" s="1334"/>
      <c r="G1578" s="1104"/>
      <c r="H1578" s="1106"/>
      <c r="M1578" s="1619"/>
    </row>
    <row r="1579" spans="2:13" hidden="1">
      <c r="B1579" s="1650"/>
      <c r="C1579" s="1125"/>
      <c r="D1579" s="1333"/>
      <c r="E1579" s="1333"/>
      <c r="F1579" s="2074" t="s">
        <v>702</v>
      </c>
      <c r="G1579" s="2074"/>
      <c r="H1579" s="1106"/>
      <c r="M1579" s="1619"/>
    </row>
    <row r="1580" spans="2:13" s="496" customFormat="1" hidden="1">
      <c r="B1580" s="1649" t="s">
        <v>703</v>
      </c>
      <c r="C1580" s="2075" t="s">
        <v>3764</v>
      </c>
      <c r="D1580" s="2075"/>
      <c r="E1580" s="2075"/>
      <c r="F1580" s="2075"/>
      <c r="G1580" s="2075"/>
      <c r="H1580" s="1107">
        <f>H1577+H1579</f>
        <v>103749</v>
      </c>
      <c r="J1580" s="1559"/>
      <c r="K1580" s="1559"/>
      <c r="L1580" s="1559"/>
      <c r="M1580" s="1614"/>
    </row>
    <row r="1581" spans="2:13" s="496" customFormat="1" hidden="1">
      <c r="B1581" s="1649" t="s">
        <v>706</v>
      </c>
      <c r="C1581" s="2076" t="s">
        <v>876</v>
      </c>
      <c r="D1581" s="2076"/>
      <c r="E1581" s="2076"/>
      <c r="F1581" s="2077" t="s">
        <v>3873</v>
      </c>
      <c r="G1581" s="2077"/>
      <c r="H1581" s="1107">
        <f>H1580*0.15</f>
        <v>15562.349999999999</v>
      </c>
      <c r="J1581" s="1559"/>
      <c r="K1581" s="1559"/>
      <c r="L1581" s="1559"/>
      <c r="M1581" s="1614"/>
    </row>
    <row r="1582" spans="2:13" s="496" customFormat="1" hidden="1">
      <c r="B1582" s="1649" t="s">
        <v>708</v>
      </c>
      <c r="C1582" s="2078" t="s">
        <v>3765</v>
      </c>
      <c r="D1582" s="2078"/>
      <c r="E1582" s="2078"/>
      <c r="F1582" s="2078"/>
      <c r="G1582" s="2078"/>
      <c r="H1582" s="1107">
        <f>ROUND(SUM(H1580:H1581),2)</f>
        <v>119311.35</v>
      </c>
      <c r="I1582" s="506">
        <f>SUM(H1580:H1581)</f>
        <v>119311.35</v>
      </c>
      <c r="J1582" s="1561"/>
      <c r="K1582" s="1561"/>
      <c r="L1582" s="1559"/>
      <c r="M1582" s="1614"/>
    </row>
    <row r="1583" spans="2:13" hidden="1">
      <c r="B1583" s="1659"/>
      <c r="C1583" s="1144"/>
      <c r="D1583" s="1143"/>
      <c r="E1583" s="1143"/>
      <c r="F1583" s="1145"/>
      <c r="G1583" s="1146"/>
      <c r="H1583" s="1147"/>
      <c r="M1583" s="1619"/>
    </row>
    <row r="1584" spans="2:13" hidden="1">
      <c r="B1584" s="1613" t="s">
        <v>3944</v>
      </c>
      <c r="C1584" s="1112" t="s">
        <v>2853</v>
      </c>
      <c r="D1584" s="1129"/>
      <c r="E1584" s="1129"/>
      <c r="F1584" s="1131"/>
      <c r="G1584" s="1132"/>
      <c r="H1584" s="1115"/>
      <c r="M1584" s="1619"/>
    </row>
    <row r="1585" spans="2:13" s="507" customFormat="1" ht="24.9" hidden="1" customHeight="1">
      <c r="B1585" s="1648" t="s">
        <v>1003</v>
      </c>
      <c r="C1585" s="1101" t="s">
        <v>1004</v>
      </c>
      <c r="D1585" s="1101" t="s">
        <v>1005</v>
      </c>
      <c r="E1585" s="1101" t="s">
        <v>1006</v>
      </c>
      <c r="F1585" s="1102" t="s">
        <v>1007</v>
      </c>
      <c r="G1585" s="1109" t="s">
        <v>2637</v>
      </c>
      <c r="H1585" s="1110" t="s">
        <v>2638</v>
      </c>
      <c r="J1585" s="1625"/>
      <c r="K1585" s="1625"/>
      <c r="L1585" s="1625"/>
      <c r="M1585" s="1626"/>
    </row>
    <row r="1586" spans="2:13" hidden="1">
      <c r="B1586" s="1649" t="s">
        <v>671</v>
      </c>
      <c r="C1586" s="1329" t="s">
        <v>672</v>
      </c>
      <c r="D1586" s="1331"/>
      <c r="E1586" s="1331"/>
      <c r="F1586" s="1334"/>
      <c r="G1586" s="1104"/>
      <c r="H1586" s="1106"/>
      <c r="M1586" s="1619"/>
    </row>
    <row r="1587" spans="2:13" hidden="1">
      <c r="B1587" s="1650"/>
      <c r="C1587" s="1332" t="s">
        <v>673</v>
      </c>
      <c r="D1587" s="1331" t="s">
        <v>674</v>
      </c>
      <c r="E1587" s="1331" t="s">
        <v>675</v>
      </c>
      <c r="F1587" s="1334">
        <v>6.9000000000000006E-2</v>
      </c>
      <c r="G1587" s="1104">
        <f>DUB!$I$10</f>
        <v>150000</v>
      </c>
      <c r="H1587" s="1106">
        <f>G1587*F1587</f>
        <v>10350</v>
      </c>
      <c r="M1587" s="1619"/>
    </row>
    <row r="1588" spans="2:13" hidden="1">
      <c r="B1588" s="1650"/>
      <c r="C1588" s="1332" t="s">
        <v>731</v>
      </c>
      <c r="D1588" s="1331" t="s">
        <v>678</v>
      </c>
      <c r="E1588" s="1331" t="s">
        <v>675</v>
      </c>
      <c r="F1588" s="1334">
        <v>0.24199999999999999</v>
      </c>
      <c r="G1588" s="1104">
        <f>DUB!$I$11</f>
        <v>187000</v>
      </c>
      <c r="H1588" s="1106">
        <f>G1588*F1588</f>
        <v>45254</v>
      </c>
      <c r="M1588" s="1619"/>
    </row>
    <row r="1589" spans="2:13" hidden="1">
      <c r="B1589" s="1650"/>
      <c r="C1589" s="1332" t="s">
        <v>917</v>
      </c>
      <c r="D1589" s="1331" t="s">
        <v>678</v>
      </c>
      <c r="E1589" s="1331" t="s">
        <v>675</v>
      </c>
      <c r="F1589" s="1334">
        <v>0.13800000000000001</v>
      </c>
      <c r="G1589" s="1104">
        <f>DUB!$I$11</f>
        <v>187000</v>
      </c>
      <c r="H1589" s="1106">
        <f>G1589*F1589</f>
        <v>25806.000000000004</v>
      </c>
      <c r="M1589" s="1619"/>
    </row>
    <row r="1590" spans="2:13" hidden="1">
      <c r="B1590" s="1650"/>
      <c r="C1590" s="1332" t="s">
        <v>680</v>
      </c>
      <c r="D1590" s="1331" t="s">
        <v>681</v>
      </c>
      <c r="E1590" s="1331" t="s">
        <v>675</v>
      </c>
      <c r="F1590" s="1334">
        <v>3.6999999999999998E-2</v>
      </c>
      <c r="G1590" s="1104">
        <f>DUB!$I$13</f>
        <v>240000</v>
      </c>
      <c r="H1590" s="1106">
        <f>G1590*F1590</f>
        <v>8880</v>
      </c>
      <c r="M1590" s="1619"/>
    </row>
    <row r="1591" spans="2:13" hidden="1">
      <c r="B1591" s="1650"/>
      <c r="C1591" s="1332" t="s">
        <v>683</v>
      </c>
      <c r="D1591" s="1331" t="s">
        <v>684</v>
      </c>
      <c r="E1591" s="1331" t="s">
        <v>675</v>
      </c>
      <c r="F1591" s="1334">
        <v>7.2999999999999995E-2</v>
      </c>
      <c r="G1591" s="1104">
        <f>DUB!$I$12</f>
        <v>225000</v>
      </c>
      <c r="H1591" s="1106">
        <f>G1591*F1591</f>
        <v>16425</v>
      </c>
      <c r="M1591" s="1619"/>
    </row>
    <row r="1592" spans="2:13" hidden="1">
      <c r="B1592" s="1650"/>
      <c r="C1592" s="1332"/>
      <c r="D1592" s="1331"/>
      <c r="E1592" s="1331"/>
      <c r="F1592" s="2074" t="s">
        <v>685</v>
      </c>
      <c r="G1592" s="2074"/>
      <c r="H1592" s="1106">
        <f>SUM(H1587:H1591)</f>
        <v>106715</v>
      </c>
      <c r="M1592" s="1619"/>
    </row>
    <row r="1593" spans="2:13" hidden="1">
      <c r="B1593" s="1649" t="s">
        <v>686</v>
      </c>
      <c r="C1593" s="1329" t="s">
        <v>687</v>
      </c>
      <c r="D1593" s="1331"/>
      <c r="E1593" s="1331"/>
      <c r="F1593" s="1334"/>
      <c r="G1593" s="1104"/>
      <c r="H1593" s="1106"/>
      <c r="M1593" s="1619"/>
    </row>
    <row r="1594" spans="2:13" hidden="1">
      <c r="B1594" s="1650"/>
      <c r="C1594" s="1125"/>
      <c r="D1594" s="1333"/>
      <c r="E1594" s="1333"/>
      <c r="F1594" s="2074" t="s">
        <v>702</v>
      </c>
      <c r="G1594" s="2074"/>
      <c r="H1594" s="1106"/>
      <c r="M1594" s="1619"/>
    </row>
    <row r="1595" spans="2:13" s="496" customFormat="1" hidden="1">
      <c r="B1595" s="1649" t="s">
        <v>703</v>
      </c>
      <c r="C1595" s="2075" t="s">
        <v>3764</v>
      </c>
      <c r="D1595" s="2075"/>
      <c r="E1595" s="2075"/>
      <c r="F1595" s="2075"/>
      <c r="G1595" s="2075"/>
      <c r="H1595" s="1107">
        <f>H1592+H1594</f>
        <v>106715</v>
      </c>
      <c r="J1595" s="1559"/>
      <c r="K1595" s="1559"/>
      <c r="L1595" s="1559"/>
      <c r="M1595" s="1614"/>
    </row>
    <row r="1596" spans="2:13" s="496" customFormat="1" hidden="1">
      <c r="B1596" s="1649" t="s">
        <v>706</v>
      </c>
      <c r="C1596" s="2076" t="s">
        <v>876</v>
      </c>
      <c r="D1596" s="2076"/>
      <c r="E1596" s="2076"/>
      <c r="F1596" s="2077" t="s">
        <v>3873</v>
      </c>
      <c r="G1596" s="2077"/>
      <c r="H1596" s="1107">
        <f>H1595*0.15</f>
        <v>16007.25</v>
      </c>
      <c r="J1596" s="1559"/>
      <c r="K1596" s="1559"/>
      <c r="L1596" s="1559"/>
      <c r="M1596" s="1614"/>
    </row>
    <row r="1597" spans="2:13" s="496" customFormat="1" hidden="1">
      <c r="B1597" s="1649" t="s">
        <v>708</v>
      </c>
      <c r="C1597" s="2078" t="s">
        <v>3765</v>
      </c>
      <c r="D1597" s="2078"/>
      <c r="E1597" s="2078"/>
      <c r="F1597" s="2078"/>
      <c r="G1597" s="2078"/>
      <c r="H1597" s="1107">
        <f>ROUND(SUM(H1595:H1596),2)</f>
        <v>122722.25</v>
      </c>
      <c r="I1597" s="506">
        <f>SUM(H1595:H1596)</f>
        <v>122722.25</v>
      </c>
      <c r="J1597" s="1561"/>
      <c r="K1597" s="1561"/>
      <c r="L1597" s="1559"/>
      <c r="M1597" s="1614"/>
    </row>
    <row r="1598" spans="2:13" hidden="1">
      <c r="B1598" s="1624"/>
      <c r="F1598" s="1172"/>
      <c r="G1598" s="1173"/>
      <c r="H1598" s="1133"/>
      <c r="M1598" s="1619"/>
    </row>
    <row r="1599" spans="2:13" hidden="1">
      <c r="B1599" s="1613" t="s">
        <v>3945</v>
      </c>
      <c r="C1599" s="1232" t="s">
        <v>2854</v>
      </c>
      <c r="F1599" s="1172"/>
      <c r="G1599" s="1173"/>
      <c r="H1599" s="1133"/>
      <c r="M1599" s="1619"/>
    </row>
    <row r="1600" spans="2:13" s="507" customFormat="1" ht="24.9" hidden="1" customHeight="1">
      <c r="B1600" s="1648" t="s">
        <v>1003</v>
      </c>
      <c r="C1600" s="1101" t="s">
        <v>1004</v>
      </c>
      <c r="D1600" s="1101" t="s">
        <v>1005</v>
      </c>
      <c r="E1600" s="1101" t="s">
        <v>1006</v>
      </c>
      <c r="F1600" s="1102" t="s">
        <v>1007</v>
      </c>
      <c r="G1600" s="1109" t="s">
        <v>2637</v>
      </c>
      <c r="H1600" s="1110" t="s">
        <v>2638</v>
      </c>
      <c r="J1600" s="1625"/>
      <c r="K1600" s="1625"/>
      <c r="L1600" s="1625"/>
      <c r="M1600" s="1626"/>
    </row>
    <row r="1601" spans="2:13" hidden="1">
      <c r="B1601" s="1649" t="s">
        <v>671</v>
      </c>
      <c r="C1601" s="1329" t="s">
        <v>672</v>
      </c>
      <c r="D1601" s="1331"/>
      <c r="E1601" s="1331"/>
      <c r="F1601" s="1334"/>
      <c r="G1601" s="1104"/>
      <c r="H1601" s="1106"/>
      <c r="M1601" s="1619"/>
    </row>
    <row r="1602" spans="2:13" hidden="1">
      <c r="B1602" s="1650"/>
      <c r="C1602" s="1332" t="s">
        <v>673</v>
      </c>
      <c r="D1602" s="1331" t="s">
        <v>674</v>
      </c>
      <c r="E1602" s="1331" t="s">
        <v>675</v>
      </c>
      <c r="F1602" s="1334">
        <v>6.0999999999999999E-2</v>
      </c>
      <c r="G1602" s="1104">
        <f>DUB!$I$10</f>
        <v>150000</v>
      </c>
      <c r="H1602" s="1106">
        <f>G1602*F1602</f>
        <v>9150</v>
      </c>
      <c r="M1602" s="1619"/>
    </row>
    <row r="1603" spans="2:13" hidden="1">
      <c r="B1603" s="1650"/>
      <c r="C1603" s="1332" t="s">
        <v>731</v>
      </c>
      <c r="D1603" s="1331" t="s">
        <v>678</v>
      </c>
      <c r="E1603" s="1331" t="s">
        <v>675</v>
      </c>
      <c r="F1603" s="1334">
        <v>0.21299999999999999</v>
      </c>
      <c r="G1603" s="1104">
        <f>DUB!$I$11</f>
        <v>187000</v>
      </c>
      <c r="H1603" s="1106">
        <f>G1603*F1603</f>
        <v>39831</v>
      </c>
      <c r="M1603" s="1619"/>
    </row>
    <row r="1604" spans="2:13" hidden="1">
      <c r="B1604" s="1650"/>
      <c r="C1604" s="1332" t="s">
        <v>917</v>
      </c>
      <c r="D1604" s="1331" t="s">
        <v>678</v>
      </c>
      <c r="E1604" s="1331" t="s">
        <v>675</v>
      </c>
      <c r="F1604" s="1334">
        <v>0.122</v>
      </c>
      <c r="G1604" s="1104">
        <f>DUB!$I$11</f>
        <v>187000</v>
      </c>
      <c r="H1604" s="1106">
        <f>G1604*F1604</f>
        <v>22814</v>
      </c>
      <c r="M1604" s="1619"/>
    </row>
    <row r="1605" spans="2:13" hidden="1">
      <c r="B1605" s="1650"/>
      <c r="C1605" s="1332" t="s">
        <v>680</v>
      </c>
      <c r="D1605" s="1331" t="s">
        <v>681</v>
      </c>
      <c r="E1605" s="1331" t="s">
        <v>675</v>
      </c>
      <c r="F1605" s="1334">
        <v>3.3000000000000002E-2</v>
      </c>
      <c r="G1605" s="1104">
        <f>DUB!$I$13</f>
        <v>240000</v>
      </c>
      <c r="H1605" s="1106">
        <f>G1605*F1605</f>
        <v>7920</v>
      </c>
      <c r="M1605" s="1619"/>
    </row>
    <row r="1606" spans="2:13" hidden="1">
      <c r="B1606" s="1650"/>
      <c r="C1606" s="1332" t="s">
        <v>683</v>
      </c>
      <c r="D1606" s="1331" t="s">
        <v>684</v>
      </c>
      <c r="E1606" s="1331" t="s">
        <v>675</v>
      </c>
      <c r="F1606" s="1334">
        <v>7.2999999999999995E-2</v>
      </c>
      <c r="G1606" s="1104">
        <f>DUB!$I$12</f>
        <v>225000</v>
      </c>
      <c r="H1606" s="1106">
        <f>G1606*F1606</f>
        <v>16425</v>
      </c>
      <c r="M1606" s="1619"/>
    </row>
    <row r="1607" spans="2:13" hidden="1">
      <c r="B1607" s="1650"/>
      <c r="C1607" s="1332"/>
      <c r="D1607" s="1331"/>
      <c r="E1607" s="1331"/>
      <c r="F1607" s="2074" t="s">
        <v>685</v>
      </c>
      <c r="G1607" s="2074"/>
      <c r="H1607" s="1106">
        <f>SUM(H1602:H1606)</f>
        <v>96140</v>
      </c>
      <c r="M1607" s="1619"/>
    </row>
    <row r="1608" spans="2:13" hidden="1">
      <c r="B1608" s="1649" t="s">
        <v>686</v>
      </c>
      <c r="C1608" s="1329" t="s">
        <v>687</v>
      </c>
      <c r="D1608" s="1331"/>
      <c r="E1608" s="1331"/>
      <c r="F1608" s="1334"/>
      <c r="G1608" s="1104"/>
      <c r="H1608" s="1106"/>
      <c r="M1608" s="1619"/>
    </row>
    <row r="1609" spans="2:13" hidden="1">
      <c r="B1609" s="1650"/>
      <c r="C1609" s="1125"/>
      <c r="D1609" s="1333"/>
      <c r="E1609" s="1333"/>
      <c r="F1609" s="2074" t="s">
        <v>702</v>
      </c>
      <c r="G1609" s="2074"/>
      <c r="H1609" s="1106"/>
      <c r="M1609" s="1619"/>
    </row>
    <row r="1610" spans="2:13" s="496" customFormat="1" hidden="1">
      <c r="B1610" s="1649" t="s">
        <v>703</v>
      </c>
      <c r="C1610" s="2075" t="s">
        <v>3764</v>
      </c>
      <c r="D1610" s="2075"/>
      <c r="E1610" s="2075"/>
      <c r="F1610" s="2075"/>
      <c r="G1610" s="2075"/>
      <c r="H1610" s="1107">
        <f>H1607+H1609</f>
        <v>96140</v>
      </c>
      <c r="J1610" s="1559"/>
      <c r="K1610" s="1559"/>
      <c r="L1610" s="1559"/>
      <c r="M1610" s="1614"/>
    </row>
    <row r="1611" spans="2:13" s="496" customFormat="1" hidden="1">
      <c r="B1611" s="1649" t="s">
        <v>706</v>
      </c>
      <c r="C1611" s="2076" t="s">
        <v>876</v>
      </c>
      <c r="D1611" s="2076"/>
      <c r="E1611" s="2076"/>
      <c r="F1611" s="2077" t="s">
        <v>3873</v>
      </c>
      <c r="G1611" s="2077"/>
      <c r="H1611" s="1107">
        <f>H1610*0.15</f>
        <v>14421</v>
      </c>
      <c r="J1611" s="1559"/>
      <c r="K1611" s="1559"/>
      <c r="L1611" s="1559"/>
      <c r="M1611" s="1614"/>
    </row>
    <row r="1612" spans="2:13" s="496" customFormat="1" hidden="1">
      <c r="B1612" s="1649" t="s">
        <v>708</v>
      </c>
      <c r="C1612" s="2078" t="s">
        <v>3765</v>
      </c>
      <c r="D1612" s="2078"/>
      <c r="E1612" s="2078"/>
      <c r="F1612" s="2078"/>
      <c r="G1612" s="2078"/>
      <c r="H1612" s="1107">
        <f>ROUND(SUM(H1610:H1611),2)</f>
        <v>110561</v>
      </c>
      <c r="I1612" s="506">
        <f>SUM(H1610:H1611)</f>
        <v>110561</v>
      </c>
      <c r="J1612" s="1561"/>
      <c r="K1612" s="1561"/>
      <c r="L1612" s="1559"/>
      <c r="M1612" s="1614"/>
    </row>
    <row r="1613" spans="2:13" hidden="1">
      <c r="B1613" s="1659"/>
      <c r="C1613" s="1144"/>
      <c r="D1613" s="1143"/>
      <c r="E1613" s="1143"/>
      <c r="F1613" s="1145"/>
      <c r="G1613" s="1146"/>
      <c r="H1613" s="1147"/>
      <c r="M1613" s="1619"/>
    </row>
    <row r="1614" spans="2:13" hidden="1">
      <c r="B1614" s="1613" t="s">
        <v>3946</v>
      </c>
      <c r="C1614" s="1112" t="s">
        <v>2855</v>
      </c>
      <c r="D1614" s="1129"/>
      <c r="E1614" s="1129"/>
      <c r="F1614" s="1131"/>
      <c r="G1614" s="1132"/>
      <c r="H1614" s="1115"/>
      <c r="M1614" s="1619"/>
    </row>
    <row r="1615" spans="2:13" s="507" customFormat="1" ht="24.9" hidden="1" customHeight="1">
      <c r="B1615" s="1648" t="s">
        <v>1003</v>
      </c>
      <c r="C1615" s="1101" t="s">
        <v>1004</v>
      </c>
      <c r="D1615" s="1101" t="s">
        <v>1005</v>
      </c>
      <c r="E1615" s="1101" t="s">
        <v>1006</v>
      </c>
      <c r="F1615" s="1102" t="s">
        <v>1007</v>
      </c>
      <c r="G1615" s="1109" t="s">
        <v>2637</v>
      </c>
      <c r="H1615" s="1110" t="s">
        <v>2638</v>
      </c>
      <c r="J1615" s="1625"/>
      <c r="K1615" s="1625"/>
      <c r="L1615" s="1625"/>
      <c r="M1615" s="1626"/>
    </row>
    <row r="1616" spans="2:13" hidden="1">
      <c r="B1616" s="1649" t="s">
        <v>671</v>
      </c>
      <c r="C1616" s="1329" t="s">
        <v>672</v>
      </c>
      <c r="D1616" s="1331"/>
      <c r="E1616" s="1331"/>
      <c r="F1616" s="1334"/>
      <c r="G1616" s="1104"/>
      <c r="H1616" s="1106"/>
      <c r="M1616" s="1619"/>
    </row>
    <row r="1617" spans="2:13" hidden="1">
      <c r="B1617" s="1650"/>
      <c r="C1617" s="1332" t="s">
        <v>673</v>
      </c>
      <c r="D1617" s="1331" t="s">
        <v>674</v>
      </c>
      <c r="E1617" s="1331" t="s">
        <v>675</v>
      </c>
      <c r="F1617" s="1334">
        <v>6.7000000000000004E-2</v>
      </c>
      <c r="G1617" s="1104">
        <f>DUB!$I$10</f>
        <v>150000</v>
      </c>
      <c r="H1617" s="1106">
        <f>G1617*F1617</f>
        <v>10050</v>
      </c>
      <c r="M1617" s="1619"/>
    </row>
    <row r="1618" spans="2:13" hidden="1">
      <c r="B1618" s="1650"/>
      <c r="C1618" s="1332" t="s">
        <v>731</v>
      </c>
      <c r="D1618" s="1331" t="s">
        <v>678</v>
      </c>
      <c r="E1618" s="1331" t="s">
        <v>675</v>
      </c>
      <c r="F1618" s="1334">
        <v>6.7000000000000004E-2</v>
      </c>
      <c r="G1618" s="1104">
        <f>DUB!$I$11</f>
        <v>187000</v>
      </c>
      <c r="H1618" s="1106">
        <f>G1618*F1618</f>
        <v>12529</v>
      </c>
      <c r="M1618" s="1619"/>
    </row>
    <row r="1619" spans="2:13" hidden="1">
      <c r="B1619" s="1650"/>
      <c r="C1619" s="1332" t="s">
        <v>5300</v>
      </c>
      <c r="D1619" s="1331" t="s">
        <v>678</v>
      </c>
      <c r="E1619" s="1331" t="s">
        <v>675</v>
      </c>
      <c r="F1619" s="1334">
        <v>0.13400000000000001</v>
      </c>
      <c r="G1619" s="1104">
        <f>DUB!$I$11</f>
        <v>187000</v>
      </c>
      <c r="H1619" s="1106">
        <f>G1619*F1619</f>
        <v>25058</v>
      </c>
      <c r="M1619" s="1619"/>
    </row>
    <row r="1620" spans="2:13" hidden="1">
      <c r="B1620" s="1650"/>
      <c r="C1620" s="1332" t="s">
        <v>680</v>
      </c>
      <c r="D1620" s="1331" t="s">
        <v>681</v>
      </c>
      <c r="E1620" s="1331" t="s">
        <v>675</v>
      </c>
      <c r="F1620" s="1334">
        <v>6.7000000000000004E-2</v>
      </c>
      <c r="G1620" s="1104">
        <f>DUB!$I$13</f>
        <v>240000</v>
      </c>
      <c r="H1620" s="1106">
        <f>G1620*F1620</f>
        <v>16080.000000000002</v>
      </c>
      <c r="M1620" s="1619"/>
    </row>
    <row r="1621" spans="2:13" hidden="1">
      <c r="B1621" s="1650"/>
      <c r="C1621" s="1332" t="s">
        <v>683</v>
      </c>
      <c r="D1621" s="1331" t="s">
        <v>684</v>
      </c>
      <c r="E1621" s="1331" t="s">
        <v>675</v>
      </c>
      <c r="F1621" s="1334">
        <v>6.7000000000000004E-2</v>
      </c>
      <c r="G1621" s="1104">
        <f>DUB!$I$12</f>
        <v>225000</v>
      </c>
      <c r="H1621" s="1106">
        <f>G1621*F1621</f>
        <v>15075</v>
      </c>
      <c r="M1621" s="1619"/>
    </row>
    <row r="1622" spans="2:13" hidden="1">
      <c r="B1622" s="1650"/>
      <c r="C1622" s="1332"/>
      <c r="D1622" s="1331"/>
      <c r="E1622" s="1331"/>
      <c r="F1622" s="2074" t="s">
        <v>685</v>
      </c>
      <c r="G1622" s="2074"/>
      <c r="H1622" s="1106">
        <f>SUM(H1617:H1621)</f>
        <v>78792</v>
      </c>
      <c r="M1622" s="1619"/>
    </row>
    <row r="1623" spans="2:13" hidden="1">
      <c r="B1623" s="1649" t="s">
        <v>686</v>
      </c>
      <c r="C1623" s="1329" t="s">
        <v>687</v>
      </c>
      <c r="D1623" s="1331"/>
      <c r="E1623" s="1331"/>
      <c r="F1623" s="1334"/>
      <c r="G1623" s="1104"/>
      <c r="H1623" s="1106"/>
      <c r="M1623" s="1619"/>
    </row>
    <row r="1624" spans="2:13" hidden="1">
      <c r="B1624" s="1650"/>
      <c r="C1624" s="1332" t="s">
        <v>926</v>
      </c>
      <c r="D1624" s="1331"/>
      <c r="E1624" s="1331" t="s">
        <v>896</v>
      </c>
      <c r="F1624" s="1334">
        <v>6.6760000000000002</v>
      </c>
      <c r="G1624" s="1104">
        <f>DUB!$I$486</f>
        <v>18000</v>
      </c>
      <c r="H1624" s="1106">
        <f>G1624*F1624</f>
        <v>120168</v>
      </c>
      <c r="M1624" s="1619"/>
    </row>
    <row r="1625" spans="2:13" hidden="1">
      <c r="B1625" s="1650"/>
      <c r="C1625" s="1332"/>
      <c r="D1625" s="1331"/>
      <c r="E1625" s="1331"/>
      <c r="F1625" s="2074" t="s">
        <v>702</v>
      </c>
      <c r="G1625" s="2074"/>
      <c r="H1625" s="1106">
        <f>SUM(H1624)</f>
        <v>120168</v>
      </c>
      <c r="M1625" s="1619"/>
    </row>
    <row r="1626" spans="2:13" hidden="1">
      <c r="B1626" s="1649" t="s">
        <v>703</v>
      </c>
      <c r="C1626" s="1329" t="s">
        <v>704</v>
      </c>
      <c r="D1626" s="1331"/>
      <c r="E1626" s="1331"/>
      <c r="F1626" s="1334"/>
      <c r="G1626" s="1104"/>
      <c r="H1626" s="1106"/>
      <c r="M1626" s="1619"/>
    </row>
    <row r="1627" spans="2:13" hidden="1">
      <c r="B1627" s="1650"/>
      <c r="C1627" s="1332" t="s">
        <v>927</v>
      </c>
      <c r="D1627" s="1331"/>
      <c r="E1627" s="1331" t="s">
        <v>928</v>
      </c>
      <c r="F1627" s="1334">
        <v>6.7000000000000004E-2</v>
      </c>
      <c r="G1627" s="1104">
        <f>DUB!$I$550</f>
        <v>72000</v>
      </c>
      <c r="H1627" s="1106">
        <f>G1627*F1627</f>
        <v>4824</v>
      </c>
      <c r="M1627" s="1619"/>
    </row>
    <row r="1628" spans="2:13" hidden="1">
      <c r="B1628" s="1650"/>
      <c r="C1628" s="1332" t="s">
        <v>929</v>
      </c>
      <c r="D1628" s="1331"/>
      <c r="E1628" s="1331" t="s">
        <v>928</v>
      </c>
      <c r="F1628" s="1334">
        <v>1.1000000000000001</v>
      </c>
      <c r="G1628" s="1104">
        <f>DUB!$I$551</f>
        <v>54000</v>
      </c>
      <c r="H1628" s="1106">
        <f>G1628*F1628</f>
        <v>59400.000000000007</v>
      </c>
      <c r="M1628" s="1619"/>
    </row>
    <row r="1629" spans="2:13" hidden="1">
      <c r="B1629" s="1650"/>
      <c r="C1629" s="1332"/>
      <c r="D1629" s="1331"/>
      <c r="E1629" s="1331"/>
      <c r="F1629" s="2074" t="s">
        <v>705</v>
      </c>
      <c r="G1629" s="2074"/>
      <c r="H1629" s="1106">
        <f>SUM(H1627:H1628)</f>
        <v>64224.000000000007</v>
      </c>
      <c r="M1629" s="1619"/>
    </row>
    <row r="1630" spans="2:13" hidden="1">
      <c r="B1630" s="1650"/>
      <c r="C1630" s="1332"/>
      <c r="D1630" s="1331"/>
      <c r="E1630" s="1331"/>
      <c r="F1630" s="1334"/>
      <c r="G1630" s="1104"/>
      <c r="H1630" s="1106"/>
      <c r="M1630" s="1619"/>
    </row>
    <row r="1631" spans="2:13" s="496" customFormat="1" hidden="1">
      <c r="B1631" s="1649" t="s">
        <v>706</v>
      </c>
      <c r="C1631" s="2089" t="s">
        <v>707</v>
      </c>
      <c r="D1631" s="2089"/>
      <c r="E1631" s="2089"/>
      <c r="F1631" s="2089"/>
      <c r="G1631" s="2089"/>
      <c r="H1631" s="1107">
        <f>H1622+H1625+H1629</f>
        <v>263184</v>
      </c>
      <c r="J1631" s="1559"/>
      <c r="K1631" s="1559"/>
      <c r="L1631" s="1559"/>
      <c r="M1631" s="1614"/>
    </row>
    <row r="1632" spans="2:13" s="496" customFormat="1" hidden="1">
      <c r="B1632" s="1649" t="s">
        <v>708</v>
      </c>
      <c r="C1632" s="2076" t="s">
        <v>876</v>
      </c>
      <c r="D1632" s="2076"/>
      <c r="E1632" s="2076"/>
      <c r="F1632" s="2077" t="s">
        <v>710</v>
      </c>
      <c r="G1632" s="2077"/>
      <c r="H1632" s="1107">
        <f>H1631*0.15</f>
        <v>39477.599999999999</v>
      </c>
      <c r="J1632" s="1559"/>
      <c r="K1632" s="1559"/>
      <c r="L1632" s="1559"/>
      <c r="M1632" s="1614"/>
    </row>
    <row r="1633" spans="2:13" s="496" customFormat="1" hidden="1">
      <c r="B1633" s="1649" t="s">
        <v>711</v>
      </c>
      <c r="C1633" s="2078" t="s">
        <v>3947</v>
      </c>
      <c r="D1633" s="2078"/>
      <c r="E1633" s="2078"/>
      <c r="F1633" s="2078"/>
      <c r="G1633" s="2078"/>
      <c r="H1633" s="1107">
        <f>ROUND(SUM(H1631:H1632),2)</f>
        <v>302661.59999999998</v>
      </c>
      <c r="I1633" s="506">
        <f>SUM(H1631:H1632)</f>
        <v>302661.59999999998</v>
      </c>
      <c r="J1633" s="1561"/>
      <c r="K1633" s="1561"/>
      <c r="L1633" s="1559"/>
      <c r="M1633" s="1614"/>
    </row>
    <row r="1634" spans="2:13" hidden="1">
      <c r="B1634" s="1624"/>
      <c r="F1634" s="1172"/>
      <c r="G1634" s="1173"/>
      <c r="H1634" s="1133"/>
      <c r="M1634" s="1619"/>
    </row>
    <row r="1635" spans="2:13" hidden="1">
      <c r="B1635" s="1624" t="s">
        <v>3381</v>
      </c>
      <c r="F1635" s="1172"/>
      <c r="G1635" s="1173"/>
      <c r="H1635" s="1133"/>
      <c r="M1635" s="1619"/>
    </row>
    <row r="1636" spans="2:13" s="513" customFormat="1" hidden="1">
      <c r="B1636" s="1675" t="s">
        <v>3382</v>
      </c>
      <c r="C1636" s="1676" t="s">
        <v>3383</v>
      </c>
      <c r="D1636" s="1677" t="s">
        <v>3382</v>
      </c>
      <c r="E1636" s="2139" t="s">
        <v>3383</v>
      </c>
      <c r="F1636" s="2139"/>
      <c r="G1636" s="1132"/>
      <c r="H1636" s="1115"/>
      <c r="J1636" s="1678"/>
      <c r="K1636" s="1678"/>
      <c r="L1636" s="1678"/>
      <c r="M1636" s="1679"/>
    </row>
    <row r="1637" spans="2:13" hidden="1">
      <c r="B1637" s="1680">
        <v>1</v>
      </c>
      <c r="C1637" s="1681">
        <v>1</v>
      </c>
      <c r="D1637" s="1682">
        <v>13</v>
      </c>
      <c r="E1637" s="2140">
        <v>1.1140000000000001</v>
      </c>
      <c r="F1637" s="2140"/>
      <c r="G1637" s="1173"/>
      <c r="H1637" s="1133"/>
      <c r="M1637" s="1619"/>
    </row>
    <row r="1638" spans="2:13" hidden="1">
      <c r="B1638" s="1680">
        <v>2</v>
      </c>
      <c r="C1638" s="1681">
        <v>1</v>
      </c>
      <c r="D1638" s="1682">
        <v>14</v>
      </c>
      <c r="E1638" s="2140">
        <v>1.1339999999999999</v>
      </c>
      <c r="F1638" s="2140"/>
      <c r="G1638" s="1173"/>
      <c r="H1638" s="1133"/>
      <c r="M1638" s="1619"/>
    </row>
    <row r="1639" spans="2:13" hidden="1">
      <c r="B1639" s="1680">
        <v>3</v>
      </c>
      <c r="C1639" s="1681">
        <v>1</v>
      </c>
      <c r="D1639" s="1682">
        <v>15</v>
      </c>
      <c r="E1639" s="2140">
        <v>1.155</v>
      </c>
      <c r="F1639" s="2140"/>
      <c r="G1639" s="1173"/>
      <c r="H1639" s="1133"/>
      <c r="M1639" s="1619"/>
    </row>
    <row r="1640" spans="2:13" hidden="1">
      <c r="B1640" s="1680">
        <v>4</v>
      </c>
      <c r="C1640" s="1681">
        <v>1</v>
      </c>
      <c r="D1640" s="1682">
        <v>16</v>
      </c>
      <c r="E1640" s="2140">
        <v>1.1759999999999999</v>
      </c>
      <c r="F1640" s="2140"/>
      <c r="G1640" s="1173"/>
      <c r="H1640" s="1133"/>
      <c r="M1640" s="1619"/>
    </row>
    <row r="1641" spans="2:13" hidden="1">
      <c r="B1641" s="1680">
        <v>5</v>
      </c>
      <c r="C1641" s="1681">
        <v>1</v>
      </c>
      <c r="D1641" s="1682">
        <v>17</v>
      </c>
      <c r="E1641" s="2140">
        <v>1.1970000000000001</v>
      </c>
      <c r="F1641" s="2140"/>
      <c r="G1641" s="1173"/>
      <c r="H1641" s="1133"/>
      <c r="M1641" s="1619"/>
    </row>
    <row r="1642" spans="2:13" hidden="1">
      <c r="B1642" s="1680">
        <v>6</v>
      </c>
      <c r="C1642" s="1681">
        <v>1</v>
      </c>
      <c r="D1642" s="1682">
        <v>18</v>
      </c>
      <c r="E1642" s="2140">
        <v>1.2190000000000001</v>
      </c>
      <c r="F1642" s="2140"/>
      <c r="G1642" s="1173"/>
      <c r="H1642" s="1133"/>
      <c r="M1642" s="1619"/>
    </row>
    <row r="1643" spans="2:13" hidden="1">
      <c r="B1643" s="1680">
        <v>7</v>
      </c>
      <c r="C1643" s="1681">
        <v>1</v>
      </c>
      <c r="D1643" s="1682">
        <v>19</v>
      </c>
      <c r="E1643" s="2140">
        <v>1.2410000000000001</v>
      </c>
      <c r="F1643" s="2140"/>
      <c r="G1643" s="1173"/>
      <c r="H1643" s="1133"/>
      <c r="M1643" s="1619"/>
    </row>
    <row r="1644" spans="2:13" hidden="1">
      <c r="B1644" s="1680">
        <v>8</v>
      </c>
      <c r="C1644" s="1681">
        <v>1.018</v>
      </c>
      <c r="D1644" s="1682">
        <v>20</v>
      </c>
      <c r="E1644" s="2140">
        <v>1.264</v>
      </c>
      <c r="F1644" s="2140"/>
      <c r="G1644" s="1173"/>
      <c r="H1644" s="1133"/>
      <c r="M1644" s="1619"/>
    </row>
    <row r="1645" spans="2:13" hidden="1">
      <c r="B1645" s="1680">
        <v>9</v>
      </c>
      <c r="C1645" s="1681">
        <v>1.0369999999999999</v>
      </c>
      <c r="D1645" s="1682">
        <v>21</v>
      </c>
      <c r="E1645" s="2140">
        <v>1.2869999999999999</v>
      </c>
      <c r="F1645" s="2140"/>
      <c r="G1645" s="1173"/>
      <c r="H1645" s="1133"/>
      <c r="M1645" s="1619"/>
    </row>
    <row r="1646" spans="2:13" hidden="1">
      <c r="B1646" s="1680">
        <v>10</v>
      </c>
      <c r="C1646" s="1681">
        <v>1.0549999999999999</v>
      </c>
      <c r="D1646" s="1682">
        <v>22</v>
      </c>
      <c r="E1646" s="2141">
        <v>1.31</v>
      </c>
      <c r="F1646" s="2141"/>
      <c r="G1646" s="1173"/>
      <c r="H1646" s="1133"/>
      <c r="M1646" s="1619"/>
    </row>
    <row r="1647" spans="2:13" hidden="1">
      <c r="B1647" s="1680">
        <v>11</v>
      </c>
      <c r="C1647" s="1681">
        <v>1.075</v>
      </c>
      <c r="D1647" s="1682">
        <v>23</v>
      </c>
      <c r="E1647" s="2140">
        <v>1.3340000000000001</v>
      </c>
      <c r="F1647" s="2140"/>
      <c r="G1647" s="1173"/>
      <c r="H1647" s="1133"/>
      <c r="M1647" s="1619"/>
    </row>
    <row r="1648" spans="2:13" hidden="1">
      <c r="B1648" s="1680">
        <v>12</v>
      </c>
      <c r="C1648" s="1681">
        <v>1.0940000000000001</v>
      </c>
      <c r="D1648" s="1682">
        <v>24</v>
      </c>
      <c r="E1648" s="2140">
        <v>1.3580000000000001</v>
      </c>
      <c r="F1648" s="2140"/>
      <c r="G1648" s="1173"/>
      <c r="H1648" s="1133"/>
      <c r="M1648" s="1619"/>
    </row>
    <row r="1649" spans="2:13" hidden="1">
      <c r="B1649" s="1624"/>
      <c r="F1649" s="1172"/>
      <c r="G1649" s="1173"/>
      <c r="H1649" s="1133"/>
      <c r="M1649" s="1619"/>
    </row>
    <row r="1650" spans="2:13" hidden="1">
      <c r="B1650" s="1613" t="s">
        <v>3948</v>
      </c>
      <c r="C1650" s="1232" t="s">
        <v>2856</v>
      </c>
      <c r="F1650" s="1172"/>
      <c r="G1650" s="1173"/>
      <c r="H1650" s="1133"/>
      <c r="M1650" s="1619"/>
    </row>
    <row r="1651" spans="2:13" s="507" customFormat="1" ht="24.9" hidden="1" customHeight="1">
      <c r="B1651" s="1648" t="s">
        <v>1003</v>
      </c>
      <c r="C1651" s="1101" t="s">
        <v>1004</v>
      </c>
      <c r="D1651" s="1101" t="s">
        <v>1005</v>
      </c>
      <c r="E1651" s="1101" t="s">
        <v>1006</v>
      </c>
      <c r="F1651" s="1102" t="s">
        <v>1007</v>
      </c>
      <c r="G1651" s="1109" t="s">
        <v>2637</v>
      </c>
      <c r="H1651" s="1110" t="s">
        <v>2638</v>
      </c>
      <c r="J1651" s="1625"/>
      <c r="K1651" s="1625"/>
      <c r="L1651" s="1625"/>
      <c r="M1651" s="1626"/>
    </row>
    <row r="1652" spans="2:13" hidden="1">
      <c r="B1652" s="1649" t="s">
        <v>671</v>
      </c>
      <c r="C1652" s="1329" t="s">
        <v>672</v>
      </c>
      <c r="D1652" s="1331"/>
      <c r="E1652" s="1331"/>
      <c r="F1652" s="1334"/>
      <c r="G1652" s="1104"/>
      <c r="H1652" s="1106"/>
      <c r="M1652" s="1619"/>
    </row>
    <row r="1653" spans="2:13" hidden="1">
      <c r="B1653" s="1650"/>
      <c r="C1653" s="1332" t="s">
        <v>673</v>
      </c>
      <c r="D1653" s="1331" t="s">
        <v>674</v>
      </c>
      <c r="E1653" s="1331" t="s">
        <v>675</v>
      </c>
      <c r="F1653" s="1334">
        <v>6.0999999999999999E-2</v>
      </c>
      <c r="G1653" s="1104">
        <f>DUB!$I$10</f>
        <v>150000</v>
      </c>
      <c r="H1653" s="1106">
        <f t="shared" ref="H1653:H1659" si="56">G1653*F1653</f>
        <v>9150</v>
      </c>
      <c r="M1653" s="1619"/>
    </row>
    <row r="1654" spans="2:13" hidden="1">
      <c r="B1654" s="1650"/>
      <c r="C1654" s="1332" t="s">
        <v>731</v>
      </c>
      <c r="D1654" s="1331" t="s">
        <v>678</v>
      </c>
      <c r="E1654" s="1331" t="s">
        <v>675</v>
      </c>
      <c r="F1654" s="1334">
        <v>6.0999999999999999E-2</v>
      </c>
      <c r="G1654" s="1104">
        <f>DUB!$I$11</f>
        <v>187000</v>
      </c>
      <c r="H1654" s="1106">
        <f t="shared" si="56"/>
        <v>11407</v>
      </c>
      <c r="M1654" s="1619"/>
    </row>
    <row r="1655" spans="2:13" hidden="1">
      <c r="B1655" s="1650"/>
      <c r="C1655" s="1332" t="s">
        <v>5300</v>
      </c>
      <c r="D1655" s="1331" t="s">
        <v>678</v>
      </c>
      <c r="E1655" s="1331" t="s">
        <v>675</v>
      </c>
      <c r="F1655" s="1334">
        <v>0.122</v>
      </c>
      <c r="G1655" s="1104">
        <f>DUB!$I$11</f>
        <v>187000</v>
      </c>
      <c r="H1655" s="1106">
        <f t="shared" si="56"/>
        <v>22814</v>
      </c>
      <c r="M1655" s="1619"/>
    </row>
    <row r="1656" spans="2:13" hidden="1">
      <c r="B1656" s="1650"/>
      <c r="C1656" s="1332" t="s">
        <v>931</v>
      </c>
      <c r="D1656" s="1331"/>
      <c r="E1656" s="1331" t="s">
        <v>675</v>
      </c>
      <c r="F1656" s="1334">
        <v>6.0999999999999999E-2</v>
      </c>
      <c r="G1656" s="1104" t="e">
        <f>DUB!#REF!</f>
        <v>#REF!</v>
      </c>
      <c r="H1656" s="1106" t="e">
        <f t="shared" si="56"/>
        <v>#REF!</v>
      </c>
      <c r="M1656" s="1619"/>
    </row>
    <row r="1657" spans="2:13" hidden="1">
      <c r="B1657" s="1650"/>
      <c r="C1657" s="1126" t="s">
        <v>934</v>
      </c>
      <c r="D1657" s="1331"/>
      <c r="E1657" s="1331" t="s">
        <v>675</v>
      </c>
      <c r="F1657" s="1334">
        <v>6.0999999999999999E-2</v>
      </c>
      <c r="G1657" s="1104" t="e">
        <f>DUB!#REF!</f>
        <v>#REF!</v>
      </c>
      <c r="H1657" s="1106" t="e">
        <f t="shared" si="56"/>
        <v>#REF!</v>
      </c>
      <c r="M1657" s="1619"/>
    </row>
    <row r="1658" spans="2:13" hidden="1">
      <c r="B1658" s="1650"/>
      <c r="C1658" s="1332" t="s">
        <v>680</v>
      </c>
      <c r="D1658" s="1331" t="s">
        <v>681</v>
      </c>
      <c r="E1658" s="1331" t="s">
        <v>675</v>
      </c>
      <c r="F1658" s="1334">
        <v>6.0999999999999999E-2</v>
      </c>
      <c r="G1658" s="1104">
        <f>DUB!$I$13</f>
        <v>240000</v>
      </c>
      <c r="H1658" s="1106">
        <f t="shared" si="56"/>
        <v>14640</v>
      </c>
      <c r="M1658" s="1619"/>
    </row>
    <row r="1659" spans="2:13" hidden="1">
      <c r="B1659" s="1650"/>
      <c r="C1659" s="1332" t="s">
        <v>683</v>
      </c>
      <c r="D1659" s="1331" t="s">
        <v>684</v>
      </c>
      <c r="E1659" s="1331" t="s">
        <v>675</v>
      </c>
      <c r="F1659" s="1334">
        <v>6.0999999999999999E-2</v>
      </c>
      <c r="G1659" s="1104">
        <f>DUB!$I$12</f>
        <v>225000</v>
      </c>
      <c r="H1659" s="1106">
        <f t="shared" si="56"/>
        <v>13725</v>
      </c>
      <c r="M1659" s="1619"/>
    </row>
    <row r="1660" spans="2:13" hidden="1">
      <c r="B1660" s="1650"/>
      <c r="C1660" s="1332"/>
      <c r="D1660" s="1331"/>
      <c r="E1660" s="1331"/>
      <c r="F1660" s="2074" t="s">
        <v>685</v>
      </c>
      <c r="G1660" s="2074"/>
      <c r="H1660" s="1106" t="e">
        <f>SUM(H1653:H1659)</f>
        <v>#REF!</v>
      </c>
      <c r="M1660" s="1619"/>
    </row>
    <row r="1661" spans="2:13" hidden="1">
      <c r="B1661" s="1649" t="s">
        <v>686</v>
      </c>
      <c r="C1661" s="1329" t="s">
        <v>687</v>
      </c>
      <c r="D1661" s="1331"/>
      <c r="E1661" s="1331"/>
      <c r="F1661" s="1334"/>
      <c r="G1661" s="1104"/>
      <c r="H1661" s="1106"/>
      <c r="M1661" s="1619"/>
    </row>
    <row r="1662" spans="2:13" hidden="1">
      <c r="B1662" s="1650"/>
      <c r="C1662" s="1332" t="s">
        <v>926</v>
      </c>
      <c r="D1662" s="1331"/>
      <c r="E1662" s="1331" t="s">
        <v>896</v>
      </c>
      <c r="F1662" s="1334">
        <v>6.11</v>
      </c>
      <c r="G1662" s="1104">
        <f>DUB!$I$486</f>
        <v>18000</v>
      </c>
      <c r="H1662" s="1106">
        <f>G1662*F1662</f>
        <v>109980</v>
      </c>
      <c r="M1662" s="1619"/>
    </row>
    <row r="1663" spans="2:13" hidden="1">
      <c r="B1663" s="1650"/>
      <c r="C1663" s="1332"/>
      <c r="D1663" s="1331"/>
      <c r="E1663" s="1331"/>
      <c r="F1663" s="2074" t="s">
        <v>702</v>
      </c>
      <c r="G1663" s="2074"/>
      <c r="H1663" s="1106">
        <f>SUM(H1662)</f>
        <v>109980</v>
      </c>
      <c r="M1663" s="1619"/>
    </row>
    <row r="1664" spans="2:13" hidden="1">
      <c r="B1664" s="1649" t="s">
        <v>703</v>
      </c>
      <c r="C1664" s="1329" t="s">
        <v>704</v>
      </c>
      <c r="D1664" s="1331"/>
      <c r="E1664" s="1331"/>
      <c r="F1664" s="1334"/>
      <c r="G1664" s="1104"/>
      <c r="H1664" s="1106"/>
      <c r="M1664" s="1619"/>
    </row>
    <row r="1665" spans="2:13" hidden="1">
      <c r="B1665" s="1650"/>
      <c r="C1665" s="1332" t="s">
        <v>927</v>
      </c>
      <c r="D1665" s="1331"/>
      <c r="E1665" s="1331" t="s">
        <v>928</v>
      </c>
      <c r="F1665" s="1334">
        <v>6.0999999999999999E-2</v>
      </c>
      <c r="G1665" s="1104">
        <f>DUB!$I$550</f>
        <v>72000</v>
      </c>
      <c r="H1665" s="1106">
        <f>G1665*F1665</f>
        <v>4392</v>
      </c>
      <c r="M1665" s="1619"/>
    </row>
    <row r="1666" spans="2:13" hidden="1">
      <c r="B1666" s="1650"/>
      <c r="C1666" s="1332" t="s">
        <v>932</v>
      </c>
      <c r="D1666" s="1331"/>
      <c r="E1666" s="1331" t="s">
        <v>928</v>
      </c>
      <c r="F1666" s="1334">
        <v>1.1000000000000001</v>
      </c>
      <c r="G1666" s="1104">
        <f>DUB!$I$551</f>
        <v>54000</v>
      </c>
      <c r="H1666" s="1106">
        <f>G1666*F1666</f>
        <v>59400.000000000007</v>
      </c>
      <c r="M1666" s="1619"/>
    </row>
    <row r="1667" spans="2:13" hidden="1">
      <c r="B1667" s="1650"/>
      <c r="C1667" s="1332"/>
      <c r="D1667" s="1331"/>
      <c r="E1667" s="1331"/>
      <c r="F1667" s="2074" t="s">
        <v>705</v>
      </c>
      <c r="G1667" s="2074"/>
      <c r="H1667" s="1106">
        <f>SUM(H1665:H1666)</f>
        <v>63792.000000000007</v>
      </c>
      <c r="M1667" s="1619"/>
    </row>
    <row r="1668" spans="2:13" hidden="1">
      <c r="B1668" s="1650"/>
      <c r="C1668" s="1332"/>
      <c r="D1668" s="1331"/>
      <c r="E1668" s="1331"/>
      <c r="F1668" s="1334"/>
      <c r="G1668" s="1104"/>
      <c r="H1668" s="1106"/>
      <c r="M1668" s="1619"/>
    </row>
    <row r="1669" spans="2:13" s="496" customFormat="1" hidden="1">
      <c r="B1669" s="1649" t="s">
        <v>706</v>
      </c>
      <c r="C1669" s="2089" t="s">
        <v>707</v>
      </c>
      <c r="D1669" s="2089"/>
      <c r="E1669" s="2089"/>
      <c r="F1669" s="2089"/>
      <c r="G1669" s="2089"/>
      <c r="H1669" s="1107" t="e">
        <f>H1660+H1663+H1667</f>
        <v>#REF!</v>
      </c>
      <c r="J1669" s="1559"/>
      <c r="K1669" s="1559"/>
      <c r="L1669" s="1559"/>
      <c r="M1669" s="1614"/>
    </row>
    <row r="1670" spans="2:13" s="496" customFormat="1" hidden="1">
      <c r="B1670" s="1649" t="s">
        <v>708</v>
      </c>
      <c r="C1670" s="2076" t="s">
        <v>876</v>
      </c>
      <c r="D1670" s="2076"/>
      <c r="E1670" s="2076"/>
      <c r="F1670" s="2077" t="s">
        <v>710</v>
      </c>
      <c r="G1670" s="2077"/>
      <c r="H1670" s="1107" t="e">
        <f>H1669*15%</f>
        <v>#REF!</v>
      </c>
      <c r="J1670" s="1559"/>
      <c r="K1670" s="1559"/>
      <c r="L1670" s="1559"/>
      <c r="M1670" s="1614"/>
    </row>
    <row r="1671" spans="2:13" s="496" customFormat="1" hidden="1">
      <c r="B1671" s="1649" t="s">
        <v>711</v>
      </c>
      <c r="C1671" s="2078" t="s">
        <v>3947</v>
      </c>
      <c r="D1671" s="2078"/>
      <c r="E1671" s="2078"/>
      <c r="F1671" s="2078"/>
      <c r="G1671" s="2078"/>
      <c r="H1671" s="1107" t="e">
        <f>ROUND(SUM(H1669:H1670),2)</f>
        <v>#REF!</v>
      </c>
      <c r="I1671" s="506" t="e">
        <f>SUM(H1669:H1670)</f>
        <v>#REF!</v>
      </c>
      <c r="J1671" s="1561"/>
      <c r="K1671" s="1561"/>
      <c r="L1671" s="1559"/>
      <c r="M1671" s="1614"/>
    </row>
    <row r="1672" spans="2:13" hidden="1">
      <c r="B1672" s="1659"/>
      <c r="C1672" s="1144"/>
      <c r="D1672" s="1143"/>
      <c r="E1672" s="1143"/>
      <c r="F1672" s="1145"/>
      <c r="G1672" s="1146"/>
      <c r="H1672" s="1147"/>
      <c r="M1672" s="1619"/>
    </row>
    <row r="1673" spans="2:13" hidden="1">
      <c r="B1673" s="1613" t="s">
        <v>3949</v>
      </c>
      <c r="C1673" s="1112" t="s">
        <v>2857</v>
      </c>
      <c r="D1673" s="1129"/>
      <c r="E1673" s="1129"/>
      <c r="F1673" s="1131"/>
      <c r="G1673" s="1132"/>
      <c r="H1673" s="1115"/>
      <c r="M1673" s="1619"/>
    </row>
    <row r="1674" spans="2:13" s="507" customFormat="1" ht="24.9" hidden="1" customHeight="1">
      <c r="B1674" s="1648" t="s">
        <v>1003</v>
      </c>
      <c r="C1674" s="1101" t="s">
        <v>1004</v>
      </c>
      <c r="D1674" s="1101" t="s">
        <v>1005</v>
      </c>
      <c r="E1674" s="1101" t="s">
        <v>1006</v>
      </c>
      <c r="F1674" s="1102" t="s">
        <v>1007</v>
      </c>
      <c r="G1674" s="1109" t="s">
        <v>2637</v>
      </c>
      <c r="H1674" s="1110" t="s">
        <v>2638</v>
      </c>
      <c r="J1674" s="1625"/>
      <c r="K1674" s="1625"/>
      <c r="L1674" s="1625"/>
      <c r="M1674" s="1626"/>
    </row>
    <row r="1675" spans="2:13" hidden="1">
      <c r="B1675" s="1649" t="s">
        <v>671</v>
      </c>
      <c r="C1675" s="1329" t="s">
        <v>672</v>
      </c>
      <c r="D1675" s="1331"/>
      <c r="E1675" s="1331"/>
      <c r="F1675" s="1334"/>
      <c r="G1675" s="1104"/>
      <c r="H1675" s="1106"/>
      <c r="M1675" s="1619"/>
    </row>
    <row r="1676" spans="2:13" hidden="1">
      <c r="B1676" s="1650"/>
      <c r="C1676" s="1332" t="s">
        <v>673</v>
      </c>
      <c r="D1676" s="1331" t="s">
        <v>674</v>
      </c>
      <c r="E1676" s="1331" t="s">
        <v>675</v>
      </c>
      <c r="F1676" s="1334">
        <v>8.3000000000000004E-2</v>
      </c>
      <c r="G1676" s="1104">
        <f>DUB!$I$10</f>
        <v>150000</v>
      </c>
      <c r="H1676" s="1106">
        <f>G1676*F1676</f>
        <v>12450</v>
      </c>
      <c r="M1676" s="1619"/>
    </row>
    <row r="1677" spans="2:13" hidden="1">
      <c r="B1677" s="1650"/>
      <c r="C1677" s="1332" t="s">
        <v>731</v>
      </c>
      <c r="D1677" s="1331" t="s">
        <v>678</v>
      </c>
      <c r="E1677" s="1331" t="s">
        <v>675</v>
      </c>
      <c r="F1677" s="1334">
        <v>8.3000000000000004E-2</v>
      </c>
      <c r="G1677" s="1104">
        <f>DUB!$I$11</f>
        <v>187000</v>
      </c>
      <c r="H1677" s="1106">
        <f t="shared" ref="H1677:H1682" si="57">G1677*F1677</f>
        <v>15521</v>
      </c>
      <c r="M1677" s="1619"/>
    </row>
    <row r="1678" spans="2:13" hidden="1">
      <c r="B1678" s="1650"/>
      <c r="C1678" s="1332" t="s">
        <v>5300</v>
      </c>
      <c r="D1678" s="1331" t="s">
        <v>678</v>
      </c>
      <c r="E1678" s="1331" t="s">
        <v>675</v>
      </c>
      <c r="F1678" s="1334">
        <v>0.16600000000000001</v>
      </c>
      <c r="G1678" s="1104">
        <f>DUB!$I$11</f>
        <v>187000</v>
      </c>
      <c r="H1678" s="1106">
        <f t="shared" si="57"/>
        <v>31042</v>
      </c>
      <c r="M1678" s="1619"/>
    </row>
    <row r="1679" spans="2:13" hidden="1">
      <c r="B1679" s="1650"/>
      <c r="C1679" s="1332" t="s">
        <v>931</v>
      </c>
      <c r="D1679" s="1331"/>
      <c r="E1679" s="1331" t="s">
        <v>675</v>
      </c>
      <c r="F1679" s="1334">
        <v>8.3000000000000004E-2</v>
      </c>
      <c r="G1679" s="1104">
        <f>DUB!I28</f>
        <v>29430</v>
      </c>
      <c r="H1679" s="1106">
        <f t="shared" si="57"/>
        <v>2442.69</v>
      </c>
      <c r="M1679" s="1619"/>
    </row>
    <row r="1680" spans="2:13" hidden="1">
      <c r="B1680" s="1650"/>
      <c r="C1680" s="1332" t="s">
        <v>934</v>
      </c>
      <c r="D1680" s="1331"/>
      <c r="E1680" s="1331" t="s">
        <v>675</v>
      </c>
      <c r="F1680" s="1334">
        <v>8.3000000000000004E-2</v>
      </c>
      <c r="G1680" s="1104">
        <f>DUB!I29</f>
        <v>20970</v>
      </c>
      <c r="H1680" s="1106">
        <f t="shared" si="57"/>
        <v>1740.51</v>
      </c>
      <c r="M1680" s="1619"/>
    </row>
    <row r="1681" spans="2:13" hidden="1">
      <c r="B1681" s="1650"/>
      <c r="C1681" s="1332" t="s">
        <v>680</v>
      </c>
      <c r="D1681" s="1331" t="s">
        <v>681</v>
      </c>
      <c r="E1681" s="1331" t="s">
        <v>675</v>
      </c>
      <c r="F1681" s="1334">
        <v>8.3000000000000004E-2</v>
      </c>
      <c r="G1681" s="1104">
        <f>DUB!$I$13</f>
        <v>240000</v>
      </c>
      <c r="H1681" s="1106">
        <f t="shared" si="57"/>
        <v>19920</v>
      </c>
      <c r="M1681" s="1619"/>
    </row>
    <row r="1682" spans="2:13" hidden="1">
      <c r="B1682" s="1650"/>
      <c r="C1682" s="1332" t="s">
        <v>683</v>
      </c>
      <c r="D1682" s="1331" t="s">
        <v>684</v>
      </c>
      <c r="E1682" s="1331" t="s">
        <v>675</v>
      </c>
      <c r="F1682" s="1334">
        <v>8.3000000000000004E-2</v>
      </c>
      <c r="G1682" s="1104">
        <f>DUB!$I$12</f>
        <v>225000</v>
      </c>
      <c r="H1682" s="1106">
        <f t="shared" si="57"/>
        <v>18675</v>
      </c>
      <c r="M1682" s="1619"/>
    </row>
    <row r="1683" spans="2:13" hidden="1">
      <c r="B1683" s="1650"/>
      <c r="C1683" s="1332"/>
      <c r="D1683" s="1331"/>
      <c r="E1683" s="1331"/>
      <c r="F1683" s="2074" t="s">
        <v>685</v>
      </c>
      <c r="G1683" s="2074"/>
      <c r="H1683" s="1106">
        <f>SUM(H1676:H1682)</f>
        <v>101791.20000000001</v>
      </c>
      <c r="M1683" s="1619"/>
    </row>
    <row r="1684" spans="2:13" hidden="1">
      <c r="B1684" s="1649" t="s">
        <v>686</v>
      </c>
      <c r="C1684" s="1329" t="s">
        <v>687</v>
      </c>
      <c r="D1684" s="1331"/>
      <c r="E1684" s="1331"/>
      <c r="F1684" s="1334"/>
      <c r="G1684" s="1104"/>
      <c r="H1684" s="1106"/>
      <c r="M1684" s="1619"/>
    </row>
    <row r="1685" spans="2:13" hidden="1">
      <c r="B1685" s="1650"/>
      <c r="C1685" s="1332" t="s">
        <v>926</v>
      </c>
      <c r="D1685" s="1331"/>
      <c r="E1685" s="1331" t="s">
        <v>896</v>
      </c>
      <c r="F1685" s="1334">
        <v>8.2769999999999992</v>
      </c>
      <c r="G1685" s="1104">
        <f>DUB!$I$486</f>
        <v>18000</v>
      </c>
      <c r="H1685" s="1106">
        <f>G1685*F1685</f>
        <v>148986</v>
      </c>
      <c r="M1685" s="1619"/>
    </row>
    <row r="1686" spans="2:13" hidden="1">
      <c r="B1686" s="1650"/>
      <c r="C1686" s="1332"/>
      <c r="D1686" s="1331"/>
      <c r="E1686" s="1331"/>
      <c r="F1686" s="2074" t="s">
        <v>702</v>
      </c>
      <c r="G1686" s="2074"/>
      <c r="H1686" s="1106">
        <f>SUM(H1685)</f>
        <v>148986</v>
      </c>
      <c r="M1686" s="1619"/>
    </row>
    <row r="1687" spans="2:13" hidden="1">
      <c r="B1687" s="1649" t="s">
        <v>703</v>
      </c>
      <c r="C1687" s="1329" t="s">
        <v>704</v>
      </c>
      <c r="D1687" s="1331"/>
      <c r="E1687" s="1331"/>
      <c r="F1687" s="1334"/>
      <c r="G1687" s="1104"/>
      <c r="H1687" s="1106"/>
      <c r="M1687" s="1619"/>
    </row>
    <row r="1688" spans="2:13" hidden="1">
      <c r="B1688" s="1650"/>
      <c r="C1688" s="1332" t="s">
        <v>927</v>
      </c>
      <c r="D1688" s="1331"/>
      <c r="E1688" s="1331" t="s">
        <v>928</v>
      </c>
      <c r="F1688" s="1334">
        <v>8.3000000000000004E-2</v>
      </c>
      <c r="G1688" s="1104">
        <f>DUB!$I$550</f>
        <v>72000</v>
      </c>
      <c r="H1688" s="1106">
        <f>G1688*F1688</f>
        <v>5976</v>
      </c>
      <c r="M1688" s="1619"/>
    </row>
    <row r="1689" spans="2:13" hidden="1">
      <c r="B1689" s="1650"/>
      <c r="C1689" s="1332" t="s">
        <v>929</v>
      </c>
      <c r="D1689" s="1331"/>
      <c r="E1689" s="1331" t="s">
        <v>928</v>
      </c>
      <c r="F1689" s="1334">
        <v>2.2000000000000002</v>
      </c>
      <c r="G1689" s="1104">
        <f>DUB!$I$551</f>
        <v>54000</v>
      </c>
      <c r="H1689" s="1106">
        <f>G1689*F1689</f>
        <v>118800.00000000001</v>
      </c>
      <c r="M1689" s="1619"/>
    </row>
    <row r="1690" spans="2:13" hidden="1">
      <c r="B1690" s="1650"/>
      <c r="C1690" s="1332"/>
      <c r="D1690" s="1331"/>
      <c r="E1690" s="1331"/>
      <c r="F1690" s="2074" t="s">
        <v>705</v>
      </c>
      <c r="G1690" s="2074"/>
      <c r="H1690" s="1106">
        <f>SUM(H1688:H1689)</f>
        <v>124776.00000000001</v>
      </c>
      <c r="M1690" s="1619"/>
    </row>
    <row r="1691" spans="2:13" hidden="1">
      <c r="B1691" s="1650"/>
      <c r="C1691" s="1332"/>
      <c r="D1691" s="1331"/>
      <c r="E1691" s="1331"/>
      <c r="F1691" s="1334"/>
      <c r="G1691" s="1104"/>
      <c r="H1691" s="1106"/>
      <c r="M1691" s="1619"/>
    </row>
    <row r="1692" spans="2:13" s="496" customFormat="1" hidden="1">
      <c r="B1692" s="1649" t="s">
        <v>706</v>
      </c>
      <c r="C1692" s="2089" t="s">
        <v>707</v>
      </c>
      <c r="D1692" s="2089"/>
      <c r="E1692" s="2089"/>
      <c r="F1692" s="2089"/>
      <c r="G1692" s="2089"/>
      <c r="H1692" s="1107">
        <f>H1683+H1686+H1690</f>
        <v>375553.2</v>
      </c>
      <c r="J1692" s="1559"/>
      <c r="K1692" s="1559"/>
      <c r="L1692" s="1559"/>
      <c r="M1692" s="1614"/>
    </row>
    <row r="1693" spans="2:13" s="496" customFormat="1" hidden="1">
      <c r="B1693" s="1649" t="s">
        <v>708</v>
      </c>
      <c r="C1693" s="2076" t="s">
        <v>876</v>
      </c>
      <c r="D1693" s="2076"/>
      <c r="E1693" s="2076"/>
      <c r="F1693" s="2077" t="s">
        <v>710</v>
      </c>
      <c r="G1693" s="2077"/>
      <c r="H1693" s="1107">
        <f>H1692*15%</f>
        <v>56332.98</v>
      </c>
      <c r="J1693" s="1559"/>
      <c r="K1693" s="1559"/>
      <c r="L1693" s="1559"/>
      <c r="M1693" s="1614"/>
    </row>
    <row r="1694" spans="2:13" s="496" customFormat="1" hidden="1">
      <c r="B1694" s="1649" t="s">
        <v>711</v>
      </c>
      <c r="C1694" s="2078" t="s">
        <v>3947</v>
      </c>
      <c r="D1694" s="2078"/>
      <c r="E1694" s="2078"/>
      <c r="F1694" s="2078"/>
      <c r="G1694" s="2078"/>
      <c r="H1694" s="1107">
        <f>ROUND(SUM(H1692:H1693),2)</f>
        <v>431886.18</v>
      </c>
      <c r="I1694" s="506">
        <f>SUM(H1692:H1693)</f>
        <v>431886.18</v>
      </c>
      <c r="J1694" s="1561"/>
      <c r="K1694" s="1561"/>
      <c r="L1694" s="1559"/>
      <c r="M1694" s="1614"/>
    </row>
    <row r="1695" spans="2:13" hidden="1">
      <c r="B1695" s="1624"/>
      <c r="F1695" s="1172"/>
      <c r="G1695" s="1173"/>
      <c r="H1695" s="1133"/>
      <c r="M1695" s="1619"/>
    </row>
    <row r="1696" spans="2:13" hidden="1">
      <c r="B1696" s="1613" t="s">
        <v>3950</v>
      </c>
      <c r="C1696" s="1232" t="s">
        <v>2858</v>
      </c>
      <c r="F1696" s="1172"/>
      <c r="G1696" s="1173"/>
      <c r="H1696" s="1133"/>
      <c r="M1696" s="1619"/>
    </row>
    <row r="1697" spans="2:13" s="507" customFormat="1" ht="24.9" hidden="1" customHeight="1">
      <c r="B1697" s="1648" t="s">
        <v>1003</v>
      </c>
      <c r="C1697" s="1101" t="s">
        <v>1004</v>
      </c>
      <c r="D1697" s="1101" t="s">
        <v>1005</v>
      </c>
      <c r="E1697" s="1101" t="s">
        <v>1006</v>
      </c>
      <c r="F1697" s="1102" t="s">
        <v>1007</v>
      </c>
      <c r="G1697" s="1109" t="s">
        <v>2637</v>
      </c>
      <c r="H1697" s="1110" t="s">
        <v>2638</v>
      </c>
      <c r="J1697" s="1625"/>
      <c r="K1697" s="1625"/>
      <c r="L1697" s="1625"/>
      <c r="M1697" s="1626"/>
    </row>
    <row r="1698" spans="2:13" hidden="1">
      <c r="B1698" s="1649" t="s">
        <v>671</v>
      </c>
      <c r="C1698" s="1329" t="s">
        <v>672</v>
      </c>
      <c r="D1698" s="1331"/>
      <c r="E1698" s="1331"/>
      <c r="F1698" s="1334"/>
      <c r="G1698" s="1104"/>
      <c r="H1698" s="1106"/>
      <c r="M1698" s="1619"/>
    </row>
    <row r="1699" spans="2:13" hidden="1">
      <c r="B1699" s="1650"/>
      <c r="C1699" s="1332" t="s">
        <v>673</v>
      </c>
      <c r="D1699" s="1331" t="s">
        <v>674</v>
      </c>
      <c r="E1699" s="1331" t="s">
        <v>675</v>
      </c>
      <c r="F1699" s="1334">
        <v>1.9E-2</v>
      </c>
      <c r="G1699" s="1104">
        <f>DUB!$I$10</f>
        <v>150000</v>
      </c>
      <c r="H1699" s="1106">
        <f>G1699*F1699</f>
        <v>2850</v>
      </c>
      <c r="M1699" s="1619"/>
    </row>
    <row r="1700" spans="2:13" hidden="1">
      <c r="B1700" s="1650"/>
      <c r="C1700" s="1332" t="s">
        <v>731</v>
      </c>
      <c r="D1700" s="1331" t="s">
        <v>678</v>
      </c>
      <c r="E1700" s="1331" t="s">
        <v>675</v>
      </c>
      <c r="F1700" s="1334">
        <v>3.7999999999999999E-2</v>
      </c>
      <c r="G1700" s="1104">
        <f>DUB!$I$11</f>
        <v>187000</v>
      </c>
      <c r="H1700" s="1106">
        <f>G1700*F1700</f>
        <v>7106</v>
      </c>
      <c r="M1700" s="1619"/>
    </row>
    <row r="1701" spans="2:13" hidden="1">
      <c r="B1701" s="1650"/>
      <c r="C1701" s="1332" t="s">
        <v>931</v>
      </c>
      <c r="D1701" s="1331"/>
      <c r="E1701" s="1331" t="s">
        <v>675</v>
      </c>
      <c r="F1701" s="1334">
        <v>1.9E-2</v>
      </c>
      <c r="G1701" s="1104">
        <f>DUB!I59</f>
        <v>208463</v>
      </c>
      <c r="H1701" s="1106">
        <f>G1701*F1701</f>
        <v>3960.797</v>
      </c>
      <c r="M1701" s="1619"/>
    </row>
    <row r="1702" spans="2:13" hidden="1">
      <c r="B1702" s="1650"/>
      <c r="C1702" s="1332" t="s">
        <v>934</v>
      </c>
      <c r="D1702" s="1331"/>
      <c r="E1702" s="1331" t="s">
        <v>675</v>
      </c>
      <c r="F1702" s="1334">
        <v>1.9E-2</v>
      </c>
      <c r="G1702" s="1104">
        <f>DUB!I61</f>
        <v>152729</v>
      </c>
      <c r="H1702" s="1106">
        <f>G1702*F1702</f>
        <v>2901.8510000000001</v>
      </c>
      <c r="M1702" s="1619"/>
    </row>
    <row r="1703" spans="2:13" hidden="1">
      <c r="B1703" s="1650"/>
      <c r="C1703" s="1332"/>
      <c r="D1703" s="1331"/>
      <c r="E1703" s="1331"/>
      <c r="F1703" s="2074" t="s">
        <v>685</v>
      </c>
      <c r="G1703" s="2074"/>
      <c r="H1703" s="1106">
        <f>SUM(H1699:H1702)</f>
        <v>16818.648000000001</v>
      </c>
      <c r="M1703" s="1619"/>
    </row>
    <row r="1704" spans="2:13" hidden="1">
      <c r="B1704" s="1649" t="s">
        <v>686</v>
      </c>
      <c r="C1704" s="1329" t="s">
        <v>687</v>
      </c>
      <c r="D1704" s="1331"/>
      <c r="E1704" s="1331"/>
      <c r="F1704" s="1334"/>
      <c r="G1704" s="1104"/>
      <c r="H1704" s="1106"/>
      <c r="M1704" s="1619"/>
    </row>
    <row r="1705" spans="2:13" hidden="1">
      <c r="B1705" s="1650"/>
      <c r="C1705" s="1332" t="s">
        <v>926</v>
      </c>
      <c r="D1705" s="1331"/>
      <c r="E1705" s="1331" t="s">
        <v>896</v>
      </c>
      <c r="F1705" s="1334">
        <v>1.897</v>
      </c>
      <c r="G1705" s="1104">
        <f>DUB!$I$486</f>
        <v>18000</v>
      </c>
      <c r="H1705" s="1106">
        <f>G1705*F1705</f>
        <v>34146</v>
      </c>
      <c r="M1705" s="1619"/>
    </row>
    <row r="1706" spans="2:13" hidden="1">
      <c r="B1706" s="1650"/>
      <c r="C1706" s="1332"/>
      <c r="D1706" s="1331"/>
      <c r="E1706" s="1331"/>
      <c r="F1706" s="2074" t="s">
        <v>702</v>
      </c>
      <c r="G1706" s="2074"/>
      <c r="H1706" s="1106">
        <f>SUM(H1705)</f>
        <v>34146</v>
      </c>
      <c r="M1706" s="1619"/>
    </row>
    <row r="1707" spans="2:13" hidden="1">
      <c r="B1707" s="1649" t="s">
        <v>703</v>
      </c>
      <c r="C1707" s="1329" t="s">
        <v>704</v>
      </c>
      <c r="D1707" s="1331"/>
      <c r="E1707" s="1331"/>
      <c r="F1707" s="1334"/>
      <c r="G1707" s="1104"/>
      <c r="H1707" s="1106"/>
      <c r="M1707" s="1619"/>
    </row>
    <row r="1708" spans="2:13" hidden="1">
      <c r="B1708" s="1650"/>
      <c r="C1708" s="1332" t="s">
        <v>927</v>
      </c>
      <c r="D1708" s="1331"/>
      <c r="E1708" s="1331" t="s">
        <v>928</v>
      </c>
      <c r="F1708" s="1334">
        <v>1.9E-2</v>
      </c>
      <c r="G1708" s="1104">
        <f>DUB!$I$550</f>
        <v>72000</v>
      </c>
      <c r="H1708" s="1106">
        <f>G1708*F1708</f>
        <v>1368</v>
      </c>
      <c r="M1708" s="1619"/>
    </row>
    <row r="1709" spans="2:13" hidden="1">
      <c r="B1709" s="1650"/>
      <c r="C1709" s="1332"/>
      <c r="D1709" s="1331"/>
      <c r="E1709" s="1331"/>
      <c r="F1709" s="2074" t="s">
        <v>705</v>
      </c>
      <c r="G1709" s="2074"/>
      <c r="H1709" s="1106">
        <f>SUM(H1708)</f>
        <v>1368</v>
      </c>
      <c r="M1709" s="1619"/>
    </row>
    <row r="1710" spans="2:13" hidden="1">
      <c r="B1710" s="1650"/>
      <c r="C1710" s="1332"/>
      <c r="D1710" s="1331"/>
      <c r="E1710" s="1331"/>
      <c r="F1710" s="1334"/>
      <c r="G1710" s="1104"/>
      <c r="H1710" s="1106"/>
      <c r="M1710" s="1619"/>
    </row>
    <row r="1711" spans="2:13" s="496" customFormat="1" hidden="1">
      <c r="B1711" s="1649" t="s">
        <v>706</v>
      </c>
      <c r="C1711" s="2089" t="s">
        <v>707</v>
      </c>
      <c r="D1711" s="2089"/>
      <c r="E1711" s="2089"/>
      <c r="F1711" s="2089"/>
      <c r="G1711" s="2089"/>
      <c r="H1711" s="1107">
        <f>H1703+H1706+H1709</f>
        <v>52332.648000000001</v>
      </c>
      <c r="J1711" s="1559"/>
      <c r="K1711" s="1559"/>
      <c r="L1711" s="1559"/>
      <c r="M1711" s="1614"/>
    </row>
    <row r="1712" spans="2:13" s="496" customFormat="1" hidden="1">
      <c r="B1712" s="1649" t="s">
        <v>708</v>
      </c>
      <c r="C1712" s="2076" t="s">
        <v>876</v>
      </c>
      <c r="D1712" s="2076"/>
      <c r="E1712" s="2076"/>
      <c r="F1712" s="2077" t="s">
        <v>710</v>
      </c>
      <c r="G1712" s="2077"/>
      <c r="H1712" s="1107">
        <f>H1711*0.15</f>
        <v>7849.8971999999994</v>
      </c>
      <c r="J1712" s="1559"/>
      <c r="K1712" s="1559"/>
      <c r="L1712" s="1559"/>
      <c r="M1712" s="1614"/>
    </row>
    <row r="1713" spans="2:13" s="496" customFormat="1" hidden="1">
      <c r="B1713" s="1649" t="s">
        <v>711</v>
      </c>
      <c r="C1713" s="2078" t="s">
        <v>3947</v>
      </c>
      <c r="D1713" s="2078"/>
      <c r="E1713" s="2078"/>
      <c r="F1713" s="2078"/>
      <c r="G1713" s="2078"/>
      <c r="H1713" s="1107">
        <f>ROUND(SUM(H1711:H1712),2)</f>
        <v>60182.55</v>
      </c>
      <c r="I1713" s="506">
        <f>SUM(H1711:H1712)</f>
        <v>60182.5452</v>
      </c>
      <c r="J1713" s="1561"/>
      <c r="K1713" s="1561"/>
      <c r="L1713" s="1559"/>
      <c r="M1713" s="1614"/>
    </row>
    <row r="1714" spans="2:13" hidden="1">
      <c r="B1714" s="1659"/>
      <c r="C1714" s="1144"/>
      <c r="D1714" s="1143"/>
      <c r="E1714" s="1143"/>
      <c r="F1714" s="1145"/>
      <c r="G1714" s="1146"/>
      <c r="H1714" s="1147"/>
      <c r="M1714" s="1619"/>
    </row>
    <row r="1715" spans="2:13" hidden="1">
      <c r="B1715" s="1613" t="s">
        <v>3951</v>
      </c>
      <c r="C1715" s="1112" t="s">
        <v>2859</v>
      </c>
      <c r="D1715" s="1129"/>
      <c r="E1715" s="1129"/>
      <c r="F1715" s="1131"/>
      <c r="G1715" s="1132"/>
      <c r="H1715" s="1115"/>
      <c r="M1715" s="1619"/>
    </row>
    <row r="1716" spans="2:13" s="507" customFormat="1" ht="24.9" hidden="1" customHeight="1">
      <c r="B1716" s="1648" t="s">
        <v>1003</v>
      </c>
      <c r="C1716" s="1101" t="s">
        <v>1004</v>
      </c>
      <c r="D1716" s="1101" t="s">
        <v>1005</v>
      </c>
      <c r="E1716" s="1101" t="s">
        <v>1006</v>
      </c>
      <c r="F1716" s="1102" t="s">
        <v>1007</v>
      </c>
      <c r="G1716" s="1109" t="s">
        <v>2637</v>
      </c>
      <c r="H1716" s="1110" t="s">
        <v>2638</v>
      </c>
      <c r="J1716" s="1625"/>
      <c r="K1716" s="1625"/>
      <c r="L1716" s="1625"/>
      <c r="M1716" s="1626"/>
    </row>
    <row r="1717" spans="2:13" hidden="1">
      <c r="B1717" s="1649" t="s">
        <v>671</v>
      </c>
      <c r="C1717" s="1329" t="s">
        <v>672</v>
      </c>
      <c r="D1717" s="1331"/>
      <c r="E1717" s="1331"/>
      <c r="F1717" s="1334"/>
      <c r="G1717" s="1104"/>
      <c r="H1717" s="1106"/>
      <c r="M1717" s="1619"/>
    </row>
    <row r="1718" spans="2:13" hidden="1">
      <c r="B1718" s="1650"/>
      <c r="C1718" s="1332" t="s">
        <v>673</v>
      </c>
      <c r="D1718" s="1331" t="s">
        <v>674</v>
      </c>
      <c r="E1718" s="1331" t="s">
        <v>675</v>
      </c>
      <c r="F1718" s="1334">
        <v>1.9E-2</v>
      </c>
      <c r="G1718" s="1104">
        <f>DUB!$I$10</f>
        <v>150000</v>
      </c>
      <c r="H1718" s="1106">
        <f>G1718*F1718</f>
        <v>2850</v>
      </c>
      <c r="M1718" s="1619"/>
    </row>
    <row r="1719" spans="2:13" hidden="1">
      <c r="B1719" s="1650"/>
      <c r="C1719" s="1332" t="s">
        <v>731</v>
      </c>
      <c r="D1719" s="1331" t="s">
        <v>678</v>
      </c>
      <c r="E1719" s="1331" t="s">
        <v>675</v>
      </c>
      <c r="F1719" s="1334">
        <v>3.7999999999999999E-2</v>
      </c>
      <c r="G1719" s="1104">
        <f>DUB!$I$11</f>
        <v>187000</v>
      </c>
      <c r="H1719" s="1106">
        <f>G1719*F1719</f>
        <v>7106</v>
      </c>
      <c r="M1719" s="1619"/>
    </row>
    <row r="1720" spans="2:13" hidden="1">
      <c r="B1720" s="1650"/>
      <c r="C1720" s="1332" t="s">
        <v>931</v>
      </c>
      <c r="D1720" s="1331"/>
      <c r="E1720" s="1331" t="s">
        <v>675</v>
      </c>
      <c r="F1720" s="1334">
        <v>1.9E-2</v>
      </c>
      <c r="G1720" s="1104">
        <f>DUB!I88</f>
        <v>20934</v>
      </c>
      <c r="H1720" s="1106">
        <f>G1720*F1720</f>
        <v>397.74599999999998</v>
      </c>
      <c r="M1720" s="1619"/>
    </row>
    <row r="1721" spans="2:13" hidden="1">
      <c r="B1721" s="1650"/>
      <c r="C1721" s="1332" t="s">
        <v>934</v>
      </c>
      <c r="D1721" s="1331"/>
      <c r="E1721" s="1331" t="s">
        <v>675</v>
      </c>
      <c r="F1721" s="1334">
        <v>1.9E-2</v>
      </c>
      <c r="G1721" s="1104">
        <f>DUB!I89</f>
        <v>32130</v>
      </c>
      <c r="H1721" s="1106">
        <f>G1721*F1721</f>
        <v>610.47</v>
      </c>
      <c r="M1721" s="1619"/>
    </row>
    <row r="1722" spans="2:13" hidden="1">
      <c r="B1722" s="1650"/>
      <c r="C1722" s="1332"/>
      <c r="D1722" s="1331"/>
      <c r="E1722" s="1331"/>
      <c r="F1722" s="2074" t="s">
        <v>685</v>
      </c>
      <c r="G1722" s="2074"/>
      <c r="H1722" s="1106">
        <f>SUM(H1718:H1721)</f>
        <v>10964.215999999999</v>
      </c>
      <c r="M1722" s="1619"/>
    </row>
    <row r="1723" spans="2:13" hidden="1">
      <c r="B1723" s="1649" t="s">
        <v>686</v>
      </c>
      <c r="C1723" s="1329" t="s">
        <v>687</v>
      </c>
      <c r="D1723" s="1331"/>
      <c r="E1723" s="1331"/>
      <c r="F1723" s="1334"/>
      <c r="G1723" s="1104"/>
      <c r="H1723" s="1106"/>
      <c r="M1723" s="1619"/>
    </row>
    <row r="1724" spans="2:13" hidden="1">
      <c r="B1724" s="1650"/>
      <c r="C1724" s="1332" t="s">
        <v>926</v>
      </c>
      <c r="D1724" s="1331"/>
      <c r="E1724" s="1331" t="s">
        <v>896</v>
      </c>
      <c r="F1724" s="1334">
        <v>1.897</v>
      </c>
      <c r="G1724" s="1104">
        <f>DUB!$I$486</f>
        <v>18000</v>
      </c>
      <c r="H1724" s="1106">
        <f>G1724*F1724</f>
        <v>34146</v>
      </c>
      <c r="M1724" s="1619"/>
    </row>
    <row r="1725" spans="2:13" hidden="1">
      <c r="B1725" s="1650"/>
      <c r="C1725" s="1332"/>
      <c r="D1725" s="1331"/>
      <c r="E1725" s="1331"/>
      <c r="F1725" s="2074" t="s">
        <v>702</v>
      </c>
      <c r="G1725" s="2074"/>
      <c r="H1725" s="1106">
        <f>SUM(H1724)</f>
        <v>34146</v>
      </c>
      <c r="M1725" s="1619"/>
    </row>
    <row r="1726" spans="2:13" hidden="1">
      <c r="B1726" s="1649" t="s">
        <v>703</v>
      </c>
      <c r="C1726" s="1329" t="s">
        <v>704</v>
      </c>
      <c r="D1726" s="1331"/>
      <c r="E1726" s="1331"/>
      <c r="F1726" s="1334"/>
      <c r="G1726" s="1104"/>
      <c r="H1726" s="1106"/>
      <c r="M1726" s="1619"/>
    </row>
    <row r="1727" spans="2:13" hidden="1">
      <c r="B1727" s="1650"/>
      <c r="C1727" s="1332" t="s">
        <v>927</v>
      </c>
      <c r="D1727" s="1331"/>
      <c r="E1727" s="1331" t="s">
        <v>928</v>
      </c>
      <c r="F1727" s="1334">
        <v>1.9E-2</v>
      </c>
      <c r="G1727" s="1104">
        <f>DUB!$I$550</f>
        <v>72000</v>
      </c>
      <c r="H1727" s="1106">
        <f>G1727*F1727</f>
        <v>1368</v>
      </c>
      <c r="M1727" s="1619"/>
    </row>
    <row r="1728" spans="2:13" hidden="1">
      <c r="B1728" s="1650"/>
      <c r="C1728" s="1332"/>
      <c r="D1728" s="1331"/>
      <c r="E1728" s="1331"/>
      <c r="F1728" s="2074" t="s">
        <v>705</v>
      </c>
      <c r="G1728" s="2074"/>
      <c r="H1728" s="1106">
        <f>SUM(H1727)</f>
        <v>1368</v>
      </c>
      <c r="M1728" s="1619"/>
    </row>
    <row r="1729" spans="2:13" hidden="1">
      <c r="B1729" s="1650"/>
      <c r="C1729" s="1332"/>
      <c r="D1729" s="1331"/>
      <c r="E1729" s="1331"/>
      <c r="F1729" s="1334"/>
      <c r="G1729" s="1104"/>
      <c r="H1729" s="1106"/>
      <c r="M1729" s="1619"/>
    </row>
    <row r="1730" spans="2:13" s="496" customFormat="1" hidden="1">
      <c r="B1730" s="1649" t="s">
        <v>706</v>
      </c>
      <c r="C1730" s="2089" t="s">
        <v>707</v>
      </c>
      <c r="D1730" s="2089"/>
      <c r="E1730" s="2089"/>
      <c r="F1730" s="2089"/>
      <c r="G1730" s="2089"/>
      <c r="H1730" s="1107">
        <f>H1722+H1725+H1728</f>
        <v>46478.216</v>
      </c>
      <c r="J1730" s="1559"/>
      <c r="K1730" s="1559"/>
      <c r="L1730" s="1559"/>
      <c r="M1730" s="1614"/>
    </row>
    <row r="1731" spans="2:13" s="496" customFormat="1" hidden="1">
      <c r="B1731" s="1649" t="s">
        <v>708</v>
      </c>
      <c r="C1731" s="2076" t="s">
        <v>876</v>
      </c>
      <c r="D1731" s="2076"/>
      <c r="E1731" s="2076"/>
      <c r="F1731" s="2077" t="s">
        <v>710</v>
      </c>
      <c r="G1731" s="2077"/>
      <c r="H1731" s="1107">
        <f>H1730*0.15</f>
        <v>6971.7323999999999</v>
      </c>
      <c r="J1731" s="1559"/>
      <c r="K1731" s="1559"/>
      <c r="L1731" s="1559"/>
      <c r="M1731" s="1614"/>
    </row>
    <row r="1732" spans="2:13" s="496" customFormat="1" hidden="1">
      <c r="B1732" s="1649" t="s">
        <v>711</v>
      </c>
      <c r="C1732" s="2078" t="s">
        <v>3947</v>
      </c>
      <c r="D1732" s="2078"/>
      <c r="E1732" s="2078"/>
      <c r="F1732" s="2078"/>
      <c r="G1732" s="2078"/>
      <c r="H1732" s="1107">
        <f>ROUND(SUM(H1730:H1731),2)</f>
        <v>53449.95</v>
      </c>
      <c r="I1732" s="506">
        <f>SUM(H1730:H1731)</f>
        <v>53449.948400000001</v>
      </c>
      <c r="J1732" s="1561"/>
      <c r="K1732" s="1561"/>
      <c r="L1732" s="1559"/>
      <c r="M1732" s="1614"/>
    </row>
    <row r="1733" spans="2:13" hidden="1">
      <c r="B1733" s="1624"/>
      <c r="F1733" s="1172"/>
      <c r="G1733" s="1173"/>
      <c r="H1733" s="1133"/>
      <c r="M1733" s="1619"/>
    </row>
    <row r="1734" spans="2:13" hidden="1">
      <c r="B1734" s="1613" t="s">
        <v>3952</v>
      </c>
      <c r="C1734" s="1232" t="s">
        <v>2860</v>
      </c>
      <c r="F1734" s="1172"/>
      <c r="G1734" s="1173"/>
      <c r="H1734" s="1133"/>
      <c r="M1734" s="1619"/>
    </row>
    <row r="1735" spans="2:13" s="507" customFormat="1" ht="24.9" hidden="1" customHeight="1">
      <c r="B1735" s="1648" t="s">
        <v>1003</v>
      </c>
      <c r="C1735" s="1101" t="s">
        <v>1004</v>
      </c>
      <c r="D1735" s="1101" t="s">
        <v>1005</v>
      </c>
      <c r="E1735" s="1101" t="s">
        <v>1006</v>
      </c>
      <c r="F1735" s="1102" t="s">
        <v>1007</v>
      </c>
      <c r="G1735" s="1109" t="s">
        <v>2637</v>
      </c>
      <c r="H1735" s="1110" t="s">
        <v>2638</v>
      </c>
      <c r="J1735" s="1625"/>
      <c r="K1735" s="1625"/>
      <c r="L1735" s="1625"/>
      <c r="M1735" s="1626"/>
    </row>
    <row r="1736" spans="2:13" hidden="1">
      <c r="B1736" s="1649" t="s">
        <v>671</v>
      </c>
      <c r="C1736" s="1329" t="s">
        <v>672</v>
      </c>
      <c r="D1736" s="1331"/>
      <c r="E1736" s="1331"/>
      <c r="F1736" s="1334"/>
      <c r="G1736" s="1104"/>
      <c r="H1736" s="1106"/>
      <c r="M1736" s="1619"/>
    </row>
    <row r="1737" spans="2:13" hidden="1">
      <c r="B1737" s="1650"/>
      <c r="C1737" s="1332" t="s">
        <v>673</v>
      </c>
      <c r="D1737" s="1331" t="s">
        <v>674</v>
      </c>
      <c r="E1737" s="1331" t="s">
        <v>675</v>
      </c>
      <c r="F1737" s="1334">
        <v>1.9E-2</v>
      </c>
      <c r="G1737" s="1104">
        <f>DUB!$I$10</f>
        <v>150000</v>
      </c>
      <c r="H1737" s="1106">
        <f>G1737*F1737</f>
        <v>2850</v>
      </c>
      <c r="M1737" s="1619"/>
    </row>
    <row r="1738" spans="2:13" hidden="1">
      <c r="B1738" s="1650"/>
      <c r="C1738" s="1332" t="s">
        <v>731</v>
      </c>
      <c r="D1738" s="1331" t="s">
        <v>678</v>
      </c>
      <c r="E1738" s="1331" t="s">
        <v>675</v>
      </c>
      <c r="F1738" s="1334">
        <v>3.7999999999999999E-2</v>
      </c>
      <c r="G1738" s="1104">
        <f>DUB!$I$11</f>
        <v>187000</v>
      </c>
      <c r="H1738" s="1106">
        <f>G1738*F1738</f>
        <v>7106</v>
      </c>
      <c r="M1738" s="1619"/>
    </row>
    <row r="1739" spans="2:13" hidden="1">
      <c r="B1739" s="1650"/>
      <c r="C1739" s="1332" t="s">
        <v>931</v>
      </c>
      <c r="D1739" s="1331"/>
      <c r="E1739" s="1331" t="s">
        <v>675</v>
      </c>
      <c r="F1739" s="1334">
        <v>1.9E-2</v>
      </c>
      <c r="G1739" s="1104">
        <f>DUB!I111</f>
        <v>309519</v>
      </c>
      <c r="H1739" s="1106">
        <f>G1739*F1739</f>
        <v>5880.8609999999999</v>
      </c>
      <c r="M1739" s="1619"/>
    </row>
    <row r="1740" spans="2:13" hidden="1">
      <c r="B1740" s="1650"/>
      <c r="C1740" s="1332" t="s">
        <v>934</v>
      </c>
      <c r="D1740" s="1331"/>
      <c r="E1740" s="1331" t="s">
        <v>675</v>
      </c>
      <c r="F1740" s="1334">
        <v>1.9E-2</v>
      </c>
      <c r="G1740" s="1104">
        <f>DUB!I113</f>
        <v>824670</v>
      </c>
      <c r="H1740" s="1106">
        <f>G1740*F1740</f>
        <v>15668.73</v>
      </c>
      <c r="M1740" s="1619"/>
    </row>
    <row r="1741" spans="2:13" hidden="1">
      <c r="B1741" s="1650"/>
      <c r="C1741" s="1332"/>
      <c r="D1741" s="1331"/>
      <c r="E1741" s="1331"/>
      <c r="F1741" s="2074" t="s">
        <v>685</v>
      </c>
      <c r="G1741" s="2074"/>
      <c r="H1741" s="1106">
        <f>SUM(H1737:H1740)</f>
        <v>31505.591</v>
      </c>
      <c r="M1741" s="1619"/>
    </row>
    <row r="1742" spans="2:13" hidden="1">
      <c r="B1742" s="1649" t="s">
        <v>686</v>
      </c>
      <c r="C1742" s="1329" t="s">
        <v>687</v>
      </c>
      <c r="D1742" s="1331"/>
      <c r="E1742" s="1331"/>
      <c r="F1742" s="1334"/>
      <c r="G1742" s="1104"/>
      <c r="H1742" s="1106"/>
      <c r="M1742" s="1619"/>
    </row>
    <row r="1743" spans="2:13" hidden="1">
      <c r="B1743" s="1650"/>
      <c r="C1743" s="1332" t="s">
        <v>926</v>
      </c>
      <c r="D1743" s="1331"/>
      <c r="E1743" s="1331" t="s">
        <v>896</v>
      </c>
      <c r="F1743" s="1334">
        <v>1.897</v>
      </c>
      <c r="G1743" s="1104">
        <f>DUB!$I$486</f>
        <v>18000</v>
      </c>
      <c r="H1743" s="1106">
        <f>G1743*F1743</f>
        <v>34146</v>
      </c>
      <c r="M1743" s="1619"/>
    </row>
    <row r="1744" spans="2:13" hidden="1">
      <c r="B1744" s="1650"/>
      <c r="C1744" s="1332"/>
      <c r="D1744" s="1331"/>
      <c r="E1744" s="1331"/>
      <c r="F1744" s="2074" t="s">
        <v>702</v>
      </c>
      <c r="G1744" s="2074"/>
      <c r="H1744" s="1106">
        <f>SUM(H1743)</f>
        <v>34146</v>
      </c>
      <c r="M1744" s="1619"/>
    </row>
    <row r="1745" spans="2:13" hidden="1">
      <c r="B1745" s="1649" t="s">
        <v>703</v>
      </c>
      <c r="C1745" s="1329" t="s">
        <v>704</v>
      </c>
      <c r="D1745" s="1331"/>
      <c r="E1745" s="1331"/>
      <c r="F1745" s="1334"/>
      <c r="G1745" s="1104"/>
      <c r="H1745" s="1106"/>
      <c r="M1745" s="1619"/>
    </row>
    <row r="1746" spans="2:13" hidden="1">
      <c r="B1746" s="1650"/>
      <c r="C1746" s="1332" t="s">
        <v>927</v>
      </c>
      <c r="D1746" s="1331"/>
      <c r="E1746" s="1331" t="s">
        <v>928</v>
      </c>
      <c r="F1746" s="1334">
        <v>1.9E-2</v>
      </c>
      <c r="G1746" s="1104">
        <f>DUB!$I$550</f>
        <v>72000</v>
      </c>
      <c r="H1746" s="1106">
        <f>G1746*F1746</f>
        <v>1368</v>
      </c>
      <c r="M1746" s="1619"/>
    </row>
    <row r="1747" spans="2:13" hidden="1">
      <c r="B1747" s="1650"/>
      <c r="C1747" s="1332"/>
      <c r="D1747" s="1331"/>
      <c r="E1747" s="1331"/>
      <c r="F1747" s="2074" t="s">
        <v>705</v>
      </c>
      <c r="G1747" s="2074"/>
      <c r="H1747" s="1106">
        <f>SUM(H1746)</f>
        <v>1368</v>
      </c>
      <c r="M1747" s="1619"/>
    </row>
    <row r="1748" spans="2:13" hidden="1">
      <c r="B1748" s="1650"/>
      <c r="C1748" s="1332"/>
      <c r="D1748" s="1331"/>
      <c r="E1748" s="1331"/>
      <c r="F1748" s="1334"/>
      <c r="G1748" s="1104"/>
      <c r="H1748" s="1106"/>
      <c r="M1748" s="1619"/>
    </row>
    <row r="1749" spans="2:13" s="496" customFormat="1" hidden="1">
      <c r="B1749" s="1649" t="s">
        <v>706</v>
      </c>
      <c r="C1749" s="2089" t="s">
        <v>707</v>
      </c>
      <c r="D1749" s="2089"/>
      <c r="E1749" s="2089"/>
      <c r="F1749" s="2089"/>
      <c r="G1749" s="2089"/>
      <c r="H1749" s="1107">
        <f>H1741+H1744+H1747</f>
        <v>67019.591</v>
      </c>
      <c r="J1749" s="1559"/>
      <c r="K1749" s="1559"/>
      <c r="L1749" s="1559"/>
      <c r="M1749" s="1614"/>
    </row>
    <row r="1750" spans="2:13" s="496" customFormat="1" hidden="1">
      <c r="B1750" s="1649" t="s">
        <v>708</v>
      </c>
      <c r="C1750" s="2076" t="s">
        <v>876</v>
      </c>
      <c r="D1750" s="2076"/>
      <c r="E1750" s="2076"/>
      <c r="F1750" s="2077" t="s">
        <v>710</v>
      </c>
      <c r="G1750" s="2077"/>
      <c r="H1750" s="1107">
        <f>H1749*0.15</f>
        <v>10052.93865</v>
      </c>
      <c r="J1750" s="1559"/>
      <c r="K1750" s="1559"/>
      <c r="L1750" s="1559"/>
      <c r="M1750" s="1614"/>
    </row>
    <row r="1751" spans="2:13" s="496" customFormat="1" hidden="1">
      <c r="B1751" s="1649" t="s">
        <v>711</v>
      </c>
      <c r="C1751" s="2078" t="s">
        <v>3947</v>
      </c>
      <c r="D1751" s="2078"/>
      <c r="E1751" s="2078"/>
      <c r="F1751" s="2078"/>
      <c r="G1751" s="2078"/>
      <c r="H1751" s="1107">
        <f>ROUND(SUM(H1749:H1750),2)</f>
        <v>77072.53</v>
      </c>
      <c r="I1751" s="506">
        <f>SUM(H1749:H1750)</f>
        <v>77072.529649999997</v>
      </c>
      <c r="J1751" s="1561"/>
      <c r="K1751" s="1561"/>
      <c r="L1751" s="1559"/>
      <c r="M1751" s="1614"/>
    </row>
    <row r="1752" spans="2:13" hidden="1">
      <c r="B1752" s="1659"/>
      <c r="C1752" s="1144"/>
      <c r="D1752" s="1143"/>
      <c r="E1752" s="1143"/>
      <c r="F1752" s="1145"/>
      <c r="G1752" s="1146"/>
      <c r="H1752" s="1147"/>
      <c r="M1752" s="1619"/>
    </row>
    <row r="1753" spans="2:13" hidden="1">
      <c r="B1753" s="1613" t="s">
        <v>3953</v>
      </c>
      <c r="C1753" s="1112" t="s">
        <v>2861</v>
      </c>
      <c r="D1753" s="1129"/>
      <c r="E1753" s="1129"/>
      <c r="F1753" s="1131"/>
      <c r="G1753" s="1132"/>
      <c r="H1753" s="1115"/>
      <c r="M1753" s="1619"/>
    </row>
    <row r="1754" spans="2:13" s="507" customFormat="1" ht="24.9" hidden="1" customHeight="1">
      <c r="B1754" s="1648" t="s">
        <v>1003</v>
      </c>
      <c r="C1754" s="1101" t="s">
        <v>1004</v>
      </c>
      <c r="D1754" s="1101" t="s">
        <v>1005</v>
      </c>
      <c r="E1754" s="1101" t="s">
        <v>1006</v>
      </c>
      <c r="F1754" s="1102" t="s">
        <v>1007</v>
      </c>
      <c r="G1754" s="1109" t="s">
        <v>2637</v>
      </c>
      <c r="H1754" s="1110" t="s">
        <v>2638</v>
      </c>
      <c r="J1754" s="1625"/>
      <c r="K1754" s="1625"/>
      <c r="L1754" s="1625"/>
      <c r="M1754" s="1626"/>
    </row>
    <row r="1755" spans="2:13" hidden="1">
      <c r="B1755" s="1649" t="s">
        <v>671</v>
      </c>
      <c r="C1755" s="1329" t="s">
        <v>672</v>
      </c>
      <c r="D1755" s="1331"/>
      <c r="E1755" s="1331"/>
      <c r="F1755" s="1334"/>
      <c r="G1755" s="1104"/>
      <c r="H1755" s="1106"/>
      <c r="M1755" s="1619"/>
    </row>
    <row r="1756" spans="2:13" hidden="1">
      <c r="B1756" s="1650"/>
      <c r="C1756" s="1332"/>
      <c r="D1756" s="1331"/>
      <c r="E1756" s="1331"/>
      <c r="F1756" s="2074" t="s">
        <v>685</v>
      </c>
      <c r="G1756" s="2074"/>
      <c r="H1756" s="1106"/>
      <c r="M1756" s="1619"/>
    </row>
    <row r="1757" spans="2:13" hidden="1">
      <c r="B1757" s="1649" t="s">
        <v>686</v>
      </c>
      <c r="C1757" s="1329" t="s">
        <v>687</v>
      </c>
      <c r="D1757" s="1331"/>
      <c r="E1757" s="1331"/>
      <c r="F1757" s="1334"/>
      <c r="G1757" s="1104"/>
      <c r="H1757" s="1106"/>
      <c r="M1757" s="1619"/>
    </row>
    <row r="1758" spans="2:13" hidden="1">
      <c r="B1758" s="1650"/>
      <c r="C1758" s="1332" t="s">
        <v>936</v>
      </c>
      <c r="D1758" s="1331"/>
      <c r="E1758" s="1331" t="s">
        <v>690</v>
      </c>
      <c r="F1758" s="1201">
        <v>1200</v>
      </c>
      <c r="G1758" s="1104">
        <f>DUB!I67</f>
        <v>5004</v>
      </c>
      <c r="H1758" s="1202">
        <f>F1758*G1758</f>
        <v>6004800</v>
      </c>
      <c r="M1758" s="1619"/>
    </row>
    <row r="1759" spans="2:13" hidden="1">
      <c r="B1759" s="1650"/>
      <c r="C1759" s="1332" t="s">
        <v>937</v>
      </c>
      <c r="D1759" s="1331"/>
      <c r="E1759" s="1331" t="s">
        <v>690</v>
      </c>
      <c r="F1759" s="1201">
        <v>650</v>
      </c>
      <c r="G1759" s="1104">
        <f>DUB!I75</f>
        <v>5004</v>
      </c>
      <c r="H1759" s="1202">
        <f>F1759*G1759</f>
        <v>3252600</v>
      </c>
      <c r="M1759" s="1619"/>
    </row>
    <row r="1760" spans="2:13" hidden="1">
      <c r="B1760" s="1650"/>
      <c r="C1760" s="1332" t="s">
        <v>842</v>
      </c>
      <c r="D1760" s="1331"/>
      <c r="E1760" s="1331" t="s">
        <v>896</v>
      </c>
      <c r="F1760" s="1201">
        <v>350</v>
      </c>
      <c r="G1760" s="1104">
        <f>DUB!$I$33</f>
        <v>44</v>
      </c>
      <c r="H1760" s="1202">
        <f>F1760*G1760</f>
        <v>15400</v>
      </c>
      <c r="M1760" s="1619"/>
    </row>
    <row r="1761" spans="2:13" hidden="1">
      <c r="B1761" s="1650"/>
      <c r="C1761" s="1125"/>
      <c r="D1761" s="1333"/>
      <c r="E1761" s="1333"/>
      <c r="F1761" s="2074" t="s">
        <v>702</v>
      </c>
      <c r="G1761" s="2074"/>
      <c r="H1761" s="1106">
        <f>SUM(H1758:H1760)</f>
        <v>9272800</v>
      </c>
      <c r="M1761" s="1619"/>
    </row>
    <row r="1762" spans="2:13" s="496" customFormat="1" hidden="1">
      <c r="B1762" s="1649" t="s">
        <v>703</v>
      </c>
      <c r="C1762" s="2075" t="s">
        <v>3764</v>
      </c>
      <c r="D1762" s="2075"/>
      <c r="E1762" s="2075"/>
      <c r="F1762" s="2075"/>
      <c r="G1762" s="2075"/>
      <c r="H1762" s="1107">
        <f>H1756+H1761</f>
        <v>9272800</v>
      </c>
      <c r="J1762" s="1559"/>
      <c r="K1762" s="1559"/>
      <c r="L1762" s="1559"/>
      <c r="M1762" s="1614"/>
    </row>
    <row r="1763" spans="2:13" s="496" customFormat="1" hidden="1">
      <c r="B1763" s="1649" t="s">
        <v>706</v>
      </c>
      <c r="C1763" s="2076" t="s">
        <v>876</v>
      </c>
      <c r="D1763" s="2076"/>
      <c r="E1763" s="2076"/>
      <c r="F1763" s="2077" t="s">
        <v>3873</v>
      </c>
      <c r="G1763" s="2077"/>
      <c r="H1763" s="1107">
        <f>H1762*0.15</f>
        <v>1390920</v>
      </c>
      <c r="J1763" s="1559"/>
      <c r="K1763" s="1559"/>
      <c r="L1763" s="1559"/>
      <c r="M1763" s="1614"/>
    </row>
    <row r="1764" spans="2:13" s="496" customFormat="1" hidden="1">
      <c r="B1764" s="1649" t="s">
        <v>708</v>
      </c>
      <c r="C1764" s="2078" t="s">
        <v>3765</v>
      </c>
      <c r="D1764" s="2078"/>
      <c r="E1764" s="2078"/>
      <c r="F1764" s="2078"/>
      <c r="G1764" s="2078"/>
      <c r="H1764" s="1107">
        <f>ROUND(SUM(H1762:H1763),2)</f>
        <v>10663720</v>
      </c>
      <c r="I1764" s="506">
        <f>SUM(H1762:H1763)</f>
        <v>10663720</v>
      </c>
      <c r="J1764" s="1561"/>
      <c r="K1764" s="1561"/>
      <c r="L1764" s="1559"/>
      <c r="M1764" s="1614"/>
    </row>
    <row r="1765" spans="2:13" hidden="1">
      <c r="B1765" s="1624"/>
      <c r="F1765" s="1172"/>
      <c r="G1765" s="1173"/>
      <c r="H1765" s="1133"/>
      <c r="M1765" s="1619"/>
    </row>
    <row r="1766" spans="2:13" hidden="1">
      <c r="B1766" s="1613" t="s">
        <v>3954</v>
      </c>
      <c r="C1766" s="1232" t="s">
        <v>2862</v>
      </c>
      <c r="F1766" s="1172"/>
      <c r="G1766" s="1173"/>
      <c r="H1766" s="1133"/>
      <c r="M1766" s="1619"/>
    </row>
    <row r="1767" spans="2:13" s="507" customFormat="1" ht="24.9" hidden="1" customHeight="1">
      <c r="B1767" s="1648" t="s">
        <v>1003</v>
      </c>
      <c r="C1767" s="1101" t="s">
        <v>1004</v>
      </c>
      <c r="D1767" s="1101" t="s">
        <v>1005</v>
      </c>
      <c r="E1767" s="1101" t="s">
        <v>1006</v>
      </c>
      <c r="F1767" s="1102" t="s">
        <v>1007</v>
      </c>
      <c r="G1767" s="1109" t="s">
        <v>2637</v>
      </c>
      <c r="H1767" s="1110" t="s">
        <v>2638</v>
      </c>
      <c r="J1767" s="1625"/>
      <c r="K1767" s="1625"/>
      <c r="L1767" s="1625"/>
      <c r="M1767" s="1626"/>
    </row>
    <row r="1768" spans="2:13" hidden="1">
      <c r="B1768" s="1649" t="s">
        <v>671</v>
      </c>
      <c r="C1768" s="1329" t="s">
        <v>672</v>
      </c>
      <c r="D1768" s="1331"/>
      <c r="E1768" s="1331"/>
      <c r="F1768" s="1334"/>
      <c r="G1768" s="1104"/>
      <c r="H1768" s="1106"/>
      <c r="M1768" s="1619"/>
    </row>
    <row r="1769" spans="2:13" hidden="1">
      <c r="B1769" s="1650"/>
      <c r="C1769" s="1332"/>
      <c r="D1769" s="1331"/>
      <c r="E1769" s="1331"/>
      <c r="F1769" s="2074" t="s">
        <v>685</v>
      </c>
      <c r="G1769" s="2074"/>
      <c r="H1769" s="1106"/>
      <c r="M1769" s="1619"/>
    </row>
    <row r="1770" spans="2:13" hidden="1">
      <c r="B1770" s="1649" t="s">
        <v>686</v>
      </c>
      <c r="C1770" s="1329" t="s">
        <v>687</v>
      </c>
      <c r="D1770" s="1331"/>
      <c r="E1770" s="1331"/>
      <c r="F1770" s="1334"/>
      <c r="G1770" s="1104"/>
      <c r="H1770" s="1106"/>
      <c r="M1770" s="1619"/>
    </row>
    <row r="1771" spans="2:13" hidden="1">
      <c r="B1771" s="1650"/>
      <c r="C1771" s="1332" t="s">
        <v>936</v>
      </c>
      <c r="D1771" s="1331"/>
      <c r="E1771" s="1331" t="s">
        <v>690</v>
      </c>
      <c r="F1771" s="1334">
        <v>1.85</v>
      </c>
      <c r="G1771" s="1104">
        <f>DUB!$I$67</f>
        <v>5004</v>
      </c>
      <c r="H1771" s="1106">
        <f>G1771*F1771</f>
        <v>9257.4</v>
      </c>
      <c r="M1771" s="1619"/>
    </row>
    <row r="1772" spans="2:13" hidden="1">
      <c r="B1772" s="1650"/>
      <c r="C1772" s="1332" t="s">
        <v>842</v>
      </c>
      <c r="D1772" s="1331"/>
      <c r="E1772" s="1331" t="s">
        <v>896</v>
      </c>
      <c r="F1772" s="1201">
        <v>400</v>
      </c>
      <c r="G1772" s="1104">
        <f>DUB!$I$33</f>
        <v>44</v>
      </c>
      <c r="H1772" s="1106">
        <f>G1772*F1772</f>
        <v>17600</v>
      </c>
      <c r="M1772" s="1619"/>
    </row>
    <row r="1773" spans="2:13" hidden="1">
      <c r="B1773" s="1650"/>
      <c r="C1773" s="1332"/>
      <c r="D1773" s="1331"/>
      <c r="E1773" s="1331"/>
      <c r="F1773" s="2091" t="s">
        <v>702</v>
      </c>
      <c r="G1773" s="2091"/>
      <c r="H1773" s="1106">
        <f>SUM(H1771:H1772)</f>
        <v>26857.4</v>
      </c>
      <c r="M1773" s="1619"/>
    </row>
    <row r="1774" spans="2:13" s="496" customFormat="1" hidden="1">
      <c r="B1774" s="1649" t="s">
        <v>703</v>
      </c>
      <c r="C1774" s="2075" t="s">
        <v>3764</v>
      </c>
      <c r="D1774" s="2075"/>
      <c r="E1774" s="2075"/>
      <c r="F1774" s="2075"/>
      <c r="G1774" s="2075"/>
      <c r="H1774" s="1107">
        <f>H1773</f>
        <v>26857.4</v>
      </c>
      <c r="J1774" s="1559"/>
      <c r="K1774" s="1559"/>
      <c r="L1774" s="1559"/>
      <c r="M1774" s="1614"/>
    </row>
    <row r="1775" spans="2:13" s="496" customFormat="1" hidden="1">
      <c r="B1775" s="1649" t="s">
        <v>706</v>
      </c>
      <c r="C1775" s="2076" t="s">
        <v>876</v>
      </c>
      <c r="D1775" s="2076"/>
      <c r="E1775" s="2076"/>
      <c r="F1775" s="2077" t="s">
        <v>3873</v>
      </c>
      <c r="G1775" s="2077"/>
      <c r="H1775" s="1107">
        <f>H1774*0.15</f>
        <v>4028.61</v>
      </c>
      <c r="J1775" s="1559"/>
      <c r="K1775" s="1559"/>
      <c r="L1775" s="1559"/>
      <c r="M1775" s="1614"/>
    </row>
    <row r="1776" spans="2:13" s="496" customFormat="1" hidden="1">
      <c r="B1776" s="1649" t="s">
        <v>708</v>
      </c>
      <c r="C1776" s="2078" t="s">
        <v>3765</v>
      </c>
      <c r="D1776" s="2078"/>
      <c r="E1776" s="2078"/>
      <c r="F1776" s="2078"/>
      <c r="G1776" s="2078"/>
      <c r="H1776" s="1107">
        <f>ROUND(SUM(H1774:H1775),2)</f>
        <v>30886.01</v>
      </c>
      <c r="I1776" s="506">
        <f>SUM(H1774:H1775)</f>
        <v>30886.010000000002</v>
      </c>
      <c r="J1776" s="1561"/>
      <c r="K1776" s="1561"/>
      <c r="L1776" s="1559"/>
      <c r="M1776" s="1614"/>
    </row>
    <row r="1777" spans="2:13" hidden="1">
      <c r="B1777" s="1659"/>
      <c r="C1777" s="1144"/>
      <c r="D1777" s="1143"/>
      <c r="E1777" s="1143"/>
      <c r="F1777" s="1145"/>
      <c r="G1777" s="1146"/>
      <c r="H1777" s="1147"/>
      <c r="M1777" s="1619"/>
    </row>
    <row r="1778" spans="2:13" hidden="1">
      <c r="B1778" s="1613" t="s">
        <v>3955</v>
      </c>
      <c r="C1778" s="1112" t="s">
        <v>2863</v>
      </c>
      <c r="D1778" s="1129"/>
      <c r="E1778" s="1129"/>
      <c r="F1778" s="1131"/>
      <c r="G1778" s="1132"/>
      <c r="H1778" s="1115"/>
      <c r="M1778" s="1619"/>
    </row>
    <row r="1779" spans="2:13" s="507" customFormat="1" ht="24.9" hidden="1" customHeight="1">
      <c r="B1779" s="1648" t="s">
        <v>1003</v>
      </c>
      <c r="C1779" s="1101" t="s">
        <v>1004</v>
      </c>
      <c r="D1779" s="1101" t="s">
        <v>1005</v>
      </c>
      <c r="E1779" s="1101" t="s">
        <v>1006</v>
      </c>
      <c r="F1779" s="1102" t="s">
        <v>1007</v>
      </c>
      <c r="G1779" s="1109" t="s">
        <v>2637</v>
      </c>
      <c r="H1779" s="1110" t="s">
        <v>2638</v>
      </c>
      <c r="J1779" s="1625"/>
      <c r="K1779" s="1625"/>
      <c r="L1779" s="1625"/>
      <c r="M1779" s="1626"/>
    </row>
    <row r="1780" spans="2:13" hidden="1">
      <c r="B1780" s="1649" t="s">
        <v>671</v>
      </c>
      <c r="C1780" s="1329" t="s">
        <v>672</v>
      </c>
      <c r="D1780" s="1331"/>
      <c r="E1780" s="1331"/>
      <c r="F1780" s="1334"/>
      <c r="G1780" s="1104"/>
      <c r="H1780" s="1106"/>
      <c r="M1780" s="1619"/>
    </row>
    <row r="1781" spans="2:13" hidden="1">
      <c r="B1781" s="1650"/>
      <c r="C1781" s="1332" t="s">
        <v>731</v>
      </c>
      <c r="D1781" s="1331" t="s">
        <v>678</v>
      </c>
      <c r="E1781" s="1331" t="s">
        <v>675</v>
      </c>
      <c r="F1781" s="1334">
        <v>0.36699999999999999</v>
      </c>
      <c r="G1781" s="1104">
        <f>DUB!$I$11</f>
        <v>187000</v>
      </c>
      <c r="H1781" s="1106">
        <f>G1781*F1781</f>
        <v>68629</v>
      </c>
      <c r="M1781" s="1619"/>
    </row>
    <row r="1782" spans="2:13" hidden="1">
      <c r="B1782" s="1650"/>
      <c r="C1782" s="1332" t="s">
        <v>939</v>
      </c>
      <c r="D1782" s="1331" t="s">
        <v>681</v>
      </c>
      <c r="E1782" s="1331" t="s">
        <v>675</v>
      </c>
      <c r="F1782" s="1334">
        <v>7.3999999999999996E-2</v>
      </c>
      <c r="G1782" s="1104">
        <f>DUB!$I$13</f>
        <v>240000</v>
      </c>
      <c r="H1782" s="1106">
        <f>G1782*F1782</f>
        <v>17760</v>
      </c>
      <c r="M1782" s="1619"/>
    </row>
    <row r="1783" spans="2:13" hidden="1">
      <c r="B1783" s="1650"/>
      <c r="C1783" s="1332" t="s">
        <v>683</v>
      </c>
      <c r="D1783" s="1331" t="s">
        <v>684</v>
      </c>
      <c r="E1783" s="1331" t="s">
        <v>675</v>
      </c>
      <c r="F1783" s="1334">
        <v>3.6999999999999998E-2</v>
      </c>
      <c r="G1783" s="1104">
        <f>DUB!$I$12</f>
        <v>225000</v>
      </c>
      <c r="H1783" s="1106">
        <f>G1783*F1783</f>
        <v>8325</v>
      </c>
      <c r="M1783" s="1619"/>
    </row>
    <row r="1784" spans="2:13" hidden="1">
      <c r="B1784" s="1650"/>
      <c r="C1784" s="1332"/>
      <c r="D1784" s="1331"/>
      <c r="E1784" s="1331"/>
      <c r="F1784" s="2090" t="s">
        <v>685</v>
      </c>
      <c r="G1784" s="2090"/>
      <c r="H1784" s="1106">
        <f>SUM(H1781:H1783)</f>
        <v>94714</v>
      </c>
      <c r="M1784" s="1619"/>
    </row>
    <row r="1785" spans="2:13" hidden="1">
      <c r="B1785" s="1649" t="s">
        <v>686</v>
      </c>
      <c r="C1785" s="1329" t="s">
        <v>687</v>
      </c>
      <c r="D1785" s="1331"/>
      <c r="E1785" s="1331"/>
      <c r="F1785" s="1127"/>
      <c r="G1785" s="1128"/>
      <c r="H1785" s="1106"/>
      <c r="M1785" s="1619"/>
    </row>
    <row r="1786" spans="2:13" hidden="1">
      <c r="B1786" s="1650"/>
      <c r="C1786" s="1332"/>
      <c r="D1786" s="1331"/>
      <c r="E1786" s="1331"/>
      <c r="F1786" s="2090" t="s">
        <v>702</v>
      </c>
      <c r="G1786" s="2090"/>
      <c r="H1786" s="1106"/>
      <c r="M1786" s="1619"/>
    </row>
    <row r="1787" spans="2:13" s="496" customFormat="1" hidden="1">
      <c r="B1787" s="1649" t="s">
        <v>703</v>
      </c>
      <c r="C1787" s="2089" t="s">
        <v>3764</v>
      </c>
      <c r="D1787" s="2089"/>
      <c r="E1787" s="2089"/>
      <c r="F1787" s="2089"/>
      <c r="G1787" s="2089"/>
      <c r="H1787" s="1107">
        <f>H1784+H1786</f>
        <v>94714</v>
      </c>
      <c r="J1787" s="1559"/>
      <c r="K1787" s="1559"/>
      <c r="L1787" s="1559"/>
      <c r="M1787" s="1614"/>
    </row>
    <row r="1788" spans="2:13" s="496" customFormat="1" hidden="1">
      <c r="B1788" s="1649" t="s">
        <v>706</v>
      </c>
      <c r="C1788" s="2076" t="s">
        <v>876</v>
      </c>
      <c r="D1788" s="2076"/>
      <c r="E1788" s="2076"/>
      <c r="F1788" s="2077" t="s">
        <v>3873</v>
      </c>
      <c r="G1788" s="2077"/>
      <c r="H1788" s="1107">
        <f>H1787*0.15</f>
        <v>14207.1</v>
      </c>
      <c r="J1788" s="1559"/>
      <c r="K1788" s="1559"/>
      <c r="L1788" s="1559"/>
      <c r="M1788" s="1614"/>
    </row>
    <row r="1789" spans="2:13" s="496" customFormat="1" hidden="1">
      <c r="B1789" s="1649" t="s">
        <v>708</v>
      </c>
      <c r="C1789" s="2078" t="s">
        <v>3765</v>
      </c>
      <c r="D1789" s="2078"/>
      <c r="E1789" s="2078"/>
      <c r="F1789" s="2078"/>
      <c r="G1789" s="2078"/>
      <c r="H1789" s="1107">
        <f>ROUND(SUM(H1787:H1788),2)</f>
        <v>108921.1</v>
      </c>
      <c r="I1789" s="506">
        <f>SUM(H1787:H1788)</f>
        <v>108921.1</v>
      </c>
      <c r="J1789" s="1561"/>
      <c r="K1789" s="1561"/>
      <c r="L1789" s="1559"/>
      <c r="M1789" s="1614"/>
    </row>
    <row r="1790" spans="2:13" hidden="1">
      <c r="B1790" s="1659"/>
      <c r="C1790" s="1144"/>
      <c r="D1790" s="1143"/>
      <c r="E1790" s="1143"/>
      <c r="F1790" s="1145"/>
      <c r="G1790" s="1146"/>
      <c r="H1790" s="1147"/>
      <c r="M1790" s="1619"/>
    </row>
    <row r="1791" spans="2:13" hidden="1">
      <c r="B1791" s="1613" t="s">
        <v>3956</v>
      </c>
      <c r="C1791" s="1112" t="s">
        <v>2864</v>
      </c>
      <c r="D1791" s="1129"/>
      <c r="E1791" s="1129"/>
      <c r="F1791" s="1131"/>
      <c r="G1791" s="1132"/>
      <c r="H1791" s="1115"/>
      <c r="M1791" s="1619"/>
    </row>
    <row r="1792" spans="2:13" s="507" customFormat="1" ht="24.9" hidden="1" customHeight="1">
      <c r="B1792" s="1648" t="s">
        <v>1003</v>
      </c>
      <c r="C1792" s="1101" t="s">
        <v>1004</v>
      </c>
      <c r="D1792" s="1101" t="s">
        <v>1005</v>
      </c>
      <c r="E1792" s="1101" t="s">
        <v>1006</v>
      </c>
      <c r="F1792" s="1102" t="s">
        <v>1007</v>
      </c>
      <c r="G1792" s="1109" t="s">
        <v>2637</v>
      </c>
      <c r="H1792" s="1110" t="s">
        <v>2638</v>
      </c>
      <c r="J1792" s="1625"/>
      <c r="K1792" s="1625"/>
      <c r="L1792" s="1625"/>
      <c r="M1792" s="1626"/>
    </row>
    <row r="1793" spans="2:13" hidden="1">
      <c r="B1793" s="1649" t="s">
        <v>671</v>
      </c>
      <c r="C1793" s="1329" t="s">
        <v>672</v>
      </c>
      <c r="D1793" s="1331"/>
      <c r="E1793" s="1331"/>
      <c r="F1793" s="1334"/>
      <c r="G1793" s="1104"/>
      <c r="H1793" s="1106"/>
      <c r="M1793" s="1619"/>
    </row>
    <row r="1794" spans="2:13" hidden="1">
      <c r="B1794" s="1650"/>
      <c r="C1794" s="1332" t="s">
        <v>673</v>
      </c>
      <c r="D1794" s="1331" t="s">
        <v>674</v>
      </c>
      <c r="E1794" s="1331" t="s">
        <v>675</v>
      </c>
      <c r="F1794" s="1334">
        <v>0.14699999999999999</v>
      </c>
      <c r="G1794" s="1104">
        <f>DUB!$I$10</f>
        <v>150000</v>
      </c>
      <c r="H1794" s="1106">
        <f>G1794*F1794</f>
        <v>22050</v>
      </c>
      <c r="M1794" s="1619"/>
    </row>
    <row r="1795" spans="2:13" hidden="1">
      <c r="B1795" s="1650"/>
      <c r="C1795" s="1332" t="s">
        <v>871</v>
      </c>
      <c r="D1795" s="1331" t="s">
        <v>678</v>
      </c>
      <c r="E1795" s="1331" t="s">
        <v>675</v>
      </c>
      <c r="F1795" s="1334">
        <v>0.14699999999999999</v>
      </c>
      <c r="G1795" s="1104">
        <f>DUB!$I$11</f>
        <v>187000</v>
      </c>
      <c r="H1795" s="1106">
        <f>G1795*F1795</f>
        <v>27489</v>
      </c>
      <c r="M1795" s="1619"/>
    </row>
    <row r="1796" spans="2:13" hidden="1">
      <c r="B1796" s="1650"/>
      <c r="C1796" s="1332" t="s">
        <v>751</v>
      </c>
      <c r="D1796" s="1331" t="s">
        <v>681</v>
      </c>
      <c r="E1796" s="1331" t="s">
        <v>675</v>
      </c>
      <c r="F1796" s="1334">
        <v>1.4999999999999999E-2</v>
      </c>
      <c r="G1796" s="1104">
        <f>DUB!$I$13</f>
        <v>240000</v>
      </c>
      <c r="H1796" s="1106">
        <f>G1796*F1796</f>
        <v>3600</v>
      </c>
      <c r="M1796" s="1619"/>
    </row>
    <row r="1797" spans="2:13" hidden="1">
      <c r="B1797" s="1650"/>
      <c r="C1797" s="1332" t="s">
        <v>683</v>
      </c>
      <c r="D1797" s="1331" t="s">
        <v>684</v>
      </c>
      <c r="E1797" s="1331" t="s">
        <v>675</v>
      </c>
      <c r="F1797" s="1334">
        <v>5.0000000000000001E-3</v>
      </c>
      <c r="G1797" s="1104">
        <f>DUB!$I$12</f>
        <v>225000</v>
      </c>
      <c r="H1797" s="1106">
        <f>G1797*F1797</f>
        <v>1125</v>
      </c>
      <c r="M1797" s="1619"/>
    </row>
    <row r="1798" spans="2:13" hidden="1">
      <c r="B1798" s="1650"/>
      <c r="C1798" s="1332"/>
      <c r="D1798" s="1331"/>
      <c r="E1798" s="1331"/>
      <c r="F1798" s="2074" t="s">
        <v>685</v>
      </c>
      <c r="G1798" s="2074"/>
      <c r="H1798" s="1106">
        <f>SUM(H1794:H1797)</f>
        <v>54264</v>
      </c>
      <c r="M1798" s="1619"/>
    </row>
    <row r="1799" spans="2:13" hidden="1">
      <c r="B1799" s="1649" t="s">
        <v>686</v>
      </c>
      <c r="C1799" s="1329" t="s">
        <v>687</v>
      </c>
      <c r="D1799" s="1331"/>
      <c r="E1799" s="1331"/>
      <c r="F1799" s="1334"/>
      <c r="G1799" s="1104"/>
      <c r="H1799" s="1106"/>
      <c r="M1799" s="1619"/>
    </row>
    <row r="1800" spans="2:13" hidden="1">
      <c r="B1800" s="1650"/>
      <c r="C1800" s="1332" t="s">
        <v>904</v>
      </c>
      <c r="D1800" s="1331"/>
      <c r="E1800" s="1331" t="s">
        <v>2646</v>
      </c>
      <c r="F1800" s="1334">
        <v>1.2E-2</v>
      </c>
      <c r="G1800" s="1104">
        <f>DUB!$I$85</f>
        <v>6250000</v>
      </c>
      <c r="H1800" s="1106">
        <f>G1800*F1800</f>
        <v>75000</v>
      </c>
      <c r="M1800" s="1619"/>
    </row>
    <row r="1801" spans="2:13" hidden="1">
      <c r="B1801" s="1650"/>
      <c r="C1801" s="1332" t="s">
        <v>940</v>
      </c>
      <c r="D1801" s="1331"/>
      <c r="E1801" s="1331" t="s">
        <v>2646</v>
      </c>
      <c r="F1801" s="1334">
        <v>4.0000000000000001E-3</v>
      </c>
      <c r="G1801" s="1104">
        <f>DUB!$I$85</f>
        <v>6250000</v>
      </c>
      <c r="H1801" s="1106">
        <f>G1801*F1801</f>
        <v>25000</v>
      </c>
      <c r="M1801" s="1619"/>
    </row>
    <row r="1802" spans="2:13" hidden="1">
      <c r="B1802" s="1650"/>
      <c r="C1802" s="1332" t="s">
        <v>910</v>
      </c>
      <c r="D1802" s="1331"/>
      <c r="E1802" s="1331" t="s">
        <v>690</v>
      </c>
      <c r="F1802" s="1334">
        <v>0.26400000000000001</v>
      </c>
      <c r="G1802" s="1104">
        <f>DUB!$I$128</f>
        <v>20441.7</v>
      </c>
      <c r="H1802" s="1106">
        <f>G1802*F1802</f>
        <v>5396.6088000000009</v>
      </c>
      <c r="M1802" s="1619"/>
    </row>
    <row r="1803" spans="2:13" hidden="1">
      <c r="B1803" s="1650"/>
      <c r="C1803" s="1332"/>
      <c r="D1803" s="1331"/>
      <c r="E1803" s="1331"/>
      <c r="F1803" s="2090" t="s">
        <v>702</v>
      </c>
      <c r="G1803" s="2090"/>
      <c r="H1803" s="1106">
        <f>SUM(H1800:H1802)</f>
        <v>105396.6088</v>
      </c>
      <c r="M1803" s="1619"/>
    </row>
    <row r="1804" spans="2:13" s="496" customFormat="1" hidden="1">
      <c r="B1804" s="1649" t="s">
        <v>703</v>
      </c>
      <c r="C1804" s="2075" t="s">
        <v>3764</v>
      </c>
      <c r="D1804" s="2075"/>
      <c r="E1804" s="2075"/>
      <c r="F1804" s="2075"/>
      <c r="G1804" s="2075"/>
      <c r="H1804" s="1107">
        <f>H1798+H1803</f>
        <v>159660.60879999999</v>
      </c>
      <c r="J1804" s="1559"/>
      <c r="K1804" s="1559"/>
      <c r="L1804" s="1559"/>
      <c r="M1804" s="1614"/>
    </row>
    <row r="1805" spans="2:13" s="496" customFormat="1" hidden="1">
      <c r="B1805" s="1649" t="s">
        <v>706</v>
      </c>
      <c r="C1805" s="2075" t="s">
        <v>796</v>
      </c>
      <c r="D1805" s="2075"/>
      <c r="E1805" s="1330"/>
      <c r="F1805" s="2077" t="s">
        <v>3873</v>
      </c>
      <c r="G1805" s="2077"/>
      <c r="H1805" s="1107">
        <f>H1804*0.15</f>
        <v>23949.091319999996</v>
      </c>
      <c r="J1805" s="1559"/>
      <c r="K1805" s="1559"/>
      <c r="L1805" s="1559"/>
      <c r="M1805" s="1614"/>
    </row>
    <row r="1806" spans="2:13" s="496" customFormat="1" hidden="1">
      <c r="B1806" s="1649" t="s">
        <v>708</v>
      </c>
      <c r="C1806" s="2078" t="s">
        <v>3765</v>
      </c>
      <c r="D1806" s="2078"/>
      <c r="E1806" s="2078"/>
      <c r="F1806" s="2078"/>
      <c r="G1806" s="2078"/>
      <c r="H1806" s="1107">
        <f>ROUND(SUM(H1804:H1805),2)</f>
        <v>183609.7</v>
      </c>
      <c r="I1806" s="506">
        <f>SUM(H1804:H1805)</f>
        <v>183609.70011999999</v>
      </c>
      <c r="J1806" s="1561"/>
      <c r="K1806" s="1561"/>
      <c r="L1806" s="1559"/>
      <c r="M1806" s="1614"/>
    </row>
    <row r="1807" spans="2:13" hidden="1">
      <c r="B1807" s="1624"/>
      <c r="F1807" s="1172"/>
      <c r="G1807" s="1173"/>
      <c r="H1807" s="1133"/>
      <c r="M1807" s="1619"/>
    </row>
    <row r="1808" spans="2:13" hidden="1">
      <c r="B1808" s="1613" t="s">
        <v>3957</v>
      </c>
      <c r="C1808" s="1232" t="s">
        <v>2865</v>
      </c>
      <c r="F1808" s="1172"/>
      <c r="G1808" s="1173"/>
      <c r="H1808" s="1133"/>
      <c r="M1808" s="1619"/>
    </row>
    <row r="1809" spans="2:13" s="507" customFormat="1" ht="24.9" hidden="1" customHeight="1">
      <c r="B1809" s="1648" t="s">
        <v>1003</v>
      </c>
      <c r="C1809" s="1116" t="s">
        <v>1004</v>
      </c>
      <c r="D1809" s="1116" t="s">
        <v>1005</v>
      </c>
      <c r="E1809" s="1116" t="s">
        <v>1006</v>
      </c>
      <c r="F1809" s="1102" t="s">
        <v>1007</v>
      </c>
      <c r="G1809" s="1103" t="s">
        <v>2637</v>
      </c>
      <c r="H1809" s="1110" t="s">
        <v>2638</v>
      </c>
      <c r="J1809" s="1625"/>
      <c r="K1809" s="1625"/>
      <c r="L1809" s="1625"/>
      <c r="M1809" s="1626"/>
    </row>
    <row r="1810" spans="2:13" hidden="1">
      <c r="B1810" s="1649" t="s">
        <v>671</v>
      </c>
      <c r="C1810" s="1117" t="s">
        <v>672</v>
      </c>
      <c r="D1810" s="1539"/>
      <c r="E1810" s="1539"/>
      <c r="F1810" s="1334"/>
      <c r="G1810" s="1104"/>
      <c r="H1810" s="1106"/>
      <c r="M1810" s="1619"/>
    </row>
    <row r="1811" spans="2:13" hidden="1">
      <c r="B1811" s="1650"/>
      <c r="C1811" s="1118" t="s">
        <v>673</v>
      </c>
      <c r="D1811" s="1539" t="s">
        <v>674</v>
      </c>
      <c r="E1811" s="1539" t="s">
        <v>675</v>
      </c>
      <c r="F1811" s="1334">
        <v>0.22</v>
      </c>
      <c r="G1811" s="1104">
        <f>DUB!$I$10</f>
        <v>150000</v>
      </c>
      <c r="H1811" s="1106">
        <f>G1811*F1811</f>
        <v>33000</v>
      </c>
      <c r="M1811" s="1619"/>
    </row>
    <row r="1812" spans="2:13" hidden="1">
      <c r="B1812" s="1650"/>
      <c r="C1812" s="1118" t="s">
        <v>871</v>
      </c>
      <c r="D1812" s="1539" t="s">
        <v>678</v>
      </c>
      <c r="E1812" s="1539" t="s">
        <v>675</v>
      </c>
      <c r="F1812" s="1334">
        <v>0.22</v>
      </c>
      <c r="G1812" s="1104">
        <f>DUB!$I$11</f>
        <v>187000</v>
      </c>
      <c r="H1812" s="1106">
        <f>G1812*F1812</f>
        <v>41140</v>
      </c>
      <c r="M1812" s="1619"/>
    </row>
    <row r="1813" spans="2:13" hidden="1">
      <c r="B1813" s="1650"/>
      <c r="C1813" s="1118" t="s">
        <v>872</v>
      </c>
      <c r="D1813" s="1539" t="s">
        <v>678</v>
      </c>
      <c r="E1813" s="1539" t="s">
        <v>675</v>
      </c>
      <c r="F1813" s="1334">
        <v>0.22</v>
      </c>
      <c r="G1813" s="1104">
        <f>DUB!$I$11</f>
        <v>187000</v>
      </c>
      <c r="H1813" s="1106">
        <f>G1813*F1813</f>
        <v>41140</v>
      </c>
      <c r="M1813" s="1619"/>
    </row>
    <row r="1814" spans="2:13" hidden="1">
      <c r="B1814" s="1650"/>
      <c r="C1814" s="1118" t="s">
        <v>683</v>
      </c>
      <c r="D1814" s="1539" t="s">
        <v>684</v>
      </c>
      <c r="E1814" s="1539" t="s">
        <v>675</v>
      </c>
      <c r="F1814" s="1334">
        <v>1.0999999999999999E-2</v>
      </c>
      <c r="G1814" s="1104">
        <f>DUB!$I$12</f>
        <v>225000</v>
      </c>
      <c r="H1814" s="1106">
        <f>G1814*F1814</f>
        <v>2475</v>
      </c>
      <c r="M1814" s="1619"/>
    </row>
    <row r="1815" spans="2:13" hidden="1">
      <c r="B1815" s="1650"/>
      <c r="C1815" s="1118"/>
      <c r="D1815" s="1539"/>
      <c r="E1815" s="1539"/>
      <c r="F1815" s="2080" t="s">
        <v>685</v>
      </c>
      <c r="G1815" s="2081"/>
      <c r="H1815" s="1106">
        <f>SUM(H1811:H1814)</f>
        <v>117755</v>
      </c>
      <c r="M1815" s="1619"/>
    </row>
    <row r="1816" spans="2:13" hidden="1">
      <c r="B1816" s="1649" t="s">
        <v>686</v>
      </c>
      <c r="C1816" s="1117" t="s">
        <v>687</v>
      </c>
      <c r="D1816" s="1539"/>
      <c r="E1816" s="1539"/>
      <c r="F1816" s="1334"/>
      <c r="G1816" s="1104"/>
      <c r="H1816" s="1106"/>
      <c r="M1816" s="1619"/>
    </row>
    <row r="1817" spans="2:13" hidden="1">
      <c r="B1817" s="1650"/>
      <c r="C1817" s="1118"/>
      <c r="D1817" s="1539"/>
      <c r="E1817" s="1539"/>
      <c r="F1817" s="2080" t="s">
        <v>702</v>
      </c>
      <c r="G1817" s="2081"/>
      <c r="H1817" s="1106"/>
      <c r="M1817" s="1619"/>
    </row>
    <row r="1818" spans="2:13" s="496" customFormat="1" hidden="1">
      <c r="B1818" s="1649" t="s">
        <v>703</v>
      </c>
      <c r="C1818" s="1117" t="s">
        <v>3764</v>
      </c>
      <c r="D1818" s="1330"/>
      <c r="E1818" s="1330"/>
      <c r="F1818" s="1121"/>
      <c r="G1818" s="1141"/>
      <c r="H1818" s="1107">
        <f>H1815+H1817</f>
        <v>117755</v>
      </c>
      <c r="J1818" s="1559"/>
      <c r="K1818" s="1559"/>
      <c r="L1818" s="1559"/>
      <c r="M1818" s="1614"/>
    </row>
    <row r="1819" spans="2:13" s="496" customFormat="1" hidden="1">
      <c r="B1819" s="1649" t="s">
        <v>706</v>
      </c>
      <c r="C1819" s="1123" t="s">
        <v>876</v>
      </c>
      <c r="D1819" s="1194"/>
      <c r="E1819" s="1194"/>
      <c r="F1819" s="1121" t="s">
        <v>3873</v>
      </c>
      <c r="G1819" s="1141"/>
      <c r="H1819" s="1107">
        <f>H1818*0.15</f>
        <v>17663.25</v>
      </c>
      <c r="J1819" s="1559"/>
      <c r="K1819" s="1559"/>
      <c r="L1819" s="1559"/>
      <c r="M1819" s="1614"/>
    </row>
    <row r="1820" spans="2:13" s="496" customFormat="1" hidden="1">
      <c r="B1820" s="1649" t="s">
        <v>708</v>
      </c>
      <c r="C1820" s="1117" t="s">
        <v>3765</v>
      </c>
      <c r="D1820" s="1330"/>
      <c r="E1820" s="1330"/>
      <c r="F1820" s="1121"/>
      <c r="G1820" s="1141"/>
      <c r="H1820" s="1107">
        <f>ROUND(SUM(H1818:H1819),2)</f>
        <v>135418.25</v>
      </c>
      <c r="I1820" s="506">
        <f>SUM(H1818:H1819)</f>
        <v>135418.25</v>
      </c>
      <c r="J1820" s="1561"/>
      <c r="K1820" s="1561"/>
      <c r="L1820" s="1559"/>
      <c r="M1820" s="1614"/>
    </row>
    <row r="1821" spans="2:13" hidden="1">
      <c r="B1821" s="1624"/>
      <c r="F1821" s="1172"/>
      <c r="G1821" s="1173"/>
      <c r="H1821" s="1133"/>
      <c r="M1821" s="1619"/>
    </row>
    <row r="1822" spans="2:13">
      <c r="B1822" s="1780" t="s">
        <v>3958</v>
      </c>
      <c r="C1822" s="1781" t="s">
        <v>2866</v>
      </c>
      <c r="D1822" s="1741"/>
      <c r="E1822" s="1741"/>
      <c r="F1822" s="1743"/>
      <c r="G1822" s="1744"/>
      <c r="H1822" s="1745"/>
      <c r="I1822" s="1746"/>
      <c r="J1822" s="1641"/>
      <c r="K1822" s="1641"/>
      <c r="L1822" s="1641"/>
      <c r="M1822" s="1747"/>
    </row>
    <row r="1823" spans="2:13">
      <c r="B1823" s="1150" t="s">
        <v>4469</v>
      </c>
      <c r="C1823" s="1232" t="s">
        <v>2867</v>
      </c>
      <c r="F1823" s="1172"/>
      <c r="G1823" s="1173"/>
      <c r="H1823" s="1133"/>
      <c r="M1823" s="1566"/>
    </row>
    <row r="1824" spans="2:13" s="507" customFormat="1" ht="24.9" customHeight="1">
      <c r="B1824" s="1727" t="s">
        <v>1003</v>
      </c>
      <c r="C1824" s="1728" t="s">
        <v>1004</v>
      </c>
      <c r="D1824" s="1736" t="s">
        <v>1005</v>
      </c>
      <c r="E1824" s="1736" t="s">
        <v>1006</v>
      </c>
      <c r="F1824" s="1865" t="s">
        <v>1007</v>
      </c>
      <c r="G1824" s="1737" t="s">
        <v>2637</v>
      </c>
      <c r="H1824" s="1738" t="s">
        <v>2638</v>
      </c>
      <c r="I1824" s="1739"/>
      <c r="J1824" s="1605" t="s">
        <v>5335</v>
      </c>
      <c r="K1824" s="1603" t="s">
        <v>5336</v>
      </c>
      <c r="L1824" s="1603" t="s">
        <v>5337</v>
      </c>
      <c r="M1824" s="1604" t="s">
        <v>5338</v>
      </c>
    </row>
    <row r="1825" spans="2:13">
      <c r="B1825" s="1733" t="s">
        <v>671</v>
      </c>
      <c r="C1825" s="1329" t="s">
        <v>672</v>
      </c>
      <c r="D1825" s="1539"/>
      <c r="E1825" s="1539"/>
      <c r="F1825" s="1532"/>
      <c r="G1825" s="1104"/>
      <c r="H1825" s="1137"/>
      <c r="J1825" s="1597"/>
      <c r="K1825" s="1597"/>
      <c r="L1825" s="1597"/>
      <c r="M1825" s="1563"/>
    </row>
    <row r="1826" spans="2:13">
      <c r="B1826" s="1182"/>
      <c r="C1826" s="1332" t="s">
        <v>673</v>
      </c>
      <c r="D1826" s="1539" t="s">
        <v>674</v>
      </c>
      <c r="E1826" s="1539" t="s">
        <v>675</v>
      </c>
      <c r="F1826" s="1532">
        <v>0.06</v>
      </c>
      <c r="G1826" s="1104">
        <f>DUB!$I$10</f>
        <v>150000</v>
      </c>
      <c r="H1826" s="1106">
        <f>G1826*F1826</f>
        <v>9000</v>
      </c>
      <c r="J1826" s="1609" t="s">
        <v>5339</v>
      </c>
      <c r="K1826" s="1611">
        <v>1</v>
      </c>
      <c r="L1826" s="1608" t="s">
        <v>5340</v>
      </c>
      <c r="M1826" s="1610">
        <f>H1826*K1826</f>
        <v>9000</v>
      </c>
    </row>
    <row r="1827" spans="2:13">
      <c r="B1827" s="1182"/>
      <c r="C1827" s="1126" t="s">
        <v>3959</v>
      </c>
      <c r="D1827" s="1539" t="s">
        <v>681</v>
      </c>
      <c r="E1827" s="1183" t="s">
        <v>675</v>
      </c>
      <c r="F1827" s="1532">
        <v>0.06</v>
      </c>
      <c r="G1827" s="1104">
        <f>DUB!$I$13</f>
        <v>240000</v>
      </c>
      <c r="H1827" s="1106">
        <f>G1827*F1827</f>
        <v>14400</v>
      </c>
      <c r="J1827" s="1609" t="s">
        <v>5339</v>
      </c>
      <c r="K1827" s="1611">
        <v>1</v>
      </c>
      <c r="L1827" s="1608" t="s">
        <v>5340</v>
      </c>
      <c r="M1827" s="1610">
        <f t="shared" ref="M1827" si="58">H1827*K1827</f>
        <v>14400</v>
      </c>
    </row>
    <row r="1828" spans="2:13">
      <c r="B1828" s="1182"/>
      <c r="C1828" s="1332" t="s">
        <v>751</v>
      </c>
      <c r="D1828" s="1539" t="s">
        <v>681</v>
      </c>
      <c r="E1828" s="1539" t="s">
        <v>675</v>
      </c>
      <c r="F1828" s="1532">
        <v>6.0000000000000001E-3</v>
      </c>
      <c r="G1828" s="1104">
        <f>DUB!$I$13</f>
        <v>240000</v>
      </c>
      <c r="H1828" s="1106">
        <f>G1828*F1828</f>
        <v>1440</v>
      </c>
      <c r="J1828" s="1609" t="s">
        <v>5339</v>
      </c>
      <c r="K1828" s="1611">
        <v>1</v>
      </c>
      <c r="L1828" s="1608" t="s">
        <v>5340</v>
      </c>
      <c r="M1828" s="1610">
        <f>H1828*K1828</f>
        <v>1440</v>
      </c>
    </row>
    <row r="1829" spans="2:13">
      <c r="B1829" s="1182"/>
      <c r="C1829" s="1332" t="s">
        <v>683</v>
      </c>
      <c r="D1829" s="1539" t="s">
        <v>684</v>
      </c>
      <c r="E1829" s="1539" t="s">
        <v>675</v>
      </c>
      <c r="F1829" s="1532">
        <v>3.0000000000000001E-3</v>
      </c>
      <c r="G1829" s="1104">
        <f>DUB!$I$12</f>
        <v>225000</v>
      </c>
      <c r="H1829" s="1106">
        <f>G1829*F1829</f>
        <v>675</v>
      </c>
      <c r="J1829" s="1609" t="s">
        <v>5339</v>
      </c>
      <c r="K1829" s="1611">
        <v>1</v>
      </c>
      <c r="L1829" s="1608" t="s">
        <v>5340</v>
      </c>
      <c r="M1829" s="1610">
        <f t="shared" ref="M1829" si="59">H1829*K1829</f>
        <v>675</v>
      </c>
    </row>
    <row r="1830" spans="2:13">
      <c r="B1830" s="1182"/>
      <c r="C1830" s="1332"/>
      <c r="D1830" s="1539"/>
      <c r="E1830" s="1539"/>
      <c r="F1830" s="2080" t="s">
        <v>685</v>
      </c>
      <c r="G1830" s="2081"/>
      <c r="H1830" s="1137">
        <f>SUM(H1826:H1829)</f>
        <v>25515</v>
      </c>
      <c r="J1830" s="1597"/>
      <c r="K1830" s="1597"/>
      <c r="L1830" s="1597"/>
      <c r="M1830" s="1203">
        <f>SUM(M1826:M1829)</f>
        <v>25515</v>
      </c>
    </row>
    <row r="1831" spans="2:13">
      <c r="B1831" s="1733" t="s">
        <v>686</v>
      </c>
      <c r="C1831" s="1329" t="s">
        <v>687</v>
      </c>
      <c r="D1831" s="1539"/>
      <c r="E1831" s="1539"/>
      <c r="F1831" s="1532"/>
      <c r="G1831" s="1104"/>
      <c r="H1831" s="1137"/>
      <c r="J1831" s="1597"/>
      <c r="K1831" s="1597"/>
      <c r="L1831" s="1597"/>
      <c r="M1831" s="1563"/>
    </row>
    <row r="1832" spans="2:13">
      <c r="B1832" s="1182"/>
      <c r="C1832" s="1332" t="s">
        <v>945</v>
      </c>
      <c r="D1832" s="1539"/>
      <c r="E1832" s="1539" t="s">
        <v>690</v>
      </c>
      <c r="F1832" s="1532">
        <v>1.1499999999999999</v>
      </c>
      <c r="G1832" s="1104">
        <f>DUB!$I$103</f>
        <v>15700</v>
      </c>
      <c r="H1832" s="1106">
        <f>G1832*F1832</f>
        <v>18055</v>
      </c>
      <c r="J1832" s="1634" t="s">
        <v>4925</v>
      </c>
      <c r="K1832" s="1611">
        <v>0.55769999999999997</v>
      </c>
      <c r="L1832" s="1607" t="s">
        <v>5343</v>
      </c>
      <c r="M1832" s="1610">
        <f>H1832*K1832</f>
        <v>10069.273499999999</v>
      </c>
    </row>
    <row r="1833" spans="2:13">
      <c r="B1833" s="1182"/>
      <c r="C1833" s="1332"/>
      <c r="D1833" s="1539"/>
      <c r="E1833" s="1539"/>
      <c r="F1833" s="2080" t="s">
        <v>702</v>
      </c>
      <c r="G1833" s="2081"/>
      <c r="H1833" s="1137">
        <f>SUM(H1832)</f>
        <v>18055</v>
      </c>
      <c r="J1833" s="1597"/>
      <c r="K1833" s="1597"/>
      <c r="L1833" s="1597"/>
      <c r="M1833" s="1137">
        <f>SUM(M1832)</f>
        <v>10069.273499999999</v>
      </c>
    </row>
    <row r="1834" spans="2:13" s="496" customFormat="1">
      <c r="B1834" s="1733" t="s">
        <v>703</v>
      </c>
      <c r="C1834" s="1117" t="s">
        <v>3764</v>
      </c>
      <c r="D1834" s="1120"/>
      <c r="E1834" s="1120"/>
      <c r="F1834" s="1121"/>
      <c r="G1834" s="1141"/>
      <c r="H1834" s="1203">
        <f>H1830+H1833</f>
        <v>43570</v>
      </c>
      <c r="J1834" s="1600"/>
      <c r="K1834" s="1633">
        <f>M1834/H1834</f>
        <v>0.81671502180399347</v>
      </c>
      <c r="L1834" s="1600"/>
      <c r="M1834" s="1203">
        <f>M1830+M1833</f>
        <v>35584.273499999996</v>
      </c>
    </row>
    <row r="1835" spans="2:13" s="496" customFormat="1">
      <c r="B1835" s="1733" t="s">
        <v>706</v>
      </c>
      <c r="C1835" s="1123" t="s">
        <v>876</v>
      </c>
      <c r="D1835" s="1124"/>
      <c r="E1835" s="1124"/>
      <c r="F1835" s="1545" t="s">
        <v>3873</v>
      </c>
      <c r="G1835" s="1141"/>
      <c r="H1835" s="1107">
        <f>H1834*0.15</f>
        <v>6535.5</v>
      </c>
      <c r="J1835" s="1600"/>
      <c r="K1835" s="1600"/>
      <c r="L1835" s="1600"/>
      <c r="M1835" s="1203">
        <f>M1834*0.15</f>
        <v>5337.641024999999</v>
      </c>
    </row>
    <row r="1836" spans="2:13" s="496" customFormat="1">
      <c r="B1836" s="1734" t="s">
        <v>708</v>
      </c>
      <c r="C1836" s="2109" t="s">
        <v>3765</v>
      </c>
      <c r="D1836" s="2109"/>
      <c r="E1836" s="2109"/>
      <c r="F1836" s="2109"/>
      <c r="G1836" s="2109"/>
      <c r="H1836" s="1857">
        <f>ROUND(SUM(H1834:H1835),2)</f>
        <v>50105.5</v>
      </c>
      <c r="I1836" s="1858">
        <f>SUM(H1834:H1835)</f>
        <v>50105.5</v>
      </c>
      <c r="J1836" s="1602"/>
      <c r="K1836" s="1602"/>
      <c r="L1836" s="1600"/>
      <c r="M1836" s="1918">
        <f>ROUND(SUM(M1834:M1835),2)</f>
        <v>40921.910000000003</v>
      </c>
    </row>
    <row r="1837" spans="2:13">
      <c r="B1837" s="1741"/>
      <c r="C1837" s="1742"/>
      <c r="D1837" s="1741"/>
      <c r="E1837" s="1741"/>
      <c r="F1837" s="1743"/>
      <c r="G1837" s="1744"/>
      <c r="H1837" s="1745"/>
      <c r="I1837" s="1746"/>
      <c r="J1837" s="1641"/>
      <c r="K1837" s="1641"/>
      <c r="L1837" s="1641"/>
      <c r="M1837" s="1747"/>
    </row>
    <row r="1838" spans="2:13" hidden="1">
      <c r="B1838" s="1100" t="s">
        <v>3960</v>
      </c>
      <c r="C1838" s="1232" t="s">
        <v>4523</v>
      </c>
      <c r="F1838" s="1172"/>
      <c r="G1838" s="1173"/>
      <c r="H1838" s="1133"/>
      <c r="M1838" s="1566"/>
    </row>
    <row r="1839" spans="2:13" ht="24.9" hidden="1" customHeight="1">
      <c r="B1839" s="1748" t="s">
        <v>1003</v>
      </c>
      <c r="C1839" s="1116" t="s">
        <v>1004</v>
      </c>
      <c r="D1839" s="1116" t="s">
        <v>1005</v>
      </c>
      <c r="E1839" s="1116" t="s">
        <v>1006</v>
      </c>
      <c r="F1839" s="1139" t="s">
        <v>1007</v>
      </c>
      <c r="G1839" s="1204" t="s">
        <v>2637</v>
      </c>
      <c r="H1839" s="1205" t="s">
        <v>2638</v>
      </c>
      <c r="M1839" s="1566"/>
    </row>
    <row r="1840" spans="2:13" hidden="1">
      <c r="B1840" s="1543" t="s">
        <v>671</v>
      </c>
      <c r="C1840" s="1117" t="s">
        <v>672</v>
      </c>
      <c r="D1840" s="1539"/>
      <c r="E1840" s="1539"/>
      <c r="F1840" s="1532"/>
      <c r="G1840" s="1104"/>
      <c r="H1840" s="1106"/>
      <c r="M1840" s="1566"/>
    </row>
    <row r="1841" spans="2:13" hidden="1">
      <c r="B1841" s="1540"/>
      <c r="C1841" s="1118" t="s">
        <v>673</v>
      </c>
      <c r="D1841" s="1539" t="s">
        <v>674</v>
      </c>
      <c r="E1841" s="1539" t="s">
        <v>675</v>
      </c>
      <c r="F1841" s="1532">
        <v>0.06</v>
      </c>
      <c r="G1841" s="1104">
        <f>DUB!$I$10</f>
        <v>150000</v>
      </c>
      <c r="H1841" s="1106">
        <f>G1841*F1841</f>
        <v>9000</v>
      </c>
      <c r="M1841" s="1566"/>
    </row>
    <row r="1842" spans="2:13" hidden="1">
      <c r="B1842" s="1540"/>
      <c r="C1842" s="1119" t="s">
        <v>3961</v>
      </c>
      <c r="D1842" s="1539" t="s">
        <v>681</v>
      </c>
      <c r="E1842" s="1183" t="s">
        <v>675</v>
      </c>
      <c r="F1842" s="1532">
        <v>0.06</v>
      </c>
      <c r="G1842" s="1104">
        <f>DUB!$I$13</f>
        <v>240000</v>
      </c>
      <c r="H1842" s="1106">
        <f>G1842*F1842</f>
        <v>14400</v>
      </c>
      <c r="M1842" s="1566"/>
    </row>
    <row r="1843" spans="2:13" hidden="1">
      <c r="B1843" s="1540"/>
      <c r="C1843" s="1118" t="s">
        <v>751</v>
      </c>
      <c r="D1843" s="1539" t="s">
        <v>681</v>
      </c>
      <c r="E1843" s="1539" t="s">
        <v>675</v>
      </c>
      <c r="F1843" s="1532">
        <v>6.0000000000000001E-3</v>
      </c>
      <c r="G1843" s="1104">
        <f>DUB!$I$13</f>
        <v>240000</v>
      </c>
      <c r="H1843" s="1106">
        <f>G1843*F1843</f>
        <v>1440</v>
      </c>
      <c r="M1843" s="1566"/>
    </row>
    <row r="1844" spans="2:13" hidden="1">
      <c r="B1844" s="1540"/>
      <c r="C1844" s="1118" t="s">
        <v>683</v>
      </c>
      <c r="D1844" s="1539" t="s">
        <v>684</v>
      </c>
      <c r="E1844" s="1539" t="s">
        <v>675</v>
      </c>
      <c r="F1844" s="1532">
        <v>3.0000000000000001E-3</v>
      </c>
      <c r="G1844" s="1104">
        <f>DUB!$I$12</f>
        <v>225000</v>
      </c>
      <c r="H1844" s="1106">
        <f>G1844*F1844</f>
        <v>675</v>
      </c>
      <c r="M1844" s="1566"/>
    </row>
    <row r="1845" spans="2:13" hidden="1">
      <c r="B1845" s="1540"/>
      <c r="C1845" s="1118"/>
      <c r="D1845" s="1539"/>
      <c r="E1845" s="1539"/>
      <c r="F1845" s="2080" t="s">
        <v>685</v>
      </c>
      <c r="G1845" s="2081"/>
      <c r="H1845" s="1106">
        <f>SUM(H1841:H1844)</f>
        <v>25515</v>
      </c>
      <c r="M1845" s="1566"/>
    </row>
    <row r="1846" spans="2:13" hidden="1">
      <c r="B1846" s="1543" t="s">
        <v>686</v>
      </c>
      <c r="C1846" s="1117" t="s">
        <v>687</v>
      </c>
      <c r="D1846" s="1539"/>
      <c r="E1846" s="1539"/>
      <c r="F1846" s="1532"/>
      <c r="G1846" s="1104"/>
      <c r="H1846" s="1106"/>
      <c r="M1846" s="1566"/>
    </row>
    <row r="1847" spans="2:13" hidden="1">
      <c r="B1847" s="1540"/>
      <c r="C1847" s="1118" t="s">
        <v>946</v>
      </c>
      <c r="D1847" s="1539"/>
      <c r="E1847" s="1183" t="s">
        <v>690</v>
      </c>
      <c r="F1847" s="1184">
        <v>1.1499999999999999</v>
      </c>
      <c r="G1847" s="1104">
        <f>DUB!$I$104</f>
        <v>24300</v>
      </c>
      <c r="H1847" s="1106">
        <f>G1847*F1847</f>
        <v>27944.999999999996</v>
      </c>
      <c r="M1847" s="1566"/>
    </row>
    <row r="1848" spans="2:13" hidden="1">
      <c r="B1848" s="1540"/>
      <c r="C1848" s="1118"/>
      <c r="D1848" s="1539"/>
      <c r="E1848" s="1539"/>
      <c r="F1848" s="2080" t="s">
        <v>702</v>
      </c>
      <c r="G1848" s="2081"/>
      <c r="H1848" s="1106">
        <f>SUM(H1847)</f>
        <v>27944.999999999996</v>
      </c>
      <c r="M1848" s="1566"/>
    </row>
    <row r="1849" spans="2:13" s="496" customFormat="1" hidden="1">
      <c r="B1849" s="1543" t="s">
        <v>703</v>
      </c>
      <c r="C1849" s="1117" t="s">
        <v>3764</v>
      </c>
      <c r="D1849" s="1120"/>
      <c r="E1849" s="1120"/>
      <c r="F1849" s="1121"/>
      <c r="G1849" s="1141"/>
      <c r="H1849" s="1107">
        <f>H1845+H1848</f>
        <v>53460</v>
      </c>
      <c r="J1849" s="1559"/>
      <c r="K1849" s="1559"/>
      <c r="L1849" s="1559"/>
      <c r="M1849" s="1635"/>
    </row>
    <row r="1850" spans="2:13" s="496" customFormat="1" hidden="1">
      <c r="B1850" s="1543" t="s">
        <v>706</v>
      </c>
      <c r="C1850" s="1123" t="s">
        <v>876</v>
      </c>
      <c r="D1850" s="1124"/>
      <c r="E1850" s="1124"/>
      <c r="F1850" s="1545" t="s">
        <v>3873</v>
      </c>
      <c r="G1850" s="1141"/>
      <c r="H1850" s="1107">
        <f>H1849*0.15</f>
        <v>8019</v>
      </c>
      <c r="J1850" s="1559"/>
      <c r="K1850" s="1559"/>
      <c r="L1850" s="1559"/>
      <c r="M1850" s="1635"/>
    </row>
    <row r="1851" spans="2:13" s="496" customFormat="1" hidden="1">
      <c r="B1851" s="1543" t="s">
        <v>708</v>
      </c>
      <c r="C1851" s="1117" t="s">
        <v>3765</v>
      </c>
      <c r="D1851" s="1120"/>
      <c r="E1851" s="1120"/>
      <c r="F1851" s="1121"/>
      <c r="G1851" s="1141"/>
      <c r="H1851" s="1107">
        <f>ROUND(SUM(H1849:H1850),2)</f>
        <v>61479</v>
      </c>
      <c r="I1851" s="506">
        <f>SUM(H1849:H1850)</f>
        <v>61479</v>
      </c>
      <c r="J1851" s="1561"/>
      <c r="K1851" s="1561"/>
      <c r="L1851" s="1559"/>
      <c r="M1851" s="1635"/>
    </row>
    <row r="1852" spans="2:13" hidden="1">
      <c r="B1852" s="1143"/>
      <c r="C1852" s="1144"/>
      <c r="D1852" s="1143"/>
      <c r="E1852" s="1143"/>
      <c r="F1852" s="1145"/>
      <c r="G1852" s="1146"/>
      <c r="H1852" s="1147"/>
      <c r="M1852" s="1566"/>
    </row>
    <row r="1853" spans="2:13" hidden="1">
      <c r="B1853" s="1100" t="s">
        <v>3962</v>
      </c>
      <c r="C1853" s="1112" t="s">
        <v>4524</v>
      </c>
      <c r="D1853" s="1129"/>
      <c r="E1853" s="1129"/>
      <c r="F1853" s="1131"/>
      <c r="G1853" s="1132"/>
      <c r="H1853" s="1115"/>
      <c r="M1853" s="1566"/>
    </row>
    <row r="1854" spans="2:13" s="507" customFormat="1" ht="24.9" hidden="1" customHeight="1">
      <c r="B1854" s="1748" t="s">
        <v>1003</v>
      </c>
      <c r="C1854" s="1101" t="s">
        <v>1004</v>
      </c>
      <c r="D1854" s="1116" t="s">
        <v>1005</v>
      </c>
      <c r="E1854" s="1116" t="s">
        <v>1006</v>
      </c>
      <c r="F1854" s="1139" t="s">
        <v>1007</v>
      </c>
      <c r="G1854" s="1206" t="s">
        <v>2637</v>
      </c>
      <c r="H1854" s="1110" t="s">
        <v>2638</v>
      </c>
      <c r="J1854" s="1625"/>
      <c r="K1854" s="1625"/>
      <c r="L1854" s="1625"/>
      <c r="M1854" s="1570"/>
    </row>
    <row r="1855" spans="2:13" hidden="1">
      <c r="B1855" s="1543" t="s">
        <v>671</v>
      </c>
      <c r="C1855" s="1329" t="s">
        <v>672</v>
      </c>
      <c r="D1855" s="1539"/>
      <c r="E1855" s="1539"/>
      <c r="F1855" s="1532"/>
      <c r="G1855" s="1152"/>
      <c r="H1855" s="1106"/>
      <c r="M1855" s="1566"/>
    </row>
    <row r="1856" spans="2:13" hidden="1">
      <c r="B1856" s="1540"/>
      <c r="C1856" s="1332" t="s">
        <v>673</v>
      </c>
      <c r="D1856" s="1539" t="s">
        <v>674</v>
      </c>
      <c r="E1856" s="1539" t="s">
        <v>675</v>
      </c>
      <c r="F1856" s="1532">
        <v>0.1</v>
      </c>
      <c r="G1856" s="1104">
        <f>DUB!$I$10</f>
        <v>150000</v>
      </c>
      <c r="H1856" s="1106">
        <f>G1856*F1856</f>
        <v>15000</v>
      </c>
      <c r="M1856" s="1566"/>
    </row>
    <row r="1857" spans="2:13" hidden="1">
      <c r="B1857" s="1540"/>
      <c r="C1857" s="1126" t="s">
        <v>3404</v>
      </c>
      <c r="D1857" s="1539" t="s">
        <v>681</v>
      </c>
      <c r="E1857" s="1183" t="s">
        <v>675</v>
      </c>
      <c r="F1857" s="1532">
        <v>0.1</v>
      </c>
      <c r="G1857" s="1104">
        <f>DUB!$I$13</f>
        <v>240000</v>
      </c>
      <c r="H1857" s="1106">
        <f>G1857*F1857</f>
        <v>24000</v>
      </c>
      <c r="M1857" s="1566"/>
    </row>
    <row r="1858" spans="2:13" hidden="1">
      <c r="B1858" s="1540"/>
      <c r="C1858" s="1332" t="s">
        <v>751</v>
      </c>
      <c r="D1858" s="1539" t="s">
        <v>681</v>
      </c>
      <c r="E1858" s="1539" t="s">
        <v>675</v>
      </c>
      <c r="F1858" s="1532">
        <v>1E-3</v>
      </c>
      <c r="G1858" s="1104">
        <f>DUB!$I$13</f>
        <v>240000</v>
      </c>
      <c r="H1858" s="1106">
        <f>G1858*F1858</f>
        <v>240</v>
      </c>
      <c r="M1858" s="1566"/>
    </row>
    <row r="1859" spans="2:13" hidden="1">
      <c r="B1859" s="1540"/>
      <c r="C1859" s="1332" t="s">
        <v>683</v>
      </c>
      <c r="D1859" s="1539" t="s">
        <v>684</v>
      </c>
      <c r="E1859" s="1539" t="s">
        <v>675</v>
      </c>
      <c r="F1859" s="1532">
        <v>5.0000000000000001E-3</v>
      </c>
      <c r="G1859" s="1104">
        <f>DUB!$I$12</f>
        <v>225000</v>
      </c>
      <c r="H1859" s="1106">
        <f>G1859*F1859</f>
        <v>1125</v>
      </c>
      <c r="M1859" s="1566"/>
    </row>
    <row r="1860" spans="2:13" hidden="1">
      <c r="B1860" s="1540"/>
      <c r="C1860" s="1332"/>
      <c r="D1860" s="1540"/>
      <c r="E1860" s="1539"/>
      <c r="F1860" s="2080" t="s">
        <v>685</v>
      </c>
      <c r="G1860" s="2081"/>
      <c r="H1860" s="1106">
        <f>SUM(H1856:H1859)</f>
        <v>40365</v>
      </c>
      <c r="M1860" s="1566"/>
    </row>
    <row r="1861" spans="2:13" hidden="1">
      <c r="B1861" s="1543" t="s">
        <v>686</v>
      </c>
      <c r="C1861" s="1329" t="s">
        <v>687</v>
      </c>
      <c r="D1861" s="1540"/>
      <c r="E1861" s="1539"/>
      <c r="F1861" s="1532"/>
      <c r="G1861" s="1152"/>
      <c r="H1861" s="1106"/>
      <c r="M1861" s="1566"/>
    </row>
    <row r="1862" spans="2:13" hidden="1">
      <c r="B1862" s="1540"/>
      <c r="C1862" s="1332" t="s">
        <v>926</v>
      </c>
      <c r="D1862" s="1540"/>
      <c r="E1862" s="1539" t="s">
        <v>701</v>
      </c>
      <c r="F1862" s="1532">
        <v>1</v>
      </c>
      <c r="G1862" s="1152">
        <f>DUB!$I$486</f>
        <v>18000</v>
      </c>
      <c r="H1862" s="1106">
        <f>G1862*F1862</f>
        <v>18000</v>
      </c>
      <c r="M1862" s="1566"/>
    </row>
    <row r="1863" spans="2:13" hidden="1">
      <c r="B1863" s="1540"/>
      <c r="C1863" s="1332" t="s">
        <v>947</v>
      </c>
      <c r="D1863" s="1540"/>
      <c r="E1863" s="1539" t="s">
        <v>701</v>
      </c>
      <c r="F1863" s="1532">
        <v>0.1</v>
      </c>
      <c r="G1863" s="1152">
        <f>DUB!$I$484</f>
        <v>53550</v>
      </c>
      <c r="H1863" s="1106">
        <f>G1863*F1863</f>
        <v>5355</v>
      </c>
      <c r="M1863" s="1566"/>
    </row>
    <row r="1864" spans="2:13" hidden="1">
      <c r="B1864" s="1540"/>
      <c r="C1864" s="1332"/>
      <c r="D1864" s="1540"/>
      <c r="E1864" s="1539"/>
      <c r="F1864" s="2080" t="s">
        <v>702</v>
      </c>
      <c r="G1864" s="2081"/>
      <c r="H1864" s="1106">
        <f>SUM(H1862:H1863)</f>
        <v>23355</v>
      </c>
      <c r="M1864" s="1566"/>
    </row>
    <row r="1865" spans="2:13" s="496" customFormat="1" hidden="1">
      <c r="B1865" s="1543" t="s">
        <v>703</v>
      </c>
      <c r="C1865" s="1117" t="s">
        <v>3764</v>
      </c>
      <c r="D1865" s="1120"/>
      <c r="E1865" s="1120"/>
      <c r="F1865" s="1121"/>
      <c r="G1865" s="1160"/>
      <c r="H1865" s="1107">
        <f>H1860+H1864</f>
        <v>63720</v>
      </c>
      <c r="J1865" s="1559"/>
      <c r="K1865" s="1559"/>
      <c r="L1865" s="1559"/>
      <c r="M1865" s="1635"/>
    </row>
    <row r="1866" spans="2:13" s="496" customFormat="1" hidden="1">
      <c r="B1866" s="1543" t="s">
        <v>706</v>
      </c>
      <c r="C1866" s="1123" t="s">
        <v>876</v>
      </c>
      <c r="D1866" s="1124"/>
      <c r="E1866" s="1154"/>
      <c r="F1866" s="1545" t="s">
        <v>3873</v>
      </c>
      <c r="G1866" s="1160"/>
      <c r="H1866" s="1107">
        <f>H1865*0.15</f>
        <v>9558</v>
      </c>
      <c r="J1866" s="1559"/>
      <c r="K1866" s="1559"/>
      <c r="L1866" s="1559"/>
      <c r="M1866" s="1635"/>
    </row>
    <row r="1867" spans="2:13" s="496" customFormat="1" hidden="1">
      <c r="B1867" s="1543" t="s">
        <v>708</v>
      </c>
      <c r="C1867" s="2078" t="s">
        <v>3765</v>
      </c>
      <c r="D1867" s="2078"/>
      <c r="E1867" s="2078"/>
      <c r="F1867" s="2078"/>
      <c r="G1867" s="2078"/>
      <c r="H1867" s="1107">
        <f>ROUND(SUM(H1865:H1866),2)</f>
        <v>73278</v>
      </c>
      <c r="I1867" s="506">
        <f>SUM(H1865:H1866)</f>
        <v>73278</v>
      </c>
      <c r="J1867" s="1561"/>
      <c r="K1867" s="1561"/>
      <c r="L1867" s="1559"/>
      <c r="M1867" s="1635"/>
    </row>
    <row r="1868" spans="2:13" hidden="1">
      <c r="F1868" s="1172"/>
      <c r="G1868" s="1173"/>
      <c r="H1868" s="1133"/>
      <c r="M1868" s="1566"/>
    </row>
    <row r="1869" spans="2:13" s="947" customFormat="1">
      <c r="B1869" s="1859" t="s">
        <v>3963</v>
      </c>
      <c r="C1869" s="1860" t="s">
        <v>4525</v>
      </c>
      <c r="D1869" s="1861"/>
      <c r="E1869" s="1861"/>
      <c r="F1869" s="1862"/>
      <c r="G1869" s="1863"/>
      <c r="H1869" s="1864"/>
      <c r="I1869" s="1557"/>
      <c r="J1869" s="1557"/>
      <c r="K1869" s="1557"/>
      <c r="L1869" s="1557"/>
      <c r="M1869" s="1566"/>
    </row>
    <row r="1870" spans="2:13" s="507" customFormat="1" ht="24.9" customHeight="1">
      <c r="B1870" s="1101" t="s">
        <v>1003</v>
      </c>
      <c r="C1870" s="1101" t="s">
        <v>1004</v>
      </c>
      <c r="D1870" s="1116" t="s">
        <v>1005</v>
      </c>
      <c r="E1870" s="1116" t="s">
        <v>1006</v>
      </c>
      <c r="F1870" s="1139" t="s">
        <v>1007</v>
      </c>
      <c r="G1870" s="1103" t="s">
        <v>2637</v>
      </c>
      <c r="H1870" s="1110" t="s">
        <v>2638</v>
      </c>
      <c r="I1870" s="1834"/>
      <c r="J1870" s="1823" t="s">
        <v>5335</v>
      </c>
      <c r="K1870" s="1824" t="s">
        <v>5336</v>
      </c>
      <c r="L1870" s="1824" t="s">
        <v>5337</v>
      </c>
      <c r="M1870" s="1825" t="s">
        <v>5338</v>
      </c>
    </row>
    <row r="1871" spans="2:13">
      <c r="B1871" s="1330" t="s">
        <v>671</v>
      </c>
      <c r="C1871" s="1329" t="s">
        <v>672</v>
      </c>
      <c r="D1871" s="1539"/>
      <c r="E1871" s="1539"/>
      <c r="F1871" s="1532"/>
      <c r="G1871" s="1152"/>
      <c r="H1871" s="1106"/>
      <c r="J1871" s="1597"/>
      <c r="K1871" s="1597"/>
      <c r="L1871" s="1597"/>
      <c r="M1871" s="1826"/>
    </row>
    <row r="1872" spans="2:13">
      <c r="B1872" s="1331"/>
      <c r="C1872" s="1332" t="s">
        <v>673</v>
      </c>
      <c r="D1872" s="1539" t="s">
        <v>674</v>
      </c>
      <c r="E1872" s="1539" t="s">
        <v>675</v>
      </c>
      <c r="F1872" s="1532">
        <v>1.05</v>
      </c>
      <c r="G1872" s="1104">
        <f>DUB!$I$10</f>
        <v>150000</v>
      </c>
      <c r="H1872" s="1106">
        <f>G1872*F1872</f>
        <v>157500</v>
      </c>
      <c r="J1872" s="1609" t="s">
        <v>5339</v>
      </c>
      <c r="K1872" s="1611">
        <v>1</v>
      </c>
      <c r="L1872" s="1608" t="s">
        <v>5340</v>
      </c>
      <c r="M1872" s="1827">
        <f>H1872*K1872</f>
        <v>157500</v>
      </c>
    </row>
    <row r="1873" spans="2:13">
      <c r="B1873" s="1331"/>
      <c r="C1873" s="1332" t="s">
        <v>949</v>
      </c>
      <c r="D1873" s="1539" t="s">
        <v>678</v>
      </c>
      <c r="E1873" s="1539" t="s">
        <v>675</v>
      </c>
      <c r="F1873" s="1532">
        <v>1.05</v>
      </c>
      <c r="G1873" s="1104">
        <f>DUB!$I$11</f>
        <v>187000</v>
      </c>
      <c r="H1873" s="1106">
        <f>G1873*F1873</f>
        <v>196350</v>
      </c>
      <c r="J1873" s="1609" t="s">
        <v>5339</v>
      </c>
      <c r="K1873" s="1611">
        <v>1</v>
      </c>
      <c r="L1873" s="1608" t="s">
        <v>5340</v>
      </c>
      <c r="M1873" s="1827">
        <f t="shared" ref="M1873" si="60">H1873*K1873</f>
        <v>196350</v>
      </c>
    </row>
    <row r="1874" spans="2:13">
      <c r="B1874" s="1331"/>
      <c r="C1874" s="1332" t="s">
        <v>751</v>
      </c>
      <c r="D1874" s="1539" t="s">
        <v>681</v>
      </c>
      <c r="E1874" s="1539" t="s">
        <v>675</v>
      </c>
      <c r="F1874" s="1532">
        <v>0.105</v>
      </c>
      <c r="G1874" s="1104">
        <f>DUB!$I$13</f>
        <v>240000</v>
      </c>
      <c r="H1874" s="1106">
        <f>G1874*F1874</f>
        <v>25200</v>
      </c>
      <c r="J1874" s="1609" t="s">
        <v>5339</v>
      </c>
      <c r="K1874" s="1611">
        <v>1</v>
      </c>
      <c r="L1874" s="1608" t="s">
        <v>5340</v>
      </c>
      <c r="M1874" s="1827">
        <f>H1874*K1874</f>
        <v>25200</v>
      </c>
    </row>
    <row r="1875" spans="2:13">
      <c r="B1875" s="1331"/>
      <c r="C1875" s="1332" t="s">
        <v>683</v>
      </c>
      <c r="D1875" s="1539" t="s">
        <v>684</v>
      </c>
      <c r="E1875" s="1539" t="s">
        <v>675</v>
      </c>
      <c r="F1875" s="1532">
        <v>5.1999999999999998E-2</v>
      </c>
      <c r="G1875" s="1104">
        <f>DUB!$I$12</f>
        <v>225000</v>
      </c>
      <c r="H1875" s="1106">
        <f>G1875*F1875</f>
        <v>11700</v>
      </c>
      <c r="J1875" s="1609" t="s">
        <v>5339</v>
      </c>
      <c r="K1875" s="1611">
        <v>1</v>
      </c>
      <c r="L1875" s="1608" t="s">
        <v>5340</v>
      </c>
      <c r="M1875" s="1827">
        <f t="shared" ref="M1875" si="61">H1875*K1875</f>
        <v>11700</v>
      </c>
    </row>
    <row r="1876" spans="2:13">
      <c r="B1876" s="1331"/>
      <c r="C1876" s="1332"/>
      <c r="D1876" s="1539"/>
      <c r="E1876" s="1539"/>
      <c r="F1876" s="2080" t="s">
        <v>685</v>
      </c>
      <c r="G1876" s="2081"/>
      <c r="H1876" s="1106">
        <f>SUM(H1872:H1875)</f>
        <v>390750</v>
      </c>
      <c r="J1876" s="1597"/>
      <c r="K1876" s="1597"/>
      <c r="L1876" s="1597"/>
      <c r="M1876" s="1107">
        <f>SUM(M1872:M1875)</f>
        <v>390750</v>
      </c>
    </row>
    <row r="1877" spans="2:13">
      <c r="B1877" s="1330" t="s">
        <v>686</v>
      </c>
      <c r="C1877" s="1329" t="s">
        <v>687</v>
      </c>
      <c r="D1877" s="1539"/>
      <c r="E1877" s="1539"/>
      <c r="F1877" s="1532"/>
      <c r="G1877" s="1152"/>
      <c r="H1877" s="1106"/>
      <c r="J1877" s="1597"/>
      <c r="K1877" s="1597"/>
      <c r="L1877" s="1597"/>
      <c r="M1877" s="1826"/>
    </row>
    <row r="1878" spans="2:13">
      <c r="B1878" s="1331"/>
      <c r="C1878" s="1332" t="s">
        <v>951</v>
      </c>
      <c r="D1878" s="1539"/>
      <c r="E1878" s="1539" t="s">
        <v>690</v>
      </c>
      <c r="F1878" s="1532">
        <v>15</v>
      </c>
      <c r="G1878" s="1152">
        <f>DUB!$I$103</f>
        <v>15700</v>
      </c>
      <c r="H1878" s="1106">
        <f>G1878*F1878</f>
        <v>235500</v>
      </c>
      <c r="J1878" s="1607" t="s">
        <v>5341</v>
      </c>
      <c r="K1878" s="1611">
        <v>1</v>
      </c>
      <c r="L1878" s="1607" t="s">
        <v>5341</v>
      </c>
      <c r="M1878" s="1827">
        <f>H1878*K1878</f>
        <v>235500</v>
      </c>
    </row>
    <row r="1879" spans="2:13">
      <c r="B1879" s="1331"/>
      <c r="C1879" s="1332" t="s">
        <v>953</v>
      </c>
      <c r="D1879" s="1540"/>
      <c r="E1879" s="1539" t="s">
        <v>690</v>
      </c>
      <c r="F1879" s="1532">
        <v>32.799999999999997</v>
      </c>
      <c r="G1879" s="1152">
        <f>DUB!$I$105</f>
        <v>16065</v>
      </c>
      <c r="H1879" s="1106">
        <f>G1879*F1879</f>
        <v>526932</v>
      </c>
      <c r="J1879" s="1642" t="s">
        <v>4925</v>
      </c>
      <c r="K1879" s="1611">
        <v>0.43149999999999999</v>
      </c>
      <c r="L1879" s="1607" t="s">
        <v>5343</v>
      </c>
      <c r="M1879" s="1827">
        <f t="shared" ref="M1879:M1880" si="62">H1879*K1879</f>
        <v>227371.158</v>
      </c>
    </row>
    <row r="1880" spans="2:13">
      <c r="B1880" s="1331"/>
      <c r="C1880" s="1332" t="s">
        <v>954</v>
      </c>
      <c r="D1880" s="1331"/>
      <c r="E1880" s="1539" t="s">
        <v>690</v>
      </c>
      <c r="F1880" s="1532">
        <v>0.05</v>
      </c>
      <c r="G1880" s="1152">
        <f>DUB!$I$110</f>
        <v>46053</v>
      </c>
      <c r="H1880" s="1106">
        <f>G1880*F1880</f>
        <v>2302.65</v>
      </c>
      <c r="J1880" s="1642" t="s">
        <v>4925</v>
      </c>
      <c r="K1880" s="1611">
        <v>0.51470000000000005</v>
      </c>
      <c r="L1880" s="1607" t="s">
        <v>5343</v>
      </c>
      <c r="M1880" s="1827">
        <f t="shared" si="62"/>
        <v>1185.1739550000002</v>
      </c>
    </row>
    <row r="1881" spans="2:13">
      <c r="B1881" s="1331"/>
      <c r="C1881" s="1332"/>
      <c r="D1881" s="1331"/>
      <c r="E1881" s="1539"/>
      <c r="F1881" s="2080" t="s">
        <v>702</v>
      </c>
      <c r="G1881" s="2081"/>
      <c r="H1881" s="1106">
        <f>SUM(H1878:H1880)</f>
        <v>764734.65</v>
      </c>
      <c r="J1881" s="1597"/>
      <c r="K1881" s="1597"/>
      <c r="L1881" s="1597"/>
      <c r="M1881" s="1106">
        <f>SUM(M1878:M1880)</f>
        <v>464056.331955</v>
      </c>
    </row>
    <row r="1882" spans="2:13" s="496" customFormat="1">
      <c r="B1882" s="1330" t="s">
        <v>703</v>
      </c>
      <c r="C1882" s="1117" t="s">
        <v>3764</v>
      </c>
      <c r="D1882" s="1120"/>
      <c r="E1882" s="1120"/>
      <c r="F1882" s="1121"/>
      <c r="G1882" s="1160"/>
      <c r="H1882" s="1107">
        <f>H1876+H1881</f>
        <v>1155484.6499999999</v>
      </c>
      <c r="J1882" s="1600"/>
      <c r="K1882" s="1600"/>
      <c r="L1882" s="1600"/>
      <c r="M1882" s="1107">
        <f>M1876+M1881</f>
        <v>854806.33195500006</v>
      </c>
    </row>
    <row r="1883" spans="2:13" s="496" customFormat="1">
      <c r="B1883" s="1330" t="s">
        <v>706</v>
      </c>
      <c r="C1883" s="1123" t="s">
        <v>876</v>
      </c>
      <c r="D1883" s="1124"/>
      <c r="E1883" s="1154"/>
      <c r="F1883" s="1545" t="s">
        <v>3873</v>
      </c>
      <c r="G1883" s="1160"/>
      <c r="H1883" s="1107">
        <f>H1882*0.15</f>
        <v>173322.69749999998</v>
      </c>
      <c r="J1883" s="1600"/>
      <c r="K1883" s="1600"/>
      <c r="L1883" s="1600"/>
      <c r="M1883" s="1107">
        <f>M1882*0.15</f>
        <v>128220.94979325001</v>
      </c>
    </row>
    <row r="1884" spans="2:13" s="496" customFormat="1">
      <c r="B1884" s="1330" t="s">
        <v>708</v>
      </c>
      <c r="C1884" s="2078" t="s">
        <v>3765</v>
      </c>
      <c r="D1884" s="2078"/>
      <c r="E1884" s="2078"/>
      <c r="F1884" s="2078"/>
      <c r="G1884" s="2078"/>
      <c r="H1884" s="1107">
        <f>ROUND(SUM(H1882:H1883),2)</f>
        <v>1328807.3500000001</v>
      </c>
      <c r="I1884" s="1632">
        <f>SUM(H1882:H1883)</f>
        <v>1328807.3474999999</v>
      </c>
      <c r="J1884" s="1636"/>
      <c r="K1884" s="1636"/>
      <c r="L1884" s="1637"/>
      <c r="M1884" s="1919">
        <f>ROUND(SUM(M1882:M1883),2)</f>
        <v>983027.28</v>
      </c>
    </row>
    <row r="1885" spans="2:13" s="947" customFormat="1">
      <c r="B1885" s="1129"/>
      <c r="C1885" s="1130"/>
      <c r="D1885" s="1129"/>
      <c r="E1885" s="1129"/>
      <c r="F1885" s="1131"/>
      <c r="G1885" s="1132"/>
      <c r="H1885" s="1115"/>
      <c r="J1885" s="1557"/>
      <c r="K1885" s="1557"/>
      <c r="L1885" s="1557"/>
      <c r="M1885" s="1566"/>
    </row>
    <row r="1886" spans="2:13" s="947" customFormat="1" ht="12" hidden="1" customHeight="1">
      <c r="B1886" s="1100" t="s">
        <v>3964</v>
      </c>
      <c r="C1886" s="1112" t="s">
        <v>2868</v>
      </c>
      <c r="D1886" s="1129"/>
      <c r="E1886" s="1129"/>
      <c r="F1886" s="1131"/>
      <c r="G1886" s="1132"/>
      <c r="H1886" s="1115"/>
      <c r="J1886" s="1557"/>
      <c r="K1886" s="1557"/>
      <c r="L1886" s="1557"/>
      <c r="M1886" s="1566"/>
    </row>
    <row r="1887" spans="2:13" s="948" customFormat="1" ht="9" hidden="1" customHeight="1">
      <c r="B1887" s="1748" t="s">
        <v>1003</v>
      </c>
      <c r="C1887" s="1101" t="s">
        <v>1004</v>
      </c>
      <c r="D1887" s="1101" t="s">
        <v>1005</v>
      </c>
      <c r="E1887" s="1116" t="s">
        <v>1006</v>
      </c>
      <c r="F1887" s="1139" t="s">
        <v>1007</v>
      </c>
      <c r="G1887" s="1206" t="s">
        <v>2637</v>
      </c>
      <c r="H1887" s="1110" t="s">
        <v>2638</v>
      </c>
      <c r="J1887" s="1625"/>
      <c r="K1887" s="1625"/>
      <c r="L1887" s="1625"/>
      <c r="M1887" s="1570"/>
    </row>
    <row r="1888" spans="2:13" s="947" customFormat="1" hidden="1">
      <c r="B1888" s="1543" t="s">
        <v>671</v>
      </c>
      <c r="C1888" s="1329" t="s">
        <v>672</v>
      </c>
      <c r="D1888" s="1331"/>
      <c r="E1888" s="1539"/>
      <c r="F1888" s="1532"/>
      <c r="G1888" s="1152"/>
      <c r="H1888" s="1106"/>
      <c r="J1888" s="1557"/>
      <c r="K1888" s="1557"/>
      <c r="L1888" s="1557"/>
      <c r="M1888" s="1566"/>
    </row>
    <row r="1889" spans="2:13" s="947" customFormat="1" hidden="1">
      <c r="B1889" s="1540"/>
      <c r="C1889" s="1332" t="s">
        <v>673</v>
      </c>
      <c r="D1889" s="1331" t="s">
        <v>674</v>
      </c>
      <c r="E1889" s="1539" t="s">
        <v>675</v>
      </c>
      <c r="F1889" s="1532">
        <v>0.04</v>
      </c>
      <c r="G1889" s="1104">
        <f>DUB!$I$10</f>
        <v>150000</v>
      </c>
      <c r="H1889" s="1106">
        <f>G1889*F1889</f>
        <v>6000</v>
      </c>
      <c r="J1889" s="1557"/>
      <c r="K1889" s="1557"/>
      <c r="L1889" s="1557"/>
      <c r="M1889" s="1566"/>
    </row>
    <row r="1890" spans="2:13" s="947" customFormat="1" hidden="1">
      <c r="B1890" s="1540"/>
      <c r="C1890" s="1126" t="s">
        <v>3404</v>
      </c>
      <c r="D1890" s="1187" t="s">
        <v>681</v>
      </c>
      <c r="E1890" s="1183" t="s">
        <v>675</v>
      </c>
      <c r="F1890" s="1184">
        <v>0.02</v>
      </c>
      <c r="G1890" s="1104">
        <f>DUB!$I$13</f>
        <v>240000</v>
      </c>
      <c r="H1890" s="1106">
        <f>G1890*F1890</f>
        <v>4800</v>
      </c>
      <c r="J1890" s="1557"/>
      <c r="K1890" s="1557"/>
      <c r="L1890" s="1557"/>
      <c r="M1890" s="1566"/>
    </row>
    <row r="1891" spans="2:13" s="947" customFormat="1" hidden="1">
      <c r="B1891" s="1540"/>
      <c r="C1891" s="1332" t="s">
        <v>751</v>
      </c>
      <c r="D1891" s="1331" t="s">
        <v>681</v>
      </c>
      <c r="E1891" s="1539" t="s">
        <v>675</v>
      </c>
      <c r="F1891" s="1532">
        <v>2E-3</v>
      </c>
      <c r="G1891" s="1104">
        <f>DUB!$I$13</f>
        <v>240000</v>
      </c>
      <c r="H1891" s="1106">
        <f>G1891*F1891</f>
        <v>480</v>
      </c>
      <c r="J1891" s="1557"/>
      <c r="K1891" s="1557"/>
      <c r="L1891" s="1557"/>
      <c r="M1891" s="1566"/>
    </row>
    <row r="1892" spans="2:13" s="947" customFormat="1" hidden="1">
      <c r="B1892" s="1540"/>
      <c r="C1892" s="1332" t="s">
        <v>683</v>
      </c>
      <c r="D1892" s="1331" t="s">
        <v>684</v>
      </c>
      <c r="E1892" s="1539" t="s">
        <v>675</v>
      </c>
      <c r="F1892" s="1532">
        <v>2E-3</v>
      </c>
      <c r="G1892" s="1104">
        <f>DUB!$I$12</f>
        <v>225000</v>
      </c>
      <c r="H1892" s="1106">
        <f>G1892*F1892</f>
        <v>450</v>
      </c>
      <c r="J1892" s="1557"/>
      <c r="K1892" s="1557"/>
      <c r="L1892" s="1557"/>
      <c r="M1892" s="1566"/>
    </row>
    <row r="1893" spans="2:13" s="947" customFormat="1" hidden="1">
      <c r="B1893" s="1540"/>
      <c r="C1893" s="1332"/>
      <c r="D1893" s="1331"/>
      <c r="E1893" s="1539"/>
      <c r="F1893" s="2080" t="s">
        <v>685</v>
      </c>
      <c r="G1893" s="2081"/>
      <c r="H1893" s="1106">
        <f>SUM(H1889:H1892)</f>
        <v>11730</v>
      </c>
      <c r="J1893" s="1557"/>
      <c r="K1893" s="1557"/>
      <c r="L1893" s="1557"/>
      <c r="M1893" s="1566"/>
    </row>
    <row r="1894" spans="2:13" s="947" customFormat="1" hidden="1">
      <c r="B1894" s="1543" t="s">
        <v>686</v>
      </c>
      <c r="C1894" s="1329" t="s">
        <v>687</v>
      </c>
      <c r="D1894" s="1331"/>
      <c r="E1894" s="1539"/>
      <c r="F1894" s="1532"/>
      <c r="G1894" s="1152"/>
      <c r="H1894" s="1106"/>
      <c r="J1894" s="1557"/>
      <c r="K1894" s="1557"/>
      <c r="L1894" s="1557"/>
      <c r="M1894" s="1566"/>
    </row>
    <row r="1895" spans="2:13" s="947" customFormat="1" hidden="1">
      <c r="B1895" s="1540"/>
      <c r="C1895" s="1332" t="s">
        <v>955</v>
      </c>
      <c r="D1895" s="1331"/>
      <c r="E1895" s="1539" t="s">
        <v>690</v>
      </c>
      <c r="F1895" s="1532">
        <v>0.4</v>
      </c>
      <c r="G1895" s="1152">
        <f>DUB!$I$110</f>
        <v>46053</v>
      </c>
      <c r="H1895" s="1106">
        <f>G1895*F1895</f>
        <v>18421.2</v>
      </c>
      <c r="J1895" s="1557"/>
      <c r="K1895" s="1557"/>
      <c r="L1895" s="1557"/>
      <c r="M1895" s="1566"/>
    </row>
    <row r="1896" spans="2:13" s="947" customFormat="1" hidden="1">
      <c r="B1896" s="1540"/>
      <c r="C1896" s="1332" t="s">
        <v>926</v>
      </c>
      <c r="D1896" s="1331"/>
      <c r="E1896" s="1539" t="s">
        <v>701</v>
      </c>
      <c r="F1896" s="1532">
        <v>0.3</v>
      </c>
      <c r="G1896" s="1152">
        <f>DUB!$I$486</f>
        <v>18000</v>
      </c>
      <c r="H1896" s="1106">
        <f>G1896*F1896</f>
        <v>5400</v>
      </c>
      <c r="J1896" s="1557"/>
      <c r="K1896" s="1557"/>
      <c r="L1896" s="1557"/>
      <c r="M1896" s="1566"/>
    </row>
    <row r="1897" spans="2:13" s="947" customFormat="1" hidden="1">
      <c r="B1897" s="1540"/>
      <c r="C1897" s="1332" t="s">
        <v>947</v>
      </c>
      <c r="D1897" s="1331"/>
      <c r="E1897" s="1539" t="s">
        <v>701</v>
      </c>
      <c r="F1897" s="1532">
        <v>0.04</v>
      </c>
      <c r="G1897" s="1152">
        <f>DUB!$I$484</f>
        <v>53550</v>
      </c>
      <c r="H1897" s="1106">
        <f>G1897*F1897</f>
        <v>2142</v>
      </c>
      <c r="J1897" s="1557"/>
      <c r="K1897" s="1557"/>
      <c r="L1897" s="1557"/>
      <c r="M1897" s="1566"/>
    </row>
    <row r="1898" spans="2:13" s="947" customFormat="1" hidden="1">
      <c r="B1898" s="1540"/>
      <c r="C1898" s="1332"/>
      <c r="D1898" s="1331"/>
      <c r="E1898" s="1539"/>
      <c r="F1898" s="2080" t="s">
        <v>702</v>
      </c>
      <c r="G1898" s="2081"/>
      <c r="H1898" s="1106">
        <f>SUM(H1895:H1897)</f>
        <v>25963.200000000001</v>
      </c>
      <c r="J1898" s="1557"/>
      <c r="K1898" s="1557"/>
      <c r="L1898" s="1557"/>
      <c r="M1898" s="1566"/>
    </row>
    <row r="1899" spans="2:13" s="947" customFormat="1" hidden="1">
      <c r="B1899" s="1543" t="s">
        <v>703</v>
      </c>
      <c r="C1899" s="1329" t="s">
        <v>704</v>
      </c>
      <c r="D1899" s="1331"/>
      <c r="E1899" s="1539"/>
      <c r="F1899" s="1532"/>
      <c r="G1899" s="1152"/>
      <c r="H1899" s="1106"/>
      <c r="J1899" s="1557"/>
      <c r="K1899" s="1557"/>
      <c r="L1899" s="1557"/>
      <c r="M1899" s="1566"/>
    </row>
    <row r="1900" spans="2:13" s="947" customFormat="1" hidden="1">
      <c r="B1900" s="1540"/>
      <c r="C1900" s="1332" t="s">
        <v>956</v>
      </c>
      <c r="D1900" s="1331"/>
      <c r="E1900" s="1539" t="s">
        <v>948</v>
      </c>
      <c r="F1900" s="1532">
        <v>0.17</v>
      </c>
      <c r="G1900" s="1152">
        <f>DUB!$I$537</f>
        <v>68400</v>
      </c>
      <c r="H1900" s="1106">
        <f>G1900*F1900</f>
        <v>11628</v>
      </c>
      <c r="J1900" s="1557"/>
      <c r="K1900" s="1557"/>
      <c r="L1900" s="1557"/>
      <c r="M1900" s="1566"/>
    </row>
    <row r="1901" spans="2:13" s="947" customFormat="1" hidden="1">
      <c r="B1901" s="1540"/>
      <c r="C1901" s="1332"/>
      <c r="D1901" s="1331"/>
      <c r="E1901" s="1539"/>
      <c r="F1901" s="2080" t="s">
        <v>705</v>
      </c>
      <c r="G1901" s="2081"/>
      <c r="H1901" s="1106">
        <f>SUM(H1900)</f>
        <v>11628</v>
      </c>
      <c r="J1901" s="1557"/>
      <c r="K1901" s="1557"/>
      <c r="L1901" s="1557"/>
      <c r="M1901" s="1566"/>
    </row>
    <row r="1902" spans="2:13" s="947" customFormat="1" hidden="1">
      <c r="B1902" s="1540"/>
      <c r="C1902" s="1332"/>
      <c r="D1902" s="1331"/>
      <c r="E1902" s="1331"/>
      <c r="F1902" s="1532"/>
      <c r="G1902" s="1152"/>
      <c r="H1902" s="1106"/>
      <c r="J1902" s="1557"/>
      <c r="K1902" s="1557"/>
      <c r="L1902" s="1557"/>
      <c r="M1902" s="1566"/>
    </row>
    <row r="1903" spans="2:13" s="949" customFormat="1" hidden="1">
      <c r="B1903" s="1543" t="s">
        <v>706</v>
      </c>
      <c r="C1903" s="2089" t="s">
        <v>707</v>
      </c>
      <c r="D1903" s="2089"/>
      <c r="E1903" s="2089"/>
      <c r="F1903" s="2089"/>
      <c r="G1903" s="2089"/>
      <c r="H1903" s="1107">
        <f>H1893+H1898+H1901</f>
        <v>49321.2</v>
      </c>
      <c r="J1903" s="1559"/>
      <c r="K1903" s="1559"/>
      <c r="L1903" s="1559"/>
      <c r="M1903" s="1635"/>
    </row>
    <row r="1904" spans="2:13" s="949" customFormat="1" hidden="1">
      <c r="B1904" s="1543" t="s">
        <v>708</v>
      </c>
      <c r="C1904" s="2076" t="s">
        <v>876</v>
      </c>
      <c r="D1904" s="2076"/>
      <c r="E1904" s="2076"/>
      <c r="F1904" s="2077" t="s">
        <v>710</v>
      </c>
      <c r="G1904" s="2077"/>
      <c r="H1904" s="1107">
        <f>H1903*0.15</f>
        <v>7398.1799999999994</v>
      </c>
      <c r="J1904" s="1559"/>
      <c r="K1904" s="1559"/>
      <c r="L1904" s="1559"/>
      <c r="M1904" s="1635"/>
    </row>
    <row r="1905" spans="2:13" s="949" customFormat="1" hidden="1">
      <c r="B1905" s="1543" t="s">
        <v>711</v>
      </c>
      <c r="C1905" s="2078" t="s">
        <v>3947</v>
      </c>
      <c r="D1905" s="2078"/>
      <c r="E1905" s="2078"/>
      <c r="F1905" s="2078"/>
      <c r="G1905" s="2078"/>
      <c r="H1905" s="1107">
        <f>ROUND(SUM(H1903:H1904),2)</f>
        <v>56719.38</v>
      </c>
      <c r="I1905" s="950">
        <f>SUM(H1903:H1904)</f>
        <v>56719.38</v>
      </c>
      <c r="J1905" s="1561"/>
      <c r="K1905" s="1561"/>
      <c r="L1905" s="1559"/>
      <c r="M1905" s="1635"/>
    </row>
    <row r="1906" spans="2:13" s="949" customFormat="1" hidden="1">
      <c r="B1906" s="1120"/>
      <c r="C1906" s="1538" t="s">
        <v>4468</v>
      </c>
      <c r="D1906" s="1120"/>
      <c r="E1906" s="1538"/>
      <c r="F1906" s="1120"/>
      <c r="G1906" s="1207"/>
      <c r="H1906" s="1107">
        <f>H1905/10</f>
        <v>5671.9380000000001</v>
      </c>
      <c r="I1906" s="951"/>
      <c r="J1906" s="1561"/>
      <c r="K1906" s="1561"/>
      <c r="L1906" s="1559"/>
      <c r="M1906" s="1635"/>
    </row>
    <row r="1907" spans="2:13" s="947" customFormat="1" hidden="1">
      <c r="B1907" s="1095"/>
      <c r="C1907" s="1096"/>
      <c r="D1907" s="1095"/>
      <c r="E1907" s="1095"/>
      <c r="F1907" s="1172"/>
      <c r="G1907" s="1173"/>
      <c r="H1907" s="1133"/>
      <c r="J1907" s="1557"/>
      <c r="K1907" s="1557"/>
      <c r="L1907" s="1557"/>
      <c r="M1907" s="1566"/>
    </row>
    <row r="1908" spans="2:13" s="947" customFormat="1" hidden="1">
      <c r="B1908" s="1100" t="s">
        <v>3965</v>
      </c>
      <c r="C1908" s="1232" t="s">
        <v>2869</v>
      </c>
      <c r="D1908" s="1095"/>
      <c r="E1908" s="1095"/>
      <c r="F1908" s="1172"/>
      <c r="G1908" s="1173"/>
      <c r="H1908" s="1133"/>
      <c r="J1908" s="1557"/>
      <c r="K1908" s="1557"/>
      <c r="L1908" s="1557"/>
      <c r="M1908" s="1566"/>
    </row>
    <row r="1909" spans="2:13" s="948" customFormat="1" ht="9" hidden="1" customHeight="1">
      <c r="B1909" s="1748" t="s">
        <v>1003</v>
      </c>
      <c r="C1909" s="1101" t="s">
        <v>1004</v>
      </c>
      <c r="D1909" s="1101" t="s">
        <v>1005</v>
      </c>
      <c r="E1909" s="1101" t="s">
        <v>1006</v>
      </c>
      <c r="F1909" s="1102" t="s">
        <v>1007</v>
      </c>
      <c r="G1909" s="1109" t="s">
        <v>2637</v>
      </c>
      <c r="H1909" s="1110" t="s">
        <v>2638</v>
      </c>
      <c r="J1909" s="1625"/>
      <c r="K1909" s="1625"/>
      <c r="L1909" s="1625"/>
      <c r="M1909" s="1570"/>
    </row>
    <row r="1910" spans="2:13" s="947" customFormat="1" hidden="1">
      <c r="B1910" s="1543" t="s">
        <v>671</v>
      </c>
      <c r="C1910" s="1329" t="s">
        <v>672</v>
      </c>
      <c r="D1910" s="1331"/>
      <c r="E1910" s="1331"/>
      <c r="F1910" s="1334"/>
      <c r="G1910" s="1104"/>
      <c r="H1910" s="1106"/>
      <c r="J1910" s="1557"/>
      <c r="K1910" s="1557"/>
      <c r="L1910" s="1557"/>
      <c r="M1910" s="1566"/>
    </row>
    <row r="1911" spans="2:13" s="947" customFormat="1" hidden="1">
      <c r="B1911" s="1540"/>
      <c r="C1911" s="1332" t="s">
        <v>673</v>
      </c>
      <c r="D1911" s="1331" t="s">
        <v>674</v>
      </c>
      <c r="E1911" s="1331" t="s">
        <v>675</v>
      </c>
      <c r="F1911" s="1334">
        <v>0.65</v>
      </c>
      <c r="G1911" s="1104">
        <f>DUB!$I$10</f>
        <v>150000</v>
      </c>
      <c r="H1911" s="1106">
        <f>G1911*F1911</f>
        <v>97500</v>
      </c>
      <c r="J1911" s="1557"/>
      <c r="K1911" s="1557"/>
      <c r="L1911" s="1557"/>
      <c r="M1911" s="1566"/>
    </row>
    <row r="1912" spans="2:13" s="947" customFormat="1" hidden="1">
      <c r="B1912" s="1540"/>
      <c r="C1912" s="1332" t="s">
        <v>949</v>
      </c>
      <c r="D1912" s="1331" t="s">
        <v>678</v>
      </c>
      <c r="E1912" s="1331" t="s">
        <v>675</v>
      </c>
      <c r="F1912" s="1334">
        <v>0.65</v>
      </c>
      <c r="G1912" s="1104">
        <f>DUB!$I$11</f>
        <v>187000</v>
      </c>
      <c r="H1912" s="1106">
        <f>G1912*F1912</f>
        <v>121550</v>
      </c>
      <c r="J1912" s="1557"/>
      <c r="K1912" s="1557"/>
      <c r="L1912" s="1557"/>
      <c r="M1912" s="1566"/>
    </row>
    <row r="1913" spans="2:13" s="947" customFormat="1" hidden="1">
      <c r="B1913" s="1540"/>
      <c r="C1913" s="1332" t="s">
        <v>751</v>
      </c>
      <c r="D1913" s="1331" t="s">
        <v>681</v>
      </c>
      <c r="E1913" s="1331" t="s">
        <v>675</v>
      </c>
      <c r="F1913" s="1334">
        <v>6.5000000000000002E-2</v>
      </c>
      <c r="G1913" s="1104">
        <f>DUB!$I$13</f>
        <v>240000</v>
      </c>
      <c r="H1913" s="1106">
        <f>G1913*F1913</f>
        <v>15600</v>
      </c>
      <c r="J1913" s="1557"/>
      <c r="K1913" s="1557"/>
      <c r="L1913" s="1557"/>
      <c r="M1913" s="1566"/>
    </row>
    <row r="1914" spans="2:13" s="947" customFormat="1" hidden="1">
      <c r="B1914" s="1540"/>
      <c r="C1914" s="1332" t="s">
        <v>683</v>
      </c>
      <c r="D1914" s="1331" t="s">
        <v>684</v>
      </c>
      <c r="E1914" s="1331" t="s">
        <v>675</v>
      </c>
      <c r="F1914" s="1334">
        <v>3.2000000000000001E-2</v>
      </c>
      <c r="G1914" s="1104">
        <f>DUB!$I$12</f>
        <v>225000</v>
      </c>
      <c r="H1914" s="1106">
        <f>G1914*F1914</f>
        <v>7200</v>
      </c>
      <c r="J1914" s="1557"/>
      <c r="K1914" s="1557"/>
      <c r="L1914" s="1557"/>
      <c r="M1914" s="1566"/>
    </row>
    <row r="1915" spans="2:13" s="947" customFormat="1" hidden="1">
      <c r="B1915" s="1540"/>
      <c r="C1915" s="1332"/>
      <c r="D1915" s="1331"/>
      <c r="E1915" s="1331"/>
      <c r="F1915" s="2074" t="s">
        <v>685</v>
      </c>
      <c r="G1915" s="2074"/>
      <c r="H1915" s="1106">
        <f>SUM(H1911:H1914)</f>
        <v>241850</v>
      </c>
      <c r="J1915" s="1557"/>
      <c r="K1915" s="1557"/>
      <c r="L1915" s="1557"/>
      <c r="M1915" s="1566"/>
    </row>
    <row r="1916" spans="2:13" s="947" customFormat="1" hidden="1">
      <c r="B1916" s="1543" t="s">
        <v>686</v>
      </c>
      <c r="C1916" s="1329" t="s">
        <v>687</v>
      </c>
      <c r="D1916" s="1331"/>
      <c r="E1916" s="1331"/>
      <c r="F1916" s="1334"/>
      <c r="G1916" s="1104"/>
      <c r="H1916" s="1106"/>
      <c r="J1916" s="1557"/>
      <c r="K1916" s="1557"/>
      <c r="L1916" s="1557"/>
      <c r="M1916" s="1566"/>
    </row>
    <row r="1917" spans="2:13" s="947" customFormat="1" hidden="1">
      <c r="B1917" s="1540"/>
      <c r="C1917" s="1332" t="s">
        <v>5301</v>
      </c>
      <c r="D1917" s="1331"/>
      <c r="E1917" s="1331" t="s">
        <v>853</v>
      </c>
      <c r="F1917" s="1334">
        <v>4.76</v>
      </c>
      <c r="G1917" s="1104">
        <f>DUB!$I$163</f>
        <v>160650</v>
      </c>
      <c r="H1917" s="1106">
        <f>G1917*F1917</f>
        <v>764694</v>
      </c>
      <c r="J1917" s="1557"/>
      <c r="K1917" s="1557"/>
      <c r="L1917" s="1557"/>
      <c r="M1917" s="1566"/>
    </row>
    <row r="1918" spans="2:13" s="947" customFormat="1" hidden="1">
      <c r="B1918" s="1540"/>
      <c r="C1918" s="1126" t="s">
        <v>3330</v>
      </c>
      <c r="D1918" s="1331"/>
      <c r="E1918" s="1331" t="s">
        <v>853</v>
      </c>
      <c r="F1918" s="1334">
        <v>4.5220000000000002</v>
      </c>
      <c r="G1918" s="1104">
        <f>DUB!$I$164</f>
        <v>10710</v>
      </c>
      <c r="H1918" s="1106">
        <f>G1918*F1918</f>
        <v>48430.62</v>
      </c>
      <c r="J1918" s="1557"/>
      <c r="K1918" s="1557"/>
      <c r="L1918" s="1557"/>
      <c r="M1918" s="1566"/>
    </row>
    <row r="1919" spans="2:13" s="947" customFormat="1" hidden="1">
      <c r="B1919" s="1540"/>
      <c r="C1919" s="1332" t="s">
        <v>3490</v>
      </c>
      <c r="D1919" s="1331"/>
      <c r="E1919" s="1331" t="s">
        <v>959</v>
      </c>
      <c r="F1919" s="1334">
        <v>20</v>
      </c>
      <c r="G1919" s="1104">
        <f>$H$1903/10</f>
        <v>4932.12</v>
      </c>
      <c r="H1919" s="1106">
        <f>G1919*F1919</f>
        <v>98642.4</v>
      </c>
      <c r="J1919" s="1557"/>
      <c r="K1919" s="1557"/>
      <c r="L1919" s="1557"/>
      <c r="M1919" s="1566"/>
    </row>
    <row r="1920" spans="2:13" s="947" customFormat="1" hidden="1">
      <c r="B1920" s="1540"/>
      <c r="C1920" s="1125"/>
      <c r="D1920" s="1333"/>
      <c r="E1920" s="1333"/>
      <c r="F1920" s="2074" t="s">
        <v>702</v>
      </c>
      <c r="G1920" s="2074"/>
      <c r="H1920" s="1106">
        <f>SUM(H1917:H1919)</f>
        <v>911767.02</v>
      </c>
      <c r="J1920" s="1557"/>
      <c r="K1920" s="1557"/>
      <c r="L1920" s="1557"/>
      <c r="M1920" s="1566"/>
    </row>
    <row r="1921" spans="2:13" s="949" customFormat="1" hidden="1">
      <c r="B1921" s="1543" t="s">
        <v>703</v>
      </c>
      <c r="C1921" s="2075" t="s">
        <v>3764</v>
      </c>
      <c r="D1921" s="2075"/>
      <c r="E1921" s="2075"/>
      <c r="F1921" s="2075"/>
      <c r="G1921" s="2075"/>
      <c r="H1921" s="1107">
        <f>H1915+H1920</f>
        <v>1153617.02</v>
      </c>
      <c r="J1921" s="1559"/>
      <c r="K1921" s="1559"/>
      <c r="L1921" s="1559"/>
      <c r="M1921" s="1635"/>
    </row>
    <row r="1922" spans="2:13" s="949" customFormat="1" hidden="1">
      <c r="B1922" s="1543" t="s">
        <v>706</v>
      </c>
      <c r="C1922" s="2076" t="s">
        <v>876</v>
      </c>
      <c r="D1922" s="2076"/>
      <c r="E1922" s="2076"/>
      <c r="F1922" s="2077" t="s">
        <v>3873</v>
      </c>
      <c r="G1922" s="2077"/>
      <c r="H1922" s="1107">
        <f>H1921*0.15</f>
        <v>173042.55299999999</v>
      </c>
      <c r="J1922" s="1559"/>
      <c r="K1922" s="1559"/>
      <c r="L1922" s="1559"/>
      <c r="M1922" s="1635"/>
    </row>
    <row r="1923" spans="2:13" s="949" customFormat="1" hidden="1">
      <c r="B1923" s="1543" t="s">
        <v>708</v>
      </c>
      <c r="C1923" s="2078" t="s">
        <v>3765</v>
      </c>
      <c r="D1923" s="2078"/>
      <c r="E1923" s="2078"/>
      <c r="F1923" s="2078"/>
      <c r="G1923" s="2078"/>
      <c r="H1923" s="1107">
        <f>ROUND(SUM(H1921:H1922),2)</f>
        <v>1326659.57</v>
      </c>
      <c r="I1923" s="950">
        <f>SUM(H1921:H1922)</f>
        <v>1326659.5730000001</v>
      </c>
      <c r="J1923" s="1561"/>
      <c r="K1923" s="1561"/>
      <c r="L1923" s="1559"/>
      <c r="M1923" s="1635"/>
    </row>
    <row r="1924" spans="2:13" s="947" customFormat="1" hidden="1">
      <c r="B1924" s="1143"/>
      <c r="C1924" s="1144"/>
      <c r="D1924" s="1143"/>
      <c r="E1924" s="1143"/>
      <c r="F1924" s="1145"/>
      <c r="G1924" s="1146"/>
      <c r="H1924" s="1147"/>
      <c r="J1924" s="1557"/>
      <c r="K1924" s="1557"/>
      <c r="L1924" s="1557"/>
      <c r="M1924" s="1566"/>
    </row>
    <row r="1925" spans="2:13" s="947" customFormat="1" hidden="1">
      <c r="B1925" s="1348" t="s">
        <v>3966</v>
      </c>
      <c r="C1925" s="1349" t="s">
        <v>2870</v>
      </c>
      <c r="D1925" s="1350"/>
      <c r="E1925" s="1350"/>
      <c r="F1925" s="1351"/>
      <c r="G1925" s="1352"/>
      <c r="H1925" s="1353"/>
      <c r="J1925" s="1557"/>
      <c r="K1925" s="1557"/>
      <c r="L1925" s="1557"/>
      <c r="M1925" s="1566"/>
    </row>
    <row r="1926" spans="2:13" s="948" customFormat="1" ht="24.9" hidden="1" customHeight="1">
      <c r="B1926" s="1783" t="s">
        <v>1003</v>
      </c>
      <c r="C1926" s="1354" t="s">
        <v>1004</v>
      </c>
      <c r="D1926" s="1354" t="s">
        <v>1005</v>
      </c>
      <c r="E1926" s="1354" t="s">
        <v>1006</v>
      </c>
      <c r="F1926" s="1355" t="s">
        <v>1007</v>
      </c>
      <c r="G1926" s="1356" t="s">
        <v>2637</v>
      </c>
      <c r="H1926" s="1357" t="s">
        <v>2638</v>
      </c>
      <c r="J1926" s="1625"/>
      <c r="K1926" s="1625"/>
      <c r="L1926" s="1625"/>
      <c r="M1926" s="1570"/>
    </row>
    <row r="1927" spans="2:13" s="947" customFormat="1" hidden="1">
      <c r="B1927" s="1784" t="s">
        <v>671</v>
      </c>
      <c r="C1927" s="1549" t="s">
        <v>672</v>
      </c>
      <c r="D1927" s="1358"/>
      <c r="E1927" s="1358"/>
      <c r="F1927" s="1359"/>
      <c r="G1927" s="1360"/>
      <c r="H1927" s="1361"/>
      <c r="J1927" s="1557"/>
      <c r="K1927" s="1557"/>
      <c r="L1927" s="1557"/>
      <c r="M1927" s="1566"/>
    </row>
    <row r="1928" spans="2:13" s="947" customFormat="1" hidden="1">
      <c r="B1928" s="1785"/>
      <c r="C1928" s="1362" t="s">
        <v>673</v>
      </c>
      <c r="D1928" s="1358" t="s">
        <v>674</v>
      </c>
      <c r="E1928" s="1358" t="s">
        <v>675</v>
      </c>
      <c r="F1928" s="1359">
        <v>1.2</v>
      </c>
      <c r="G1928" s="1360">
        <f>DUB!$I$10</f>
        <v>150000</v>
      </c>
      <c r="H1928" s="1361">
        <f>G1928*F1928</f>
        <v>180000</v>
      </c>
      <c r="J1928" s="1557"/>
      <c r="K1928" s="1557"/>
      <c r="L1928" s="1557"/>
      <c r="M1928" s="1566"/>
    </row>
    <row r="1929" spans="2:13" s="947" customFormat="1" hidden="1">
      <c r="B1929" s="1785"/>
      <c r="C1929" s="1362" t="s">
        <v>949</v>
      </c>
      <c r="D1929" s="1358" t="s">
        <v>678</v>
      </c>
      <c r="E1929" s="1358" t="s">
        <v>675</v>
      </c>
      <c r="F1929" s="1359">
        <v>1.2</v>
      </c>
      <c r="G1929" s="1360">
        <f>DUB!$I$11</f>
        <v>187000</v>
      </c>
      <c r="H1929" s="1361">
        <f>G1929*F1929</f>
        <v>224400</v>
      </c>
      <c r="J1929" s="1557"/>
      <c r="K1929" s="1557"/>
      <c r="L1929" s="1557"/>
      <c r="M1929" s="1566"/>
    </row>
    <row r="1930" spans="2:13" s="947" customFormat="1" hidden="1">
      <c r="B1930" s="1785"/>
      <c r="C1930" s="1362" t="s">
        <v>751</v>
      </c>
      <c r="D1930" s="1358" t="s">
        <v>681</v>
      </c>
      <c r="E1930" s="1358" t="s">
        <v>675</v>
      </c>
      <c r="F1930" s="1359">
        <v>0.12</v>
      </c>
      <c r="G1930" s="1360">
        <f>DUB!$I$13</f>
        <v>240000</v>
      </c>
      <c r="H1930" s="1361">
        <f>G1930*F1930</f>
        <v>28800</v>
      </c>
      <c r="J1930" s="1557"/>
      <c r="K1930" s="1557"/>
      <c r="L1930" s="1557"/>
      <c r="M1930" s="1566"/>
    </row>
    <row r="1931" spans="2:13" s="947" customFormat="1" hidden="1">
      <c r="B1931" s="1785"/>
      <c r="C1931" s="1362" t="s">
        <v>683</v>
      </c>
      <c r="D1931" s="1358" t="s">
        <v>684</v>
      </c>
      <c r="E1931" s="1358" t="s">
        <v>675</v>
      </c>
      <c r="F1931" s="1359">
        <v>6.0000000000000001E-3</v>
      </c>
      <c r="G1931" s="1360">
        <f>DUB!$I$12</f>
        <v>225000</v>
      </c>
      <c r="H1931" s="1361">
        <f>G1931*F1931</f>
        <v>1350</v>
      </c>
      <c r="J1931" s="1557"/>
      <c r="K1931" s="1557"/>
      <c r="L1931" s="1557"/>
      <c r="M1931" s="1566"/>
    </row>
    <row r="1932" spans="2:13" s="947" customFormat="1" hidden="1">
      <c r="B1932" s="1785"/>
      <c r="C1932" s="1362"/>
      <c r="D1932" s="1358"/>
      <c r="E1932" s="1358"/>
      <c r="F1932" s="2145" t="s">
        <v>685</v>
      </c>
      <c r="G1932" s="2145"/>
      <c r="H1932" s="1361">
        <f>SUM(H1928:H1931)</f>
        <v>434550</v>
      </c>
      <c r="J1932" s="1557"/>
      <c r="K1932" s="1557"/>
      <c r="L1932" s="1557"/>
      <c r="M1932" s="1566"/>
    </row>
    <row r="1933" spans="2:13" s="947" customFormat="1" hidden="1">
      <c r="B1933" s="1784" t="s">
        <v>686</v>
      </c>
      <c r="C1933" s="1549" t="s">
        <v>687</v>
      </c>
      <c r="D1933" s="1358"/>
      <c r="E1933" s="1358"/>
      <c r="F1933" s="1359"/>
      <c r="G1933" s="1360"/>
      <c r="H1933" s="1361"/>
      <c r="J1933" s="1557"/>
      <c r="K1933" s="1557"/>
      <c r="L1933" s="1557"/>
      <c r="M1933" s="1566"/>
    </row>
    <row r="1934" spans="2:13" s="947" customFormat="1" hidden="1">
      <c r="B1934" s="1785"/>
      <c r="C1934" s="1362" t="s">
        <v>960</v>
      </c>
      <c r="D1934" s="1358"/>
      <c r="E1934" s="1358" t="s">
        <v>2647</v>
      </c>
      <c r="F1934" s="1359">
        <v>1</v>
      </c>
      <c r="G1934" s="1360">
        <f>DUB!$I$121</f>
        <v>650700</v>
      </c>
      <c r="H1934" s="1361">
        <f>G1934*F1934</f>
        <v>650700</v>
      </c>
      <c r="J1934" s="1557"/>
      <c r="K1934" s="1557"/>
      <c r="L1934" s="1557"/>
      <c r="M1934" s="1566"/>
    </row>
    <row r="1935" spans="2:13" s="947" customFormat="1" hidden="1">
      <c r="B1935" s="1785"/>
      <c r="C1935" s="1363"/>
      <c r="D1935" s="1364"/>
      <c r="E1935" s="1364"/>
      <c r="F1935" s="2145" t="s">
        <v>702</v>
      </c>
      <c r="G1935" s="2145"/>
      <c r="H1935" s="1361">
        <f>SUM(H1934)</f>
        <v>650700</v>
      </c>
      <c r="J1935" s="1557"/>
      <c r="K1935" s="1557"/>
      <c r="L1935" s="1557"/>
      <c r="M1935" s="1566"/>
    </row>
    <row r="1936" spans="2:13" s="949" customFormat="1" hidden="1">
      <c r="B1936" s="1784" t="s">
        <v>703</v>
      </c>
      <c r="C1936" s="2146" t="s">
        <v>3764</v>
      </c>
      <c r="D1936" s="2146"/>
      <c r="E1936" s="2146"/>
      <c r="F1936" s="2146"/>
      <c r="G1936" s="2146"/>
      <c r="H1936" s="1365">
        <f>H1932+H1935</f>
        <v>1085250</v>
      </c>
      <c r="J1936" s="1559"/>
      <c r="K1936" s="1559"/>
      <c r="L1936" s="1559"/>
      <c r="M1936" s="1635"/>
    </row>
    <row r="1937" spans="2:13" s="949" customFormat="1" hidden="1">
      <c r="B1937" s="1784" t="s">
        <v>706</v>
      </c>
      <c r="C1937" s="2142" t="s">
        <v>876</v>
      </c>
      <c r="D1937" s="2142"/>
      <c r="E1937" s="2142"/>
      <c r="F1937" s="2143" t="s">
        <v>3873</v>
      </c>
      <c r="G1937" s="2143"/>
      <c r="H1937" s="1365">
        <f>H1936*0.15</f>
        <v>162787.5</v>
      </c>
      <c r="J1937" s="1559"/>
      <c r="K1937" s="1559"/>
      <c r="L1937" s="1559"/>
      <c r="M1937" s="1635"/>
    </row>
    <row r="1938" spans="2:13" s="949" customFormat="1" hidden="1">
      <c r="B1938" s="1784" t="s">
        <v>708</v>
      </c>
      <c r="C1938" s="2144" t="s">
        <v>3765</v>
      </c>
      <c r="D1938" s="2144"/>
      <c r="E1938" s="2144"/>
      <c r="F1938" s="2144"/>
      <c r="G1938" s="2144"/>
      <c r="H1938" s="1365">
        <f>ROUND(SUM(H1936:H1937),2)</f>
        <v>1248037.5</v>
      </c>
      <c r="I1938" s="950">
        <f>SUM(H1936:H1937)</f>
        <v>1248037.5</v>
      </c>
      <c r="J1938" s="1561"/>
      <c r="K1938" s="1561"/>
      <c r="L1938" s="1559"/>
      <c r="M1938" s="1635"/>
    </row>
    <row r="1939" spans="2:13" s="947" customFormat="1" hidden="1">
      <c r="B1939" s="1095"/>
      <c r="C1939" s="1096"/>
      <c r="D1939" s="1095"/>
      <c r="E1939" s="1095"/>
      <c r="F1939" s="1172"/>
      <c r="G1939" s="1173"/>
      <c r="H1939" s="1133"/>
      <c r="J1939" s="1557"/>
      <c r="K1939" s="1557"/>
      <c r="L1939" s="1557"/>
      <c r="M1939" s="1566"/>
    </row>
    <row r="1940" spans="2:13" s="947" customFormat="1" hidden="1">
      <c r="B1940" s="1100" t="s">
        <v>3967</v>
      </c>
      <c r="C1940" s="1232" t="s">
        <v>3323</v>
      </c>
      <c r="D1940" s="1095"/>
      <c r="E1940" s="1095"/>
      <c r="F1940" s="1172"/>
      <c r="G1940" s="1173"/>
      <c r="H1940" s="1133"/>
      <c r="J1940" s="1557"/>
      <c r="K1940" s="1557"/>
      <c r="L1940" s="1557"/>
      <c r="M1940" s="1566"/>
    </row>
    <row r="1941" spans="2:13" s="948" customFormat="1" ht="24.9" hidden="1" customHeight="1">
      <c r="B1941" s="1748" t="s">
        <v>1003</v>
      </c>
      <c r="C1941" s="1101" t="s">
        <v>1004</v>
      </c>
      <c r="D1941" s="1101" t="s">
        <v>1005</v>
      </c>
      <c r="E1941" s="1101" t="s">
        <v>1006</v>
      </c>
      <c r="F1941" s="1102" t="s">
        <v>1007</v>
      </c>
      <c r="G1941" s="1109" t="s">
        <v>2637</v>
      </c>
      <c r="H1941" s="1110" t="s">
        <v>2638</v>
      </c>
      <c r="J1941" s="1625"/>
      <c r="K1941" s="1625"/>
      <c r="L1941" s="1625"/>
      <c r="M1941" s="1570"/>
    </row>
    <row r="1942" spans="2:13" s="947" customFormat="1" hidden="1">
      <c r="B1942" s="1543" t="s">
        <v>671</v>
      </c>
      <c r="C1942" s="1329" t="s">
        <v>672</v>
      </c>
      <c r="D1942" s="1331"/>
      <c r="E1942" s="1331"/>
      <c r="F1942" s="1334"/>
      <c r="G1942" s="1104"/>
      <c r="H1942" s="1106"/>
      <c r="J1942" s="1557"/>
      <c r="K1942" s="1557"/>
      <c r="L1942" s="1557"/>
      <c r="M1942" s="1566"/>
    </row>
    <row r="1943" spans="2:13" s="947" customFormat="1" hidden="1">
      <c r="B1943" s="1540"/>
      <c r="C1943" s="1332" t="s">
        <v>673</v>
      </c>
      <c r="D1943" s="1331" t="s">
        <v>674</v>
      </c>
      <c r="E1943" s="1331" t="s">
        <v>675</v>
      </c>
      <c r="F1943" s="1334">
        <v>0.44</v>
      </c>
      <c r="G1943" s="1104">
        <f>DUB!$I$10</f>
        <v>150000</v>
      </c>
      <c r="H1943" s="1106">
        <f>G1943*F1943</f>
        <v>66000</v>
      </c>
      <c r="J1943" s="1557"/>
      <c r="K1943" s="1557"/>
      <c r="L1943" s="1557"/>
      <c r="M1943" s="1566"/>
    </row>
    <row r="1944" spans="2:13" s="947" customFormat="1" hidden="1">
      <c r="B1944" s="1540"/>
      <c r="C1944" s="1332" t="s">
        <v>782</v>
      </c>
      <c r="D1944" s="1331" t="s">
        <v>678</v>
      </c>
      <c r="E1944" s="1331" t="s">
        <v>675</v>
      </c>
      <c r="F1944" s="1334">
        <v>0.44</v>
      </c>
      <c r="G1944" s="1104">
        <f>DUB!$I$11</f>
        <v>187000</v>
      </c>
      <c r="H1944" s="1106">
        <f>G1944*F1944</f>
        <v>82280</v>
      </c>
      <c r="J1944" s="1557"/>
      <c r="K1944" s="1557"/>
      <c r="L1944" s="1557"/>
      <c r="M1944" s="1566"/>
    </row>
    <row r="1945" spans="2:13" s="947" customFormat="1" hidden="1">
      <c r="B1945" s="1540"/>
      <c r="C1945" s="1332" t="s">
        <v>751</v>
      </c>
      <c r="D1945" s="1331" t="s">
        <v>681</v>
      </c>
      <c r="E1945" s="1331" t="s">
        <v>675</v>
      </c>
      <c r="F1945" s="1334">
        <v>4.3999999999999997E-2</v>
      </c>
      <c r="G1945" s="1104">
        <f>DUB!$I$13</f>
        <v>240000</v>
      </c>
      <c r="H1945" s="1106">
        <f>G1945*F1945</f>
        <v>10560</v>
      </c>
      <c r="J1945" s="1557"/>
      <c r="K1945" s="1557"/>
      <c r="L1945" s="1557"/>
      <c r="M1945" s="1566"/>
    </row>
    <row r="1946" spans="2:13" s="947" customFormat="1" hidden="1">
      <c r="B1946" s="1540"/>
      <c r="C1946" s="1332" t="s">
        <v>683</v>
      </c>
      <c r="D1946" s="1331" t="s">
        <v>684</v>
      </c>
      <c r="E1946" s="1331" t="s">
        <v>675</v>
      </c>
      <c r="F1946" s="1334">
        <v>2.1999999999999999E-2</v>
      </c>
      <c r="G1946" s="1104">
        <f>DUB!$I$12</f>
        <v>225000</v>
      </c>
      <c r="H1946" s="1106">
        <f>G1946*F1946</f>
        <v>4950</v>
      </c>
      <c r="J1946" s="1557"/>
      <c r="K1946" s="1557"/>
      <c r="L1946" s="1557"/>
      <c r="M1946" s="1566"/>
    </row>
    <row r="1947" spans="2:13" s="947" customFormat="1" hidden="1">
      <c r="B1947" s="1540"/>
      <c r="C1947" s="1332"/>
      <c r="D1947" s="1331"/>
      <c r="E1947" s="1331"/>
      <c r="F1947" s="2074" t="s">
        <v>685</v>
      </c>
      <c r="G1947" s="2074"/>
      <c r="H1947" s="1106">
        <f>SUM(H1943:H1946)</f>
        <v>163790</v>
      </c>
      <c r="J1947" s="1557"/>
      <c r="K1947" s="1557"/>
      <c r="L1947" s="1557"/>
      <c r="M1947" s="1566"/>
    </row>
    <row r="1948" spans="2:13" s="947" customFormat="1" hidden="1">
      <c r="B1948" s="1543" t="s">
        <v>686</v>
      </c>
      <c r="C1948" s="1329" t="s">
        <v>687</v>
      </c>
      <c r="D1948" s="1331"/>
      <c r="E1948" s="1331"/>
      <c r="F1948" s="1334"/>
      <c r="G1948" s="1104"/>
      <c r="H1948" s="1106"/>
      <c r="J1948" s="1557"/>
      <c r="K1948" s="1557"/>
      <c r="L1948" s="1557"/>
      <c r="M1948" s="1566"/>
    </row>
    <row r="1949" spans="2:13" s="947" customFormat="1" hidden="1">
      <c r="B1949" s="1540"/>
      <c r="C1949" s="1332" t="s">
        <v>964</v>
      </c>
      <c r="D1949" s="1331"/>
      <c r="E1949" s="1331" t="s">
        <v>2647</v>
      </c>
      <c r="F1949" s="1334">
        <v>1</v>
      </c>
      <c r="G1949" s="1104">
        <f>DUB!$I$123</f>
        <v>1124550</v>
      </c>
      <c r="H1949" s="1106">
        <f>G1949*F1949</f>
        <v>1124550</v>
      </c>
      <c r="J1949" s="1557"/>
      <c r="K1949" s="1557"/>
      <c r="L1949" s="1557"/>
      <c r="M1949" s="1566"/>
    </row>
    <row r="1950" spans="2:13" s="947" customFormat="1" hidden="1">
      <c r="B1950" s="1540"/>
      <c r="C1950" s="1125"/>
      <c r="D1950" s="1333"/>
      <c r="E1950" s="1333"/>
      <c r="F1950" s="2074" t="s">
        <v>702</v>
      </c>
      <c r="G1950" s="2074"/>
      <c r="H1950" s="1106">
        <f>SUM(H1949)</f>
        <v>1124550</v>
      </c>
      <c r="J1950" s="1557"/>
      <c r="K1950" s="1557"/>
      <c r="L1950" s="1557"/>
      <c r="M1950" s="1566"/>
    </row>
    <row r="1951" spans="2:13" s="949" customFormat="1" hidden="1">
      <c r="B1951" s="1543" t="s">
        <v>703</v>
      </c>
      <c r="C1951" s="2075" t="s">
        <v>3764</v>
      </c>
      <c r="D1951" s="2075"/>
      <c r="E1951" s="2075"/>
      <c r="F1951" s="2075"/>
      <c r="G1951" s="2075"/>
      <c r="H1951" s="1107">
        <f>H1947+H1950</f>
        <v>1288340</v>
      </c>
      <c r="J1951" s="1559"/>
      <c r="K1951" s="1559"/>
      <c r="L1951" s="1559"/>
      <c r="M1951" s="1635"/>
    </row>
    <row r="1952" spans="2:13" s="949" customFormat="1" hidden="1">
      <c r="B1952" s="1543" t="s">
        <v>706</v>
      </c>
      <c r="C1952" s="2076" t="s">
        <v>876</v>
      </c>
      <c r="D1952" s="2076"/>
      <c r="E1952" s="2076"/>
      <c r="F1952" s="2077" t="s">
        <v>3873</v>
      </c>
      <c r="G1952" s="2077"/>
      <c r="H1952" s="1107">
        <f>H1951*0.15</f>
        <v>193251</v>
      </c>
      <c r="J1952" s="1559"/>
      <c r="K1952" s="1559"/>
      <c r="L1952" s="1559"/>
      <c r="M1952" s="1635"/>
    </row>
    <row r="1953" spans="2:13" s="949" customFormat="1" hidden="1">
      <c r="B1953" s="1543" t="s">
        <v>708</v>
      </c>
      <c r="C1953" s="2078" t="s">
        <v>3765</v>
      </c>
      <c r="D1953" s="2078"/>
      <c r="E1953" s="2078"/>
      <c r="F1953" s="2078"/>
      <c r="G1953" s="2078"/>
      <c r="H1953" s="1107">
        <f>ROUND(SUM(H1951:H1952),2)</f>
        <v>1481591</v>
      </c>
      <c r="I1953" s="950">
        <f>SUM(H1951:H1952)</f>
        <v>1481591</v>
      </c>
      <c r="J1953" s="1561"/>
      <c r="K1953" s="1561"/>
      <c r="L1953" s="1559"/>
      <c r="M1953" s="1635"/>
    </row>
    <row r="1954" spans="2:13" s="947" customFormat="1" hidden="1">
      <c r="B1954" s="1143"/>
      <c r="C1954" s="1144"/>
      <c r="D1954" s="1143"/>
      <c r="E1954" s="1143"/>
      <c r="F1954" s="1145"/>
      <c r="G1954" s="1146"/>
      <c r="H1954" s="1147"/>
      <c r="J1954" s="1557"/>
      <c r="K1954" s="1557"/>
      <c r="L1954" s="1557"/>
      <c r="M1954" s="1566"/>
    </row>
    <row r="1955" spans="2:13" s="947" customFormat="1" hidden="1">
      <c r="B1955" s="1100" t="s">
        <v>3968</v>
      </c>
      <c r="C1955" s="1112" t="s">
        <v>4520</v>
      </c>
      <c r="D1955" s="1129"/>
      <c r="E1955" s="1129"/>
      <c r="F1955" s="1131"/>
      <c r="G1955" s="1132"/>
      <c r="H1955" s="1115"/>
      <c r="J1955" s="1557"/>
      <c r="K1955" s="1557"/>
      <c r="L1955" s="1557"/>
      <c r="M1955" s="1566"/>
    </row>
    <row r="1956" spans="2:13" s="948" customFormat="1" ht="24.9" hidden="1" customHeight="1">
      <c r="B1956" s="1748" t="s">
        <v>1003</v>
      </c>
      <c r="C1956" s="1116" t="s">
        <v>1004</v>
      </c>
      <c r="D1956" s="1101" t="s">
        <v>1005</v>
      </c>
      <c r="E1956" s="1101" t="s">
        <v>1006</v>
      </c>
      <c r="F1956" s="1102" t="s">
        <v>1007</v>
      </c>
      <c r="G1956" s="1109" t="s">
        <v>2637</v>
      </c>
      <c r="H1956" s="1110" t="s">
        <v>2638</v>
      </c>
      <c r="J1956" s="1625"/>
      <c r="K1956" s="1625"/>
      <c r="L1956" s="1625"/>
      <c r="M1956" s="1570"/>
    </row>
    <row r="1957" spans="2:13" s="947" customFormat="1" hidden="1">
      <c r="B1957" s="1543" t="s">
        <v>671</v>
      </c>
      <c r="C1957" s="1117" t="s">
        <v>672</v>
      </c>
      <c r="D1957" s="1331"/>
      <c r="E1957" s="1331"/>
      <c r="F1957" s="1334"/>
      <c r="G1957" s="1104"/>
      <c r="H1957" s="1106"/>
      <c r="J1957" s="1557"/>
      <c r="K1957" s="1557"/>
      <c r="L1957" s="1557"/>
      <c r="M1957" s="1566"/>
    </row>
    <row r="1958" spans="2:13" s="947" customFormat="1" hidden="1">
      <c r="B1958" s="1540"/>
      <c r="C1958" s="1118" t="s">
        <v>673</v>
      </c>
      <c r="D1958" s="1331" t="s">
        <v>674</v>
      </c>
      <c r="E1958" s="1331" t="s">
        <v>675</v>
      </c>
      <c r="F1958" s="1334">
        <v>0.08</v>
      </c>
      <c r="G1958" s="1104">
        <f>DUB!$I$10</f>
        <v>150000</v>
      </c>
      <c r="H1958" s="1106">
        <f>G1958*F1958</f>
        <v>12000</v>
      </c>
      <c r="J1958" s="1557"/>
      <c r="K1958" s="1557"/>
      <c r="L1958" s="1557"/>
      <c r="M1958" s="1566"/>
    </row>
    <row r="1959" spans="2:13" s="947" customFormat="1" hidden="1">
      <c r="B1959" s="1540"/>
      <c r="C1959" s="1118" t="s">
        <v>782</v>
      </c>
      <c r="D1959" s="1331" t="s">
        <v>678</v>
      </c>
      <c r="E1959" s="1331" t="s">
        <v>675</v>
      </c>
      <c r="F1959" s="1334">
        <v>0.8</v>
      </c>
      <c r="G1959" s="1104">
        <f>DUB!$I$11</f>
        <v>187000</v>
      </c>
      <c r="H1959" s="1106">
        <f>G1959*F1959</f>
        <v>149600</v>
      </c>
      <c r="J1959" s="1557"/>
      <c r="K1959" s="1557"/>
      <c r="L1959" s="1557"/>
      <c r="M1959" s="1566"/>
    </row>
    <row r="1960" spans="2:13" s="947" customFormat="1" hidden="1">
      <c r="B1960" s="1540"/>
      <c r="C1960" s="1118" t="s">
        <v>751</v>
      </c>
      <c r="D1960" s="1331" t="s">
        <v>681</v>
      </c>
      <c r="E1960" s="1331" t="s">
        <v>675</v>
      </c>
      <c r="F1960" s="1334">
        <v>0.08</v>
      </c>
      <c r="G1960" s="1104">
        <f>DUB!$I$13</f>
        <v>240000</v>
      </c>
      <c r="H1960" s="1106">
        <f>G1960*F1960</f>
        <v>19200</v>
      </c>
      <c r="J1960" s="1557"/>
      <c r="K1960" s="1557"/>
      <c r="L1960" s="1557"/>
      <c r="M1960" s="1566"/>
    </row>
    <row r="1961" spans="2:13" s="947" customFormat="1" hidden="1">
      <c r="B1961" s="1540"/>
      <c r="C1961" s="1118" t="s">
        <v>683</v>
      </c>
      <c r="D1961" s="1331" t="s">
        <v>684</v>
      </c>
      <c r="E1961" s="1331" t="s">
        <v>675</v>
      </c>
      <c r="F1961" s="1334">
        <v>4.0000000000000001E-3</v>
      </c>
      <c r="G1961" s="1104">
        <f>DUB!$I$12</f>
        <v>225000</v>
      </c>
      <c r="H1961" s="1106">
        <f>G1961*F1961</f>
        <v>900</v>
      </c>
      <c r="J1961" s="1557"/>
      <c r="K1961" s="1557"/>
      <c r="L1961" s="1557"/>
      <c r="M1961" s="1566"/>
    </row>
    <row r="1962" spans="2:13" s="947" customFormat="1" hidden="1">
      <c r="B1962" s="1540"/>
      <c r="C1962" s="1118"/>
      <c r="D1962" s="1331"/>
      <c r="E1962" s="1331"/>
      <c r="F1962" s="2080" t="s">
        <v>685</v>
      </c>
      <c r="G1962" s="2081"/>
      <c r="H1962" s="1106">
        <f>SUM(H1958:H1961)</f>
        <v>181700</v>
      </c>
      <c r="J1962" s="1557"/>
      <c r="K1962" s="1557"/>
      <c r="L1962" s="1557"/>
      <c r="M1962" s="1566"/>
    </row>
    <row r="1963" spans="2:13" s="947" customFormat="1" hidden="1">
      <c r="B1963" s="1543" t="s">
        <v>686</v>
      </c>
      <c r="C1963" s="1117" t="s">
        <v>687</v>
      </c>
      <c r="D1963" s="1331"/>
      <c r="E1963" s="1331"/>
      <c r="F1963" s="1334"/>
      <c r="G1963" s="1104"/>
      <c r="H1963" s="1106"/>
      <c r="J1963" s="1557"/>
      <c r="K1963" s="1557"/>
      <c r="L1963" s="1557"/>
      <c r="M1963" s="1566"/>
    </row>
    <row r="1964" spans="2:13" s="947" customFormat="1" hidden="1">
      <c r="B1964" s="1540"/>
      <c r="C1964" s="1119" t="s">
        <v>3324</v>
      </c>
      <c r="D1964" s="1331"/>
      <c r="E1964" s="1331" t="s">
        <v>2647</v>
      </c>
      <c r="F1964" s="1334">
        <v>1</v>
      </c>
      <c r="G1964" s="1104">
        <f>DUB!$I$157</f>
        <v>374850</v>
      </c>
      <c r="H1964" s="1106">
        <f>G1964*F1964</f>
        <v>374850</v>
      </c>
      <c r="J1964" s="1557"/>
      <c r="K1964" s="1557"/>
      <c r="L1964" s="1557"/>
      <c r="M1964" s="1566"/>
    </row>
    <row r="1965" spans="2:13" s="947" customFormat="1" hidden="1">
      <c r="B1965" s="1540"/>
      <c r="C1965" s="1118"/>
      <c r="D1965" s="1331"/>
      <c r="E1965" s="1331"/>
      <c r="F1965" s="2080" t="s">
        <v>702</v>
      </c>
      <c r="G1965" s="2081"/>
      <c r="H1965" s="1106">
        <f>SUM(H1964)</f>
        <v>374850</v>
      </c>
      <c r="J1965" s="1557"/>
      <c r="K1965" s="1557"/>
      <c r="L1965" s="1557"/>
      <c r="M1965" s="1566"/>
    </row>
    <row r="1966" spans="2:13" s="949" customFormat="1" hidden="1">
      <c r="B1966" s="1543" t="s">
        <v>703</v>
      </c>
      <c r="C1966" s="1117" t="s">
        <v>3764</v>
      </c>
      <c r="D1966" s="1120"/>
      <c r="E1966" s="1120"/>
      <c r="F1966" s="1121"/>
      <c r="G1966" s="1141"/>
      <c r="H1966" s="1107">
        <f>H1962+H1965</f>
        <v>556550</v>
      </c>
      <c r="J1966" s="1559"/>
      <c r="K1966" s="1559"/>
      <c r="L1966" s="1559"/>
      <c r="M1966" s="1635"/>
    </row>
    <row r="1967" spans="2:13" s="949" customFormat="1" hidden="1">
      <c r="B1967" s="1543" t="s">
        <v>706</v>
      </c>
      <c r="C1967" s="1123" t="s">
        <v>876</v>
      </c>
      <c r="D1967" s="1124"/>
      <c r="E1967" s="1154"/>
      <c r="F1967" s="1545" t="s">
        <v>3873</v>
      </c>
      <c r="G1967" s="1141"/>
      <c r="H1967" s="1107">
        <f>H1966*0.15</f>
        <v>83482.5</v>
      </c>
      <c r="J1967" s="1559"/>
      <c r="K1967" s="1559"/>
      <c r="L1967" s="1559"/>
      <c r="M1967" s="1635"/>
    </row>
    <row r="1968" spans="2:13" s="949" customFormat="1" hidden="1">
      <c r="B1968" s="1543" t="s">
        <v>708</v>
      </c>
      <c r="C1968" s="1117" t="s">
        <v>3765</v>
      </c>
      <c r="D1968" s="1120"/>
      <c r="E1968" s="1120"/>
      <c r="F1968" s="1121"/>
      <c r="G1968" s="1141"/>
      <c r="H1968" s="1107">
        <f>ROUND(SUM(H1966:H1967),2)</f>
        <v>640032.5</v>
      </c>
      <c r="I1968" s="950">
        <f>SUM(H1966:H1967)</f>
        <v>640032.5</v>
      </c>
      <c r="J1968" s="1561"/>
      <c r="K1968" s="1561"/>
      <c r="L1968" s="1559"/>
      <c r="M1968" s="1635"/>
    </row>
    <row r="1969" spans="2:13" s="947" customFormat="1" hidden="1">
      <c r="B1969" s="1095"/>
      <c r="C1969" s="1096"/>
      <c r="D1969" s="1095"/>
      <c r="E1969" s="1095"/>
      <c r="F1969" s="1172"/>
      <c r="G1969" s="1173"/>
      <c r="H1969" s="1133"/>
      <c r="J1969" s="1557"/>
      <c r="K1969" s="1557"/>
      <c r="L1969" s="1557"/>
      <c r="M1969" s="1566"/>
    </row>
    <row r="1970" spans="2:13" s="947" customFormat="1" hidden="1">
      <c r="B1970" s="1100" t="s">
        <v>3969</v>
      </c>
      <c r="C1970" s="1232" t="s">
        <v>2871</v>
      </c>
      <c r="D1970" s="1095"/>
      <c r="E1970" s="1095"/>
      <c r="F1970" s="1172"/>
      <c r="G1970" s="1173"/>
      <c r="H1970" s="1133"/>
      <c r="J1970" s="1557"/>
      <c r="K1970" s="1557"/>
      <c r="L1970" s="1557"/>
      <c r="M1970" s="1566"/>
    </row>
    <row r="1971" spans="2:13" s="948" customFormat="1" ht="24.9" hidden="1" customHeight="1">
      <c r="B1971" s="1748" t="s">
        <v>1003</v>
      </c>
      <c r="C1971" s="1101" t="s">
        <v>1004</v>
      </c>
      <c r="D1971" s="1101" t="s">
        <v>1005</v>
      </c>
      <c r="E1971" s="1101" t="s">
        <v>1006</v>
      </c>
      <c r="F1971" s="1102" t="s">
        <v>1007</v>
      </c>
      <c r="G1971" s="1109" t="s">
        <v>2637</v>
      </c>
      <c r="H1971" s="1110" t="s">
        <v>2638</v>
      </c>
      <c r="J1971" s="1625"/>
      <c r="K1971" s="1625"/>
      <c r="L1971" s="1625"/>
      <c r="M1971" s="1570"/>
    </row>
    <row r="1972" spans="2:13" s="947" customFormat="1" hidden="1">
      <c r="B1972" s="1543" t="s">
        <v>671</v>
      </c>
      <c r="C1972" s="1329" t="s">
        <v>672</v>
      </c>
      <c r="D1972" s="1331"/>
      <c r="E1972" s="1331"/>
      <c r="F1972" s="1334"/>
      <c r="G1972" s="1104"/>
      <c r="H1972" s="1106"/>
      <c r="J1972" s="1557"/>
      <c r="K1972" s="1557"/>
      <c r="L1972" s="1557"/>
      <c r="M1972" s="1566"/>
    </row>
    <row r="1973" spans="2:13" s="947" customFormat="1" hidden="1">
      <c r="B1973" s="1540"/>
      <c r="C1973" s="1332" t="s">
        <v>673</v>
      </c>
      <c r="D1973" s="1331" t="s">
        <v>674</v>
      </c>
      <c r="E1973" s="1331" t="s">
        <v>675</v>
      </c>
      <c r="F1973" s="1334">
        <v>1</v>
      </c>
      <c r="G1973" s="1104">
        <f>DUB!$I$10</f>
        <v>150000</v>
      </c>
      <c r="H1973" s="1106">
        <f>G1973*F1973</f>
        <v>150000</v>
      </c>
      <c r="J1973" s="1557"/>
      <c r="K1973" s="1557"/>
      <c r="L1973" s="1557"/>
      <c r="M1973" s="1566"/>
    </row>
    <row r="1974" spans="2:13" s="947" customFormat="1" hidden="1">
      <c r="B1974" s="1540"/>
      <c r="C1974" s="1126" t="s">
        <v>3331</v>
      </c>
      <c r="D1974" s="1331" t="s">
        <v>678</v>
      </c>
      <c r="E1974" s="1187" t="s">
        <v>675</v>
      </c>
      <c r="F1974" s="1334">
        <v>1</v>
      </c>
      <c r="G1974" s="1104">
        <f>DUB!$I$13</f>
        <v>240000</v>
      </c>
      <c r="H1974" s="1106">
        <f>G1974*F1974</f>
        <v>240000</v>
      </c>
      <c r="J1974" s="1557"/>
      <c r="K1974" s="1557"/>
      <c r="L1974" s="1557"/>
      <c r="M1974" s="1566"/>
    </row>
    <row r="1975" spans="2:13" s="947" customFormat="1" hidden="1">
      <c r="B1975" s="1540"/>
      <c r="C1975" s="1332" t="s">
        <v>751</v>
      </c>
      <c r="D1975" s="1331" t="s">
        <v>681</v>
      </c>
      <c r="E1975" s="1331" t="s">
        <v>675</v>
      </c>
      <c r="F1975" s="1334">
        <v>0.1</v>
      </c>
      <c r="G1975" s="1104">
        <f>DUB!$I$13</f>
        <v>240000</v>
      </c>
      <c r="H1975" s="1106">
        <f>G1975*F1975</f>
        <v>24000</v>
      </c>
      <c r="J1975" s="1557"/>
      <c r="K1975" s="1557"/>
      <c r="L1975" s="1557"/>
      <c r="M1975" s="1566"/>
    </row>
    <row r="1976" spans="2:13" s="947" customFormat="1" hidden="1">
      <c r="B1976" s="1540"/>
      <c r="C1976" s="1332" t="s">
        <v>683</v>
      </c>
      <c r="D1976" s="1331" t="s">
        <v>684</v>
      </c>
      <c r="E1976" s="1331" t="s">
        <v>675</v>
      </c>
      <c r="F1976" s="1334">
        <v>0.05</v>
      </c>
      <c r="G1976" s="1104">
        <f>DUB!$I$12</f>
        <v>225000</v>
      </c>
      <c r="H1976" s="1106">
        <f>G1976*F1976</f>
        <v>11250</v>
      </c>
      <c r="J1976" s="1557"/>
      <c r="K1976" s="1557"/>
      <c r="L1976" s="1557"/>
      <c r="M1976" s="1566"/>
    </row>
    <row r="1977" spans="2:13" s="947" customFormat="1" hidden="1">
      <c r="B1977" s="1540"/>
      <c r="C1977" s="1332"/>
      <c r="D1977" s="1331"/>
      <c r="E1977" s="1331"/>
      <c r="F1977" s="2074" t="s">
        <v>685</v>
      </c>
      <c r="G1977" s="2074"/>
      <c r="H1977" s="1106">
        <f>SUM(H1973:H1976)</f>
        <v>425250</v>
      </c>
      <c r="J1977" s="1557"/>
      <c r="K1977" s="1557"/>
      <c r="L1977" s="1557"/>
      <c r="M1977" s="1566"/>
    </row>
    <row r="1978" spans="2:13" s="947" customFormat="1" hidden="1">
      <c r="B1978" s="1543" t="s">
        <v>686</v>
      </c>
      <c r="C1978" s="1329" t="s">
        <v>687</v>
      </c>
      <c r="D1978" s="1331"/>
      <c r="E1978" s="1331"/>
      <c r="F1978" s="1334"/>
      <c r="G1978" s="1104"/>
      <c r="H1978" s="1106"/>
      <c r="J1978" s="1557"/>
      <c r="K1978" s="1557"/>
      <c r="L1978" s="1557"/>
      <c r="M1978" s="1566"/>
    </row>
    <row r="1979" spans="2:13" s="947" customFormat="1" hidden="1">
      <c r="B1979" s="1540"/>
      <c r="C1979" s="1126" t="s">
        <v>3326</v>
      </c>
      <c r="D1979" s="1331"/>
      <c r="E1979" s="1331" t="s">
        <v>2647</v>
      </c>
      <c r="F1979" s="1334">
        <v>1</v>
      </c>
      <c r="G1979" s="1104">
        <f>DUB!$I$121</f>
        <v>650700</v>
      </c>
      <c r="H1979" s="1106">
        <f>G1979*F1979</f>
        <v>650700</v>
      </c>
      <c r="J1979" s="1557"/>
      <c r="K1979" s="1557"/>
      <c r="L1979" s="1557"/>
      <c r="M1979" s="1566"/>
    </row>
    <row r="1980" spans="2:13" s="947" customFormat="1" hidden="1">
      <c r="B1980" s="1540"/>
      <c r="C1980" s="1125"/>
      <c r="D1980" s="1333"/>
      <c r="E1980" s="1333"/>
      <c r="F1980" s="2074" t="s">
        <v>702</v>
      </c>
      <c r="G1980" s="2074"/>
      <c r="H1980" s="1106">
        <f>SUM(H1979)</f>
        <v>650700</v>
      </c>
      <c r="J1980" s="1557"/>
      <c r="K1980" s="1557"/>
      <c r="L1980" s="1557"/>
      <c r="M1980" s="1566"/>
    </row>
    <row r="1981" spans="2:13" s="949" customFormat="1" hidden="1">
      <c r="B1981" s="1543" t="s">
        <v>703</v>
      </c>
      <c r="C1981" s="2075" t="s">
        <v>3764</v>
      </c>
      <c r="D1981" s="2075"/>
      <c r="E1981" s="2075"/>
      <c r="F1981" s="2075"/>
      <c r="G1981" s="2075"/>
      <c r="H1981" s="1107">
        <f>H1977+H1980</f>
        <v>1075950</v>
      </c>
      <c r="J1981" s="1559"/>
      <c r="K1981" s="1559"/>
      <c r="L1981" s="1559"/>
      <c r="M1981" s="1635"/>
    </row>
    <row r="1982" spans="2:13" s="949" customFormat="1" hidden="1">
      <c r="B1982" s="1543" t="s">
        <v>706</v>
      </c>
      <c r="C1982" s="2076" t="s">
        <v>876</v>
      </c>
      <c r="D1982" s="2076"/>
      <c r="E1982" s="2076"/>
      <c r="F1982" s="2077" t="s">
        <v>3873</v>
      </c>
      <c r="G1982" s="2077"/>
      <c r="H1982" s="1107">
        <f>H1981*0.15</f>
        <v>161392.5</v>
      </c>
      <c r="J1982" s="1559"/>
      <c r="K1982" s="1559"/>
      <c r="L1982" s="1559"/>
      <c r="M1982" s="1635"/>
    </row>
    <row r="1983" spans="2:13" s="949" customFormat="1" hidden="1">
      <c r="B1983" s="1543" t="s">
        <v>708</v>
      </c>
      <c r="C1983" s="2078" t="s">
        <v>3765</v>
      </c>
      <c r="D1983" s="2078"/>
      <c r="E1983" s="2078"/>
      <c r="F1983" s="2078"/>
      <c r="G1983" s="2078"/>
      <c r="H1983" s="1107">
        <f>ROUND(SUM(H1981:H1982),2)</f>
        <v>1237342.5</v>
      </c>
      <c r="I1983" s="950">
        <f>SUM(H1981:H1982)</f>
        <v>1237342.5</v>
      </c>
      <c r="J1983" s="1561"/>
      <c r="K1983" s="1561"/>
      <c r="L1983" s="1559"/>
      <c r="M1983" s="1635"/>
    </row>
    <row r="1984" spans="2:13" s="947" customFormat="1" hidden="1">
      <c r="B1984" s="1143"/>
      <c r="C1984" s="1144"/>
      <c r="D1984" s="1143"/>
      <c r="E1984" s="1143"/>
      <c r="F1984" s="1145"/>
      <c r="G1984" s="1146"/>
      <c r="H1984" s="1147"/>
      <c r="J1984" s="1557"/>
      <c r="K1984" s="1557"/>
      <c r="L1984" s="1557"/>
      <c r="M1984" s="1566"/>
    </row>
    <row r="1985" spans="2:13" s="947" customFormat="1" hidden="1">
      <c r="B1985" s="1100" t="s">
        <v>3970</v>
      </c>
      <c r="C1985" s="1112" t="s">
        <v>3853</v>
      </c>
      <c r="D1985" s="1129"/>
      <c r="E1985" s="1129"/>
      <c r="F1985" s="1131"/>
      <c r="G1985" s="1132"/>
      <c r="H1985" s="1115"/>
      <c r="J1985" s="1557"/>
      <c r="K1985" s="1557"/>
      <c r="L1985" s="1557"/>
      <c r="M1985" s="1566"/>
    </row>
    <row r="1986" spans="2:13" s="948" customFormat="1" ht="24.9" hidden="1" customHeight="1">
      <c r="B1986" s="1748" t="s">
        <v>1003</v>
      </c>
      <c r="C1986" s="1101" t="s">
        <v>1004</v>
      </c>
      <c r="D1986" s="1101" t="s">
        <v>1005</v>
      </c>
      <c r="E1986" s="1101" t="s">
        <v>1006</v>
      </c>
      <c r="F1986" s="1102" t="s">
        <v>1007</v>
      </c>
      <c r="G1986" s="1109" t="s">
        <v>2637</v>
      </c>
      <c r="H1986" s="1110" t="s">
        <v>2638</v>
      </c>
      <c r="J1986" s="1625"/>
      <c r="K1986" s="1625"/>
      <c r="L1986" s="1625"/>
      <c r="M1986" s="1570"/>
    </row>
    <row r="1987" spans="2:13" s="947" customFormat="1" hidden="1">
      <c r="B1987" s="1543" t="s">
        <v>671</v>
      </c>
      <c r="C1987" s="1329" t="s">
        <v>672</v>
      </c>
      <c r="D1987" s="1331"/>
      <c r="E1987" s="1331"/>
      <c r="F1987" s="1334"/>
      <c r="G1987" s="1104"/>
      <c r="H1987" s="1106"/>
      <c r="J1987" s="1557"/>
      <c r="K1987" s="1557"/>
      <c r="L1987" s="1557"/>
      <c r="M1987" s="1566"/>
    </row>
    <row r="1988" spans="2:13" s="947" customFormat="1" hidden="1">
      <c r="B1988" s="1540"/>
      <c r="C1988" s="1332" t="s">
        <v>673</v>
      </c>
      <c r="D1988" s="1331" t="s">
        <v>674</v>
      </c>
      <c r="E1988" s="1331" t="s">
        <v>675</v>
      </c>
      <c r="F1988" s="1334">
        <v>4.2999999999999997E-2</v>
      </c>
      <c r="G1988" s="1104">
        <f>DUB!$I$10</f>
        <v>150000</v>
      </c>
      <c r="H1988" s="1106">
        <f>G1988*F1988</f>
        <v>6449.9999999999991</v>
      </c>
      <c r="J1988" s="1557"/>
      <c r="K1988" s="1557"/>
      <c r="L1988" s="1557"/>
      <c r="M1988" s="1566"/>
    </row>
    <row r="1989" spans="2:13" s="947" customFormat="1" hidden="1">
      <c r="B1989" s="1540"/>
      <c r="C1989" s="1126" t="s">
        <v>3331</v>
      </c>
      <c r="D1989" s="1331" t="s">
        <v>678</v>
      </c>
      <c r="E1989" s="1187" t="s">
        <v>675</v>
      </c>
      <c r="F1989" s="1334">
        <v>4.2999999999999997E-2</v>
      </c>
      <c r="G1989" s="1104">
        <f>DUB!$I$13</f>
        <v>240000</v>
      </c>
      <c r="H1989" s="1106">
        <f>G1989*F1989</f>
        <v>10320</v>
      </c>
      <c r="J1989" s="1557"/>
      <c r="K1989" s="1557"/>
      <c r="L1989" s="1557"/>
      <c r="M1989" s="1566"/>
    </row>
    <row r="1990" spans="2:13" s="947" customFormat="1" hidden="1">
      <c r="B1990" s="1540"/>
      <c r="C1990" s="1332" t="s">
        <v>751</v>
      </c>
      <c r="D1990" s="1331" t="s">
        <v>681</v>
      </c>
      <c r="E1990" s="1331" t="s">
        <v>675</v>
      </c>
      <c r="F1990" s="1334">
        <v>4.3E-3</v>
      </c>
      <c r="G1990" s="1104">
        <f>DUB!$I$13</f>
        <v>240000</v>
      </c>
      <c r="H1990" s="1106">
        <f>G1990*F1990</f>
        <v>1032</v>
      </c>
      <c r="J1990" s="1557"/>
      <c r="K1990" s="1557"/>
      <c r="L1990" s="1557"/>
      <c r="M1990" s="1566"/>
    </row>
    <row r="1991" spans="2:13" s="947" customFormat="1" hidden="1">
      <c r="B1991" s="1540"/>
      <c r="C1991" s="1332" t="s">
        <v>683</v>
      </c>
      <c r="D1991" s="1331" t="s">
        <v>684</v>
      </c>
      <c r="E1991" s="1331" t="s">
        <v>675</v>
      </c>
      <c r="F1991" s="1334">
        <v>2.0999999999999999E-3</v>
      </c>
      <c r="G1991" s="1104">
        <f>DUB!$I$12</f>
        <v>225000</v>
      </c>
      <c r="H1991" s="1106">
        <f>G1991*F1991</f>
        <v>472.49999999999994</v>
      </c>
      <c r="J1991" s="1557"/>
      <c r="K1991" s="1557"/>
      <c r="L1991" s="1557"/>
      <c r="M1991" s="1566"/>
    </row>
    <row r="1992" spans="2:13" s="947" customFormat="1" hidden="1">
      <c r="B1992" s="1540"/>
      <c r="C1992" s="1332"/>
      <c r="D1992" s="1331"/>
      <c r="E1992" s="1331"/>
      <c r="F1992" s="2074" t="s">
        <v>685</v>
      </c>
      <c r="G1992" s="2074"/>
      <c r="H1992" s="1106">
        <f>SUM(H1988:H1991)</f>
        <v>18274.5</v>
      </c>
      <c r="J1992" s="1557"/>
      <c r="K1992" s="1557"/>
      <c r="L1992" s="1557"/>
      <c r="M1992" s="1566"/>
    </row>
    <row r="1993" spans="2:13" s="947" customFormat="1" hidden="1">
      <c r="B1993" s="1543" t="s">
        <v>686</v>
      </c>
      <c r="C1993" s="1329" t="s">
        <v>687</v>
      </c>
      <c r="D1993" s="1331"/>
      <c r="E1993" s="1331"/>
      <c r="F1993" s="1334"/>
      <c r="G1993" s="1104"/>
      <c r="H1993" s="1106"/>
      <c r="J1993" s="1557"/>
      <c r="K1993" s="1557"/>
      <c r="L1993" s="1557"/>
      <c r="M1993" s="1566"/>
    </row>
    <row r="1994" spans="2:13" s="947" customFormat="1" hidden="1">
      <c r="B1994" s="1540"/>
      <c r="C1994" s="1332" t="s">
        <v>969</v>
      </c>
      <c r="D1994" s="1331"/>
      <c r="E1994" s="1331" t="s">
        <v>853</v>
      </c>
      <c r="F1994" s="1334">
        <v>1.1000000000000001</v>
      </c>
      <c r="G1994" s="1104">
        <f>DUB!$I$139</f>
        <v>117810</v>
      </c>
      <c r="H1994" s="1106">
        <f>G1994*F1994</f>
        <v>129591.00000000001</v>
      </c>
      <c r="J1994" s="1557"/>
      <c r="K1994" s="1557"/>
      <c r="L1994" s="1557"/>
      <c r="M1994" s="1566"/>
    </row>
    <row r="1995" spans="2:13" s="947" customFormat="1" hidden="1">
      <c r="B1995" s="1540"/>
      <c r="C1995" s="1332" t="s">
        <v>970</v>
      </c>
      <c r="D1995" s="1331"/>
      <c r="E1995" s="1331" t="s">
        <v>971</v>
      </c>
      <c r="F1995" s="1334">
        <v>2</v>
      </c>
      <c r="G1995" s="1104">
        <f>DUB!$I$135</f>
        <v>1071</v>
      </c>
      <c r="H1995" s="1106">
        <f>G1995*F1995</f>
        <v>2142</v>
      </c>
      <c r="J1995" s="1557"/>
      <c r="K1995" s="1557"/>
      <c r="L1995" s="1557"/>
      <c r="M1995" s="1566"/>
    </row>
    <row r="1996" spans="2:13" s="947" customFormat="1" hidden="1">
      <c r="B1996" s="1540"/>
      <c r="C1996" s="1332" t="s">
        <v>972</v>
      </c>
      <c r="D1996" s="1331"/>
      <c r="E1996" s="1331" t="s">
        <v>973</v>
      </c>
      <c r="F1996" s="1334">
        <v>0.06</v>
      </c>
      <c r="G1996" s="1104">
        <f>DUB!$I$147</f>
        <v>10710</v>
      </c>
      <c r="H1996" s="1106">
        <f>G1996*F1996</f>
        <v>642.6</v>
      </c>
      <c r="J1996" s="1557"/>
      <c r="K1996" s="1557"/>
      <c r="L1996" s="1557"/>
      <c r="M1996" s="1566"/>
    </row>
    <row r="1997" spans="2:13" s="947" customFormat="1" hidden="1">
      <c r="B1997" s="1540"/>
      <c r="C1997" s="1125"/>
      <c r="D1997" s="1333"/>
      <c r="E1997" s="1333"/>
      <c r="F1997" s="2074" t="s">
        <v>702</v>
      </c>
      <c r="G1997" s="2074"/>
      <c r="H1997" s="1106">
        <f>SUM(H1994:H1996)</f>
        <v>132375.6</v>
      </c>
      <c r="J1997" s="1557"/>
      <c r="K1997" s="1557"/>
      <c r="L1997" s="1557"/>
      <c r="M1997" s="1566"/>
    </row>
    <row r="1998" spans="2:13" s="949" customFormat="1" hidden="1">
      <c r="B1998" s="1543" t="s">
        <v>703</v>
      </c>
      <c r="C1998" s="2075" t="s">
        <v>3764</v>
      </c>
      <c r="D1998" s="2075"/>
      <c r="E1998" s="2075"/>
      <c r="F1998" s="2075"/>
      <c r="G1998" s="2075"/>
      <c r="H1998" s="1107">
        <f>H1992+H1997</f>
        <v>150650.1</v>
      </c>
      <c r="J1998" s="1559"/>
      <c r="K1998" s="1559"/>
      <c r="L1998" s="1559"/>
      <c r="M1998" s="1635"/>
    </row>
    <row r="1999" spans="2:13" s="949" customFormat="1" hidden="1">
      <c r="B1999" s="1543" t="s">
        <v>706</v>
      </c>
      <c r="C1999" s="2076" t="s">
        <v>876</v>
      </c>
      <c r="D1999" s="2076"/>
      <c r="E1999" s="2076"/>
      <c r="F1999" s="2077" t="s">
        <v>3873</v>
      </c>
      <c r="G1999" s="2077"/>
      <c r="H1999" s="1107">
        <f>H1998*0.15</f>
        <v>22597.514999999999</v>
      </c>
      <c r="J1999" s="1559"/>
      <c r="K1999" s="1559"/>
      <c r="L1999" s="1559"/>
      <c r="M1999" s="1635"/>
    </row>
    <row r="2000" spans="2:13" s="949" customFormat="1" hidden="1">
      <c r="B2000" s="1543" t="s">
        <v>708</v>
      </c>
      <c r="C2000" s="2078" t="s">
        <v>3765</v>
      </c>
      <c r="D2000" s="2078"/>
      <c r="E2000" s="2078"/>
      <c r="F2000" s="2078"/>
      <c r="G2000" s="2078"/>
      <c r="H2000" s="1107">
        <f>ROUND(SUM(H1998:H1999),2)</f>
        <v>173247.62</v>
      </c>
      <c r="I2000" s="950">
        <f>SUM(H1998:H1999)</f>
        <v>173247.61499999999</v>
      </c>
      <c r="J2000" s="1561"/>
      <c r="K2000" s="1561"/>
      <c r="L2000" s="1559"/>
      <c r="M2000" s="1635"/>
    </row>
    <row r="2001" spans="2:13" s="947" customFormat="1" hidden="1">
      <c r="B2001" s="1095"/>
      <c r="C2001" s="1096"/>
      <c r="D2001" s="1095"/>
      <c r="E2001" s="1095"/>
      <c r="F2001" s="1172"/>
      <c r="G2001" s="1173"/>
      <c r="H2001" s="1133"/>
      <c r="J2001" s="1557"/>
      <c r="K2001" s="1557"/>
      <c r="L2001" s="1557"/>
      <c r="M2001" s="1566"/>
    </row>
    <row r="2002" spans="2:13" s="947" customFormat="1" hidden="1">
      <c r="B2002" s="1100" t="s">
        <v>3971</v>
      </c>
      <c r="C2002" s="1112" t="s">
        <v>3854</v>
      </c>
      <c r="D2002" s="1129"/>
      <c r="E2002" s="1129"/>
      <c r="F2002" s="1131"/>
      <c r="G2002" s="1132"/>
      <c r="H2002" s="1115"/>
      <c r="J2002" s="1557"/>
      <c r="K2002" s="1557"/>
      <c r="L2002" s="1557"/>
      <c r="M2002" s="1566"/>
    </row>
    <row r="2003" spans="2:13" s="948" customFormat="1" ht="24.9" hidden="1" customHeight="1">
      <c r="B2003" s="1748" t="s">
        <v>1003</v>
      </c>
      <c r="C2003" s="1101" t="s">
        <v>1004</v>
      </c>
      <c r="D2003" s="1101" t="s">
        <v>1005</v>
      </c>
      <c r="E2003" s="1101" t="s">
        <v>1006</v>
      </c>
      <c r="F2003" s="1102" t="s">
        <v>1007</v>
      </c>
      <c r="G2003" s="1109" t="s">
        <v>2637</v>
      </c>
      <c r="H2003" s="1110" t="s">
        <v>2638</v>
      </c>
      <c r="J2003" s="1625"/>
      <c r="K2003" s="1625"/>
      <c r="L2003" s="1625"/>
      <c r="M2003" s="1570"/>
    </row>
    <row r="2004" spans="2:13" s="947" customFormat="1" hidden="1">
      <c r="B2004" s="1543" t="s">
        <v>671</v>
      </c>
      <c r="C2004" s="1329" t="s">
        <v>672</v>
      </c>
      <c r="D2004" s="1331"/>
      <c r="E2004" s="1331"/>
      <c r="F2004" s="1334"/>
      <c r="G2004" s="1104"/>
      <c r="H2004" s="1106"/>
      <c r="J2004" s="1557"/>
      <c r="K2004" s="1557"/>
      <c r="L2004" s="1557"/>
      <c r="M2004" s="1566"/>
    </row>
    <row r="2005" spans="2:13" s="947" customFormat="1" hidden="1">
      <c r="B2005" s="1540"/>
      <c r="C2005" s="1332" t="s">
        <v>673</v>
      </c>
      <c r="D2005" s="1331" t="s">
        <v>674</v>
      </c>
      <c r="E2005" s="1331" t="s">
        <v>675</v>
      </c>
      <c r="F2005" s="1334">
        <v>4.2999999999999997E-2</v>
      </c>
      <c r="G2005" s="1104">
        <f>DUB!$I$10</f>
        <v>150000</v>
      </c>
      <c r="H2005" s="1106">
        <f>G2005*F2005</f>
        <v>6449.9999999999991</v>
      </c>
      <c r="J2005" s="1557"/>
      <c r="K2005" s="1557"/>
      <c r="L2005" s="1557"/>
      <c r="M2005" s="1566"/>
    </row>
    <row r="2006" spans="2:13" s="947" customFormat="1" hidden="1">
      <c r="B2006" s="1540"/>
      <c r="C2006" s="1126" t="s">
        <v>3331</v>
      </c>
      <c r="D2006" s="1331" t="s">
        <v>678</v>
      </c>
      <c r="E2006" s="1187" t="s">
        <v>675</v>
      </c>
      <c r="F2006" s="1334">
        <v>4.2999999999999997E-2</v>
      </c>
      <c r="G2006" s="1104">
        <f>DUB!$I$13</f>
        <v>240000</v>
      </c>
      <c r="H2006" s="1106">
        <f>G2006*F2006</f>
        <v>10320</v>
      </c>
      <c r="J2006" s="1557"/>
      <c r="K2006" s="1557"/>
      <c r="L2006" s="1557"/>
      <c r="M2006" s="1566"/>
    </row>
    <row r="2007" spans="2:13" s="947" customFormat="1" hidden="1">
      <c r="B2007" s="1540"/>
      <c r="C2007" s="1332" t="s">
        <v>751</v>
      </c>
      <c r="D2007" s="1331" t="s">
        <v>681</v>
      </c>
      <c r="E2007" s="1331" t="s">
        <v>675</v>
      </c>
      <c r="F2007" s="1334">
        <v>4.3E-3</v>
      </c>
      <c r="G2007" s="1104">
        <f>DUB!$I$13</f>
        <v>240000</v>
      </c>
      <c r="H2007" s="1106">
        <f>G2007*F2007</f>
        <v>1032</v>
      </c>
      <c r="J2007" s="1557"/>
      <c r="K2007" s="1557"/>
      <c r="L2007" s="1557"/>
      <c r="M2007" s="1566"/>
    </row>
    <row r="2008" spans="2:13" s="947" customFormat="1" hidden="1">
      <c r="B2008" s="1540"/>
      <c r="C2008" s="1332" t="s">
        <v>683</v>
      </c>
      <c r="D2008" s="1331" t="s">
        <v>684</v>
      </c>
      <c r="E2008" s="1331" t="s">
        <v>675</v>
      </c>
      <c r="F2008" s="1334">
        <v>2.0999999999999999E-3</v>
      </c>
      <c r="G2008" s="1104">
        <f>DUB!$I$12</f>
        <v>225000</v>
      </c>
      <c r="H2008" s="1106">
        <f>G2008*F2008</f>
        <v>472.49999999999994</v>
      </c>
      <c r="J2008" s="1557"/>
      <c r="K2008" s="1557"/>
      <c r="L2008" s="1557"/>
      <c r="M2008" s="1566"/>
    </row>
    <row r="2009" spans="2:13" s="947" customFormat="1" hidden="1">
      <c r="B2009" s="1540"/>
      <c r="C2009" s="1332"/>
      <c r="D2009" s="1331"/>
      <c r="E2009" s="1331"/>
      <c r="F2009" s="2074" t="s">
        <v>685</v>
      </c>
      <c r="G2009" s="2074"/>
      <c r="H2009" s="1106">
        <f>SUM(H2005:H2008)</f>
        <v>18274.5</v>
      </c>
      <c r="J2009" s="1557"/>
      <c r="K2009" s="1557"/>
      <c r="L2009" s="1557"/>
      <c r="M2009" s="1566"/>
    </row>
    <row r="2010" spans="2:13" s="947" customFormat="1" hidden="1">
      <c r="B2010" s="1543" t="s">
        <v>686</v>
      </c>
      <c r="C2010" s="1329" t="s">
        <v>687</v>
      </c>
      <c r="D2010" s="1331"/>
      <c r="E2010" s="1331"/>
      <c r="F2010" s="1334"/>
      <c r="G2010" s="1104"/>
      <c r="H2010" s="1106"/>
      <c r="J2010" s="1557"/>
      <c r="K2010" s="1557"/>
      <c r="L2010" s="1557"/>
      <c r="M2010" s="1566"/>
    </row>
    <row r="2011" spans="2:13" s="947" customFormat="1" hidden="1">
      <c r="B2011" s="1540"/>
      <c r="C2011" s="1332" t="s">
        <v>969</v>
      </c>
      <c r="D2011" s="1331"/>
      <c r="E2011" s="1331" t="s">
        <v>853</v>
      </c>
      <c r="F2011" s="1334">
        <v>1.1000000000000001</v>
      </c>
      <c r="G2011" s="1104">
        <f>DUB!$I$141</f>
        <v>107100</v>
      </c>
      <c r="H2011" s="1106">
        <f>G2011*F2011</f>
        <v>117810.00000000001</v>
      </c>
      <c r="J2011" s="1557"/>
      <c r="K2011" s="1557"/>
      <c r="L2011" s="1557"/>
      <c r="M2011" s="1566"/>
    </row>
    <row r="2012" spans="2:13" s="947" customFormat="1" hidden="1">
      <c r="B2012" s="1540"/>
      <c r="C2012" s="1332" t="s">
        <v>970</v>
      </c>
      <c r="D2012" s="1331"/>
      <c r="E2012" s="1331" t="s">
        <v>971</v>
      </c>
      <c r="F2012" s="1334">
        <v>2</v>
      </c>
      <c r="G2012" s="1104">
        <f>DUB!$I$135</f>
        <v>1071</v>
      </c>
      <c r="H2012" s="1106">
        <f>G2012*F2012</f>
        <v>2142</v>
      </c>
      <c r="J2012" s="1557"/>
      <c r="K2012" s="1557"/>
      <c r="L2012" s="1557"/>
      <c r="M2012" s="1566"/>
    </row>
    <row r="2013" spans="2:13" s="947" customFormat="1" hidden="1">
      <c r="B2013" s="1540"/>
      <c r="C2013" s="1332" t="s">
        <v>972</v>
      </c>
      <c r="D2013" s="1331"/>
      <c r="E2013" s="1331" t="s">
        <v>973</v>
      </c>
      <c r="F2013" s="1334">
        <v>0.06</v>
      </c>
      <c r="G2013" s="1104">
        <f>DUB!$I$147</f>
        <v>10710</v>
      </c>
      <c r="H2013" s="1106">
        <f>G2013*F2013</f>
        <v>642.6</v>
      </c>
      <c r="J2013" s="1557"/>
      <c r="K2013" s="1557"/>
      <c r="L2013" s="1557"/>
      <c r="M2013" s="1566"/>
    </row>
    <row r="2014" spans="2:13" s="947" customFormat="1" hidden="1">
      <c r="B2014" s="1540"/>
      <c r="C2014" s="1125"/>
      <c r="D2014" s="1333"/>
      <c r="E2014" s="1333"/>
      <c r="F2014" s="2074" t="s">
        <v>702</v>
      </c>
      <c r="G2014" s="2074"/>
      <c r="H2014" s="1106">
        <f>SUM(H2011:H2013)</f>
        <v>120594.60000000002</v>
      </c>
      <c r="J2014" s="1557"/>
      <c r="K2014" s="1557"/>
      <c r="L2014" s="1557"/>
      <c r="M2014" s="1566"/>
    </row>
    <row r="2015" spans="2:13" s="949" customFormat="1" hidden="1">
      <c r="B2015" s="1543" t="s">
        <v>703</v>
      </c>
      <c r="C2015" s="2075" t="s">
        <v>3764</v>
      </c>
      <c r="D2015" s="2075"/>
      <c r="E2015" s="2075"/>
      <c r="F2015" s="2075"/>
      <c r="G2015" s="2075"/>
      <c r="H2015" s="1107">
        <f>H2009+H2014</f>
        <v>138869.10000000003</v>
      </c>
      <c r="J2015" s="1559"/>
      <c r="K2015" s="1559"/>
      <c r="L2015" s="1559"/>
      <c r="M2015" s="1635"/>
    </row>
    <row r="2016" spans="2:13" s="949" customFormat="1" hidden="1">
      <c r="B2016" s="1543" t="s">
        <v>706</v>
      </c>
      <c r="C2016" s="2076" t="s">
        <v>876</v>
      </c>
      <c r="D2016" s="2076"/>
      <c r="E2016" s="2076"/>
      <c r="F2016" s="2077" t="s">
        <v>3873</v>
      </c>
      <c r="G2016" s="2077"/>
      <c r="H2016" s="1107">
        <f>H2015*0.15</f>
        <v>20830.365000000005</v>
      </c>
      <c r="J2016" s="1559"/>
      <c r="K2016" s="1559"/>
      <c r="L2016" s="1559"/>
      <c r="M2016" s="1635"/>
    </row>
    <row r="2017" spans="2:13" s="949" customFormat="1" hidden="1">
      <c r="B2017" s="1543" t="s">
        <v>708</v>
      </c>
      <c r="C2017" s="2078" t="s">
        <v>3765</v>
      </c>
      <c r="D2017" s="2078"/>
      <c r="E2017" s="2078"/>
      <c r="F2017" s="2078"/>
      <c r="G2017" s="2078"/>
      <c r="H2017" s="1107">
        <f>ROUND(SUM(H2015:H2016),2)</f>
        <v>159699.47</v>
      </c>
      <c r="I2017" s="950">
        <f>SUM(H2015:H2016)</f>
        <v>159699.46500000003</v>
      </c>
      <c r="J2017" s="1561"/>
      <c r="K2017" s="1561"/>
      <c r="L2017" s="1559"/>
      <c r="M2017" s="1635"/>
    </row>
    <row r="2018" spans="2:13" s="947" customFormat="1" hidden="1">
      <c r="B2018" s="1095"/>
      <c r="C2018" s="1096"/>
      <c r="D2018" s="1095"/>
      <c r="E2018" s="1095"/>
      <c r="F2018" s="1172"/>
      <c r="G2018" s="1173"/>
      <c r="H2018" s="1133"/>
      <c r="J2018" s="1557"/>
      <c r="K2018" s="1557"/>
      <c r="L2018" s="1557"/>
      <c r="M2018" s="1566"/>
    </row>
    <row r="2019" spans="2:13" s="947" customFormat="1" hidden="1">
      <c r="B2019" s="1100" t="s">
        <v>3972</v>
      </c>
      <c r="C2019" s="1112" t="s">
        <v>3855</v>
      </c>
      <c r="D2019" s="1129"/>
      <c r="E2019" s="1129"/>
      <c r="F2019" s="1131"/>
      <c r="G2019" s="1132"/>
      <c r="H2019" s="1115"/>
      <c r="J2019" s="1557"/>
      <c r="K2019" s="1557"/>
      <c r="L2019" s="1557"/>
      <c r="M2019" s="1566"/>
    </row>
    <row r="2020" spans="2:13" s="948" customFormat="1" ht="24.9" hidden="1" customHeight="1">
      <c r="B2020" s="1748" t="s">
        <v>1003</v>
      </c>
      <c r="C2020" s="1101" t="s">
        <v>1004</v>
      </c>
      <c r="D2020" s="1101" t="s">
        <v>1005</v>
      </c>
      <c r="E2020" s="1101" t="s">
        <v>1006</v>
      </c>
      <c r="F2020" s="1102" t="s">
        <v>1007</v>
      </c>
      <c r="G2020" s="1109" t="s">
        <v>2637</v>
      </c>
      <c r="H2020" s="1110" t="s">
        <v>2638</v>
      </c>
      <c r="J2020" s="1625"/>
      <c r="K2020" s="1625"/>
      <c r="L2020" s="1625"/>
      <c r="M2020" s="1570"/>
    </row>
    <row r="2021" spans="2:13" s="947" customFormat="1" hidden="1">
      <c r="B2021" s="1543" t="s">
        <v>671</v>
      </c>
      <c r="C2021" s="1329" t="s">
        <v>672</v>
      </c>
      <c r="D2021" s="1331"/>
      <c r="E2021" s="1331"/>
      <c r="F2021" s="1334"/>
      <c r="G2021" s="1104"/>
      <c r="H2021" s="1106"/>
      <c r="J2021" s="1557"/>
      <c r="K2021" s="1557"/>
      <c r="L2021" s="1557"/>
      <c r="M2021" s="1566"/>
    </row>
    <row r="2022" spans="2:13" s="947" customFormat="1" hidden="1">
      <c r="B2022" s="1540"/>
      <c r="C2022" s="1332" t="s">
        <v>673</v>
      </c>
      <c r="D2022" s="1331" t="s">
        <v>674</v>
      </c>
      <c r="E2022" s="1331" t="s">
        <v>675</v>
      </c>
      <c r="F2022" s="1334">
        <v>4.2999999999999997E-2</v>
      </c>
      <c r="G2022" s="1104">
        <f>DUB!$I$10</f>
        <v>150000</v>
      </c>
      <c r="H2022" s="1106">
        <f>G2022*F2022</f>
        <v>6449.9999999999991</v>
      </c>
      <c r="J2022" s="1557"/>
      <c r="K2022" s="1557"/>
      <c r="L2022" s="1557"/>
      <c r="M2022" s="1566"/>
    </row>
    <row r="2023" spans="2:13" s="947" customFormat="1" hidden="1">
      <c r="B2023" s="1540"/>
      <c r="C2023" s="1126" t="s">
        <v>3331</v>
      </c>
      <c r="D2023" s="1331" t="s">
        <v>678</v>
      </c>
      <c r="E2023" s="1187" t="s">
        <v>675</v>
      </c>
      <c r="F2023" s="1334">
        <v>4.2999999999999997E-2</v>
      </c>
      <c r="G2023" s="1104">
        <f>DUB!$I$13</f>
        <v>240000</v>
      </c>
      <c r="H2023" s="1106">
        <f>G2023*F2023</f>
        <v>10320</v>
      </c>
      <c r="J2023" s="1557"/>
      <c r="K2023" s="1557"/>
      <c r="L2023" s="1557"/>
      <c r="M2023" s="1566"/>
    </row>
    <row r="2024" spans="2:13" s="947" customFormat="1" hidden="1">
      <c r="B2024" s="1540"/>
      <c r="C2024" s="1332" t="s">
        <v>751</v>
      </c>
      <c r="D2024" s="1331" t="s">
        <v>681</v>
      </c>
      <c r="E2024" s="1331" t="s">
        <v>675</v>
      </c>
      <c r="F2024" s="1334">
        <v>4.3E-3</v>
      </c>
      <c r="G2024" s="1104">
        <f>DUB!$I$13</f>
        <v>240000</v>
      </c>
      <c r="H2024" s="1106">
        <f>G2024*F2024</f>
        <v>1032</v>
      </c>
      <c r="J2024" s="1557"/>
      <c r="K2024" s="1557"/>
      <c r="L2024" s="1557"/>
      <c r="M2024" s="1566"/>
    </row>
    <row r="2025" spans="2:13" s="947" customFormat="1" hidden="1">
      <c r="B2025" s="1540"/>
      <c r="C2025" s="1332" t="s">
        <v>683</v>
      </c>
      <c r="D2025" s="1331" t="s">
        <v>684</v>
      </c>
      <c r="E2025" s="1331" t="s">
        <v>675</v>
      </c>
      <c r="F2025" s="1334">
        <v>2.0999999999999999E-3</v>
      </c>
      <c r="G2025" s="1104">
        <f>DUB!$I$12</f>
        <v>225000</v>
      </c>
      <c r="H2025" s="1106">
        <f>G2025*F2025</f>
        <v>472.49999999999994</v>
      </c>
      <c r="J2025" s="1557"/>
      <c r="K2025" s="1557"/>
      <c r="L2025" s="1557"/>
      <c r="M2025" s="1566"/>
    </row>
    <row r="2026" spans="2:13" s="947" customFormat="1" hidden="1">
      <c r="B2026" s="1540"/>
      <c r="C2026" s="1332"/>
      <c r="D2026" s="1331"/>
      <c r="E2026" s="1331"/>
      <c r="F2026" s="2074" t="s">
        <v>685</v>
      </c>
      <c r="G2026" s="2074"/>
      <c r="H2026" s="1106">
        <f>SUM(H2022:H2025)</f>
        <v>18274.5</v>
      </c>
      <c r="J2026" s="1557"/>
      <c r="K2026" s="1557"/>
      <c r="L2026" s="1557"/>
      <c r="M2026" s="1566"/>
    </row>
    <row r="2027" spans="2:13" s="947" customFormat="1" hidden="1">
      <c r="B2027" s="1543" t="s">
        <v>686</v>
      </c>
      <c r="C2027" s="1329" t="s">
        <v>687</v>
      </c>
      <c r="D2027" s="1331"/>
      <c r="E2027" s="1331"/>
      <c r="F2027" s="1334"/>
      <c r="G2027" s="1104"/>
      <c r="H2027" s="1106"/>
      <c r="J2027" s="1557"/>
      <c r="K2027" s="1557"/>
      <c r="L2027" s="1557"/>
      <c r="M2027" s="1566"/>
    </row>
    <row r="2028" spans="2:13" s="947" customFormat="1" hidden="1">
      <c r="B2028" s="1540"/>
      <c r="C2028" s="1332" t="s">
        <v>969</v>
      </c>
      <c r="D2028" s="1331"/>
      <c r="E2028" s="1331" t="s">
        <v>853</v>
      </c>
      <c r="F2028" s="1334">
        <v>1.1000000000000001</v>
      </c>
      <c r="G2028" s="1104">
        <f>DUB!$I$140</f>
        <v>107100</v>
      </c>
      <c r="H2028" s="1106">
        <f>G2028*F2028</f>
        <v>117810.00000000001</v>
      </c>
      <c r="J2028" s="1557"/>
      <c r="K2028" s="1557"/>
      <c r="L2028" s="1557"/>
      <c r="M2028" s="1566"/>
    </row>
    <row r="2029" spans="2:13" s="947" customFormat="1" hidden="1">
      <c r="B2029" s="1540"/>
      <c r="C2029" s="1332" t="s">
        <v>970</v>
      </c>
      <c r="D2029" s="1331"/>
      <c r="E2029" s="1331" t="s">
        <v>971</v>
      </c>
      <c r="F2029" s="1334">
        <v>2</v>
      </c>
      <c r="G2029" s="1104">
        <f>DUB!$I$135</f>
        <v>1071</v>
      </c>
      <c r="H2029" s="1106">
        <f>G2029*F2029</f>
        <v>2142</v>
      </c>
      <c r="J2029" s="1557"/>
      <c r="K2029" s="1557"/>
      <c r="L2029" s="1557"/>
      <c r="M2029" s="1566"/>
    </row>
    <row r="2030" spans="2:13" s="947" customFormat="1" hidden="1">
      <c r="B2030" s="1540"/>
      <c r="C2030" s="1332" t="s">
        <v>972</v>
      </c>
      <c r="D2030" s="1331"/>
      <c r="E2030" s="1331" t="s">
        <v>973</v>
      </c>
      <c r="F2030" s="1334">
        <v>0.06</v>
      </c>
      <c r="G2030" s="1104">
        <f>DUB!$I$147</f>
        <v>10710</v>
      </c>
      <c r="H2030" s="1106">
        <f>G2030*F2030</f>
        <v>642.6</v>
      </c>
      <c r="J2030" s="1557"/>
      <c r="K2030" s="1557"/>
      <c r="L2030" s="1557"/>
      <c r="M2030" s="1566"/>
    </row>
    <row r="2031" spans="2:13" s="947" customFormat="1" hidden="1">
      <c r="B2031" s="1540"/>
      <c r="C2031" s="1332"/>
      <c r="D2031" s="1331"/>
      <c r="E2031" s="1331"/>
      <c r="F2031" s="2091" t="s">
        <v>702</v>
      </c>
      <c r="G2031" s="2091"/>
      <c r="H2031" s="1106">
        <f>SUM(H2028:H2030)</f>
        <v>120594.60000000002</v>
      </c>
      <c r="J2031" s="1557"/>
      <c r="K2031" s="1557"/>
      <c r="L2031" s="1557"/>
      <c r="M2031" s="1566"/>
    </row>
    <row r="2032" spans="2:13" s="949" customFormat="1" hidden="1">
      <c r="B2032" s="1543" t="s">
        <v>703</v>
      </c>
      <c r="C2032" s="2075" t="s">
        <v>3764</v>
      </c>
      <c r="D2032" s="2075"/>
      <c r="E2032" s="2075"/>
      <c r="F2032" s="2075"/>
      <c r="G2032" s="2075"/>
      <c r="H2032" s="1107">
        <f>H2026+H2031</f>
        <v>138869.10000000003</v>
      </c>
      <c r="J2032" s="1559"/>
      <c r="K2032" s="1559"/>
      <c r="L2032" s="1559"/>
      <c r="M2032" s="1635"/>
    </row>
    <row r="2033" spans="2:13" s="949" customFormat="1" hidden="1">
      <c r="B2033" s="1543" t="s">
        <v>706</v>
      </c>
      <c r="C2033" s="2076" t="s">
        <v>876</v>
      </c>
      <c r="D2033" s="2076"/>
      <c r="E2033" s="2076"/>
      <c r="F2033" s="2077" t="s">
        <v>3873</v>
      </c>
      <c r="G2033" s="2077"/>
      <c r="H2033" s="1107">
        <f>H2032*0.15</f>
        <v>20830.365000000005</v>
      </c>
      <c r="J2033" s="1559"/>
      <c r="K2033" s="1559"/>
      <c r="L2033" s="1559"/>
      <c r="M2033" s="1635"/>
    </row>
    <row r="2034" spans="2:13" s="949" customFormat="1" hidden="1">
      <c r="B2034" s="1543" t="s">
        <v>708</v>
      </c>
      <c r="C2034" s="2075" t="s">
        <v>3765</v>
      </c>
      <c r="D2034" s="2075"/>
      <c r="E2034" s="2075"/>
      <c r="F2034" s="2075"/>
      <c r="G2034" s="2075"/>
      <c r="H2034" s="1107">
        <f>ROUND(SUM(H2032:H2033),2)</f>
        <v>159699.47</v>
      </c>
      <c r="I2034" s="950">
        <f>SUM(H2032:H2033)</f>
        <v>159699.46500000003</v>
      </c>
      <c r="J2034" s="1561"/>
      <c r="K2034" s="1561"/>
      <c r="L2034" s="1559"/>
      <c r="M2034" s="1635"/>
    </row>
    <row r="2035" spans="2:13" s="947" customFormat="1" hidden="1">
      <c r="B2035" s="1095"/>
      <c r="C2035" s="1096"/>
      <c r="D2035" s="1095"/>
      <c r="E2035" s="1095"/>
      <c r="F2035" s="1172"/>
      <c r="G2035" s="1173"/>
      <c r="H2035" s="1133"/>
      <c r="J2035" s="1557"/>
      <c r="K2035" s="1557"/>
      <c r="L2035" s="1557"/>
      <c r="M2035" s="1566"/>
    </row>
    <row r="2036" spans="2:13" s="947" customFormat="1" hidden="1">
      <c r="B2036" s="1100" t="s">
        <v>3973</v>
      </c>
      <c r="C2036" s="1112" t="s">
        <v>3856</v>
      </c>
      <c r="D2036" s="1129"/>
      <c r="E2036" s="1129"/>
      <c r="F2036" s="1131"/>
      <c r="G2036" s="1132"/>
      <c r="H2036" s="1115"/>
      <c r="J2036" s="1557"/>
      <c r="K2036" s="1557"/>
      <c r="L2036" s="1557"/>
      <c r="M2036" s="1566"/>
    </row>
    <row r="2037" spans="2:13" s="948" customFormat="1" ht="24.9" hidden="1" customHeight="1">
      <c r="B2037" s="1748" t="s">
        <v>1003</v>
      </c>
      <c r="C2037" s="1101" t="s">
        <v>1004</v>
      </c>
      <c r="D2037" s="1101" t="s">
        <v>1005</v>
      </c>
      <c r="E2037" s="1101" t="s">
        <v>1006</v>
      </c>
      <c r="F2037" s="1102" t="s">
        <v>1007</v>
      </c>
      <c r="G2037" s="1109" t="s">
        <v>2637</v>
      </c>
      <c r="H2037" s="1110" t="s">
        <v>2638</v>
      </c>
      <c r="J2037" s="1625"/>
      <c r="K2037" s="1625"/>
      <c r="L2037" s="1625"/>
      <c r="M2037" s="1570"/>
    </row>
    <row r="2038" spans="2:13" s="947" customFormat="1" hidden="1">
      <c r="B2038" s="1543" t="s">
        <v>671</v>
      </c>
      <c r="C2038" s="1329" t="s">
        <v>672</v>
      </c>
      <c r="D2038" s="1331"/>
      <c r="E2038" s="1331"/>
      <c r="F2038" s="1334"/>
      <c r="G2038" s="1104"/>
      <c r="H2038" s="1106"/>
      <c r="J2038" s="1557"/>
      <c r="K2038" s="1557"/>
      <c r="L2038" s="1557"/>
      <c r="M2038" s="1566"/>
    </row>
    <row r="2039" spans="2:13" s="947" customFormat="1" hidden="1">
      <c r="B2039" s="1540"/>
      <c r="C2039" s="1332" t="s">
        <v>673</v>
      </c>
      <c r="D2039" s="1331" t="s">
        <v>674</v>
      </c>
      <c r="E2039" s="1331" t="s">
        <v>675</v>
      </c>
      <c r="F2039" s="1334">
        <v>4.2999999999999997E-2</v>
      </c>
      <c r="G2039" s="1104">
        <f>DUB!$I$10</f>
        <v>150000</v>
      </c>
      <c r="H2039" s="1106">
        <f>G2039*F2039</f>
        <v>6449.9999999999991</v>
      </c>
      <c r="J2039" s="1557"/>
      <c r="K2039" s="1557"/>
      <c r="L2039" s="1557"/>
      <c r="M2039" s="1566"/>
    </row>
    <row r="2040" spans="2:13" s="947" customFormat="1" hidden="1">
      <c r="B2040" s="1540"/>
      <c r="C2040" s="1126" t="s">
        <v>3331</v>
      </c>
      <c r="D2040" s="1331" t="s">
        <v>678</v>
      </c>
      <c r="E2040" s="1187" t="s">
        <v>675</v>
      </c>
      <c r="F2040" s="1334">
        <v>4.2999999999999997E-2</v>
      </c>
      <c r="G2040" s="1104">
        <f>DUB!$I$13</f>
        <v>240000</v>
      </c>
      <c r="H2040" s="1106">
        <f>G2040*F2040</f>
        <v>10320</v>
      </c>
      <c r="J2040" s="1557"/>
      <c r="K2040" s="1557"/>
      <c r="L2040" s="1557"/>
      <c r="M2040" s="1566"/>
    </row>
    <row r="2041" spans="2:13" s="947" customFormat="1" hidden="1">
      <c r="B2041" s="1540"/>
      <c r="C2041" s="1332" t="s">
        <v>751</v>
      </c>
      <c r="D2041" s="1331" t="s">
        <v>681</v>
      </c>
      <c r="E2041" s="1331" t="s">
        <v>675</v>
      </c>
      <c r="F2041" s="1334">
        <v>4.3E-3</v>
      </c>
      <c r="G2041" s="1104">
        <f>DUB!$I$13</f>
        <v>240000</v>
      </c>
      <c r="H2041" s="1106">
        <f>G2041*F2041</f>
        <v>1032</v>
      </c>
      <c r="J2041" s="1557"/>
      <c r="K2041" s="1557"/>
      <c r="L2041" s="1557"/>
      <c r="M2041" s="1566"/>
    </row>
    <row r="2042" spans="2:13" s="947" customFormat="1" hidden="1">
      <c r="B2042" s="1540"/>
      <c r="C2042" s="1332" t="s">
        <v>683</v>
      </c>
      <c r="D2042" s="1331" t="s">
        <v>684</v>
      </c>
      <c r="E2042" s="1331" t="s">
        <v>675</v>
      </c>
      <c r="F2042" s="1334">
        <v>2.0999999999999999E-3</v>
      </c>
      <c r="G2042" s="1104">
        <f>DUB!$I$12</f>
        <v>225000</v>
      </c>
      <c r="H2042" s="1106">
        <f>G2042*F2042</f>
        <v>472.49999999999994</v>
      </c>
      <c r="J2042" s="1557"/>
      <c r="K2042" s="1557"/>
      <c r="L2042" s="1557"/>
      <c r="M2042" s="1566"/>
    </row>
    <row r="2043" spans="2:13" s="947" customFormat="1" hidden="1">
      <c r="B2043" s="1540"/>
      <c r="C2043" s="1332"/>
      <c r="D2043" s="1331"/>
      <c r="E2043" s="1331"/>
      <c r="F2043" s="2074" t="s">
        <v>685</v>
      </c>
      <c r="G2043" s="2074"/>
      <c r="H2043" s="1106">
        <f>SUM(H2039:H2042)</f>
        <v>18274.5</v>
      </c>
      <c r="J2043" s="1557"/>
      <c r="K2043" s="1557"/>
      <c r="L2043" s="1557"/>
      <c r="M2043" s="1566"/>
    </row>
    <row r="2044" spans="2:13" s="947" customFormat="1" hidden="1">
      <c r="B2044" s="1543" t="s">
        <v>686</v>
      </c>
      <c r="C2044" s="1329" t="s">
        <v>687</v>
      </c>
      <c r="D2044" s="1331"/>
      <c r="E2044" s="1331"/>
      <c r="F2044" s="1334"/>
      <c r="G2044" s="1104"/>
      <c r="H2044" s="1106"/>
      <c r="J2044" s="1557"/>
      <c r="K2044" s="1557"/>
      <c r="L2044" s="1557"/>
      <c r="M2044" s="1566"/>
    </row>
    <row r="2045" spans="2:13" s="947" customFormat="1" hidden="1">
      <c r="B2045" s="1540"/>
      <c r="C2045" s="1332" t="s">
        <v>969</v>
      </c>
      <c r="D2045" s="1331"/>
      <c r="E2045" s="1331" t="s">
        <v>853</v>
      </c>
      <c r="F2045" s="1334">
        <v>1.1000000000000001</v>
      </c>
      <c r="G2045" s="1104">
        <f>DUB!$I$142</f>
        <v>96390</v>
      </c>
      <c r="H2045" s="1106">
        <f>G2045*F2045</f>
        <v>106029.00000000001</v>
      </c>
      <c r="J2045" s="1557"/>
      <c r="K2045" s="1557"/>
      <c r="L2045" s="1557"/>
      <c r="M2045" s="1566"/>
    </row>
    <row r="2046" spans="2:13" s="947" customFormat="1" hidden="1">
      <c r="B2046" s="1540"/>
      <c r="C2046" s="1332" t="s">
        <v>970</v>
      </c>
      <c r="D2046" s="1331"/>
      <c r="E2046" s="1331" t="s">
        <v>971</v>
      </c>
      <c r="F2046" s="1334">
        <v>2</v>
      </c>
      <c r="G2046" s="1104">
        <f>DUB!$I$135</f>
        <v>1071</v>
      </c>
      <c r="H2046" s="1106">
        <f>G2046*F2046</f>
        <v>2142</v>
      </c>
      <c r="J2046" s="1557"/>
      <c r="K2046" s="1557"/>
      <c r="L2046" s="1557"/>
      <c r="M2046" s="1566"/>
    </row>
    <row r="2047" spans="2:13" s="947" customFormat="1" hidden="1">
      <c r="B2047" s="1540"/>
      <c r="C2047" s="1332" t="s">
        <v>972</v>
      </c>
      <c r="D2047" s="1331"/>
      <c r="E2047" s="1331" t="s">
        <v>973</v>
      </c>
      <c r="F2047" s="1334">
        <v>0.06</v>
      </c>
      <c r="G2047" s="1104">
        <f>DUB!$I$147</f>
        <v>10710</v>
      </c>
      <c r="H2047" s="1106">
        <f>G2047*F2047</f>
        <v>642.6</v>
      </c>
      <c r="J2047" s="1557"/>
      <c r="K2047" s="1557"/>
      <c r="L2047" s="1557"/>
      <c r="M2047" s="1566"/>
    </row>
    <row r="2048" spans="2:13" s="947" customFormat="1" hidden="1">
      <c r="B2048" s="1540"/>
      <c r="C2048" s="1125"/>
      <c r="D2048" s="1333"/>
      <c r="E2048" s="1333"/>
      <c r="F2048" s="2074" t="s">
        <v>702</v>
      </c>
      <c r="G2048" s="2074"/>
      <c r="H2048" s="1106">
        <f>SUM(H2045:H2047)</f>
        <v>108813.60000000002</v>
      </c>
      <c r="J2048" s="1557"/>
      <c r="K2048" s="1557"/>
      <c r="L2048" s="1557"/>
      <c r="M2048" s="1566"/>
    </row>
    <row r="2049" spans="2:13" s="949" customFormat="1" hidden="1">
      <c r="B2049" s="1543" t="s">
        <v>703</v>
      </c>
      <c r="C2049" s="2075" t="s">
        <v>3764</v>
      </c>
      <c r="D2049" s="2075"/>
      <c r="E2049" s="2075"/>
      <c r="F2049" s="2075"/>
      <c r="G2049" s="2075"/>
      <c r="H2049" s="1107">
        <f>H2043+H2048</f>
        <v>127088.10000000002</v>
      </c>
      <c r="J2049" s="1559"/>
      <c r="K2049" s="1559"/>
      <c r="L2049" s="1559"/>
      <c r="M2049" s="1635"/>
    </row>
    <row r="2050" spans="2:13" s="949" customFormat="1" hidden="1">
      <c r="B2050" s="1543" t="s">
        <v>706</v>
      </c>
      <c r="C2050" s="2076" t="s">
        <v>876</v>
      </c>
      <c r="D2050" s="2076"/>
      <c r="E2050" s="2076"/>
      <c r="F2050" s="2077" t="s">
        <v>3873</v>
      </c>
      <c r="G2050" s="2077"/>
      <c r="H2050" s="1107">
        <f>H2049*0.15</f>
        <v>19063.215000000004</v>
      </c>
      <c r="J2050" s="1559"/>
      <c r="K2050" s="1559"/>
      <c r="L2050" s="1559"/>
      <c r="M2050" s="1635"/>
    </row>
    <row r="2051" spans="2:13" s="949" customFormat="1" hidden="1">
      <c r="B2051" s="1543" t="s">
        <v>708</v>
      </c>
      <c r="C2051" s="2078" t="s">
        <v>3765</v>
      </c>
      <c r="D2051" s="2078"/>
      <c r="E2051" s="2078"/>
      <c r="F2051" s="2078"/>
      <c r="G2051" s="2078"/>
      <c r="H2051" s="1107">
        <f>ROUND(SUM(H2049:H2050),2)</f>
        <v>146151.32</v>
      </c>
      <c r="I2051" s="950">
        <f>SUM(H2049:H2050)</f>
        <v>146151.31500000003</v>
      </c>
      <c r="J2051" s="1561"/>
      <c r="K2051" s="1561"/>
      <c r="L2051" s="1559"/>
      <c r="M2051" s="1635"/>
    </row>
    <row r="2052" spans="2:13" s="947" customFormat="1" hidden="1">
      <c r="B2052" s="1095"/>
      <c r="C2052" s="1096"/>
      <c r="D2052" s="1095"/>
      <c r="E2052" s="1095"/>
      <c r="F2052" s="1172"/>
      <c r="G2052" s="1173"/>
      <c r="H2052" s="1133"/>
      <c r="J2052" s="1557"/>
      <c r="K2052" s="1557"/>
      <c r="L2052" s="1557"/>
      <c r="M2052" s="1566"/>
    </row>
    <row r="2053" spans="2:13" s="947" customFormat="1" hidden="1">
      <c r="B2053" s="1100" t="s">
        <v>3974</v>
      </c>
      <c r="C2053" s="1232" t="s">
        <v>3861</v>
      </c>
      <c r="D2053" s="1095"/>
      <c r="E2053" s="1095"/>
      <c r="F2053" s="1172"/>
      <c r="G2053" s="1173"/>
      <c r="H2053" s="1133"/>
      <c r="J2053" s="1557"/>
      <c r="K2053" s="1557"/>
      <c r="L2053" s="1557"/>
      <c r="M2053" s="1566"/>
    </row>
    <row r="2054" spans="2:13" s="948" customFormat="1" ht="24.9" hidden="1" customHeight="1">
      <c r="B2054" s="1748" t="s">
        <v>1003</v>
      </c>
      <c r="C2054" s="1101" t="s">
        <v>1004</v>
      </c>
      <c r="D2054" s="1116" t="s">
        <v>1005</v>
      </c>
      <c r="E2054" s="1116" t="s">
        <v>1006</v>
      </c>
      <c r="F2054" s="1139" t="s">
        <v>1007</v>
      </c>
      <c r="G2054" s="1103" t="s">
        <v>2637</v>
      </c>
      <c r="H2054" s="1135" t="s">
        <v>2638</v>
      </c>
      <c r="J2054" s="1625"/>
      <c r="K2054" s="1625"/>
      <c r="L2054" s="1625"/>
      <c r="M2054" s="1570"/>
    </row>
    <row r="2055" spans="2:13" s="947" customFormat="1" hidden="1">
      <c r="B2055" s="1543" t="s">
        <v>671</v>
      </c>
      <c r="C2055" s="1329" t="s">
        <v>672</v>
      </c>
      <c r="D2055" s="1539"/>
      <c r="E2055" s="1539"/>
      <c r="F2055" s="1532"/>
      <c r="G2055" s="1104"/>
      <c r="H2055" s="1106"/>
      <c r="J2055" s="1557"/>
      <c r="K2055" s="1557"/>
      <c r="L2055" s="1557"/>
      <c r="M2055" s="1566"/>
    </row>
    <row r="2056" spans="2:13" s="947" customFormat="1" hidden="1">
      <c r="B2056" s="1540"/>
      <c r="C2056" s="1332" t="s">
        <v>673</v>
      </c>
      <c r="D2056" s="1331" t="s">
        <v>674</v>
      </c>
      <c r="E2056" s="1539" t="s">
        <v>675</v>
      </c>
      <c r="F2056" s="1334">
        <v>0.08</v>
      </c>
      <c r="G2056" s="1104">
        <f>DUB!$I$10</f>
        <v>150000</v>
      </c>
      <c r="H2056" s="1106">
        <f>G2056*F2056</f>
        <v>12000</v>
      </c>
      <c r="J2056" s="1557"/>
      <c r="K2056" s="1557"/>
      <c r="L2056" s="1557"/>
      <c r="M2056" s="1566"/>
    </row>
    <row r="2057" spans="2:13" s="947" customFormat="1" hidden="1">
      <c r="B2057" s="1540"/>
      <c r="C2057" s="1126" t="s">
        <v>3329</v>
      </c>
      <c r="D2057" s="1331" t="s">
        <v>678</v>
      </c>
      <c r="E2057" s="1183" t="s">
        <v>675</v>
      </c>
      <c r="F2057" s="1334">
        <v>0.8</v>
      </c>
      <c r="G2057" s="1104">
        <f>DUB!$I$13</f>
        <v>240000</v>
      </c>
      <c r="H2057" s="1106">
        <f>G2057*F2057</f>
        <v>192000</v>
      </c>
      <c r="J2057" s="1557"/>
      <c r="K2057" s="1557"/>
      <c r="L2057" s="1557"/>
      <c r="M2057" s="1566"/>
    </row>
    <row r="2058" spans="2:13" s="947" customFormat="1" hidden="1">
      <c r="B2058" s="1540"/>
      <c r="C2058" s="1332" t="s">
        <v>751</v>
      </c>
      <c r="D2058" s="1331" t="s">
        <v>681</v>
      </c>
      <c r="E2058" s="1539" t="s">
        <v>675</v>
      </c>
      <c r="F2058" s="1334">
        <v>0.08</v>
      </c>
      <c r="G2058" s="1104">
        <f>DUB!$I$13</f>
        <v>240000</v>
      </c>
      <c r="H2058" s="1106">
        <f>G2058*F2058</f>
        <v>19200</v>
      </c>
      <c r="J2058" s="1557"/>
      <c r="K2058" s="1557"/>
      <c r="L2058" s="1557"/>
      <c r="M2058" s="1566"/>
    </row>
    <row r="2059" spans="2:13" s="947" customFormat="1" hidden="1">
      <c r="B2059" s="1540"/>
      <c r="C2059" s="1332" t="s">
        <v>683</v>
      </c>
      <c r="D2059" s="1331" t="s">
        <v>684</v>
      </c>
      <c r="E2059" s="1539" t="s">
        <v>675</v>
      </c>
      <c r="F2059" s="1334">
        <v>4.0000000000000001E-3</v>
      </c>
      <c r="G2059" s="1104">
        <f>DUB!$I$12</f>
        <v>225000</v>
      </c>
      <c r="H2059" s="1106">
        <f>G2059*F2059</f>
        <v>900</v>
      </c>
      <c r="J2059" s="1557"/>
      <c r="K2059" s="1557"/>
      <c r="L2059" s="1557"/>
      <c r="M2059" s="1566"/>
    </row>
    <row r="2060" spans="2:13" s="947" customFormat="1" hidden="1">
      <c r="B2060" s="1540"/>
      <c r="C2060" s="1332"/>
      <c r="D2060" s="1539"/>
      <c r="E2060" s="1539"/>
      <c r="F2060" s="2080" t="s">
        <v>685</v>
      </c>
      <c r="G2060" s="2081"/>
      <c r="H2060" s="1106">
        <f>SUM(H2056:H2059)</f>
        <v>224100</v>
      </c>
      <c r="J2060" s="1557"/>
      <c r="K2060" s="1557"/>
      <c r="L2060" s="1557"/>
      <c r="M2060" s="1566"/>
    </row>
    <row r="2061" spans="2:13" s="947" customFormat="1" hidden="1">
      <c r="B2061" s="1543" t="s">
        <v>686</v>
      </c>
      <c r="C2061" s="1329" t="s">
        <v>687</v>
      </c>
      <c r="D2061" s="1539"/>
      <c r="E2061" s="1539"/>
      <c r="F2061" s="1532"/>
      <c r="G2061" s="1104"/>
      <c r="H2061" s="1106"/>
      <c r="J2061" s="1557"/>
      <c r="K2061" s="1557"/>
      <c r="L2061" s="1557"/>
      <c r="M2061" s="1566"/>
    </row>
    <row r="2062" spans="2:13" s="947" customFormat="1" hidden="1">
      <c r="B2062" s="1540"/>
      <c r="C2062" s="1332" t="s">
        <v>969</v>
      </c>
      <c r="D2062" s="1540"/>
      <c r="E2062" s="1539" t="s">
        <v>853</v>
      </c>
      <c r="F2062" s="1532">
        <v>4.4000000000000004</v>
      </c>
      <c r="G2062" s="1104">
        <f>DUB!$I$144</f>
        <v>54621</v>
      </c>
      <c r="H2062" s="1106">
        <f>G2062*F2062</f>
        <v>240332.40000000002</v>
      </c>
      <c r="J2062" s="1557"/>
      <c r="K2062" s="1557"/>
      <c r="L2062" s="1557"/>
      <c r="M2062" s="1566"/>
    </row>
    <row r="2063" spans="2:13" s="947" customFormat="1" hidden="1">
      <c r="B2063" s="1540"/>
      <c r="C2063" s="1332" t="s">
        <v>978</v>
      </c>
      <c r="D2063" s="1540"/>
      <c r="E2063" s="1539" t="s">
        <v>2647</v>
      </c>
      <c r="F2063" s="1532">
        <v>1.05</v>
      </c>
      <c r="G2063" s="1104">
        <f>DUB!$I$158</f>
        <v>374850</v>
      </c>
      <c r="H2063" s="1106">
        <f>G2063*F2063</f>
        <v>393592.5</v>
      </c>
      <c r="J2063" s="1557"/>
      <c r="K2063" s="1557"/>
      <c r="L2063" s="1557"/>
      <c r="M2063" s="1566"/>
    </row>
    <row r="2064" spans="2:13" s="947" customFormat="1" hidden="1">
      <c r="B2064" s="1540"/>
      <c r="C2064" s="1332"/>
      <c r="D2064" s="1540"/>
      <c r="E2064" s="1539"/>
      <c r="F2064" s="2080" t="s">
        <v>702</v>
      </c>
      <c r="G2064" s="2081"/>
      <c r="H2064" s="1106">
        <f>SUM(H2062:H2063)</f>
        <v>633924.9</v>
      </c>
      <c r="J2064" s="1557"/>
      <c r="K2064" s="1557"/>
      <c r="L2064" s="1557"/>
      <c r="M2064" s="1566"/>
    </row>
    <row r="2065" spans="2:13" s="949" customFormat="1" hidden="1">
      <c r="B2065" s="1543" t="s">
        <v>703</v>
      </c>
      <c r="C2065" s="1117" t="s">
        <v>3764</v>
      </c>
      <c r="D2065" s="1120"/>
      <c r="E2065" s="1120"/>
      <c r="F2065" s="1121"/>
      <c r="G2065" s="1141"/>
      <c r="H2065" s="1107">
        <f>H2060+H2064</f>
        <v>858024.9</v>
      </c>
      <c r="J2065" s="1559"/>
      <c r="K2065" s="1559"/>
      <c r="L2065" s="1559"/>
      <c r="M2065" s="1635"/>
    </row>
    <row r="2066" spans="2:13" s="949" customFormat="1" hidden="1">
      <c r="B2066" s="1543" t="s">
        <v>706</v>
      </c>
      <c r="C2066" s="1123" t="s">
        <v>876</v>
      </c>
      <c r="D2066" s="1124"/>
      <c r="E2066" s="1154"/>
      <c r="F2066" s="1545" t="s">
        <v>3873</v>
      </c>
      <c r="G2066" s="1141"/>
      <c r="H2066" s="1107">
        <f>H2065*0.15</f>
        <v>128703.735</v>
      </c>
      <c r="J2066" s="1559"/>
      <c r="K2066" s="1559"/>
      <c r="L2066" s="1559"/>
      <c r="M2066" s="1635"/>
    </row>
    <row r="2067" spans="2:13" s="949" customFormat="1" hidden="1">
      <c r="B2067" s="1543" t="s">
        <v>708</v>
      </c>
      <c r="C2067" s="2078" t="s">
        <v>3765</v>
      </c>
      <c r="D2067" s="2078"/>
      <c r="E2067" s="2078"/>
      <c r="F2067" s="2078"/>
      <c r="G2067" s="2078"/>
      <c r="H2067" s="1107">
        <f>ROUND(SUM(H2065:H2066),2)</f>
        <v>986728.64</v>
      </c>
      <c r="I2067" s="950">
        <f>SUM(H2065:H2066)</f>
        <v>986728.63500000001</v>
      </c>
      <c r="J2067" s="1561"/>
      <c r="K2067" s="1561"/>
      <c r="L2067" s="1559"/>
      <c r="M2067" s="1635"/>
    </row>
    <row r="2068" spans="2:13" s="947" customFormat="1" hidden="1">
      <c r="B2068" s="1143"/>
      <c r="C2068" s="1144"/>
      <c r="D2068" s="1143"/>
      <c r="E2068" s="1143"/>
      <c r="F2068" s="1145"/>
      <c r="G2068" s="1146"/>
      <c r="H2068" s="1147"/>
      <c r="J2068" s="1557"/>
      <c r="K2068" s="1557"/>
      <c r="L2068" s="1557"/>
      <c r="M2068" s="1566"/>
    </row>
    <row r="2069" spans="2:13" s="947" customFormat="1" hidden="1">
      <c r="B2069" s="1100" t="s">
        <v>3975</v>
      </c>
      <c r="C2069" s="1112" t="s">
        <v>2872</v>
      </c>
      <c r="D2069" s="1129"/>
      <c r="E2069" s="1129"/>
      <c r="F2069" s="1131"/>
      <c r="G2069" s="1132"/>
      <c r="H2069" s="1115"/>
      <c r="J2069" s="1557"/>
      <c r="K2069" s="1557"/>
      <c r="L2069" s="1557"/>
      <c r="M2069" s="1566"/>
    </row>
    <row r="2070" spans="2:13" s="948" customFormat="1" ht="24.9" hidden="1" customHeight="1">
      <c r="B2070" s="1748" t="s">
        <v>1003</v>
      </c>
      <c r="C2070" s="1116" t="s">
        <v>1004</v>
      </c>
      <c r="D2070" s="1116" t="s">
        <v>1005</v>
      </c>
      <c r="E2070" s="1116" t="s">
        <v>1006</v>
      </c>
      <c r="F2070" s="1139" t="s">
        <v>1007</v>
      </c>
      <c r="G2070" s="1103" t="s">
        <v>2637</v>
      </c>
      <c r="H2070" s="1110" t="s">
        <v>2638</v>
      </c>
      <c r="J2070" s="1625"/>
      <c r="K2070" s="1625"/>
      <c r="L2070" s="1625"/>
      <c r="M2070" s="1570"/>
    </row>
    <row r="2071" spans="2:13" s="947" customFormat="1" hidden="1">
      <c r="B2071" s="1543" t="s">
        <v>671</v>
      </c>
      <c r="C2071" s="1117" t="s">
        <v>672</v>
      </c>
      <c r="D2071" s="1539"/>
      <c r="E2071" s="1539"/>
      <c r="F2071" s="1532"/>
      <c r="G2071" s="1136"/>
      <c r="H2071" s="1106"/>
      <c r="J2071" s="1557"/>
      <c r="K2071" s="1557"/>
      <c r="L2071" s="1557"/>
      <c r="M2071" s="1566"/>
    </row>
    <row r="2072" spans="2:13" s="947" customFormat="1" hidden="1">
      <c r="B2072" s="1540"/>
      <c r="C2072" s="1118" t="s">
        <v>673</v>
      </c>
      <c r="D2072" s="1331" t="s">
        <v>674</v>
      </c>
      <c r="E2072" s="1539" t="s">
        <v>675</v>
      </c>
      <c r="F2072" s="1532">
        <v>0.11</v>
      </c>
      <c r="G2072" s="1104">
        <f>DUB!$I$10</f>
        <v>150000</v>
      </c>
      <c r="H2072" s="1106">
        <f>G2072*F2072</f>
        <v>16500</v>
      </c>
      <c r="J2072" s="1557"/>
      <c r="K2072" s="1557"/>
      <c r="L2072" s="1567"/>
      <c r="M2072" s="1566"/>
    </row>
    <row r="2073" spans="2:13" s="947" customFormat="1" hidden="1">
      <c r="B2073" s="1540"/>
      <c r="C2073" s="1119" t="s">
        <v>3328</v>
      </c>
      <c r="D2073" s="1331" t="s">
        <v>678</v>
      </c>
      <c r="E2073" s="1183" t="s">
        <v>675</v>
      </c>
      <c r="F2073" s="1532">
        <v>0.26</v>
      </c>
      <c r="G2073" s="1104">
        <f>DUB!$I$13</f>
        <v>240000</v>
      </c>
      <c r="H2073" s="1106">
        <f>G2073*F2073</f>
        <v>62400</v>
      </c>
      <c r="J2073" s="1557"/>
      <c r="K2073" s="1557"/>
      <c r="L2073" s="1567"/>
      <c r="M2073" s="1566"/>
    </row>
    <row r="2074" spans="2:13" s="947" customFormat="1" hidden="1">
      <c r="B2074" s="1540"/>
      <c r="C2074" s="1118" t="s">
        <v>751</v>
      </c>
      <c r="D2074" s="1331" t="s">
        <v>681</v>
      </c>
      <c r="E2074" s="1539" t="s">
        <v>675</v>
      </c>
      <c r="F2074" s="1532">
        <v>2.5999999999999999E-2</v>
      </c>
      <c r="G2074" s="1104">
        <f>DUB!$I$13</f>
        <v>240000</v>
      </c>
      <c r="H2074" s="1106">
        <f>G2074*F2074</f>
        <v>6240</v>
      </c>
      <c r="J2074" s="1557"/>
      <c r="K2074" s="1557"/>
      <c r="L2074" s="1567"/>
      <c r="M2074" s="1566"/>
    </row>
    <row r="2075" spans="2:13" s="947" customFormat="1" hidden="1">
      <c r="B2075" s="1540"/>
      <c r="C2075" s="1118" t="s">
        <v>683</v>
      </c>
      <c r="D2075" s="1331" t="s">
        <v>684</v>
      </c>
      <c r="E2075" s="1539" t="s">
        <v>675</v>
      </c>
      <c r="F2075" s="1532">
        <v>6.0000000000000001E-3</v>
      </c>
      <c r="G2075" s="1104">
        <f>DUB!$I$12</f>
        <v>225000</v>
      </c>
      <c r="H2075" s="1106">
        <f>G2075*F2075</f>
        <v>1350</v>
      </c>
      <c r="J2075" s="1557"/>
      <c r="K2075" s="1557"/>
      <c r="L2075" s="1567"/>
      <c r="M2075" s="1566"/>
    </row>
    <row r="2076" spans="2:13" s="947" customFormat="1" hidden="1">
      <c r="B2076" s="1540"/>
      <c r="C2076" s="1118"/>
      <c r="D2076" s="1539"/>
      <c r="E2076" s="1539"/>
      <c r="F2076" s="2080" t="s">
        <v>685</v>
      </c>
      <c r="G2076" s="2081"/>
      <c r="H2076" s="1106">
        <f>SUM(H2072:H2075)</f>
        <v>86490</v>
      </c>
      <c r="J2076" s="1557"/>
      <c r="K2076" s="1557"/>
      <c r="L2076" s="1557"/>
      <c r="M2076" s="1566"/>
    </row>
    <row r="2077" spans="2:13" s="947" customFormat="1" hidden="1">
      <c r="B2077" s="1543" t="s">
        <v>686</v>
      </c>
      <c r="C2077" s="1117" t="s">
        <v>687</v>
      </c>
      <c r="D2077" s="1539"/>
      <c r="E2077" s="1539"/>
      <c r="F2077" s="1532"/>
      <c r="G2077" s="1136"/>
      <c r="H2077" s="1106"/>
      <c r="J2077" s="1557"/>
      <c r="K2077" s="1557"/>
      <c r="L2077" s="1557"/>
      <c r="M2077" s="1566"/>
    </row>
    <row r="2078" spans="2:13" s="947" customFormat="1" hidden="1">
      <c r="B2078" s="1540"/>
      <c r="C2078" s="1118" t="s">
        <v>3405</v>
      </c>
      <c r="D2078" s="1539"/>
      <c r="E2078" s="1539" t="s">
        <v>853</v>
      </c>
      <c r="F2078" s="1532">
        <v>4.4000000000000004</v>
      </c>
      <c r="G2078" s="1136">
        <f>DUB!$I$143</f>
        <v>96390</v>
      </c>
      <c r="H2078" s="1106">
        <f>G2078*F2078</f>
        <v>424116.00000000006</v>
      </c>
      <c r="J2078" s="1557"/>
      <c r="K2078" s="1557"/>
      <c r="L2078" s="1557"/>
      <c r="M2078" s="1566"/>
    </row>
    <row r="2079" spans="2:13" s="947" customFormat="1" hidden="1">
      <c r="B2079" s="1540"/>
      <c r="C2079" s="1118" t="s">
        <v>972</v>
      </c>
      <c r="D2079" s="1539"/>
      <c r="E2079" s="1539" t="s">
        <v>973</v>
      </c>
      <c r="F2079" s="1532">
        <v>0.27</v>
      </c>
      <c r="G2079" s="1136">
        <f>DUB!$I$147</f>
        <v>10710</v>
      </c>
      <c r="H2079" s="1106">
        <f>G2079*F2079</f>
        <v>2891.7000000000003</v>
      </c>
      <c r="J2079" s="1557"/>
      <c r="K2079" s="1557"/>
      <c r="L2079" s="1557"/>
      <c r="M2079" s="1566"/>
    </row>
    <row r="2080" spans="2:13" s="947" customFormat="1" hidden="1">
      <c r="B2080" s="1540"/>
      <c r="C2080" s="1118" t="s">
        <v>3333</v>
      </c>
      <c r="D2080" s="1539"/>
      <c r="E2080" s="1539" t="s">
        <v>2647</v>
      </c>
      <c r="F2080" s="1532">
        <v>1.1000000000000001</v>
      </c>
      <c r="G2080" s="1152">
        <f>DUB!$I$224</f>
        <v>171360</v>
      </c>
      <c r="H2080" s="1106">
        <f>G2080*F2080</f>
        <v>188496.00000000003</v>
      </c>
      <c r="J2080" s="1557"/>
      <c r="K2080" s="1557"/>
      <c r="L2080" s="1557"/>
      <c r="M2080" s="1566"/>
    </row>
    <row r="2081" spans="2:13" s="947" customFormat="1" hidden="1">
      <c r="B2081" s="1540"/>
      <c r="C2081" s="1118"/>
      <c r="D2081" s="1539"/>
      <c r="E2081" s="1539"/>
      <c r="F2081" s="2080" t="s">
        <v>702</v>
      </c>
      <c r="G2081" s="2081"/>
      <c r="H2081" s="1106">
        <f>SUM(H2078:H2080)</f>
        <v>615503.70000000007</v>
      </c>
      <c r="J2081" s="1557"/>
      <c r="K2081" s="1557"/>
      <c r="L2081" s="1557"/>
      <c r="M2081" s="1566"/>
    </row>
    <row r="2082" spans="2:13" s="949" customFormat="1" hidden="1">
      <c r="B2082" s="1543" t="s">
        <v>703</v>
      </c>
      <c r="C2082" s="1117" t="s">
        <v>3764</v>
      </c>
      <c r="D2082" s="1120"/>
      <c r="E2082" s="1120"/>
      <c r="F2082" s="1121"/>
      <c r="G2082" s="1122"/>
      <c r="H2082" s="1107">
        <f>H2076+H2081</f>
        <v>701993.70000000007</v>
      </c>
      <c r="J2082" s="1559"/>
      <c r="K2082" s="1559"/>
      <c r="L2082" s="1559"/>
      <c r="M2082" s="1635"/>
    </row>
    <row r="2083" spans="2:13" s="949" customFormat="1" hidden="1">
      <c r="B2083" s="1543" t="s">
        <v>706</v>
      </c>
      <c r="C2083" s="1123" t="s">
        <v>876</v>
      </c>
      <c r="D2083" s="1124"/>
      <c r="E2083" s="1124"/>
      <c r="F2083" s="1545" t="s">
        <v>3873</v>
      </c>
      <c r="G2083" s="1122"/>
      <c r="H2083" s="1107">
        <f>H2082*0.15</f>
        <v>105299.05500000001</v>
      </c>
      <c r="J2083" s="1559"/>
      <c r="K2083" s="1559"/>
      <c r="L2083" s="1559"/>
      <c r="M2083" s="1635"/>
    </row>
    <row r="2084" spans="2:13" s="949" customFormat="1" hidden="1">
      <c r="B2084" s="1543" t="s">
        <v>708</v>
      </c>
      <c r="C2084" s="1117" t="s">
        <v>3765</v>
      </c>
      <c r="D2084" s="1120"/>
      <c r="E2084" s="1120"/>
      <c r="F2084" s="1121"/>
      <c r="G2084" s="1141"/>
      <c r="H2084" s="1107">
        <f>ROUND(SUM(H2082:H2083),2)</f>
        <v>807292.76</v>
      </c>
      <c r="I2084" s="950">
        <f>SUM(H2082:H2083)</f>
        <v>807292.75500000012</v>
      </c>
      <c r="J2084" s="1561"/>
      <c r="K2084" s="1561"/>
      <c r="L2084" s="1559"/>
      <c r="M2084" s="1635"/>
    </row>
    <row r="2085" spans="2:13" s="947" customFormat="1" hidden="1">
      <c r="B2085" s="1095"/>
      <c r="C2085" s="1096"/>
      <c r="D2085" s="1095"/>
      <c r="E2085" s="1095"/>
      <c r="F2085" s="1172"/>
      <c r="G2085" s="1173"/>
      <c r="H2085" s="1133"/>
      <c r="J2085" s="1557"/>
      <c r="K2085" s="1557"/>
      <c r="L2085" s="1557"/>
      <c r="M2085" s="1566"/>
    </row>
    <row r="2086" spans="2:13" s="947" customFormat="1" hidden="1">
      <c r="B2086" s="1150" t="s">
        <v>3976</v>
      </c>
      <c r="C2086" s="1232" t="s">
        <v>4379</v>
      </c>
      <c r="D2086" s="1095"/>
      <c r="E2086" s="1095"/>
      <c r="F2086" s="1172"/>
      <c r="G2086" s="1173"/>
      <c r="H2086" s="1133"/>
      <c r="J2086" s="1557"/>
      <c r="K2086" s="1557"/>
      <c r="L2086" s="1557"/>
      <c r="M2086" s="1566"/>
    </row>
    <row r="2087" spans="2:13" s="948" customFormat="1" ht="24.9" hidden="1" customHeight="1">
      <c r="B2087" s="1748" t="s">
        <v>1003</v>
      </c>
      <c r="C2087" s="1101" t="s">
        <v>1004</v>
      </c>
      <c r="D2087" s="1101" t="s">
        <v>1005</v>
      </c>
      <c r="E2087" s="1101" t="s">
        <v>1006</v>
      </c>
      <c r="F2087" s="1102" t="s">
        <v>1007</v>
      </c>
      <c r="G2087" s="1109" t="s">
        <v>2637</v>
      </c>
      <c r="H2087" s="1110" t="s">
        <v>2638</v>
      </c>
      <c r="J2087" s="1625"/>
      <c r="K2087" s="1625"/>
      <c r="L2087" s="1625"/>
      <c r="M2087" s="1570"/>
    </row>
    <row r="2088" spans="2:13" s="947" customFormat="1" hidden="1">
      <c r="B2088" s="1543" t="s">
        <v>671</v>
      </c>
      <c r="C2088" s="1329" t="s">
        <v>672</v>
      </c>
      <c r="D2088" s="1331"/>
      <c r="E2088" s="1331"/>
      <c r="F2088" s="1334"/>
      <c r="G2088" s="1104"/>
      <c r="H2088" s="1106"/>
      <c r="J2088" s="1557"/>
      <c r="K2088" s="1557"/>
      <c r="L2088" s="1557"/>
      <c r="M2088" s="1566"/>
    </row>
    <row r="2089" spans="2:13" s="947" customFormat="1" hidden="1">
      <c r="B2089" s="1540"/>
      <c r="C2089" s="1332" t="s">
        <v>673</v>
      </c>
      <c r="D2089" s="1331" t="s">
        <v>674</v>
      </c>
      <c r="E2089" s="1331" t="s">
        <v>675</v>
      </c>
      <c r="F2089" s="1334">
        <v>0.35</v>
      </c>
      <c r="G2089" s="1104">
        <f>DUB!$I$10</f>
        <v>150000</v>
      </c>
      <c r="H2089" s="1106">
        <f>G2089*F2089</f>
        <v>52500</v>
      </c>
      <c r="J2089" s="1557"/>
      <c r="K2089" s="1557"/>
      <c r="L2089" s="1557"/>
      <c r="M2089" s="1566"/>
    </row>
    <row r="2090" spans="2:13" s="947" customFormat="1" hidden="1">
      <c r="B2090" s="1540"/>
      <c r="C2090" s="1332" t="s">
        <v>782</v>
      </c>
      <c r="D2090" s="1331" t="s">
        <v>678</v>
      </c>
      <c r="E2090" s="1331" t="s">
        <v>675</v>
      </c>
      <c r="F2090" s="1334">
        <v>0.35</v>
      </c>
      <c r="G2090" s="1104">
        <f>DUB!$I$11</f>
        <v>187000</v>
      </c>
      <c r="H2090" s="1106">
        <f>G2090*F2090</f>
        <v>65449.999999999993</v>
      </c>
      <c r="J2090" s="1557"/>
      <c r="K2090" s="1557"/>
      <c r="L2090" s="1557"/>
      <c r="M2090" s="1566"/>
    </row>
    <row r="2091" spans="2:13" s="947" customFormat="1" hidden="1">
      <c r="B2091" s="1540"/>
      <c r="C2091" s="1332" t="s">
        <v>751</v>
      </c>
      <c r="D2091" s="1331" t="s">
        <v>681</v>
      </c>
      <c r="E2091" s="1331" t="s">
        <v>675</v>
      </c>
      <c r="F2091" s="1334">
        <v>3.5000000000000003E-2</v>
      </c>
      <c r="G2091" s="1104">
        <f>DUB!$I$13</f>
        <v>240000</v>
      </c>
      <c r="H2091" s="1106">
        <f>G2091*F2091</f>
        <v>8400</v>
      </c>
      <c r="J2091" s="1557"/>
      <c r="K2091" s="1557"/>
      <c r="L2091" s="1557"/>
      <c r="M2091" s="1566"/>
    </row>
    <row r="2092" spans="2:13" s="947" customFormat="1" hidden="1">
      <c r="B2092" s="1540"/>
      <c r="C2092" s="1332" t="s">
        <v>683</v>
      </c>
      <c r="D2092" s="1331" t="s">
        <v>684</v>
      </c>
      <c r="E2092" s="1331" t="s">
        <v>675</v>
      </c>
      <c r="F2092" s="1334">
        <v>1.7999999999999999E-2</v>
      </c>
      <c r="G2092" s="1104">
        <f>DUB!$I$12</f>
        <v>225000</v>
      </c>
      <c r="H2092" s="1106">
        <f>G2092*F2092</f>
        <v>4049.9999999999995</v>
      </c>
      <c r="J2092" s="1557"/>
      <c r="K2092" s="1557"/>
      <c r="L2092" s="1557"/>
      <c r="M2092" s="1566"/>
    </row>
    <row r="2093" spans="2:13" s="947" customFormat="1" hidden="1">
      <c r="B2093" s="1540"/>
      <c r="C2093" s="1332"/>
      <c r="D2093" s="1331"/>
      <c r="E2093" s="1331"/>
      <c r="F2093" s="2074" t="s">
        <v>685</v>
      </c>
      <c r="G2093" s="2074"/>
      <c r="H2093" s="1106">
        <f>SUM(H2089:H2092)</f>
        <v>130400</v>
      </c>
      <c r="J2093" s="1557"/>
      <c r="K2093" s="1557"/>
      <c r="L2093" s="1557"/>
      <c r="M2093" s="1566"/>
    </row>
    <row r="2094" spans="2:13" s="947" customFormat="1" hidden="1">
      <c r="B2094" s="1543" t="s">
        <v>686</v>
      </c>
      <c r="C2094" s="1329" t="s">
        <v>687</v>
      </c>
      <c r="D2094" s="1331"/>
      <c r="E2094" s="1331"/>
      <c r="F2094" s="1334"/>
      <c r="G2094" s="1104"/>
      <c r="H2094" s="1106"/>
      <c r="J2094" s="1557"/>
      <c r="K2094" s="1557"/>
      <c r="L2094" s="1557"/>
      <c r="M2094" s="1566"/>
    </row>
    <row r="2095" spans="2:13" s="947" customFormat="1" hidden="1">
      <c r="B2095" s="1540"/>
      <c r="C2095" s="1126" t="s">
        <v>3334</v>
      </c>
      <c r="D2095" s="1331"/>
      <c r="E2095" s="1331" t="s">
        <v>2647</v>
      </c>
      <c r="F2095" s="1334">
        <v>1</v>
      </c>
      <c r="G2095" s="1104">
        <f>DUB!$I$136</f>
        <v>187425</v>
      </c>
      <c r="H2095" s="1106">
        <f>G2095*F2095</f>
        <v>187425</v>
      </c>
      <c r="J2095" s="1557"/>
      <c r="K2095" s="1557"/>
      <c r="L2095" s="1557"/>
      <c r="M2095" s="1566"/>
    </row>
    <row r="2096" spans="2:13" s="947" customFormat="1" hidden="1">
      <c r="B2096" s="1540"/>
      <c r="C2096" s="1125"/>
      <c r="D2096" s="1333"/>
      <c r="E2096" s="1333"/>
      <c r="F2096" s="2074" t="s">
        <v>702</v>
      </c>
      <c r="G2096" s="2074"/>
      <c r="H2096" s="1106">
        <f>SUM(H2095)</f>
        <v>187425</v>
      </c>
      <c r="J2096" s="1557"/>
      <c r="K2096" s="1557"/>
      <c r="L2096" s="1557"/>
      <c r="M2096" s="1566"/>
    </row>
    <row r="2097" spans="2:13" s="949" customFormat="1" hidden="1">
      <c r="B2097" s="1543" t="s">
        <v>703</v>
      </c>
      <c r="C2097" s="2075" t="s">
        <v>3764</v>
      </c>
      <c r="D2097" s="2075"/>
      <c r="E2097" s="2075"/>
      <c r="F2097" s="2075"/>
      <c r="G2097" s="2075"/>
      <c r="H2097" s="1107">
        <f>H2093+H2096</f>
        <v>317825</v>
      </c>
      <c r="J2097" s="1559"/>
      <c r="K2097" s="1559"/>
      <c r="L2097" s="1559"/>
      <c r="M2097" s="1635"/>
    </row>
    <row r="2098" spans="2:13" s="949" customFormat="1" hidden="1">
      <c r="B2098" s="1543" t="s">
        <v>706</v>
      </c>
      <c r="C2098" s="2076" t="s">
        <v>876</v>
      </c>
      <c r="D2098" s="2076"/>
      <c r="E2098" s="2076"/>
      <c r="F2098" s="2077" t="s">
        <v>3873</v>
      </c>
      <c r="G2098" s="2077"/>
      <c r="H2098" s="1107">
        <f>H2097*0.15</f>
        <v>47673.75</v>
      </c>
      <c r="J2098" s="1559"/>
      <c r="K2098" s="1559"/>
      <c r="L2098" s="1559"/>
      <c r="M2098" s="1635"/>
    </row>
    <row r="2099" spans="2:13" s="949" customFormat="1" hidden="1">
      <c r="B2099" s="1543" t="s">
        <v>708</v>
      </c>
      <c r="C2099" s="2078" t="s">
        <v>3765</v>
      </c>
      <c r="D2099" s="2078"/>
      <c r="E2099" s="2078"/>
      <c r="F2099" s="2078"/>
      <c r="G2099" s="2078"/>
      <c r="H2099" s="1107">
        <f>ROUND(SUM(H2097:H2098),2)</f>
        <v>365498.75</v>
      </c>
      <c r="I2099" s="950">
        <f>SUM(H2097:H2098)</f>
        <v>365498.75</v>
      </c>
      <c r="J2099" s="1561"/>
      <c r="K2099" s="1561"/>
      <c r="L2099" s="1559"/>
      <c r="M2099" s="1635"/>
    </row>
    <row r="2100" spans="2:13" s="947" customFormat="1" hidden="1">
      <c r="B2100" s="1129"/>
      <c r="C2100" s="1130"/>
      <c r="D2100" s="1129"/>
      <c r="E2100" s="1130"/>
      <c r="F2100" s="1131"/>
      <c r="G2100" s="1132"/>
      <c r="H2100" s="1115"/>
      <c r="J2100" s="1557"/>
      <c r="K2100" s="1557"/>
      <c r="L2100" s="1557"/>
      <c r="M2100" s="1566"/>
    </row>
    <row r="2101" spans="2:13" s="947" customFormat="1" hidden="1">
      <c r="B2101" s="1150" t="s">
        <v>3977</v>
      </c>
      <c r="C2101" s="1232" t="s">
        <v>4378</v>
      </c>
      <c r="D2101" s="1095"/>
      <c r="E2101" s="1095"/>
      <c r="F2101" s="1172"/>
      <c r="G2101" s="1173"/>
      <c r="H2101" s="1133"/>
      <c r="J2101" s="1557"/>
      <c r="K2101" s="1557"/>
      <c r="L2101" s="1557"/>
      <c r="M2101" s="1566"/>
    </row>
    <row r="2102" spans="2:13" s="948" customFormat="1" ht="24.9" hidden="1" customHeight="1">
      <c r="B2102" s="1748" t="s">
        <v>1003</v>
      </c>
      <c r="C2102" s="1101" t="s">
        <v>1004</v>
      </c>
      <c r="D2102" s="1101" t="s">
        <v>1005</v>
      </c>
      <c r="E2102" s="1101" t="s">
        <v>1006</v>
      </c>
      <c r="F2102" s="1102" t="s">
        <v>1007</v>
      </c>
      <c r="G2102" s="1109" t="s">
        <v>2637</v>
      </c>
      <c r="H2102" s="1110" t="s">
        <v>2638</v>
      </c>
      <c r="J2102" s="1625"/>
      <c r="K2102" s="1625"/>
      <c r="L2102" s="1625"/>
      <c r="M2102" s="1570"/>
    </row>
    <row r="2103" spans="2:13" s="947" customFormat="1" hidden="1">
      <c r="B2103" s="1543" t="s">
        <v>671</v>
      </c>
      <c r="C2103" s="1329" t="s">
        <v>672</v>
      </c>
      <c r="D2103" s="1331"/>
      <c r="E2103" s="1331"/>
      <c r="F2103" s="1334"/>
      <c r="G2103" s="1104"/>
      <c r="H2103" s="1106"/>
      <c r="J2103" s="1557"/>
      <c r="K2103" s="1557"/>
      <c r="L2103" s="1557"/>
      <c r="M2103" s="1566"/>
    </row>
    <row r="2104" spans="2:13" s="947" customFormat="1" hidden="1">
      <c r="B2104" s="1540"/>
      <c r="C2104" s="1332" t="s">
        <v>673</v>
      </c>
      <c r="D2104" s="1331" t="s">
        <v>674</v>
      </c>
      <c r="E2104" s="1331" t="s">
        <v>675</v>
      </c>
      <c r="F2104" s="1334">
        <v>0.35</v>
      </c>
      <c r="G2104" s="1104">
        <f>DUB!$I$10</f>
        <v>150000</v>
      </c>
      <c r="H2104" s="1106">
        <f>G2104*F2104</f>
        <v>52500</v>
      </c>
      <c r="J2104" s="1557"/>
      <c r="K2104" s="1557"/>
      <c r="L2104" s="1557"/>
      <c r="M2104" s="1566"/>
    </row>
    <row r="2105" spans="2:13" s="947" customFormat="1" hidden="1">
      <c r="B2105" s="1540"/>
      <c r="C2105" s="1332" t="s">
        <v>782</v>
      </c>
      <c r="D2105" s="1331" t="s">
        <v>678</v>
      </c>
      <c r="E2105" s="1331" t="s">
        <v>675</v>
      </c>
      <c r="F2105" s="1334">
        <v>0.35</v>
      </c>
      <c r="G2105" s="1104">
        <f>DUB!$I$11</f>
        <v>187000</v>
      </c>
      <c r="H2105" s="1106">
        <f>G2105*F2105</f>
        <v>65449.999999999993</v>
      </c>
      <c r="J2105" s="1557"/>
      <c r="K2105" s="1557"/>
      <c r="L2105" s="1557"/>
      <c r="M2105" s="1566"/>
    </row>
    <row r="2106" spans="2:13" s="947" customFormat="1" hidden="1">
      <c r="B2106" s="1540"/>
      <c r="C2106" s="1332" t="s">
        <v>751</v>
      </c>
      <c r="D2106" s="1331" t="s">
        <v>681</v>
      </c>
      <c r="E2106" s="1331" t="s">
        <v>675</v>
      </c>
      <c r="F2106" s="1334">
        <v>3.5000000000000003E-2</v>
      </c>
      <c r="G2106" s="1104">
        <f>DUB!$I$13</f>
        <v>240000</v>
      </c>
      <c r="H2106" s="1106">
        <f>G2106*F2106</f>
        <v>8400</v>
      </c>
      <c r="J2106" s="1557"/>
      <c r="K2106" s="1557"/>
      <c r="L2106" s="1557"/>
      <c r="M2106" s="1566"/>
    </row>
    <row r="2107" spans="2:13" s="947" customFormat="1" hidden="1">
      <c r="B2107" s="1540"/>
      <c r="C2107" s="1332" t="s">
        <v>683</v>
      </c>
      <c r="D2107" s="1331" t="s">
        <v>684</v>
      </c>
      <c r="E2107" s="1331" t="s">
        <v>675</v>
      </c>
      <c r="F2107" s="1334">
        <v>1.7999999999999999E-2</v>
      </c>
      <c r="G2107" s="1104">
        <f>DUB!$I$12</f>
        <v>225000</v>
      </c>
      <c r="H2107" s="1106">
        <f>G2107*F2107</f>
        <v>4049.9999999999995</v>
      </c>
      <c r="J2107" s="1557"/>
      <c r="K2107" s="1557"/>
      <c r="L2107" s="1557"/>
      <c r="M2107" s="1566"/>
    </row>
    <row r="2108" spans="2:13" s="947" customFormat="1" hidden="1">
      <c r="B2108" s="1540"/>
      <c r="C2108" s="1332"/>
      <c r="D2108" s="1331"/>
      <c r="E2108" s="1331"/>
      <c r="F2108" s="2074" t="s">
        <v>685</v>
      </c>
      <c r="G2108" s="2074"/>
      <c r="H2108" s="1106">
        <f>SUM(H2104:H2107)</f>
        <v>130400</v>
      </c>
      <c r="J2108" s="1557"/>
      <c r="K2108" s="1557"/>
      <c r="L2108" s="1557"/>
      <c r="M2108" s="1566"/>
    </row>
    <row r="2109" spans="2:13" s="947" customFormat="1" hidden="1">
      <c r="B2109" s="1543" t="s">
        <v>686</v>
      </c>
      <c r="C2109" s="1329" t="s">
        <v>687</v>
      </c>
      <c r="D2109" s="1331"/>
      <c r="E2109" s="1331"/>
      <c r="F2109" s="1334"/>
      <c r="G2109" s="1104"/>
      <c r="H2109" s="1106"/>
      <c r="J2109" s="1557"/>
      <c r="K2109" s="1557"/>
      <c r="L2109" s="1557"/>
      <c r="M2109" s="1566"/>
    </row>
    <row r="2110" spans="2:13" s="947" customFormat="1" hidden="1">
      <c r="B2110" s="1540"/>
      <c r="C2110" s="1126" t="s">
        <v>5302</v>
      </c>
      <c r="D2110" s="1331"/>
      <c r="E2110" s="1331" t="s">
        <v>5303</v>
      </c>
      <c r="F2110" s="1334">
        <v>1</v>
      </c>
      <c r="G2110" s="1104">
        <f>DUB!$I$138</f>
        <v>160650</v>
      </c>
      <c r="H2110" s="1106">
        <f>G2110*F2110</f>
        <v>160650</v>
      </c>
      <c r="J2110" s="1557"/>
      <c r="K2110" s="1557"/>
      <c r="L2110" s="1557"/>
      <c r="M2110" s="1566"/>
    </row>
    <row r="2111" spans="2:13" s="947" customFormat="1" hidden="1">
      <c r="B2111" s="1540"/>
      <c r="C2111" s="1125"/>
      <c r="D2111" s="1333"/>
      <c r="E2111" s="1333"/>
      <c r="F2111" s="2074" t="s">
        <v>702</v>
      </c>
      <c r="G2111" s="2074"/>
      <c r="H2111" s="1106">
        <f>SUM(H2110)</f>
        <v>160650</v>
      </c>
      <c r="J2111" s="1557"/>
      <c r="K2111" s="1557"/>
      <c r="L2111" s="1557"/>
      <c r="M2111" s="1566"/>
    </row>
    <row r="2112" spans="2:13" s="949" customFormat="1" hidden="1">
      <c r="B2112" s="1543" t="s">
        <v>703</v>
      </c>
      <c r="C2112" s="2075" t="s">
        <v>3764</v>
      </c>
      <c r="D2112" s="2075"/>
      <c r="E2112" s="2075"/>
      <c r="F2112" s="2075"/>
      <c r="G2112" s="2075"/>
      <c r="H2112" s="1107">
        <f>H2108+H2111</f>
        <v>291050</v>
      </c>
      <c r="J2112" s="1559"/>
      <c r="K2112" s="1559"/>
      <c r="L2112" s="1559"/>
      <c r="M2112" s="1635"/>
    </row>
    <row r="2113" spans="2:13" s="949" customFormat="1" hidden="1">
      <c r="B2113" s="1543" t="s">
        <v>706</v>
      </c>
      <c r="C2113" s="2076" t="s">
        <v>876</v>
      </c>
      <c r="D2113" s="2076"/>
      <c r="E2113" s="2076"/>
      <c r="F2113" s="2077" t="s">
        <v>3873</v>
      </c>
      <c r="G2113" s="2077"/>
      <c r="H2113" s="1107">
        <f>H2112*0.15</f>
        <v>43657.5</v>
      </c>
      <c r="J2113" s="1559"/>
      <c r="K2113" s="1559"/>
      <c r="L2113" s="1559"/>
      <c r="M2113" s="1635"/>
    </row>
    <row r="2114" spans="2:13" s="949" customFormat="1" hidden="1">
      <c r="B2114" s="1543" t="s">
        <v>708</v>
      </c>
      <c r="C2114" s="2078" t="s">
        <v>3765</v>
      </c>
      <c r="D2114" s="2078"/>
      <c r="E2114" s="2078"/>
      <c r="F2114" s="2078"/>
      <c r="G2114" s="2078"/>
      <c r="H2114" s="1107">
        <f>ROUND(SUM(H2112:H2113),2)</f>
        <v>334707.5</v>
      </c>
      <c r="I2114" s="950">
        <f>SUM(H2112:H2113)</f>
        <v>334707.5</v>
      </c>
      <c r="J2114" s="1561"/>
      <c r="K2114" s="1561"/>
      <c r="L2114" s="1559"/>
      <c r="M2114" s="1635"/>
    </row>
    <row r="2115" spans="2:13" s="947" customFormat="1" hidden="1">
      <c r="B2115" s="1143"/>
      <c r="C2115" s="1144"/>
      <c r="D2115" s="1143"/>
      <c r="E2115" s="1143"/>
      <c r="F2115" s="1145"/>
      <c r="G2115" s="1146"/>
      <c r="H2115" s="1147"/>
      <c r="J2115" s="1557"/>
      <c r="K2115" s="1557"/>
      <c r="L2115" s="1557"/>
      <c r="M2115" s="1566"/>
    </row>
    <row r="2116" spans="2:13" s="947" customFormat="1" hidden="1">
      <c r="B2116" s="1100" t="s">
        <v>3978</v>
      </c>
      <c r="C2116" s="1112" t="s">
        <v>2873</v>
      </c>
      <c r="D2116" s="1129"/>
      <c r="E2116" s="1129"/>
      <c r="F2116" s="1131"/>
      <c r="G2116" s="1132"/>
      <c r="H2116" s="1115"/>
      <c r="J2116" s="1557"/>
      <c r="K2116" s="1557"/>
      <c r="L2116" s="1557"/>
      <c r="M2116" s="1566"/>
    </row>
    <row r="2117" spans="2:13" s="948" customFormat="1" ht="24.9" hidden="1" customHeight="1">
      <c r="B2117" s="1748" t="s">
        <v>1003</v>
      </c>
      <c r="C2117" s="1101" t="s">
        <v>1004</v>
      </c>
      <c r="D2117" s="1101" t="s">
        <v>1005</v>
      </c>
      <c r="E2117" s="1101" t="s">
        <v>1006</v>
      </c>
      <c r="F2117" s="1102" t="s">
        <v>1007</v>
      </c>
      <c r="G2117" s="1109" t="s">
        <v>2637</v>
      </c>
      <c r="H2117" s="1110" t="s">
        <v>2638</v>
      </c>
      <c r="J2117" s="1625"/>
      <c r="K2117" s="1625"/>
      <c r="L2117" s="1625"/>
      <c r="M2117" s="1570"/>
    </row>
    <row r="2118" spans="2:13" s="947" customFormat="1" hidden="1">
      <c r="B2118" s="1543" t="s">
        <v>671</v>
      </c>
      <c r="C2118" s="1329" t="s">
        <v>672</v>
      </c>
      <c r="D2118" s="1331"/>
      <c r="E2118" s="1331"/>
      <c r="F2118" s="1334"/>
      <c r="G2118" s="1104"/>
      <c r="H2118" s="1106"/>
      <c r="J2118" s="1557"/>
      <c r="K2118" s="1557"/>
      <c r="L2118" s="1557"/>
      <c r="M2118" s="1566"/>
    </row>
    <row r="2119" spans="2:13" s="947" customFormat="1" hidden="1">
      <c r="B2119" s="1540"/>
      <c r="C2119" s="1332" t="s">
        <v>673</v>
      </c>
      <c r="D2119" s="1331" t="s">
        <v>674</v>
      </c>
      <c r="E2119" s="1331" t="s">
        <v>675</v>
      </c>
      <c r="F2119" s="1334">
        <v>1.67</v>
      </c>
      <c r="G2119" s="1104">
        <f>DUB!$I$10</f>
        <v>150000</v>
      </c>
      <c r="H2119" s="1106">
        <f>G2119*F2119</f>
        <v>250500</v>
      </c>
      <c r="J2119" s="1557"/>
      <c r="K2119" s="1557"/>
      <c r="L2119" s="1557"/>
      <c r="M2119" s="1566"/>
    </row>
    <row r="2120" spans="2:13" s="947" customFormat="1" hidden="1">
      <c r="B2120" s="1540"/>
      <c r="C2120" s="1332" t="s">
        <v>986</v>
      </c>
      <c r="D2120" s="1331" t="s">
        <v>678</v>
      </c>
      <c r="E2120" s="1331" t="s">
        <v>675</v>
      </c>
      <c r="F2120" s="1334">
        <v>1.67</v>
      </c>
      <c r="G2120" s="1104">
        <f>DUB!$I$11</f>
        <v>187000</v>
      </c>
      <c r="H2120" s="1106">
        <f>G2120*F2120</f>
        <v>312290</v>
      </c>
      <c r="J2120" s="1557"/>
      <c r="K2120" s="1557"/>
      <c r="L2120" s="1557"/>
      <c r="M2120" s="1566"/>
    </row>
    <row r="2121" spans="2:13" s="947" customFormat="1" hidden="1">
      <c r="B2121" s="1540"/>
      <c r="C2121" s="1332" t="s">
        <v>751</v>
      </c>
      <c r="D2121" s="1331" t="s">
        <v>681</v>
      </c>
      <c r="E2121" s="1331" t="s">
        <v>675</v>
      </c>
      <c r="F2121" s="1334">
        <v>0.16700000000000001</v>
      </c>
      <c r="G2121" s="1104">
        <f>DUB!$I$13</f>
        <v>240000</v>
      </c>
      <c r="H2121" s="1106">
        <f>G2121*F2121</f>
        <v>40080</v>
      </c>
      <c r="J2121" s="1557"/>
      <c r="K2121" s="1557"/>
      <c r="L2121" s="1557"/>
      <c r="M2121" s="1566"/>
    </row>
    <row r="2122" spans="2:13" s="947" customFormat="1" hidden="1">
      <c r="B2122" s="1540"/>
      <c r="C2122" s="1332" t="s">
        <v>683</v>
      </c>
      <c r="D2122" s="1331" t="s">
        <v>684</v>
      </c>
      <c r="E2122" s="1331" t="s">
        <v>675</v>
      </c>
      <c r="F2122" s="1334">
        <v>8.3000000000000004E-2</v>
      </c>
      <c r="G2122" s="1104">
        <f>DUB!$I$12</f>
        <v>225000</v>
      </c>
      <c r="H2122" s="1106">
        <f>G2122*F2122</f>
        <v>18675</v>
      </c>
      <c r="J2122" s="1557"/>
      <c r="K2122" s="1557"/>
      <c r="L2122" s="1557"/>
      <c r="M2122" s="1566"/>
    </row>
    <row r="2123" spans="2:13" s="947" customFormat="1" hidden="1">
      <c r="B2123" s="1540"/>
      <c r="C2123" s="1332"/>
      <c r="D2123" s="1331"/>
      <c r="E2123" s="1331"/>
      <c r="F2123" s="2074" t="s">
        <v>685</v>
      </c>
      <c r="G2123" s="2074"/>
      <c r="H2123" s="1106">
        <f>SUM(H2119:H2122)</f>
        <v>621545</v>
      </c>
      <c r="J2123" s="1557"/>
      <c r="K2123" s="1557"/>
      <c r="L2123" s="1557"/>
      <c r="M2123" s="1566"/>
    </row>
    <row r="2124" spans="2:13" s="947" customFormat="1" hidden="1">
      <c r="B2124" s="1543" t="s">
        <v>686</v>
      </c>
      <c r="C2124" s="1329" t="s">
        <v>687</v>
      </c>
      <c r="D2124" s="1331"/>
      <c r="E2124" s="1331"/>
      <c r="F2124" s="1334"/>
      <c r="G2124" s="1104"/>
      <c r="H2124" s="1106"/>
      <c r="J2124" s="1557"/>
      <c r="K2124" s="1557"/>
      <c r="L2124" s="1557"/>
      <c r="M2124" s="1566"/>
    </row>
    <row r="2125" spans="2:13" s="947" customFormat="1" hidden="1">
      <c r="B2125" s="1540"/>
      <c r="C2125" s="1332" t="s">
        <v>736</v>
      </c>
      <c r="D2125" s="1331"/>
      <c r="E2125" s="1331" t="s">
        <v>773</v>
      </c>
      <c r="F2125" s="1334">
        <v>6.1769999999999996</v>
      </c>
      <c r="G2125" s="1104">
        <f>DUB!$I$105</f>
        <v>16065</v>
      </c>
      <c r="H2125" s="1106">
        <f>G2125*F2125</f>
        <v>99233.50499999999</v>
      </c>
      <c r="J2125" s="1557"/>
      <c r="K2125" s="1557"/>
      <c r="L2125" s="1557"/>
      <c r="M2125" s="1566"/>
    </row>
    <row r="2126" spans="2:13" s="947" customFormat="1" hidden="1">
      <c r="B2126" s="1540"/>
      <c r="C2126" s="1332" t="s">
        <v>3490</v>
      </c>
      <c r="D2126" s="1331"/>
      <c r="E2126" s="1331" t="s">
        <v>959</v>
      </c>
      <c r="F2126" s="1334">
        <v>27.08</v>
      </c>
      <c r="G2126" s="1104">
        <f>G1919</f>
        <v>4932.12</v>
      </c>
      <c r="H2126" s="1106">
        <f>G2126*F2126</f>
        <v>133561.80959999998</v>
      </c>
      <c r="J2126" s="1557"/>
      <c r="K2126" s="1557"/>
      <c r="L2126" s="1557"/>
      <c r="M2126" s="1566"/>
    </row>
    <row r="2127" spans="2:13" s="947" customFormat="1" hidden="1">
      <c r="B2127" s="1540"/>
      <c r="C2127" s="1125"/>
      <c r="D2127" s="1333"/>
      <c r="E2127" s="1333"/>
      <c r="F2127" s="2074" t="s">
        <v>702</v>
      </c>
      <c r="G2127" s="2074"/>
      <c r="H2127" s="1106">
        <f>SUM(H2125:H2126)</f>
        <v>232795.31459999998</v>
      </c>
      <c r="J2127" s="1557"/>
      <c r="K2127" s="1557"/>
      <c r="L2127" s="1557"/>
      <c r="M2127" s="1566"/>
    </row>
    <row r="2128" spans="2:13" s="949" customFormat="1" hidden="1">
      <c r="B2128" s="1543" t="s">
        <v>703</v>
      </c>
      <c r="C2128" s="2075" t="s">
        <v>3764</v>
      </c>
      <c r="D2128" s="2075"/>
      <c r="E2128" s="2075"/>
      <c r="F2128" s="2075"/>
      <c r="G2128" s="2075"/>
      <c r="H2128" s="1107">
        <f>H2123+H2127</f>
        <v>854340.31459999993</v>
      </c>
      <c r="J2128" s="1559"/>
      <c r="K2128" s="1559"/>
      <c r="L2128" s="1559"/>
      <c r="M2128" s="1635"/>
    </row>
    <row r="2129" spans="2:13" s="949" customFormat="1" hidden="1">
      <c r="B2129" s="1543" t="s">
        <v>706</v>
      </c>
      <c r="C2129" s="2076" t="s">
        <v>876</v>
      </c>
      <c r="D2129" s="2076"/>
      <c r="E2129" s="2076"/>
      <c r="F2129" s="2077" t="s">
        <v>3873</v>
      </c>
      <c r="G2129" s="2077"/>
      <c r="H2129" s="1107">
        <f>H2128*0.15</f>
        <v>128151.04718999998</v>
      </c>
      <c r="J2129" s="1559"/>
      <c r="K2129" s="1559"/>
      <c r="L2129" s="1559"/>
      <c r="M2129" s="1635"/>
    </row>
    <row r="2130" spans="2:13" s="949" customFormat="1" hidden="1">
      <c r="B2130" s="1543" t="s">
        <v>708</v>
      </c>
      <c r="C2130" s="2078" t="s">
        <v>3765</v>
      </c>
      <c r="D2130" s="2078"/>
      <c r="E2130" s="2078"/>
      <c r="F2130" s="2078"/>
      <c r="G2130" s="2078"/>
      <c r="H2130" s="1107">
        <f>ROUND(SUM(H2128:H2129),2)</f>
        <v>982491.36</v>
      </c>
      <c r="I2130" s="950">
        <f>SUM(H2128:H2129)</f>
        <v>982491.36178999988</v>
      </c>
      <c r="J2130" s="1561"/>
      <c r="K2130" s="1561"/>
      <c r="L2130" s="1559"/>
      <c r="M2130" s="1635"/>
    </row>
    <row r="2131" spans="2:13" s="947" customFormat="1" hidden="1">
      <c r="B2131" s="1095"/>
      <c r="C2131" s="1096"/>
      <c r="D2131" s="1095"/>
      <c r="E2131" s="1095"/>
      <c r="F2131" s="1172"/>
      <c r="G2131" s="1173"/>
      <c r="H2131" s="1133"/>
      <c r="J2131" s="1557"/>
      <c r="K2131" s="1557"/>
      <c r="L2131" s="1557"/>
      <c r="M2131" s="1566"/>
    </row>
    <row r="2132" spans="2:13" s="947" customFormat="1" hidden="1">
      <c r="B2132" s="1100" t="s">
        <v>3979</v>
      </c>
      <c r="C2132" s="1232" t="s">
        <v>2874</v>
      </c>
      <c r="D2132" s="1095"/>
      <c r="E2132" s="1095"/>
      <c r="F2132" s="1172"/>
      <c r="G2132" s="1173"/>
      <c r="H2132" s="1133"/>
      <c r="J2132" s="1557"/>
      <c r="K2132" s="1557"/>
      <c r="L2132" s="1557"/>
      <c r="M2132" s="1566"/>
    </row>
    <row r="2133" spans="2:13" s="948" customFormat="1" ht="24.9" hidden="1" customHeight="1">
      <c r="B2133" s="1748" t="s">
        <v>1003</v>
      </c>
      <c r="C2133" s="1101" t="s">
        <v>1004</v>
      </c>
      <c r="D2133" s="1101" t="s">
        <v>1005</v>
      </c>
      <c r="E2133" s="1101" t="s">
        <v>1006</v>
      </c>
      <c r="F2133" s="1139" t="s">
        <v>1007</v>
      </c>
      <c r="G2133" s="1109" t="s">
        <v>2637</v>
      </c>
      <c r="H2133" s="1110" t="s">
        <v>2638</v>
      </c>
      <c r="J2133" s="1625"/>
      <c r="K2133" s="1625"/>
      <c r="L2133" s="1625"/>
      <c r="M2133" s="1570"/>
    </row>
    <row r="2134" spans="2:13" s="947" customFormat="1" hidden="1">
      <c r="B2134" s="1543" t="s">
        <v>671</v>
      </c>
      <c r="C2134" s="1329" t="s">
        <v>672</v>
      </c>
      <c r="D2134" s="1331"/>
      <c r="E2134" s="1331"/>
      <c r="F2134" s="1532"/>
      <c r="G2134" s="1104"/>
      <c r="H2134" s="1106"/>
      <c r="J2134" s="1557"/>
      <c r="K2134" s="1557"/>
      <c r="L2134" s="1557"/>
      <c r="M2134" s="1566"/>
    </row>
    <row r="2135" spans="2:13" s="947" customFormat="1" hidden="1">
      <c r="B2135" s="1540"/>
      <c r="C2135" s="1332" t="s">
        <v>673</v>
      </c>
      <c r="D2135" s="1331" t="s">
        <v>674</v>
      </c>
      <c r="E2135" s="1331" t="s">
        <v>675</v>
      </c>
      <c r="F2135" s="1532">
        <v>0.1</v>
      </c>
      <c r="G2135" s="1104">
        <f>DUB!$I$10</f>
        <v>150000</v>
      </c>
      <c r="H2135" s="1106">
        <f>G2135*F2135</f>
        <v>15000</v>
      </c>
      <c r="J2135" s="1557"/>
      <c r="K2135" s="1557"/>
      <c r="L2135" s="1557"/>
      <c r="M2135" s="1566"/>
    </row>
    <row r="2136" spans="2:13" s="947" customFormat="1" hidden="1">
      <c r="B2136" s="1540"/>
      <c r="C2136" s="1332" t="s">
        <v>782</v>
      </c>
      <c r="D2136" s="1331" t="s">
        <v>678</v>
      </c>
      <c r="E2136" s="1331" t="s">
        <v>675</v>
      </c>
      <c r="F2136" s="1532">
        <v>0.1</v>
      </c>
      <c r="G2136" s="1104">
        <f>DUB!$I$11</f>
        <v>187000</v>
      </c>
      <c r="H2136" s="1106">
        <f>G2136*F2136</f>
        <v>18700</v>
      </c>
      <c r="J2136" s="1557"/>
      <c r="K2136" s="1557"/>
      <c r="L2136" s="1557"/>
      <c r="M2136" s="1566"/>
    </row>
    <row r="2137" spans="2:13" s="947" customFormat="1" hidden="1">
      <c r="B2137" s="1540"/>
      <c r="C2137" s="1332" t="s">
        <v>751</v>
      </c>
      <c r="D2137" s="1331" t="s">
        <v>681</v>
      </c>
      <c r="E2137" s="1331" t="s">
        <v>675</v>
      </c>
      <c r="F2137" s="1532">
        <v>0.01</v>
      </c>
      <c r="G2137" s="1104">
        <f>DUB!$I$13</f>
        <v>240000</v>
      </c>
      <c r="H2137" s="1106">
        <f>G2137*F2137</f>
        <v>2400</v>
      </c>
      <c r="J2137" s="1557"/>
      <c r="K2137" s="1557"/>
      <c r="L2137" s="1557"/>
      <c r="M2137" s="1566"/>
    </row>
    <row r="2138" spans="2:13" s="947" customFormat="1" hidden="1">
      <c r="B2138" s="1540"/>
      <c r="C2138" s="1332" t="s">
        <v>683</v>
      </c>
      <c r="D2138" s="1331" t="s">
        <v>684</v>
      </c>
      <c r="E2138" s="1331" t="s">
        <v>675</v>
      </c>
      <c r="F2138" s="1532">
        <v>5.0000000000000001E-3</v>
      </c>
      <c r="G2138" s="1104">
        <f>DUB!$I$12</f>
        <v>225000</v>
      </c>
      <c r="H2138" s="1106">
        <f>G2138*F2138</f>
        <v>1125</v>
      </c>
      <c r="J2138" s="1557"/>
      <c r="K2138" s="1557"/>
      <c r="L2138" s="1557"/>
      <c r="M2138" s="1566"/>
    </row>
    <row r="2139" spans="2:13" s="947" customFormat="1" hidden="1">
      <c r="B2139" s="1540"/>
      <c r="C2139" s="1332"/>
      <c r="D2139" s="1331"/>
      <c r="E2139" s="1331"/>
      <c r="F2139" s="2080" t="s">
        <v>685</v>
      </c>
      <c r="G2139" s="2081"/>
      <c r="H2139" s="1106">
        <f>SUM(H2135:H2138)</f>
        <v>37225</v>
      </c>
      <c r="J2139" s="1557"/>
      <c r="K2139" s="1557"/>
      <c r="L2139" s="1557"/>
      <c r="M2139" s="1566"/>
    </row>
    <row r="2140" spans="2:13" s="947" customFormat="1" hidden="1">
      <c r="B2140" s="1543" t="s">
        <v>686</v>
      </c>
      <c r="C2140" s="1329" t="s">
        <v>687</v>
      </c>
      <c r="D2140" s="1331"/>
      <c r="E2140" s="1331"/>
      <c r="F2140" s="1532"/>
      <c r="G2140" s="1104"/>
      <c r="H2140" s="1106"/>
      <c r="J2140" s="1557"/>
      <c r="K2140" s="1557"/>
      <c r="L2140" s="1557"/>
      <c r="M2140" s="1566"/>
    </row>
    <row r="2141" spans="2:13" s="947" customFormat="1" hidden="1">
      <c r="B2141" s="1540"/>
      <c r="C2141" s="1332" t="s">
        <v>3335</v>
      </c>
      <c r="D2141" s="1331"/>
      <c r="E2141" s="1331" t="s">
        <v>2647</v>
      </c>
      <c r="F2141" s="1532">
        <v>1.1000000000000001</v>
      </c>
      <c r="G2141" s="1104">
        <f>DUB!$I$160</f>
        <v>481950</v>
      </c>
      <c r="H2141" s="1106">
        <f>G2141*F2141</f>
        <v>530145</v>
      </c>
      <c r="J2141" s="1557"/>
      <c r="K2141" s="1557"/>
      <c r="L2141" s="1557"/>
      <c r="M2141" s="1566"/>
    </row>
    <row r="2142" spans="2:13" s="947" customFormat="1" hidden="1">
      <c r="B2142" s="1540"/>
      <c r="C2142" s="1332" t="s">
        <v>958</v>
      </c>
      <c r="D2142" s="1331"/>
      <c r="E2142" s="1331" t="s">
        <v>959</v>
      </c>
      <c r="F2142" s="1532">
        <v>11.11</v>
      </c>
      <c r="G2142" s="1104">
        <f>$G$2126</f>
        <v>4932.12</v>
      </c>
      <c r="H2142" s="1106">
        <f>G2142*F2142</f>
        <v>54795.853199999998</v>
      </c>
      <c r="J2142" s="1557"/>
      <c r="K2142" s="1557"/>
      <c r="L2142" s="1557"/>
      <c r="M2142" s="1566"/>
    </row>
    <row r="2143" spans="2:13" s="947" customFormat="1" hidden="1">
      <c r="B2143" s="1540"/>
      <c r="C2143" s="1332" t="s">
        <v>2652</v>
      </c>
      <c r="D2143" s="1331"/>
      <c r="E2143" s="1331" t="s">
        <v>773</v>
      </c>
      <c r="F2143" s="1532">
        <v>1.716</v>
      </c>
      <c r="G2143" s="1104">
        <f>DUB!$I$105</f>
        <v>16065</v>
      </c>
      <c r="H2143" s="1106">
        <f>G2143*F2143</f>
        <v>27567.54</v>
      </c>
      <c r="J2143" s="1557"/>
      <c r="K2143" s="1557"/>
      <c r="L2143" s="1557"/>
      <c r="M2143" s="1566"/>
    </row>
    <row r="2144" spans="2:13" s="947" customFormat="1" hidden="1">
      <c r="B2144" s="1540"/>
      <c r="C2144" s="1332"/>
      <c r="D2144" s="1331"/>
      <c r="E2144" s="1331"/>
      <c r="F2144" s="2080" t="s">
        <v>702</v>
      </c>
      <c r="G2144" s="2081"/>
      <c r="H2144" s="1106">
        <f>SUM(H2141:H2143)</f>
        <v>612508.39320000005</v>
      </c>
      <c r="J2144" s="1557"/>
      <c r="K2144" s="1557"/>
      <c r="L2144" s="1557"/>
      <c r="M2144" s="1566"/>
    </row>
    <row r="2145" spans="2:13" s="949" customFormat="1" hidden="1">
      <c r="B2145" s="1543" t="s">
        <v>703</v>
      </c>
      <c r="C2145" s="1117" t="s">
        <v>3764</v>
      </c>
      <c r="D2145" s="1120"/>
      <c r="E2145" s="1120"/>
      <c r="F2145" s="1121"/>
      <c r="G2145" s="1141"/>
      <c r="H2145" s="1107">
        <f>H2139+H2144</f>
        <v>649733.39320000005</v>
      </c>
      <c r="J2145" s="1559"/>
      <c r="K2145" s="1559"/>
      <c r="L2145" s="1559"/>
      <c r="M2145" s="1635"/>
    </row>
    <row r="2146" spans="2:13" s="949" customFormat="1" hidden="1">
      <c r="B2146" s="1543" t="s">
        <v>706</v>
      </c>
      <c r="C2146" s="1123" t="s">
        <v>876</v>
      </c>
      <c r="D2146" s="1124"/>
      <c r="E2146" s="1154"/>
      <c r="F2146" s="1545" t="s">
        <v>3873</v>
      </c>
      <c r="G2146" s="1141"/>
      <c r="H2146" s="1107">
        <f>H2145*0.15</f>
        <v>97460.008979999999</v>
      </c>
      <c r="J2146" s="1559"/>
      <c r="K2146" s="1559"/>
      <c r="L2146" s="1559"/>
      <c r="M2146" s="1635"/>
    </row>
    <row r="2147" spans="2:13" s="949" customFormat="1" hidden="1">
      <c r="B2147" s="1543" t="s">
        <v>708</v>
      </c>
      <c r="C2147" s="2078" t="s">
        <v>3765</v>
      </c>
      <c r="D2147" s="2078"/>
      <c r="E2147" s="2078"/>
      <c r="F2147" s="2078"/>
      <c r="G2147" s="2078"/>
      <c r="H2147" s="1107">
        <f>ROUND(SUM(H2145:H2146),2)</f>
        <v>747193.4</v>
      </c>
      <c r="I2147" s="950">
        <f>SUM(H2145:H2146)</f>
        <v>747193.40218000009</v>
      </c>
      <c r="J2147" s="1561"/>
      <c r="K2147" s="1561"/>
      <c r="L2147" s="1559"/>
      <c r="M2147" s="1635"/>
    </row>
    <row r="2148" spans="2:13" s="947" customFormat="1" hidden="1">
      <c r="B2148" s="1143"/>
      <c r="C2148" s="1144"/>
      <c r="D2148" s="1143"/>
      <c r="E2148" s="1143"/>
      <c r="F2148" s="1145"/>
      <c r="G2148" s="1146"/>
      <c r="H2148" s="1147"/>
      <c r="J2148" s="1557"/>
      <c r="K2148" s="1557"/>
      <c r="L2148" s="1557"/>
      <c r="M2148" s="1566"/>
    </row>
    <row r="2149" spans="2:13" s="947" customFormat="1" hidden="1">
      <c r="B2149" s="1150" t="s">
        <v>3980</v>
      </c>
      <c r="C2149" s="1112" t="s">
        <v>2875</v>
      </c>
      <c r="D2149" s="1129"/>
      <c r="E2149" s="1129"/>
      <c r="F2149" s="1131"/>
      <c r="G2149" s="1132"/>
      <c r="H2149" s="1115"/>
      <c r="J2149" s="1557"/>
      <c r="K2149" s="1557"/>
      <c r="L2149" s="1557"/>
      <c r="M2149" s="1566"/>
    </row>
    <row r="2150" spans="2:13" s="948" customFormat="1" ht="24.9" hidden="1" customHeight="1">
      <c r="B2150" s="1748" t="s">
        <v>1003</v>
      </c>
      <c r="C2150" s="1101" t="s">
        <v>1004</v>
      </c>
      <c r="D2150" s="1116" t="s">
        <v>1005</v>
      </c>
      <c r="E2150" s="1101" t="s">
        <v>1006</v>
      </c>
      <c r="F2150" s="1102" t="s">
        <v>1007</v>
      </c>
      <c r="G2150" s="1103" t="s">
        <v>2637</v>
      </c>
      <c r="H2150" s="1110" t="s">
        <v>2638</v>
      </c>
      <c r="J2150" s="1625"/>
      <c r="K2150" s="1625"/>
      <c r="L2150" s="1625"/>
      <c r="M2150" s="1570"/>
    </row>
    <row r="2151" spans="2:13" s="947" customFormat="1" hidden="1">
      <c r="B2151" s="1543" t="s">
        <v>671</v>
      </c>
      <c r="C2151" s="1329" t="s">
        <v>672</v>
      </c>
      <c r="D2151" s="1539"/>
      <c r="E2151" s="1331"/>
      <c r="F2151" s="1334"/>
      <c r="G2151" s="1140"/>
      <c r="H2151" s="1106"/>
      <c r="J2151" s="1557"/>
      <c r="K2151" s="1557"/>
      <c r="L2151" s="1557"/>
      <c r="M2151" s="1566"/>
    </row>
    <row r="2152" spans="2:13" s="947" customFormat="1" hidden="1">
      <c r="B2152" s="1540"/>
      <c r="C2152" s="1332" t="s">
        <v>673</v>
      </c>
      <c r="D2152" s="1539" t="s">
        <v>674</v>
      </c>
      <c r="E2152" s="1331" t="s">
        <v>675</v>
      </c>
      <c r="F2152" s="1334">
        <v>0.2</v>
      </c>
      <c r="G2152" s="1104">
        <f>DUB!$I$10</f>
        <v>150000</v>
      </c>
      <c r="H2152" s="1106">
        <f>G2152*F2152</f>
        <v>30000</v>
      </c>
      <c r="J2152" s="1557"/>
      <c r="K2152" s="1557"/>
      <c r="L2152" s="1557"/>
      <c r="M2152" s="1566"/>
    </row>
    <row r="2153" spans="2:13" s="947" customFormat="1" hidden="1">
      <c r="B2153" s="1540"/>
      <c r="C2153" s="1332" t="s">
        <v>782</v>
      </c>
      <c r="D2153" s="1539" t="s">
        <v>678</v>
      </c>
      <c r="E2153" s="1331" t="s">
        <v>675</v>
      </c>
      <c r="F2153" s="1334">
        <v>0.2</v>
      </c>
      <c r="G2153" s="1104">
        <f>DUB!$I$11</f>
        <v>187000</v>
      </c>
      <c r="H2153" s="1106">
        <f>G2153*F2153</f>
        <v>37400</v>
      </c>
      <c r="J2153" s="1557"/>
      <c r="K2153" s="1557"/>
      <c r="L2153" s="1557"/>
      <c r="M2153" s="1566"/>
    </row>
    <row r="2154" spans="2:13" s="947" customFormat="1" hidden="1">
      <c r="B2154" s="1540"/>
      <c r="C2154" s="1332" t="s">
        <v>751</v>
      </c>
      <c r="D2154" s="1539" t="s">
        <v>681</v>
      </c>
      <c r="E2154" s="1331" t="s">
        <v>675</v>
      </c>
      <c r="F2154" s="1334">
        <v>0.02</v>
      </c>
      <c r="G2154" s="1104">
        <f>DUB!$I$13</f>
        <v>240000</v>
      </c>
      <c r="H2154" s="1106">
        <f>G2154*F2154</f>
        <v>4800</v>
      </c>
      <c r="J2154" s="1557"/>
      <c r="K2154" s="1557"/>
      <c r="L2154" s="1557"/>
      <c r="M2154" s="1566"/>
    </row>
    <row r="2155" spans="2:13" s="947" customFormat="1" hidden="1">
      <c r="B2155" s="1540"/>
      <c r="C2155" s="1332" t="s">
        <v>683</v>
      </c>
      <c r="D2155" s="1539" t="s">
        <v>684</v>
      </c>
      <c r="E2155" s="1331" t="s">
        <v>675</v>
      </c>
      <c r="F2155" s="1334">
        <v>1E-3</v>
      </c>
      <c r="G2155" s="1104">
        <f>DUB!$I$12</f>
        <v>225000</v>
      </c>
      <c r="H2155" s="1106">
        <f>G2155*F2155</f>
        <v>225</v>
      </c>
      <c r="J2155" s="1557"/>
      <c r="K2155" s="1557"/>
      <c r="L2155" s="1557"/>
      <c r="M2155" s="1566"/>
    </row>
    <row r="2156" spans="2:13" s="947" customFormat="1" hidden="1">
      <c r="B2156" s="1540"/>
      <c r="C2156" s="1332"/>
      <c r="D2156" s="1539"/>
      <c r="E2156" s="1331"/>
      <c r="F2156" s="2074" t="s">
        <v>685</v>
      </c>
      <c r="G2156" s="2074"/>
      <c r="H2156" s="1106">
        <f>SUM(H2152:H2155)</f>
        <v>72425</v>
      </c>
      <c r="J2156" s="1557"/>
      <c r="K2156" s="1557"/>
      <c r="L2156" s="1557"/>
      <c r="M2156" s="1566"/>
    </row>
    <row r="2157" spans="2:13" s="947" customFormat="1" hidden="1">
      <c r="B2157" s="1543" t="s">
        <v>686</v>
      </c>
      <c r="C2157" s="1329" t="s">
        <v>687</v>
      </c>
      <c r="D2157" s="1540"/>
      <c r="E2157" s="1331"/>
      <c r="F2157" s="1334"/>
      <c r="G2157" s="1140"/>
      <c r="H2157" s="1106"/>
      <c r="J2157" s="1557"/>
      <c r="K2157" s="1557"/>
      <c r="L2157" s="1557"/>
      <c r="M2157" s="1566"/>
    </row>
    <row r="2158" spans="2:13" s="947" customFormat="1" hidden="1">
      <c r="B2158" s="1540"/>
      <c r="C2158" s="1126" t="s">
        <v>3337</v>
      </c>
      <c r="D2158" s="1540"/>
      <c r="E2158" s="1187" t="s">
        <v>2647</v>
      </c>
      <c r="F2158" s="1179">
        <v>1.1000000000000001</v>
      </c>
      <c r="G2158" s="1140">
        <f>DUB!$I$232</f>
        <v>198135</v>
      </c>
      <c r="H2158" s="1106">
        <f>G2158*F2158</f>
        <v>217948.50000000003</v>
      </c>
      <c r="J2158" s="1557"/>
      <c r="K2158" s="1557"/>
      <c r="L2158" s="1557"/>
      <c r="M2158" s="1566"/>
    </row>
    <row r="2159" spans="2:13" s="947" customFormat="1" hidden="1">
      <c r="B2159" s="1540"/>
      <c r="C2159" s="1126" t="s">
        <v>3336</v>
      </c>
      <c r="D2159" s="1331"/>
      <c r="E2159" s="1331" t="s">
        <v>971</v>
      </c>
      <c r="F2159" s="1334">
        <v>10</v>
      </c>
      <c r="G2159" s="1140">
        <f>DUB!$I$130</f>
        <v>207</v>
      </c>
      <c r="H2159" s="1106">
        <f>G2159*F2159</f>
        <v>2070</v>
      </c>
      <c r="J2159" s="1557"/>
      <c r="K2159" s="1557"/>
      <c r="L2159" s="1557"/>
      <c r="M2159" s="1566"/>
    </row>
    <row r="2160" spans="2:13" s="947" customFormat="1" hidden="1">
      <c r="B2160" s="1540"/>
      <c r="C2160" s="1332" t="s">
        <v>736</v>
      </c>
      <c r="D2160" s="1331"/>
      <c r="E2160" s="1331" t="s">
        <v>773</v>
      </c>
      <c r="F2160" s="1334">
        <f>7*0.47</f>
        <v>3.29</v>
      </c>
      <c r="G2160" s="1140">
        <f>DUB!$I$105</f>
        <v>16065</v>
      </c>
      <c r="H2160" s="1106">
        <f>G2160*F2160</f>
        <v>52853.85</v>
      </c>
      <c r="I2160" s="1683"/>
      <c r="J2160" s="1653"/>
      <c r="K2160" s="1653"/>
      <c r="L2160" s="1557"/>
      <c r="M2160" s="1566"/>
    </row>
    <row r="2161" spans="2:13" s="947" customFormat="1" hidden="1">
      <c r="B2161" s="1540"/>
      <c r="C2161" s="1125"/>
      <c r="D2161" s="1333"/>
      <c r="E2161" s="1333"/>
      <c r="F2161" s="2074" t="s">
        <v>702</v>
      </c>
      <c r="G2161" s="2074"/>
      <c r="H2161" s="1106">
        <f>SUM(H2158:H2160)</f>
        <v>272872.35000000003</v>
      </c>
      <c r="J2161" s="1557"/>
      <c r="K2161" s="1557"/>
      <c r="L2161" s="1557"/>
      <c r="M2161" s="1566"/>
    </row>
    <row r="2162" spans="2:13" s="949" customFormat="1" hidden="1">
      <c r="B2162" s="1543" t="s">
        <v>703</v>
      </c>
      <c r="C2162" s="2075" t="s">
        <v>3764</v>
      </c>
      <c r="D2162" s="2075"/>
      <c r="E2162" s="2075"/>
      <c r="F2162" s="2075"/>
      <c r="G2162" s="2075"/>
      <c r="H2162" s="1107">
        <f>H2156+H2161</f>
        <v>345297.35000000003</v>
      </c>
      <c r="J2162" s="1559"/>
      <c r="K2162" s="1559"/>
      <c r="L2162" s="1559"/>
      <c r="M2162" s="1635"/>
    </row>
    <row r="2163" spans="2:13" s="949" customFormat="1" hidden="1">
      <c r="B2163" s="1543" t="s">
        <v>706</v>
      </c>
      <c r="C2163" s="2076" t="s">
        <v>876</v>
      </c>
      <c r="D2163" s="2076"/>
      <c r="E2163" s="2076"/>
      <c r="F2163" s="2077" t="s">
        <v>3873</v>
      </c>
      <c r="G2163" s="2077"/>
      <c r="H2163" s="1107">
        <f>H2162*0.15</f>
        <v>51794.602500000001</v>
      </c>
      <c r="J2163" s="1559"/>
      <c r="K2163" s="1559"/>
      <c r="L2163" s="1559"/>
      <c r="M2163" s="1635"/>
    </row>
    <row r="2164" spans="2:13" s="949" customFormat="1" hidden="1">
      <c r="B2164" s="1543" t="s">
        <v>708</v>
      </c>
      <c r="C2164" s="2078" t="s">
        <v>3765</v>
      </c>
      <c r="D2164" s="2078"/>
      <c r="E2164" s="2078"/>
      <c r="F2164" s="2078"/>
      <c r="G2164" s="2078"/>
      <c r="H2164" s="1107">
        <f>ROUND(SUM(H2162:H2163),2)</f>
        <v>397091.95</v>
      </c>
      <c r="I2164" s="950">
        <f>SUM(H2162:H2163)</f>
        <v>397091.95250000001</v>
      </c>
      <c r="J2164" s="1561"/>
      <c r="K2164" s="1561"/>
      <c r="L2164" s="1559"/>
      <c r="M2164" s="1635"/>
    </row>
    <row r="2165" spans="2:13" s="947" customFormat="1" hidden="1">
      <c r="B2165" s="1095"/>
      <c r="C2165" s="1096"/>
      <c r="D2165" s="1095"/>
      <c r="E2165" s="1095"/>
      <c r="F2165" s="1172"/>
      <c r="G2165" s="1173"/>
      <c r="H2165" s="1133"/>
      <c r="I2165" s="1684"/>
      <c r="J2165" s="1685"/>
      <c r="K2165" s="1685"/>
      <c r="L2165" s="1557"/>
      <c r="M2165" s="1566"/>
    </row>
    <row r="2166" spans="2:13" s="947" customFormat="1" hidden="1">
      <c r="B2166" s="1100" t="s">
        <v>3981</v>
      </c>
      <c r="C2166" s="1232" t="s">
        <v>2876</v>
      </c>
      <c r="D2166" s="1095"/>
      <c r="E2166" s="1095"/>
      <c r="F2166" s="1172"/>
      <c r="G2166" s="1173"/>
      <c r="H2166" s="1133"/>
      <c r="J2166" s="1557"/>
      <c r="K2166" s="1557"/>
      <c r="L2166" s="1557"/>
      <c r="M2166" s="1566"/>
    </row>
    <row r="2167" spans="2:13" s="948" customFormat="1" ht="24.9" hidden="1" customHeight="1">
      <c r="B2167" s="1748" t="s">
        <v>1003</v>
      </c>
      <c r="C2167" s="1101" t="s">
        <v>1004</v>
      </c>
      <c r="D2167" s="1101" t="s">
        <v>1005</v>
      </c>
      <c r="E2167" s="1101" t="s">
        <v>1006</v>
      </c>
      <c r="F2167" s="1102" t="s">
        <v>1007</v>
      </c>
      <c r="G2167" s="1109" t="s">
        <v>2637</v>
      </c>
      <c r="H2167" s="1110" t="s">
        <v>2638</v>
      </c>
      <c r="J2167" s="1625"/>
      <c r="K2167" s="1625"/>
      <c r="L2167" s="1625"/>
      <c r="M2167" s="1570"/>
    </row>
    <row r="2168" spans="2:13" s="947" customFormat="1" hidden="1">
      <c r="B2168" s="1543" t="s">
        <v>671</v>
      </c>
      <c r="C2168" s="1329" t="s">
        <v>672</v>
      </c>
      <c r="D2168" s="1331"/>
      <c r="E2168" s="1331"/>
      <c r="F2168" s="1334"/>
      <c r="G2168" s="1104"/>
      <c r="H2168" s="1106"/>
      <c r="J2168" s="1557"/>
      <c r="K2168" s="1557"/>
      <c r="L2168" s="1557"/>
      <c r="M2168" s="1566"/>
    </row>
    <row r="2169" spans="2:13" s="947" customFormat="1" hidden="1">
      <c r="B2169" s="1540"/>
      <c r="C2169" s="1332" t="s">
        <v>673</v>
      </c>
      <c r="D2169" s="1331" t="s">
        <v>674</v>
      </c>
      <c r="E2169" s="1331" t="s">
        <v>675</v>
      </c>
      <c r="F2169" s="1334">
        <v>0.2</v>
      </c>
      <c r="G2169" s="1104">
        <f>DUB!$I$10</f>
        <v>150000</v>
      </c>
      <c r="H2169" s="1106">
        <f>G2169*F2169</f>
        <v>30000</v>
      </c>
      <c r="J2169" s="1557"/>
      <c r="K2169" s="1557"/>
      <c r="L2169" s="1557"/>
      <c r="M2169" s="1566"/>
    </row>
    <row r="2170" spans="2:13" s="947" customFormat="1" hidden="1">
      <c r="B2170" s="1540"/>
      <c r="C2170" s="1332" t="s">
        <v>782</v>
      </c>
      <c r="D2170" s="1331" t="s">
        <v>678</v>
      </c>
      <c r="E2170" s="1331" t="s">
        <v>675</v>
      </c>
      <c r="F2170" s="1334">
        <v>0.2</v>
      </c>
      <c r="G2170" s="1104">
        <f>DUB!$I$11</f>
        <v>187000</v>
      </c>
      <c r="H2170" s="1106">
        <f>G2170*F2170</f>
        <v>37400</v>
      </c>
      <c r="J2170" s="1557"/>
      <c r="K2170" s="1557"/>
      <c r="L2170" s="1557"/>
      <c r="M2170" s="1566"/>
    </row>
    <row r="2171" spans="2:13" s="947" customFormat="1" hidden="1">
      <c r="B2171" s="1540"/>
      <c r="C2171" s="1332" t="s">
        <v>751</v>
      </c>
      <c r="D2171" s="1331" t="s">
        <v>681</v>
      </c>
      <c r="E2171" s="1331" t="s">
        <v>675</v>
      </c>
      <c r="F2171" s="1334">
        <v>0.02</v>
      </c>
      <c r="G2171" s="1104">
        <f>DUB!$I$13</f>
        <v>240000</v>
      </c>
      <c r="H2171" s="1106">
        <f>G2171*F2171</f>
        <v>4800</v>
      </c>
      <c r="J2171" s="1557"/>
      <c r="K2171" s="1557"/>
      <c r="L2171" s="1557"/>
      <c r="M2171" s="1566"/>
    </row>
    <row r="2172" spans="2:13" s="947" customFormat="1" hidden="1">
      <c r="B2172" s="1540"/>
      <c r="C2172" s="1332" t="s">
        <v>683</v>
      </c>
      <c r="D2172" s="1331" t="s">
        <v>684</v>
      </c>
      <c r="E2172" s="1331" t="s">
        <v>675</v>
      </c>
      <c r="F2172" s="1334">
        <v>1E-3</v>
      </c>
      <c r="G2172" s="1104">
        <f>DUB!$I$12</f>
        <v>225000</v>
      </c>
      <c r="H2172" s="1106">
        <f>G2172*F2172</f>
        <v>225</v>
      </c>
      <c r="J2172" s="1557"/>
      <c r="K2172" s="1557"/>
      <c r="L2172" s="1557"/>
      <c r="M2172" s="1566"/>
    </row>
    <row r="2173" spans="2:13" s="947" customFormat="1" hidden="1">
      <c r="B2173" s="1540"/>
      <c r="C2173" s="1332"/>
      <c r="D2173" s="1331"/>
      <c r="E2173" s="1331"/>
      <c r="F2173" s="2074" t="s">
        <v>685</v>
      </c>
      <c r="G2173" s="2074"/>
      <c r="H2173" s="1106">
        <f>SUM(H2169:H2172)</f>
        <v>72425</v>
      </c>
      <c r="J2173" s="1557"/>
      <c r="K2173" s="1557"/>
      <c r="L2173" s="1557"/>
      <c r="M2173" s="1566"/>
    </row>
    <row r="2174" spans="2:13" s="947" customFormat="1" hidden="1">
      <c r="B2174" s="1543" t="s">
        <v>686</v>
      </c>
      <c r="C2174" s="1329" t="s">
        <v>687</v>
      </c>
      <c r="D2174" s="1331"/>
      <c r="E2174" s="1331"/>
      <c r="F2174" s="1334"/>
      <c r="G2174" s="1104"/>
      <c r="H2174" s="1106"/>
      <c r="J2174" s="1557"/>
      <c r="K2174" s="1557"/>
      <c r="L2174" s="1557"/>
      <c r="M2174" s="1566"/>
    </row>
    <row r="2175" spans="2:13" s="947" customFormat="1" hidden="1">
      <c r="B2175" s="1540"/>
      <c r="C2175" s="1332" t="s">
        <v>745</v>
      </c>
      <c r="D2175" s="1331"/>
      <c r="E2175" s="1331" t="s">
        <v>853</v>
      </c>
      <c r="F2175" s="1334">
        <v>1.05</v>
      </c>
      <c r="G2175" s="1104">
        <f>DUB!$I$262</f>
        <v>98316</v>
      </c>
      <c r="H2175" s="1106">
        <f>G2175*F2175</f>
        <v>103231.8</v>
      </c>
      <c r="J2175" s="1557"/>
      <c r="K2175" s="1557"/>
      <c r="L2175" s="1557"/>
      <c r="M2175" s="1566"/>
    </row>
    <row r="2176" spans="2:13" s="947" customFormat="1" hidden="1">
      <c r="B2176" s="1540"/>
      <c r="C2176" s="1332" t="s">
        <v>2653</v>
      </c>
      <c r="D2176" s="1331"/>
      <c r="E2176" s="1331" t="s">
        <v>773</v>
      </c>
      <c r="F2176" s="1334">
        <v>1.4999999999999999E-2</v>
      </c>
      <c r="G2176" s="1104">
        <f>DUB!$I$128</f>
        <v>20441.7</v>
      </c>
      <c r="H2176" s="1106">
        <f>G2176*F2176</f>
        <v>306.62549999999999</v>
      </c>
      <c r="J2176" s="1557"/>
      <c r="K2176" s="1557"/>
      <c r="L2176" s="1557"/>
      <c r="M2176" s="1566"/>
    </row>
    <row r="2177" spans="2:13" s="947" customFormat="1" hidden="1">
      <c r="B2177" s="1540"/>
      <c r="C2177" s="1126" t="s">
        <v>3406</v>
      </c>
      <c r="D2177" s="1331"/>
      <c r="E2177" s="1330" t="s">
        <v>2646</v>
      </c>
      <c r="F2177" s="1334">
        <v>1.9E-2</v>
      </c>
      <c r="G2177" s="1104">
        <f>DUB!$I$85</f>
        <v>6250000</v>
      </c>
      <c r="H2177" s="1106">
        <f>G2177*F2177</f>
        <v>118750</v>
      </c>
      <c r="J2177" s="1557"/>
      <c r="K2177" s="1557"/>
      <c r="L2177" s="1557"/>
      <c r="M2177" s="1566"/>
    </row>
    <row r="2178" spans="2:13" s="947" customFormat="1" hidden="1">
      <c r="B2178" s="1540"/>
      <c r="C2178" s="1125"/>
      <c r="D2178" s="1333"/>
      <c r="E2178" s="1333"/>
      <c r="F2178" s="2074" t="s">
        <v>702</v>
      </c>
      <c r="G2178" s="2074"/>
      <c r="H2178" s="1106">
        <f>SUM(H2175:H2177)</f>
        <v>222288.42550000001</v>
      </c>
      <c r="J2178" s="1557"/>
      <c r="K2178" s="1557"/>
      <c r="L2178" s="1557"/>
      <c r="M2178" s="1566"/>
    </row>
    <row r="2179" spans="2:13" s="949" customFormat="1" hidden="1">
      <c r="B2179" s="1543" t="s">
        <v>703</v>
      </c>
      <c r="C2179" s="2075" t="s">
        <v>3764</v>
      </c>
      <c r="D2179" s="2075"/>
      <c r="E2179" s="2075"/>
      <c r="F2179" s="2075"/>
      <c r="G2179" s="2075"/>
      <c r="H2179" s="1107">
        <f>H2173+H2178</f>
        <v>294713.42550000001</v>
      </c>
      <c r="J2179" s="1559"/>
      <c r="K2179" s="1559"/>
      <c r="L2179" s="1559"/>
      <c r="M2179" s="1635"/>
    </row>
    <row r="2180" spans="2:13" s="949" customFormat="1" hidden="1">
      <c r="B2180" s="1543" t="s">
        <v>706</v>
      </c>
      <c r="C2180" s="2076" t="s">
        <v>876</v>
      </c>
      <c r="D2180" s="2076"/>
      <c r="E2180" s="2076"/>
      <c r="F2180" s="2077" t="s">
        <v>3873</v>
      </c>
      <c r="G2180" s="2077"/>
      <c r="H2180" s="1107">
        <f>H2179*0.15</f>
        <v>44207.013825000002</v>
      </c>
      <c r="J2180" s="1559"/>
      <c r="K2180" s="1559"/>
      <c r="L2180" s="1559"/>
      <c r="M2180" s="1635"/>
    </row>
    <row r="2181" spans="2:13" s="949" customFormat="1" hidden="1">
      <c r="B2181" s="1543" t="s">
        <v>708</v>
      </c>
      <c r="C2181" s="2078" t="s">
        <v>3765</v>
      </c>
      <c r="D2181" s="2078"/>
      <c r="E2181" s="2078"/>
      <c r="F2181" s="2078"/>
      <c r="G2181" s="2078"/>
      <c r="H2181" s="1107">
        <f>ROUND(SUM(H2179:H2180),2)</f>
        <v>338920.44</v>
      </c>
      <c r="I2181" s="950">
        <f>SUM(H2179:H2180)</f>
        <v>338920.43932500004</v>
      </c>
      <c r="J2181" s="1561"/>
      <c r="K2181" s="1561"/>
      <c r="L2181" s="1559"/>
      <c r="M2181" s="1635"/>
    </row>
    <row r="2182" spans="2:13" s="947" customFormat="1" hidden="1">
      <c r="B2182" s="1143"/>
      <c r="C2182" s="1144"/>
      <c r="D2182" s="1143"/>
      <c r="E2182" s="1143"/>
      <c r="F2182" s="1145"/>
      <c r="G2182" s="1146"/>
      <c r="H2182" s="1147"/>
      <c r="J2182" s="1557"/>
      <c r="K2182" s="1557"/>
      <c r="L2182" s="1557"/>
      <c r="M2182" s="1566"/>
    </row>
    <row r="2183" spans="2:13" s="947" customFormat="1" hidden="1">
      <c r="B2183" s="1100" t="s">
        <v>3982</v>
      </c>
      <c r="C2183" s="1112" t="s">
        <v>2877</v>
      </c>
      <c r="D2183" s="1129"/>
      <c r="E2183" s="1129"/>
      <c r="F2183" s="1131"/>
      <c r="G2183" s="1132"/>
      <c r="H2183" s="1115"/>
      <c r="J2183" s="1557"/>
      <c r="K2183" s="1557"/>
      <c r="L2183" s="1557"/>
      <c r="M2183" s="1566"/>
    </row>
    <row r="2184" spans="2:13" s="948" customFormat="1" ht="24.9" hidden="1" customHeight="1">
      <c r="B2184" s="1748" t="s">
        <v>1003</v>
      </c>
      <c r="C2184" s="1101" t="s">
        <v>1004</v>
      </c>
      <c r="D2184" s="1101" t="s">
        <v>1005</v>
      </c>
      <c r="E2184" s="1101" t="s">
        <v>1006</v>
      </c>
      <c r="F2184" s="1102" t="s">
        <v>1007</v>
      </c>
      <c r="G2184" s="1109" t="s">
        <v>2637</v>
      </c>
      <c r="H2184" s="1110" t="s">
        <v>2638</v>
      </c>
      <c r="J2184" s="1625"/>
      <c r="K2184" s="1625"/>
      <c r="L2184" s="1625"/>
      <c r="M2184" s="1570"/>
    </row>
    <row r="2185" spans="2:13" s="947" customFormat="1" hidden="1">
      <c r="B2185" s="1543" t="s">
        <v>671</v>
      </c>
      <c r="C2185" s="1329" t="s">
        <v>672</v>
      </c>
      <c r="D2185" s="1331"/>
      <c r="E2185" s="1331"/>
      <c r="F2185" s="1334"/>
      <c r="G2185" s="1104"/>
      <c r="H2185" s="1106"/>
      <c r="J2185" s="1557"/>
      <c r="K2185" s="1557"/>
      <c r="L2185" s="1557"/>
      <c r="M2185" s="1566"/>
    </row>
    <row r="2186" spans="2:13" s="947" customFormat="1" hidden="1">
      <c r="B2186" s="1540"/>
      <c r="C2186" s="1332" t="s">
        <v>673</v>
      </c>
      <c r="D2186" s="1331" t="s">
        <v>674</v>
      </c>
      <c r="E2186" s="1331" t="s">
        <v>675</v>
      </c>
      <c r="F2186" s="1334">
        <v>0.15</v>
      </c>
      <c r="G2186" s="1104">
        <f>DUB!$I$10</f>
        <v>150000</v>
      </c>
      <c r="H2186" s="1106">
        <f>G2186*F2186</f>
        <v>22500</v>
      </c>
      <c r="J2186" s="1557"/>
      <c r="K2186" s="1557"/>
      <c r="L2186" s="1557"/>
      <c r="M2186" s="1566"/>
    </row>
    <row r="2187" spans="2:13" s="947" customFormat="1" hidden="1">
      <c r="B2187" s="1540"/>
      <c r="C2187" s="1332" t="s">
        <v>782</v>
      </c>
      <c r="D2187" s="1331" t="s">
        <v>678</v>
      </c>
      <c r="E2187" s="1331" t="s">
        <v>675</v>
      </c>
      <c r="F2187" s="1334">
        <v>0.3</v>
      </c>
      <c r="G2187" s="1104">
        <f>DUB!$I$11</f>
        <v>187000</v>
      </c>
      <c r="H2187" s="1106">
        <f>G2187*F2187</f>
        <v>56100</v>
      </c>
      <c r="J2187" s="1557"/>
      <c r="K2187" s="1557"/>
      <c r="L2187" s="1557"/>
      <c r="M2187" s="1566"/>
    </row>
    <row r="2188" spans="2:13" s="947" customFormat="1" hidden="1">
      <c r="B2188" s="1540"/>
      <c r="C2188" s="1332" t="s">
        <v>751</v>
      </c>
      <c r="D2188" s="1331" t="s">
        <v>681</v>
      </c>
      <c r="E2188" s="1331" t="s">
        <v>675</v>
      </c>
      <c r="F2188" s="1334">
        <v>0.03</v>
      </c>
      <c r="G2188" s="1104">
        <f>DUB!$I$13</f>
        <v>240000</v>
      </c>
      <c r="H2188" s="1106">
        <f>G2188*F2188</f>
        <v>7200</v>
      </c>
      <c r="J2188" s="1557"/>
      <c r="K2188" s="1557"/>
      <c r="L2188" s="1557"/>
      <c r="M2188" s="1566"/>
    </row>
    <row r="2189" spans="2:13" s="947" customFormat="1" hidden="1">
      <c r="B2189" s="1540"/>
      <c r="C2189" s="1332" t="s">
        <v>683</v>
      </c>
      <c r="D2189" s="1331" t="s">
        <v>684</v>
      </c>
      <c r="E2189" s="1331" t="s">
        <v>675</v>
      </c>
      <c r="F2189" s="1334">
        <v>8.0000000000000002E-3</v>
      </c>
      <c r="G2189" s="1104">
        <f>DUB!$I$12</f>
        <v>225000</v>
      </c>
      <c r="H2189" s="1106">
        <f>G2189*F2189</f>
        <v>1800</v>
      </c>
      <c r="J2189" s="1557"/>
      <c r="K2189" s="1557"/>
      <c r="L2189" s="1557"/>
      <c r="M2189" s="1566"/>
    </row>
    <row r="2190" spans="2:13" s="947" customFormat="1" hidden="1">
      <c r="B2190" s="1540"/>
      <c r="C2190" s="1332"/>
      <c r="D2190" s="1331"/>
      <c r="E2190" s="1331"/>
      <c r="F2190" s="2074" t="s">
        <v>685</v>
      </c>
      <c r="G2190" s="2074"/>
      <c r="H2190" s="1106">
        <f>SUM(H2186:H2189)</f>
        <v>87600</v>
      </c>
      <c r="J2190" s="1557"/>
      <c r="K2190" s="1557"/>
      <c r="L2190" s="1557"/>
      <c r="M2190" s="1566"/>
    </row>
    <row r="2191" spans="2:13" s="947" customFormat="1" hidden="1">
      <c r="B2191" s="1543" t="s">
        <v>686</v>
      </c>
      <c r="C2191" s="1329" t="s">
        <v>687</v>
      </c>
      <c r="D2191" s="1331"/>
      <c r="E2191" s="1331"/>
      <c r="F2191" s="1334"/>
      <c r="G2191" s="1104"/>
      <c r="H2191" s="1106"/>
      <c r="J2191" s="1557"/>
      <c r="K2191" s="1557"/>
      <c r="L2191" s="1557"/>
      <c r="M2191" s="1566"/>
    </row>
    <row r="2192" spans="2:13" s="947" customFormat="1" hidden="1">
      <c r="B2192" s="1540"/>
      <c r="C2192" s="1332" t="s">
        <v>745</v>
      </c>
      <c r="D2192" s="1331"/>
      <c r="E2192" s="1331" t="s">
        <v>853</v>
      </c>
      <c r="F2192" s="1334">
        <v>1.05</v>
      </c>
      <c r="G2192" s="1104">
        <f>DUB!$I$262</f>
        <v>98316</v>
      </c>
      <c r="H2192" s="1106">
        <f>G2192*F2192</f>
        <v>103231.8</v>
      </c>
      <c r="J2192" s="1557"/>
      <c r="K2192" s="1557"/>
      <c r="L2192" s="1557"/>
      <c r="M2192" s="1566"/>
    </row>
    <row r="2193" spans="2:13" s="947" customFormat="1" hidden="1">
      <c r="B2193" s="1540"/>
      <c r="C2193" s="1332" t="s">
        <v>2654</v>
      </c>
      <c r="D2193" s="1331"/>
      <c r="E2193" s="1331" t="s">
        <v>773</v>
      </c>
      <c r="F2193" s="1334">
        <v>0.01</v>
      </c>
      <c r="G2193" s="1104">
        <f>DUB!$I$128</f>
        <v>20441.7</v>
      </c>
      <c r="H2193" s="1106">
        <f>G2193*F2193</f>
        <v>204.417</v>
      </c>
      <c r="J2193" s="1557"/>
      <c r="K2193" s="1557"/>
      <c r="L2193" s="1557"/>
      <c r="M2193" s="1566"/>
    </row>
    <row r="2194" spans="2:13" s="947" customFormat="1" hidden="1">
      <c r="B2194" s="1540"/>
      <c r="C2194" s="1332" t="s">
        <v>736</v>
      </c>
      <c r="D2194" s="1331"/>
      <c r="E2194" s="1331" t="s">
        <v>773</v>
      </c>
      <c r="F2194" s="1334">
        <v>0.5</v>
      </c>
      <c r="G2194" s="1104">
        <f>DUB!$I$105</f>
        <v>16065</v>
      </c>
      <c r="H2194" s="1106">
        <f>G2194*F2194</f>
        <v>8032.5</v>
      </c>
      <c r="J2194" s="1557"/>
      <c r="K2194" s="1557"/>
      <c r="L2194" s="1557"/>
      <c r="M2194" s="1566"/>
    </row>
    <row r="2195" spans="2:13" s="947" customFormat="1" hidden="1">
      <c r="B2195" s="1540"/>
      <c r="C2195" s="1125"/>
      <c r="D2195" s="1333"/>
      <c r="E2195" s="1333"/>
      <c r="F2195" s="2074" t="s">
        <v>702</v>
      </c>
      <c r="G2195" s="2074"/>
      <c r="H2195" s="1106">
        <f>SUM(H2192:H2194)</f>
        <v>111468.717</v>
      </c>
      <c r="J2195" s="1557"/>
      <c r="K2195" s="1557"/>
      <c r="L2195" s="1557"/>
      <c r="M2195" s="1566"/>
    </row>
    <row r="2196" spans="2:13" s="949" customFormat="1" hidden="1">
      <c r="B2196" s="1543" t="s">
        <v>703</v>
      </c>
      <c r="C2196" s="2075" t="s">
        <v>3764</v>
      </c>
      <c r="D2196" s="2075"/>
      <c r="E2196" s="2075"/>
      <c r="F2196" s="2075"/>
      <c r="G2196" s="2075"/>
      <c r="H2196" s="1107">
        <f>H2190+H2195</f>
        <v>199068.717</v>
      </c>
      <c r="J2196" s="1559"/>
      <c r="K2196" s="1559"/>
      <c r="L2196" s="1559"/>
      <c r="M2196" s="1635"/>
    </row>
    <row r="2197" spans="2:13" s="949" customFormat="1" hidden="1">
      <c r="B2197" s="1543" t="s">
        <v>706</v>
      </c>
      <c r="C2197" s="2076" t="s">
        <v>876</v>
      </c>
      <c r="D2197" s="2076"/>
      <c r="E2197" s="2076"/>
      <c r="F2197" s="2077" t="s">
        <v>3873</v>
      </c>
      <c r="G2197" s="2077"/>
      <c r="H2197" s="1107">
        <f>H2196*0.15</f>
        <v>29860.307549999998</v>
      </c>
      <c r="J2197" s="1559"/>
      <c r="K2197" s="1559"/>
      <c r="L2197" s="1559"/>
      <c r="M2197" s="1635"/>
    </row>
    <row r="2198" spans="2:13" s="949" customFormat="1" hidden="1">
      <c r="B2198" s="1543" t="s">
        <v>708</v>
      </c>
      <c r="C2198" s="2078" t="s">
        <v>3765</v>
      </c>
      <c r="D2198" s="2078"/>
      <c r="E2198" s="2078"/>
      <c r="F2198" s="2078"/>
      <c r="G2198" s="2078"/>
      <c r="H2198" s="1107">
        <f>ROUND(SUM(H2196:H2197),2)</f>
        <v>228929.02</v>
      </c>
      <c r="I2198" s="950">
        <f>SUM(H2196:H2197)</f>
        <v>228929.02455</v>
      </c>
      <c r="J2198" s="1561"/>
      <c r="K2198" s="1561"/>
      <c r="L2198" s="1559"/>
      <c r="M2198" s="1635"/>
    </row>
    <row r="2199" spans="2:13" s="947" customFormat="1" hidden="1">
      <c r="B2199" s="1095"/>
      <c r="C2199" s="1096"/>
      <c r="D2199" s="1095"/>
      <c r="E2199" s="1095"/>
      <c r="F2199" s="1172"/>
      <c r="G2199" s="1173"/>
      <c r="H2199" s="1133"/>
      <c r="J2199" s="1557"/>
      <c r="K2199" s="1557"/>
      <c r="L2199" s="1557"/>
      <c r="M2199" s="1566"/>
    </row>
    <row r="2200" spans="2:13" s="947" customFormat="1" hidden="1">
      <c r="B2200" s="1100" t="s">
        <v>3983</v>
      </c>
      <c r="C2200" s="1232" t="s">
        <v>4358</v>
      </c>
      <c r="D2200" s="1095"/>
      <c r="E2200" s="1095"/>
      <c r="F2200" s="1172"/>
      <c r="G2200" s="1173"/>
      <c r="H2200" s="1133"/>
      <c r="J2200" s="1557"/>
      <c r="K2200" s="1557"/>
      <c r="L2200" s="1557"/>
      <c r="M2200" s="1566"/>
    </row>
    <row r="2201" spans="2:13" s="948" customFormat="1" ht="24.9" hidden="1" customHeight="1">
      <c r="B2201" s="1786" t="s">
        <v>1003</v>
      </c>
      <c r="C2201" s="1208" t="s">
        <v>1004</v>
      </c>
      <c r="D2201" s="1208" t="s">
        <v>1005</v>
      </c>
      <c r="E2201" s="1208" t="s">
        <v>1006</v>
      </c>
      <c r="F2201" s="1209" t="s">
        <v>1007</v>
      </c>
      <c r="G2201" s="1109" t="s">
        <v>2637</v>
      </c>
      <c r="H2201" s="1110" t="s">
        <v>2638</v>
      </c>
      <c r="J2201" s="1625"/>
      <c r="K2201" s="1625"/>
      <c r="L2201" s="1625"/>
      <c r="M2201" s="1570"/>
    </row>
    <row r="2202" spans="2:13" s="947" customFormat="1" hidden="1">
      <c r="B2202" s="1543" t="s">
        <v>671</v>
      </c>
      <c r="C2202" s="1329" t="s">
        <v>672</v>
      </c>
      <c r="D2202" s="1331"/>
      <c r="E2202" s="1331"/>
      <c r="F2202" s="1334"/>
      <c r="G2202" s="1104"/>
      <c r="H2202" s="1106"/>
      <c r="J2202" s="1557"/>
      <c r="K2202" s="1557"/>
      <c r="L2202" s="1557"/>
      <c r="M2202" s="1566"/>
    </row>
    <row r="2203" spans="2:13" s="947" customFormat="1" hidden="1">
      <c r="B2203" s="1540"/>
      <c r="C2203" s="1332" t="s">
        <v>673</v>
      </c>
      <c r="D2203" s="1331" t="s">
        <v>674</v>
      </c>
      <c r="E2203" s="1331" t="s">
        <v>675</v>
      </c>
      <c r="F2203" s="1334">
        <v>0.25</v>
      </c>
      <c r="G2203" s="1104">
        <f>DUB!$I$10</f>
        <v>150000</v>
      </c>
      <c r="H2203" s="1106">
        <f>G2203*F2203</f>
        <v>37500</v>
      </c>
      <c r="J2203" s="1557"/>
      <c r="K2203" s="1557"/>
      <c r="L2203" s="1557"/>
      <c r="M2203" s="1566"/>
    </row>
    <row r="2204" spans="2:13" s="947" customFormat="1" hidden="1">
      <c r="B2204" s="1540"/>
      <c r="C2204" s="1332" t="s">
        <v>855</v>
      </c>
      <c r="D2204" s="1331" t="s">
        <v>678</v>
      </c>
      <c r="E2204" s="1331" t="s">
        <v>675</v>
      </c>
      <c r="F2204" s="1334">
        <v>0.25</v>
      </c>
      <c r="G2204" s="1104">
        <f>DUB!$I$11</f>
        <v>187000</v>
      </c>
      <c r="H2204" s="1106">
        <f>G2204*F2204</f>
        <v>46750</v>
      </c>
      <c r="J2204" s="1557"/>
      <c r="K2204" s="1557"/>
      <c r="L2204" s="1557"/>
      <c r="M2204" s="1566"/>
    </row>
    <row r="2205" spans="2:13" s="947" customFormat="1" hidden="1">
      <c r="B2205" s="1540"/>
      <c r="C2205" s="1332" t="s">
        <v>680</v>
      </c>
      <c r="D2205" s="1331" t="s">
        <v>681</v>
      </c>
      <c r="E2205" s="1331" t="s">
        <v>675</v>
      </c>
      <c r="F2205" s="1334">
        <v>2.5000000000000001E-2</v>
      </c>
      <c r="G2205" s="1104">
        <f>DUB!$I$13</f>
        <v>240000</v>
      </c>
      <c r="H2205" s="1106">
        <f>G2205*F2205</f>
        <v>6000</v>
      </c>
      <c r="J2205" s="1557"/>
      <c r="K2205" s="1557"/>
      <c r="L2205" s="1557"/>
      <c r="M2205" s="1566"/>
    </row>
    <row r="2206" spans="2:13" s="947" customFormat="1" hidden="1">
      <c r="B2206" s="1540"/>
      <c r="C2206" s="1332" t="s">
        <v>683</v>
      </c>
      <c r="D2206" s="1331" t="s">
        <v>684</v>
      </c>
      <c r="E2206" s="1331" t="s">
        <v>675</v>
      </c>
      <c r="F2206" s="1334">
        <v>1.2999999999999999E-2</v>
      </c>
      <c r="G2206" s="1104">
        <f>DUB!$I$12</f>
        <v>225000</v>
      </c>
      <c r="H2206" s="1106">
        <f>G2206*F2206</f>
        <v>2925</v>
      </c>
      <c r="J2206" s="1557"/>
      <c r="K2206" s="1557"/>
      <c r="L2206" s="1557"/>
      <c r="M2206" s="1566"/>
    </row>
    <row r="2207" spans="2:13" s="947" customFormat="1" hidden="1">
      <c r="B2207" s="1540"/>
      <c r="C2207" s="1332"/>
      <c r="D2207" s="1331"/>
      <c r="E2207" s="1331"/>
      <c r="F2207" s="2074" t="s">
        <v>685</v>
      </c>
      <c r="G2207" s="2074"/>
      <c r="H2207" s="1106">
        <f>SUM(H2203:H2206)</f>
        <v>93175</v>
      </c>
      <c r="J2207" s="1557"/>
      <c r="K2207" s="1557"/>
      <c r="L2207" s="1557"/>
      <c r="M2207" s="1566"/>
    </row>
    <row r="2208" spans="2:13" s="947" customFormat="1" hidden="1">
      <c r="B2208" s="1543" t="s">
        <v>686</v>
      </c>
      <c r="C2208" s="1329" t="s">
        <v>687</v>
      </c>
      <c r="D2208" s="1331"/>
      <c r="E2208" s="1331"/>
      <c r="F2208" s="1334"/>
      <c r="G2208" s="1104"/>
      <c r="H2208" s="1106"/>
      <c r="J2208" s="1557"/>
      <c r="K2208" s="1557"/>
      <c r="L2208" s="1557"/>
      <c r="M2208" s="1566"/>
    </row>
    <row r="2209" spans="2:13" s="947" customFormat="1" hidden="1">
      <c r="B2209" s="1540"/>
      <c r="C2209" s="1126" t="s">
        <v>3338</v>
      </c>
      <c r="D2209" s="1331"/>
      <c r="E2209" s="1331" t="s">
        <v>1009</v>
      </c>
      <c r="F2209" s="1334">
        <v>3.5</v>
      </c>
      <c r="G2209" s="1104">
        <f>DUB!$I$106</f>
        <v>32130</v>
      </c>
      <c r="H2209" s="1106">
        <f>G2209*F2209</f>
        <v>112455</v>
      </c>
      <c r="J2209" s="1557"/>
      <c r="K2209" s="1557"/>
      <c r="L2209" s="1557"/>
      <c r="M2209" s="1566"/>
    </row>
    <row r="2210" spans="2:13" s="947" customFormat="1" hidden="1">
      <c r="B2210" s="1540"/>
      <c r="C2210" s="1126" t="s">
        <v>3340</v>
      </c>
      <c r="D2210" s="1331"/>
      <c r="E2210" s="1331" t="s">
        <v>1011</v>
      </c>
      <c r="F2210" s="1334" t="s">
        <v>1012</v>
      </c>
      <c r="G2210" s="1104">
        <f>$H$2209</f>
        <v>112455</v>
      </c>
      <c r="H2210" s="1106">
        <f>G2210</f>
        <v>112455</v>
      </c>
      <c r="J2210" s="1557"/>
      <c r="K2210" s="1557"/>
      <c r="L2210" s="1557"/>
      <c r="M2210" s="1566"/>
    </row>
    <row r="2211" spans="2:13" s="947" customFormat="1" hidden="1">
      <c r="B2211" s="1540"/>
      <c r="C2211" s="1125"/>
      <c r="D2211" s="1333"/>
      <c r="E2211" s="1333"/>
      <c r="F2211" s="2074" t="s">
        <v>702</v>
      </c>
      <c r="G2211" s="2074"/>
      <c r="H2211" s="1106">
        <f>SUM(H2209:H2210)</f>
        <v>224910</v>
      </c>
      <c r="J2211" s="1557"/>
      <c r="K2211" s="1557"/>
      <c r="L2211" s="1557"/>
      <c r="M2211" s="1566"/>
    </row>
    <row r="2212" spans="2:13" s="949" customFormat="1" hidden="1">
      <c r="B2212" s="1543" t="s">
        <v>703</v>
      </c>
      <c r="C2212" s="2075" t="s">
        <v>3764</v>
      </c>
      <c r="D2212" s="2075"/>
      <c r="E2212" s="2075"/>
      <c r="F2212" s="2075"/>
      <c r="G2212" s="2075"/>
      <c r="H2212" s="1107">
        <f>H2207+H2211</f>
        <v>318085</v>
      </c>
      <c r="J2212" s="1559"/>
      <c r="K2212" s="1559"/>
      <c r="L2212" s="1559"/>
      <c r="M2212" s="1635"/>
    </row>
    <row r="2213" spans="2:13" s="949" customFormat="1" hidden="1">
      <c r="B2213" s="1543" t="s">
        <v>706</v>
      </c>
      <c r="C2213" s="2076" t="s">
        <v>876</v>
      </c>
      <c r="D2213" s="2076"/>
      <c r="E2213" s="2076"/>
      <c r="F2213" s="2077" t="s">
        <v>3873</v>
      </c>
      <c r="G2213" s="2077"/>
      <c r="H2213" s="1107">
        <f>H2212*0.15</f>
        <v>47712.75</v>
      </c>
      <c r="J2213" s="1559"/>
      <c r="K2213" s="1559"/>
      <c r="L2213" s="1559"/>
      <c r="M2213" s="1635"/>
    </row>
    <row r="2214" spans="2:13" s="949" customFormat="1" hidden="1">
      <c r="B2214" s="1543" t="s">
        <v>708</v>
      </c>
      <c r="C2214" s="2078" t="s">
        <v>3765</v>
      </c>
      <c r="D2214" s="2078"/>
      <c r="E2214" s="2078"/>
      <c r="F2214" s="2078"/>
      <c r="G2214" s="2078"/>
      <c r="H2214" s="1107">
        <f>ROUND(SUM(H2212:H2213),2)</f>
        <v>365797.75</v>
      </c>
      <c r="I2214" s="950">
        <f>SUM(H2212:H2213)</f>
        <v>365797.75</v>
      </c>
      <c r="J2214" s="1561"/>
      <c r="K2214" s="1561"/>
      <c r="L2214" s="1559"/>
      <c r="M2214" s="1635"/>
    </row>
    <row r="2215" spans="2:13" s="947" customFormat="1" hidden="1">
      <c r="B2215" s="1143"/>
      <c r="C2215" s="1144"/>
      <c r="D2215" s="1143"/>
      <c r="E2215" s="1143"/>
      <c r="F2215" s="1145"/>
      <c r="G2215" s="1146"/>
      <c r="H2215" s="1147"/>
      <c r="J2215" s="1557"/>
      <c r="K2215" s="1557"/>
      <c r="L2215" s="1557"/>
      <c r="M2215" s="1566"/>
    </row>
    <row r="2216" spans="2:13" s="947" customFormat="1" hidden="1">
      <c r="B2216" s="1100" t="s">
        <v>4691</v>
      </c>
      <c r="C2216" s="1232" t="s">
        <v>4358</v>
      </c>
      <c r="D2216" s="1095"/>
      <c r="E2216" s="1095"/>
      <c r="F2216" s="1172"/>
      <c r="G2216" s="1173"/>
      <c r="H2216" s="1133"/>
      <c r="J2216" s="1557"/>
      <c r="K2216" s="1557"/>
      <c r="L2216" s="1557"/>
      <c r="M2216" s="1566"/>
    </row>
    <row r="2217" spans="2:13" s="948" customFormat="1" ht="24.9" hidden="1" customHeight="1">
      <c r="B2217" s="1786" t="s">
        <v>1003</v>
      </c>
      <c r="C2217" s="1208" t="s">
        <v>1004</v>
      </c>
      <c r="D2217" s="1208" t="s">
        <v>1005</v>
      </c>
      <c r="E2217" s="1208" t="s">
        <v>1006</v>
      </c>
      <c r="F2217" s="1209" t="s">
        <v>1007</v>
      </c>
      <c r="G2217" s="1109" t="s">
        <v>2637</v>
      </c>
      <c r="H2217" s="1110" t="s">
        <v>2638</v>
      </c>
      <c r="J2217" s="1625"/>
      <c r="K2217" s="1625"/>
      <c r="L2217" s="1625"/>
      <c r="M2217" s="1570"/>
    </row>
    <row r="2218" spans="2:13" s="947" customFormat="1" hidden="1">
      <c r="B2218" s="1543" t="s">
        <v>671</v>
      </c>
      <c r="C2218" s="1329" t="s">
        <v>672</v>
      </c>
      <c r="D2218" s="1331"/>
      <c r="E2218" s="1331"/>
      <c r="F2218" s="1334"/>
      <c r="G2218" s="1104"/>
      <c r="H2218" s="1106"/>
      <c r="J2218" s="1557"/>
      <c r="K2218" s="1557"/>
      <c r="L2218" s="1557"/>
      <c r="M2218" s="1566"/>
    </row>
    <row r="2219" spans="2:13" s="947" customFormat="1" hidden="1">
      <c r="B2219" s="1540"/>
      <c r="C2219" s="1332" t="s">
        <v>673</v>
      </c>
      <c r="D2219" s="1331" t="s">
        <v>674</v>
      </c>
      <c r="E2219" s="1331" t="s">
        <v>675</v>
      </c>
      <c r="F2219" s="1334">
        <v>0.25</v>
      </c>
      <c r="G2219" s="1104">
        <f>DUB!$I$10</f>
        <v>150000</v>
      </c>
      <c r="H2219" s="1106">
        <f>G2219*F2219</f>
        <v>37500</v>
      </c>
      <c r="J2219" s="1557"/>
      <c r="K2219" s="1557"/>
      <c r="L2219" s="1557"/>
      <c r="M2219" s="1566"/>
    </row>
    <row r="2220" spans="2:13" s="947" customFormat="1" hidden="1">
      <c r="B2220" s="1540"/>
      <c r="C2220" s="1332" t="s">
        <v>855</v>
      </c>
      <c r="D2220" s="1331" t="s">
        <v>678</v>
      </c>
      <c r="E2220" s="1331" t="s">
        <v>675</v>
      </c>
      <c r="F2220" s="1334">
        <v>0.25</v>
      </c>
      <c r="G2220" s="1104">
        <f>DUB!$I$11</f>
        <v>187000</v>
      </c>
      <c r="H2220" s="1106">
        <f>G2220*F2220</f>
        <v>46750</v>
      </c>
      <c r="J2220" s="1557"/>
      <c r="K2220" s="1557"/>
      <c r="L2220" s="1557"/>
      <c r="M2220" s="1566"/>
    </row>
    <row r="2221" spans="2:13" s="947" customFormat="1" hidden="1">
      <c r="B2221" s="1540"/>
      <c r="C2221" s="1332" t="s">
        <v>680</v>
      </c>
      <c r="D2221" s="1331" t="s">
        <v>681</v>
      </c>
      <c r="E2221" s="1331" t="s">
        <v>675</v>
      </c>
      <c r="F2221" s="1334">
        <v>2.5000000000000001E-2</v>
      </c>
      <c r="G2221" s="1104">
        <f>DUB!$I$13</f>
        <v>240000</v>
      </c>
      <c r="H2221" s="1106">
        <f>G2221*F2221</f>
        <v>6000</v>
      </c>
      <c r="J2221" s="1557"/>
      <c r="K2221" s="1557"/>
      <c r="L2221" s="1557"/>
      <c r="M2221" s="1566"/>
    </row>
    <row r="2222" spans="2:13" s="947" customFormat="1" hidden="1">
      <c r="B2222" s="1540"/>
      <c r="C2222" s="1332" t="s">
        <v>683</v>
      </c>
      <c r="D2222" s="1331" t="s">
        <v>684</v>
      </c>
      <c r="E2222" s="1331" t="s">
        <v>675</v>
      </c>
      <c r="F2222" s="1334">
        <v>1.2999999999999999E-2</v>
      </c>
      <c r="G2222" s="1104">
        <f>DUB!$I$12</f>
        <v>225000</v>
      </c>
      <c r="H2222" s="1106">
        <f>G2222*F2222</f>
        <v>2925</v>
      </c>
      <c r="J2222" s="1557"/>
      <c r="K2222" s="1557"/>
      <c r="L2222" s="1557"/>
      <c r="M2222" s="1566"/>
    </row>
    <row r="2223" spans="2:13" s="947" customFormat="1" hidden="1">
      <c r="B2223" s="1540"/>
      <c r="C2223" s="1332"/>
      <c r="D2223" s="1331"/>
      <c r="E2223" s="1331"/>
      <c r="F2223" s="2074" t="s">
        <v>685</v>
      </c>
      <c r="G2223" s="2074"/>
      <c r="H2223" s="1106">
        <f>SUM(H2219:H2222)</f>
        <v>93175</v>
      </c>
      <c r="J2223" s="1557"/>
      <c r="K2223" s="1557"/>
      <c r="L2223" s="1557"/>
      <c r="M2223" s="1566"/>
    </row>
    <row r="2224" spans="2:13" s="947" customFormat="1" hidden="1">
      <c r="B2224" s="1543" t="s">
        <v>686</v>
      </c>
      <c r="C2224" s="1329" t="s">
        <v>687</v>
      </c>
      <c r="D2224" s="1331"/>
      <c r="E2224" s="1331"/>
      <c r="F2224" s="1334"/>
      <c r="G2224" s="1104"/>
      <c r="H2224" s="1106"/>
      <c r="J2224" s="1557"/>
      <c r="K2224" s="1557"/>
      <c r="L2224" s="1557"/>
      <c r="M2224" s="1566"/>
    </row>
    <row r="2225" spans="2:13" s="947" customFormat="1" hidden="1">
      <c r="B2225" s="1540"/>
      <c r="C2225" s="1126" t="s">
        <v>3338</v>
      </c>
      <c r="D2225" s="1331"/>
      <c r="E2225" s="1331" t="s">
        <v>1009</v>
      </c>
      <c r="F2225" s="1334">
        <v>3.5</v>
      </c>
      <c r="G2225" s="1104">
        <f>DUB!$I$106</f>
        <v>32130</v>
      </c>
      <c r="H2225" s="1106">
        <f>G2225*F2225</f>
        <v>112455</v>
      </c>
      <c r="J2225" s="1557"/>
      <c r="K2225" s="1557"/>
      <c r="L2225" s="1557"/>
      <c r="M2225" s="1566"/>
    </row>
    <row r="2226" spans="2:13" s="947" customFormat="1" hidden="1">
      <c r="B2226" s="1540"/>
      <c r="C2226" s="1126" t="s">
        <v>3340</v>
      </c>
      <c r="D2226" s="1331"/>
      <c r="E2226" s="1331" t="s">
        <v>1011</v>
      </c>
      <c r="F2226" s="1334" t="s">
        <v>1012</v>
      </c>
      <c r="G2226" s="1104">
        <f>$H$2209</f>
        <v>112455</v>
      </c>
      <c r="H2226" s="1106">
        <f>G2226</f>
        <v>112455</v>
      </c>
      <c r="J2226" s="1557"/>
      <c r="K2226" s="1557"/>
      <c r="L2226" s="1557"/>
      <c r="M2226" s="1566"/>
    </row>
    <row r="2227" spans="2:13" s="947" customFormat="1" hidden="1">
      <c r="B2227" s="1540"/>
      <c r="C2227" s="1125"/>
      <c r="D2227" s="1333"/>
      <c r="E2227" s="1333"/>
      <c r="F2227" s="2074" t="s">
        <v>702</v>
      </c>
      <c r="G2227" s="2074"/>
      <c r="H2227" s="1106">
        <f>SUM(H2225:H2226)</f>
        <v>224910</v>
      </c>
      <c r="J2227" s="1557"/>
      <c r="K2227" s="1557"/>
      <c r="L2227" s="1557"/>
      <c r="M2227" s="1566"/>
    </row>
    <row r="2228" spans="2:13" s="949" customFormat="1" hidden="1">
      <c r="B2228" s="1543" t="s">
        <v>703</v>
      </c>
      <c r="C2228" s="2075" t="s">
        <v>3764</v>
      </c>
      <c r="D2228" s="2075"/>
      <c r="E2228" s="2075"/>
      <c r="F2228" s="2075"/>
      <c r="G2228" s="2075"/>
      <c r="H2228" s="1107">
        <f>H2223+H2227</f>
        <v>318085</v>
      </c>
      <c r="J2228" s="1559"/>
      <c r="K2228" s="1559"/>
      <c r="L2228" s="1559"/>
      <c r="M2228" s="1635"/>
    </row>
    <row r="2229" spans="2:13" s="949" customFormat="1" hidden="1">
      <c r="B2229" s="1543" t="s">
        <v>706</v>
      </c>
      <c r="C2229" s="2076" t="s">
        <v>876</v>
      </c>
      <c r="D2229" s="2076"/>
      <c r="E2229" s="2076"/>
      <c r="F2229" s="2077" t="s">
        <v>3873</v>
      </c>
      <c r="G2229" s="2077"/>
      <c r="H2229" s="1107">
        <f>H2228*0.15</f>
        <v>47712.75</v>
      </c>
      <c r="J2229" s="1559"/>
      <c r="K2229" s="1559"/>
      <c r="L2229" s="1559"/>
      <c r="M2229" s="1635"/>
    </row>
    <row r="2230" spans="2:13" s="949" customFormat="1" hidden="1">
      <c r="B2230" s="1543" t="s">
        <v>708</v>
      </c>
      <c r="C2230" s="2078" t="s">
        <v>3765</v>
      </c>
      <c r="D2230" s="2078"/>
      <c r="E2230" s="2078"/>
      <c r="F2230" s="2078"/>
      <c r="G2230" s="2078"/>
      <c r="H2230" s="1107">
        <f>ROUND(SUM(H2228:H2229),2)</f>
        <v>365797.75</v>
      </c>
      <c r="I2230" s="950">
        <f>SUM(H2228:H2229)</f>
        <v>365797.75</v>
      </c>
      <c r="J2230" s="1561"/>
      <c r="K2230" s="1561"/>
      <c r="L2230" s="1559"/>
      <c r="M2230" s="1635"/>
    </row>
    <row r="2231" spans="2:13" s="947" customFormat="1" hidden="1">
      <c r="B2231" s="1129"/>
      <c r="C2231" s="1130"/>
      <c r="D2231" s="1129"/>
      <c r="E2231" s="1129"/>
      <c r="F2231" s="1131"/>
      <c r="G2231" s="1132"/>
      <c r="H2231" s="1115"/>
      <c r="J2231" s="1557"/>
      <c r="K2231" s="1557"/>
      <c r="L2231" s="1557"/>
      <c r="M2231" s="1566"/>
    </row>
    <row r="2232" spans="2:13" s="947" customFormat="1" hidden="1">
      <c r="B2232" s="1100" t="s">
        <v>3984</v>
      </c>
      <c r="C2232" s="1112" t="s">
        <v>4351</v>
      </c>
      <c r="D2232" s="1129"/>
      <c r="E2232" s="1129"/>
      <c r="F2232" s="1131"/>
      <c r="G2232" s="1132"/>
      <c r="H2232" s="1115"/>
      <c r="J2232" s="1557"/>
      <c r="K2232" s="1557"/>
      <c r="L2232" s="1557"/>
      <c r="M2232" s="1566"/>
    </row>
    <row r="2233" spans="2:13" s="947" customFormat="1" ht="24.9" hidden="1" customHeight="1">
      <c r="B2233" s="1748" t="s">
        <v>1003</v>
      </c>
      <c r="C2233" s="1101" t="s">
        <v>1004</v>
      </c>
      <c r="D2233" s="1101" t="s">
        <v>1005</v>
      </c>
      <c r="E2233" s="1101" t="s">
        <v>1006</v>
      </c>
      <c r="F2233" s="1102" t="s">
        <v>1007</v>
      </c>
      <c r="G2233" s="1204" t="s">
        <v>2637</v>
      </c>
      <c r="H2233" s="1110" t="s">
        <v>2638</v>
      </c>
      <c r="J2233" s="1557"/>
      <c r="K2233" s="1557"/>
      <c r="L2233" s="1557"/>
      <c r="M2233" s="1566"/>
    </row>
    <row r="2234" spans="2:13" s="947" customFormat="1" hidden="1">
      <c r="B2234" s="1543" t="s">
        <v>671</v>
      </c>
      <c r="C2234" s="1329" t="s">
        <v>672</v>
      </c>
      <c r="D2234" s="1331"/>
      <c r="E2234" s="1331"/>
      <c r="F2234" s="1334"/>
      <c r="G2234" s="1104"/>
      <c r="H2234" s="1106"/>
      <c r="J2234" s="1557"/>
      <c r="K2234" s="1557"/>
      <c r="L2234" s="1557"/>
      <c r="M2234" s="1566"/>
    </row>
    <row r="2235" spans="2:13" s="947" customFormat="1" hidden="1">
      <c r="B2235" s="1540"/>
      <c r="C2235" s="1332" t="s">
        <v>673</v>
      </c>
      <c r="D2235" s="1331" t="s">
        <v>674</v>
      </c>
      <c r="E2235" s="1331" t="s">
        <v>675</v>
      </c>
      <c r="F2235" s="1334">
        <v>0.35</v>
      </c>
      <c r="G2235" s="1104">
        <f>DUB!$I$10</f>
        <v>150000</v>
      </c>
      <c r="H2235" s="1106">
        <f>G2235*F2235</f>
        <v>52500</v>
      </c>
      <c r="J2235" s="1557"/>
      <c r="K2235" s="1557"/>
      <c r="L2235" s="1557"/>
      <c r="M2235" s="1566"/>
    </row>
    <row r="2236" spans="2:13" s="947" customFormat="1" hidden="1">
      <c r="B2236" s="1540"/>
      <c r="C2236" s="1332" t="s">
        <v>855</v>
      </c>
      <c r="D2236" s="1331" t="s">
        <v>678</v>
      </c>
      <c r="E2236" s="1331" t="s">
        <v>675</v>
      </c>
      <c r="F2236" s="1334">
        <v>0.35</v>
      </c>
      <c r="G2236" s="1104">
        <f>DUB!$I$11</f>
        <v>187000</v>
      </c>
      <c r="H2236" s="1106">
        <f>G2236*F2236</f>
        <v>65449.999999999993</v>
      </c>
      <c r="J2236" s="1557"/>
      <c r="K2236" s="1557"/>
      <c r="L2236" s="1557"/>
      <c r="M2236" s="1566"/>
    </row>
    <row r="2237" spans="2:13" s="947" customFormat="1" hidden="1">
      <c r="B2237" s="1540"/>
      <c r="C2237" s="1332" t="s">
        <v>680</v>
      </c>
      <c r="D2237" s="1331" t="s">
        <v>681</v>
      </c>
      <c r="E2237" s="1331" t="s">
        <v>675</v>
      </c>
      <c r="F2237" s="1334">
        <v>3.5000000000000003E-2</v>
      </c>
      <c r="G2237" s="1104">
        <f>DUB!$I$13</f>
        <v>240000</v>
      </c>
      <c r="H2237" s="1106">
        <f>G2237*F2237</f>
        <v>8400</v>
      </c>
      <c r="J2237" s="1557"/>
      <c r="K2237" s="1557"/>
      <c r="L2237" s="1557"/>
      <c r="M2237" s="1566"/>
    </row>
    <row r="2238" spans="2:13" s="947" customFormat="1" hidden="1">
      <c r="B2238" s="1540"/>
      <c r="C2238" s="1332" t="s">
        <v>683</v>
      </c>
      <c r="D2238" s="1331" t="s">
        <v>684</v>
      </c>
      <c r="E2238" s="1331" t="s">
        <v>675</v>
      </c>
      <c r="F2238" s="1334">
        <v>1.7999999999999999E-2</v>
      </c>
      <c r="G2238" s="1104">
        <f>DUB!$I$12</f>
        <v>225000</v>
      </c>
      <c r="H2238" s="1106">
        <f>G2238*F2238</f>
        <v>4049.9999999999995</v>
      </c>
      <c r="J2238" s="1557"/>
      <c r="K2238" s="1557"/>
      <c r="L2238" s="1557"/>
      <c r="M2238" s="1566"/>
    </row>
    <row r="2239" spans="2:13" s="947" customFormat="1" hidden="1">
      <c r="B2239" s="1540"/>
      <c r="C2239" s="1332"/>
      <c r="D2239" s="1331"/>
      <c r="E2239" s="1331"/>
      <c r="F2239" s="2074" t="s">
        <v>685</v>
      </c>
      <c r="G2239" s="2074"/>
      <c r="H2239" s="1106">
        <f>SUM(H2235:H2238)</f>
        <v>130400</v>
      </c>
      <c r="J2239" s="1557"/>
      <c r="K2239" s="1557"/>
      <c r="L2239" s="1557"/>
      <c r="M2239" s="1566"/>
    </row>
    <row r="2240" spans="2:13" s="947" customFormat="1" hidden="1">
      <c r="B2240" s="1543" t="s">
        <v>686</v>
      </c>
      <c r="C2240" s="1329" t="s">
        <v>687</v>
      </c>
      <c r="D2240" s="1331"/>
      <c r="E2240" s="1331"/>
      <c r="F2240" s="1334"/>
      <c r="G2240" s="1104"/>
      <c r="H2240" s="1106"/>
      <c r="J2240" s="1557"/>
      <c r="K2240" s="1557"/>
      <c r="L2240" s="1557"/>
      <c r="M2240" s="1566"/>
    </row>
    <row r="2241" spans="2:13" s="947" customFormat="1" hidden="1">
      <c r="B2241" s="1540"/>
      <c r="C2241" s="1126" t="s">
        <v>3338</v>
      </c>
      <c r="D2241" s="1331"/>
      <c r="E2241" s="1331" t="s">
        <v>1009</v>
      </c>
      <c r="F2241" s="1334">
        <v>4</v>
      </c>
      <c r="G2241" s="1104">
        <f>DUB!$I$106</f>
        <v>32130</v>
      </c>
      <c r="H2241" s="1106">
        <f>G2241*F2241</f>
        <v>128520</v>
      </c>
      <c r="J2241" s="1557"/>
      <c r="K2241" s="1557"/>
      <c r="L2241" s="1557"/>
      <c r="M2241" s="1566"/>
    </row>
    <row r="2242" spans="2:13" s="947" customFormat="1" hidden="1">
      <c r="B2242" s="1540"/>
      <c r="C2242" s="1126" t="s">
        <v>3340</v>
      </c>
      <c r="D2242" s="1331"/>
      <c r="E2242" s="1331" t="s">
        <v>1011</v>
      </c>
      <c r="F2242" s="1334" t="s">
        <v>1012</v>
      </c>
      <c r="G2242" s="1104">
        <f>100%*$H$2241</f>
        <v>128520</v>
      </c>
      <c r="H2242" s="1106">
        <f>G2242</f>
        <v>128520</v>
      </c>
      <c r="J2242" s="1557"/>
      <c r="K2242" s="1557"/>
      <c r="L2242" s="1557"/>
      <c r="M2242" s="1566"/>
    </row>
    <row r="2243" spans="2:13" s="947" customFormat="1" hidden="1">
      <c r="B2243" s="1540"/>
      <c r="C2243" s="1332"/>
      <c r="D2243" s="1331"/>
      <c r="E2243" s="1331"/>
      <c r="F2243" s="1334"/>
      <c r="G2243" s="1104"/>
      <c r="H2243" s="1106"/>
      <c r="J2243" s="1557"/>
      <c r="K2243" s="1557"/>
      <c r="L2243" s="1557"/>
      <c r="M2243" s="1566"/>
    </row>
    <row r="2244" spans="2:13" s="947" customFormat="1" hidden="1">
      <c r="B2244" s="1540"/>
      <c r="C2244" s="1125"/>
      <c r="D2244" s="1333"/>
      <c r="E2244" s="1333"/>
      <c r="F2244" s="2074" t="s">
        <v>702</v>
      </c>
      <c r="G2244" s="2074"/>
      <c r="H2244" s="1106">
        <f>SUM(H2241:H2242)</f>
        <v>257040</v>
      </c>
      <c r="J2244" s="1557"/>
      <c r="K2244" s="1557"/>
      <c r="L2244" s="1557"/>
      <c r="M2244" s="1566"/>
    </row>
    <row r="2245" spans="2:13" s="949" customFormat="1" hidden="1">
      <c r="B2245" s="1543" t="s">
        <v>703</v>
      </c>
      <c r="C2245" s="2075" t="s">
        <v>3764</v>
      </c>
      <c r="D2245" s="2075"/>
      <c r="E2245" s="2075"/>
      <c r="F2245" s="2075"/>
      <c r="G2245" s="2075"/>
      <c r="H2245" s="1107">
        <f>H2239+H2244</f>
        <v>387440</v>
      </c>
      <c r="J2245" s="1559"/>
      <c r="K2245" s="1559"/>
      <c r="L2245" s="1559"/>
      <c r="M2245" s="1635"/>
    </row>
    <row r="2246" spans="2:13" s="949" customFormat="1" hidden="1">
      <c r="B2246" s="1543" t="s">
        <v>706</v>
      </c>
      <c r="C2246" s="2076" t="s">
        <v>876</v>
      </c>
      <c r="D2246" s="2076"/>
      <c r="E2246" s="2076"/>
      <c r="F2246" s="2077" t="s">
        <v>3873</v>
      </c>
      <c r="G2246" s="2077"/>
      <c r="H2246" s="1107">
        <f>H2245*0.15</f>
        <v>58116</v>
      </c>
      <c r="J2246" s="1559"/>
      <c r="K2246" s="1559"/>
      <c r="L2246" s="1559"/>
      <c r="M2246" s="1635"/>
    </row>
    <row r="2247" spans="2:13" s="949" customFormat="1" hidden="1">
      <c r="B2247" s="1543" t="s">
        <v>708</v>
      </c>
      <c r="C2247" s="2078" t="s">
        <v>3765</v>
      </c>
      <c r="D2247" s="2078"/>
      <c r="E2247" s="2078"/>
      <c r="F2247" s="2078"/>
      <c r="G2247" s="2078"/>
      <c r="H2247" s="1107">
        <f>ROUND(SUM(H2245:H2246),2)</f>
        <v>445556</v>
      </c>
      <c r="I2247" s="950">
        <f>SUM(H2245:H2246)</f>
        <v>445556</v>
      </c>
      <c r="J2247" s="1561"/>
      <c r="K2247" s="1561"/>
      <c r="L2247" s="1559"/>
      <c r="M2247" s="1635"/>
    </row>
    <row r="2248" spans="2:13" s="947" customFormat="1" hidden="1">
      <c r="B2248" s="1129"/>
      <c r="C2248" s="1130"/>
      <c r="D2248" s="1129"/>
      <c r="E2248" s="1130"/>
      <c r="F2248" s="1131"/>
      <c r="G2248" s="1132"/>
      <c r="H2248" s="1115">
        <f>F2286*8</f>
        <v>4</v>
      </c>
      <c r="I2248" s="952"/>
      <c r="J2248" s="1562"/>
      <c r="K2248" s="1562"/>
      <c r="L2248" s="1557"/>
      <c r="M2248" s="1566"/>
    </row>
    <row r="2249" spans="2:13" s="947" customFormat="1" hidden="1">
      <c r="B2249" s="1100" t="s">
        <v>4692</v>
      </c>
      <c r="C2249" s="1112" t="s">
        <v>4351</v>
      </c>
      <c r="D2249" s="1129"/>
      <c r="E2249" s="1129"/>
      <c r="F2249" s="1131"/>
      <c r="G2249" s="1132"/>
      <c r="H2249" s="1115"/>
      <c r="J2249" s="1557"/>
      <c r="K2249" s="1557"/>
      <c r="L2249" s="1557"/>
      <c r="M2249" s="1566"/>
    </row>
    <row r="2250" spans="2:13" s="947" customFormat="1" ht="24.9" hidden="1" customHeight="1">
      <c r="B2250" s="1748" t="s">
        <v>1003</v>
      </c>
      <c r="C2250" s="1101" t="s">
        <v>1004</v>
      </c>
      <c r="D2250" s="1101" t="s">
        <v>1005</v>
      </c>
      <c r="E2250" s="1101" t="s">
        <v>1006</v>
      </c>
      <c r="F2250" s="1102" t="s">
        <v>1007</v>
      </c>
      <c r="G2250" s="1204" t="s">
        <v>2637</v>
      </c>
      <c r="H2250" s="1110" t="s">
        <v>2638</v>
      </c>
      <c r="J2250" s="1557"/>
      <c r="K2250" s="1557"/>
      <c r="L2250" s="1557"/>
      <c r="M2250" s="1566"/>
    </row>
    <row r="2251" spans="2:13" s="947" customFormat="1" hidden="1">
      <c r="B2251" s="1543" t="s">
        <v>671</v>
      </c>
      <c r="C2251" s="1329" t="s">
        <v>672</v>
      </c>
      <c r="D2251" s="1331"/>
      <c r="E2251" s="1331"/>
      <c r="F2251" s="1334"/>
      <c r="G2251" s="1104"/>
      <c r="H2251" s="1106"/>
      <c r="J2251" s="1557"/>
      <c r="K2251" s="1557"/>
      <c r="L2251" s="1557"/>
      <c r="M2251" s="1566"/>
    </row>
    <row r="2252" spans="2:13" s="947" customFormat="1" hidden="1">
      <c r="B2252" s="1540"/>
      <c r="C2252" s="1332" t="s">
        <v>673</v>
      </c>
      <c r="D2252" s="1331" t="s">
        <v>674</v>
      </c>
      <c r="E2252" s="1331" t="s">
        <v>675</v>
      </c>
      <c r="F2252" s="1334">
        <v>0.35</v>
      </c>
      <c r="G2252" s="1104">
        <f>DUB!$I$10</f>
        <v>150000</v>
      </c>
      <c r="H2252" s="1106">
        <f>G2252*F2252</f>
        <v>52500</v>
      </c>
      <c r="J2252" s="1557"/>
      <c r="K2252" s="1557"/>
      <c r="L2252" s="1557"/>
      <c r="M2252" s="1566"/>
    </row>
    <row r="2253" spans="2:13" s="947" customFormat="1" hidden="1">
      <c r="B2253" s="1540"/>
      <c r="C2253" s="1332" t="s">
        <v>855</v>
      </c>
      <c r="D2253" s="1331" t="s">
        <v>678</v>
      </c>
      <c r="E2253" s="1331" t="s">
        <v>675</v>
      </c>
      <c r="F2253" s="1334">
        <v>0.35</v>
      </c>
      <c r="G2253" s="1104">
        <f>DUB!$I$11</f>
        <v>187000</v>
      </c>
      <c r="H2253" s="1106">
        <f>G2253*F2253</f>
        <v>65449.999999999993</v>
      </c>
      <c r="J2253" s="1557"/>
      <c r="K2253" s="1557"/>
      <c r="L2253" s="1557"/>
      <c r="M2253" s="1566"/>
    </row>
    <row r="2254" spans="2:13" s="947" customFormat="1" hidden="1">
      <c r="B2254" s="1540"/>
      <c r="C2254" s="1332" t="s">
        <v>680</v>
      </c>
      <c r="D2254" s="1331" t="s">
        <v>681</v>
      </c>
      <c r="E2254" s="1331" t="s">
        <v>675</v>
      </c>
      <c r="F2254" s="1334">
        <v>3.5000000000000003E-2</v>
      </c>
      <c r="G2254" s="1104">
        <f>DUB!$I$13</f>
        <v>240000</v>
      </c>
      <c r="H2254" s="1106">
        <f>G2254*F2254</f>
        <v>8400</v>
      </c>
      <c r="J2254" s="1557"/>
      <c r="K2254" s="1557"/>
      <c r="L2254" s="1557"/>
      <c r="M2254" s="1566"/>
    </row>
    <row r="2255" spans="2:13" s="947" customFormat="1" hidden="1">
      <c r="B2255" s="1540"/>
      <c r="C2255" s="1332" t="s">
        <v>683</v>
      </c>
      <c r="D2255" s="1331" t="s">
        <v>684</v>
      </c>
      <c r="E2255" s="1331" t="s">
        <v>675</v>
      </c>
      <c r="F2255" s="1334">
        <v>1.7999999999999999E-2</v>
      </c>
      <c r="G2255" s="1104">
        <f>DUB!$I$12</f>
        <v>225000</v>
      </c>
      <c r="H2255" s="1106">
        <f>G2255*F2255</f>
        <v>4049.9999999999995</v>
      </c>
      <c r="J2255" s="1557"/>
      <c r="K2255" s="1557"/>
      <c r="L2255" s="1557"/>
      <c r="M2255" s="1566"/>
    </row>
    <row r="2256" spans="2:13" s="947" customFormat="1" hidden="1">
      <c r="B2256" s="1540"/>
      <c r="C2256" s="1332"/>
      <c r="D2256" s="1331"/>
      <c r="E2256" s="1331"/>
      <c r="F2256" s="2074" t="s">
        <v>685</v>
      </c>
      <c r="G2256" s="2074"/>
      <c r="H2256" s="1106">
        <f>SUM(H2252:H2255)</f>
        <v>130400</v>
      </c>
      <c r="J2256" s="1557"/>
      <c r="K2256" s="1557"/>
      <c r="L2256" s="1557"/>
      <c r="M2256" s="1566"/>
    </row>
    <row r="2257" spans="2:13" s="947" customFormat="1" hidden="1">
      <c r="B2257" s="1543" t="s">
        <v>686</v>
      </c>
      <c r="C2257" s="1329" t="s">
        <v>687</v>
      </c>
      <c r="D2257" s="1331"/>
      <c r="E2257" s="1331"/>
      <c r="F2257" s="1334"/>
      <c r="G2257" s="1104"/>
      <c r="H2257" s="1106"/>
      <c r="J2257" s="1557"/>
      <c r="K2257" s="1557"/>
      <c r="L2257" s="1557"/>
      <c r="M2257" s="1566"/>
    </row>
    <row r="2258" spans="2:13" s="947" customFormat="1" hidden="1">
      <c r="B2258" s="1540"/>
      <c r="C2258" s="1126" t="s">
        <v>3338</v>
      </c>
      <c r="D2258" s="1331"/>
      <c r="E2258" s="1331" t="s">
        <v>1009</v>
      </c>
      <c r="F2258" s="1334">
        <f>4+0.2</f>
        <v>4.2</v>
      </c>
      <c r="G2258" s="1104">
        <f>DUB!$I$106</f>
        <v>32130</v>
      </c>
      <c r="H2258" s="1106">
        <f>G2258*F2258</f>
        <v>134946</v>
      </c>
      <c r="J2258" s="1557"/>
      <c r="K2258" s="1557"/>
      <c r="L2258" s="1557"/>
      <c r="M2258" s="1566"/>
    </row>
    <row r="2259" spans="2:13" s="947" customFormat="1" hidden="1">
      <c r="B2259" s="1540"/>
      <c r="C2259" s="1126" t="s">
        <v>3340</v>
      </c>
      <c r="D2259" s="1331"/>
      <c r="E2259" s="1331" t="s">
        <v>1011</v>
      </c>
      <c r="F2259" s="1334" t="s">
        <v>1012</v>
      </c>
      <c r="G2259" s="1104">
        <f>100%*$H$2241</f>
        <v>128520</v>
      </c>
      <c r="H2259" s="1106">
        <f>G2259</f>
        <v>128520</v>
      </c>
      <c r="J2259" s="1557"/>
      <c r="K2259" s="1557"/>
      <c r="L2259" s="1557"/>
      <c r="M2259" s="1566"/>
    </row>
    <row r="2260" spans="2:13" s="947" customFormat="1" hidden="1">
      <c r="B2260" s="1540"/>
      <c r="C2260" s="1332"/>
      <c r="D2260" s="1331"/>
      <c r="E2260" s="1331"/>
      <c r="F2260" s="1334"/>
      <c r="G2260" s="1104"/>
      <c r="H2260" s="1106"/>
      <c r="J2260" s="1557"/>
      <c r="K2260" s="1557"/>
      <c r="L2260" s="1557"/>
      <c r="M2260" s="1566"/>
    </row>
    <row r="2261" spans="2:13" s="947" customFormat="1" hidden="1">
      <c r="B2261" s="1540"/>
      <c r="C2261" s="1125"/>
      <c r="D2261" s="1333"/>
      <c r="E2261" s="1333"/>
      <c r="F2261" s="2074" t="s">
        <v>702</v>
      </c>
      <c r="G2261" s="2074"/>
      <c r="H2261" s="1106">
        <f>SUM(H2258:H2259)</f>
        <v>263466</v>
      </c>
      <c r="J2261" s="1557"/>
      <c r="K2261" s="1557"/>
      <c r="L2261" s="1557"/>
      <c r="M2261" s="1566"/>
    </row>
    <row r="2262" spans="2:13" s="949" customFormat="1" hidden="1">
      <c r="B2262" s="1543" t="s">
        <v>703</v>
      </c>
      <c r="C2262" s="2075" t="s">
        <v>3764</v>
      </c>
      <c r="D2262" s="2075"/>
      <c r="E2262" s="2075"/>
      <c r="F2262" s="2075"/>
      <c r="G2262" s="2075"/>
      <c r="H2262" s="1107">
        <f>H2256+H2261</f>
        <v>393866</v>
      </c>
      <c r="J2262" s="1559"/>
      <c r="K2262" s="1559"/>
      <c r="L2262" s="1559"/>
      <c r="M2262" s="1635"/>
    </row>
    <row r="2263" spans="2:13" s="949" customFormat="1" hidden="1">
      <c r="B2263" s="1543" t="s">
        <v>706</v>
      </c>
      <c r="C2263" s="2076" t="s">
        <v>876</v>
      </c>
      <c r="D2263" s="2076"/>
      <c r="E2263" s="2076"/>
      <c r="F2263" s="2077" t="s">
        <v>3873</v>
      </c>
      <c r="G2263" s="2077"/>
      <c r="H2263" s="1107">
        <f>H2262*0.15</f>
        <v>59079.899999999994</v>
      </c>
      <c r="J2263" s="1559"/>
      <c r="K2263" s="1559"/>
      <c r="L2263" s="1559"/>
      <c r="M2263" s="1635"/>
    </row>
    <row r="2264" spans="2:13" s="949" customFormat="1" hidden="1">
      <c r="B2264" s="1543" t="s">
        <v>708</v>
      </c>
      <c r="C2264" s="2078" t="s">
        <v>3765</v>
      </c>
      <c r="D2264" s="2078"/>
      <c r="E2264" s="2078"/>
      <c r="F2264" s="2078"/>
      <c r="G2264" s="2078"/>
      <c r="H2264" s="1107">
        <f>ROUND(SUM(H2262:H2263),2)</f>
        <v>452945.9</v>
      </c>
      <c r="I2264" s="950">
        <f>SUM(H2262:H2263)</f>
        <v>452945.9</v>
      </c>
      <c r="J2264" s="1561"/>
      <c r="K2264" s="1561"/>
      <c r="L2264" s="1559"/>
      <c r="M2264" s="1635"/>
    </row>
    <row r="2265" spans="2:13" s="949" customFormat="1" hidden="1">
      <c r="B2265" s="1111"/>
      <c r="C2265" s="1112"/>
      <c r="D2265" s="1111"/>
      <c r="E2265" s="1112"/>
      <c r="F2265" s="1111"/>
      <c r="G2265" s="1199"/>
      <c r="H2265" s="1176"/>
      <c r="I2265" s="951"/>
      <c r="J2265" s="1561"/>
      <c r="K2265" s="1561"/>
      <c r="L2265" s="1559"/>
      <c r="M2265" s="1635"/>
    </row>
    <row r="2266" spans="2:13" s="947" customFormat="1" hidden="1">
      <c r="B2266" s="1100" t="s">
        <v>4606</v>
      </c>
      <c r="C2266" s="1112" t="s">
        <v>4607</v>
      </c>
      <c r="D2266" s="1129"/>
      <c r="E2266" s="1129"/>
      <c r="F2266" s="1131"/>
      <c r="G2266" s="1132"/>
      <c r="H2266" s="1115"/>
      <c r="J2266" s="1557"/>
      <c r="K2266" s="1557"/>
      <c r="L2266" s="1557"/>
      <c r="M2266" s="1566"/>
    </row>
    <row r="2267" spans="2:13" s="953" customFormat="1" ht="24.9" hidden="1" customHeight="1">
      <c r="B2267" s="1786" t="s">
        <v>1003</v>
      </c>
      <c r="C2267" s="1208" t="s">
        <v>1004</v>
      </c>
      <c r="D2267" s="1208" t="s">
        <v>1005</v>
      </c>
      <c r="E2267" s="1208" t="s">
        <v>1006</v>
      </c>
      <c r="F2267" s="1209" t="s">
        <v>1007</v>
      </c>
      <c r="G2267" s="1109" t="s">
        <v>2637</v>
      </c>
      <c r="H2267" s="1110" t="s">
        <v>2638</v>
      </c>
      <c r="J2267" s="1687"/>
      <c r="K2267" s="1687"/>
      <c r="L2267" s="1687"/>
      <c r="M2267" s="1787"/>
    </row>
    <row r="2268" spans="2:13" s="947" customFormat="1" hidden="1">
      <c r="B2268" s="1543" t="s">
        <v>671</v>
      </c>
      <c r="C2268" s="1329" t="s">
        <v>672</v>
      </c>
      <c r="D2268" s="1331"/>
      <c r="E2268" s="1331"/>
      <c r="F2268" s="1334"/>
      <c r="G2268" s="1104"/>
      <c r="H2268" s="1106"/>
      <c r="J2268" s="1557"/>
      <c r="K2268" s="1557"/>
      <c r="L2268" s="1557"/>
      <c r="M2268" s="1566"/>
    </row>
    <row r="2269" spans="2:13" s="947" customFormat="1" hidden="1">
      <c r="B2269" s="1540"/>
      <c r="C2269" s="1332" t="s">
        <v>673</v>
      </c>
      <c r="D2269" s="1331" t="s">
        <v>674</v>
      </c>
      <c r="E2269" s="1331" t="s">
        <v>675</v>
      </c>
      <c r="F2269" s="1334">
        <v>0.35</v>
      </c>
      <c r="G2269" s="1104">
        <f>DUB!$I$10</f>
        <v>150000</v>
      </c>
      <c r="H2269" s="1106">
        <f>G2269*F2269</f>
        <v>52500</v>
      </c>
      <c r="J2269" s="1557"/>
      <c r="K2269" s="1557"/>
      <c r="L2269" s="1557"/>
      <c r="M2269" s="1566"/>
    </row>
    <row r="2270" spans="2:13" s="947" customFormat="1" hidden="1">
      <c r="B2270" s="1540"/>
      <c r="C2270" s="1332" t="s">
        <v>855</v>
      </c>
      <c r="D2270" s="1331" t="s">
        <v>678</v>
      </c>
      <c r="E2270" s="1331" t="s">
        <v>675</v>
      </c>
      <c r="F2270" s="1334">
        <v>0.35</v>
      </c>
      <c r="G2270" s="1104">
        <f>DUB!$I$11</f>
        <v>187000</v>
      </c>
      <c r="H2270" s="1106">
        <f>G2270*F2270</f>
        <v>65449.999999999993</v>
      </c>
      <c r="J2270" s="1557"/>
      <c r="K2270" s="1557"/>
      <c r="L2270" s="1557"/>
      <c r="M2270" s="1566"/>
    </row>
    <row r="2271" spans="2:13" s="947" customFormat="1" hidden="1">
      <c r="B2271" s="1540"/>
      <c r="C2271" s="1332" t="s">
        <v>680</v>
      </c>
      <c r="D2271" s="1331" t="s">
        <v>681</v>
      </c>
      <c r="E2271" s="1331" t="s">
        <v>675</v>
      </c>
      <c r="F2271" s="1334">
        <v>3.5000000000000003E-2</v>
      </c>
      <c r="G2271" s="1104">
        <f>DUB!$I$13</f>
        <v>240000</v>
      </c>
      <c r="H2271" s="1106">
        <f>G2271*F2271</f>
        <v>8400</v>
      </c>
      <c r="J2271" s="1557"/>
      <c r="K2271" s="1557"/>
      <c r="L2271" s="1557"/>
      <c r="M2271" s="1566"/>
    </row>
    <row r="2272" spans="2:13" s="947" customFormat="1" hidden="1">
      <c r="B2272" s="1540"/>
      <c r="C2272" s="1332" t="s">
        <v>683</v>
      </c>
      <c r="D2272" s="1331" t="s">
        <v>684</v>
      </c>
      <c r="E2272" s="1331" t="s">
        <v>675</v>
      </c>
      <c r="F2272" s="1334">
        <v>1.7999999999999999E-2</v>
      </c>
      <c r="G2272" s="1104">
        <f>DUB!$I$12</f>
        <v>225000</v>
      </c>
      <c r="H2272" s="1106">
        <f>G2272*F2272</f>
        <v>4049.9999999999995</v>
      </c>
      <c r="J2272" s="1557"/>
      <c r="K2272" s="1557"/>
      <c r="L2272" s="1557"/>
      <c r="M2272" s="1566"/>
    </row>
    <row r="2273" spans="2:13" s="947" customFormat="1" hidden="1">
      <c r="B2273" s="1540"/>
      <c r="C2273" s="1332"/>
      <c r="D2273" s="1331"/>
      <c r="E2273" s="1331"/>
      <c r="F2273" s="2074" t="s">
        <v>685</v>
      </c>
      <c r="G2273" s="2074"/>
      <c r="H2273" s="1106">
        <f>SUM(H2269:H2272)</f>
        <v>130400</v>
      </c>
      <c r="J2273" s="1557"/>
      <c r="K2273" s="1557"/>
      <c r="L2273" s="1557"/>
      <c r="M2273" s="1566"/>
    </row>
    <row r="2274" spans="2:13" s="947" customFormat="1" hidden="1">
      <c r="B2274" s="1543" t="s">
        <v>686</v>
      </c>
      <c r="C2274" s="1329" t="s">
        <v>687</v>
      </c>
      <c r="D2274" s="1331"/>
      <c r="E2274" s="1331"/>
      <c r="F2274" s="1334"/>
      <c r="G2274" s="1104"/>
      <c r="H2274" s="1106"/>
      <c r="J2274" s="1557"/>
      <c r="K2274" s="1557"/>
      <c r="L2274" s="1557"/>
      <c r="M2274" s="1566"/>
    </row>
    <row r="2275" spans="2:13" s="947" customFormat="1" hidden="1">
      <c r="B2275" s="1540"/>
      <c r="C2275" s="1126" t="s">
        <v>4608</v>
      </c>
      <c r="D2275" s="1331"/>
      <c r="E2275" s="1331" t="s">
        <v>1009</v>
      </c>
      <c r="F2275" s="1334">
        <v>4</v>
      </c>
      <c r="G2275" s="1104">
        <f>DUB!I139</f>
        <v>117810</v>
      </c>
      <c r="H2275" s="1106">
        <f>G2275*F2275</f>
        <v>471240</v>
      </c>
      <c r="J2275" s="1557"/>
      <c r="K2275" s="1557"/>
      <c r="L2275" s="1557"/>
      <c r="M2275" s="1566"/>
    </row>
    <row r="2276" spans="2:13" s="947" customFormat="1" hidden="1">
      <c r="B2276" s="1540"/>
      <c r="C2276" s="1126" t="s">
        <v>4610</v>
      </c>
      <c r="D2276" s="1331"/>
      <c r="E2276" s="1331" t="s">
        <v>1011</v>
      </c>
      <c r="F2276" s="1334" t="s">
        <v>1012</v>
      </c>
      <c r="G2276" s="1104">
        <f>100%*$H$2241</f>
        <v>128520</v>
      </c>
      <c r="H2276" s="1106">
        <f>G2276</f>
        <v>128520</v>
      </c>
      <c r="J2276" s="1557"/>
      <c r="K2276" s="1557"/>
      <c r="L2276" s="1557"/>
      <c r="M2276" s="1566"/>
    </row>
    <row r="2277" spans="2:13" s="947" customFormat="1" hidden="1">
      <c r="B2277" s="1540"/>
      <c r="C2277" s="1332"/>
      <c r="D2277" s="1331"/>
      <c r="E2277" s="1331"/>
      <c r="F2277" s="1334"/>
      <c r="G2277" s="1104"/>
      <c r="H2277" s="1106"/>
      <c r="J2277" s="1557"/>
      <c r="K2277" s="1557"/>
      <c r="L2277" s="1557"/>
      <c r="M2277" s="1566"/>
    </row>
    <row r="2278" spans="2:13" s="947" customFormat="1" hidden="1">
      <c r="B2278" s="1540"/>
      <c r="C2278" s="1125"/>
      <c r="D2278" s="1333"/>
      <c r="E2278" s="1333"/>
      <c r="F2278" s="2074" t="s">
        <v>702</v>
      </c>
      <c r="G2278" s="2074"/>
      <c r="H2278" s="1106">
        <f>SUM(H2275:H2276)</f>
        <v>599760</v>
      </c>
      <c r="J2278" s="1557"/>
      <c r="K2278" s="1557"/>
      <c r="L2278" s="1557"/>
      <c r="M2278" s="1566"/>
    </row>
    <row r="2279" spans="2:13" s="949" customFormat="1" hidden="1">
      <c r="B2279" s="1543" t="s">
        <v>703</v>
      </c>
      <c r="C2279" s="2075" t="s">
        <v>3764</v>
      </c>
      <c r="D2279" s="2075"/>
      <c r="E2279" s="2075"/>
      <c r="F2279" s="2075"/>
      <c r="G2279" s="2075"/>
      <c r="H2279" s="1107">
        <f>H2273+H2278</f>
        <v>730160</v>
      </c>
      <c r="J2279" s="1559"/>
      <c r="K2279" s="1559"/>
      <c r="L2279" s="1559"/>
      <c r="M2279" s="1635"/>
    </row>
    <row r="2280" spans="2:13" s="949" customFormat="1" hidden="1">
      <c r="B2280" s="1543" t="s">
        <v>706</v>
      </c>
      <c r="C2280" s="2076" t="s">
        <v>876</v>
      </c>
      <c r="D2280" s="2076"/>
      <c r="E2280" s="2076"/>
      <c r="F2280" s="2077" t="s">
        <v>3873</v>
      </c>
      <c r="G2280" s="2077"/>
      <c r="H2280" s="1107">
        <f>H2279*0.15</f>
        <v>109524</v>
      </c>
      <c r="J2280" s="1559"/>
      <c r="K2280" s="1559"/>
      <c r="L2280" s="1559"/>
      <c r="M2280" s="1635"/>
    </row>
    <row r="2281" spans="2:13" s="949" customFormat="1" hidden="1">
      <c r="B2281" s="1543" t="s">
        <v>708</v>
      </c>
      <c r="C2281" s="2078" t="s">
        <v>3765</v>
      </c>
      <c r="D2281" s="2078"/>
      <c r="E2281" s="2078"/>
      <c r="F2281" s="2078"/>
      <c r="G2281" s="2078"/>
      <c r="H2281" s="1107">
        <f>ROUND(SUM(H2279:H2280),2)</f>
        <v>839684</v>
      </c>
      <c r="I2281" s="950">
        <f>SUM(H2279:H2280)</f>
        <v>839684</v>
      </c>
      <c r="J2281" s="1561"/>
      <c r="K2281" s="1561"/>
      <c r="L2281" s="1559"/>
      <c r="M2281" s="1635"/>
    </row>
    <row r="2282" spans="2:13" s="947" customFormat="1" hidden="1">
      <c r="B2282" s="1129"/>
      <c r="C2282" s="1130"/>
      <c r="D2282" s="1129"/>
      <c r="E2282" s="1130"/>
      <c r="F2282" s="1131"/>
      <c r="G2282" s="1132"/>
      <c r="H2282" s="1115"/>
      <c r="I2282" s="952"/>
      <c r="J2282" s="1562"/>
      <c r="K2282" s="1562"/>
      <c r="L2282" s="1557"/>
      <c r="M2282" s="1566"/>
    </row>
    <row r="2283" spans="2:13" s="947" customFormat="1" hidden="1">
      <c r="B2283" s="1100" t="s">
        <v>4348</v>
      </c>
      <c r="C2283" s="1112" t="s">
        <v>4349</v>
      </c>
      <c r="D2283" s="1129"/>
      <c r="E2283" s="1129"/>
      <c r="F2283" s="1131"/>
      <c r="G2283" s="1132"/>
      <c r="H2283" s="1115"/>
      <c r="J2283" s="1557"/>
      <c r="K2283" s="1557"/>
      <c r="L2283" s="1557"/>
      <c r="M2283" s="1566"/>
    </row>
    <row r="2284" spans="2:13" s="948" customFormat="1" ht="24.9" hidden="1" customHeight="1">
      <c r="B2284" s="1786" t="s">
        <v>1003</v>
      </c>
      <c r="C2284" s="1208" t="s">
        <v>1004</v>
      </c>
      <c r="D2284" s="1208" t="s">
        <v>1005</v>
      </c>
      <c r="E2284" s="1208" t="s">
        <v>1006</v>
      </c>
      <c r="F2284" s="1209" t="s">
        <v>1007</v>
      </c>
      <c r="G2284" s="1109" t="s">
        <v>2637</v>
      </c>
      <c r="H2284" s="1110" t="s">
        <v>2638</v>
      </c>
      <c r="J2284" s="1625"/>
      <c r="K2284" s="1625"/>
      <c r="L2284" s="1625"/>
      <c r="M2284" s="1570"/>
    </row>
    <row r="2285" spans="2:13" s="947" customFormat="1" hidden="1">
      <c r="B2285" s="1543" t="s">
        <v>671</v>
      </c>
      <c r="C2285" s="1329" t="s">
        <v>672</v>
      </c>
      <c r="D2285" s="1331"/>
      <c r="E2285" s="1331"/>
      <c r="F2285" s="1334"/>
      <c r="G2285" s="1104"/>
      <c r="H2285" s="1106"/>
      <c r="J2285" s="1557"/>
      <c r="K2285" s="1557"/>
      <c r="L2285" s="1557"/>
      <c r="M2285" s="1566"/>
    </row>
    <row r="2286" spans="2:13" s="947" customFormat="1" hidden="1">
      <c r="B2286" s="1540"/>
      <c r="C2286" s="1332" t="s">
        <v>673</v>
      </c>
      <c r="D2286" s="1331" t="s">
        <v>674</v>
      </c>
      <c r="E2286" s="1331" t="s">
        <v>675</v>
      </c>
      <c r="F2286" s="1334">
        <v>0.5</v>
      </c>
      <c r="G2286" s="1104">
        <f>DUB!$I$10</f>
        <v>150000</v>
      </c>
      <c r="H2286" s="1106">
        <f>G2286*F2286</f>
        <v>75000</v>
      </c>
      <c r="J2286" s="1557"/>
      <c r="K2286" s="1557"/>
      <c r="L2286" s="1557"/>
      <c r="M2286" s="1566"/>
    </row>
    <row r="2287" spans="2:13" s="947" customFormat="1" hidden="1">
      <c r="B2287" s="1540"/>
      <c r="C2287" s="1332" t="s">
        <v>855</v>
      </c>
      <c r="D2287" s="1331" t="s">
        <v>678</v>
      </c>
      <c r="E2287" s="1331" t="s">
        <v>675</v>
      </c>
      <c r="F2287" s="1334">
        <v>0.5</v>
      </c>
      <c r="G2287" s="1104">
        <f>DUB!$I$11</f>
        <v>187000</v>
      </c>
      <c r="H2287" s="1106">
        <f>G2287*F2287</f>
        <v>93500</v>
      </c>
      <c r="J2287" s="1557"/>
      <c r="K2287" s="1557"/>
      <c r="L2287" s="1557"/>
      <c r="M2287" s="1566"/>
    </row>
    <row r="2288" spans="2:13" s="947" customFormat="1" hidden="1">
      <c r="B2288" s="1540"/>
      <c r="C2288" s="1332" t="s">
        <v>680</v>
      </c>
      <c r="D2288" s="1331" t="s">
        <v>681</v>
      </c>
      <c r="E2288" s="1331" t="s">
        <v>675</v>
      </c>
      <c r="F2288" s="1334">
        <v>0.05</v>
      </c>
      <c r="G2288" s="1104">
        <f>DUB!$I$13</f>
        <v>240000</v>
      </c>
      <c r="H2288" s="1106">
        <f>G2288*F2288</f>
        <v>12000</v>
      </c>
      <c r="J2288" s="1557"/>
      <c r="K2288" s="1557"/>
      <c r="L2288" s="1557"/>
      <c r="M2288" s="1566"/>
    </row>
    <row r="2289" spans="2:13" s="947" customFormat="1" hidden="1">
      <c r="B2289" s="1540"/>
      <c r="C2289" s="1332" t="s">
        <v>683</v>
      </c>
      <c r="D2289" s="1331" t="s">
        <v>684</v>
      </c>
      <c r="E2289" s="1331" t="s">
        <v>675</v>
      </c>
      <c r="F2289" s="1334">
        <v>0.02</v>
      </c>
      <c r="G2289" s="1104">
        <f>DUB!$I$12</f>
        <v>225000</v>
      </c>
      <c r="H2289" s="1106">
        <f>G2289*F2289</f>
        <v>4500</v>
      </c>
      <c r="J2289" s="1557"/>
      <c r="K2289" s="1557"/>
      <c r="L2289" s="1557"/>
      <c r="M2289" s="1566"/>
    </row>
    <row r="2290" spans="2:13" s="947" customFormat="1" hidden="1">
      <c r="B2290" s="1540"/>
      <c r="C2290" s="1332"/>
      <c r="D2290" s="1331"/>
      <c r="E2290" s="1331"/>
      <c r="F2290" s="2074" t="s">
        <v>685</v>
      </c>
      <c r="G2290" s="2074"/>
      <c r="H2290" s="1106">
        <f>SUM(H2286:H2289)</f>
        <v>185000</v>
      </c>
      <c r="J2290" s="1557"/>
      <c r="K2290" s="1557"/>
      <c r="L2290" s="1557"/>
      <c r="M2290" s="1566"/>
    </row>
    <row r="2291" spans="2:13" s="947" customFormat="1" hidden="1">
      <c r="B2291" s="1543" t="s">
        <v>686</v>
      </c>
      <c r="C2291" s="1329" t="s">
        <v>687</v>
      </c>
      <c r="D2291" s="1331"/>
      <c r="E2291" s="1331"/>
      <c r="F2291" s="1334"/>
      <c r="G2291" s="1104"/>
      <c r="H2291" s="1106"/>
      <c r="J2291" s="1557"/>
      <c r="K2291" s="1557"/>
      <c r="L2291" s="1557"/>
      <c r="M2291" s="1566"/>
    </row>
    <row r="2292" spans="2:13" s="947" customFormat="1" hidden="1">
      <c r="B2292" s="1540"/>
      <c r="C2292" s="1126" t="s">
        <v>3391</v>
      </c>
      <c r="D2292" s="1331"/>
      <c r="E2292" s="1331" t="s">
        <v>2666</v>
      </c>
      <c r="F2292" s="1334">
        <v>3.0649999999999999</v>
      </c>
      <c r="G2292" s="1104">
        <f>DUB!$I$161</f>
        <v>15174</v>
      </c>
      <c r="H2292" s="1106">
        <f>G2292*F2292</f>
        <v>46508.31</v>
      </c>
      <c r="J2292" s="1557"/>
      <c r="K2292" s="1557"/>
      <c r="L2292" s="1557"/>
      <c r="M2292" s="1566"/>
    </row>
    <row r="2293" spans="2:13" s="947" customFormat="1" hidden="1">
      <c r="B2293" s="1540"/>
      <c r="C2293" s="1126" t="s">
        <v>4350</v>
      </c>
      <c r="D2293" s="1331"/>
      <c r="E2293" s="1331" t="s">
        <v>2666</v>
      </c>
      <c r="F2293" s="1334">
        <v>1.67</v>
      </c>
      <c r="G2293" s="1104">
        <f>DUB!$I$162</f>
        <v>8433</v>
      </c>
      <c r="H2293" s="1106">
        <f t="shared" ref="H2293:H2294" si="63">G2293*F2293</f>
        <v>14083.109999999999</v>
      </c>
      <c r="J2293" s="1557"/>
      <c r="K2293" s="1557"/>
      <c r="L2293" s="1557"/>
      <c r="M2293" s="1566"/>
    </row>
    <row r="2294" spans="2:13" s="947" customFormat="1" hidden="1">
      <c r="B2294" s="1540"/>
      <c r="C2294" s="1126" t="s">
        <v>3837</v>
      </c>
      <c r="D2294" s="1331"/>
      <c r="E2294" s="1331" t="s">
        <v>1423</v>
      </c>
      <c r="F2294" s="1334">
        <v>7</v>
      </c>
      <c r="G2294" s="1104">
        <f>DUB!$I$275</f>
        <v>261</v>
      </c>
      <c r="H2294" s="1106">
        <f t="shared" si="63"/>
        <v>1827</v>
      </c>
      <c r="J2294" s="1557"/>
      <c r="K2294" s="1557"/>
      <c r="L2294" s="1557"/>
      <c r="M2294" s="1566"/>
    </row>
    <row r="2295" spans="2:13" s="947" customFormat="1" hidden="1">
      <c r="B2295" s="1540"/>
      <c r="C2295" s="1332"/>
      <c r="D2295" s="1331"/>
      <c r="E2295" s="1331"/>
      <c r="F2295" s="2091" t="s">
        <v>702</v>
      </c>
      <c r="G2295" s="2091"/>
      <c r="H2295" s="1106">
        <f>SUM(H2292:H2294)</f>
        <v>62418.42</v>
      </c>
      <c r="J2295" s="1557"/>
      <c r="K2295" s="1557"/>
      <c r="L2295" s="1557"/>
      <c r="M2295" s="1566"/>
    </row>
    <row r="2296" spans="2:13" s="949" customFormat="1" hidden="1">
      <c r="B2296" s="1543" t="s">
        <v>703</v>
      </c>
      <c r="C2296" s="2075" t="s">
        <v>3764</v>
      </c>
      <c r="D2296" s="2075"/>
      <c r="E2296" s="2075"/>
      <c r="F2296" s="2075"/>
      <c r="G2296" s="2075"/>
      <c r="H2296" s="1107">
        <f>H2290+H2295</f>
        <v>247418.41999999998</v>
      </c>
      <c r="J2296" s="1559"/>
      <c r="K2296" s="1559"/>
      <c r="L2296" s="1559"/>
      <c r="M2296" s="1635"/>
    </row>
    <row r="2297" spans="2:13" s="949" customFormat="1" hidden="1">
      <c r="B2297" s="1543" t="s">
        <v>706</v>
      </c>
      <c r="C2297" s="2076" t="s">
        <v>876</v>
      </c>
      <c r="D2297" s="2076"/>
      <c r="E2297" s="2076"/>
      <c r="F2297" s="2077" t="s">
        <v>3873</v>
      </c>
      <c r="G2297" s="2077"/>
      <c r="H2297" s="1107">
        <f>H2296*0.15</f>
        <v>37112.762999999999</v>
      </c>
      <c r="J2297" s="1559"/>
      <c r="K2297" s="1559"/>
      <c r="L2297" s="1559"/>
      <c r="M2297" s="1635"/>
    </row>
    <row r="2298" spans="2:13" s="949" customFormat="1" hidden="1">
      <c r="B2298" s="1543" t="s">
        <v>708</v>
      </c>
      <c r="C2298" s="2078" t="s">
        <v>3765</v>
      </c>
      <c r="D2298" s="2078"/>
      <c r="E2298" s="2078"/>
      <c r="F2298" s="2078"/>
      <c r="G2298" s="2078"/>
      <c r="H2298" s="1107">
        <f>ROUND(SUM(H2296:H2297),2)</f>
        <v>284531.18</v>
      </c>
      <c r="I2298" s="950">
        <f>SUM(H2296:H2297)</f>
        <v>284531.18299999996</v>
      </c>
      <c r="J2298" s="1561"/>
      <c r="K2298" s="1561"/>
      <c r="L2298" s="1559"/>
      <c r="M2298" s="1635"/>
    </row>
    <row r="2299" spans="2:13" s="947" customFormat="1" hidden="1">
      <c r="B2299" s="1129"/>
      <c r="C2299" s="1130"/>
      <c r="D2299" s="1129"/>
      <c r="E2299" s="1130"/>
      <c r="F2299" s="1131"/>
      <c r="G2299" s="1132"/>
      <c r="H2299" s="1115"/>
      <c r="I2299" s="952"/>
      <c r="J2299" s="1562"/>
      <c r="K2299" s="1562"/>
      <c r="L2299" s="1557"/>
      <c r="M2299" s="1566"/>
    </row>
    <row r="2300" spans="2:13" s="947" customFormat="1" hidden="1">
      <c r="B2300" s="1100" t="s">
        <v>3985</v>
      </c>
      <c r="C2300" s="1112" t="s">
        <v>4352</v>
      </c>
      <c r="D2300" s="1129"/>
      <c r="E2300" s="1129"/>
      <c r="F2300" s="1131"/>
      <c r="G2300" s="1132"/>
      <c r="H2300" s="1115"/>
      <c r="I2300" s="952"/>
      <c r="J2300" s="1562"/>
      <c r="K2300" s="1562"/>
      <c r="L2300" s="1557"/>
      <c r="M2300" s="1566"/>
    </row>
    <row r="2301" spans="2:13" s="947" customFormat="1" ht="24.9" hidden="1" customHeight="1">
      <c r="B2301" s="1786" t="s">
        <v>1003</v>
      </c>
      <c r="C2301" s="1208" t="s">
        <v>1004</v>
      </c>
      <c r="D2301" s="1208" t="s">
        <v>1005</v>
      </c>
      <c r="E2301" s="1208" t="s">
        <v>1006</v>
      </c>
      <c r="F2301" s="1209" t="s">
        <v>1007</v>
      </c>
      <c r="G2301" s="1109" t="s">
        <v>2637</v>
      </c>
      <c r="H2301" s="1110" t="s">
        <v>2638</v>
      </c>
      <c r="I2301" s="952"/>
      <c r="J2301" s="1562"/>
      <c r="K2301" s="1562"/>
      <c r="L2301" s="1557"/>
      <c r="M2301" s="1566"/>
    </row>
    <row r="2302" spans="2:13" s="947" customFormat="1" hidden="1">
      <c r="B2302" s="1543" t="s">
        <v>671</v>
      </c>
      <c r="C2302" s="1329" t="s">
        <v>672</v>
      </c>
      <c r="D2302" s="1331"/>
      <c r="E2302" s="1331"/>
      <c r="F2302" s="1334"/>
      <c r="G2302" s="1104"/>
      <c r="H2302" s="1106"/>
      <c r="I2302" s="952"/>
      <c r="J2302" s="1562"/>
      <c r="K2302" s="1562"/>
      <c r="L2302" s="1557"/>
      <c r="M2302" s="1566"/>
    </row>
    <row r="2303" spans="2:13" s="947" customFormat="1" hidden="1">
      <c r="B2303" s="1540"/>
      <c r="C2303" s="1332" t="s">
        <v>673</v>
      </c>
      <c r="D2303" s="1331" t="s">
        <v>674</v>
      </c>
      <c r="E2303" s="1331" t="s">
        <v>675</v>
      </c>
      <c r="F2303" s="1334">
        <v>0.5</v>
      </c>
      <c r="G2303" s="1104">
        <f>DUB!$I$10</f>
        <v>150000</v>
      </c>
      <c r="H2303" s="1106">
        <f>G2303*F2303</f>
        <v>75000</v>
      </c>
      <c r="I2303" s="952"/>
      <c r="J2303" s="1562"/>
      <c r="K2303" s="1562"/>
      <c r="L2303" s="1557"/>
      <c r="M2303" s="1566"/>
    </row>
    <row r="2304" spans="2:13" s="947" customFormat="1" hidden="1">
      <c r="B2304" s="1540"/>
      <c r="C2304" s="1332" t="s">
        <v>855</v>
      </c>
      <c r="D2304" s="1331" t="s">
        <v>678</v>
      </c>
      <c r="E2304" s="1331" t="s">
        <v>675</v>
      </c>
      <c r="F2304" s="1334">
        <v>0.5</v>
      </c>
      <c r="G2304" s="1104">
        <f>DUB!$I$11</f>
        <v>187000</v>
      </c>
      <c r="H2304" s="1106">
        <f>G2304*F2304</f>
        <v>93500</v>
      </c>
      <c r="I2304" s="952"/>
      <c r="J2304" s="1562"/>
      <c r="K2304" s="1562"/>
      <c r="L2304" s="1557"/>
      <c r="M2304" s="1566"/>
    </row>
    <row r="2305" spans="2:13" s="947" customFormat="1" hidden="1">
      <c r="B2305" s="1540"/>
      <c r="C2305" s="1332" t="s">
        <v>680</v>
      </c>
      <c r="D2305" s="1331" t="s">
        <v>681</v>
      </c>
      <c r="E2305" s="1331" t="s">
        <v>675</v>
      </c>
      <c r="F2305" s="1334">
        <v>0.05</v>
      </c>
      <c r="G2305" s="1104">
        <f>DUB!$I$13</f>
        <v>240000</v>
      </c>
      <c r="H2305" s="1106">
        <f>G2305*F2305</f>
        <v>12000</v>
      </c>
      <c r="I2305" s="952"/>
      <c r="J2305" s="1562"/>
      <c r="K2305" s="1562"/>
      <c r="L2305" s="1557"/>
      <c r="M2305" s="1566"/>
    </row>
    <row r="2306" spans="2:13" s="947" customFormat="1" hidden="1">
      <c r="B2306" s="1540"/>
      <c r="C2306" s="1332" t="s">
        <v>683</v>
      </c>
      <c r="D2306" s="1331" t="s">
        <v>684</v>
      </c>
      <c r="E2306" s="1331" t="s">
        <v>675</v>
      </c>
      <c r="F2306" s="1334">
        <v>0.02</v>
      </c>
      <c r="G2306" s="1104">
        <f>DUB!$I$12</f>
        <v>225000</v>
      </c>
      <c r="H2306" s="1106">
        <f>G2306*F2306</f>
        <v>4500</v>
      </c>
      <c r="I2306" s="952"/>
      <c r="J2306" s="1562"/>
      <c r="K2306" s="1562"/>
      <c r="L2306" s="1557"/>
      <c r="M2306" s="1566"/>
    </row>
    <row r="2307" spans="2:13" s="947" customFormat="1" hidden="1">
      <c r="B2307" s="1540"/>
      <c r="C2307" s="1332"/>
      <c r="D2307" s="1331"/>
      <c r="E2307" s="1331"/>
      <c r="F2307" s="2074" t="s">
        <v>685</v>
      </c>
      <c r="G2307" s="2074"/>
      <c r="H2307" s="1106">
        <f>SUM(H2303:H2306)</f>
        <v>185000</v>
      </c>
      <c r="I2307" s="952"/>
      <c r="J2307" s="1562"/>
      <c r="K2307" s="1562"/>
      <c r="L2307" s="1557"/>
      <c r="M2307" s="1566"/>
    </row>
    <row r="2308" spans="2:13" s="947" customFormat="1" hidden="1">
      <c r="B2308" s="1543" t="s">
        <v>686</v>
      </c>
      <c r="C2308" s="1329" t="s">
        <v>687</v>
      </c>
      <c r="D2308" s="1331"/>
      <c r="E2308" s="1331"/>
      <c r="F2308" s="1334"/>
      <c r="G2308" s="1104"/>
      <c r="H2308" s="1106"/>
      <c r="I2308" s="952"/>
      <c r="J2308" s="1562"/>
      <c r="K2308" s="1562"/>
      <c r="L2308" s="1557"/>
      <c r="M2308" s="1566"/>
    </row>
    <row r="2309" spans="2:13" s="947" customFormat="1" hidden="1">
      <c r="B2309" s="1540"/>
      <c r="C2309" s="1126" t="s">
        <v>3391</v>
      </c>
      <c r="D2309" s="1331"/>
      <c r="E2309" s="1331" t="s">
        <v>2666</v>
      </c>
      <c r="F2309" s="1334">
        <v>3.5247999999999999</v>
      </c>
      <c r="G2309" s="1104">
        <f>DUB!$I$161</f>
        <v>15174</v>
      </c>
      <c r="H2309" s="1106">
        <f>G2309*F2309</f>
        <v>53485.315199999997</v>
      </c>
      <c r="I2309" s="952"/>
      <c r="J2309" s="1562"/>
      <c r="K2309" s="1562"/>
      <c r="L2309" s="1557"/>
      <c r="M2309" s="1566"/>
    </row>
    <row r="2310" spans="2:13" s="947" customFormat="1" hidden="1">
      <c r="B2310" s="1540"/>
      <c r="C2310" s="1126" t="s">
        <v>4350</v>
      </c>
      <c r="D2310" s="1331"/>
      <c r="E2310" s="1331" t="s">
        <v>2666</v>
      </c>
      <c r="F2310" s="1334">
        <v>3.3</v>
      </c>
      <c r="G2310" s="1104">
        <f>DUB!$I$162</f>
        <v>8433</v>
      </c>
      <c r="H2310" s="1106">
        <f t="shared" ref="H2310:H2311" si="64">G2310*F2310</f>
        <v>27828.899999999998</v>
      </c>
      <c r="I2310" s="952"/>
      <c r="J2310" s="1562"/>
      <c r="K2310" s="1562"/>
      <c r="L2310" s="1557"/>
      <c r="M2310" s="1566"/>
    </row>
    <row r="2311" spans="2:13" s="947" customFormat="1" hidden="1">
      <c r="B2311" s="1540"/>
      <c r="C2311" s="1126" t="s">
        <v>3837</v>
      </c>
      <c r="D2311" s="1331"/>
      <c r="E2311" s="1331" t="s">
        <v>1423</v>
      </c>
      <c r="F2311" s="1334">
        <v>12</v>
      </c>
      <c r="G2311" s="1104">
        <f>DUB!$I$275</f>
        <v>261</v>
      </c>
      <c r="H2311" s="1106">
        <f t="shared" si="64"/>
        <v>3132</v>
      </c>
      <c r="I2311" s="952"/>
      <c r="J2311" s="1562"/>
      <c r="K2311" s="1562"/>
      <c r="L2311" s="1557"/>
      <c r="M2311" s="1566"/>
    </row>
    <row r="2312" spans="2:13" s="947" customFormat="1" hidden="1">
      <c r="B2312" s="1540"/>
      <c r="C2312" s="1332"/>
      <c r="D2312" s="1331"/>
      <c r="E2312" s="1331"/>
      <c r="F2312" s="2091" t="s">
        <v>702</v>
      </c>
      <c r="G2312" s="2091"/>
      <c r="H2312" s="1106">
        <f>SUM(H2309:H2311)</f>
        <v>84446.215199999991</v>
      </c>
      <c r="I2312" s="952"/>
      <c r="J2312" s="1562"/>
      <c r="K2312" s="1562"/>
      <c r="L2312" s="1557"/>
      <c r="M2312" s="1566"/>
    </row>
    <row r="2313" spans="2:13" s="947" customFormat="1" hidden="1">
      <c r="B2313" s="1543" t="s">
        <v>703</v>
      </c>
      <c r="C2313" s="2075" t="s">
        <v>3764</v>
      </c>
      <c r="D2313" s="2075"/>
      <c r="E2313" s="2075"/>
      <c r="F2313" s="2075"/>
      <c r="G2313" s="2075"/>
      <c r="H2313" s="1107">
        <f>H2307+H2312</f>
        <v>269446.21519999998</v>
      </c>
      <c r="I2313" s="952"/>
      <c r="J2313" s="1562"/>
      <c r="K2313" s="1562"/>
      <c r="L2313" s="1557"/>
      <c r="M2313" s="1566"/>
    </row>
    <row r="2314" spans="2:13" s="947" customFormat="1" hidden="1">
      <c r="B2314" s="1543" t="s">
        <v>706</v>
      </c>
      <c r="C2314" s="2076" t="s">
        <v>876</v>
      </c>
      <c r="D2314" s="2076"/>
      <c r="E2314" s="2076"/>
      <c r="F2314" s="2077" t="s">
        <v>3873</v>
      </c>
      <c r="G2314" s="2077"/>
      <c r="H2314" s="1107">
        <f>H2313*0.15</f>
        <v>40416.932279999994</v>
      </c>
      <c r="I2314" s="952"/>
      <c r="J2314" s="1562"/>
      <c r="K2314" s="1562"/>
      <c r="L2314" s="1557"/>
      <c r="M2314" s="1566"/>
    </row>
    <row r="2315" spans="2:13" s="947" customFormat="1" hidden="1">
      <c r="B2315" s="1543" t="s">
        <v>708</v>
      </c>
      <c r="C2315" s="2078" t="s">
        <v>3765</v>
      </c>
      <c r="D2315" s="2078"/>
      <c r="E2315" s="2078"/>
      <c r="F2315" s="2078"/>
      <c r="G2315" s="2078"/>
      <c r="H2315" s="1107">
        <f>ROUND(SUM(H2313:H2314),2)</f>
        <v>309863.15000000002</v>
      </c>
      <c r="I2315" s="952"/>
      <c r="J2315" s="1562"/>
      <c r="K2315" s="1562"/>
      <c r="L2315" s="1557"/>
      <c r="M2315" s="1566"/>
    </row>
    <row r="2316" spans="2:13" s="947" customFormat="1" hidden="1">
      <c r="B2316" s="1129"/>
      <c r="C2316" s="1130"/>
      <c r="D2316" s="1129"/>
      <c r="E2316" s="1130"/>
      <c r="F2316" s="1131"/>
      <c r="G2316" s="1132"/>
      <c r="H2316" s="1115"/>
      <c r="I2316" s="952"/>
      <c r="J2316" s="1562"/>
      <c r="K2316" s="1562"/>
      <c r="L2316" s="1557"/>
      <c r="M2316" s="1566"/>
    </row>
    <row r="2317" spans="2:13" s="947" customFormat="1" hidden="1">
      <c r="B2317" s="1100" t="s">
        <v>4353</v>
      </c>
      <c r="C2317" s="1112" t="s">
        <v>4355</v>
      </c>
      <c r="D2317" s="1129"/>
      <c r="E2317" s="1129"/>
      <c r="F2317" s="1131"/>
      <c r="G2317" s="1132"/>
      <c r="H2317" s="1115"/>
      <c r="I2317" s="952"/>
      <c r="J2317" s="1562"/>
      <c r="K2317" s="1562"/>
      <c r="L2317" s="1557"/>
      <c r="M2317" s="1566"/>
    </row>
    <row r="2318" spans="2:13" s="947" customFormat="1" ht="24.9" hidden="1" customHeight="1">
      <c r="B2318" s="1786" t="s">
        <v>1003</v>
      </c>
      <c r="C2318" s="1208" t="s">
        <v>1004</v>
      </c>
      <c r="D2318" s="1208" t="s">
        <v>1005</v>
      </c>
      <c r="E2318" s="1208" t="s">
        <v>1006</v>
      </c>
      <c r="F2318" s="1209" t="s">
        <v>1007</v>
      </c>
      <c r="G2318" s="1109" t="s">
        <v>2637</v>
      </c>
      <c r="H2318" s="1110" t="s">
        <v>2638</v>
      </c>
      <c r="I2318" s="952"/>
      <c r="J2318" s="1562"/>
      <c r="K2318" s="1562"/>
      <c r="L2318" s="1557"/>
      <c r="M2318" s="1566"/>
    </row>
    <row r="2319" spans="2:13" s="947" customFormat="1" hidden="1">
      <c r="B2319" s="1543" t="s">
        <v>671</v>
      </c>
      <c r="C2319" s="1329" t="s">
        <v>672</v>
      </c>
      <c r="D2319" s="1331"/>
      <c r="E2319" s="1331"/>
      <c r="F2319" s="1334"/>
      <c r="G2319" s="1104"/>
      <c r="H2319" s="1106"/>
      <c r="I2319" s="952"/>
      <c r="J2319" s="1562"/>
      <c r="K2319" s="1562"/>
      <c r="L2319" s="1557"/>
      <c r="M2319" s="1566"/>
    </row>
    <row r="2320" spans="2:13" s="947" customFormat="1" hidden="1">
      <c r="B2320" s="1540"/>
      <c r="C2320" s="1332" t="s">
        <v>673</v>
      </c>
      <c r="D2320" s="1331" t="s">
        <v>674</v>
      </c>
      <c r="E2320" s="1331" t="s">
        <v>675</v>
      </c>
      <c r="F2320" s="1334">
        <v>0.5</v>
      </c>
      <c r="G2320" s="1104">
        <f>DUB!$I$10</f>
        <v>150000</v>
      </c>
      <c r="H2320" s="1106">
        <f>G2320*F2320</f>
        <v>75000</v>
      </c>
      <c r="I2320" s="952"/>
      <c r="J2320" s="1562"/>
      <c r="K2320" s="1562"/>
      <c r="L2320" s="1557"/>
      <c r="M2320" s="1566"/>
    </row>
    <row r="2321" spans="2:13" s="947" customFormat="1" hidden="1">
      <c r="B2321" s="1540"/>
      <c r="C2321" s="1332" t="s">
        <v>855</v>
      </c>
      <c r="D2321" s="1331" t="s">
        <v>678</v>
      </c>
      <c r="E2321" s="1331" t="s">
        <v>675</v>
      </c>
      <c r="F2321" s="1334">
        <v>0.5</v>
      </c>
      <c r="G2321" s="1104">
        <f>DUB!$I$11</f>
        <v>187000</v>
      </c>
      <c r="H2321" s="1106">
        <f>G2321*F2321</f>
        <v>93500</v>
      </c>
      <c r="I2321" s="952"/>
      <c r="J2321" s="1562"/>
      <c r="K2321" s="1562"/>
      <c r="L2321" s="1557"/>
      <c r="M2321" s="1566"/>
    </row>
    <row r="2322" spans="2:13" s="947" customFormat="1" hidden="1">
      <c r="B2322" s="1540"/>
      <c r="C2322" s="1332" t="s">
        <v>680</v>
      </c>
      <c r="D2322" s="1331" t="s">
        <v>681</v>
      </c>
      <c r="E2322" s="1331" t="s">
        <v>675</v>
      </c>
      <c r="F2322" s="1334">
        <v>0.05</v>
      </c>
      <c r="G2322" s="1104">
        <f>DUB!$I$13</f>
        <v>240000</v>
      </c>
      <c r="H2322" s="1106">
        <f>G2322*F2322</f>
        <v>12000</v>
      </c>
      <c r="I2322" s="952"/>
      <c r="J2322" s="1562"/>
      <c r="K2322" s="1562"/>
      <c r="L2322" s="1557"/>
      <c r="M2322" s="1566"/>
    </row>
    <row r="2323" spans="2:13" s="947" customFormat="1" hidden="1">
      <c r="B2323" s="1540"/>
      <c r="C2323" s="1332" t="s">
        <v>683</v>
      </c>
      <c r="D2323" s="1331" t="s">
        <v>684</v>
      </c>
      <c r="E2323" s="1331" t="s">
        <v>675</v>
      </c>
      <c r="F2323" s="1334">
        <v>0.02</v>
      </c>
      <c r="G2323" s="1104">
        <f>DUB!$I$12</f>
        <v>225000</v>
      </c>
      <c r="H2323" s="1106">
        <f>G2323*F2323</f>
        <v>4500</v>
      </c>
      <c r="I2323" s="952"/>
      <c r="J2323" s="1562"/>
      <c r="K2323" s="1562"/>
      <c r="L2323" s="1557"/>
      <c r="M2323" s="1566"/>
    </row>
    <row r="2324" spans="2:13" s="947" customFormat="1" hidden="1">
      <c r="B2324" s="1540"/>
      <c r="C2324" s="1332"/>
      <c r="D2324" s="1331"/>
      <c r="E2324" s="1331"/>
      <c r="F2324" s="2074" t="s">
        <v>685</v>
      </c>
      <c r="G2324" s="2074"/>
      <c r="H2324" s="1106">
        <f>SUM(H2320:H2323)</f>
        <v>185000</v>
      </c>
      <c r="I2324" s="952"/>
      <c r="J2324" s="1562"/>
      <c r="K2324" s="1562"/>
      <c r="L2324" s="1557"/>
      <c r="M2324" s="1566"/>
    </row>
    <row r="2325" spans="2:13" s="947" customFormat="1" hidden="1">
      <c r="B2325" s="1543" t="s">
        <v>686</v>
      </c>
      <c r="C2325" s="1329" t="s">
        <v>687</v>
      </c>
      <c r="D2325" s="1331"/>
      <c r="E2325" s="1331"/>
      <c r="F2325" s="1334"/>
      <c r="G2325" s="1104"/>
      <c r="H2325" s="1106"/>
      <c r="I2325" s="952"/>
      <c r="J2325" s="1562"/>
      <c r="K2325" s="1562"/>
      <c r="L2325" s="1557"/>
      <c r="M2325" s="1566"/>
    </row>
    <row r="2326" spans="2:13" s="947" customFormat="1" hidden="1">
      <c r="B2326" s="1540"/>
      <c r="C2326" s="1126" t="s">
        <v>3391</v>
      </c>
      <c r="D2326" s="1331"/>
      <c r="E2326" s="1331" t="s">
        <v>2666</v>
      </c>
      <c r="F2326" s="1334">
        <v>3.3170000000000002</v>
      </c>
      <c r="G2326" s="1104">
        <f>DUB!$I$161</f>
        <v>15174</v>
      </c>
      <c r="H2326" s="1106">
        <f>G2326*F2326</f>
        <v>50332.158000000003</v>
      </c>
      <c r="I2326" s="952"/>
      <c r="J2326" s="1562"/>
      <c r="K2326" s="1562"/>
      <c r="L2326" s="1557"/>
      <c r="M2326" s="1566"/>
    </row>
    <row r="2327" spans="2:13" s="947" customFormat="1" hidden="1">
      <c r="B2327" s="1540"/>
      <c r="C2327" s="1126" t="s">
        <v>4350</v>
      </c>
      <c r="D2327" s="1331"/>
      <c r="E2327" s="1331" t="s">
        <v>2666</v>
      </c>
      <c r="F2327" s="1334">
        <v>1.67</v>
      </c>
      <c r="G2327" s="1104">
        <f>DUB!$I$162</f>
        <v>8433</v>
      </c>
      <c r="H2327" s="1106">
        <f t="shared" ref="H2327:H2328" si="65">G2327*F2327</f>
        <v>14083.109999999999</v>
      </c>
      <c r="I2327" s="952"/>
      <c r="J2327" s="1562"/>
      <c r="K2327" s="1562"/>
      <c r="L2327" s="1557"/>
      <c r="M2327" s="1566"/>
    </row>
    <row r="2328" spans="2:13" s="947" customFormat="1" hidden="1">
      <c r="B2328" s="1540"/>
      <c r="C2328" s="1126" t="s">
        <v>3837</v>
      </c>
      <c r="D2328" s="1331"/>
      <c r="E2328" s="1331" t="s">
        <v>1423</v>
      </c>
      <c r="F2328" s="1334">
        <v>7</v>
      </c>
      <c r="G2328" s="1104">
        <f>DUB!$I$275</f>
        <v>261</v>
      </c>
      <c r="H2328" s="1106">
        <f t="shared" si="65"/>
        <v>1827</v>
      </c>
      <c r="I2328" s="952"/>
      <c r="J2328" s="1562"/>
      <c r="K2328" s="1562"/>
      <c r="L2328" s="1557"/>
      <c r="M2328" s="1566"/>
    </row>
    <row r="2329" spans="2:13" s="947" customFormat="1" hidden="1">
      <c r="B2329" s="1540"/>
      <c r="C2329" s="1332"/>
      <c r="D2329" s="1331"/>
      <c r="E2329" s="1331"/>
      <c r="F2329" s="2091" t="s">
        <v>702</v>
      </c>
      <c r="G2329" s="2091"/>
      <c r="H2329" s="1106">
        <f>SUM(H2326:H2328)</f>
        <v>66242.268000000011</v>
      </c>
      <c r="I2329" s="952"/>
      <c r="J2329" s="1562"/>
      <c r="K2329" s="1562"/>
      <c r="L2329" s="1557"/>
      <c r="M2329" s="1566"/>
    </row>
    <row r="2330" spans="2:13" s="947" customFormat="1" hidden="1">
      <c r="B2330" s="1543" t="s">
        <v>703</v>
      </c>
      <c r="C2330" s="2075" t="s">
        <v>3764</v>
      </c>
      <c r="D2330" s="2075"/>
      <c r="E2330" s="2075"/>
      <c r="F2330" s="2075"/>
      <c r="G2330" s="2075"/>
      <c r="H2330" s="1107">
        <f>H2324+H2329</f>
        <v>251242.26800000001</v>
      </c>
      <c r="I2330" s="952"/>
      <c r="J2330" s="1562"/>
      <c r="K2330" s="1562"/>
      <c r="L2330" s="1557"/>
      <c r="M2330" s="1566"/>
    </row>
    <row r="2331" spans="2:13" s="947" customFormat="1" hidden="1">
      <c r="B2331" s="1543" t="s">
        <v>706</v>
      </c>
      <c r="C2331" s="2076" t="s">
        <v>876</v>
      </c>
      <c r="D2331" s="2076"/>
      <c r="E2331" s="2076"/>
      <c r="F2331" s="2077" t="s">
        <v>3873</v>
      </c>
      <c r="G2331" s="2077"/>
      <c r="H2331" s="1107">
        <f>H2330*0.15</f>
        <v>37686.340199999999</v>
      </c>
      <c r="I2331" s="952"/>
      <c r="J2331" s="1562"/>
      <c r="K2331" s="1562"/>
      <c r="L2331" s="1557"/>
      <c r="M2331" s="1566"/>
    </row>
    <row r="2332" spans="2:13" s="947" customFormat="1" hidden="1">
      <c r="B2332" s="1543" t="s">
        <v>708</v>
      </c>
      <c r="C2332" s="2078" t="s">
        <v>3765</v>
      </c>
      <c r="D2332" s="2078"/>
      <c r="E2332" s="2078"/>
      <c r="F2332" s="2078"/>
      <c r="G2332" s="2078"/>
      <c r="H2332" s="1107">
        <f>ROUND(SUM(H2330:H2331),2)</f>
        <v>288928.61</v>
      </c>
      <c r="I2332" s="952"/>
      <c r="J2332" s="1562"/>
      <c r="K2332" s="1562"/>
      <c r="L2332" s="1557"/>
      <c r="M2332" s="1566"/>
    </row>
    <row r="2333" spans="2:13" s="947" customFormat="1" hidden="1">
      <c r="B2333" s="1111"/>
      <c r="C2333" s="1112"/>
      <c r="D2333" s="1111"/>
      <c r="E2333" s="1112"/>
      <c r="F2333" s="1111"/>
      <c r="G2333" s="1199"/>
      <c r="H2333" s="1176"/>
      <c r="I2333" s="952"/>
      <c r="J2333" s="1562"/>
      <c r="K2333" s="1562"/>
      <c r="L2333" s="1557"/>
      <c r="M2333" s="1566"/>
    </row>
    <row r="2334" spans="2:13" s="947" customFormat="1" hidden="1">
      <c r="B2334" s="1100" t="s">
        <v>4356</v>
      </c>
      <c r="C2334" s="1112" t="s">
        <v>4354</v>
      </c>
      <c r="D2334" s="1129"/>
      <c r="E2334" s="1129"/>
      <c r="F2334" s="1131"/>
      <c r="G2334" s="1132"/>
      <c r="H2334" s="1115"/>
      <c r="J2334" s="1557"/>
      <c r="K2334" s="1557"/>
      <c r="L2334" s="1557"/>
      <c r="M2334" s="1566"/>
    </row>
    <row r="2335" spans="2:13" s="948" customFormat="1" ht="24.9" hidden="1" customHeight="1">
      <c r="B2335" s="1786" t="s">
        <v>1003</v>
      </c>
      <c r="C2335" s="1208" t="s">
        <v>1004</v>
      </c>
      <c r="D2335" s="1208" t="s">
        <v>1005</v>
      </c>
      <c r="E2335" s="1208" t="s">
        <v>1006</v>
      </c>
      <c r="F2335" s="1209" t="s">
        <v>1007</v>
      </c>
      <c r="G2335" s="1109" t="s">
        <v>2637</v>
      </c>
      <c r="H2335" s="1110" t="s">
        <v>2638</v>
      </c>
      <c r="J2335" s="1625"/>
      <c r="K2335" s="1625"/>
      <c r="L2335" s="1625"/>
      <c r="M2335" s="1570"/>
    </row>
    <row r="2336" spans="2:13" s="947" customFormat="1" hidden="1">
      <c r="B2336" s="1543" t="s">
        <v>671</v>
      </c>
      <c r="C2336" s="1329" t="s">
        <v>672</v>
      </c>
      <c r="D2336" s="1331"/>
      <c r="E2336" s="1331"/>
      <c r="F2336" s="1334"/>
      <c r="G2336" s="1104"/>
      <c r="H2336" s="1106"/>
      <c r="J2336" s="1557"/>
      <c r="K2336" s="1557"/>
      <c r="L2336" s="1557"/>
      <c r="M2336" s="1566"/>
    </row>
    <row r="2337" spans="2:13" s="947" customFormat="1" hidden="1">
      <c r="B2337" s="1540"/>
      <c r="C2337" s="1332" t="s">
        <v>673</v>
      </c>
      <c r="D2337" s="1331" t="s">
        <v>674</v>
      </c>
      <c r="E2337" s="1331" t="s">
        <v>675</v>
      </c>
      <c r="F2337" s="1334">
        <v>0.5</v>
      </c>
      <c r="G2337" s="1104">
        <f>DUB!$I$10</f>
        <v>150000</v>
      </c>
      <c r="H2337" s="1106">
        <f>G2337*F2337</f>
        <v>75000</v>
      </c>
      <c r="J2337" s="1557"/>
      <c r="K2337" s="1557"/>
      <c r="L2337" s="1557"/>
      <c r="M2337" s="1566"/>
    </row>
    <row r="2338" spans="2:13" s="947" customFormat="1" hidden="1">
      <c r="B2338" s="1540"/>
      <c r="C2338" s="1332" t="s">
        <v>855</v>
      </c>
      <c r="D2338" s="1331" t="s">
        <v>678</v>
      </c>
      <c r="E2338" s="1331" t="s">
        <v>675</v>
      </c>
      <c r="F2338" s="1334">
        <v>0.5</v>
      </c>
      <c r="G2338" s="1104">
        <f>DUB!$I$11</f>
        <v>187000</v>
      </c>
      <c r="H2338" s="1106">
        <f>G2338*F2338</f>
        <v>93500</v>
      </c>
      <c r="J2338" s="1557"/>
      <c r="K2338" s="1557"/>
      <c r="L2338" s="1557"/>
      <c r="M2338" s="1566"/>
    </row>
    <row r="2339" spans="2:13" s="947" customFormat="1" hidden="1">
      <c r="B2339" s="1540"/>
      <c r="C2339" s="1332" t="s">
        <v>680</v>
      </c>
      <c r="D2339" s="1331" t="s">
        <v>681</v>
      </c>
      <c r="E2339" s="1331" t="s">
        <v>675</v>
      </c>
      <c r="F2339" s="1334">
        <v>0.05</v>
      </c>
      <c r="G2339" s="1104">
        <f>DUB!$I$13</f>
        <v>240000</v>
      </c>
      <c r="H2339" s="1106">
        <f>G2339*F2339</f>
        <v>12000</v>
      </c>
      <c r="J2339" s="1557"/>
      <c r="K2339" s="1557"/>
      <c r="L2339" s="1557"/>
      <c r="M2339" s="1566"/>
    </row>
    <row r="2340" spans="2:13" s="947" customFormat="1" hidden="1">
      <c r="B2340" s="1540"/>
      <c r="C2340" s="1332" t="s">
        <v>683</v>
      </c>
      <c r="D2340" s="1331" t="s">
        <v>684</v>
      </c>
      <c r="E2340" s="1331" t="s">
        <v>675</v>
      </c>
      <c r="F2340" s="1334">
        <v>0.02</v>
      </c>
      <c r="G2340" s="1104">
        <f>DUB!$I$12</f>
        <v>225000</v>
      </c>
      <c r="H2340" s="1106">
        <f>G2340*F2340</f>
        <v>4500</v>
      </c>
      <c r="J2340" s="1557"/>
      <c r="K2340" s="1557"/>
      <c r="L2340" s="1557"/>
      <c r="M2340" s="1566"/>
    </row>
    <row r="2341" spans="2:13" s="947" customFormat="1" hidden="1">
      <c r="B2341" s="1540"/>
      <c r="C2341" s="1332"/>
      <c r="D2341" s="1331"/>
      <c r="E2341" s="1331"/>
      <c r="F2341" s="2074" t="s">
        <v>685</v>
      </c>
      <c r="G2341" s="2074"/>
      <c r="H2341" s="1106">
        <f>SUM(H2337:H2340)</f>
        <v>185000</v>
      </c>
      <c r="J2341" s="1557"/>
      <c r="K2341" s="1557"/>
      <c r="L2341" s="1557"/>
      <c r="M2341" s="1566"/>
    </row>
    <row r="2342" spans="2:13" s="947" customFormat="1" hidden="1">
      <c r="B2342" s="1543" t="s">
        <v>686</v>
      </c>
      <c r="C2342" s="1329" t="s">
        <v>687</v>
      </c>
      <c r="D2342" s="1331"/>
      <c r="E2342" s="1331"/>
      <c r="F2342" s="1334"/>
      <c r="G2342" s="1104"/>
      <c r="H2342" s="1106"/>
      <c r="J2342" s="1557"/>
      <c r="K2342" s="1557"/>
      <c r="L2342" s="1557"/>
      <c r="M2342" s="1566"/>
    </row>
    <row r="2343" spans="2:13" s="947" customFormat="1" hidden="1">
      <c r="B2343" s="1540"/>
      <c r="C2343" s="1126" t="s">
        <v>3391</v>
      </c>
      <c r="D2343" s="1331"/>
      <c r="E2343" s="1331" t="s">
        <v>2666</v>
      </c>
      <c r="F2343" s="1334">
        <v>3.8772000000000002</v>
      </c>
      <c r="G2343" s="1104">
        <f>DUB!$I$161</f>
        <v>15174</v>
      </c>
      <c r="H2343" s="1106">
        <f>G2343*F2343</f>
        <v>58832.632800000007</v>
      </c>
      <c r="J2343" s="1557"/>
      <c r="K2343" s="1557"/>
      <c r="L2343" s="1557"/>
      <c r="M2343" s="1566"/>
    </row>
    <row r="2344" spans="2:13" s="947" customFormat="1" hidden="1">
      <c r="B2344" s="1540"/>
      <c r="C2344" s="1126" t="s">
        <v>4350</v>
      </c>
      <c r="D2344" s="1331"/>
      <c r="E2344" s="1331" t="s">
        <v>2666</v>
      </c>
      <c r="F2344" s="1334">
        <v>3.3</v>
      </c>
      <c r="G2344" s="1104">
        <f>DUB!$I$162</f>
        <v>8433</v>
      </c>
      <c r="H2344" s="1106">
        <f t="shared" ref="H2344:H2345" si="66">G2344*F2344</f>
        <v>27828.899999999998</v>
      </c>
      <c r="J2344" s="1557"/>
      <c r="K2344" s="1557"/>
      <c r="L2344" s="1557"/>
      <c r="M2344" s="1566"/>
    </row>
    <row r="2345" spans="2:13" s="949" customFormat="1" hidden="1">
      <c r="B2345" s="1540"/>
      <c r="C2345" s="1126" t="s">
        <v>3837</v>
      </c>
      <c r="D2345" s="1331"/>
      <c r="E2345" s="1331" t="s">
        <v>1423</v>
      </c>
      <c r="F2345" s="1334">
        <v>12</v>
      </c>
      <c r="G2345" s="1104">
        <f>DUB!$I$275</f>
        <v>261</v>
      </c>
      <c r="H2345" s="1106">
        <f t="shared" si="66"/>
        <v>3132</v>
      </c>
      <c r="J2345" s="1559"/>
      <c r="K2345" s="1559"/>
      <c r="L2345" s="1559"/>
      <c r="M2345" s="1635"/>
    </row>
    <row r="2346" spans="2:13" s="949" customFormat="1" hidden="1">
      <c r="B2346" s="1540"/>
      <c r="C2346" s="1332"/>
      <c r="D2346" s="1331"/>
      <c r="E2346" s="1331"/>
      <c r="F2346" s="2091" t="s">
        <v>702</v>
      </c>
      <c r="G2346" s="2091"/>
      <c r="H2346" s="1106">
        <f>SUM(H2343:H2345)</f>
        <v>89793.532800000001</v>
      </c>
      <c r="J2346" s="1559"/>
      <c r="K2346" s="1559"/>
      <c r="L2346" s="1559"/>
      <c r="M2346" s="1635"/>
    </row>
    <row r="2347" spans="2:13" s="949" customFormat="1" hidden="1">
      <c r="B2347" s="1543" t="s">
        <v>703</v>
      </c>
      <c r="C2347" s="2075" t="s">
        <v>3764</v>
      </c>
      <c r="D2347" s="2075"/>
      <c r="E2347" s="2075"/>
      <c r="F2347" s="2075"/>
      <c r="G2347" s="2075"/>
      <c r="H2347" s="1107">
        <f>H2341+H2346</f>
        <v>274793.53279999999</v>
      </c>
      <c r="I2347" s="950">
        <f>SUM(H2345:H2346)</f>
        <v>92925.532800000001</v>
      </c>
      <c r="J2347" s="1561"/>
      <c r="K2347" s="1561"/>
      <c r="L2347" s="1559"/>
      <c r="M2347" s="1635"/>
    </row>
    <row r="2348" spans="2:13" s="947" customFormat="1" hidden="1">
      <c r="B2348" s="1543" t="s">
        <v>706</v>
      </c>
      <c r="C2348" s="2076" t="s">
        <v>876</v>
      </c>
      <c r="D2348" s="2076"/>
      <c r="E2348" s="2076"/>
      <c r="F2348" s="2077" t="s">
        <v>3873</v>
      </c>
      <c r="G2348" s="2077"/>
      <c r="H2348" s="1107">
        <f>H2347*0.15</f>
        <v>41219.029919999994</v>
      </c>
      <c r="J2348" s="1557"/>
      <c r="K2348" s="1557"/>
      <c r="L2348" s="1557"/>
      <c r="M2348" s="1566"/>
    </row>
    <row r="2349" spans="2:13" s="947" customFormat="1" hidden="1">
      <c r="B2349" s="1543" t="s">
        <v>708</v>
      </c>
      <c r="C2349" s="2078" t="s">
        <v>3765</v>
      </c>
      <c r="D2349" s="2078"/>
      <c r="E2349" s="2078"/>
      <c r="F2349" s="2078"/>
      <c r="G2349" s="2078"/>
      <c r="H2349" s="1107">
        <f>ROUND(SUM(H2347:H2348),2)</f>
        <v>316012.56</v>
      </c>
      <c r="J2349" s="1557"/>
      <c r="K2349" s="1557"/>
      <c r="L2349" s="1557"/>
      <c r="M2349" s="1566"/>
    </row>
    <row r="2350" spans="2:13" s="947" customFormat="1" hidden="1">
      <c r="B2350" s="1095"/>
      <c r="C2350" s="1096"/>
      <c r="D2350" s="1095"/>
      <c r="E2350" s="1095"/>
      <c r="F2350" s="1172"/>
      <c r="G2350" s="1173"/>
      <c r="H2350" s="1133"/>
      <c r="J2350" s="1557"/>
      <c r="K2350" s="1557"/>
      <c r="L2350" s="1557"/>
      <c r="M2350" s="1566"/>
    </row>
    <row r="2351" spans="2:13" s="947" customFormat="1" hidden="1">
      <c r="B2351" s="1150" t="s">
        <v>3986</v>
      </c>
      <c r="C2351" s="1232" t="s">
        <v>2878</v>
      </c>
      <c r="D2351" s="1095"/>
      <c r="E2351" s="1095"/>
      <c r="F2351" s="1172"/>
      <c r="G2351" s="1173"/>
      <c r="H2351" s="1133"/>
      <c r="J2351" s="1557"/>
      <c r="K2351" s="1557"/>
      <c r="L2351" s="1557"/>
      <c r="M2351" s="1566"/>
    </row>
    <row r="2352" spans="2:13" s="947" customFormat="1" hidden="1">
      <c r="B2352" s="1150" t="s">
        <v>3987</v>
      </c>
      <c r="C2352" s="1232" t="s">
        <v>2879</v>
      </c>
      <c r="D2352" s="1095"/>
      <c r="E2352" s="1095"/>
      <c r="F2352" s="1172"/>
      <c r="G2352" s="1173"/>
      <c r="H2352" s="1133"/>
      <c r="J2352" s="1557"/>
      <c r="K2352" s="1557"/>
      <c r="L2352" s="1557"/>
      <c r="M2352" s="1566"/>
    </row>
    <row r="2353" spans="2:13" s="948" customFormat="1" ht="24.9" hidden="1" customHeight="1">
      <c r="B2353" s="1786" t="s">
        <v>1003</v>
      </c>
      <c r="C2353" s="1208" t="s">
        <v>1004</v>
      </c>
      <c r="D2353" s="1208" t="s">
        <v>1005</v>
      </c>
      <c r="E2353" s="1208" t="s">
        <v>1006</v>
      </c>
      <c r="F2353" s="1209" t="s">
        <v>1007</v>
      </c>
      <c r="G2353" s="1109" t="s">
        <v>2639</v>
      </c>
      <c r="H2353" s="1110" t="s">
        <v>2638</v>
      </c>
      <c r="J2353" s="1625"/>
      <c r="K2353" s="1625"/>
      <c r="L2353" s="1625"/>
      <c r="M2353" s="1570"/>
    </row>
    <row r="2354" spans="2:13" s="947" customFormat="1" hidden="1">
      <c r="B2354" s="1543" t="s">
        <v>671</v>
      </c>
      <c r="C2354" s="1329" t="s">
        <v>672</v>
      </c>
      <c r="D2354" s="1331"/>
      <c r="E2354" s="1331"/>
      <c r="F2354" s="1334"/>
      <c r="G2354" s="1104"/>
      <c r="H2354" s="1106"/>
      <c r="J2354" s="1557"/>
      <c r="K2354" s="1557"/>
      <c r="L2354" s="1557"/>
      <c r="M2354" s="1566"/>
    </row>
    <row r="2355" spans="2:13" s="947" customFormat="1" hidden="1">
      <c r="B2355" s="1540"/>
      <c r="C2355" s="1332" t="s">
        <v>673</v>
      </c>
      <c r="D2355" s="1331" t="s">
        <v>674</v>
      </c>
      <c r="E2355" s="1331" t="s">
        <v>675</v>
      </c>
      <c r="F2355" s="1334">
        <v>0.6</v>
      </c>
      <c r="G2355" s="1104">
        <f>DUB!$I$10</f>
        <v>150000</v>
      </c>
      <c r="H2355" s="1106">
        <f>G2355*F2355</f>
        <v>90000</v>
      </c>
      <c r="J2355" s="1557"/>
      <c r="K2355" s="1557"/>
      <c r="L2355" s="1557"/>
      <c r="M2355" s="1566"/>
    </row>
    <row r="2356" spans="2:13" s="947" customFormat="1" hidden="1">
      <c r="B2356" s="1540"/>
      <c r="C2356" s="1332" t="s">
        <v>816</v>
      </c>
      <c r="D2356" s="1331" t="s">
        <v>678</v>
      </c>
      <c r="E2356" s="1331" t="s">
        <v>675</v>
      </c>
      <c r="F2356" s="1334">
        <v>0.2</v>
      </c>
      <c r="G2356" s="1104">
        <f>DUB!$I$11</f>
        <v>187000</v>
      </c>
      <c r="H2356" s="1106">
        <f>G2356*F2356</f>
        <v>37400</v>
      </c>
      <c r="J2356" s="1557"/>
      <c r="K2356" s="1557"/>
      <c r="L2356" s="1557"/>
      <c r="M2356" s="1566"/>
    </row>
    <row r="2357" spans="2:13" s="947" customFormat="1" hidden="1">
      <c r="B2357" s="1540"/>
      <c r="C2357" s="1332" t="s">
        <v>680</v>
      </c>
      <c r="D2357" s="1331" t="s">
        <v>681</v>
      </c>
      <c r="E2357" s="1331" t="s">
        <v>675</v>
      </c>
      <c r="F2357" s="1334">
        <v>0.02</v>
      </c>
      <c r="G2357" s="1104">
        <f>DUB!$I$13</f>
        <v>240000</v>
      </c>
      <c r="H2357" s="1106">
        <f>G2357*F2357</f>
        <v>4800</v>
      </c>
      <c r="J2357" s="1557"/>
      <c r="K2357" s="1557"/>
      <c r="L2357" s="1557"/>
      <c r="M2357" s="1566"/>
    </row>
    <row r="2358" spans="2:13" s="947" customFormat="1" hidden="1">
      <c r="B2358" s="1540"/>
      <c r="C2358" s="1332" t="s">
        <v>683</v>
      </c>
      <c r="D2358" s="1331" t="s">
        <v>684</v>
      </c>
      <c r="E2358" s="1331" t="s">
        <v>675</v>
      </c>
      <c r="F2358" s="1334">
        <v>0.03</v>
      </c>
      <c r="G2358" s="1104">
        <f>DUB!$I$12</f>
        <v>225000</v>
      </c>
      <c r="H2358" s="1106">
        <f>G2358*F2358</f>
        <v>6750</v>
      </c>
      <c r="J2358" s="1557"/>
      <c r="K2358" s="1557"/>
      <c r="L2358" s="1557"/>
      <c r="M2358" s="1566"/>
    </row>
    <row r="2359" spans="2:13" s="947" customFormat="1" hidden="1">
      <c r="B2359" s="1540"/>
      <c r="C2359" s="1332"/>
      <c r="D2359" s="1331"/>
      <c r="E2359" s="1331"/>
      <c r="F2359" s="2074" t="s">
        <v>685</v>
      </c>
      <c r="G2359" s="2074"/>
      <c r="H2359" s="1106">
        <f>SUM(H2355:H2358)</f>
        <v>138950</v>
      </c>
      <c r="J2359" s="1557"/>
      <c r="K2359" s="1557"/>
      <c r="L2359" s="1557"/>
      <c r="M2359" s="1566"/>
    </row>
    <row r="2360" spans="2:13" s="947" customFormat="1" hidden="1">
      <c r="B2360" s="1543" t="s">
        <v>686</v>
      </c>
      <c r="C2360" s="1329" t="s">
        <v>687</v>
      </c>
      <c r="D2360" s="1331"/>
      <c r="E2360" s="1331"/>
      <c r="F2360" s="1334"/>
      <c r="G2360" s="1104"/>
      <c r="H2360" s="1106"/>
      <c r="J2360" s="1557"/>
      <c r="K2360" s="1557"/>
      <c r="L2360" s="1557"/>
      <c r="M2360" s="1566"/>
    </row>
    <row r="2361" spans="2:13" s="947" customFormat="1" hidden="1">
      <c r="B2361" s="1540"/>
      <c r="C2361" s="1332" t="s">
        <v>742</v>
      </c>
      <c r="D2361" s="1331"/>
      <c r="E2361" s="1331" t="s">
        <v>1423</v>
      </c>
      <c r="F2361" s="1334">
        <v>140</v>
      </c>
      <c r="G2361" s="1104">
        <f>DUB!$I$49</f>
        <v>590</v>
      </c>
      <c r="H2361" s="1106">
        <f>G2361*F2361</f>
        <v>82600</v>
      </c>
      <c r="J2361" s="1557"/>
      <c r="K2361" s="1557"/>
      <c r="L2361" s="1557"/>
      <c r="M2361" s="1566"/>
    </row>
    <row r="2362" spans="2:13" s="947" customFormat="1" hidden="1">
      <c r="B2362" s="1540"/>
      <c r="C2362" s="1332" t="s">
        <v>818</v>
      </c>
      <c r="D2362" s="1331"/>
      <c r="E2362" s="1331" t="s">
        <v>690</v>
      </c>
      <c r="F2362" s="1334">
        <v>43.5</v>
      </c>
      <c r="G2362" s="1104">
        <f>DUB!$I$65</f>
        <v>1575</v>
      </c>
      <c r="H2362" s="1106">
        <f>G2362*F2362</f>
        <v>68512.5</v>
      </c>
      <c r="J2362" s="1557"/>
      <c r="K2362" s="1557"/>
      <c r="L2362" s="1557"/>
      <c r="M2362" s="1566"/>
    </row>
    <row r="2363" spans="2:13" s="947" customFormat="1" hidden="1">
      <c r="B2363" s="1540"/>
      <c r="C2363" s="1332" t="s">
        <v>808</v>
      </c>
      <c r="D2363" s="1331"/>
      <c r="E2363" s="1331" t="s">
        <v>2646</v>
      </c>
      <c r="F2363" s="1334">
        <v>0.08</v>
      </c>
      <c r="G2363" s="1104">
        <f>DUB!$I$59</f>
        <v>208463</v>
      </c>
      <c r="H2363" s="1106">
        <f>G2363*F2363</f>
        <v>16677.04</v>
      </c>
      <c r="J2363" s="1557"/>
      <c r="K2363" s="1557"/>
      <c r="L2363" s="1557"/>
      <c r="M2363" s="1566"/>
    </row>
    <row r="2364" spans="2:13" s="947" customFormat="1" hidden="1">
      <c r="B2364" s="1540"/>
      <c r="C2364" s="1125"/>
      <c r="D2364" s="1333"/>
      <c r="E2364" s="1333"/>
      <c r="F2364" s="2074" t="s">
        <v>702</v>
      </c>
      <c r="G2364" s="2074"/>
      <c r="H2364" s="1106">
        <f>SUM(H2361:H2363)</f>
        <v>167789.54</v>
      </c>
      <c r="J2364" s="1557"/>
      <c r="K2364" s="1557"/>
      <c r="L2364" s="1557"/>
      <c r="M2364" s="1566"/>
    </row>
    <row r="2365" spans="2:13" s="949" customFormat="1" hidden="1">
      <c r="B2365" s="1543" t="s">
        <v>703</v>
      </c>
      <c r="C2365" s="2075" t="s">
        <v>3764</v>
      </c>
      <c r="D2365" s="2075"/>
      <c r="E2365" s="2075"/>
      <c r="F2365" s="2075"/>
      <c r="G2365" s="2075"/>
      <c r="H2365" s="1107">
        <f>H2359+H2364</f>
        <v>306739.54000000004</v>
      </c>
      <c r="J2365" s="1559"/>
      <c r="K2365" s="1559"/>
      <c r="L2365" s="1559"/>
      <c r="M2365" s="1635"/>
    </row>
    <row r="2366" spans="2:13" s="949" customFormat="1" hidden="1">
      <c r="B2366" s="1543" t="s">
        <v>706</v>
      </c>
      <c r="C2366" s="2076" t="s">
        <v>876</v>
      </c>
      <c r="D2366" s="2076"/>
      <c r="E2366" s="2076"/>
      <c r="F2366" s="2077" t="s">
        <v>3873</v>
      </c>
      <c r="G2366" s="2077"/>
      <c r="H2366" s="1107">
        <f>H2365*0.15</f>
        <v>46010.931000000004</v>
      </c>
      <c r="J2366" s="1559"/>
      <c r="K2366" s="1559"/>
      <c r="L2366" s="1559"/>
      <c r="M2366" s="1635"/>
    </row>
    <row r="2367" spans="2:13" s="949" customFormat="1" hidden="1">
      <c r="B2367" s="1543" t="s">
        <v>708</v>
      </c>
      <c r="C2367" s="2078" t="s">
        <v>3765</v>
      </c>
      <c r="D2367" s="2078"/>
      <c r="E2367" s="2078"/>
      <c r="F2367" s="2078"/>
      <c r="G2367" s="2078"/>
      <c r="H2367" s="1107">
        <f>ROUND(SUM(H2365:H2366),2)</f>
        <v>352750.47</v>
      </c>
      <c r="I2367" s="950">
        <f>SUM(H2365:H2366)</f>
        <v>352750.47100000002</v>
      </c>
      <c r="J2367" s="1561"/>
      <c r="K2367" s="1561"/>
      <c r="L2367" s="1559"/>
      <c r="M2367" s="1635"/>
    </row>
    <row r="2368" spans="2:13" s="947" customFormat="1" hidden="1">
      <c r="B2368" s="1143"/>
      <c r="C2368" s="1144"/>
      <c r="D2368" s="1143"/>
      <c r="E2368" s="1143"/>
      <c r="F2368" s="1145"/>
      <c r="G2368" s="1146"/>
      <c r="H2368" s="1147"/>
      <c r="J2368" s="1557"/>
      <c r="K2368" s="1557"/>
      <c r="L2368" s="1557"/>
      <c r="M2368" s="1566"/>
    </row>
    <row r="2369" spans="2:13" s="947" customFormat="1" hidden="1">
      <c r="B2369" s="1150" t="s">
        <v>3988</v>
      </c>
      <c r="C2369" s="1112" t="s">
        <v>2880</v>
      </c>
      <c r="D2369" s="1129"/>
      <c r="E2369" s="1129"/>
      <c r="F2369" s="1131"/>
      <c r="G2369" s="1132"/>
      <c r="H2369" s="1115"/>
      <c r="J2369" s="1557"/>
      <c r="K2369" s="1557"/>
      <c r="L2369" s="1557"/>
      <c r="M2369" s="1566"/>
    </row>
    <row r="2370" spans="2:13" s="948" customFormat="1" ht="24.9" hidden="1" customHeight="1">
      <c r="B2370" s="1786" t="s">
        <v>1003</v>
      </c>
      <c r="C2370" s="1208" t="s">
        <v>1004</v>
      </c>
      <c r="D2370" s="1208" t="s">
        <v>1005</v>
      </c>
      <c r="E2370" s="1208" t="s">
        <v>1006</v>
      </c>
      <c r="F2370" s="1209" t="s">
        <v>1007</v>
      </c>
      <c r="G2370" s="1109" t="s">
        <v>2639</v>
      </c>
      <c r="H2370" s="1110" t="s">
        <v>2638</v>
      </c>
      <c r="J2370" s="1625"/>
      <c r="K2370" s="1625"/>
      <c r="L2370" s="1625"/>
      <c r="M2370" s="1570"/>
    </row>
    <row r="2371" spans="2:13" s="947" customFormat="1" hidden="1">
      <c r="B2371" s="1543" t="s">
        <v>671</v>
      </c>
      <c r="C2371" s="1329" t="s">
        <v>672</v>
      </c>
      <c r="D2371" s="1331"/>
      <c r="E2371" s="1331"/>
      <c r="F2371" s="1334"/>
      <c r="G2371" s="1104"/>
      <c r="H2371" s="1106"/>
      <c r="J2371" s="1557"/>
      <c r="K2371" s="1557"/>
      <c r="L2371" s="1557"/>
      <c r="M2371" s="1566"/>
    </row>
    <row r="2372" spans="2:13" s="947" customFormat="1" hidden="1">
      <c r="B2372" s="1540"/>
      <c r="C2372" s="1332" t="s">
        <v>673</v>
      </c>
      <c r="D2372" s="1331" t="s">
        <v>674</v>
      </c>
      <c r="E2372" s="1331" t="s">
        <v>675</v>
      </c>
      <c r="F2372" s="1334">
        <v>0.6</v>
      </c>
      <c r="G2372" s="1104">
        <f>DUB!$I$10</f>
        <v>150000</v>
      </c>
      <c r="H2372" s="1106">
        <f>G2372*F2372</f>
        <v>90000</v>
      </c>
      <c r="J2372" s="1557"/>
      <c r="K2372" s="1557"/>
      <c r="L2372" s="1557"/>
      <c r="M2372" s="1566"/>
    </row>
    <row r="2373" spans="2:13" s="947" customFormat="1" hidden="1">
      <c r="B2373" s="1540"/>
      <c r="C2373" s="1332" t="s">
        <v>816</v>
      </c>
      <c r="D2373" s="1331" t="s">
        <v>678</v>
      </c>
      <c r="E2373" s="1331" t="s">
        <v>675</v>
      </c>
      <c r="F2373" s="1334">
        <v>0.2</v>
      </c>
      <c r="G2373" s="1104">
        <f>DUB!$I$11</f>
        <v>187000</v>
      </c>
      <c r="H2373" s="1106">
        <f>G2373*F2373</f>
        <v>37400</v>
      </c>
      <c r="J2373" s="1557"/>
      <c r="K2373" s="1557"/>
      <c r="L2373" s="1557"/>
      <c r="M2373" s="1566"/>
    </row>
    <row r="2374" spans="2:13" s="947" customFormat="1" hidden="1">
      <c r="B2374" s="1540"/>
      <c r="C2374" s="1332" t="s">
        <v>680</v>
      </c>
      <c r="D2374" s="1331" t="s">
        <v>681</v>
      </c>
      <c r="E2374" s="1331" t="s">
        <v>675</v>
      </c>
      <c r="F2374" s="1334">
        <v>0.02</v>
      </c>
      <c r="G2374" s="1104">
        <f>DUB!$I$13</f>
        <v>240000</v>
      </c>
      <c r="H2374" s="1106">
        <f>G2374*F2374</f>
        <v>4800</v>
      </c>
      <c r="J2374" s="1557"/>
      <c r="K2374" s="1557"/>
      <c r="L2374" s="1557"/>
      <c r="M2374" s="1566"/>
    </row>
    <row r="2375" spans="2:13" s="947" customFormat="1" hidden="1">
      <c r="B2375" s="1540"/>
      <c r="C2375" s="1332" t="s">
        <v>683</v>
      </c>
      <c r="D2375" s="1331" t="s">
        <v>684</v>
      </c>
      <c r="E2375" s="1331" t="s">
        <v>675</v>
      </c>
      <c r="F2375" s="1334">
        <v>0.03</v>
      </c>
      <c r="G2375" s="1104">
        <f>DUB!$I$12</f>
        <v>225000</v>
      </c>
      <c r="H2375" s="1106">
        <f>G2375*F2375</f>
        <v>6750</v>
      </c>
      <c r="J2375" s="1557"/>
      <c r="K2375" s="1557"/>
      <c r="L2375" s="1557"/>
      <c r="M2375" s="1566"/>
    </row>
    <row r="2376" spans="2:13" s="947" customFormat="1" hidden="1">
      <c r="B2376" s="1540"/>
      <c r="C2376" s="1332"/>
      <c r="D2376" s="1331"/>
      <c r="E2376" s="1331"/>
      <c r="F2376" s="2074" t="s">
        <v>685</v>
      </c>
      <c r="G2376" s="2074"/>
      <c r="H2376" s="1106">
        <f>SUM(H2372:H2375)</f>
        <v>138950</v>
      </c>
      <c r="J2376" s="1557"/>
      <c r="K2376" s="1557"/>
      <c r="L2376" s="1557"/>
      <c r="M2376" s="1566"/>
    </row>
    <row r="2377" spans="2:13" s="947" customFormat="1" hidden="1">
      <c r="B2377" s="1543" t="s">
        <v>686</v>
      </c>
      <c r="C2377" s="1329" t="s">
        <v>687</v>
      </c>
      <c r="D2377" s="1331"/>
      <c r="E2377" s="1331"/>
      <c r="F2377" s="1334"/>
      <c r="G2377" s="1104"/>
      <c r="H2377" s="1106"/>
      <c r="J2377" s="1557"/>
      <c r="K2377" s="1557"/>
      <c r="L2377" s="1557"/>
      <c r="M2377" s="1566"/>
    </row>
    <row r="2378" spans="2:13" s="947" customFormat="1" hidden="1">
      <c r="B2378" s="1540"/>
      <c r="C2378" s="1332" t="s">
        <v>742</v>
      </c>
      <c r="D2378" s="1331"/>
      <c r="E2378" s="1331" t="s">
        <v>1423</v>
      </c>
      <c r="F2378" s="1334">
        <v>140</v>
      </c>
      <c r="G2378" s="1104">
        <f>DUB!$I$49</f>
        <v>590</v>
      </c>
      <c r="H2378" s="1106">
        <f>G2378*F2378</f>
        <v>82600</v>
      </c>
      <c r="J2378" s="1557"/>
      <c r="K2378" s="1557"/>
      <c r="L2378" s="1557"/>
      <c r="M2378" s="1566"/>
    </row>
    <row r="2379" spans="2:13" s="947" customFormat="1" hidden="1">
      <c r="B2379" s="1540"/>
      <c r="C2379" s="1332" t="s">
        <v>818</v>
      </c>
      <c r="D2379" s="1331"/>
      <c r="E2379" s="1331" t="s">
        <v>690</v>
      </c>
      <c r="F2379" s="1334">
        <v>32.950000000000003</v>
      </c>
      <c r="G2379" s="1104">
        <f>DUB!$I$65</f>
        <v>1575</v>
      </c>
      <c r="H2379" s="1106">
        <f>G2379*F2379</f>
        <v>51896.250000000007</v>
      </c>
      <c r="J2379" s="1557"/>
      <c r="K2379" s="1557"/>
      <c r="L2379" s="1557"/>
      <c r="M2379" s="1566"/>
    </row>
    <row r="2380" spans="2:13" s="947" customFormat="1" hidden="1">
      <c r="B2380" s="1540"/>
      <c r="C2380" s="1332" t="s">
        <v>808</v>
      </c>
      <c r="D2380" s="1331"/>
      <c r="E2380" s="1331" t="s">
        <v>2646</v>
      </c>
      <c r="F2380" s="1334">
        <v>9.0999999999999998E-2</v>
      </c>
      <c r="G2380" s="1104">
        <f>DUB!$I$59</f>
        <v>208463</v>
      </c>
      <c r="H2380" s="1106">
        <f>G2380*F2380</f>
        <v>18970.132999999998</v>
      </c>
      <c r="J2380" s="1557"/>
      <c r="K2380" s="1557"/>
      <c r="L2380" s="1557"/>
      <c r="M2380" s="1566"/>
    </row>
    <row r="2381" spans="2:13" s="947" customFormat="1" hidden="1">
      <c r="B2381" s="1540"/>
      <c r="C2381" s="1125"/>
      <c r="D2381" s="1333"/>
      <c r="E2381" s="1333"/>
      <c r="F2381" s="2074" t="s">
        <v>702</v>
      </c>
      <c r="G2381" s="2074"/>
      <c r="H2381" s="1106">
        <f>SUM(H2378:H2380)</f>
        <v>153466.383</v>
      </c>
      <c r="J2381" s="1557"/>
      <c r="K2381" s="1557"/>
      <c r="L2381" s="1557"/>
      <c r="M2381" s="1566"/>
    </row>
    <row r="2382" spans="2:13" s="949" customFormat="1" hidden="1">
      <c r="B2382" s="1543" t="s">
        <v>703</v>
      </c>
      <c r="C2382" s="2075" t="s">
        <v>3764</v>
      </c>
      <c r="D2382" s="2075"/>
      <c r="E2382" s="2075"/>
      <c r="F2382" s="2075"/>
      <c r="G2382" s="2075"/>
      <c r="H2382" s="1107">
        <f>H2376+H2381</f>
        <v>292416.38300000003</v>
      </c>
      <c r="J2382" s="1559"/>
      <c r="K2382" s="1559"/>
      <c r="L2382" s="1559"/>
      <c r="M2382" s="1635"/>
    </row>
    <row r="2383" spans="2:13" s="949" customFormat="1" hidden="1">
      <c r="B2383" s="1543" t="s">
        <v>706</v>
      </c>
      <c r="C2383" s="2076" t="s">
        <v>876</v>
      </c>
      <c r="D2383" s="2076"/>
      <c r="E2383" s="2076"/>
      <c r="F2383" s="2077" t="s">
        <v>3873</v>
      </c>
      <c r="G2383" s="2077"/>
      <c r="H2383" s="1107">
        <f>H2382*0.15</f>
        <v>43862.457450000002</v>
      </c>
      <c r="J2383" s="1559"/>
      <c r="K2383" s="1559"/>
      <c r="L2383" s="1559"/>
      <c r="M2383" s="1635"/>
    </row>
    <row r="2384" spans="2:13" s="949" customFormat="1" hidden="1">
      <c r="B2384" s="1543" t="s">
        <v>708</v>
      </c>
      <c r="C2384" s="2078" t="s">
        <v>3765</v>
      </c>
      <c r="D2384" s="2078"/>
      <c r="E2384" s="2078"/>
      <c r="F2384" s="2078"/>
      <c r="G2384" s="2078"/>
      <c r="H2384" s="1107">
        <f>ROUND(SUM(H2382:H2383),2)</f>
        <v>336278.84</v>
      </c>
      <c r="I2384" s="950">
        <f>SUM(H2382:H2383)</f>
        <v>336278.84045000002</v>
      </c>
      <c r="J2384" s="1561"/>
      <c r="K2384" s="1561"/>
      <c r="L2384" s="1559"/>
      <c r="M2384" s="1635"/>
    </row>
    <row r="2385" spans="2:13" s="947" customFormat="1" hidden="1">
      <c r="B2385" s="1095"/>
      <c r="C2385" s="1096"/>
      <c r="D2385" s="1095"/>
      <c r="E2385" s="1095"/>
      <c r="F2385" s="1172"/>
      <c r="G2385" s="1173"/>
      <c r="H2385" s="1133"/>
      <c r="J2385" s="1557"/>
      <c r="K2385" s="1557"/>
      <c r="L2385" s="1557"/>
      <c r="M2385" s="1566"/>
    </row>
    <row r="2386" spans="2:13" s="947" customFormat="1" hidden="1">
      <c r="B2386" s="1150" t="s">
        <v>3989</v>
      </c>
      <c r="C2386" s="1232" t="s">
        <v>2881</v>
      </c>
      <c r="D2386" s="1095"/>
      <c r="E2386" s="1095"/>
      <c r="F2386" s="1172"/>
      <c r="G2386" s="1173"/>
      <c r="H2386" s="1133"/>
      <c r="J2386" s="1557"/>
      <c r="K2386" s="1557"/>
      <c r="L2386" s="1557"/>
      <c r="M2386" s="1566"/>
    </row>
    <row r="2387" spans="2:13" s="948" customFormat="1" ht="24.9" hidden="1" customHeight="1">
      <c r="B2387" s="1786" t="s">
        <v>1003</v>
      </c>
      <c r="C2387" s="1208" t="s">
        <v>1004</v>
      </c>
      <c r="D2387" s="1208" t="s">
        <v>1005</v>
      </c>
      <c r="E2387" s="1208" t="s">
        <v>1006</v>
      </c>
      <c r="F2387" s="1209" t="s">
        <v>1007</v>
      </c>
      <c r="G2387" s="1109" t="s">
        <v>2639</v>
      </c>
      <c r="H2387" s="1110" t="s">
        <v>2638</v>
      </c>
      <c r="J2387" s="1625"/>
      <c r="K2387" s="1625"/>
      <c r="L2387" s="1625"/>
      <c r="M2387" s="1570"/>
    </row>
    <row r="2388" spans="2:13" s="947" customFormat="1" hidden="1">
      <c r="B2388" s="1543" t="s">
        <v>671</v>
      </c>
      <c r="C2388" s="1329" t="s">
        <v>672</v>
      </c>
      <c r="D2388" s="1331"/>
      <c r="E2388" s="1331"/>
      <c r="F2388" s="1334"/>
      <c r="G2388" s="1104"/>
      <c r="H2388" s="1106"/>
      <c r="J2388" s="1557"/>
      <c r="K2388" s="1557"/>
      <c r="L2388" s="1557"/>
      <c r="M2388" s="1566"/>
    </row>
    <row r="2389" spans="2:13" s="947" customFormat="1" hidden="1">
      <c r="B2389" s="1540"/>
      <c r="C2389" s="1332" t="s">
        <v>673</v>
      </c>
      <c r="D2389" s="1331" t="s">
        <v>674</v>
      </c>
      <c r="E2389" s="1331" t="s">
        <v>675</v>
      </c>
      <c r="F2389" s="1334">
        <v>0.6</v>
      </c>
      <c r="G2389" s="1104">
        <f>DUB!$I$10</f>
        <v>150000</v>
      </c>
      <c r="H2389" s="1106">
        <f>G2389*F2389</f>
        <v>90000</v>
      </c>
      <c r="J2389" s="1557"/>
      <c r="K2389" s="1557"/>
      <c r="L2389" s="1557"/>
      <c r="M2389" s="1566"/>
    </row>
    <row r="2390" spans="2:13" s="947" customFormat="1" hidden="1">
      <c r="B2390" s="1540"/>
      <c r="C2390" s="1332" t="s">
        <v>816</v>
      </c>
      <c r="D2390" s="1331" t="s">
        <v>678</v>
      </c>
      <c r="E2390" s="1331" t="s">
        <v>675</v>
      </c>
      <c r="F2390" s="1334">
        <v>0.2</v>
      </c>
      <c r="G2390" s="1104">
        <f>DUB!$I$11</f>
        <v>187000</v>
      </c>
      <c r="H2390" s="1106">
        <f>G2390*F2390</f>
        <v>37400</v>
      </c>
      <c r="J2390" s="1557"/>
      <c r="K2390" s="1557"/>
      <c r="L2390" s="1557"/>
      <c r="M2390" s="1566"/>
    </row>
    <row r="2391" spans="2:13" s="947" customFormat="1" hidden="1">
      <c r="B2391" s="1540"/>
      <c r="C2391" s="1332" t="s">
        <v>680</v>
      </c>
      <c r="D2391" s="1331" t="s">
        <v>681</v>
      </c>
      <c r="E2391" s="1331" t="s">
        <v>675</v>
      </c>
      <c r="F2391" s="1334">
        <v>0.02</v>
      </c>
      <c r="G2391" s="1104">
        <f>DUB!$I$13</f>
        <v>240000</v>
      </c>
      <c r="H2391" s="1106">
        <f>G2391*F2391</f>
        <v>4800</v>
      </c>
      <c r="J2391" s="1557"/>
      <c r="K2391" s="1557"/>
      <c r="L2391" s="1557"/>
      <c r="M2391" s="1566"/>
    </row>
    <row r="2392" spans="2:13" s="947" customFormat="1" hidden="1">
      <c r="B2392" s="1540"/>
      <c r="C2392" s="1332" t="s">
        <v>683</v>
      </c>
      <c r="D2392" s="1331" t="s">
        <v>684</v>
      </c>
      <c r="E2392" s="1331" t="s">
        <v>675</v>
      </c>
      <c r="F2392" s="1334">
        <v>0.03</v>
      </c>
      <c r="G2392" s="1104">
        <f>DUB!$I$12</f>
        <v>225000</v>
      </c>
      <c r="H2392" s="1106">
        <f>G2392*F2392</f>
        <v>6750</v>
      </c>
      <c r="J2392" s="1557"/>
      <c r="K2392" s="1557"/>
      <c r="L2392" s="1557"/>
      <c r="M2392" s="1566"/>
    </row>
    <row r="2393" spans="2:13" s="947" customFormat="1" hidden="1">
      <c r="B2393" s="1540"/>
      <c r="C2393" s="1332"/>
      <c r="D2393" s="1331"/>
      <c r="E2393" s="1331"/>
      <c r="F2393" s="2074" t="s">
        <v>685</v>
      </c>
      <c r="G2393" s="2074"/>
      <c r="H2393" s="1106">
        <f>SUM(H2389:H2392)</f>
        <v>138950</v>
      </c>
      <c r="J2393" s="1557"/>
      <c r="K2393" s="1557"/>
      <c r="L2393" s="1557"/>
      <c r="M2393" s="1566"/>
    </row>
    <row r="2394" spans="2:13" s="947" customFormat="1" hidden="1">
      <c r="B2394" s="1543" t="s">
        <v>686</v>
      </c>
      <c r="C2394" s="1329" t="s">
        <v>687</v>
      </c>
      <c r="D2394" s="1331"/>
      <c r="E2394" s="1331"/>
      <c r="F2394" s="1334"/>
      <c r="G2394" s="1104"/>
      <c r="H2394" s="1106"/>
      <c r="J2394" s="1557"/>
      <c r="K2394" s="1557"/>
      <c r="L2394" s="1557"/>
      <c r="M2394" s="1566"/>
    </row>
    <row r="2395" spans="2:13" s="947" customFormat="1" hidden="1">
      <c r="B2395" s="1540"/>
      <c r="C2395" s="1332" t="s">
        <v>742</v>
      </c>
      <c r="D2395" s="1331"/>
      <c r="E2395" s="1331" t="s">
        <v>1423</v>
      </c>
      <c r="F2395" s="1334">
        <v>140</v>
      </c>
      <c r="G2395" s="1104">
        <f>DUB!$I$49</f>
        <v>590</v>
      </c>
      <c r="H2395" s="1106">
        <f>G2395*F2395</f>
        <v>82600</v>
      </c>
      <c r="J2395" s="1557"/>
      <c r="K2395" s="1557"/>
      <c r="L2395" s="1557"/>
      <c r="M2395" s="1566"/>
    </row>
    <row r="2396" spans="2:13" s="947" customFormat="1" hidden="1">
      <c r="B2396" s="1540"/>
      <c r="C2396" s="1332" t="s">
        <v>818</v>
      </c>
      <c r="D2396" s="1331"/>
      <c r="E2396" s="1331" t="s">
        <v>690</v>
      </c>
      <c r="F2396" s="1334">
        <v>26.55</v>
      </c>
      <c r="G2396" s="1104">
        <f>DUB!$I$65</f>
        <v>1575</v>
      </c>
      <c r="H2396" s="1106">
        <f>G2396*F2396</f>
        <v>41816.25</v>
      </c>
      <c r="J2396" s="1557"/>
      <c r="K2396" s="1557"/>
      <c r="L2396" s="1557"/>
      <c r="M2396" s="1566"/>
    </row>
    <row r="2397" spans="2:13" s="947" customFormat="1" hidden="1">
      <c r="B2397" s="1540"/>
      <c r="C2397" s="1332" t="s">
        <v>808</v>
      </c>
      <c r="D2397" s="1331"/>
      <c r="E2397" s="1331" t="s">
        <v>2646</v>
      </c>
      <c r="F2397" s="1334">
        <v>9.2999999999999999E-2</v>
      </c>
      <c r="G2397" s="1104">
        <f>DUB!$I$59</f>
        <v>208463</v>
      </c>
      <c r="H2397" s="1106">
        <f>G2397*F2397</f>
        <v>19387.059000000001</v>
      </c>
      <c r="J2397" s="1557"/>
      <c r="K2397" s="1557"/>
      <c r="L2397" s="1557"/>
      <c r="M2397" s="1566"/>
    </row>
    <row r="2398" spans="2:13" s="947" customFormat="1" hidden="1">
      <c r="B2398" s="1540"/>
      <c r="C2398" s="1125"/>
      <c r="D2398" s="1333"/>
      <c r="E2398" s="1333"/>
      <c r="F2398" s="2074" t="s">
        <v>702</v>
      </c>
      <c r="G2398" s="2074"/>
      <c r="H2398" s="1106">
        <f>SUM(H2395:H2397)</f>
        <v>143803.30900000001</v>
      </c>
      <c r="J2398" s="1557"/>
      <c r="K2398" s="1557"/>
      <c r="L2398" s="1557"/>
      <c r="M2398" s="1566"/>
    </row>
    <row r="2399" spans="2:13" s="949" customFormat="1" hidden="1">
      <c r="B2399" s="1543" t="s">
        <v>703</v>
      </c>
      <c r="C2399" s="2075" t="s">
        <v>3764</v>
      </c>
      <c r="D2399" s="2075"/>
      <c r="E2399" s="2075"/>
      <c r="F2399" s="2075"/>
      <c r="G2399" s="2075"/>
      <c r="H2399" s="1107">
        <f>H2393+H2398</f>
        <v>282753.30900000001</v>
      </c>
      <c r="J2399" s="1559"/>
      <c r="K2399" s="1559"/>
      <c r="L2399" s="1559"/>
      <c r="M2399" s="1635"/>
    </row>
    <row r="2400" spans="2:13" s="949" customFormat="1" hidden="1">
      <c r="B2400" s="1543" t="s">
        <v>706</v>
      </c>
      <c r="C2400" s="2076" t="s">
        <v>876</v>
      </c>
      <c r="D2400" s="2076"/>
      <c r="E2400" s="2076"/>
      <c r="F2400" s="2077" t="s">
        <v>3873</v>
      </c>
      <c r="G2400" s="2077"/>
      <c r="H2400" s="1107">
        <f>H2399*0.15</f>
        <v>42412.996350000001</v>
      </c>
      <c r="J2400" s="1559"/>
      <c r="K2400" s="1559"/>
      <c r="L2400" s="1559"/>
      <c r="M2400" s="1635"/>
    </row>
    <row r="2401" spans="2:13" s="949" customFormat="1" hidden="1">
      <c r="B2401" s="1543" t="s">
        <v>708</v>
      </c>
      <c r="C2401" s="2078" t="s">
        <v>3765</v>
      </c>
      <c r="D2401" s="2078"/>
      <c r="E2401" s="2078"/>
      <c r="F2401" s="2078"/>
      <c r="G2401" s="2078"/>
      <c r="H2401" s="1107">
        <f>ROUND(SUM(H2399:H2400),2)</f>
        <v>325166.31</v>
      </c>
      <c r="I2401" s="950">
        <f>SUM(H2399:H2400)</f>
        <v>325166.30535000004</v>
      </c>
      <c r="J2401" s="1561"/>
      <c r="K2401" s="1561"/>
      <c r="L2401" s="1559"/>
      <c r="M2401" s="1635"/>
    </row>
    <row r="2402" spans="2:13" s="947" customFormat="1" hidden="1">
      <c r="B2402" s="1143"/>
      <c r="C2402" s="1144"/>
      <c r="D2402" s="1143"/>
      <c r="E2402" s="1143"/>
      <c r="F2402" s="1145"/>
      <c r="G2402" s="1146"/>
      <c r="H2402" s="1147"/>
      <c r="J2402" s="1557"/>
      <c r="K2402" s="1557"/>
      <c r="L2402" s="1557"/>
      <c r="M2402" s="1566"/>
    </row>
    <row r="2403" spans="2:13" s="947" customFormat="1" hidden="1">
      <c r="B2403" s="1150" t="s">
        <v>3990</v>
      </c>
      <c r="C2403" s="1112" t="s">
        <v>2882</v>
      </c>
      <c r="D2403" s="1129"/>
      <c r="E2403" s="1129"/>
      <c r="F2403" s="1131"/>
      <c r="G2403" s="1132"/>
      <c r="H2403" s="1115"/>
      <c r="J2403" s="1557"/>
      <c r="K2403" s="1557"/>
      <c r="L2403" s="1557"/>
      <c r="M2403" s="1566"/>
    </row>
    <row r="2404" spans="2:13" s="948" customFormat="1" ht="24.9" hidden="1" customHeight="1">
      <c r="B2404" s="1786" t="s">
        <v>1003</v>
      </c>
      <c r="C2404" s="1208" t="s">
        <v>1004</v>
      </c>
      <c r="D2404" s="1208" t="s">
        <v>1005</v>
      </c>
      <c r="E2404" s="1208" t="s">
        <v>1006</v>
      </c>
      <c r="F2404" s="1209" t="s">
        <v>1007</v>
      </c>
      <c r="G2404" s="1109" t="s">
        <v>2639</v>
      </c>
      <c r="H2404" s="1110" t="s">
        <v>2638</v>
      </c>
      <c r="J2404" s="1625"/>
      <c r="K2404" s="1625"/>
      <c r="L2404" s="1625"/>
      <c r="M2404" s="1570"/>
    </row>
    <row r="2405" spans="2:13" s="947" customFormat="1" hidden="1">
      <c r="B2405" s="1543" t="s">
        <v>671</v>
      </c>
      <c r="C2405" s="1329" t="s">
        <v>672</v>
      </c>
      <c r="D2405" s="1331"/>
      <c r="E2405" s="1331"/>
      <c r="F2405" s="1334"/>
      <c r="G2405" s="1104"/>
      <c r="H2405" s="1106"/>
      <c r="J2405" s="1557"/>
      <c r="K2405" s="1557"/>
      <c r="L2405" s="1557"/>
      <c r="M2405" s="1566"/>
    </row>
    <row r="2406" spans="2:13" s="947" customFormat="1" hidden="1">
      <c r="B2406" s="1540"/>
      <c r="C2406" s="1332" t="s">
        <v>673</v>
      </c>
      <c r="D2406" s="1331" t="s">
        <v>674</v>
      </c>
      <c r="E2406" s="1331" t="s">
        <v>675</v>
      </c>
      <c r="F2406" s="1334">
        <v>0.6</v>
      </c>
      <c r="G2406" s="1104">
        <f>DUB!$I$10</f>
        <v>150000</v>
      </c>
      <c r="H2406" s="1106">
        <f>G2406*F2406</f>
        <v>90000</v>
      </c>
      <c r="J2406" s="1557"/>
      <c r="K2406" s="1557"/>
      <c r="L2406" s="1557"/>
      <c r="M2406" s="1566"/>
    </row>
    <row r="2407" spans="2:13" s="947" customFormat="1" hidden="1">
      <c r="B2407" s="1540"/>
      <c r="C2407" s="1332" t="s">
        <v>816</v>
      </c>
      <c r="D2407" s="1331" t="s">
        <v>678</v>
      </c>
      <c r="E2407" s="1331" t="s">
        <v>675</v>
      </c>
      <c r="F2407" s="1334">
        <v>0.2</v>
      </c>
      <c r="G2407" s="1104">
        <f>DUB!$I$11</f>
        <v>187000</v>
      </c>
      <c r="H2407" s="1106">
        <f>G2407*F2407</f>
        <v>37400</v>
      </c>
      <c r="J2407" s="1557"/>
      <c r="K2407" s="1557"/>
      <c r="L2407" s="1557"/>
      <c r="M2407" s="1566"/>
    </row>
    <row r="2408" spans="2:13" s="947" customFormat="1" hidden="1">
      <c r="B2408" s="1540"/>
      <c r="C2408" s="1332" t="s">
        <v>680</v>
      </c>
      <c r="D2408" s="1331" t="s">
        <v>681</v>
      </c>
      <c r="E2408" s="1331" t="s">
        <v>675</v>
      </c>
      <c r="F2408" s="1334">
        <v>0.02</v>
      </c>
      <c r="G2408" s="1104">
        <f>DUB!$I$13</f>
        <v>240000</v>
      </c>
      <c r="H2408" s="1106">
        <f>G2408*F2408</f>
        <v>4800</v>
      </c>
      <c r="J2408" s="1557"/>
      <c r="K2408" s="1557"/>
      <c r="L2408" s="1557"/>
      <c r="M2408" s="1566"/>
    </row>
    <row r="2409" spans="2:13" s="947" customFormat="1" hidden="1">
      <c r="B2409" s="1540"/>
      <c r="C2409" s="1332" t="s">
        <v>683</v>
      </c>
      <c r="D2409" s="1331" t="s">
        <v>684</v>
      </c>
      <c r="E2409" s="1331" t="s">
        <v>675</v>
      </c>
      <c r="F2409" s="1334">
        <v>0.03</v>
      </c>
      <c r="G2409" s="1104">
        <f>DUB!$I$12</f>
        <v>225000</v>
      </c>
      <c r="H2409" s="1106">
        <f>G2409*F2409</f>
        <v>6750</v>
      </c>
      <c r="J2409" s="1557"/>
      <c r="K2409" s="1557"/>
      <c r="L2409" s="1557"/>
      <c r="M2409" s="1566"/>
    </row>
    <row r="2410" spans="2:13" s="947" customFormat="1" hidden="1">
      <c r="B2410" s="1540"/>
      <c r="C2410" s="1332"/>
      <c r="D2410" s="1331"/>
      <c r="E2410" s="1331"/>
      <c r="F2410" s="2074" t="s">
        <v>685</v>
      </c>
      <c r="G2410" s="2074"/>
      <c r="H2410" s="1106">
        <f>SUM(H2406:H2409)</f>
        <v>138950</v>
      </c>
      <c r="J2410" s="1557"/>
      <c r="K2410" s="1557"/>
      <c r="L2410" s="1557"/>
      <c r="M2410" s="1566"/>
    </row>
    <row r="2411" spans="2:13" s="947" customFormat="1" hidden="1">
      <c r="B2411" s="1543" t="s">
        <v>686</v>
      </c>
      <c r="C2411" s="1329" t="s">
        <v>687</v>
      </c>
      <c r="D2411" s="1331"/>
      <c r="E2411" s="1331"/>
      <c r="F2411" s="1334"/>
      <c r="G2411" s="1104"/>
      <c r="H2411" s="1106"/>
      <c r="J2411" s="1557"/>
      <c r="K2411" s="1557"/>
      <c r="L2411" s="1557"/>
      <c r="M2411" s="1566"/>
    </row>
    <row r="2412" spans="2:13" s="947" customFormat="1" hidden="1">
      <c r="B2412" s="1540"/>
      <c r="C2412" s="1332" t="s">
        <v>742</v>
      </c>
      <c r="D2412" s="1331"/>
      <c r="E2412" s="1331" t="s">
        <v>1423</v>
      </c>
      <c r="F2412" s="1334">
        <v>140</v>
      </c>
      <c r="G2412" s="1104">
        <f>DUB!$I$49</f>
        <v>590</v>
      </c>
      <c r="H2412" s="1106">
        <f>G2412*F2412</f>
        <v>82600</v>
      </c>
      <c r="J2412" s="1557"/>
      <c r="K2412" s="1557"/>
      <c r="L2412" s="1557"/>
      <c r="M2412" s="1566"/>
    </row>
    <row r="2413" spans="2:13" s="947" customFormat="1" hidden="1">
      <c r="B2413" s="1540"/>
      <c r="C2413" s="1332" t="s">
        <v>818</v>
      </c>
      <c r="D2413" s="1331"/>
      <c r="E2413" s="1331" t="s">
        <v>690</v>
      </c>
      <c r="F2413" s="1334">
        <v>22.2</v>
      </c>
      <c r="G2413" s="1104">
        <f>DUB!$I$65</f>
        <v>1575</v>
      </c>
      <c r="H2413" s="1106">
        <f>G2413*F2413</f>
        <v>34965</v>
      </c>
      <c r="J2413" s="1557"/>
      <c r="K2413" s="1557"/>
      <c r="L2413" s="1557"/>
      <c r="M2413" s="1566"/>
    </row>
    <row r="2414" spans="2:13" s="947" customFormat="1" hidden="1">
      <c r="B2414" s="1540"/>
      <c r="C2414" s="1332" t="s">
        <v>808</v>
      </c>
      <c r="D2414" s="1331"/>
      <c r="E2414" s="1331" t="s">
        <v>2646</v>
      </c>
      <c r="F2414" s="1334">
        <v>0.10199999999999999</v>
      </c>
      <c r="G2414" s="1104">
        <f>DUB!$I$59</f>
        <v>208463</v>
      </c>
      <c r="H2414" s="1106">
        <f>G2414*F2414</f>
        <v>21263.225999999999</v>
      </c>
      <c r="J2414" s="1557"/>
      <c r="K2414" s="1557"/>
      <c r="L2414" s="1557"/>
      <c r="M2414" s="1566"/>
    </row>
    <row r="2415" spans="2:13" s="947" customFormat="1" hidden="1">
      <c r="B2415" s="1540"/>
      <c r="C2415" s="1125"/>
      <c r="D2415" s="1333"/>
      <c r="E2415" s="1333"/>
      <c r="F2415" s="2074" t="s">
        <v>702</v>
      </c>
      <c r="G2415" s="2074"/>
      <c r="H2415" s="1106">
        <f>SUM(H2412:H2414)</f>
        <v>138828.226</v>
      </c>
      <c r="J2415" s="1557"/>
      <c r="K2415" s="1557"/>
      <c r="L2415" s="1557"/>
      <c r="M2415" s="1566"/>
    </row>
    <row r="2416" spans="2:13" s="949" customFormat="1" hidden="1">
      <c r="B2416" s="1543" t="s">
        <v>703</v>
      </c>
      <c r="C2416" s="2075" t="s">
        <v>3764</v>
      </c>
      <c r="D2416" s="2075"/>
      <c r="E2416" s="2075"/>
      <c r="F2416" s="2075"/>
      <c r="G2416" s="2075"/>
      <c r="H2416" s="1107">
        <f>H2410+H2415</f>
        <v>277778.22600000002</v>
      </c>
      <c r="J2416" s="1559"/>
      <c r="K2416" s="1559"/>
      <c r="L2416" s="1559"/>
      <c r="M2416" s="1635"/>
    </row>
    <row r="2417" spans="2:13" s="949" customFormat="1" hidden="1">
      <c r="B2417" s="1543" t="s">
        <v>706</v>
      </c>
      <c r="C2417" s="2076" t="s">
        <v>876</v>
      </c>
      <c r="D2417" s="2076"/>
      <c r="E2417" s="2076"/>
      <c r="F2417" s="2077" t="s">
        <v>3873</v>
      </c>
      <c r="G2417" s="2077"/>
      <c r="H2417" s="1107">
        <f>H2416*0.15</f>
        <v>41666.733899999999</v>
      </c>
      <c r="J2417" s="1559"/>
      <c r="K2417" s="1559"/>
      <c r="L2417" s="1559"/>
      <c r="M2417" s="1635"/>
    </row>
    <row r="2418" spans="2:13" s="949" customFormat="1" hidden="1">
      <c r="B2418" s="1543" t="s">
        <v>708</v>
      </c>
      <c r="C2418" s="2078" t="s">
        <v>3765</v>
      </c>
      <c r="D2418" s="2078"/>
      <c r="E2418" s="2078"/>
      <c r="F2418" s="2078"/>
      <c r="G2418" s="2078"/>
      <c r="H2418" s="1107">
        <f>ROUND(SUM(H2416:H2417),2)</f>
        <v>319444.96000000002</v>
      </c>
      <c r="I2418" s="950">
        <f>SUM(H2416:H2417)</f>
        <v>319444.95990000002</v>
      </c>
      <c r="J2418" s="1561"/>
      <c r="K2418" s="1561"/>
      <c r="L2418" s="1559"/>
      <c r="M2418" s="1635"/>
    </row>
    <row r="2419" spans="2:13" s="947" customFormat="1" hidden="1">
      <c r="B2419" s="1095"/>
      <c r="C2419" s="1096"/>
      <c r="D2419" s="1095"/>
      <c r="E2419" s="1095"/>
      <c r="F2419" s="1172"/>
      <c r="G2419" s="1173"/>
      <c r="H2419" s="1133"/>
      <c r="J2419" s="1557"/>
      <c r="K2419" s="1557"/>
      <c r="L2419" s="1557"/>
      <c r="M2419" s="1566"/>
    </row>
    <row r="2420" spans="2:13" s="947" customFormat="1" hidden="1">
      <c r="B2420" s="1150" t="s">
        <v>3991</v>
      </c>
      <c r="C2420" s="1232" t="s">
        <v>2883</v>
      </c>
      <c r="D2420" s="1095"/>
      <c r="E2420" s="1095"/>
      <c r="F2420" s="1172"/>
      <c r="G2420" s="1173"/>
      <c r="H2420" s="1133"/>
      <c r="J2420" s="1557"/>
      <c r="K2420" s="1557"/>
      <c r="L2420" s="1557"/>
      <c r="M2420" s="1566"/>
    </row>
    <row r="2421" spans="2:13" s="948" customFormat="1" ht="24.9" hidden="1" customHeight="1">
      <c r="B2421" s="1786" t="s">
        <v>1003</v>
      </c>
      <c r="C2421" s="1208" t="s">
        <v>1004</v>
      </c>
      <c r="D2421" s="1208" t="s">
        <v>1005</v>
      </c>
      <c r="E2421" s="1208" t="s">
        <v>1006</v>
      </c>
      <c r="F2421" s="1209" t="s">
        <v>1007</v>
      </c>
      <c r="G2421" s="1109" t="s">
        <v>2639</v>
      </c>
      <c r="H2421" s="1110" t="s">
        <v>2638</v>
      </c>
      <c r="J2421" s="1625"/>
      <c r="K2421" s="1625"/>
      <c r="L2421" s="1625"/>
      <c r="M2421" s="1570"/>
    </row>
    <row r="2422" spans="2:13" s="947" customFormat="1" hidden="1">
      <c r="B2422" s="1543" t="s">
        <v>671</v>
      </c>
      <c r="C2422" s="1332" t="s">
        <v>672</v>
      </c>
      <c r="D2422" s="1331"/>
      <c r="E2422" s="1331"/>
      <c r="F2422" s="1334"/>
      <c r="G2422" s="1104"/>
      <c r="H2422" s="1106"/>
      <c r="J2422" s="1557"/>
      <c r="K2422" s="1557"/>
      <c r="L2422" s="1557"/>
      <c r="M2422" s="1566"/>
    </row>
    <row r="2423" spans="2:13" s="947" customFormat="1" hidden="1">
      <c r="B2423" s="1543"/>
      <c r="C2423" s="1332" t="s">
        <v>673</v>
      </c>
      <c r="D2423" s="1331" t="s">
        <v>674</v>
      </c>
      <c r="E2423" s="1331" t="s">
        <v>675</v>
      </c>
      <c r="F2423" s="1334">
        <v>0.6</v>
      </c>
      <c r="G2423" s="1104">
        <f>DUB!$I$10</f>
        <v>150000</v>
      </c>
      <c r="H2423" s="1106">
        <f>G2423*F2423</f>
        <v>90000</v>
      </c>
      <c r="J2423" s="1557"/>
      <c r="K2423" s="1557"/>
      <c r="L2423" s="1557"/>
      <c r="M2423" s="1566"/>
    </row>
    <row r="2424" spans="2:13" s="947" customFormat="1" hidden="1">
      <c r="B2424" s="1543"/>
      <c r="C2424" s="1332" t="s">
        <v>816</v>
      </c>
      <c r="D2424" s="1331" t="s">
        <v>678</v>
      </c>
      <c r="E2424" s="1331" t="s">
        <v>675</v>
      </c>
      <c r="F2424" s="1334">
        <v>0.2</v>
      </c>
      <c r="G2424" s="1104">
        <f>DUB!$I$11</f>
        <v>187000</v>
      </c>
      <c r="H2424" s="1106">
        <f>G2424*F2424</f>
        <v>37400</v>
      </c>
      <c r="J2424" s="1557"/>
      <c r="K2424" s="1557"/>
      <c r="L2424" s="1557"/>
      <c r="M2424" s="1566"/>
    </row>
    <row r="2425" spans="2:13" s="947" customFormat="1" hidden="1">
      <c r="B2425" s="1543"/>
      <c r="C2425" s="1332" t="s">
        <v>680</v>
      </c>
      <c r="D2425" s="1331" t="s">
        <v>681</v>
      </c>
      <c r="E2425" s="1331" t="s">
        <v>675</v>
      </c>
      <c r="F2425" s="1334">
        <v>0.02</v>
      </c>
      <c r="G2425" s="1104">
        <f>DUB!$I$13</f>
        <v>240000</v>
      </c>
      <c r="H2425" s="1106">
        <f>G2425*F2425</f>
        <v>4800</v>
      </c>
      <c r="J2425" s="1557"/>
      <c r="K2425" s="1557"/>
      <c r="L2425" s="1557"/>
      <c r="M2425" s="1566"/>
    </row>
    <row r="2426" spans="2:13" s="947" customFormat="1" hidden="1">
      <c r="B2426" s="1543"/>
      <c r="C2426" s="1332" t="s">
        <v>683</v>
      </c>
      <c r="D2426" s="1331" t="s">
        <v>684</v>
      </c>
      <c r="E2426" s="1331" t="s">
        <v>675</v>
      </c>
      <c r="F2426" s="1334">
        <v>0.03</v>
      </c>
      <c r="G2426" s="1104">
        <f>DUB!$I$12</f>
        <v>225000</v>
      </c>
      <c r="H2426" s="1106">
        <f>G2426*F2426</f>
        <v>6750</v>
      </c>
      <c r="J2426" s="1557"/>
      <c r="K2426" s="1557"/>
      <c r="L2426" s="1557"/>
      <c r="M2426" s="1566"/>
    </row>
    <row r="2427" spans="2:13" s="947" customFormat="1" hidden="1">
      <c r="B2427" s="1543"/>
      <c r="C2427" s="1332"/>
      <c r="D2427" s="1331"/>
      <c r="E2427" s="1331"/>
      <c r="F2427" s="2074" t="s">
        <v>685</v>
      </c>
      <c r="G2427" s="2074"/>
      <c r="H2427" s="1106">
        <f>SUM(H2423:H2426)</f>
        <v>138950</v>
      </c>
      <c r="J2427" s="1557"/>
      <c r="K2427" s="1557"/>
      <c r="L2427" s="1557"/>
      <c r="M2427" s="1566"/>
    </row>
    <row r="2428" spans="2:13" s="947" customFormat="1" hidden="1">
      <c r="B2428" s="1543" t="s">
        <v>686</v>
      </c>
      <c r="C2428" s="1332" t="s">
        <v>687</v>
      </c>
      <c r="D2428" s="1331"/>
      <c r="E2428" s="1331"/>
      <c r="F2428" s="1334"/>
      <c r="G2428" s="1104"/>
      <c r="H2428" s="1106"/>
      <c r="J2428" s="1557"/>
      <c r="K2428" s="1557"/>
      <c r="L2428" s="1557"/>
      <c r="M2428" s="1566"/>
    </row>
    <row r="2429" spans="2:13" s="947" customFormat="1" hidden="1">
      <c r="B2429" s="1543"/>
      <c r="C2429" s="1332" t="s">
        <v>742</v>
      </c>
      <c r="D2429" s="1331"/>
      <c r="E2429" s="1331" t="s">
        <v>1423</v>
      </c>
      <c r="F2429" s="1334">
        <v>140</v>
      </c>
      <c r="G2429" s="1104">
        <f>DUB!$I$49</f>
        <v>590</v>
      </c>
      <c r="H2429" s="1106">
        <f>G2429*F2429</f>
        <v>82600</v>
      </c>
      <c r="J2429" s="1557"/>
      <c r="K2429" s="1557"/>
      <c r="L2429" s="1557"/>
      <c r="M2429" s="1566"/>
    </row>
    <row r="2430" spans="2:13" s="947" customFormat="1" hidden="1">
      <c r="B2430" s="1543"/>
      <c r="C2430" s="1332" t="s">
        <v>818</v>
      </c>
      <c r="D2430" s="1331"/>
      <c r="E2430" s="1331" t="s">
        <v>690</v>
      </c>
      <c r="F2430" s="1334">
        <v>18.5</v>
      </c>
      <c r="G2430" s="1104">
        <f>DUB!$I$65</f>
        <v>1575</v>
      </c>
      <c r="H2430" s="1106">
        <f>G2430*F2430</f>
        <v>29137.5</v>
      </c>
      <c r="J2430" s="1557"/>
      <c r="K2430" s="1557"/>
      <c r="L2430" s="1557"/>
      <c r="M2430" s="1566"/>
    </row>
    <row r="2431" spans="2:13" s="947" customFormat="1" hidden="1">
      <c r="B2431" s="1543"/>
      <c r="C2431" s="1332" t="s">
        <v>808</v>
      </c>
      <c r="D2431" s="1331"/>
      <c r="E2431" s="1331" t="s">
        <v>2646</v>
      </c>
      <c r="F2431" s="1334">
        <v>0.122</v>
      </c>
      <c r="G2431" s="1104">
        <f>DUB!$I$59</f>
        <v>208463</v>
      </c>
      <c r="H2431" s="1106">
        <f>G2431*F2431</f>
        <v>25432.486000000001</v>
      </c>
      <c r="J2431" s="1557"/>
      <c r="K2431" s="1557"/>
      <c r="L2431" s="1557"/>
      <c r="M2431" s="1566"/>
    </row>
    <row r="2432" spans="2:13" s="947" customFormat="1" hidden="1">
      <c r="B2432" s="1543"/>
      <c r="C2432" s="1332"/>
      <c r="D2432" s="1331"/>
      <c r="E2432" s="1331"/>
      <c r="F2432" s="2074" t="s">
        <v>702</v>
      </c>
      <c r="G2432" s="2074"/>
      <c r="H2432" s="1106">
        <f>SUM(H2429:H2431)</f>
        <v>137169.986</v>
      </c>
      <c r="J2432" s="1557"/>
      <c r="K2432" s="1557"/>
      <c r="L2432" s="1557"/>
      <c r="M2432" s="1566"/>
    </row>
    <row r="2433" spans="2:13" s="947" customFormat="1" hidden="1">
      <c r="B2433" s="1543"/>
      <c r="C2433" s="1332"/>
      <c r="D2433" s="1331"/>
      <c r="E2433" s="1331"/>
      <c r="F2433" s="1334"/>
      <c r="G2433" s="1104"/>
      <c r="H2433" s="1106"/>
      <c r="J2433" s="1557"/>
      <c r="K2433" s="1557"/>
      <c r="L2433" s="1557"/>
      <c r="M2433" s="1566"/>
    </row>
    <row r="2434" spans="2:13" s="949" customFormat="1" hidden="1">
      <c r="B2434" s="1543" t="s">
        <v>703</v>
      </c>
      <c r="C2434" s="2089" t="s">
        <v>3764</v>
      </c>
      <c r="D2434" s="2089"/>
      <c r="E2434" s="2089"/>
      <c r="F2434" s="2089"/>
      <c r="G2434" s="2089"/>
      <c r="H2434" s="1107">
        <f>H2427+H2432</f>
        <v>276119.98600000003</v>
      </c>
      <c r="J2434" s="1559"/>
      <c r="K2434" s="1559"/>
      <c r="L2434" s="1559"/>
      <c r="M2434" s="1635"/>
    </row>
    <row r="2435" spans="2:13" s="949" customFormat="1" hidden="1">
      <c r="B2435" s="1543" t="s">
        <v>706</v>
      </c>
      <c r="C2435" s="2076" t="s">
        <v>876</v>
      </c>
      <c r="D2435" s="2076"/>
      <c r="E2435" s="2076"/>
      <c r="F2435" s="2077" t="s">
        <v>3873</v>
      </c>
      <c r="G2435" s="2077"/>
      <c r="H2435" s="1107">
        <f>H2434*0.15</f>
        <v>41417.997900000002</v>
      </c>
      <c r="J2435" s="1559"/>
      <c r="K2435" s="1559"/>
      <c r="L2435" s="1559"/>
      <c r="M2435" s="1635"/>
    </row>
    <row r="2436" spans="2:13" s="949" customFormat="1" hidden="1">
      <c r="B2436" s="1543" t="s">
        <v>708</v>
      </c>
      <c r="C2436" s="2078" t="s">
        <v>3765</v>
      </c>
      <c r="D2436" s="2078"/>
      <c r="E2436" s="2078"/>
      <c r="F2436" s="2078"/>
      <c r="G2436" s="2078"/>
      <c r="H2436" s="1107">
        <f>ROUND(SUM(H2434:H2435),2)</f>
        <v>317537.98</v>
      </c>
      <c r="I2436" s="950">
        <f>SUM(H2434:H2435)</f>
        <v>317537.98390000005</v>
      </c>
      <c r="J2436" s="1561"/>
      <c r="K2436" s="1561"/>
      <c r="L2436" s="1559"/>
      <c r="M2436" s="1635"/>
    </row>
    <row r="2437" spans="2:13" s="947" customFormat="1" hidden="1">
      <c r="B2437" s="1143"/>
      <c r="C2437" s="1144"/>
      <c r="D2437" s="1143"/>
      <c r="E2437" s="1143"/>
      <c r="F2437" s="1145"/>
      <c r="G2437" s="1146"/>
      <c r="H2437" s="1147"/>
      <c r="J2437" s="1557"/>
      <c r="K2437" s="1557"/>
      <c r="L2437" s="1557"/>
      <c r="M2437" s="1566"/>
    </row>
    <row r="2438" spans="2:13" s="947" customFormat="1" hidden="1">
      <c r="B2438" s="1150" t="s">
        <v>3992</v>
      </c>
      <c r="C2438" s="1232" t="s">
        <v>2884</v>
      </c>
      <c r="D2438" s="1095"/>
      <c r="E2438" s="1095"/>
      <c r="F2438" s="1172"/>
      <c r="G2438" s="1173"/>
      <c r="H2438" s="1133"/>
      <c r="J2438" s="1557"/>
      <c r="K2438" s="1557"/>
      <c r="L2438" s="1557"/>
      <c r="M2438" s="1566"/>
    </row>
    <row r="2439" spans="2:13" s="948" customFormat="1" ht="24.9" hidden="1" customHeight="1">
      <c r="B2439" s="1786" t="s">
        <v>1003</v>
      </c>
      <c r="C2439" s="1208" t="s">
        <v>1004</v>
      </c>
      <c r="D2439" s="1208" t="s">
        <v>1005</v>
      </c>
      <c r="E2439" s="1208" t="s">
        <v>1006</v>
      </c>
      <c r="F2439" s="1209" t="s">
        <v>1007</v>
      </c>
      <c r="G2439" s="1109" t="s">
        <v>2639</v>
      </c>
      <c r="H2439" s="1110" t="s">
        <v>2638</v>
      </c>
      <c r="J2439" s="1625"/>
      <c r="K2439" s="1625"/>
      <c r="L2439" s="1625"/>
      <c r="M2439" s="1570"/>
    </row>
    <row r="2440" spans="2:13" s="947" customFormat="1" hidden="1">
      <c r="B2440" s="1543" t="s">
        <v>671</v>
      </c>
      <c r="C2440" s="1332" t="s">
        <v>672</v>
      </c>
      <c r="D2440" s="1331"/>
      <c r="E2440" s="1331"/>
      <c r="F2440" s="1334"/>
      <c r="G2440" s="1104"/>
      <c r="H2440" s="1106"/>
      <c r="J2440" s="1557"/>
      <c r="K2440" s="1557"/>
      <c r="L2440" s="1557"/>
      <c r="M2440" s="1566"/>
    </row>
    <row r="2441" spans="2:13" s="947" customFormat="1" hidden="1">
      <c r="B2441" s="1543"/>
      <c r="C2441" s="1332" t="s">
        <v>673</v>
      </c>
      <c r="D2441" s="1331" t="s">
        <v>674</v>
      </c>
      <c r="E2441" s="1331" t="s">
        <v>675</v>
      </c>
      <c r="F2441" s="1334">
        <v>0.3</v>
      </c>
      <c r="G2441" s="1104">
        <f>DUB!$I$10</f>
        <v>150000</v>
      </c>
      <c r="H2441" s="1106">
        <f>G2441*F2441</f>
        <v>45000</v>
      </c>
      <c r="J2441" s="1557"/>
      <c r="K2441" s="1557"/>
      <c r="L2441" s="1557"/>
      <c r="M2441" s="1566"/>
    </row>
    <row r="2442" spans="2:13" s="947" customFormat="1" hidden="1">
      <c r="B2442" s="1543"/>
      <c r="C2442" s="1332" t="s">
        <v>816</v>
      </c>
      <c r="D2442" s="1331" t="s">
        <v>678</v>
      </c>
      <c r="E2442" s="1331" t="s">
        <v>675</v>
      </c>
      <c r="F2442" s="1334">
        <v>0.1</v>
      </c>
      <c r="G2442" s="1104">
        <f>DUB!$I$11</f>
        <v>187000</v>
      </c>
      <c r="H2442" s="1106">
        <f>G2442*F2442</f>
        <v>18700</v>
      </c>
      <c r="J2442" s="1557"/>
      <c r="K2442" s="1557"/>
      <c r="L2442" s="1557"/>
      <c r="M2442" s="1566"/>
    </row>
    <row r="2443" spans="2:13" s="947" customFormat="1" hidden="1">
      <c r="B2443" s="1543"/>
      <c r="C2443" s="1332" t="s">
        <v>680</v>
      </c>
      <c r="D2443" s="1331" t="s">
        <v>681</v>
      </c>
      <c r="E2443" s="1331" t="s">
        <v>675</v>
      </c>
      <c r="F2443" s="1334">
        <v>0.01</v>
      </c>
      <c r="G2443" s="1104">
        <f>DUB!$I$13</f>
        <v>240000</v>
      </c>
      <c r="H2443" s="1106">
        <f>G2443*F2443</f>
        <v>2400</v>
      </c>
      <c r="J2443" s="1557"/>
      <c r="K2443" s="1557"/>
      <c r="L2443" s="1557"/>
      <c r="M2443" s="1566"/>
    </row>
    <row r="2444" spans="2:13" s="947" customFormat="1" hidden="1">
      <c r="B2444" s="1543"/>
      <c r="C2444" s="1332" t="s">
        <v>683</v>
      </c>
      <c r="D2444" s="1331" t="s">
        <v>684</v>
      </c>
      <c r="E2444" s="1331" t="s">
        <v>675</v>
      </c>
      <c r="F2444" s="1334">
        <v>1.4999999999999999E-2</v>
      </c>
      <c r="G2444" s="1104">
        <f>DUB!$I$12</f>
        <v>225000</v>
      </c>
      <c r="H2444" s="1106">
        <f>G2444*F2444</f>
        <v>3375</v>
      </c>
      <c r="J2444" s="1557"/>
      <c r="K2444" s="1557"/>
      <c r="L2444" s="1557"/>
      <c r="M2444" s="1566"/>
    </row>
    <row r="2445" spans="2:13" s="947" customFormat="1" hidden="1">
      <c r="B2445" s="1543"/>
      <c r="C2445" s="1332"/>
      <c r="D2445" s="1331"/>
      <c r="E2445" s="1331"/>
      <c r="F2445" s="2074" t="s">
        <v>685</v>
      </c>
      <c r="G2445" s="2074"/>
      <c r="H2445" s="1106">
        <f>SUM(H2441:H2444)</f>
        <v>69475</v>
      </c>
      <c r="J2445" s="1557"/>
      <c r="K2445" s="1557"/>
      <c r="L2445" s="1557"/>
      <c r="M2445" s="1566"/>
    </row>
    <row r="2446" spans="2:13" s="947" customFormat="1" hidden="1">
      <c r="B2446" s="1543" t="s">
        <v>686</v>
      </c>
      <c r="C2446" s="1332" t="s">
        <v>687</v>
      </c>
      <c r="D2446" s="1331"/>
      <c r="E2446" s="1331"/>
      <c r="F2446" s="1334"/>
      <c r="G2446" s="1104"/>
      <c r="H2446" s="1106"/>
      <c r="J2446" s="1557"/>
      <c r="K2446" s="1557"/>
      <c r="L2446" s="1557"/>
      <c r="M2446" s="1566"/>
    </row>
    <row r="2447" spans="2:13" s="947" customFormat="1" hidden="1">
      <c r="B2447" s="1543"/>
      <c r="C2447" s="1332" t="s">
        <v>742</v>
      </c>
      <c r="D2447" s="1331"/>
      <c r="E2447" s="1331" t="s">
        <v>1423</v>
      </c>
      <c r="F2447" s="1334">
        <v>70</v>
      </c>
      <c r="G2447" s="1104">
        <f>DUB!$I$49</f>
        <v>590</v>
      </c>
      <c r="H2447" s="1106">
        <f>G2447*F2447</f>
        <v>41300</v>
      </c>
      <c r="J2447" s="1557"/>
      <c r="K2447" s="1557"/>
      <c r="L2447" s="1557"/>
      <c r="M2447" s="1566"/>
    </row>
    <row r="2448" spans="2:13" s="947" customFormat="1" hidden="1">
      <c r="B2448" s="1543"/>
      <c r="C2448" s="1332" t="s">
        <v>818</v>
      </c>
      <c r="D2448" s="1331"/>
      <c r="E2448" s="1331" t="s">
        <v>690</v>
      </c>
      <c r="F2448" s="1334">
        <v>18.95</v>
      </c>
      <c r="G2448" s="1104">
        <f>DUB!$I$65</f>
        <v>1575</v>
      </c>
      <c r="H2448" s="1106">
        <f>G2448*F2448</f>
        <v>29846.25</v>
      </c>
      <c r="J2448" s="1557"/>
      <c r="K2448" s="1557"/>
      <c r="L2448" s="1557"/>
      <c r="M2448" s="1566"/>
    </row>
    <row r="2449" spans="2:13" s="947" customFormat="1" hidden="1">
      <c r="B2449" s="1543"/>
      <c r="C2449" s="1332" t="s">
        <v>808</v>
      </c>
      <c r="D2449" s="1331"/>
      <c r="E2449" s="1331" t="s">
        <v>2646</v>
      </c>
      <c r="F2449" s="1334">
        <v>3.7999999999999999E-2</v>
      </c>
      <c r="G2449" s="1104">
        <f>DUB!$I$59</f>
        <v>208463</v>
      </c>
      <c r="H2449" s="1106">
        <f>G2449*F2449</f>
        <v>7921.5940000000001</v>
      </c>
      <c r="J2449" s="1557"/>
      <c r="K2449" s="1557"/>
      <c r="L2449" s="1557"/>
      <c r="M2449" s="1566"/>
    </row>
    <row r="2450" spans="2:13" s="947" customFormat="1" hidden="1">
      <c r="B2450" s="1543"/>
      <c r="C2450" s="1125"/>
      <c r="D2450" s="1333"/>
      <c r="E2450" s="1333"/>
      <c r="F2450" s="2074" t="s">
        <v>702</v>
      </c>
      <c r="G2450" s="2074"/>
      <c r="H2450" s="1106">
        <f>SUM(H2447:H2449)</f>
        <v>79067.843999999997</v>
      </c>
      <c r="J2450" s="1557"/>
      <c r="K2450" s="1557"/>
      <c r="L2450" s="1557"/>
      <c r="M2450" s="1566"/>
    </row>
    <row r="2451" spans="2:13" s="949" customFormat="1" hidden="1">
      <c r="B2451" s="1543" t="s">
        <v>703</v>
      </c>
      <c r="C2451" s="2075" t="s">
        <v>3764</v>
      </c>
      <c r="D2451" s="2075"/>
      <c r="E2451" s="2075"/>
      <c r="F2451" s="2075"/>
      <c r="G2451" s="2075"/>
      <c r="H2451" s="1107">
        <f>H2445+H2450</f>
        <v>148542.84399999998</v>
      </c>
      <c r="J2451" s="1559"/>
      <c r="K2451" s="1559"/>
      <c r="L2451" s="1559"/>
      <c r="M2451" s="1635"/>
    </row>
    <row r="2452" spans="2:13" s="949" customFormat="1" hidden="1">
      <c r="B2452" s="1543" t="s">
        <v>706</v>
      </c>
      <c r="C2452" s="2076" t="s">
        <v>876</v>
      </c>
      <c r="D2452" s="2076"/>
      <c r="E2452" s="2076"/>
      <c r="F2452" s="2077" t="s">
        <v>3873</v>
      </c>
      <c r="G2452" s="2077"/>
      <c r="H2452" s="1107">
        <f>H2451*0.15</f>
        <v>22281.426599999995</v>
      </c>
      <c r="J2452" s="1559"/>
      <c r="K2452" s="1559"/>
      <c r="L2452" s="1559"/>
      <c r="M2452" s="1635"/>
    </row>
    <row r="2453" spans="2:13" s="949" customFormat="1" hidden="1">
      <c r="B2453" s="1543" t="s">
        <v>708</v>
      </c>
      <c r="C2453" s="2078" t="s">
        <v>3765</v>
      </c>
      <c r="D2453" s="2078"/>
      <c r="E2453" s="2078"/>
      <c r="F2453" s="2078"/>
      <c r="G2453" s="2078"/>
      <c r="H2453" s="1107">
        <f>ROUND(SUM(H2451:H2452),2)</f>
        <v>170824.27</v>
      </c>
      <c r="I2453" s="950">
        <f>SUM(H2451:H2452)</f>
        <v>170824.27059999999</v>
      </c>
      <c r="J2453" s="1561"/>
      <c r="K2453" s="1561"/>
      <c r="L2453" s="1559"/>
      <c r="M2453" s="1635"/>
    </row>
    <row r="2454" spans="2:13" s="947" customFormat="1" hidden="1">
      <c r="B2454" s="1143"/>
      <c r="C2454" s="1144"/>
      <c r="D2454" s="1143"/>
      <c r="E2454" s="1143"/>
      <c r="F2454" s="1145"/>
      <c r="G2454" s="1146"/>
      <c r="H2454" s="1147"/>
      <c r="J2454" s="1557"/>
      <c r="K2454" s="1557"/>
      <c r="L2454" s="1557"/>
      <c r="M2454" s="1566"/>
    </row>
    <row r="2455" spans="2:13" s="947" customFormat="1" hidden="1">
      <c r="B2455" s="1150" t="s">
        <v>3993</v>
      </c>
      <c r="C2455" s="1112" t="s">
        <v>2885</v>
      </c>
      <c r="D2455" s="1129"/>
      <c r="E2455" s="1129"/>
      <c r="F2455" s="1131"/>
      <c r="G2455" s="1132"/>
      <c r="H2455" s="1115"/>
      <c r="J2455" s="1557"/>
      <c r="K2455" s="1557"/>
      <c r="L2455" s="1557"/>
      <c r="M2455" s="1566"/>
    </row>
    <row r="2456" spans="2:13" s="948" customFormat="1" ht="24.9" hidden="1" customHeight="1">
      <c r="B2456" s="1786" t="s">
        <v>1003</v>
      </c>
      <c r="C2456" s="1208" t="s">
        <v>1004</v>
      </c>
      <c r="D2456" s="1208" t="s">
        <v>1005</v>
      </c>
      <c r="E2456" s="1208" t="s">
        <v>1006</v>
      </c>
      <c r="F2456" s="1209" t="s">
        <v>1007</v>
      </c>
      <c r="G2456" s="1109" t="s">
        <v>2639</v>
      </c>
      <c r="H2456" s="1110" t="s">
        <v>2638</v>
      </c>
      <c r="J2456" s="1625"/>
      <c r="K2456" s="1625"/>
      <c r="L2456" s="1625"/>
      <c r="M2456" s="1570"/>
    </row>
    <row r="2457" spans="2:13" s="947" customFormat="1" hidden="1">
      <c r="B2457" s="1543" t="s">
        <v>671</v>
      </c>
      <c r="C2457" s="1332" t="s">
        <v>672</v>
      </c>
      <c r="D2457" s="1331"/>
      <c r="E2457" s="1331"/>
      <c r="F2457" s="1334"/>
      <c r="G2457" s="1104"/>
      <c r="H2457" s="1106"/>
      <c r="J2457" s="1557"/>
      <c r="K2457" s="1557"/>
      <c r="L2457" s="1557"/>
      <c r="M2457" s="1566"/>
    </row>
    <row r="2458" spans="2:13" s="947" customFormat="1" hidden="1">
      <c r="B2458" s="1543"/>
      <c r="C2458" s="1332" t="s">
        <v>673</v>
      </c>
      <c r="D2458" s="1331" t="s">
        <v>674</v>
      </c>
      <c r="E2458" s="1331" t="s">
        <v>675</v>
      </c>
      <c r="F2458" s="1334">
        <v>0.3</v>
      </c>
      <c r="G2458" s="1104">
        <f>DUB!$I$10</f>
        <v>150000</v>
      </c>
      <c r="H2458" s="1106">
        <f>G2458*F2458</f>
        <v>45000</v>
      </c>
      <c r="J2458" s="1557"/>
      <c r="K2458" s="1557"/>
      <c r="L2458" s="1557"/>
      <c r="M2458" s="1566"/>
    </row>
    <row r="2459" spans="2:13" s="947" customFormat="1" hidden="1">
      <c r="B2459" s="1543"/>
      <c r="C2459" s="1332" t="s">
        <v>816</v>
      </c>
      <c r="D2459" s="1331" t="s">
        <v>678</v>
      </c>
      <c r="E2459" s="1331" t="s">
        <v>675</v>
      </c>
      <c r="F2459" s="1334">
        <v>0.1</v>
      </c>
      <c r="G2459" s="1104">
        <f>DUB!$I$11</f>
        <v>187000</v>
      </c>
      <c r="H2459" s="1106">
        <f>G2459*F2459</f>
        <v>18700</v>
      </c>
      <c r="J2459" s="1557"/>
      <c r="K2459" s="1557"/>
      <c r="L2459" s="1557"/>
      <c r="M2459" s="1566"/>
    </row>
    <row r="2460" spans="2:13" s="947" customFormat="1" hidden="1">
      <c r="B2460" s="1543"/>
      <c r="C2460" s="1332" t="s">
        <v>680</v>
      </c>
      <c r="D2460" s="1331" t="s">
        <v>681</v>
      </c>
      <c r="E2460" s="1331" t="s">
        <v>675</v>
      </c>
      <c r="F2460" s="1334">
        <v>0.01</v>
      </c>
      <c r="G2460" s="1104">
        <f>DUB!$I$13</f>
        <v>240000</v>
      </c>
      <c r="H2460" s="1106">
        <f>G2460*F2460</f>
        <v>2400</v>
      </c>
      <c r="J2460" s="1557"/>
      <c r="K2460" s="1557"/>
      <c r="L2460" s="1557"/>
      <c r="M2460" s="1566"/>
    </row>
    <row r="2461" spans="2:13" s="947" customFormat="1" hidden="1">
      <c r="B2461" s="1543"/>
      <c r="C2461" s="1332" t="s">
        <v>683</v>
      </c>
      <c r="D2461" s="1331" t="s">
        <v>684</v>
      </c>
      <c r="E2461" s="1331" t="s">
        <v>675</v>
      </c>
      <c r="F2461" s="1334">
        <v>1.4999999999999999E-2</v>
      </c>
      <c r="G2461" s="1104">
        <f>DUB!$I$12</f>
        <v>225000</v>
      </c>
      <c r="H2461" s="1106">
        <f>G2461*F2461</f>
        <v>3375</v>
      </c>
      <c r="J2461" s="1557"/>
      <c r="K2461" s="1557"/>
      <c r="L2461" s="1557"/>
      <c r="M2461" s="1566"/>
    </row>
    <row r="2462" spans="2:13" s="947" customFormat="1" hidden="1">
      <c r="B2462" s="1543"/>
      <c r="C2462" s="1332"/>
      <c r="D2462" s="1331"/>
      <c r="E2462" s="1331"/>
      <c r="F2462" s="2074" t="s">
        <v>685</v>
      </c>
      <c r="G2462" s="2074"/>
      <c r="H2462" s="1106">
        <f>SUM(H2458:H2461)</f>
        <v>69475</v>
      </c>
      <c r="J2462" s="1557"/>
      <c r="K2462" s="1557"/>
      <c r="L2462" s="1557"/>
      <c r="M2462" s="1566"/>
    </row>
    <row r="2463" spans="2:13" s="947" customFormat="1" hidden="1">
      <c r="B2463" s="1543" t="s">
        <v>686</v>
      </c>
      <c r="C2463" s="1332" t="s">
        <v>687</v>
      </c>
      <c r="D2463" s="1331"/>
      <c r="E2463" s="1331"/>
      <c r="F2463" s="1334"/>
      <c r="G2463" s="1104"/>
      <c r="H2463" s="1106"/>
      <c r="J2463" s="1557"/>
      <c r="K2463" s="1557"/>
      <c r="L2463" s="1557"/>
      <c r="M2463" s="1566"/>
    </row>
    <row r="2464" spans="2:13" s="947" customFormat="1" hidden="1">
      <c r="B2464" s="1543"/>
      <c r="C2464" s="1332" t="s">
        <v>742</v>
      </c>
      <c r="D2464" s="1331"/>
      <c r="E2464" s="1331" t="s">
        <v>1423</v>
      </c>
      <c r="F2464" s="1334">
        <v>70</v>
      </c>
      <c r="G2464" s="1104">
        <f>DUB!$I$49</f>
        <v>590</v>
      </c>
      <c r="H2464" s="1106">
        <f>G2464*F2464</f>
        <v>41300</v>
      </c>
      <c r="J2464" s="1557"/>
      <c r="K2464" s="1557"/>
      <c r="L2464" s="1557"/>
      <c r="M2464" s="1566"/>
    </row>
    <row r="2465" spans="2:13" s="947" customFormat="1" hidden="1">
      <c r="B2465" s="1543"/>
      <c r="C2465" s="1332" t="s">
        <v>818</v>
      </c>
      <c r="D2465" s="1331"/>
      <c r="E2465" s="1331" t="s">
        <v>690</v>
      </c>
      <c r="F2465" s="1334">
        <v>14.37</v>
      </c>
      <c r="G2465" s="1104">
        <f>DUB!$I$65</f>
        <v>1575</v>
      </c>
      <c r="H2465" s="1106">
        <f>G2465*F2465</f>
        <v>22632.75</v>
      </c>
      <c r="J2465" s="1557"/>
      <c r="K2465" s="1557"/>
      <c r="L2465" s="1557"/>
      <c r="M2465" s="1566"/>
    </row>
    <row r="2466" spans="2:13" s="947" customFormat="1" hidden="1">
      <c r="B2466" s="1543"/>
      <c r="C2466" s="1332" t="s">
        <v>808</v>
      </c>
      <c r="D2466" s="1331"/>
      <c r="E2466" s="1331" t="s">
        <v>2646</v>
      </c>
      <c r="F2466" s="1334">
        <v>0.04</v>
      </c>
      <c r="G2466" s="1104">
        <f>DUB!$I$59</f>
        <v>208463</v>
      </c>
      <c r="H2466" s="1106">
        <f>G2466*F2466</f>
        <v>8338.52</v>
      </c>
      <c r="J2466" s="1557"/>
      <c r="K2466" s="1557"/>
      <c r="L2466" s="1557"/>
      <c r="M2466" s="1566"/>
    </row>
    <row r="2467" spans="2:13" s="947" customFormat="1" hidden="1">
      <c r="B2467" s="1543"/>
      <c r="C2467" s="1125"/>
      <c r="D2467" s="1333"/>
      <c r="E2467" s="1333"/>
      <c r="F2467" s="2074" t="s">
        <v>702</v>
      </c>
      <c r="G2467" s="2074"/>
      <c r="H2467" s="1106">
        <f>SUM(H2464:H2466)</f>
        <v>72271.27</v>
      </c>
      <c r="J2467" s="1557"/>
      <c r="K2467" s="1557"/>
      <c r="L2467" s="1557"/>
      <c r="M2467" s="1566"/>
    </row>
    <row r="2468" spans="2:13" s="949" customFormat="1" hidden="1">
      <c r="B2468" s="1543" t="s">
        <v>703</v>
      </c>
      <c r="C2468" s="2075" t="s">
        <v>3764</v>
      </c>
      <c r="D2468" s="2075"/>
      <c r="E2468" s="2075"/>
      <c r="F2468" s="2075"/>
      <c r="G2468" s="2075"/>
      <c r="H2468" s="1107">
        <f>H2462+H2467</f>
        <v>141746.27000000002</v>
      </c>
      <c r="J2468" s="1559"/>
      <c r="K2468" s="1559"/>
      <c r="L2468" s="1559"/>
      <c r="M2468" s="1635"/>
    </row>
    <row r="2469" spans="2:13" s="949" customFormat="1" hidden="1">
      <c r="B2469" s="1543" t="s">
        <v>706</v>
      </c>
      <c r="C2469" s="2076" t="s">
        <v>876</v>
      </c>
      <c r="D2469" s="2076"/>
      <c r="E2469" s="2076"/>
      <c r="F2469" s="2077" t="s">
        <v>3873</v>
      </c>
      <c r="G2469" s="2077"/>
      <c r="H2469" s="1107">
        <f>H2468*0.15</f>
        <v>21261.940500000001</v>
      </c>
      <c r="J2469" s="1559"/>
      <c r="K2469" s="1559"/>
      <c r="L2469" s="1559"/>
      <c r="M2469" s="1635"/>
    </row>
    <row r="2470" spans="2:13" s="949" customFormat="1" hidden="1">
      <c r="B2470" s="1543" t="s">
        <v>708</v>
      </c>
      <c r="C2470" s="2078" t="s">
        <v>3765</v>
      </c>
      <c r="D2470" s="2078"/>
      <c r="E2470" s="2078"/>
      <c r="F2470" s="2078"/>
      <c r="G2470" s="2078"/>
      <c r="H2470" s="1107">
        <f>ROUND(SUM(H2468:H2469),2)</f>
        <v>163008.21</v>
      </c>
      <c r="I2470" s="950">
        <f>SUM(H2468:H2469)</f>
        <v>163008.21050000002</v>
      </c>
      <c r="J2470" s="1561"/>
      <c r="K2470" s="1561"/>
      <c r="L2470" s="1559"/>
      <c r="M2470" s="1635"/>
    </row>
    <row r="2471" spans="2:13" s="947" customFormat="1">
      <c r="B2471" s="1100" t="s">
        <v>3994</v>
      </c>
      <c r="C2471" s="1232" t="s">
        <v>4526</v>
      </c>
      <c r="D2471" s="1095"/>
      <c r="E2471" s="1095"/>
      <c r="F2471" s="1172"/>
      <c r="G2471" s="1173"/>
      <c r="H2471" s="1133"/>
      <c r="J2471" s="1557"/>
      <c r="K2471" s="1557"/>
      <c r="L2471" s="1557"/>
      <c r="M2471" s="1566"/>
    </row>
    <row r="2472" spans="2:13" s="507" customFormat="1" ht="24.9" customHeight="1">
      <c r="B2472" s="1208" t="s">
        <v>1003</v>
      </c>
      <c r="C2472" s="1208" t="s">
        <v>1004</v>
      </c>
      <c r="D2472" s="1208" t="s">
        <v>1005</v>
      </c>
      <c r="E2472" s="1208" t="s">
        <v>1006</v>
      </c>
      <c r="F2472" s="1209" t="s">
        <v>1007</v>
      </c>
      <c r="G2472" s="1109" t="s">
        <v>2639</v>
      </c>
      <c r="H2472" s="1110" t="s">
        <v>2638</v>
      </c>
      <c r="I2472" s="1834"/>
      <c r="J2472" s="1823" t="s">
        <v>5335</v>
      </c>
      <c r="K2472" s="1824" t="s">
        <v>5336</v>
      </c>
      <c r="L2472" s="1824" t="s">
        <v>5337</v>
      </c>
      <c r="M2472" s="1825" t="s">
        <v>5338</v>
      </c>
    </row>
    <row r="2473" spans="2:13">
      <c r="B2473" s="1330" t="s">
        <v>671</v>
      </c>
      <c r="C2473" s="1332" t="s">
        <v>672</v>
      </c>
      <c r="D2473" s="1331"/>
      <c r="E2473" s="1331"/>
      <c r="F2473" s="1334"/>
      <c r="G2473" s="1104"/>
      <c r="H2473" s="1106"/>
      <c r="J2473" s="1597"/>
      <c r="K2473" s="1597"/>
      <c r="L2473" s="1597"/>
      <c r="M2473" s="1826"/>
    </row>
    <row r="2474" spans="2:13">
      <c r="B2474" s="1330"/>
      <c r="C2474" s="1332" t="s">
        <v>673</v>
      </c>
      <c r="D2474" s="1331" t="s">
        <v>674</v>
      </c>
      <c r="E2474" s="1331" t="s">
        <v>675</v>
      </c>
      <c r="F2474" s="1334">
        <v>0.3</v>
      </c>
      <c r="G2474" s="1104">
        <f>DUB!$I$10</f>
        <v>150000</v>
      </c>
      <c r="H2474" s="1106">
        <f>G2474*F2474</f>
        <v>45000</v>
      </c>
      <c r="J2474" s="1609" t="s">
        <v>5339</v>
      </c>
      <c r="K2474" s="1611">
        <v>1</v>
      </c>
      <c r="L2474" s="1608" t="s">
        <v>5340</v>
      </c>
      <c r="M2474" s="1827">
        <f>H2474*K2474</f>
        <v>45000</v>
      </c>
    </row>
    <row r="2475" spans="2:13">
      <c r="B2475" s="1330"/>
      <c r="C2475" s="1332" t="s">
        <v>816</v>
      </c>
      <c r="D2475" s="1331" t="s">
        <v>678</v>
      </c>
      <c r="E2475" s="1331" t="s">
        <v>675</v>
      </c>
      <c r="F2475" s="1334">
        <v>0.1</v>
      </c>
      <c r="G2475" s="1104">
        <f>DUB!$I$11</f>
        <v>187000</v>
      </c>
      <c r="H2475" s="1106">
        <f>G2475*F2475</f>
        <v>18700</v>
      </c>
      <c r="J2475" s="1609" t="s">
        <v>5339</v>
      </c>
      <c r="K2475" s="1611">
        <v>1</v>
      </c>
      <c r="L2475" s="1608" t="s">
        <v>5340</v>
      </c>
      <c r="M2475" s="1827">
        <f t="shared" ref="M2475" si="67">H2475*K2475</f>
        <v>18700</v>
      </c>
    </row>
    <row r="2476" spans="2:13">
      <c r="B2476" s="1330"/>
      <c r="C2476" s="1332" t="s">
        <v>680</v>
      </c>
      <c r="D2476" s="1331" t="s">
        <v>681</v>
      </c>
      <c r="E2476" s="1331" t="s">
        <v>675</v>
      </c>
      <c r="F2476" s="1334">
        <v>0.01</v>
      </c>
      <c r="G2476" s="1104">
        <f>DUB!$I$13</f>
        <v>240000</v>
      </c>
      <c r="H2476" s="1106">
        <f>G2476*F2476</f>
        <v>2400</v>
      </c>
      <c r="J2476" s="1609" t="s">
        <v>5339</v>
      </c>
      <c r="K2476" s="1611">
        <v>1</v>
      </c>
      <c r="L2476" s="1608" t="s">
        <v>5340</v>
      </c>
      <c r="M2476" s="1827">
        <f>H2476*K2476</f>
        <v>2400</v>
      </c>
    </row>
    <row r="2477" spans="2:13">
      <c r="B2477" s="1330"/>
      <c r="C2477" s="1332" t="s">
        <v>683</v>
      </c>
      <c r="D2477" s="1331" t="s">
        <v>684</v>
      </c>
      <c r="E2477" s="1331" t="s">
        <v>675</v>
      </c>
      <c r="F2477" s="1334">
        <v>1.4999999999999999E-2</v>
      </c>
      <c r="G2477" s="1104">
        <f>DUB!$I$12</f>
        <v>225000</v>
      </c>
      <c r="H2477" s="1106">
        <f>G2477*F2477</f>
        <v>3375</v>
      </c>
      <c r="J2477" s="1609" t="s">
        <v>5339</v>
      </c>
      <c r="K2477" s="1611">
        <v>1</v>
      </c>
      <c r="L2477" s="1608" t="s">
        <v>5340</v>
      </c>
      <c r="M2477" s="1827">
        <f t="shared" ref="M2477" si="68">H2477*K2477</f>
        <v>3375</v>
      </c>
    </row>
    <row r="2478" spans="2:13">
      <c r="B2478" s="1330"/>
      <c r="C2478" s="1332"/>
      <c r="D2478" s="1331"/>
      <c r="E2478" s="1331"/>
      <c r="F2478" s="2074" t="s">
        <v>685</v>
      </c>
      <c r="G2478" s="2074"/>
      <c r="H2478" s="1106">
        <f>SUM(H2474:H2477)</f>
        <v>69475</v>
      </c>
      <c r="J2478" s="1597"/>
      <c r="K2478" s="1597"/>
      <c r="L2478" s="1597"/>
      <c r="M2478" s="1107">
        <f>SUM(M2474:M2477)</f>
        <v>69475</v>
      </c>
    </row>
    <row r="2479" spans="2:13">
      <c r="B2479" s="1330" t="s">
        <v>686</v>
      </c>
      <c r="C2479" s="1332" t="s">
        <v>687</v>
      </c>
      <c r="D2479" s="1331"/>
      <c r="E2479" s="1331"/>
      <c r="F2479" s="1334"/>
      <c r="G2479" s="1104"/>
      <c r="H2479" s="1106"/>
      <c r="J2479" s="1597"/>
      <c r="K2479" s="1597"/>
      <c r="L2479" s="1597"/>
      <c r="M2479" s="1826"/>
    </row>
    <row r="2480" spans="2:13">
      <c r="B2480" s="1330"/>
      <c r="C2480" s="1332" t="s">
        <v>742</v>
      </c>
      <c r="D2480" s="1331"/>
      <c r="E2480" s="1331" t="s">
        <v>1423</v>
      </c>
      <c r="F2480" s="1334">
        <v>70</v>
      </c>
      <c r="G2480" s="1104">
        <f>DUB!$I$49</f>
        <v>590</v>
      </c>
      <c r="H2480" s="1106">
        <f>G2480*F2480</f>
        <v>41300</v>
      </c>
      <c r="J2480" s="1634" t="s">
        <v>4925</v>
      </c>
      <c r="K2480" s="1611">
        <v>0.99980000000000002</v>
      </c>
      <c r="L2480" s="1607" t="s">
        <v>5343</v>
      </c>
      <c r="M2480" s="1827">
        <f>H2480*K2480</f>
        <v>41291.74</v>
      </c>
    </row>
    <row r="2481" spans="2:13">
      <c r="B2481" s="1330"/>
      <c r="C2481" s="1332" t="s">
        <v>818</v>
      </c>
      <c r="D2481" s="1331"/>
      <c r="E2481" s="1331" t="s">
        <v>690</v>
      </c>
      <c r="F2481" s="1334">
        <v>11.5</v>
      </c>
      <c r="G2481" s="1104">
        <f>DUB!$I$65</f>
        <v>1575</v>
      </c>
      <c r="H2481" s="1106">
        <f>G2481*F2481</f>
        <v>18112.5</v>
      </c>
      <c r="J2481" s="1642" t="s">
        <v>4925</v>
      </c>
      <c r="K2481" s="1611">
        <v>0.97009999999999996</v>
      </c>
      <c r="L2481" s="1607" t="s">
        <v>5343</v>
      </c>
      <c r="M2481" s="1827">
        <f t="shared" ref="M2481:M2482" si="69">H2481*K2481</f>
        <v>17570.936249999999</v>
      </c>
    </row>
    <row r="2482" spans="2:13">
      <c r="B2482" s="1330"/>
      <c r="C2482" s="1332" t="s">
        <v>808</v>
      </c>
      <c r="D2482" s="1331"/>
      <c r="E2482" s="1331" t="s">
        <v>2646</v>
      </c>
      <c r="F2482" s="1334">
        <v>4.2999999999999997E-2</v>
      </c>
      <c r="G2482" s="1104">
        <f>DUB!$I$59</f>
        <v>208463</v>
      </c>
      <c r="H2482" s="1106">
        <f>G2482*F2482</f>
        <v>8963.9089999999997</v>
      </c>
      <c r="J2482" s="1607" t="s">
        <v>5341</v>
      </c>
      <c r="K2482" s="1611">
        <v>1</v>
      </c>
      <c r="L2482" s="1607" t="s">
        <v>5341</v>
      </c>
      <c r="M2482" s="1827">
        <f t="shared" si="69"/>
        <v>8963.9089999999997</v>
      </c>
    </row>
    <row r="2483" spans="2:13">
      <c r="B2483" s="1330"/>
      <c r="C2483" s="1125"/>
      <c r="D2483" s="1333"/>
      <c r="E2483" s="1333"/>
      <c r="F2483" s="2074" t="s">
        <v>702</v>
      </c>
      <c r="G2483" s="2074"/>
      <c r="H2483" s="1106">
        <f>SUM(H2480:H2482)</f>
        <v>68376.409</v>
      </c>
      <c r="J2483" s="1597"/>
      <c r="K2483" s="1597"/>
      <c r="L2483" s="1597"/>
      <c r="M2483" s="1106">
        <f>SUM(M2480:M2482)</f>
        <v>67826.585250000004</v>
      </c>
    </row>
    <row r="2484" spans="2:13" s="496" customFormat="1">
      <c r="B2484" s="1330" t="s">
        <v>703</v>
      </c>
      <c r="C2484" s="2075" t="s">
        <v>3764</v>
      </c>
      <c r="D2484" s="2075"/>
      <c r="E2484" s="2075"/>
      <c r="F2484" s="2075"/>
      <c r="G2484" s="2075"/>
      <c r="H2484" s="1107">
        <f>H2478+H2483</f>
        <v>137851.40899999999</v>
      </c>
      <c r="J2484" s="1600"/>
      <c r="K2484" s="1633">
        <f>M2484/H2484</f>
        <v>0.9960114752980147</v>
      </c>
      <c r="L2484" s="1600"/>
      <c r="M2484" s="1107">
        <f>M2478+M2483</f>
        <v>137301.58525</v>
      </c>
    </row>
    <row r="2485" spans="2:13" s="496" customFormat="1">
      <c r="B2485" s="1330" t="s">
        <v>706</v>
      </c>
      <c r="C2485" s="2076" t="s">
        <v>876</v>
      </c>
      <c r="D2485" s="2076"/>
      <c r="E2485" s="2076"/>
      <c r="F2485" s="2077" t="s">
        <v>3873</v>
      </c>
      <c r="G2485" s="2077"/>
      <c r="H2485" s="1107">
        <f>H2484*0.15</f>
        <v>20677.711349999998</v>
      </c>
      <c r="J2485" s="1600"/>
      <c r="K2485" s="1600"/>
      <c r="L2485" s="1600"/>
      <c r="M2485" s="1107">
        <f>M2484*0.15</f>
        <v>20595.237787499998</v>
      </c>
    </row>
    <row r="2486" spans="2:13" s="980" customFormat="1">
      <c r="B2486" s="1330" t="s">
        <v>708</v>
      </c>
      <c r="C2486" s="2078" t="s">
        <v>3765</v>
      </c>
      <c r="D2486" s="2078"/>
      <c r="E2486" s="2078"/>
      <c r="F2486" s="2078"/>
      <c r="G2486" s="2078"/>
      <c r="H2486" s="1107">
        <f>ROUND(SUM(H2484:H2485),2)</f>
        <v>158529.12</v>
      </c>
      <c r="I2486" s="981">
        <f>SUM(H2484:H2485)</f>
        <v>158529.12034999998</v>
      </c>
      <c r="J2486" s="1602"/>
      <c r="K2486" s="1602"/>
      <c r="L2486" s="1600"/>
      <c r="M2486" s="1919">
        <f>ROUND(SUM(M2484:M2485),2)</f>
        <v>157896.82</v>
      </c>
    </row>
    <row r="2487" spans="2:13" s="979" customFormat="1">
      <c r="B2487" s="1539"/>
      <c r="C2487" s="1852"/>
      <c r="D2487" s="1254"/>
      <c r="E2487" s="1254"/>
      <c r="F2487" s="1151"/>
      <c r="G2487" s="1853"/>
      <c r="H2487" s="1854"/>
      <c r="I2487" s="1830"/>
      <c r="J2487" s="1855"/>
      <c r="K2487" s="1855"/>
      <c r="L2487" s="1855"/>
      <c r="M2487" s="1856"/>
    </row>
    <row r="2488" spans="2:13" s="979" customFormat="1" hidden="1">
      <c r="B2488" s="1615" t="s">
        <v>3995</v>
      </c>
      <c r="C2488" s="1112" t="s">
        <v>2887</v>
      </c>
      <c r="D2488" s="1129"/>
      <c r="E2488" s="1129"/>
      <c r="F2488" s="1131"/>
      <c r="G2488" s="1132"/>
      <c r="H2488" s="1115"/>
      <c r="J2488" s="1557"/>
      <c r="K2488" s="1557"/>
      <c r="L2488" s="1557"/>
      <c r="M2488" s="1619"/>
    </row>
    <row r="2489" spans="2:13" s="982" customFormat="1" ht="24.9" hidden="1" customHeight="1">
      <c r="B2489" s="1686" t="s">
        <v>1003</v>
      </c>
      <c r="C2489" s="1208" t="s">
        <v>1004</v>
      </c>
      <c r="D2489" s="1208" t="s">
        <v>1005</v>
      </c>
      <c r="E2489" s="1208" t="s">
        <v>1006</v>
      </c>
      <c r="F2489" s="1209" t="s">
        <v>1007</v>
      </c>
      <c r="G2489" s="1109" t="s">
        <v>2639</v>
      </c>
      <c r="H2489" s="1110" t="s">
        <v>2638</v>
      </c>
      <c r="J2489" s="1625"/>
      <c r="K2489" s="1625"/>
      <c r="L2489" s="1625"/>
      <c r="M2489" s="1626"/>
    </row>
    <row r="2490" spans="2:13" s="979" customFormat="1" hidden="1">
      <c r="B2490" s="1649" t="s">
        <v>671</v>
      </c>
      <c r="C2490" s="1332" t="s">
        <v>672</v>
      </c>
      <c r="D2490" s="1331"/>
      <c r="E2490" s="1331"/>
      <c r="F2490" s="1334"/>
      <c r="G2490" s="1104"/>
      <c r="H2490" s="1106"/>
      <c r="J2490" s="1557"/>
      <c r="K2490" s="1557"/>
      <c r="L2490" s="1557"/>
      <c r="M2490" s="1619"/>
    </row>
    <row r="2491" spans="2:13" s="979" customFormat="1" hidden="1">
      <c r="B2491" s="1649"/>
      <c r="C2491" s="1332" t="s">
        <v>673</v>
      </c>
      <c r="D2491" s="1331" t="s">
        <v>674</v>
      </c>
      <c r="E2491" s="1331" t="s">
        <v>675</v>
      </c>
      <c r="F2491" s="1334">
        <v>0.3</v>
      </c>
      <c r="G2491" s="1104">
        <f>DUB!$I$10</f>
        <v>150000</v>
      </c>
      <c r="H2491" s="1106">
        <f>G2491*F2491</f>
        <v>45000</v>
      </c>
      <c r="J2491" s="1557"/>
      <c r="K2491" s="1557"/>
      <c r="L2491" s="1557"/>
      <c r="M2491" s="1619"/>
    </row>
    <row r="2492" spans="2:13" s="979" customFormat="1" hidden="1">
      <c r="B2492" s="1649"/>
      <c r="C2492" s="1332" t="s">
        <v>816</v>
      </c>
      <c r="D2492" s="1331" t="s">
        <v>678</v>
      </c>
      <c r="E2492" s="1331" t="s">
        <v>675</v>
      </c>
      <c r="F2492" s="1334">
        <v>0.1</v>
      </c>
      <c r="G2492" s="1104">
        <f>DUB!$I$11</f>
        <v>187000</v>
      </c>
      <c r="H2492" s="1106">
        <f>G2492*F2492</f>
        <v>18700</v>
      </c>
      <c r="J2492" s="1557"/>
      <c r="K2492" s="1557"/>
      <c r="L2492" s="1557"/>
      <c r="M2492" s="1619"/>
    </row>
    <row r="2493" spans="2:13" s="979" customFormat="1" hidden="1">
      <c r="B2493" s="1649"/>
      <c r="C2493" s="1332" t="s">
        <v>680</v>
      </c>
      <c r="D2493" s="1331" t="s">
        <v>681</v>
      </c>
      <c r="E2493" s="1331" t="s">
        <v>675</v>
      </c>
      <c r="F2493" s="1334">
        <v>0.01</v>
      </c>
      <c r="G2493" s="1104">
        <f>DUB!$I$13</f>
        <v>240000</v>
      </c>
      <c r="H2493" s="1106">
        <f>G2493*F2493</f>
        <v>2400</v>
      </c>
      <c r="J2493" s="1557"/>
      <c r="K2493" s="1557"/>
      <c r="L2493" s="1557"/>
      <c r="M2493" s="1619"/>
    </row>
    <row r="2494" spans="2:13" s="979" customFormat="1" hidden="1">
      <c r="B2494" s="1649"/>
      <c r="C2494" s="1332" t="s">
        <v>683</v>
      </c>
      <c r="D2494" s="1331" t="s">
        <v>684</v>
      </c>
      <c r="E2494" s="1331" t="s">
        <v>675</v>
      </c>
      <c r="F2494" s="1334">
        <v>1.4999999999999999E-2</v>
      </c>
      <c r="G2494" s="1104">
        <f>DUB!$I$12</f>
        <v>225000</v>
      </c>
      <c r="H2494" s="1106">
        <f>G2494*F2494</f>
        <v>3375</v>
      </c>
      <c r="J2494" s="1557"/>
      <c r="K2494" s="1557"/>
      <c r="L2494" s="1557"/>
      <c r="M2494" s="1619"/>
    </row>
    <row r="2495" spans="2:13" s="979" customFormat="1" hidden="1">
      <c r="B2495" s="1649"/>
      <c r="C2495" s="1332"/>
      <c r="D2495" s="1331"/>
      <c r="E2495" s="1331"/>
      <c r="F2495" s="2074" t="s">
        <v>685</v>
      </c>
      <c r="G2495" s="2074"/>
      <c r="H2495" s="1106">
        <f>SUM(H2491:H2494)</f>
        <v>69475</v>
      </c>
      <c r="J2495" s="1557"/>
      <c r="K2495" s="1557"/>
      <c r="L2495" s="1557"/>
      <c r="M2495" s="1619"/>
    </row>
    <row r="2496" spans="2:13" s="979" customFormat="1" hidden="1">
      <c r="B2496" s="1649" t="s">
        <v>686</v>
      </c>
      <c r="C2496" s="1332" t="s">
        <v>687</v>
      </c>
      <c r="D2496" s="1331"/>
      <c r="E2496" s="1331"/>
      <c r="F2496" s="1334"/>
      <c r="G2496" s="1104"/>
      <c r="H2496" s="1106"/>
      <c r="J2496" s="1557"/>
      <c r="K2496" s="1557"/>
      <c r="L2496" s="1557"/>
      <c r="M2496" s="1619"/>
    </row>
    <row r="2497" spans="2:13" s="979" customFormat="1" hidden="1">
      <c r="B2497" s="1649"/>
      <c r="C2497" s="1332" t="s">
        <v>742</v>
      </c>
      <c r="D2497" s="1331"/>
      <c r="E2497" s="1331" t="s">
        <v>1423</v>
      </c>
      <c r="F2497" s="1334">
        <v>70</v>
      </c>
      <c r="G2497" s="1104">
        <f>DUB!$I$49</f>
        <v>590</v>
      </c>
      <c r="H2497" s="1106">
        <f>G2497*F2497</f>
        <v>41300</v>
      </c>
      <c r="J2497" s="1557"/>
      <c r="K2497" s="1557"/>
      <c r="L2497" s="1557"/>
      <c r="M2497" s="1619"/>
    </row>
    <row r="2498" spans="2:13" s="979" customFormat="1" hidden="1">
      <c r="B2498" s="1649"/>
      <c r="C2498" s="1332" t="s">
        <v>818</v>
      </c>
      <c r="D2498" s="1331"/>
      <c r="E2498" s="1331" t="s">
        <v>690</v>
      </c>
      <c r="F2498" s="1334">
        <v>9.68</v>
      </c>
      <c r="G2498" s="1104">
        <f>DUB!$I$65</f>
        <v>1575</v>
      </c>
      <c r="H2498" s="1106">
        <f>G2498*F2498</f>
        <v>15246</v>
      </c>
      <c r="J2498" s="1557"/>
      <c r="K2498" s="1557"/>
      <c r="L2498" s="1557"/>
      <c r="M2498" s="1619"/>
    </row>
    <row r="2499" spans="2:13" s="979" customFormat="1" hidden="1">
      <c r="B2499" s="1649"/>
      <c r="C2499" s="1332" t="s">
        <v>808</v>
      </c>
      <c r="D2499" s="1331"/>
      <c r="E2499" s="1331" t="s">
        <v>2646</v>
      </c>
      <c r="F2499" s="1334">
        <v>4.4999999999999998E-2</v>
      </c>
      <c r="G2499" s="1104">
        <f>DUB!$I$59</f>
        <v>208463</v>
      </c>
      <c r="H2499" s="1106">
        <f>G2499*F2499</f>
        <v>9380.8349999999991</v>
      </c>
      <c r="J2499" s="1557"/>
      <c r="K2499" s="1557"/>
      <c r="L2499" s="1557"/>
      <c r="M2499" s="1619"/>
    </row>
    <row r="2500" spans="2:13" s="979" customFormat="1" hidden="1">
      <c r="B2500" s="1649"/>
      <c r="C2500" s="1125"/>
      <c r="D2500" s="1333"/>
      <c r="E2500" s="1333"/>
      <c r="F2500" s="2074" t="s">
        <v>702</v>
      </c>
      <c r="G2500" s="2074"/>
      <c r="H2500" s="1106">
        <f>SUM(H2497:H2499)</f>
        <v>65926.834999999992</v>
      </c>
      <c r="J2500" s="1557"/>
      <c r="K2500" s="1557"/>
      <c r="L2500" s="1557"/>
      <c r="M2500" s="1619"/>
    </row>
    <row r="2501" spans="2:13" s="980" customFormat="1" hidden="1">
      <c r="B2501" s="1649" t="s">
        <v>703</v>
      </c>
      <c r="C2501" s="2075" t="s">
        <v>3764</v>
      </c>
      <c r="D2501" s="2075"/>
      <c r="E2501" s="2075"/>
      <c r="F2501" s="2075"/>
      <c r="G2501" s="2075"/>
      <c r="H2501" s="1107">
        <f>H2495+H2500</f>
        <v>135401.83499999999</v>
      </c>
      <c r="J2501" s="1559"/>
      <c r="K2501" s="1559"/>
      <c r="L2501" s="1559"/>
      <c r="M2501" s="1614"/>
    </row>
    <row r="2502" spans="2:13" s="980" customFormat="1" hidden="1">
      <c r="B2502" s="1649" t="s">
        <v>706</v>
      </c>
      <c r="C2502" s="2076" t="s">
        <v>876</v>
      </c>
      <c r="D2502" s="2076"/>
      <c r="E2502" s="2076"/>
      <c r="F2502" s="2077" t="s">
        <v>3873</v>
      </c>
      <c r="G2502" s="2077"/>
      <c r="H2502" s="1107">
        <f>H2501*0.15</f>
        <v>20310.275249999999</v>
      </c>
      <c r="J2502" s="1559"/>
      <c r="K2502" s="1559"/>
      <c r="L2502" s="1559"/>
      <c r="M2502" s="1614"/>
    </row>
    <row r="2503" spans="2:13" s="980" customFormat="1" hidden="1">
      <c r="B2503" s="1649" t="s">
        <v>708</v>
      </c>
      <c r="C2503" s="2078" t="s">
        <v>3765</v>
      </c>
      <c r="D2503" s="2078"/>
      <c r="E2503" s="2078"/>
      <c r="F2503" s="2078"/>
      <c r="G2503" s="2078"/>
      <c r="H2503" s="1107">
        <f>ROUND(SUM(H2501:H2502),2)</f>
        <v>155712.10999999999</v>
      </c>
      <c r="I2503" s="981">
        <f>SUM(H2501:H2502)</f>
        <v>155712.11025</v>
      </c>
      <c r="J2503" s="1561"/>
      <c r="K2503" s="1561"/>
      <c r="L2503" s="1559"/>
      <c r="M2503" s="1614"/>
    </row>
    <row r="2504" spans="2:13" s="979" customFormat="1" hidden="1">
      <c r="B2504" s="1624"/>
      <c r="C2504" s="1096"/>
      <c r="D2504" s="1095"/>
      <c r="E2504" s="1095"/>
      <c r="F2504" s="1172"/>
      <c r="G2504" s="1173"/>
      <c r="H2504" s="1133"/>
      <c r="J2504" s="1557"/>
      <c r="K2504" s="1557"/>
      <c r="L2504" s="1557"/>
      <c r="M2504" s="1619"/>
    </row>
    <row r="2505" spans="2:13" s="979" customFormat="1" hidden="1">
      <c r="B2505" s="1615" t="s">
        <v>3996</v>
      </c>
      <c r="C2505" s="1232" t="s">
        <v>2888</v>
      </c>
      <c r="D2505" s="1095"/>
      <c r="E2505" s="1095"/>
      <c r="F2505" s="1172"/>
      <c r="G2505" s="1173"/>
      <c r="H2505" s="1133"/>
      <c r="J2505" s="1557"/>
      <c r="K2505" s="1557"/>
      <c r="L2505" s="1557"/>
      <c r="M2505" s="1619"/>
    </row>
    <row r="2506" spans="2:13" s="982" customFormat="1" ht="24.9" hidden="1" customHeight="1">
      <c r="B2506" s="1686" t="s">
        <v>1003</v>
      </c>
      <c r="C2506" s="1208" t="s">
        <v>1004</v>
      </c>
      <c r="D2506" s="1208" t="s">
        <v>1005</v>
      </c>
      <c r="E2506" s="1208" t="s">
        <v>1006</v>
      </c>
      <c r="F2506" s="1209" t="s">
        <v>1007</v>
      </c>
      <c r="G2506" s="1109" t="s">
        <v>2639</v>
      </c>
      <c r="H2506" s="1110" t="s">
        <v>2638</v>
      </c>
      <c r="J2506" s="1625"/>
      <c r="K2506" s="1625"/>
      <c r="L2506" s="1625"/>
      <c r="M2506" s="1626"/>
    </row>
    <row r="2507" spans="2:13" s="979" customFormat="1" hidden="1">
      <c r="B2507" s="1649" t="s">
        <v>671</v>
      </c>
      <c r="C2507" s="1332" t="s">
        <v>672</v>
      </c>
      <c r="D2507" s="1331"/>
      <c r="E2507" s="1331"/>
      <c r="F2507" s="1334"/>
      <c r="G2507" s="1104"/>
      <c r="H2507" s="1106"/>
      <c r="J2507" s="1557"/>
      <c r="K2507" s="1557"/>
      <c r="L2507" s="1557"/>
      <c r="M2507" s="1619"/>
    </row>
    <row r="2508" spans="2:13" s="979" customFormat="1" hidden="1">
      <c r="B2508" s="1649"/>
      <c r="C2508" s="1332" t="s">
        <v>673</v>
      </c>
      <c r="D2508" s="1331" t="s">
        <v>674</v>
      </c>
      <c r="E2508" s="1331" t="s">
        <v>675</v>
      </c>
      <c r="F2508" s="1334">
        <v>0.3</v>
      </c>
      <c r="G2508" s="1104">
        <f>DUB!$I$10</f>
        <v>150000</v>
      </c>
      <c r="H2508" s="1106">
        <f>G2508*F2508</f>
        <v>45000</v>
      </c>
      <c r="J2508" s="1557"/>
      <c r="K2508" s="1557"/>
      <c r="L2508" s="1557"/>
      <c r="M2508" s="1619"/>
    </row>
    <row r="2509" spans="2:13" s="979" customFormat="1" hidden="1">
      <c r="B2509" s="1649"/>
      <c r="C2509" s="1332" t="s">
        <v>816</v>
      </c>
      <c r="D2509" s="1331" t="s">
        <v>678</v>
      </c>
      <c r="E2509" s="1331" t="s">
        <v>675</v>
      </c>
      <c r="F2509" s="1334">
        <v>0.1</v>
      </c>
      <c r="G2509" s="1104">
        <f>DUB!$I$11</f>
        <v>187000</v>
      </c>
      <c r="H2509" s="1106">
        <f>G2509*F2509</f>
        <v>18700</v>
      </c>
      <c r="J2509" s="1557"/>
      <c r="K2509" s="1557"/>
      <c r="L2509" s="1557"/>
      <c r="M2509" s="1619"/>
    </row>
    <row r="2510" spans="2:13" s="979" customFormat="1" hidden="1">
      <c r="B2510" s="1649"/>
      <c r="C2510" s="1332" t="s">
        <v>680</v>
      </c>
      <c r="D2510" s="1331" t="s">
        <v>681</v>
      </c>
      <c r="E2510" s="1331" t="s">
        <v>675</v>
      </c>
      <c r="F2510" s="1334">
        <v>0.01</v>
      </c>
      <c r="G2510" s="1104">
        <f>DUB!$I$13</f>
        <v>240000</v>
      </c>
      <c r="H2510" s="1106">
        <f>G2510*F2510</f>
        <v>2400</v>
      </c>
      <c r="J2510" s="1557"/>
      <c r="K2510" s="1557"/>
      <c r="L2510" s="1557"/>
      <c r="M2510" s="1619"/>
    </row>
    <row r="2511" spans="2:13" s="979" customFormat="1" hidden="1">
      <c r="B2511" s="1649"/>
      <c r="C2511" s="1332" t="s">
        <v>683</v>
      </c>
      <c r="D2511" s="1331" t="s">
        <v>684</v>
      </c>
      <c r="E2511" s="1331" t="s">
        <v>675</v>
      </c>
      <c r="F2511" s="1334">
        <v>1.4999999999999999E-2</v>
      </c>
      <c r="G2511" s="1104">
        <f>DUB!$I$12</f>
        <v>225000</v>
      </c>
      <c r="H2511" s="1106">
        <f>G2511*F2511</f>
        <v>3375</v>
      </c>
      <c r="J2511" s="1557"/>
      <c r="K2511" s="1557"/>
      <c r="L2511" s="1557"/>
      <c r="M2511" s="1619"/>
    </row>
    <row r="2512" spans="2:13" s="979" customFormat="1" hidden="1">
      <c r="B2512" s="1649"/>
      <c r="C2512" s="1332"/>
      <c r="D2512" s="1331"/>
      <c r="E2512" s="1331"/>
      <c r="F2512" s="2074" t="s">
        <v>685</v>
      </c>
      <c r="G2512" s="2074"/>
      <c r="H2512" s="1106">
        <f>SUM(H2508:H2511)</f>
        <v>69475</v>
      </c>
      <c r="J2512" s="1557"/>
      <c r="K2512" s="1557"/>
      <c r="L2512" s="1557"/>
      <c r="M2512" s="1619"/>
    </row>
    <row r="2513" spans="2:13" s="979" customFormat="1" hidden="1">
      <c r="B2513" s="1649" t="s">
        <v>686</v>
      </c>
      <c r="C2513" s="1332" t="s">
        <v>687</v>
      </c>
      <c r="D2513" s="1331"/>
      <c r="E2513" s="1331"/>
      <c r="F2513" s="1334"/>
      <c r="G2513" s="1104"/>
      <c r="H2513" s="1106"/>
      <c r="J2513" s="1557"/>
      <c r="K2513" s="1557"/>
      <c r="L2513" s="1557"/>
      <c r="M2513" s="1619"/>
    </row>
    <row r="2514" spans="2:13" s="979" customFormat="1" hidden="1">
      <c r="B2514" s="1649"/>
      <c r="C2514" s="1332" t="s">
        <v>742</v>
      </c>
      <c r="D2514" s="1331"/>
      <c r="E2514" s="1331" t="s">
        <v>1423</v>
      </c>
      <c r="F2514" s="1334">
        <v>70</v>
      </c>
      <c r="G2514" s="1104">
        <f>DUB!$I$49</f>
        <v>590</v>
      </c>
      <c r="H2514" s="1106">
        <f>G2514*F2514</f>
        <v>41300</v>
      </c>
      <c r="J2514" s="1557"/>
      <c r="K2514" s="1557"/>
      <c r="L2514" s="1557"/>
      <c r="M2514" s="1619"/>
    </row>
    <row r="2515" spans="2:13" s="979" customFormat="1" hidden="1">
      <c r="B2515" s="1649"/>
      <c r="C2515" s="1332" t="s">
        <v>738</v>
      </c>
      <c r="D2515" s="1331"/>
      <c r="E2515" s="1331" t="s">
        <v>690</v>
      </c>
      <c r="F2515" s="1334">
        <v>8.32</v>
      </c>
      <c r="G2515" s="1104">
        <f>DUB!$I$65</f>
        <v>1575</v>
      </c>
      <c r="H2515" s="1106">
        <f>G2515*F2515</f>
        <v>13104</v>
      </c>
      <c r="J2515" s="1557"/>
      <c r="K2515" s="1557"/>
      <c r="L2515" s="1557"/>
      <c r="M2515" s="1619"/>
    </row>
    <row r="2516" spans="2:13" s="979" customFormat="1" hidden="1">
      <c r="B2516" s="1649"/>
      <c r="C2516" s="1332" t="s">
        <v>808</v>
      </c>
      <c r="D2516" s="1331"/>
      <c r="E2516" s="1331" t="s">
        <v>2646</v>
      </c>
      <c r="F2516" s="1334">
        <v>4.9000000000000002E-2</v>
      </c>
      <c r="G2516" s="1104">
        <f>DUB!$I$59</f>
        <v>208463</v>
      </c>
      <c r="H2516" s="1106">
        <f>G2516*F2516</f>
        <v>10214.687</v>
      </c>
      <c r="J2516" s="1557"/>
      <c r="K2516" s="1557"/>
      <c r="L2516" s="1557"/>
      <c r="M2516" s="1619"/>
    </row>
    <row r="2517" spans="2:13" s="979" customFormat="1" hidden="1">
      <c r="B2517" s="1649"/>
      <c r="C2517" s="1125"/>
      <c r="D2517" s="1333"/>
      <c r="E2517" s="1333"/>
      <c r="F2517" s="2074" t="s">
        <v>702</v>
      </c>
      <c r="G2517" s="2074"/>
      <c r="H2517" s="1106">
        <f>SUM(H2514:H2516)</f>
        <v>64618.686999999998</v>
      </c>
      <c r="J2517" s="1557"/>
      <c r="K2517" s="1557"/>
      <c r="L2517" s="1557"/>
      <c r="M2517" s="1619"/>
    </row>
    <row r="2518" spans="2:13" s="980" customFormat="1" hidden="1">
      <c r="B2518" s="1649" t="s">
        <v>703</v>
      </c>
      <c r="C2518" s="2075" t="s">
        <v>3764</v>
      </c>
      <c r="D2518" s="2075"/>
      <c r="E2518" s="2075"/>
      <c r="F2518" s="2075"/>
      <c r="G2518" s="2075"/>
      <c r="H2518" s="1107">
        <f>H2512+H2517</f>
        <v>134093.68700000001</v>
      </c>
      <c r="J2518" s="1559"/>
      <c r="K2518" s="1559"/>
      <c r="L2518" s="1559"/>
      <c r="M2518" s="1614"/>
    </row>
    <row r="2519" spans="2:13" s="980" customFormat="1" hidden="1">
      <c r="B2519" s="1649" t="s">
        <v>706</v>
      </c>
      <c r="C2519" s="2076" t="s">
        <v>876</v>
      </c>
      <c r="D2519" s="2076"/>
      <c r="E2519" s="2076"/>
      <c r="F2519" s="2077" t="s">
        <v>3873</v>
      </c>
      <c r="G2519" s="2077"/>
      <c r="H2519" s="1107">
        <f>H2518*0.15</f>
        <v>20114.053049999999</v>
      </c>
      <c r="J2519" s="1559"/>
      <c r="K2519" s="1559"/>
      <c r="L2519" s="1559"/>
      <c r="M2519" s="1614"/>
    </row>
    <row r="2520" spans="2:13" s="980" customFormat="1" hidden="1">
      <c r="B2520" s="1649" t="s">
        <v>708</v>
      </c>
      <c r="C2520" s="2078" t="s">
        <v>3765</v>
      </c>
      <c r="D2520" s="2078"/>
      <c r="E2520" s="2078"/>
      <c r="F2520" s="2078"/>
      <c r="G2520" s="2078"/>
      <c r="H2520" s="1107">
        <f>ROUND(SUM(H2518:H2519),2)</f>
        <v>154207.74</v>
      </c>
      <c r="I2520" s="981">
        <f>SUM(H2518:H2519)</f>
        <v>154207.74004999999</v>
      </c>
      <c r="J2520" s="1561"/>
      <c r="K2520" s="1561"/>
      <c r="L2520" s="1559"/>
      <c r="M2520" s="1614"/>
    </row>
    <row r="2521" spans="2:13" s="979" customFormat="1" hidden="1">
      <c r="B2521" s="1659"/>
      <c r="C2521" s="1144"/>
      <c r="D2521" s="1143"/>
      <c r="E2521" s="1143"/>
      <c r="F2521" s="1145"/>
      <c r="G2521" s="1146"/>
      <c r="H2521" s="1147"/>
      <c r="J2521" s="1557"/>
      <c r="K2521" s="1557"/>
      <c r="L2521" s="1557"/>
      <c r="M2521" s="1619"/>
    </row>
    <row r="2522" spans="2:13" s="979" customFormat="1" hidden="1">
      <c r="B2522" s="1613" t="s">
        <v>3997</v>
      </c>
      <c r="C2522" s="1112" t="s">
        <v>2889</v>
      </c>
      <c r="D2522" s="1129"/>
      <c r="E2522" s="1129"/>
      <c r="F2522" s="1131"/>
      <c r="G2522" s="1132"/>
      <c r="H2522" s="1115"/>
      <c r="J2522" s="1557"/>
      <c r="K2522" s="1557"/>
      <c r="L2522" s="1557"/>
      <c r="M2522" s="1619"/>
    </row>
    <row r="2523" spans="2:13" s="982" customFormat="1" ht="24.9" hidden="1" customHeight="1">
      <c r="B2523" s="1686" t="s">
        <v>1003</v>
      </c>
      <c r="C2523" s="1208" t="s">
        <v>1004</v>
      </c>
      <c r="D2523" s="1208" t="s">
        <v>1005</v>
      </c>
      <c r="E2523" s="1208" t="s">
        <v>1006</v>
      </c>
      <c r="F2523" s="1209" t="s">
        <v>1007</v>
      </c>
      <c r="G2523" s="1109" t="s">
        <v>2639</v>
      </c>
      <c r="H2523" s="1110" t="s">
        <v>2638</v>
      </c>
      <c r="J2523" s="1625"/>
      <c r="K2523" s="1625"/>
      <c r="L2523" s="1625"/>
      <c r="M2523" s="1626"/>
    </row>
    <row r="2524" spans="2:13" s="979" customFormat="1" hidden="1">
      <c r="B2524" s="1649" t="s">
        <v>671</v>
      </c>
      <c r="C2524" s="1332" t="s">
        <v>672</v>
      </c>
      <c r="D2524" s="1331"/>
      <c r="E2524" s="1331"/>
      <c r="F2524" s="1334"/>
      <c r="G2524" s="1104"/>
      <c r="H2524" s="1106"/>
      <c r="J2524" s="1557"/>
      <c r="K2524" s="1557"/>
      <c r="L2524" s="1557"/>
      <c r="M2524" s="1619"/>
    </row>
    <row r="2525" spans="2:13" s="979" customFormat="1" hidden="1">
      <c r="B2525" s="1649"/>
      <c r="C2525" s="1332" t="s">
        <v>673</v>
      </c>
      <c r="D2525" s="1331" t="s">
        <v>674</v>
      </c>
      <c r="E2525" s="1331" t="s">
        <v>675</v>
      </c>
      <c r="F2525" s="1334">
        <v>0.35</v>
      </c>
      <c r="G2525" s="1104">
        <f>DUB!$I$10</f>
        <v>150000</v>
      </c>
      <c r="H2525" s="1106">
        <f>G2525*F2525</f>
        <v>52500</v>
      </c>
      <c r="J2525" s="1557"/>
      <c r="K2525" s="1557"/>
      <c r="L2525" s="1557"/>
      <c r="M2525" s="1619"/>
    </row>
    <row r="2526" spans="2:13" s="979" customFormat="1" hidden="1">
      <c r="B2526" s="1649"/>
      <c r="C2526" s="1332" t="s">
        <v>816</v>
      </c>
      <c r="D2526" s="1331" t="s">
        <v>678</v>
      </c>
      <c r="E2526" s="1331" t="s">
        <v>675</v>
      </c>
      <c r="F2526" s="1334">
        <v>0.15</v>
      </c>
      <c r="G2526" s="1104">
        <f>DUB!$I$11</f>
        <v>187000</v>
      </c>
      <c r="H2526" s="1106">
        <f>G2526*F2526</f>
        <v>28050</v>
      </c>
      <c r="J2526" s="1557"/>
      <c r="K2526" s="1557"/>
      <c r="L2526" s="1557"/>
      <c r="M2526" s="1619"/>
    </row>
    <row r="2527" spans="2:13" s="979" customFormat="1" hidden="1">
      <c r="B2527" s="1649"/>
      <c r="C2527" s="1332" t="s">
        <v>680</v>
      </c>
      <c r="D2527" s="1331" t="s">
        <v>681</v>
      </c>
      <c r="E2527" s="1331" t="s">
        <v>675</v>
      </c>
      <c r="F2527" s="1334">
        <v>1.4999999999999999E-2</v>
      </c>
      <c r="G2527" s="1104">
        <f>DUB!$I$13</f>
        <v>240000</v>
      </c>
      <c r="H2527" s="1106">
        <f>G2527*F2527</f>
        <v>3600</v>
      </c>
      <c r="J2527" s="1557"/>
      <c r="K2527" s="1557"/>
      <c r="L2527" s="1557"/>
      <c r="M2527" s="1619"/>
    </row>
    <row r="2528" spans="2:13" s="979" customFormat="1" hidden="1">
      <c r="B2528" s="1649"/>
      <c r="C2528" s="1332" t="s">
        <v>683</v>
      </c>
      <c r="D2528" s="1331" t="s">
        <v>684</v>
      </c>
      <c r="E2528" s="1331" t="s">
        <v>675</v>
      </c>
      <c r="F2528" s="1334">
        <v>1.7999999999999999E-2</v>
      </c>
      <c r="G2528" s="1104">
        <f>DUB!$I$12</f>
        <v>225000</v>
      </c>
      <c r="H2528" s="1106">
        <f>G2528*F2528</f>
        <v>4049.9999999999995</v>
      </c>
      <c r="J2528" s="1557"/>
      <c r="K2528" s="1557"/>
      <c r="L2528" s="1557"/>
      <c r="M2528" s="1619"/>
    </row>
    <row r="2529" spans="2:13" s="979" customFormat="1" hidden="1">
      <c r="B2529" s="1649"/>
      <c r="C2529" s="1332"/>
      <c r="D2529" s="1331"/>
      <c r="E2529" s="1331"/>
      <c r="F2529" s="2074" t="s">
        <v>685</v>
      </c>
      <c r="G2529" s="2074"/>
      <c r="H2529" s="1106">
        <f>SUM(H2525:H2528)</f>
        <v>88200</v>
      </c>
      <c r="J2529" s="1557"/>
      <c r="K2529" s="1557"/>
      <c r="L2529" s="1557"/>
      <c r="M2529" s="1619"/>
    </row>
    <row r="2530" spans="2:13" s="979" customFormat="1" hidden="1">
      <c r="B2530" s="1649" t="s">
        <v>686</v>
      </c>
      <c r="C2530" s="1332" t="s">
        <v>687</v>
      </c>
      <c r="D2530" s="1331"/>
      <c r="E2530" s="1331"/>
      <c r="F2530" s="1334"/>
      <c r="G2530" s="1104"/>
      <c r="H2530" s="1106"/>
      <c r="J2530" s="1557"/>
      <c r="K2530" s="1557"/>
      <c r="L2530" s="1557"/>
      <c r="M2530" s="1619"/>
    </row>
    <row r="2531" spans="2:13" s="979" customFormat="1" hidden="1">
      <c r="B2531" s="1649"/>
      <c r="C2531" s="1332" t="s">
        <v>1035</v>
      </c>
      <c r="D2531" s="1331"/>
      <c r="E2531" s="1331" t="s">
        <v>1423</v>
      </c>
      <c r="F2531" s="1334">
        <v>12.5</v>
      </c>
      <c r="G2531" s="1104">
        <f>DUB!$I$54</f>
        <v>3636</v>
      </c>
      <c r="H2531" s="1106">
        <f>G2531*F2531</f>
        <v>45450</v>
      </c>
      <c r="J2531" s="1557"/>
      <c r="K2531" s="1557"/>
      <c r="L2531" s="1557"/>
      <c r="M2531" s="1619"/>
    </row>
    <row r="2532" spans="2:13" s="979" customFormat="1" hidden="1">
      <c r="B2532" s="1649"/>
      <c r="C2532" s="1332" t="s">
        <v>738</v>
      </c>
      <c r="D2532" s="1331"/>
      <c r="E2532" s="1331" t="s">
        <v>690</v>
      </c>
      <c r="F2532" s="1334">
        <v>30.32</v>
      </c>
      <c r="G2532" s="1104">
        <f>DUB!$I$65</f>
        <v>1575</v>
      </c>
      <c r="H2532" s="1106">
        <f>G2532*F2532</f>
        <v>47754</v>
      </c>
      <c r="J2532" s="1557"/>
      <c r="K2532" s="1557"/>
      <c r="L2532" s="1557"/>
      <c r="M2532" s="1619"/>
    </row>
    <row r="2533" spans="2:13" s="979" customFormat="1" hidden="1">
      <c r="B2533" s="1649"/>
      <c r="C2533" s="1332" t="s">
        <v>808</v>
      </c>
      <c r="D2533" s="1331"/>
      <c r="E2533" s="1331" t="s">
        <v>2646</v>
      </c>
      <c r="F2533" s="1334">
        <v>0.72799999999999998</v>
      </c>
      <c r="G2533" s="1104">
        <f>DUB!$I$59</f>
        <v>208463</v>
      </c>
      <c r="H2533" s="1106">
        <f>G2533*F2533</f>
        <v>151761.06399999998</v>
      </c>
      <c r="J2533" s="1557"/>
      <c r="K2533" s="1557"/>
      <c r="L2533" s="1557"/>
      <c r="M2533" s="1619"/>
    </row>
    <row r="2534" spans="2:13" s="979" customFormat="1" hidden="1">
      <c r="B2534" s="1649"/>
      <c r="C2534" s="1332" t="s">
        <v>1039</v>
      </c>
      <c r="D2534" s="1331"/>
      <c r="E2534" s="1331" t="s">
        <v>690</v>
      </c>
      <c r="F2534" s="1334">
        <v>0.28000000000000003</v>
      </c>
      <c r="G2534" s="1104">
        <f>DUB!$I$101</f>
        <v>15300</v>
      </c>
      <c r="H2534" s="1106">
        <f>G2534*F2534</f>
        <v>4284</v>
      </c>
      <c r="J2534" s="1557"/>
      <c r="K2534" s="1557"/>
      <c r="L2534" s="1557"/>
      <c r="M2534" s="1619"/>
    </row>
    <row r="2535" spans="2:13" s="979" customFormat="1" hidden="1">
      <c r="B2535" s="1649"/>
      <c r="C2535" s="1125"/>
      <c r="D2535" s="1333"/>
      <c r="E2535" s="1333"/>
      <c r="F2535" s="2074" t="s">
        <v>702</v>
      </c>
      <c r="G2535" s="2074"/>
      <c r="H2535" s="1106">
        <f>SUM(H2531:H2534)</f>
        <v>249249.06399999998</v>
      </c>
      <c r="J2535" s="1557"/>
      <c r="K2535" s="1557"/>
      <c r="L2535" s="1557"/>
      <c r="M2535" s="1619"/>
    </row>
    <row r="2536" spans="2:13" s="980" customFormat="1" hidden="1">
      <c r="B2536" s="1649" t="s">
        <v>703</v>
      </c>
      <c r="C2536" s="2075" t="s">
        <v>3764</v>
      </c>
      <c r="D2536" s="2075"/>
      <c r="E2536" s="2075"/>
      <c r="F2536" s="2075"/>
      <c r="G2536" s="2075"/>
      <c r="H2536" s="1107">
        <f>H2529+H2535</f>
        <v>337449.06400000001</v>
      </c>
      <c r="J2536" s="1559"/>
      <c r="K2536" s="1559"/>
      <c r="L2536" s="1559"/>
      <c r="M2536" s="1614"/>
    </row>
    <row r="2537" spans="2:13" s="980" customFormat="1" hidden="1">
      <c r="B2537" s="1649" t="s">
        <v>706</v>
      </c>
      <c r="C2537" s="2076" t="s">
        <v>876</v>
      </c>
      <c r="D2537" s="2076"/>
      <c r="E2537" s="2076"/>
      <c r="F2537" s="2077" t="s">
        <v>3873</v>
      </c>
      <c r="G2537" s="2077"/>
      <c r="H2537" s="1107">
        <f>H2536*0.15</f>
        <v>50617.359600000003</v>
      </c>
      <c r="J2537" s="1559"/>
      <c r="K2537" s="1559"/>
      <c r="L2537" s="1559"/>
      <c r="M2537" s="1614"/>
    </row>
    <row r="2538" spans="2:13" s="980" customFormat="1" hidden="1">
      <c r="B2538" s="1649" t="s">
        <v>708</v>
      </c>
      <c r="C2538" s="2078" t="s">
        <v>3765</v>
      </c>
      <c r="D2538" s="2078"/>
      <c r="E2538" s="2078"/>
      <c r="F2538" s="2078"/>
      <c r="G2538" s="2078"/>
      <c r="H2538" s="1107">
        <f>ROUND(SUM(H2536:H2537),2)</f>
        <v>388066.42</v>
      </c>
      <c r="I2538" s="981">
        <f>SUM(H2536:H2537)</f>
        <v>388066.42360000004</v>
      </c>
      <c r="J2538" s="1561"/>
      <c r="K2538" s="1561"/>
      <c r="L2538" s="1559"/>
      <c r="M2538" s="1614"/>
    </row>
    <row r="2539" spans="2:13" s="979" customFormat="1" hidden="1">
      <c r="B2539" s="1624"/>
      <c r="C2539" s="1096"/>
      <c r="D2539" s="1095"/>
      <c r="E2539" s="1095"/>
      <c r="F2539" s="1172"/>
      <c r="G2539" s="1173"/>
      <c r="H2539" s="1133"/>
      <c r="J2539" s="1557"/>
      <c r="K2539" s="1557"/>
      <c r="L2539" s="1557"/>
      <c r="M2539" s="1619"/>
    </row>
    <row r="2540" spans="2:13" s="979" customFormat="1" hidden="1">
      <c r="B2540" s="1613" t="s">
        <v>3998</v>
      </c>
      <c r="C2540" s="1232" t="s">
        <v>2890</v>
      </c>
      <c r="D2540" s="1095"/>
      <c r="E2540" s="1095"/>
      <c r="F2540" s="1172"/>
      <c r="G2540" s="1173"/>
      <c r="H2540" s="1133"/>
      <c r="J2540" s="1557"/>
      <c r="K2540" s="1557"/>
      <c r="L2540" s="1557"/>
      <c r="M2540" s="1619"/>
    </row>
    <row r="2541" spans="2:13" s="982" customFormat="1" ht="24.9" hidden="1" customHeight="1">
      <c r="B2541" s="1686" t="s">
        <v>1003</v>
      </c>
      <c r="C2541" s="1208" t="s">
        <v>1004</v>
      </c>
      <c r="D2541" s="1208" t="s">
        <v>1005</v>
      </c>
      <c r="E2541" s="1208" t="s">
        <v>1006</v>
      </c>
      <c r="F2541" s="1209" t="s">
        <v>1007</v>
      </c>
      <c r="G2541" s="1109" t="s">
        <v>2639</v>
      </c>
      <c r="H2541" s="1110" t="s">
        <v>2638</v>
      </c>
      <c r="J2541" s="1625"/>
      <c r="K2541" s="1625"/>
      <c r="L2541" s="1625"/>
      <c r="M2541" s="1626"/>
    </row>
    <row r="2542" spans="2:13" s="979" customFormat="1" hidden="1">
      <c r="B2542" s="1649" t="s">
        <v>671</v>
      </c>
      <c r="C2542" s="1332" t="s">
        <v>672</v>
      </c>
      <c r="D2542" s="1331"/>
      <c r="E2542" s="1331"/>
      <c r="F2542" s="1334"/>
      <c r="G2542" s="1104"/>
      <c r="H2542" s="1106"/>
      <c r="J2542" s="1557"/>
      <c r="K2542" s="1557"/>
      <c r="L2542" s="1557"/>
      <c r="M2542" s="1619"/>
    </row>
    <row r="2543" spans="2:13" s="979" customFormat="1" hidden="1">
      <c r="B2543" s="1649"/>
      <c r="C2543" s="1332" t="s">
        <v>673</v>
      </c>
      <c r="D2543" s="1331" t="s">
        <v>674</v>
      </c>
      <c r="E2543" s="1331" t="s">
        <v>675</v>
      </c>
      <c r="F2543" s="1334">
        <v>0.35</v>
      </c>
      <c r="G2543" s="1104">
        <f>DUB!$I$10</f>
        <v>150000</v>
      </c>
      <c r="H2543" s="1106">
        <f>G2543*F2543</f>
        <v>52500</v>
      </c>
      <c r="J2543" s="1557"/>
      <c r="K2543" s="1557"/>
      <c r="L2543" s="1557"/>
      <c r="M2543" s="1619"/>
    </row>
    <row r="2544" spans="2:13" s="979" customFormat="1" hidden="1">
      <c r="B2544" s="1649"/>
      <c r="C2544" s="1332" t="s">
        <v>816</v>
      </c>
      <c r="D2544" s="1331" t="s">
        <v>678</v>
      </c>
      <c r="E2544" s="1331" t="s">
        <v>675</v>
      </c>
      <c r="F2544" s="1334">
        <v>0.15</v>
      </c>
      <c r="G2544" s="1104">
        <f>DUB!$I$11</f>
        <v>187000</v>
      </c>
      <c r="H2544" s="1106">
        <f>G2544*F2544</f>
        <v>28050</v>
      </c>
      <c r="J2544" s="1557"/>
      <c r="K2544" s="1557"/>
      <c r="L2544" s="1557"/>
      <c r="M2544" s="1619"/>
    </row>
    <row r="2545" spans="2:13" s="979" customFormat="1" hidden="1">
      <c r="B2545" s="1649"/>
      <c r="C2545" s="1332" t="s">
        <v>680</v>
      </c>
      <c r="D2545" s="1331" t="s">
        <v>681</v>
      </c>
      <c r="E2545" s="1331" t="s">
        <v>675</v>
      </c>
      <c r="F2545" s="1334">
        <v>1.4999999999999999E-2</v>
      </c>
      <c r="G2545" s="1104">
        <f>DUB!$I$13</f>
        <v>240000</v>
      </c>
      <c r="H2545" s="1106">
        <f>G2545*F2545</f>
        <v>3600</v>
      </c>
      <c r="J2545" s="1557"/>
      <c r="K2545" s="1557"/>
      <c r="L2545" s="1557"/>
      <c r="M2545" s="1619"/>
    </row>
    <row r="2546" spans="2:13" s="979" customFormat="1" hidden="1">
      <c r="B2546" s="1649"/>
      <c r="C2546" s="1332" t="s">
        <v>683</v>
      </c>
      <c r="D2546" s="1331" t="s">
        <v>684</v>
      </c>
      <c r="E2546" s="1331" t="s">
        <v>675</v>
      </c>
      <c r="F2546" s="1334">
        <v>1.7999999999999999E-2</v>
      </c>
      <c r="G2546" s="1104">
        <f>DUB!$I$12</f>
        <v>225000</v>
      </c>
      <c r="H2546" s="1106">
        <f>G2546*F2546</f>
        <v>4049.9999999999995</v>
      </c>
      <c r="J2546" s="1557"/>
      <c r="K2546" s="1557"/>
      <c r="L2546" s="1557"/>
      <c r="M2546" s="1619"/>
    </row>
    <row r="2547" spans="2:13" s="979" customFormat="1" hidden="1">
      <c r="B2547" s="1649"/>
      <c r="C2547" s="1332"/>
      <c r="D2547" s="1331"/>
      <c r="E2547" s="1331"/>
      <c r="F2547" s="2074" t="s">
        <v>685</v>
      </c>
      <c r="G2547" s="2074"/>
      <c r="H2547" s="1106">
        <f>SUM(H2543:H2546)</f>
        <v>88200</v>
      </c>
      <c r="J2547" s="1557"/>
      <c r="K2547" s="1557"/>
      <c r="L2547" s="1557"/>
      <c r="M2547" s="1619"/>
    </row>
    <row r="2548" spans="2:13" s="979" customFormat="1" hidden="1">
      <c r="B2548" s="1649" t="s">
        <v>686</v>
      </c>
      <c r="C2548" s="1332" t="s">
        <v>687</v>
      </c>
      <c r="D2548" s="1331"/>
      <c r="E2548" s="1331"/>
      <c r="F2548" s="1334"/>
      <c r="G2548" s="1104"/>
      <c r="H2548" s="1106"/>
      <c r="J2548" s="1557"/>
      <c r="K2548" s="1557"/>
      <c r="L2548" s="1557"/>
      <c r="M2548" s="1619"/>
    </row>
    <row r="2549" spans="2:13" s="979" customFormat="1" hidden="1">
      <c r="B2549" s="1649"/>
      <c r="C2549" s="1332" t="s">
        <v>1035</v>
      </c>
      <c r="D2549" s="1331"/>
      <c r="E2549" s="1331" t="s">
        <v>1423</v>
      </c>
      <c r="F2549" s="1334">
        <v>12.5</v>
      </c>
      <c r="G2549" s="1104">
        <f>DUB!$I$54</f>
        <v>3636</v>
      </c>
      <c r="H2549" s="1106">
        <f>G2549*F2549</f>
        <v>45450</v>
      </c>
      <c r="J2549" s="1557"/>
      <c r="K2549" s="1557"/>
      <c r="L2549" s="1557"/>
      <c r="M2549" s="1619"/>
    </row>
    <row r="2550" spans="2:13" s="979" customFormat="1" hidden="1">
      <c r="B2550" s="1649"/>
      <c r="C2550" s="1332" t="s">
        <v>738</v>
      </c>
      <c r="D2550" s="1331"/>
      <c r="E2550" s="1331" t="s">
        <v>690</v>
      </c>
      <c r="F2550" s="1334">
        <v>24.26</v>
      </c>
      <c r="G2550" s="1104">
        <f>DUB!$I$65</f>
        <v>1575</v>
      </c>
      <c r="H2550" s="1106">
        <f>G2550*F2550</f>
        <v>38209.5</v>
      </c>
      <c r="J2550" s="1557"/>
      <c r="K2550" s="1557"/>
      <c r="L2550" s="1557"/>
      <c r="M2550" s="1619"/>
    </row>
    <row r="2551" spans="2:13" s="979" customFormat="1" hidden="1">
      <c r="B2551" s="1649"/>
      <c r="C2551" s="1332" t="s">
        <v>808</v>
      </c>
      <c r="D2551" s="1331"/>
      <c r="E2551" s="1331" t="s">
        <v>2646</v>
      </c>
      <c r="F2551" s="1334">
        <v>0.77200000000000002</v>
      </c>
      <c r="G2551" s="1104">
        <f>DUB!$I$59</f>
        <v>208463</v>
      </c>
      <c r="H2551" s="1106">
        <f>G2551*F2551</f>
        <v>160933.43600000002</v>
      </c>
      <c r="J2551" s="1557"/>
      <c r="K2551" s="1557"/>
      <c r="L2551" s="1557"/>
      <c r="M2551" s="1619"/>
    </row>
    <row r="2552" spans="2:13" s="979" customFormat="1" hidden="1">
      <c r="B2552" s="1649"/>
      <c r="C2552" s="1332" t="s">
        <v>1043</v>
      </c>
      <c r="D2552" s="1331"/>
      <c r="E2552" s="1331" t="s">
        <v>690</v>
      </c>
      <c r="F2552" s="1334">
        <v>0.28000000000000003</v>
      </c>
      <c r="G2552" s="1104">
        <f>DUB!$I$101</f>
        <v>15300</v>
      </c>
      <c r="H2552" s="1106">
        <f>G2552*F2552</f>
        <v>4284</v>
      </c>
      <c r="J2552" s="1557"/>
      <c r="K2552" s="1557"/>
      <c r="L2552" s="1557"/>
      <c r="M2552" s="1619"/>
    </row>
    <row r="2553" spans="2:13" s="979" customFormat="1" hidden="1">
      <c r="B2553" s="1649"/>
      <c r="C2553" s="1125"/>
      <c r="D2553" s="1333"/>
      <c r="E2553" s="1333"/>
      <c r="F2553" s="2074" t="s">
        <v>702</v>
      </c>
      <c r="G2553" s="2074"/>
      <c r="H2553" s="1106">
        <f>SUM(H2549:H2552)</f>
        <v>248876.93600000002</v>
      </c>
      <c r="J2553" s="1557"/>
      <c r="K2553" s="1557"/>
      <c r="L2553" s="1557"/>
      <c r="M2553" s="1619"/>
    </row>
    <row r="2554" spans="2:13" s="980" customFormat="1" hidden="1">
      <c r="B2554" s="1649" t="s">
        <v>703</v>
      </c>
      <c r="C2554" s="2075" t="s">
        <v>3764</v>
      </c>
      <c r="D2554" s="2075"/>
      <c r="E2554" s="2075"/>
      <c r="F2554" s="2075"/>
      <c r="G2554" s="2075"/>
      <c r="H2554" s="1107">
        <f>H2547+H2553</f>
        <v>337076.93599999999</v>
      </c>
      <c r="J2554" s="1559"/>
      <c r="K2554" s="1559"/>
      <c r="L2554" s="1559"/>
      <c r="M2554" s="1614"/>
    </row>
    <row r="2555" spans="2:13" s="980" customFormat="1" hidden="1">
      <c r="B2555" s="1649" t="s">
        <v>706</v>
      </c>
      <c r="C2555" s="2076" t="s">
        <v>876</v>
      </c>
      <c r="D2555" s="2076"/>
      <c r="E2555" s="2076"/>
      <c r="F2555" s="2077" t="s">
        <v>3873</v>
      </c>
      <c r="G2555" s="2077"/>
      <c r="H2555" s="1107">
        <f>H2554*0.15</f>
        <v>50561.540399999998</v>
      </c>
      <c r="J2555" s="1559"/>
      <c r="K2555" s="1559"/>
      <c r="L2555" s="1559"/>
      <c r="M2555" s="1614"/>
    </row>
    <row r="2556" spans="2:13" s="980" customFormat="1" hidden="1">
      <c r="B2556" s="1649" t="s">
        <v>708</v>
      </c>
      <c r="C2556" s="2078" t="s">
        <v>3765</v>
      </c>
      <c r="D2556" s="2078"/>
      <c r="E2556" s="2078"/>
      <c r="F2556" s="2078"/>
      <c r="G2556" s="2078"/>
      <c r="H2556" s="1107">
        <f>ROUND(SUM(H2554:H2555),2)</f>
        <v>387638.48</v>
      </c>
      <c r="I2556" s="981">
        <f>SUM(H2554:H2555)</f>
        <v>387638.47639999999</v>
      </c>
      <c r="J2556" s="1561"/>
      <c r="K2556" s="1561"/>
      <c r="L2556" s="1559"/>
      <c r="M2556" s="1614"/>
    </row>
    <row r="2557" spans="2:13" s="980" customFormat="1" hidden="1">
      <c r="B2557" s="1674"/>
      <c r="C2557" s="1112"/>
      <c r="D2557" s="1112"/>
      <c r="E2557" s="1112"/>
      <c r="F2557" s="1112"/>
      <c r="G2557" s="1112"/>
      <c r="H2557" s="1188"/>
      <c r="I2557" s="984"/>
      <c r="J2557" s="1561"/>
      <c r="K2557" s="1561"/>
      <c r="L2557" s="1559"/>
      <c r="M2557" s="1614"/>
    </row>
    <row r="2558" spans="2:13" s="980" customFormat="1" hidden="1">
      <c r="B2558" s="1688" t="s">
        <v>5005</v>
      </c>
      <c r="C2558" s="1366"/>
      <c r="D2558" s="1366"/>
      <c r="E2558" s="1366"/>
      <c r="F2558" s="1366"/>
      <c r="G2558" s="1366"/>
      <c r="H2558" s="1367"/>
      <c r="I2558" s="984"/>
      <c r="J2558" s="1561"/>
      <c r="K2558" s="1561"/>
      <c r="L2558" s="1559"/>
      <c r="M2558" s="1614"/>
    </row>
    <row r="2559" spans="2:13" s="980" customFormat="1" hidden="1">
      <c r="B2559" s="1689" t="s">
        <v>4994</v>
      </c>
      <c r="C2559" s="1368"/>
      <c r="D2559" s="1369"/>
      <c r="E2559" s="1370"/>
      <c r="F2559" s="1371"/>
      <c r="G2559" s="1371"/>
      <c r="H2559" s="1371"/>
      <c r="I2559" s="984"/>
      <c r="J2559" s="1561"/>
      <c r="K2559" s="1561"/>
      <c r="L2559" s="1559"/>
      <c r="M2559" s="1614"/>
    </row>
    <row r="2560" spans="2:13" s="980" customFormat="1" hidden="1">
      <c r="B2560" s="1690">
        <v>0.27</v>
      </c>
      <c r="C2560" s="1372" t="s">
        <v>4764</v>
      </c>
      <c r="D2560" s="1373" t="s">
        <v>4995</v>
      </c>
      <c r="E2560" s="1374"/>
      <c r="F2560" s="1375">
        <f>DUB!I86</f>
        <v>1509120</v>
      </c>
      <c r="G2560" s="1376"/>
      <c r="H2560" s="1375">
        <f t="shared" ref="H2560:H2567" si="70">B2560*F2560</f>
        <v>407462.40000000002</v>
      </c>
      <c r="I2560" s="984"/>
      <c r="J2560" s="1561"/>
      <c r="K2560" s="1561"/>
      <c r="L2560" s="1559"/>
      <c r="M2560" s="1614"/>
    </row>
    <row r="2561" spans="2:13" s="980" customFormat="1" hidden="1">
      <c r="B2561" s="1690">
        <v>2</v>
      </c>
      <c r="C2561" s="1372" t="s">
        <v>773</v>
      </c>
      <c r="D2561" s="1373" t="s">
        <v>4996</v>
      </c>
      <c r="E2561" s="1374"/>
      <c r="F2561" s="1375">
        <f>DUB!I128</f>
        <v>20441.7</v>
      </c>
      <c r="G2561" s="1376"/>
      <c r="H2561" s="1375">
        <f t="shared" si="70"/>
        <v>40883.4</v>
      </c>
      <c r="I2561" s="984"/>
      <c r="J2561" s="1561"/>
      <c r="K2561" s="1561"/>
      <c r="L2561" s="1559"/>
      <c r="M2561" s="1614"/>
    </row>
    <row r="2562" spans="2:13" s="980" customFormat="1" hidden="1">
      <c r="B2562" s="1690">
        <v>0.6</v>
      </c>
      <c r="C2562" s="1372" t="s">
        <v>2916</v>
      </c>
      <c r="D2562" s="1373" t="s">
        <v>861</v>
      </c>
      <c r="E2562" s="1374"/>
      <c r="F2562" s="1375">
        <f>DUB!I486</f>
        <v>18000</v>
      </c>
      <c r="G2562" s="1376"/>
      <c r="H2562" s="1375">
        <f t="shared" si="70"/>
        <v>10800</v>
      </c>
      <c r="I2562" s="984"/>
      <c r="J2562" s="1561"/>
      <c r="K2562" s="1561"/>
      <c r="L2562" s="1559"/>
      <c r="M2562" s="1614"/>
    </row>
    <row r="2563" spans="2:13" s="980" customFormat="1" hidden="1">
      <c r="B2563" s="1690">
        <v>200</v>
      </c>
      <c r="C2563" s="1372" t="s">
        <v>773</v>
      </c>
      <c r="D2563" s="1373" t="s">
        <v>834</v>
      </c>
      <c r="E2563" s="1374"/>
      <c r="F2563" s="1375">
        <f t="shared" ref="F2563" si="71">VLOOKUP(D2563,D,3,FALSE)</f>
        <v>19656</v>
      </c>
      <c r="G2563" s="1376"/>
      <c r="H2563" s="1375">
        <f t="shared" si="70"/>
        <v>3931200</v>
      </c>
      <c r="I2563" s="984"/>
      <c r="J2563" s="1561"/>
      <c r="K2563" s="1561"/>
      <c r="L2563" s="1559"/>
      <c r="M2563" s="1614"/>
    </row>
    <row r="2564" spans="2:13" s="980" customFormat="1" hidden="1">
      <c r="B2564" s="1690">
        <v>3</v>
      </c>
      <c r="C2564" s="1372" t="s">
        <v>773</v>
      </c>
      <c r="D2564" s="1373" t="s">
        <v>835</v>
      </c>
      <c r="E2564" s="1374"/>
      <c r="F2564" s="1375">
        <f>DUB!I108</f>
        <v>29497.5</v>
      </c>
      <c r="G2564" s="1376"/>
      <c r="H2564" s="1375">
        <f t="shared" si="70"/>
        <v>88492.5</v>
      </c>
      <c r="I2564" s="984"/>
      <c r="J2564" s="1561"/>
      <c r="K2564" s="1561"/>
      <c r="L2564" s="1559">
        <v>414</v>
      </c>
      <c r="M2564" s="1614"/>
    </row>
    <row r="2565" spans="2:13" s="980" customFormat="1" hidden="1">
      <c r="B2565" s="1690">
        <v>224</v>
      </c>
      <c r="C2565" s="1372" t="s">
        <v>773</v>
      </c>
      <c r="D2565" s="1373" t="s">
        <v>4997</v>
      </c>
      <c r="E2565" s="1374"/>
      <c r="F2565" s="1375">
        <f>DUB!L64</f>
        <v>61280</v>
      </c>
      <c r="G2565" s="1376"/>
      <c r="H2565" s="1375">
        <f t="shared" si="70"/>
        <v>13726720</v>
      </c>
      <c r="I2565" s="984"/>
      <c r="J2565" s="1561"/>
      <c r="K2565" s="1561"/>
      <c r="L2565" s="1559"/>
      <c r="M2565" s="1614"/>
    </row>
    <row r="2566" spans="2:13" s="980" customFormat="1" hidden="1">
      <c r="B2566" s="1690">
        <v>0.52</v>
      </c>
      <c r="C2566" s="1372" t="s">
        <v>4764</v>
      </c>
      <c r="D2566" s="1373" t="s">
        <v>4998</v>
      </c>
      <c r="E2566" s="1374"/>
      <c r="F2566" s="1375">
        <f>DUB!I59</f>
        <v>208463</v>
      </c>
      <c r="G2566" s="1376"/>
      <c r="H2566" s="1375">
        <f t="shared" si="70"/>
        <v>108400.76000000001</v>
      </c>
      <c r="I2566" s="984"/>
      <c r="J2566" s="1561"/>
      <c r="K2566" s="1561"/>
      <c r="L2566" s="1559"/>
      <c r="M2566" s="1614"/>
    </row>
    <row r="2567" spans="2:13" s="980" customFormat="1" hidden="1">
      <c r="B2567" s="1690">
        <v>0.78</v>
      </c>
      <c r="C2567" s="1372" t="s">
        <v>4764</v>
      </c>
      <c r="D2567" s="1373" t="s">
        <v>4999</v>
      </c>
      <c r="E2567" s="1374"/>
      <c r="F2567" s="1375">
        <f>DUB!I43</f>
        <v>471183.75</v>
      </c>
      <c r="G2567" s="1376"/>
      <c r="H2567" s="1375">
        <f t="shared" si="70"/>
        <v>367523.32500000001</v>
      </c>
      <c r="I2567" s="984"/>
      <c r="J2567" s="1561"/>
      <c r="K2567" s="1561"/>
      <c r="L2567" s="1559"/>
      <c r="M2567" s="1614"/>
    </row>
    <row r="2568" spans="2:13" s="980" customFormat="1" hidden="1">
      <c r="B2568" s="1690">
        <v>4.8499999999999996</v>
      </c>
      <c r="C2568" s="1372" t="s">
        <v>3423</v>
      </c>
      <c r="D2568" s="1373" t="s">
        <v>5000</v>
      </c>
      <c r="E2568" s="1374"/>
      <c r="F2568" s="1371"/>
      <c r="G2568" s="1375">
        <f>DUB!I10</f>
        <v>150000</v>
      </c>
      <c r="H2568" s="1375">
        <f t="shared" ref="H2568:H2573" si="72">B2568*G2568</f>
        <v>727500</v>
      </c>
      <c r="I2568" s="984"/>
      <c r="J2568" s="1561"/>
      <c r="K2568" s="1561"/>
      <c r="L2568" s="1559"/>
      <c r="M2568" s="1614"/>
    </row>
    <row r="2569" spans="2:13" s="980" customFormat="1" hidden="1">
      <c r="B2569" s="1690">
        <v>0.35</v>
      </c>
      <c r="C2569" s="1372" t="s">
        <v>3423</v>
      </c>
      <c r="D2569" s="1373" t="s">
        <v>731</v>
      </c>
      <c r="E2569" s="1374"/>
      <c r="F2569" s="1371"/>
      <c r="G2569" s="1375">
        <f>DUB!I11</f>
        <v>187000</v>
      </c>
      <c r="H2569" s="1375">
        <f t="shared" si="72"/>
        <v>65449.999999999993</v>
      </c>
      <c r="I2569" s="984"/>
      <c r="J2569" s="1561"/>
      <c r="K2569" s="1561"/>
      <c r="L2569" s="1559"/>
      <c r="M2569" s="1614"/>
    </row>
    <row r="2570" spans="2:13" s="980" customFormat="1" hidden="1">
      <c r="B2570" s="1690">
        <v>1.56</v>
      </c>
      <c r="C2570" s="1372" t="s">
        <v>3423</v>
      </c>
      <c r="D2570" s="1373" t="s">
        <v>871</v>
      </c>
      <c r="E2570" s="1374"/>
      <c r="F2570" s="1371"/>
      <c r="G2570" s="1375">
        <f>DUB!I11</f>
        <v>187000</v>
      </c>
      <c r="H2570" s="1375">
        <f t="shared" si="72"/>
        <v>291720</v>
      </c>
      <c r="I2570" s="984"/>
      <c r="J2570" s="1561"/>
      <c r="K2570" s="1561"/>
      <c r="L2570" s="1559"/>
      <c r="M2570" s="1614"/>
    </row>
    <row r="2571" spans="2:13" s="980" customFormat="1" hidden="1">
      <c r="B2571" s="1690">
        <v>1.4</v>
      </c>
      <c r="C2571" s="1372" t="s">
        <v>3423</v>
      </c>
      <c r="D2571" s="1373" t="s">
        <v>5001</v>
      </c>
      <c r="E2571" s="1374"/>
      <c r="F2571" s="1371"/>
      <c r="G2571" s="1375">
        <f>DUB!I11</f>
        <v>187000</v>
      </c>
      <c r="H2571" s="1375">
        <f t="shared" si="72"/>
        <v>261799.99999999997</v>
      </c>
      <c r="I2571" s="984"/>
      <c r="J2571" s="1561"/>
      <c r="K2571" s="1561"/>
      <c r="L2571" s="1559"/>
      <c r="M2571" s="1614"/>
    </row>
    <row r="2572" spans="2:13" s="980" customFormat="1" hidden="1">
      <c r="B2572" s="1690">
        <v>0.33100000000000002</v>
      </c>
      <c r="C2572" s="1372" t="s">
        <v>3423</v>
      </c>
      <c r="D2572" s="1373" t="s">
        <v>751</v>
      </c>
      <c r="E2572" s="1374"/>
      <c r="F2572" s="1371"/>
      <c r="G2572" s="1375">
        <f>DUB!I13</f>
        <v>240000</v>
      </c>
      <c r="H2572" s="1375">
        <f t="shared" si="72"/>
        <v>79440</v>
      </c>
      <c r="I2572" s="984"/>
      <c r="J2572" s="1561"/>
      <c r="K2572" s="1561"/>
      <c r="L2572" s="1559"/>
      <c r="M2572" s="1614"/>
    </row>
    <row r="2573" spans="2:13" s="980" customFormat="1" hidden="1">
      <c r="B2573" s="1690">
        <v>0.17</v>
      </c>
      <c r="C2573" s="1372" t="s">
        <v>3423</v>
      </c>
      <c r="D2573" s="1373" t="s">
        <v>683</v>
      </c>
      <c r="E2573" s="1374"/>
      <c r="F2573" s="1371"/>
      <c r="G2573" s="1375">
        <f>DUB!I12</f>
        <v>225000</v>
      </c>
      <c r="H2573" s="1375">
        <f t="shared" si="72"/>
        <v>38250</v>
      </c>
      <c r="I2573" s="984"/>
      <c r="J2573" s="1561"/>
      <c r="K2573" s="1561"/>
      <c r="L2573" s="1559"/>
      <c r="M2573" s="1614"/>
    </row>
    <row r="2574" spans="2:13" s="980" customFormat="1" hidden="1">
      <c r="B2574" s="1690"/>
      <c r="C2574" s="1377"/>
      <c r="D2574" s="1373"/>
      <c r="E2574" s="1374"/>
      <c r="F2574" s="1374"/>
      <c r="G2574" s="1378"/>
      <c r="H2574" s="1379">
        <f>SUM(H2560:H2573)</f>
        <v>20145642.385000002</v>
      </c>
      <c r="I2574" s="984"/>
      <c r="J2574" s="1561"/>
      <c r="K2574" s="1561"/>
      <c r="L2574" s="1559"/>
      <c r="M2574" s="1614"/>
    </row>
    <row r="2575" spans="2:13" s="980" customFormat="1" hidden="1">
      <c r="B2575" s="1688"/>
      <c r="C2575" s="1366" t="s">
        <v>5003</v>
      </c>
      <c r="D2575" s="1366"/>
      <c r="E2575" s="1366"/>
      <c r="F2575" s="1366"/>
      <c r="G2575" s="1366"/>
      <c r="H2575" s="1367">
        <f>H2574*15%</f>
        <v>3021846.35775</v>
      </c>
      <c r="I2575" s="984"/>
      <c r="J2575" s="1561"/>
      <c r="K2575" s="1561"/>
      <c r="L2575" s="1559"/>
      <c r="M2575" s="1614"/>
    </row>
    <row r="2576" spans="2:13" s="980" customFormat="1" hidden="1">
      <c r="B2576" s="1688"/>
      <c r="C2576" s="1366" t="s">
        <v>5004</v>
      </c>
      <c r="D2576" s="1366"/>
      <c r="E2576" s="1366"/>
      <c r="F2576" s="1366"/>
      <c r="G2576" s="1366"/>
      <c r="H2576" s="1367">
        <f>SUM(H2574:H2575)</f>
        <v>23167488.74275</v>
      </c>
      <c r="I2576" s="984"/>
      <c r="J2576" s="1561"/>
      <c r="K2576" s="1561"/>
      <c r="L2576" s="1559"/>
      <c r="M2576" s="1614"/>
    </row>
    <row r="2577" spans="2:13" s="980" customFormat="1" hidden="1">
      <c r="B2577" s="1688" t="s">
        <v>5009</v>
      </c>
      <c r="C2577" s="1380"/>
      <c r="D2577" s="1380"/>
      <c r="E2577" s="1380"/>
      <c r="F2577" s="1380"/>
      <c r="G2577" s="1366"/>
      <c r="H2577" s="1367"/>
      <c r="I2577" s="984"/>
      <c r="J2577" s="1561"/>
      <c r="K2577" s="1561"/>
      <c r="L2577" s="1559"/>
      <c r="M2577" s="1614"/>
    </row>
    <row r="2578" spans="2:13" s="980" customFormat="1" hidden="1">
      <c r="B2578" s="1689" t="s">
        <v>5006</v>
      </c>
      <c r="C2578" s="1368"/>
      <c r="D2578" s="1369"/>
      <c r="E2578" s="1370"/>
      <c r="F2578" s="1374"/>
      <c r="G2578" s="1381"/>
      <c r="H2578" s="1371"/>
      <c r="I2578" s="984"/>
      <c r="J2578" s="1561"/>
      <c r="K2578" s="1561"/>
      <c r="L2578" s="1559"/>
      <c r="M2578" s="1614"/>
    </row>
    <row r="2579" spans="2:13" s="980" customFormat="1" hidden="1">
      <c r="B2579" s="1690">
        <v>0.32</v>
      </c>
      <c r="C2579" s="1372" t="s">
        <v>4764</v>
      </c>
      <c r="D2579" s="1373" t="s">
        <v>4995</v>
      </c>
      <c r="E2579" s="1374"/>
      <c r="F2579" s="1375">
        <f>DUB!I86</f>
        <v>1509120</v>
      </c>
      <c r="G2579" s="1376"/>
      <c r="H2579" s="1375">
        <f t="shared" ref="H2579:H2588" si="73">B2579*F2579</f>
        <v>482918.40000000002</v>
      </c>
      <c r="I2579" s="984"/>
      <c r="J2579" s="1561"/>
      <c r="K2579" s="1561"/>
      <c r="L2579" s="1559"/>
      <c r="M2579" s="1614"/>
    </row>
    <row r="2580" spans="2:13" s="980" customFormat="1" hidden="1">
      <c r="B2580" s="1690">
        <v>3.2</v>
      </c>
      <c r="C2580" s="1372" t="s">
        <v>773</v>
      </c>
      <c r="D2580" s="1373" t="s">
        <v>4996</v>
      </c>
      <c r="E2580" s="1374"/>
      <c r="F2580" s="1375">
        <f>DUB!I128</f>
        <v>20441.7</v>
      </c>
      <c r="G2580" s="1376"/>
      <c r="H2580" s="1375">
        <f t="shared" si="73"/>
        <v>65413.440000000002</v>
      </c>
      <c r="I2580" s="984"/>
      <c r="J2580" s="1561"/>
      <c r="K2580" s="1561"/>
      <c r="L2580" s="1559"/>
      <c r="M2580" s="1614"/>
    </row>
    <row r="2581" spans="2:13" s="980" customFormat="1" hidden="1">
      <c r="B2581" s="1690">
        <v>1.6</v>
      </c>
      <c r="C2581" s="1372" t="s">
        <v>2916</v>
      </c>
      <c r="D2581" s="1373" t="s">
        <v>861</v>
      </c>
      <c r="E2581" s="1374"/>
      <c r="F2581" s="1375">
        <f>DUB!I486</f>
        <v>18000</v>
      </c>
      <c r="G2581" s="1376"/>
      <c r="H2581" s="1375">
        <f t="shared" si="73"/>
        <v>28800</v>
      </c>
      <c r="I2581" s="984"/>
      <c r="J2581" s="1561"/>
      <c r="K2581" s="1561"/>
      <c r="L2581" s="1559"/>
      <c r="M2581" s="1614"/>
    </row>
    <row r="2582" spans="2:13" s="980" customFormat="1" hidden="1">
      <c r="B2582" s="1690">
        <v>150</v>
      </c>
      <c r="C2582" s="1372" t="s">
        <v>773</v>
      </c>
      <c r="D2582" s="1373" t="s">
        <v>834</v>
      </c>
      <c r="E2582" s="1374"/>
      <c r="F2582" s="1375">
        <f>DUB!I101</f>
        <v>15300</v>
      </c>
      <c r="G2582" s="1376"/>
      <c r="H2582" s="1375">
        <f t="shared" si="73"/>
        <v>2295000</v>
      </c>
      <c r="I2582" s="984"/>
      <c r="J2582" s="1561"/>
      <c r="K2582" s="1561"/>
      <c r="L2582" s="1559"/>
      <c r="M2582" s="1614"/>
    </row>
    <row r="2583" spans="2:13" s="980" customFormat="1" hidden="1">
      <c r="B2583" s="1690">
        <v>2.25</v>
      </c>
      <c r="C2583" s="1372" t="s">
        <v>773</v>
      </c>
      <c r="D2583" s="1373" t="s">
        <v>835</v>
      </c>
      <c r="E2583" s="1374"/>
      <c r="F2583" s="1375">
        <f>DUB!I108</f>
        <v>29497.5</v>
      </c>
      <c r="G2583" s="1376"/>
      <c r="H2583" s="1375">
        <f t="shared" si="73"/>
        <v>66369.375</v>
      </c>
      <c r="I2583" s="984"/>
      <c r="J2583" s="1561"/>
      <c r="K2583" s="1561"/>
      <c r="L2583" s="1559"/>
      <c r="M2583" s="1614"/>
    </row>
    <row r="2584" spans="2:13" s="980" customFormat="1" hidden="1">
      <c r="B2584" s="1690">
        <v>323</v>
      </c>
      <c r="C2584" s="1372" t="s">
        <v>773</v>
      </c>
      <c r="D2584" s="1373" t="s">
        <v>4997</v>
      </c>
      <c r="E2584" s="1374"/>
      <c r="F2584" s="1375">
        <f>DUB!L64</f>
        <v>61280</v>
      </c>
      <c r="G2584" s="1376"/>
      <c r="H2584" s="1375">
        <f t="shared" si="73"/>
        <v>19793440</v>
      </c>
      <c r="I2584" s="984"/>
      <c r="J2584" s="1561"/>
      <c r="K2584" s="1561"/>
      <c r="L2584" s="1559"/>
      <c r="M2584" s="1614"/>
    </row>
    <row r="2585" spans="2:13" s="980" customFormat="1" hidden="1">
      <c r="B2585" s="1690">
        <v>0.52</v>
      </c>
      <c r="C2585" s="1372" t="s">
        <v>4764</v>
      </c>
      <c r="D2585" s="1373" t="s">
        <v>4998</v>
      </c>
      <c r="E2585" s="1374"/>
      <c r="F2585" s="1375">
        <f>DUB!I59</f>
        <v>208463</v>
      </c>
      <c r="G2585" s="1376"/>
      <c r="H2585" s="1375">
        <f t="shared" si="73"/>
        <v>108400.76000000001</v>
      </c>
      <c r="I2585" s="984"/>
      <c r="J2585" s="1561"/>
      <c r="K2585" s="1561"/>
      <c r="L2585" s="1559"/>
      <c r="M2585" s="1614"/>
    </row>
    <row r="2586" spans="2:13" s="980" customFormat="1" hidden="1">
      <c r="B2586" s="1690">
        <v>0.76959999999999995</v>
      </c>
      <c r="C2586" s="1372" t="s">
        <v>4764</v>
      </c>
      <c r="D2586" s="1373" t="s">
        <v>4999</v>
      </c>
      <c r="E2586" s="1374"/>
      <c r="F2586" s="1375">
        <f>DUB!I43</f>
        <v>471183.75</v>
      </c>
      <c r="G2586" s="1376"/>
      <c r="H2586" s="1375">
        <f t="shared" si="73"/>
        <v>362623.01399999997</v>
      </c>
      <c r="I2586" s="984"/>
      <c r="J2586" s="1561"/>
      <c r="K2586" s="1561"/>
      <c r="L2586" s="1559"/>
      <c r="M2586" s="1614"/>
    </row>
    <row r="2587" spans="2:13" s="980" customFormat="1" hidden="1">
      <c r="B2587" s="1690">
        <v>2.8</v>
      </c>
      <c r="C2587" s="1372" t="s">
        <v>3025</v>
      </c>
      <c r="D2587" s="1373" t="s">
        <v>5007</v>
      </c>
      <c r="E2587" s="1374"/>
      <c r="F2587" s="1375">
        <f>DUB!I97</f>
        <v>348075</v>
      </c>
      <c r="G2587" s="1376"/>
      <c r="H2587" s="1375">
        <f t="shared" si="73"/>
        <v>974609.99999999988</v>
      </c>
      <c r="I2587" s="984"/>
      <c r="J2587" s="1561"/>
      <c r="K2587" s="1561"/>
      <c r="L2587" s="1559"/>
      <c r="M2587" s="1614"/>
    </row>
    <row r="2588" spans="2:13" s="980" customFormat="1" hidden="1">
      <c r="B2588" s="1690">
        <v>32</v>
      </c>
      <c r="C2588" s="1372" t="s">
        <v>2666</v>
      </c>
      <c r="D2588" s="1373" t="s">
        <v>5008</v>
      </c>
      <c r="E2588" s="1374"/>
      <c r="F2588" s="1375">
        <f>DUB!I80</f>
        <v>41220</v>
      </c>
      <c r="G2588" s="1376"/>
      <c r="H2588" s="1375">
        <f t="shared" si="73"/>
        <v>1319040</v>
      </c>
      <c r="I2588" s="984"/>
      <c r="J2588" s="1561"/>
      <c r="K2588" s="1561"/>
      <c r="L2588" s="1559"/>
      <c r="M2588" s="1614"/>
    </row>
    <row r="2589" spans="2:13" s="980" customFormat="1" hidden="1">
      <c r="B2589" s="1690">
        <v>5.8</v>
      </c>
      <c r="C2589" s="1372" t="s">
        <v>3423</v>
      </c>
      <c r="D2589" s="1373" t="s">
        <v>5000</v>
      </c>
      <c r="E2589" s="1374"/>
      <c r="F2589" s="1371"/>
      <c r="G2589" s="1375">
        <f t="shared" ref="G2589:G2594" si="74">VLOOKUP(D2589,D,3,FALSE)</f>
        <v>65000</v>
      </c>
      <c r="H2589" s="1375">
        <f t="shared" ref="H2589:H2594" si="75">B2589*G2589</f>
        <v>377000</v>
      </c>
      <c r="I2589" s="984"/>
      <c r="J2589" s="1561"/>
      <c r="K2589" s="1561"/>
      <c r="L2589" s="1559"/>
      <c r="M2589" s="1614"/>
    </row>
    <row r="2590" spans="2:13" s="980" customFormat="1" hidden="1">
      <c r="B2590" s="1690">
        <v>0.35</v>
      </c>
      <c r="C2590" s="1372" t="s">
        <v>3423</v>
      </c>
      <c r="D2590" s="1373" t="s">
        <v>731</v>
      </c>
      <c r="E2590" s="1374"/>
      <c r="F2590" s="1371"/>
      <c r="G2590" s="1375">
        <f t="shared" si="74"/>
        <v>100000</v>
      </c>
      <c r="H2590" s="1375">
        <f t="shared" si="75"/>
        <v>35000</v>
      </c>
      <c r="I2590" s="984"/>
      <c r="J2590" s="1561"/>
      <c r="K2590" s="1561"/>
      <c r="L2590" s="1559"/>
      <c r="M2590" s="1614"/>
    </row>
    <row r="2591" spans="2:13" s="980" customFormat="1" hidden="1">
      <c r="B2591" s="1690">
        <v>2.8</v>
      </c>
      <c r="C2591" s="1372" t="s">
        <v>3423</v>
      </c>
      <c r="D2591" s="1373" t="s">
        <v>871</v>
      </c>
      <c r="E2591" s="1374"/>
      <c r="F2591" s="1371"/>
      <c r="G2591" s="1375">
        <f t="shared" si="74"/>
        <v>100000</v>
      </c>
      <c r="H2591" s="1375">
        <f t="shared" si="75"/>
        <v>280000</v>
      </c>
      <c r="I2591" s="984"/>
      <c r="J2591" s="1561"/>
      <c r="K2591" s="1561"/>
      <c r="L2591" s="1559"/>
      <c r="M2591" s="1614"/>
    </row>
    <row r="2592" spans="2:13" s="980" customFormat="1" hidden="1">
      <c r="B2592" s="1690">
        <v>1.05</v>
      </c>
      <c r="C2592" s="1372" t="s">
        <v>3423</v>
      </c>
      <c r="D2592" s="1373" t="s">
        <v>4999</v>
      </c>
      <c r="E2592" s="1374"/>
      <c r="F2592" s="1371"/>
      <c r="G2592" s="1375">
        <f t="shared" si="74"/>
        <v>455520</v>
      </c>
      <c r="H2592" s="1375">
        <f t="shared" si="75"/>
        <v>478296</v>
      </c>
      <c r="I2592" s="984"/>
      <c r="J2592" s="1561"/>
      <c r="K2592" s="1561"/>
      <c r="L2592" s="1559"/>
      <c r="M2592" s="1614"/>
    </row>
    <row r="2593" spans="2:13" s="980" customFormat="1" hidden="1">
      <c r="B2593" s="1690">
        <v>0.42</v>
      </c>
      <c r="C2593" s="1372" t="s">
        <v>3423</v>
      </c>
      <c r="D2593" s="1373" t="s">
        <v>751</v>
      </c>
      <c r="E2593" s="1374"/>
      <c r="F2593" s="1371"/>
      <c r="G2593" s="1375">
        <f t="shared" si="74"/>
        <v>110000</v>
      </c>
      <c r="H2593" s="1375">
        <f t="shared" si="75"/>
        <v>46200</v>
      </c>
      <c r="I2593" s="984"/>
      <c r="J2593" s="1561"/>
      <c r="K2593" s="1561"/>
      <c r="L2593" s="1559"/>
      <c r="M2593" s="1614"/>
    </row>
    <row r="2594" spans="2:13" s="980" customFormat="1" hidden="1">
      <c r="B2594" s="1690">
        <v>0.185</v>
      </c>
      <c r="C2594" s="1372" t="s">
        <v>3423</v>
      </c>
      <c r="D2594" s="1373" t="s">
        <v>683</v>
      </c>
      <c r="E2594" s="1374"/>
      <c r="F2594" s="1371"/>
      <c r="G2594" s="1375">
        <f t="shared" si="74"/>
        <v>120000</v>
      </c>
      <c r="H2594" s="1375">
        <f t="shared" si="75"/>
        <v>22200</v>
      </c>
      <c r="I2594" s="984"/>
      <c r="J2594" s="1561"/>
      <c r="K2594" s="1561"/>
      <c r="L2594" s="1559"/>
      <c r="M2594" s="1614"/>
    </row>
    <row r="2595" spans="2:13" s="980" customFormat="1" hidden="1">
      <c r="B2595" s="1690"/>
      <c r="C2595" s="1377"/>
      <c r="D2595" s="1373"/>
      <c r="E2595" s="1374"/>
      <c r="F2595" s="1371"/>
      <c r="G2595" s="1375"/>
      <c r="H2595" s="1379">
        <f>SUM(H2579:H2594)</f>
        <v>26735310.989</v>
      </c>
      <c r="I2595" s="984"/>
      <c r="J2595" s="1561"/>
      <c r="K2595" s="1561"/>
      <c r="L2595" s="1559"/>
      <c r="M2595" s="1614"/>
    </row>
    <row r="2596" spans="2:13" s="980" customFormat="1" hidden="1">
      <c r="B2596" s="1688"/>
      <c r="C2596" s="1366" t="s">
        <v>5003</v>
      </c>
      <c r="D2596" s="1366"/>
      <c r="E2596" s="1366"/>
      <c r="F2596" s="1366"/>
      <c r="G2596" s="1366"/>
      <c r="H2596" s="1367">
        <f>H2595*15%</f>
        <v>4010296.6483499999</v>
      </c>
      <c r="I2596" s="984"/>
      <c r="J2596" s="1561"/>
      <c r="K2596" s="1561"/>
      <c r="L2596" s="1559"/>
      <c r="M2596" s="1614"/>
    </row>
    <row r="2597" spans="2:13" s="980" customFormat="1" hidden="1">
      <c r="B2597" s="1688"/>
      <c r="C2597" s="1366" t="s">
        <v>5004</v>
      </c>
      <c r="D2597" s="1366"/>
      <c r="E2597" s="1366"/>
      <c r="F2597" s="1366"/>
      <c r="G2597" s="1366"/>
      <c r="H2597" s="1367">
        <f>SUM(H2595:H2596)</f>
        <v>30745607.63735</v>
      </c>
      <c r="I2597" s="984"/>
      <c r="J2597" s="1561"/>
      <c r="K2597" s="1561"/>
      <c r="L2597" s="1559"/>
      <c r="M2597" s="1614"/>
    </row>
    <row r="2598" spans="2:13" s="980" customFormat="1" hidden="1">
      <c r="B2598" s="1688"/>
      <c r="C2598" s="1366"/>
      <c r="D2598" s="1366"/>
      <c r="E2598" s="1366"/>
      <c r="F2598" s="1366"/>
      <c r="G2598" s="1366"/>
      <c r="H2598" s="1367"/>
      <c r="I2598" s="984"/>
      <c r="J2598" s="1561"/>
      <c r="K2598" s="1561"/>
      <c r="L2598" s="1559"/>
      <c r="M2598" s="1614"/>
    </row>
    <row r="2599" spans="2:13" s="979" customFormat="1" hidden="1">
      <c r="B2599" s="1691"/>
      <c r="C2599" s="1382"/>
      <c r="D2599" s="1383"/>
      <c r="E2599" s="1383"/>
      <c r="F2599" s="1384"/>
      <c r="G2599" s="1385"/>
      <c r="H2599" s="1386"/>
      <c r="J2599" s="1557"/>
      <c r="K2599" s="1557"/>
      <c r="L2599" s="1557"/>
      <c r="M2599" s="1619"/>
    </row>
    <row r="2600" spans="2:13" s="979" customFormat="1" hidden="1">
      <c r="B2600" s="1692" t="s">
        <v>3999</v>
      </c>
      <c r="C2600" s="1366" t="s">
        <v>2891</v>
      </c>
      <c r="D2600" s="1383"/>
      <c r="E2600" s="1383"/>
      <c r="F2600" s="1384"/>
      <c r="G2600" s="1385"/>
      <c r="H2600" s="1386"/>
      <c r="J2600" s="1557"/>
      <c r="K2600" s="1557"/>
      <c r="L2600" s="1557"/>
      <c r="M2600" s="1619"/>
    </row>
    <row r="2601" spans="2:13" s="982" customFormat="1" ht="24.9" hidden="1" customHeight="1">
      <c r="B2601" s="1693" t="s">
        <v>1003</v>
      </c>
      <c r="C2601" s="1387" t="s">
        <v>1004</v>
      </c>
      <c r="D2601" s="1387" t="s">
        <v>1005</v>
      </c>
      <c r="E2601" s="1387" t="s">
        <v>1006</v>
      </c>
      <c r="F2601" s="1388" t="s">
        <v>1007</v>
      </c>
      <c r="G2601" s="1389" t="s">
        <v>2639</v>
      </c>
      <c r="H2601" s="1390" t="s">
        <v>2638</v>
      </c>
      <c r="J2601" s="1625"/>
      <c r="K2601" s="1625"/>
      <c r="L2601" s="1625"/>
      <c r="M2601" s="1626"/>
    </row>
    <row r="2602" spans="2:13" s="979" customFormat="1" hidden="1">
      <c r="B2602" s="1694" t="s">
        <v>671</v>
      </c>
      <c r="C2602" s="1391" t="s">
        <v>672</v>
      </c>
      <c r="D2602" s="1550"/>
      <c r="E2602" s="1550"/>
      <c r="F2602" s="1392"/>
      <c r="G2602" s="1393"/>
      <c r="H2602" s="1394"/>
      <c r="J2602" s="1557"/>
      <c r="K2602" s="1557"/>
      <c r="L2602" s="1557"/>
      <c r="M2602" s="1619"/>
    </row>
    <row r="2603" spans="2:13" s="979" customFormat="1" hidden="1">
      <c r="B2603" s="1694"/>
      <c r="C2603" s="1391" t="s">
        <v>673</v>
      </c>
      <c r="D2603" s="1550" t="s">
        <v>674</v>
      </c>
      <c r="E2603" s="1550" t="s">
        <v>675</v>
      </c>
      <c r="F2603" s="1392">
        <v>0.32</v>
      </c>
      <c r="G2603" s="1393">
        <f>DUB!$I$10</f>
        <v>150000</v>
      </c>
      <c r="H2603" s="1394">
        <f>G2603*F2603</f>
        <v>48000</v>
      </c>
      <c r="J2603" s="1557"/>
      <c r="K2603" s="1557"/>
      <c r="L2603" s="1557"/>
      <c r="M2603" s="1619"/>
    </row>
    <row r="2604" spans="2:13" s="979" customFormat="1" hidden="1">
      <c r="B2604" s="1694"/>
      <c r="C2604" s="1391" t="s">
        <v>816</v>
      </c>
      <c r="D2604" s="1550" t="s">
        <v>678</v>
      </c>
      <c r="E2604" s="1550" t="s">
        <v>675</v>
      </c>
      <c r="F2604" s="1392">
        <v>0.12</v>
      </c>
      <c r="G2604" s="1393">
        <f>DUB!$I$11</f>
        <v>187000</v>
      </c>
      <c r="H2604" s="1394">
        <f>G2604*F2604</f>
        <v>22440</v>
      </c>
      <c r="J2604" s="1557"/>
      <c r="K2604" s="1557"/>
      <c r="L2604" s="1557"/>
      <c r="M2604" s="1619"/>
    </row>
    <row r="2605" spans="2:13" s="979" customFormat="1" hidden="1">
      <c r="B2605" s="1694"/>
      <c r="C2605" s="1391" t="s">
        <v>680</v>
      </c>
      <c r="D2605" s="1550" t="s">
        <v>681</v>
      </c>
      <c r="E2605" s="1550" t="s">
        <v>675</v>
      </c>
      <c r="F2605" s="1392">
        <v>1.2E-2</v>
      </c>
      <c r="G2605" s="1393">
        <f>DUB!$I$13</f>
        <v>240000</v>
      </c>
      <c r="H2605" s="1394">
        <f>G2605*F2605</f>
        <v>2880</v>
      </c>
      <c r="J2605" s="1557"/>
      <c r="K2605" s="1557"/>
      <c r="L2605" s="1557"/>
      <c r="M2605" s="1619"/>
    </row>
    <row r="2606" spans="2:13" s="979" customFormat="1" hidden="1">
      <c r="B2606" s="1694"/>
      <c r="C2606" s="1391" t="s">
        <v>683</v>
      </c>
      <c r="D2606" s="1550" t="s">
        <v>684</v>
      </c>
      <c r="E2606" s="1550" t="s">
        <v>675</v>
      </c>
      <c r="F2606" s="1392">
        <v>1.6E-2</v>
      </c>
      <c r="G2606" s="1393">
        <f>DUB!$I$12</f>
        <v>225000</v>
      </c>
      <c r="H2606" s="1394">
        <f>G2606*F2606</f>
        <v>3600</v>
      </c>
      <c r="J2606" s="1557"/>
      <c r="K2606" s="1557"/>
      <c r="L2606" s="1557"/>
      <c r="M2606" s="1619"/>
    </row>
    <row r="2607" spans="2:13" s="979" customFormat="1" hidden="1">
      <c r="B2607" s="1694"/>
      <c r="C2607" s="1391"/>
      <c r="D2607" s="1550"/>
      <c r="E2607" s="1550"/>
      <c r="F2607" s="2149" t="s">
        <v>685</v>
      </c>
      <c r="G2607" s="2149"/>
      <c r="H2607" s="1394">
        <f>SUM(H2603:H2606)</f>
        <v>76920</v>
      </c>
      <c r="J2607" s="1557"/>
      <c r="K2607" s="1557"/>
      <c r="L2607" s="1557"/>
      <c r="M2607" s="1619"/>
    </row>
    <row r="2608" spans="2:13" s="979" customFormat="1" hidden="1">
      <c r="B2608" s="1694" t="s">
        <v>686</v>
      </c>
      <c r="C2608" s="1391" t="s">
        <v>687</v>
      </c>
      <c r="D2608" s="1550"/>
      <c r="E2608" s="1550"/>
      <c r="F2608" s="1392"/>
      <c r="G2608" s="1393"/>
      <c r="H2608" s="1394"/>
      <c r="J2608" s="1557"/>
      <c r="K2608" s="1557"/>
      <c r="L2608" s="1557"/>
      <c r="M2608" s="1619"/>
    </row>
    <row r="2609" spans="2:13" s="979" customFormat="1" hidden="1">
      <c r="B2609" s="1694"/>
      <c r="C2609" s="1391" t="s">
        <v>1045</v>
      </c>
      <c r="D2609" s="1550"/>
      <c r="E2609" s="1550" t="s">
        <v>1423</v>
      </c>
      <c r="F2609" s="1392">
        <v>12.5</v>
      </c>
      <c r="G2609" s="1393">
        <f>DUB!$I$55</f>
        <v>3186</v>
      </c>
      <c r="H2609" s="1394">
        <f>G2609*F2609</f>
        <v>39825</v>
      </c>
      <c r="J2609" s="1557"/>
      <c r="K2609" s="1557"/>
      <c r="L2609" s="1557"/>
      <c r="M2609" s="1619"/>
    </row>
    <row r="2610" spans="2:13" s="979" customFormat="1" hidden="1">
      <c r="B2610" s="1694"/>
      <c r="C2610" s="1391" t="s">
        <v>738</v>
      </c>
      <c r="D2610" s="1550"/>
      <c r="E2610" s="1550" t="s">
        <v>690</v>
      </c>
      <c r="F2610" s="1392">
        <v>22.74</v>
      </c>
      <c r="G2610" s="1393">
        <f>DUB!$I$65</f>
        <v>1575</v>
      </c>
      <c r="H2610" s="1394">
        <f>G2610*F2610</f>
        <v>35815.5</v>
      </c>
      <c r="J2610" s="1557"/>
      <c r="K2610" s="1557"/>
      <c r="L2610" s="1557"/>
      <c r="M2610" s="1619"/>
    </row>
    <row r="2611" spans="2:13" s="979" customFormat="1" hidden="1">
      <c r="B2611" s="1694"/>
      <c r="C2611" s="1391" t="s">
        <v>808</v>
      </c>
      <c r="D2611" s="1550"/>
      <c r="E2611" s="1550" t="s">
        <v>2646</v>
      </c>
      <c r="F2611" s="1392">
        <v>0.55000000000000004</v>
      </c>
      <c r="G2611" s="1393">
        <f>DUB!$I$59</f>
        <v>208463</v>
      </c>
      <c r="H2611" s="1394">
        <f>G2611*F2611</f>
        <v>114654.65000000001</v>
      </c>
      <c r="J2611" s="1557"/>
      <c r="K2611" s="1557"/>
      <c r="L2611" s="1557"/>
      <c r="M2611" s="1619"/>
    </row>
    <row r="2612" spans="2:13" s="979" customFormat="1" hidden="1">
      <c r="B2612" s="1694"/>
      <c r="C2612" s="1391" t="s">
        <v>1043</v>
      </c>
      <c r="D2612" s="1550"/>
      <c r="E2612" s="1550" t="s">
        <v>690</v>
      </c>
      <c r="F2612" s="1392">
        <v>0.28000000000000003</v>
      </c>
      <c r="G2612" s="1393">
        <f>DUB!$I$101</f>
        <v>15300</v>
      </c>
      <c r="H2612" s="1394">
        <f>G2612*F2612</f>
        <v>4284</v>
      </c>
      <c r="J2612" s="1557"/>
      <c r="K2612" s="1557"/>
      <c r="L2612" s="1557"/>
      <c r="M2612" s="1619"/>
    </row>
    <row r="2613" spans="2:13" s="979" customFormat="1" hidden="1">
      <c r="B2613" s="1694"/>
      <c r="C2613" s="1391"/>
      <c r="D2613" s="1550"/>
      <c r="E2613" s="1550"/>
      <c r="F2613" s="2149" t="s">
        <v>702</v>
      </c>
      <c r="G2613" s="2149"/>
      <c r="H2613" s="1394">
        <f>SUM(H2609:H2612)</f>
        <v>194579.15000000002</v>
      </c>
      <c r="J2613" s="1557"/>
      <c r="K2613" s="1557"/>
      <c r="L2613" s="1557"/>
      <c r="M2613" s="1619"/>
    </row>
    <row r="2614" spans="2:13" s="980" customFormat="1" hidden="1">
      <c r="B2614" s="1694" t="s">
        <v>703</v>
      </c>
      <c r="C2614" s="2118" t="s">
        <v>3764</v>
      </c>
      <c r="D2614" s="2118"/>
      <c r="E2614" s="2118"/>
      <c r="F2614" s="2118"/>
      <c r="G2614" s="2118"/>
      <c r="H2614" s="1395">
        <f>H2607+H2613</f>
        <v>271499.15000000002</v>
      </c>
      <c r="J2614" s="1559"/>
      <c r="K2614" s="1559"/>
      <c r="L2614" s="1559"/>
      <c r="M2614" s="1614"/>
    </row>
    <row r="2615" spans="2:13" s="980" customFormat="1" hidden="1">
      <c r="B2615" s="1694" t="s">
        <v>706</v>
      </c>
      <c r="C2615" s="2147" t="s">
        <v>876</v>
      </c>
      <c r="D2615" s="2147"/>
      <c r="E2615" s="2147"/>
      <c r="F2615" s="2148" t="s">
        <v>3873</v>
      </c>
      <c r="G2615" s="2148"/>
      <c r="H2615" s="1395">
        <f>H2614*0.15</f>
        <v>40724.872500000005</v>
      </c>
      <c r="J2615" s="1559"/>
      <c r="K2615" s="1559"/>
      <c r="L2615" s="1559"/>
      <c r="M2615" s="1614"/>
    </row>
    <row r="2616" spans="2:13" s="980" customFormat="1" hidden="1">
      <c r="B2616" s="1694" t="s">
        <v>708</v>
      </c>
      <c r="C2616" s="2118" t="s">
        <v>3765</v>
      </c>
      <c r="D2616" s="2118"/>
      <c r="E2616" s="2118"/>
      <c r="F2616" s="2118"/>
      <c r="G2616" s="2118"/>
      <c r="H2616" s="1395">
        <f>ROUND(SUM(H2614:H2615),2)</f>
        <v>312224.02</v>
      </c>
      <c r="I2616" s="1339">
        <f>SUM(H2614:H2615)</f>
        <v>312224.02250000002</v>
      </c>
      <c r="J2616" s="1561"/>
      <c r="K2616" s="1561"/>
      <c r="L2616" s="1559"/>
      <c r="M2616" s="1614"/>
    </row>
    <row r="2617" spans="2:13" s="979" customFormat="1" hidden="1">
      <c r="B2617" s="1695"/>
      <c r="C2617" s="1396"/>
      <c r="D2617" s="1397"/>
      <c r="E2617" s="1397"/>
      <c r="F2617" s="1398"/>
      <c r="G2617" s="1399"/>
      <c r="H2617" s="1400"/>
      <c r="J2617" s="1557"/>
      <c r="K2617" s="1557"/>
      <c r="L2617" s="1557"/>
      <c r="M2617" s="1619"/>
    </row>
    <row r="2618" spans="2:13" s="979" customFormat="1" hidden="1">
      <c r="B2618" s="1692" t="s">
        <v>4000</v>
      </c>
      <c r="C2618" s="1401" t="s">
        <v>3345</v>
      </c>
      <c r="D2618" s="1397"/>
      <c r="E2618" s="1397"/>
      <c r="F2618" s="1398"/>
      <c r="G2618" s="1399"/>
      <c r="H2618" s="1400"/>
      <c r="J2618" s="1557"/>
      <c r="K2618" s="1557"/>
      <c r="L2618" s="1557"/>
      <c r="M2618" s="1619"/>
    </row>
    <row r="2619" spans="2:13" s="982" customFormat="1" ht="24.9" hidden="1" customHeight="1">
      <c r="B2619" s="1693" t="s">
        <v>1003</v>
      </c>
      <c r="C2619" s="1387" t="s">
        <v>1004</v>
      </c>
      <c r="D2619" s="1387" t="s">
        <v>1005</v>
      </c>
      <c r="E2619" s="1387" t="s">
        <v>1006</v>
      </c>
      <c r="F2619" s="1388" t="s">
        <v>1007</v>
      </c>
      <c r="G2619" s="1389" t="s">
        <v>2639</v>
      </c>
      <c r="H2619" s="1390" t="s">
        <v>2638</v>
      </c>
      <c r="J2619" s="1625"/>
      <c r="K2619" s="1625"/>
      <c r="L2619" s="1625"/>
      <c r="M2619" s="1626"/>
    </row>
    <row r="2620" spans="2:13" s="979" customFormat="1" hidden="1">
      <c r="B2620" s="1694" t="s">
        <v>671</v>
      </c>
      <c r="C2620" s="1391" t="s">
        <v>672</v>
      </c>
      <c r="D2620" s="1550"/>
      <c r="E2620" s="1550"/>
      <c r="F2620" s="1392"/>
      <c r="G2620" s="1393"/>
      <c r="H2620" s="1394"/>
      <c r="J2620" s="1557"/>
      <c r="K2620" s="1557"/>
      <c r="L2620" s="1557"/>
      <c r="M2620" s="1619"/>
    </row>
    <row r="2621" spans="2:13" s="979" customFormat="1" hidden="1">
      <c r="B2621" s="1694"/>
      <c r="C2621" s="1391" t="s">
        <v>673</v>
      </c>
      <c r="D2621" s="1550" t="s">
        <v>674</v>
      </c>
      <c r="E2621" s="1550" t="s">
        <v>675</v>
      </c>
      <c r="F2621" s="1392">
        <v>0.32</v>
      </c>
      <c r="G2621" s="1393">
        <f>DUB!$I$10</f>
        <v>150000</v>
      </c>
      <c r="H2621" s="1394">
        <f>G2621*F2621</f>
        <v>48000</v>
      </c>
      <c r="J2621" s="1557"/>
      <c r="K2621" s="1557"/>
      <c r="L2621" s="1557"/>
      <c r="M2621" s="1619"/>
    </row>
    <row r="2622" spans="2:13" s="979" customFormat="1" hidden="1">
      <c r="B2622" s="1694"/>
      <c r="C2622" s="1391" t="s">
        <v>816</v>
      </c>
      <c r="D2622" s="1550" t="s">
        <v>678</v>
      </c>
      <c r="E2622" s="1550" t="s">
        <v>675</v>
      </c>
      <c r="F2622" s="1392">
        <v>0.12</v>
      </c>
      <c r="G2622" s="1393">
        <f>DUB!$I$11</f>
        <v>187000</v>
      </c>
      <c r="H2622" s="1394">
        <f>G2622*F2622</f>
        <v>22440</v>
      </c>
      <c r="J2622" s="1557"/>
      <c r="K2622" s="1557"/>
      <c r="L2622" s="1557"/>
      <c r="M2622" s="1619"/>
    </row>
    <row r="2623" spans="2:13" s="979" customFormat="1" hidden="1">
      <c r="B2623" s="1694"/>
      <c r="C2623" s="1391" t="s">
        <v>680</v>
      </c>
      <c r="D2623" s="1550" t="s">
        <v>681</v>
      </c>
      <c r="E2623" s="1550" t="s">
        <v>675</v>
      </c>
      <c r="F2623" s="1392">
        <v>1.2E-2</v>
      </c>
      <c r="G2623" s="1393">
        <f>DUB!$I$13</f>
        <v>240000</v>
      </c>
      <c r="H2623" s="1394">
        <f>G2623*F2623</f>
        <v>2880</v>
      </c>
      <c r="J2623" s="1557"/>
      <c r="K2623" s="1557"/>
      <c r="L2623" s="1557"/>
      <c r="M2623" s="1619"/>
    </row>
    <row r="2624" spans="2:13" s="979" customFormat="1" hidden="1">
      <c r="B2624" s="1694"/>
      <c r="C2624" s="1391" t="s">
        <v>683</v>
      </c>
      <c r="D2624" s="1550" t="s">
        <v>684</v>
      </c>
      <c r="E2624" s="1550" t="s">
        <v>675</v>
      </c>
      <c r="F2624" s="1392">
        <v>1.6E-2</v>
      </c>
      <c r="G2624" s="1393">
        <f>DUB!$I$12</f>
        <v>225000</v>
      </c>
      <c r="H2624" s="1394">
        <f>G2624*F2624</f>
        <v>3600</v>
      </c>
      <c r="J2624" s="1557"/>
      <c r="K2624" s="1557"/>
      <c r="L2624" s="1557"/>
      <c r="M2624" s="1619"/>
    </row>
    <row r="2625" spans="2:13" s="979" customFormat="1" hidden="1">
      <c r="B2625" s="1694"/>
      <c r="C2625" s="1391"/>
      <c r="D2625" s="1550"/>
      <c r="E2625" s="1550"/>
      <c r="F2625" s="2149" t="s">
        <v>685</v>
      </c>
      <c r="G2625" s="2149"/>
      <c r="H2625" s="1394">
        <f>SUM(H2621:H2624)</f>
        <v>76920</v>
      </c>
      <c r="J2625" s="1557"/>
      <c r="K2625" s="1557"/>
      <c r="L2625" s="1557"/>
      <c r="M2625" s="1619"/>
    </row>
    <row r="2626" spans="2:13" s="979" customFormat="1" hidden="1">
      <c r="B2626" s="1694" t="s">
        <v>686</v>
      </c>
      <c r="C2626" s="1391" t="s">
        <v>687</v>
      </c>
      <c r="D2626" s="1550"/>
      <c r="E2626" s="1550"/>
      <c r="F2626" s="1392"/>
      <c r="G2626" s="1393"/>
      <c r="H2626" s="1394"/>
      <c r="J2626" s="1557"/>
      <c r="K2626" s="1557"/>
      <c r="L2626" s="1557"/>
      <c r="M2626" s="1619"/>
    </row>
    <row r="2627" spans="2:13" s="979" customFormat="1" hidden="1">
      <c r="B2627" s="1694"/>
      <c r="C2627" s="1391" t="s">
        <v>1045</v>
      </c>
      <c r="D2627" s="1550"/>
      <c r="E2627" s="1550" t="s">
        <v>1423</v>
      </c>
      <c r="F2627" s="1392">
        <v>12.5</v>
      </c>
      <c r="G2627" s="1393">
        <f>DUB!$I$55</f>
        <v>3186</v>
      </c>
      <c r="H2627" s="1394">
        <f>G2627*F2627</f>
        <v>39825</v>
      </c>
      <c r="J2627" s="1557"/>
      <c r="K2627" s="1557"/>
      <c r="L2627" s="1557"/>
      <c r="M2627" s="1619"/>
    </row>
    <row r="2628" spans="2:13" s="979" customFormat="1" hidden="1">
      <c r="B2628" s="1694"/>
      <c r="C2628" s="1391" t="s">
        <v>738</v>
      </c>
      <c r="D2628" s="1550"/>
      <c r="E2628" s="1550" t="s">
        <v>690</v>
      </c>
      <c r="F2628" s="1392">
        <v>18.2</v>
      </c>
      <c r="G2628" s="1393">
        <f>DUB!$I$65</f>
        <v>1575</v>
      </c>
      <c r="H2628" s="1394">
        <f>G2628*F2628</f>
        <v>28665</v>
      </c>
      <c r="J2628" s="1557"/>
      <c r="K2628" s="1557"/>
      <c r="L2628" s="1557"/>
      <c r="M2628" s="1619"/>
    </row>
    <row r="2629" spans="2:13" s="979" customFormat="1" hidden="1">
      <c r="B2629" s="1694"/>
      <c r="C2629" s="1391" t="s">
        <v>808</v>
      </c>
      <c r="D2629" s="1550"/>
      <c r="E2629" s="1550" t="s">
        <v>2646</v>
      </c>
      <c r="F2629" s="1392">
        <v>0.58199999999999996</v>
      </c>
      <c r="G2629" s="1393">
        <f>DUB!$I$59</f>
        <v>208463</v>
      </c>
      <c r="H2629" s="1394">
        <f>G2629*F2629</f>
        <v>121325.46599999999</v>
      </c>
      <c r="J2629" s="1557"/>
      <c r="K2629" s="1557"/>
      <c r="L2629" s="1557"/>
      <c r="M2629" s="1619"/>
    </row>
    <row r="2630" spans="2:13" s="979" customFormat="1" hidden="1">
      <c r="B2630" s="1694"/>
      <c r="C2630" s="1391" t="s">
        <v>1043</v>
      </c>
      <c r="D2630" s="1550"/>
      <c r="E2630" s="1550" t="s">
        <v>690</v>
      </c>
      <c r="F2630" s="1392">
        <v>0.28000000000000003</v>
      </c>
      <c r="G2630" s="1393">
        <f>DUB!$I$101</f>
        <v>15300</v>
      </c>
      <c r="H2630" s="1394">
        <f>G2630*F2630</f>
        <v>4284</v>
      </c>
      <c r="J2630" s="1557"/>
      <c r="K2630" s="1557"/>
      <c r="L2630" s="1557"/>
      <c r="M2630" s="1619"/>
    </row>
    <row r="2631" spans="2:13" s="979" customFormat="1" hidden="1">
      <c r="B2631" s="1694"/>
      <c r="C2631" s="1391"/>
      <c r="D2631" s="1550"/>
      <c r="E2631" s="1550"/>
      <c r="F2631" s="2149" t="s">
        <v>702</v>
      </c>
      <c r="G2631" s="2149"/>
      <c r="H2631" s="1394">
        <f>SUM(H2627:H2630)</f>
        <v>194099.46599999999</v>
      </c>
      <c r="J2631" s="1557"/>
      <c r="K2631" s="1557"/>
      <c r="L2631" s="1557"/>
      <c r="M2631" s="1619"/>
    </row>
    <row r="2632" spans="2:13" s="980" customFormat="1" hidden="1">
      <c r="B2632" s="1694" t="s">
        <v>703</v>
      </c>
      <c r="C2632" s="2118" t="s">
        <v>3764</v>
      </c>
      <c r="D2632" s="2118"/>
      <c r="E2632" s="2118"/>
      <c r="F2632" s="2118"/>
      <c r="G2632" s="2118"/>
      <c r="H2632" s="1395">
        <f>H2625+H2631</f>
        <v>271019.46600000001</v>
      </c>
      <c r="J2632" s="1559"/>
      <c r="K2632" s="1559"/>
      <c r="L2632" s="1559"/>
      <c r="M2632" s="1614"/>
    </row>
    <row r="2633" spans="2:13" s="980" customFormat="1" hidden="1">
      <c r="B2633" s="1694" t="s">
        <v>706</v>
      </c>
      <c r="C2633" s="2147" t="s">
        <v>876</v>
      </c>
      <c r="D2633" s="2147"/>
      <c r="E2633" s="2147"/>
      <c r="F2633" s="2148" t="s">
        <v>3873</v>
      </c>
      <c r="G2633" s="2148"/>
      <c r="H2633" s="1395">
        <f>H2632*0.15</f>
        <v>40652.919900000001</v>
      </c>
      <c r="J2633" s="1559"/>
      <c r="K2633" s="1559"/>
      <c r="L2633" s="1559"/>
      <c r="M2633" s="1614"/>
    </row>
    <row r="2634" spans="2:13" s="980" customFormat="1" hidden="1">
      <c r="B2634" s="1694" t="s">
        <v>708</v>
      </c>
      <c r="C2634" s="2118" t="s">
        <v>3765</v>
      </c>
      <c r="D2634" s="2118"/>
      <c r="E2634" s="2118"/>
      <c r="F2634" s="2118"/>
      <c r="G2634" s="2118"/>
      <c r="H2634" s="1395">
        <f>ROUND(SUM(H2632:H2633),2)</f>
        <v>311672.39</v>
      </c>
      <c r="I2634" s="1339">
        <f>SUM(H2632:H2633)</f>
        <v>311672.38589999999</v>
      </c>
      <c r="J2634" s="1561"/>
      <c r="K2634" s="1561"/>
      <c r="L2634" s="1559"/>
      <c r="M2634" s="1614"/>
    </row>
    <row r="2635" spans="2:13" s="980" customFormat="1" hidden="1">
      <c r="B2635" s="1688"/>
      <c r="C2635" s="1366"/>
      <c r="D2635" s="1366"/>
      <c r="E2635" s="1366"/>
      <c r="F2635" s="1366"/>
      <c r="G2635" s="1366"/>
      <c r="H2635" s="1367"/>
      <c r="I2635" s="984"/>
      <c r="J2635" s="1561"/>
      <c r="K2635" s="1561"/>
      <c r="L2635" s="1559"/>
      <c r="M2635" s="1614"/>
    </row>
    <row r="2636" spans="2:13" s="979" customFormat="1" hidden="1">
      <c r="B2636" s="1691"/>
      <c r="C2636" s="1382"/>
      <c r="D2636" s="1383"/>
      <c r="E2636" s="1383"/>
      <c r="F2636" s="1384"/>
      <c r="G2636" s="1385"/>
      <c r="H2636" s="1386"/>
      <c r="J2636" s="1557"/>
      <c r="K2636" s="1557"/>
      <c r="L2636" s="1557"/>
      <c r="M2636" s="1619"/>
    </row>
    <row r="2637" spans="2:13" s="979" customFormat="1" hidden="1">
      <c r="B2637" s="1613" t="s">
        <v>4001</v>
      </c>
      <c r="C2637" s="1112" t="s">
        <v>3346</v>
      </c>
      <c r="D2637" s="1129"/>
      <c r="E2637" s="1129"/>
      <c r="F2637" s="1131"/>
      <c r="G2637" s="1132"/>
      <c r="H2637" s="1115"/>
      <c r="J2637" s="1557"/>
      <c r="K2637" s="1557"/>
      <c r="L2637" s="1557"/>
      <c r="M2637" s="1619"/>
    </row>
    <row r="2638" spans="2:13" s="982" customFormat="1" ht="24.9" hidden="1" customHeight="1">
      <c r="B2638" s="1686" t="s">
        <v>1003</v>
      </c>
      <c r="C2638" s="1208" t="s">
        <v>1004</v>
      </c>
      <c r="D2638" s="1208" t="s">
        <v>1005</v>
      </c>
      <c r="E2638" s="1208" t="s">
        <v>1006</v>
      </c>
      <c r="F2638" s="1209" t="s">
        <v>1007</v>
      </c>
      <c r="G2638" s="1109" t="s">
        <v>2639</v>
      </c>
      <c r="H2638" s="1110" t="s">
        <v>2638</v>
      </c>
      <c r="J2638" s="1625"/>
      <c r="K2638" s="1625"/>
      <c r="L2638" s="1625"/>
      <c r="M2638" s="1626"/>
    </row>
    <row r="2639" spans="2:13" s="979" customFormat="1" hidden="1">
      <c r="B2639" s="1649" t="s">
        <v>671</v>
      </c>
      <c r="C2639" s="1332" t="s">
        <v>672</v>
      </c>
      <c r="D2639" s="1331"/>
      <c r="E2639" s="1331"/>
      <c r="F2639" s="1334"/>
      <c r="G2639" s="1104"/>
      <c r="H2639" s="1106"/>
      <c r="J2639" s="1557"/>
      <c r="K2639" s="1557"/>
      <c r="L2639" s="1557"/>
      <c r="M2639" s="1619"/>
    </row>
    <row r="2640" spans="2:13" s="979" customFormat="1" hidden="1">
      <c r="B2640" s="1649"/>
      <c r="C2640" s="1332" t="s">
        <v>673</v>
      </c>
      <c r="D2640" s="1331" t="s">
        <v>674</v>
      </c>
      <c r="E2640" s="1331" t="s">
        <v>675</v>
      </c>
      <c r="F2640" s="1334">
        <v>0.3</v>
      </c>
      <c r="G2640" s="1104">
        <f>DUB!$I$10</f>
        <v>150000</v>
      </c>
      <c r="H2640" s="1106">
        <f>G2640*F2640</f>
        <v>45000</v>
      </c>
      <c r="J2640" s="1557"/>
      <c r="K2640" s="1557"/>
      <c r="L2640" s="1557"/>
      <c r="M2640" s="1619"/>
    </row>
    <row r="2641" spans="2:13" s="979" customFormat="1" hidden="1">
      <c r="B2641" s="1649"/>
      <c r="C2641" s="1332" t="s">
        <v>816</v>
      </c>
      <c r="D2641" s="1331" t="s">
        <v>678</v>
      </c>
      <c r="E2641" s="1331" t="s">
        <v>675</v>
      </c>
      <c r="F2641" s="1334">
        <v>0.1</v>
      </c>
      <c r="G2641" s="1104">
        <f>DUB!$I$11</f>
        <v>187000</v>
      </c>
      <c r="H2641" s="1106">
        <f>G2641*F2641</f>
        <v>18700</v>
      </c>
      <c r="J2641" s="1557"/>
      <c r="K2641" s="1557"/>
      <c r="L2641" s="1557"/>
      <c r="M2641" s="1619"/>
    </row>
    <row r="2642" spans="2:13" s="979" customFormat="1" hidden="1">
      <c r="B2642" s="1649"/>
      <c r="C2642" s="1332" t="s">
        <v>680</v>
      </c>
      <c r="D2642" s="1331" t="s">
        <v>681</v>
      </c>
      <c r="E2642" s="1331" t="s">
        <v>675</v>
      </c>
      <c r="F2642" s="1334">
        <v>0.01</v>
      </c>
      <c r="G2642" s="1104">
        <f>DUB!$I$13</f>
        <v>240000</v>
      </c>
      <c r="H2642" s="1106">
        <f>G2642*F2642</f>
        <v>2400</v>
      </c>
      <c r="J2642" s="1557"/>
      <c r="K2642" s="1557"/>
      <c r="L2642" s="1557"/>
      <c r="M2642" s="1619"/>
    </row>
    <row r="2643" spans="2:13" s="979" customFormat="1" hidden="1">
      <c r="B2643" s="1649"/>
      <c r="C2643" s="1332" t="s">
        <v>683</v>
      </c>
      <c r="D2643" s="1331" t="s">
        <v>684</v>
      </c>
      <c r="E2643" s="1331" t="s">
        <v>675</v>
      </c>
      <c r="F2643" s="1334">
        <v>1.4999999999999999E-2</v>
      </c>
      <c r="G2643" s="1104">
        <f>DUB!$I$12</f>
        <v>225000</v>
      </c>
      <c r="H2643" s="1106">
        <f>G2643*F2643</f>
        <v>3375</v>
      </c>
      <c r="J2643" s="1557"/>
      <c r="K2643" s="1557"/>
      <c r="L2643" s="1557"/>
      <c r="M2643" s="1619"/>
    </row>
    <row r="2644" spans="2:13" s="979" customFormat="1" hidden="1">
      <c r="B2644" s="1649"/>
      <c r="C2644" s="1332"/>
      <c r="D2644" s="1331"/>
      <c r="E2644" s="1331"/>
      <c r="F2644" s="2074" t="s">
        <v>685</v>
      </c>
      <c r="G2644" s="2074"/>
      <c r="H2644" s="1106">
        <f>SUM(H2640:H2643)</f>
        <v>69475</v>
      </c>
      <c r="J2644" s="1557"/>
      <c r="K2644" s="1557"/>
      <c r="L2644" s="1557"/>
      <c r="M2644" s="1619"/>
    </row>
    <row r="2645" spans="2:13" s="979" customFormat="1" hidden="1">
      <c r="B2645" s="1649" t="s">
        <v>686</v>
      </c>
      <c r="C2645" s="1332" t="s">
        <v>687</v>
      </c>
      <c r="D2645" s="1331"/>
      <c r="E2645" s="1331"/>
      <c r="F2645" s="1334"/>
      <c r="G2645" s="1104"/>
      <c r="H2645" s="1106"/>
      <c r="J2645" s="1557"/>
      <c r="K2645" s="1557"/>
      <c r="L2645" s="1557"/>
      <c r="M2645" s="1619"/>
    </row>
    <row r="2646" spans="2:13" s="979" customFormat="1" hidden="1">
      <c r="B2646" s="1649"/>
      <c r="C2646" s="1332" t="s">
        <v>1050</v>
      </c>
      <c r="D2646" s="1331"/>
      <c r="E2646" s="1331" t="s">
        <v>1423</v>
      </c>
      <c r="F2646" s="1334">
        <v>12.5</v>
      </c>
      <c r="G2646" s="1104">
        <f>DUB!$I$56</f>
        <v>2727</v>
      </c>
      <c r="H2646" s="1106">
        <f>G2646*F2646</f>
        <v>34087.5</v>
      </c>
      <c r="J2646" s="1557"/>
      <c r="K2646" s="1557"/>
      <c r="L2646" s="1557"/>
      <c r="M2646" s="1619"/>
    </row>
    <row r="2647" spans="2:13" s="979" customFormat="1" hidden="1">
      <c r="B2647" s="1649"/>
      <c r="C2647" s="1332" t="s">
        <v>738</v>
      </c>
      <c r="D2647" s="1331"/>
      <c r="E2647" s="1331" t="s">
        <v>690</v>
      </c>
      <c r="F2647" s="1334">
        <v>15.16</v>
      </c>
      <c r="G2647" s="1104">
        <f>DUB!$I$65</f>
        <v>1575</v>
      </c>
      <c r="H2647" s="1106">
        <f>G2647*F2647</f>
        <v>23877</v>
      </c>
      <c r="J2647" s="1557"/>
      <c r="K2647" s="1557"/>
      <c r="L2647" s="1557"/>
      <c r="M2647" s="1619"/>
    </row>
    <row r="2648" spans="2:13" s="979" customFormat="1" hidden="1">
      <c r="B2648" s="1649"/>
      <c r="C2648" s="1332" t="s">
        <v>808</v>
      </c>
      <c r="D2648" s="1331"/>
      <c r="E2648" s="1331" t="s">
        <v>2646</v>
      </c>
      <c r="F2648" s="1334">
        <v>0.36399999999999999</v>
      </c>
      <c r="G2648" s="1104">
        <f>DUB!$I$59</f>
        <v>208463</v>
      </c>
      <c r="H2648" s="1106">
        <f>G2648*F2648</f>
        <v>75880.531999999992</v>
      </c>
      <c r="J2648" s="1557"/>
      <c r="K2648" s="1557"/>
      <c r="L2648" s="1557"/>
      <c r="M2648" s="1619"/>
    </row>
    <row r="2649" spans="2:13" s="979" customFormat="1" hidden="1">
      <c r="B2649" s="1649"/>
      <c r="C2649" s="1332" t="s">
        <v>1043</v>
      </c>
      <c r="D2649" s="1331"/>
      <c r="E2649" s="1331" t="s">
        <v>690</v>
      </c>
      <c r="F2649" s="1334">
        <v>0.28000000000000003</v>
      </c>
      <c r="G2649" s="1104">
        <f>DUB!$I$101</f>
        <v>15300</v>
      </c>
      <c r="H2649" s="1106">
        <f>G2649*F2649</f>
        <v>4284</v>
      </c>
      <c r="J2649" s="1557"/>
      <c r="K2649" s="1557"/>
      <c r="L2649" s="1557"/>
      <c r="M2649" s="1619"/>
    </row>
    <row r="2650" spans="2:13" s="979" customFormat="1" hidden="1">
      <c r="B2650" s="1649"/>
      <c r="C2650" s="1125"/>
      <c r="D2650" s="1333"/>
      <c r="E2650" s="1333"/>
      <c r="F2650" s="2074" t="s">
        <v>702</v>
      </c>
      <c r="G2650" s="2074"/>
      <c r="H2650" s="1106">
        <f>SUM(H2646:H2649)</f>
        <v>138129.03200000001</v>
      </c>
      <c r="J2650" s="1557"/>
      <c r="K2650" s="1557"/>
      <c r="L2650" s="1557"/>
      <c r="M2650" s="1619"/>
    </row>
    <row r="2651" spans="2:13" s="980" customFormat="1" hidden="1">
      <c r="B2651" s="1649" t="s">
        <v>703</v>
      </c>
      <c r="C2651" s="2075" t="s">
        <v>3764</v>
      </c>
      <c r="D2651" s="2075"/>
      <c r="E2651" s="2075"/>
      <c r="F2651" s="2075"/>
      <c r="G2651" s="2075"/>
      <c r="H2651" s="1107">
        <f>H2644+H2650</f>
        <v>207604.03200000001</v>
      </c>
      <c r="J2651" s="1559"/>
      <c r="K2651" s="1559"/>
      <c r="L2651" s="1559"/>
      <c r="M2651" s="1614"/>
    </row>
    <row r="2652" spans="2:13" s="980" customFormat="1" hidden="1">
      <c r="B2652" s="1649" t="s">
        <v>706</v>
      </c>
      <c r="C2652" s="2076" t="s">
        <v>876</v>
      </c>
      <c r="D2652" s="2076"/>
      <c r="E2652" s="2076"/>
      <c r="F2652" s="2077" t="s">
        <v>3873</v>
      </c>
      <c r="G2652" s="2077"/>
      <c r="H2652" s="1107">
        <f>H2651*0.15</f>
        <v>31140.604800000001</v>
      </c>
      <c r="J2652" s="1559"/>
      <c r="K2652" s="1559"/>
      <c r="L2652" s="1559"/>
      <c r="M2652" s="1614"/>
    </row>
    <row r="2653" spans="2:13" s="980" customFormat="1" hidden="1">
      <c r="B2653" s="1649" t="s">
        <v>708</v>
      </c>
      <c r="C2653" s="2078" t="s">
        <v>3765</v>
      </c>
      <c r="D2653" s="2078"/>
      <c r="E2653" s="2078"/>
      <c r="F2653" s="2078"/>
      <c r="G2653" s="2078"/>
      <c r="H2653" s="1107">
        <f>ROUND(SUM(H2651:H2652),2)</f>
        <v>238744.64</v>
      </c>
      <c r="I2653" s="981">
        <f>SUM(H2651:H2652)</f>
        <v>238744.63680000001</v>
      </c>
      <c r="J2653" s="1561"/>
      <c r="K2653" s="1561"/>
      <c r="L2653" s="1559"/>
      <c r="M2653" s="1614"/>
    </row>
    <row r="2654" spans="2:13" s="979" customFormat="1" hidden="1">
      <c r="B2654" s="1624"/>
      <c r="C2654" s="1096"/>
      <c r="D2654" s="1095"/>
      <c r="E2654" s="1095"/>
      <c r="F2654" s="1172"/>
      <c r="G2654" s="1173"/>
      <c r="H2654" s="1133"/>
      <c r="J2654" s="1557"/>
      <c r="K2654" s="1557"/>
      <c r="L2654" s="1557"/>
      <c r="M2654" s="1619"/>
    </row>
    <row r="2655" spans="2:13" s="979" customFormat="1" hidden="1">
      <c r="B2655" s="1613" t="s">
        <v>4002</v>
      </c>
      <c r="C2655" s="1232" t="s">
        <v>3347</v>
      </c>
      <c r="D2655" s="1095"/>
      <c r="E2655" s="1095"/>
      <c r="F2655" s="1172"/>
      <c r="G2655" s="1173"/>
      <c r="H2655" s="1133"/>
      <c r="J2655" s="1557"/>
      <c r="K2655" s="1557"/>
      <c r="L2655" s="1557"/>
      <c r="M2655" s="1619"/>
    </row>
    <row r="2656" spans="2:13" s="982" customFormat="1" ht="24.9" hidden="1" customHeight="1">
      <c r="B2656" s="1686" t="s">
        <v>1003</v>
      </c>
      <c r="C2656" s="1208" t="s">
        <v>1004</v>
      </c>
      <c r="D2656" s="1208" t="s">
        <v>1005</v>
      </c>
      <c r="E2656" s="1208" t="s">
        <v>1006</v>
      </c>
      <c r="F2656" s="1209" t="s">
        <v>1007</v>
      </c>
      <c r="G2656" s="1109" t="s">
        <v>2639</v>
      </c>
      <c r="H2656" s="1110" t="s">
        <v>2638</v>
      </c>
      <c r="J2656" s="1625"/>
      <c r="K2656" s="1625"/>
      <c r="L2656" s="1625"/>
      <c r="M2656" s="1626"/>
    </row>
    <row r="2657" spans="2:13" s="979" customFormat="1" hidden="1">
      <c r="B2657" s="1649" t="s">
        <v>671</v>
      </c>
      <c r="C2657" s="1332" t="s">
        <v>672</v>
      </c>
      <c r="D2657" s="1331"/>
      <c r="E2657" s="1331"/>
      <c r="F2657" s="1334"/>
      <c r="G2657" s="1104"/>
      <c r="H2657" s="1106"/>
      <c r="J2657" s="1557"/>
      <c r="K2657" s="1557"/>
      <c r="L2657" s="1557"/>
      <c r="M2657" s="1619"/>
    </row>
    <row r="2658" spans="2:13" s="979" customFormat="1" hidden="1">
      <c r="B2658" s="1649"/>
      <c r="C2658" s="1332" t="s">
        <v>673</v>
      </c>
      <c r="D2658" s="1331" t="s">
        <v>674</v>
      </c>
      <c r="E2658" s="1331" t="s">
        <v>675</v>
      </c>
      <c r="F2658" s="1334">
        <v>0.3</v>
      </c>
      <c r="G2658" s="1104">
        <f>DUB!$I$10</f>
        <v>150000</v>
      </c>
      <c r="H2658" s="1106">
        <f>G2658*F2658</f>
        <v>45000</v>
      </c>
      <c r="J2658" s="1557"/>
      <c r="K2658" s="1557"/>
      <c r="L2658" s="1557"/>
      <c r="M2658" s="1619"/>
    </row>
    <row r="2659" spans="2:13" s="979" customFormat="1" hidden="1">
      <c r="B2659" s="1649"/>
      <c r="C2659" s="1332" t="s">
        <v>816</v>
      </c>
      <c r="D2659" s="1331" t="s">
        <v>678</v>
      </c>
      <c r="E2659" s="1331" t="s">
        <v>675</v>
      </c>
      <c r="F2659" s="1334">
        <v>0.1</v>
      </c>
      <c r="G2659" s="1104">
        <f>DUB!$I$11</f>
        <v>187000</v>
      </c>
      <c r="H2659" s="1106">
        <f>G2659*F2659</f>
        <v>18700</v>
      </c>
      <c r="J2659" s="1557"/>
      <c r="K2659" s="1557"/>
      <c r="L2659" s="1557"/>
      <c r="M2659" s="1619"/>
    </row>
    <row r="2660" spans="2:13" s="979" customFormat="1" hidden="1">
      <c r="B2660" s="1649"/>
      <c r="C2660" s="1332" t="s">
        <v>680</v>
      </c>
      <c r="D2660" s="1331" t="s">
        <v>681</v>
      </c>
      <c r="E2660" s="1331" t="s">
        <v>675</v>
      </c>
      <c r="F2660" s="1334">
        <v>0.01</v>
      </c>
      <c r="G2660" s="1104">
        <f>DUB!$I$13</f>
        <v>240000</v>
      </c>
      <c r="H2660" s="1106">
        <f>G2660*F2660</f>
        <v>2400</v>
      </c>
      <c r="J2660" s="1557"/>
      <c r="K2660" s="1557"/>
      <c r="L2660" s="1557"/>
      <c r="M2660" s="1619"/>
    </row>
    <row r="2661" spans="2:13" s="979" customFormat="1" hidden="1">
      <c r="B2661" s="1649"/>
      <c r="C2661" s="1332" t="s">
        <v>683</v>
      </c>
      <c r="D2661" s="1331" t="s">
        <v>684</v>
      </c>
      <c r="E2661" s="1331" t="s">
        <v>675</v>
      </c>
      <c r="F2661" s="1334">
        <v>1.4999999999999999E-2</v>
      </c>
      <c r="G2661" s="1104">
        <f>DUB!$I$12</f>
        <v>225000</v>
      </c>
      <c r="H2661" s="1106">
        <f>G2661*F2661</f>
        <v>3375</v>
      </c>
      <c r="J2661" s="1557"/>
      <c r="K2661" s="1557"/>
      <c r="L2661" s="1557"/>
      <c r="M2661" s="1619"/>
    </row>
    <row r="2662" spans="2:13" s="979" customFormat="1" hidden="1">
      <c r="B2662" s="1649"/>
      <c r="C2662" s="1332"/>
      <c r="D2662" s="1331"/>
      <c r="E2662" s="1331"/>
      <c r="F2662" s="2074" t="s">
        <v>685</v>
      </c>
      <c r="G2662" s="2074"/>
      <c r="H2662" s="1106">
        <f>SUM(H2658:H2661)</f>
        <v>69475</v>
      </c>
      <c r="J2662" s="1557"/>
      <c r="K2662" s="1557"/>
      <c r="L2662" s="1557"/>
      <c r="M2662" s="1619"/>
    </row>
    <row r="2663" spans="2:13" s="979" customFormat="1" hidden="1">
      <c r="B2663" s="1649" t="s">
        <v>686</v>
      </c>
      <c r="C2663" s="1332" t="s">
        <v>687</v>
      </c>
      <c r="D2663" s="1331"/>
      <c r="E2663" s="1331"/>
      <c r="F2663" s="1334"/>
      <c r="G2663" s="1104"/>
      <c r="H2663" s="1106"/>
      <c r="J2663" s="1557"/>
      <c r="K2663" s="1557"/>
      <c r="L2663" s="1557"/>
      <c r="M2663" s="1619"/>
    </row>
    <row r="2664" spans="2:13" s="979" customFormat="1" hidden="1">
      <c r="B2664" s="1649"/>
      <c r="C2664" s="1332" t="s">
        <v>1050</v>
      </c>
      <c r="D2664" s="1331"/>
      <c r="E2664" s="1331" t="s">
        <v>1423</v>
      </c>
      <c r="F2664" s="1334">
        <v>12.5</v>
      </c>
      <c r="G2664" s="1104">
        <f>DUB!$I$56</f>
        <v>2727</v>
      </c>
      <c r="H2664" s="1106">
        <f>G2664*F2664</f>
        <v>34087.5</v>
      </c>
      <c r="J2664" s="1557"/>
      <c r="K2664" s="1557"/>
      <c r="L2664" s="1557"/>
      <c r="M2664" s="1619"/>
    </row>
    <row r="2665" spans="2:13" s="979" customFormat="1" hidden="1">
      <c r="B2665" s="1649"/>
      <c r="C2665" s="1332" t="s">
        <v>738</v>
      </c>
      <c r="D2665" s="1331"/>
      <c r="E2665" s="1331" t="s">
        <v>690</v>
      </c>
      <c r="F2665" s="1334">
        <v>12.13</v>
      </c>
      <c r="G2665" s="1104">
        <f>DUB!$I$65</f>
        <v>1575</v>
      </c>
      <c r="H2665" s="1106">
        <f>G2665*F2665</f>
        <v>19104.75</v>
      </c>
      <c r="J2665" s="1557"/>
      <c r="K2665" s="1557"/>
      <c r="L2665" s="1557"/>
      <c r="M2665" s="1619"/>
    </row>
    <row r="2666" spans="2:13" s="979" customFormat="1" hidden="1">
      <c r="B2666" s="1649"/>
      <c r="C2666" s="1332" t="s">
        <v>808</v>
      </c>
      <c r="D2666" s="1331"/>
      <c r="E2666" s="1331" t="s">
        <v>2646</v>
      </c>
      <c r="F2666" s="1334">
        <v>0.38800000000000001</v>
      </c>
      <c r="G2666" s="1104">
        <f>DUB!$I$59</f>
        <v>208463</v>
      </c>
      <c r="H2666" s="1106">
        <f>G2666*F2666</f>
        <v>80883.644</v>
      </c>
      <c r="J2666" s="1557"/>
      <c r="K2666" s="1557"/>
      <c r="L2666" s="1557"/>
      <c r="M2666" s="1619"/>
    </row>
    <row r="2667" spans="2:13" s="979" customFormat="1" hidden="1">
      <c r="B2667" s="1649"/>
      <c r="C2667" s="1332" t="s">
        <v>1043</v>
      </c>
      <c r="D2667" s="1331"/>
      <c r="E2667" s="1331" t="s">
        <v>690</v>
      </c>
      <c r="F2667" s="1334">
        <v>0.28000000000000003</v>
      </c>
      <c r="G2667" s="1104">
        <f>DUB!$I$101</f>
        <v>15300</v>
      </c>
      <c r="H2667" s="1106">
        <f>G2667*F2667</f>
        <v>4284</v>
      </c>
      <c r="J2667" s="1557"/>
      <c r="K2667" s="1557"/>
      <c r="L2667" s="1557"/>
      <c r="M2667" s="1619"/>
    </row>
    <row r="2668" spans="2:13" s="979" customFormat="1" hidden="1">
      <c r="B2668" s="1649"/>
      <c r="C2668" s="1125"/>
      <c r="D2668" s="1333"/>
      <c r="E2668" s="1333"/>
      <c r="F2668" s="2136" t="s">
        <v>702</v>
      </c>
      <c r="G2668" s="2136"/>
      <c r="H2668" s="1106">
        <f>SUM(H2664:H2667)</f>
        <v>138359.894</v>
      </c>
      <c r="J2668" s="1557"/>
      <c r="K2668" s="1557"/>
      <c r="L2668" s="1557"/>
      <c r="M2668" s="1619"/>
    </row>
    <row r="2669" spans="2:13" s="980" customFormat="1" hidden="1">
      <c r="B2669" s="1649" t="s">
        <v>703</v>
      </c>
      <c r="C2669" s="2075" t="s">
        <v>3764</v>
      </c>
      <c r="D2669" s="2075"/>
      <c r="E2669" s="2075"/>
      <c r="F2669" s="2075"/>
      <c r="G2669" s="2075"/>
      <c r="H2669" s="1107">
        <f>H2662+H2668</f>
        <v>207834.894</v>
      </c>
      <c r="J2669" s="1559"/>
      <c r="K2669" s="1559"/>
      <c r="L2669" s="1559"/>
      <c r="M2669" s="1614"/>
    </row>
    <row r="2670" spans="2:13" s="980" customFormat="1" hidden="1">
      <c r="B2670" s="1649" t="s">
        <v>706</v>
      </c>
      <c r="C2670" s="2076" t="s">
        <v>876</v>
      </c>
      <c r="D2670" s="2076"/>
      <c r="E2670" s="2076"/>
      <c r="F2670" s="2077" t="s">
        <v>3873</v>
      </c>
      <c r="G2670" s="2077"/>
      <c r="H2670" s="1107">
        <f>H2669*0.15</f>
        <v>31175.234099999998</v>
      </c>
      <c r="I2670" s="1696">
        <f>H2669*15%</f>
        <v>31175.234099999998</v>
      </c>
      <c r="J2670" s="1651"/>
      <c r="K2670" s="1651"/>
      <c r="L2670" s="1559"/>
      <c r="M2670" s="1614"/>
    </row>
    <row r="2671" spans="2:13" s="980" customFormat="1" hidden="1">
      <c r="B2671" s="1722" t="s">
        <v>708</v>
      </c>
      <c r="C2671" s="2089" t="s">
        <v>3765</v>
      </c>
      <c r="D2671" s="2089"/>
      <c r="E2671" s="2089"/>
      <c r="F2671" s="2089"/>
      <c r="G2671" s="2089"/>
      <c r="H2671" s="1756">
        <f>ROUND(SUM(H2669:H2670),2)</f>
        <v>239010.13</v>
      </c>
      <c r="I2671" s="1757">
        <f>SUM(H2669:H2670)</f>
        <v>239010.1281</v>
      </c>
      <c r="J2671" s="1561"/>
      <c r="K2671" s="1561"/>
      <c r="L2671" s="1559"/>
      <c r="M2671" s="1614"/>
    </row>
    <row r="2672" spans="2:13" s="979" customFormat="1">
      <c r="B2672" s="1751"/>
      <c r="C2672" s="1752"/>
      <c r="D2672" s="1751"/>
      <c r="E2672" s="1751"/>
      <c r="F2672" s="1753"/>
      <c r="G2672" s="1754"/>
      <c r="H2672" s="1755"/>
      <c r="I2672" s="1758"/>
      <c r="J2672" s="1641"/>
      <c r="K2672" s="1641"/>
      <c r="L2672" s="1641"/>
      <c r="M2672" s="1747"/>
    </row>
    <row r="2673" spans="2:13" s="979" customFormat="1">
      <c r="B2673" s="1100" t="s">
        <v>4003</v>
      </c>
      <c r="C2673" s="1232" t="s">
        <v>5322</v>
      </c>
      <c r="D2673" s="1095"/>
      <c r="E2673" s="1095"/>
      <c r="F2673" s="1172"/>
      <c r="G2673" s="1173"/>
      <c r="H2673" s="1133"/>
      <c r="J2673" s="1557"/>
      <c r="K2673" s="1557"/>
      <c r="L2673" s="1557"/>
      <c r="M2673" s="1566"/>
    </row>
    <row r="2674" spans="2:13" s="982" customFormat="1" ht="24.9" customHeight="1">
      <c r="B2674" s="1208" t="s">
        <v>1003</v>
      </c>
      <c r="C2674" s="1208" t="s">
        <v>1004</v>
      </c>
      <c r="D2674" s="1208" t="s">
        <v>1005</v>
      </c>
      <c r="E2674" s="1208" t="s">
        <v>1006</v>
      </c>
      <c r="F2674" s="1209" t="s">
        <v>1007</v>
      </c>
      <c r="G2674" s="1109" t="s">
        <v>2639</v>
      </c>
      <c r="H2674" s="1110" t="s">
        <v>2638</v>
      </c>
      <c r="I2674" s="1851"/>
      <c r="J2674" s="1823" t="s">
        <v>5335</v>
      </c>
      <c r="K2674" s="1824" t="s">
        <v>5336</v>
      </c>
      <c r="L2674" s="1824" t="s">
        <v>5337</v>
      </c>
      <c r="M2674" s="1825" t="s">
        <v>5338</v>
      </c>
    </row>
    <row r="2675" spans="2:13" s="979" customFormat="1">
      <c r="B2675" s="1330" t="s">
        <v>671</v>
      </c>
      <c r="C2675" s="1332" t="s">
        <v>672</v>
      </c>
      <c r="D2675" s="1331"/>
      <c r="E2675" s="1331"/>
      <c r="F2675" s="1334"/>
      <c r="G2675" s="1104"/>
      <c r="H2675" s="1106"/>
      <c r="J2675" s="1597"/>
      <c r="K2675" s="1597"/>
      <c r="L2675" s="1597"/>
      <c r="M2675" s="1826"/>
    </row>
    <row r="2676" spans="2:13" s="979" customFormat="1">
      <c r="B2676" s="1330"/>
      <c r="C2676" s="1332" t="s">
        <v>673</v>
      </c>
      <c r="D2676" s="1331" t="s">
        <v>674</v>
      </c>
      <c r="E2676" s="1331" t="s">
        <v>675</v>
      </c>
      <c r="F2676" s="1334">
        <v>0.3</v>
      </c>
      <c r="G2676" s="1104">
        <f>DUB!$I$10</f>
        <v>150000</v>
      </c>
      <c r="H2676" s="1106">
        <f>G2676*F2676</f>
        <v>45000</v>
      </c>
      <c r="J2676" s="1609" t="s">
        <v>5339</v>
      </c>
      <c r="K2676" s="1611">
        <v>1</v>
      </c>
      <c r="L2676" s="1608" t="s">
        <v>5340</v>
      </c>
      <c r="M2676" s="1827">
        <f>H2676*K2676</f>
        <v>45000</v>
      </c>
    </row>
    <row r="2677" spans="2:13" s="979" customFormat="1">
      <c r="B2677" s="1330"/>
      <c r="C2677" s="1332" t="s">
        <v>816</v>
      </c>
      <c r="D2677" s="1331" t="s">
        <v>678</v>
      </c>
      <c r="E2677" s="1331" t="s">
        <v>675</v>
      </c>
      <c r="F2677" s="1334">
        <v>0.1</v>
      </c>
      <c r="G2677" s="1104">
        <f>DUB!$I$11</f>
        <v>187000</v>
      </c>
      <c r="H2677" s="1106">
        <f>G2677*F2677</f>
        <v>18700</v>
      </c>
      <c r="J2677" s="1609" t="s">
        <v>5339</v>
      </c>
      <c r="K2677" s="1611">
        <v>1</v>
      </c>
      <c r="L2677" s="1608" t="s">
        <v>5340</v>
      </c>
      <c r="M2677" s="1827">
        <f t="shared" ref="M2677" si="76">H2677*K2677</f>
        <v>18700</v>
      </c>
    </row>
    <row r="2678" spans="2:13" s="979" customFormat="1">
      <c r="B2678" s="1330"/>
      <c r="C2678" s="1332" t="s">
        <v>680</v>
      </c>
      <c r="D2678" s="1331" t="s">
        <v>681</v>
      </c>
      <c r="E2678" s="1331" t="s">
        <v>675</v>
      </c>
      <c r="F2678" s="1334">
        <v>0.01</v>
      </c>
      <c r="G2678" s="1104">
        <f>DUB!$I$13</f>
        <v>240000</v>
      </c>
      <c r="H2678" s="1106">
        <f>G2678*F2678</f>
        <v>2400</v>
      </c>
      <c r="J2678" s="1609" t="s">
        <v>5339</v>
      </c>
      <c r="K2678" s="1611">
        <v>1</v>
      </c>
      <c r="L2678" s="1608" t="s">
        <v>5340</v>
      </c>
      <c r="M2678" s="1827">
        <f>H2678*K2678</f>
        <v>2400</v>
      </c>
    </row>
    <row r="2679" spans="2:13" s="979" customFormat="1">
      <c r="B2679" s="1330"/>
      <c r="C2679" s="1332" t="s">
        <v>683</v>
      </c>
      <c r="D2679" s="1331" t="s">
        <v>684</v>
      </c>
      <c r="E2679" s="1331" t="s">
        <v>675</v>
      </c>
      <c r="F2679" s="1334">
        <v>1.4999999999999999E-2</v>
      </c>
      <c r="G2679" s="1104">
        <f>DUB!$I$12</f>
        <v>225000</v>
      </c>
      <c r="H2679" s="1106">
        <f>G2679*F2679</f>
        <v>3375</v>
      </c>
      <c r="J2679" s="1609" t="s">
        <v>5339</v>
      </c>
      <c r="K2679" s="1611">
        <v>1</v>
      </c>
      <c r="L2679" s="1608" t="s">
        <v>5340</v>
      </c>
      <c r="M2679" s="1827">
        <f t="shared" ref="M2679" si="77">H2679*K2679</f>
        <v>3375</v>
      </c>
    </row>
    <row r="2680" spans="2:13" s="979" customFormat="1">
      <c r="B2680" s="1330"/>
      <c r="C2680" s="1332"/>
      <c r="D2680" s="1331"/>
      <c r="E2680" s="1331"/>
      <c r="F2680" s="2074" t="s">
        <v>685</v>
      </c>
      <c r="G2680" s="2074"/>
      <c r="H2680" s="1106">
        <f>SUM(H2676:H2679)</f>
        <v>69475</v>
      </c>
      <c r="J2680" s="1597"/>
      <c r="K2680" s="1597"/>
      <c r="L2680" s="1597"/>
      <c r="M2680" s="1107">
        <f>SUM(M2676:M2679)</f>
        <v>69475</v>
      </c>
    </row>
    <row r="2681" spans="2:13" s="979" customFormat="1">
      <c r="B2681" s="1330" t="s">
        <v>686</v>
      </c>
      <c r="C2681" s="1332" t="s">
        <v>687</v>
      </c>
      <c r="D2681" s="1331"/>
      <c r="E2681" s="1331"/>
      <c r="F2681" s="1334"/>
      <c r="G2681" s="1104"/>
      <c r="H2681" s="1106"/>
      <c r="J2681" s="1597"/>
      <c r="K2681" s="1597"/>
      <c r="L2681" s="1597"/>
      <c r="M2681" s="1826"/>
    </row>
    <row r="2682" spans="2:13" s="979" customFormat="1">
      <c r="B2682" s="1330"/>
      <c r="C2682" s="1332" t="s">
        <v>3348</v>
      </c>
      <c r="D2682" s="1331"/>
      <c r="E2682" s="1331" t="s">
        <v>1423</v>
      </c>
      <c r="F2682" s="1334">
        <v>25</v>
      </c>
      <c r="G2682" s="1104">
        <f>DUB!$I$53</f>
        <v>13000</v>
      </c>
      <c r="H2682" s="1106">
        <f>G2682*F2682</f>
        <v>325000</v>
      </c>
      <c r="J2682" s="1634" t="s">
        <v>4925</v>
      </c>
      <c r="K2682" s="1611">
        <v>0.98470000000000002</v>
      </c>
      <c r="L2682" s="1607" t="s">
        <v>5343</v>
      </c>
      <c r="M2682" s="1827">
        <f>H2682*K2682</f>
        <v>320027.5</v>
      </c>
    </row>
    <row r="2683" spans="2:13" s="979" customFormat="1">
      <c r="B2683" s="1330"/>
      <c r="C2683" s="1332" t="s">
        <v>738</v>
      </c>
      <c r="D2683" s="1331"/>
      <c r="E2683" s="1331" t="s">
        <v>690</v>
      </c>
      <c r="F2683" s="1334">
        <v>0.14000000000000001</v>
      </c>
      <c r="G2683" s="1104">
        <f>DUB!$I$65</f>
        <v>1575</v>
      </c>
      <c r="H2683" s="1106">
        <f>G2683*F2683</f>
        <v>220.50000000000003</v>
      </c>
      <c r="J2683" s="1642" t="s">
        <v>4925</v>
      </c>
      <c r="K2683" s="1611">
        <v>0.97009999999999996</v>
      </c>
      <c r="L2683" s="1607" t="s">
        <v>5343</v>
      </c>
      <c r="M2683" s="1827">
        <f t="shared" ref="M2683:M2684" si="78">H2683*K2683</f>
        <v>213.90705000000003</v>
      </c>
    </row>
    <row r="2684" spans="2:13" s="979" customFormat="1">
      <c r="B2684" s="1330"/>
      <c r="C2684" s="1332" t="s">
        <v>808</v>
      </c>
      <c r="D2684" s="1331"/>
      <c r="E2684" s="1331" t="s">
        <v>2646</v>
      </c>
      <c r="F2684" s="1334">
        <v>1.4E-2</v>
      </c>
      <c r="G2684" s="1104">
        <f>DUB!$I$59</f>
        <v>208463</v>
      </c>
      <c r="H2684" s="1106">
        <f>G2684*F2684</f>
        <v>2918.482</v>
      </c>
      <c r="J2684" s="1607" t="s">
        <v>5341</v>
      </c>
      <c r="K2684" s="1611">
        <v>1</v>
      </c>
      <c r="L2684" s="1607" t="s">
        <v>5341</v>
      </c>
      <c r="M2684" s="1827">
        <f t="shared" si="78"/>
        <v>2918.482</v>
      </c>
    </row>
    <row r="2685" spans="2:13" s="979" customFormat="1">
      <c r="B2685" s="1330"/>
      <c r="C2685" s="1332"/>
      <c r="D2685" s="1331"/>
      <c r="E2685" s="1331"/>
      <c r="F2685" s="2090" t="s">
        <v>702</v>
      </c>
      <c r="G2685" s="2090"/>
      <c r="H2685" s="1106">
        <f>SUM(H2682:H2684)</f>
        <v>328138.98200000002</v>
      </c>
      <c r="J2685" s="1597"/>
      <c r="K2685" s="1597"/>
      <c r="L2685" s="1597"/>
      <c r="M2685" s="1106">
        <f>SUM(M2682:M2684)</f>
        <v>323159.88905</v>
      </c>
    </row>
    <row r="2686" spans="2:13" s="980" customFormat="1">
      <c r="B2686" s="1330" t="s">
        <v>703</v>
      </c>
      <c r="C2686" s="2089" t="s">
        <v>3764</v>
      </c>
      <c r="D2686" s="2089"/>
      <c r="E2686" s="2089"/>
      <c r="F2686" s="2089"/>
      <c r="G2686" s="2089"/>
      <c r="H2686" s="1107">
        <f>H2680+H2685</f>
        <v>397613.98200000002</v>
      </c>
      <c r="J2686" s="1600"/>
      <c r="K2686" s="1633">
        <f>M2686/H2686</f>
        <v>0.98747757077114051</v>
      </c>
      <c r="L2686" s="1600"/>
      <c r="M2686" s="1107">
        <f>M2680+M2685</f>
        <v>392634.88905</v>
      </c>
    </row>
    <row r="2687" spans="2:13" s="980" customFormat="1">
      <c r="B2687" s="1330" t="s">
        <v>706</v>
      </c>
      <c r="C2687" s="2076" t="s">
        <v>876</v>
      </c>
      <c r="D2687" s="2076"/>
      <c r="E2687" s="2076"/>
      <c r="F2687" s="2077" t="s">
        <v>3873</v>
      </c>
      <c r="G2687" s="2077"/>
      <c r="H2687" s="1107">
        <f>H2686*0.15</f>
        <v>59642.097300000001</v>
      </c>
      <c r="J2687" s="1600"/>
      <c r="K2687" s="1600"/>
      <c r="L2687" s="1600"/>
      <c r="M2687" s="1107">
        <f>M2686*0.15</f>
        <v>58895.233357500001</v>
      </c>
    </row>
    <row r="2688" spans="2:13" s="980" customFormat="1">
      <c r="B2688" s="1330" t="s">
        <v>708</v>
      </c>
      <c r="C2688" s="2078" t="s">
        <v>3765</v>
      </c>
      <c r="D2688" s="2078"/>
      <c r="E2688" s="2078"/>
      <c r="F2688" s="2078"/>
      <c r="G2688" s="2078"/>
      <c r="H2688" s="1107">
        <f>ROUND(SUM(H2686:H2687),2)</f>
        <v>457256.08</v>
      </c>
      <c r="I2688" s="981">
        <f>SUM(H2686:H2687)</f>
        <v>457256.07930000004</v>
      </c>
      <c r="J2688" s="1636"/>
      <c r="K2688" s="1636"/>
      <c r="L2688" s="1637"/>
      <c r="M2688" s="1919">
        <f>ROUND(SUM(M2686:M2687),2)</f>
        <v>451530.12</v>
      </c>
    </row>
    <row r="2689" spans="2:13" s="979" customFormat="1">
      <c r="B2689" s="1129"/>
      <c r="C2689" s="1130"/>
      <c r="D2689" s="1129"/>
      <c r="E2689" s="1129"/>
      <c r="F2689" s="1131"/>
      <c r="G2689" s="1132"/>
      <c r="H2689" s="1115"/>
      <c r="J2689" s="1557"/>
      <c r="K2689" s="1557"/>
      <c r="L2689" s="1557"/>
      <c r="M2689" s="1566"/>
    </row>
    <row r="2690" spans="2:13" s="979" customFormat="1" hidden="1">
      <c r="B2690" s="1100" t="s">
        <v>4791</v>
      </c>
      <c r="C2690" s="1232" t="s">
        <v>4793</v>
      </c>
      <c r="D2690" s="1095"/>
      <c r="E2690" s="1095"/>
      <c r="F2690" s="1172"/>
      <c r="G2690" s="1173"/>
      <c r="H2690" s="1133"/>
      <c r="J2690" s="1557"/>
      <c r="K2690" s="1557"/>
      <c r="L2690" s="1557"/>
      <c r="M2690" s="1566"/>
    </row>
    <row r="2691" spans="2:13" s="979" customFormat="1" ht="24.9" hidden="1" customHeight="1">
      <c r="B2691" s="1786" t="s">
        <v>1003</v>
      </c>
      <c r="C2691" s="1208" t="s">
        <v>1004</v>
      </c>
      <c r="D2691" s="1208" t="s">
        <v>1005</v>
      </c>
      <c r="E2691" s="1208" t="s">
        <v>1006</v>
      </c>
      <c r="F2691" s="1209" t="s">
        <v>1007</v>
      </c>
      <c r="G2691" s="1109" t="s">
        <v>2639</v>
      </c>
      <c r="H2691" s="1110" t="s">
        <v>2638</v>
      </c>
      <c r="I2691" s="982"/>
      <c r="J2691" s="1625"/>
      <c r="K2691" s="1625"/>
      <c r="L2691" s="1557"/>
      <c r="M2691" s="1566"/>
    </row>
    <row r="2692" spans="2:13" s="979" customFormat="1" hidden="1">
      <c r="B2692" s="1543" t="s">
        <v>671</v>
      </c>
      <c r="C2692" s="1332" t="s">
        <v>672</v>
      </c>
      <c r="D2692" s="1331"/>
      <c r="E2692" s="1331"/>
      <c r="F2692" s="1334"/>
      <c r="G2692" s="1104"/>
      <c r="H2692" s="1106"/>
      <c r="J2692" s="1557"/>
      <c r="K2692" s="1557"/>
      <c r="L2692" s="1557"/>
      <c r="M2692" s="1566"/>
    </row>
    <row r="2693" spans="2:13" s="979" customFormat="1" hidden="1">
      <c r="B2693" s="1543"/>
      <c r="C2693" s="1332" t="s">
        <v>673</v>
      </c>
      <c r="D2693" s="1331" t="s">
        <v>674</v>
      </c>
      <c r="E2693" s="1331" t="s">
        <v>675</v>
      </c>
      <c r="F2693" s="1334">
        <v>0.3</v>
      </c>
      <c r="G2693" s="1104">
        <f>DUB!$I$10</f>
        <v>150000</v>
      </c>
      <c r="H2693" s="1106">
        <f>G2693*F2693</f>
        <v>45000</v>
      </c>
      <c r="J2693" s="1557"/>
      <c r="K2693" s="1557"/>
      <c r="L2693" s="1557"/>
      <c r="M2693" s="1566"/>
    </row>
    <row r="2694" spans="2:13" s="979" customFormat="1" hidden="1">
      <c r="B2694" s="1543"/>
      <c r="C2694" s="1332" t="s">
        <v>816</v>
      </c>
      <c r="D2694" s="1331" t="s">
        <v>678</v>
      </c>
      <c r="E2694" s="1331" t="s">
        <v>675</v>
      </c>
      <c r="F2694" s="1334">
        <v>0.1</v>
      </c>
      <c r="G2694" s="1104">
        <f>DUB!$I$11</f>
        <v>187000</v>
      </c>
      <c r="H2694" s="1106">
        <f>G2694*F2694</f>
        <v>18700</v>
      </c>
      <c r="J2694" s="1557"/>
      <c r="K2694" s="1557"/>
      <c r="L2694" s="1557"/>
      <c r="M2694" s="1566"/>
    </row>
    <row r="2695" spans="2:13" s="979" customFormat="1" hidden="1">
      <c r="B2695" s="1543"/>
      <c r="C2695" s="1332" t="s">
        <v>680</v>
      </c>
      <c r="D2695" s="1331" t="s">
        <v>681</v>
      </c>
      <c r="E2695" s="1331" t="s">
        <v>675</v>
      </c>
      <c r="F2695" s="1334">
        <v>0.01</v>
      </c>
      <c r="G2695" s="1104">
        <f>DUB!$I$13</f>
        <v>240000</v>
      </c>
      <c r="H2695" s="1106">
        <f>G2695*F2695</f>
        <v>2400</v>
      </c>
      <c r="J2695" s="1557"/>
      <c r="K2695" s="1557"/>
      <c r="L2695" s="1557"/>
      <c r="M2695" s="1566"/>
    </row>
    <row r="2696" spans="2:13" s="979" customFormat="1" hidden="1">
      <c r="B2696" s="1543"/>
      <c r="C2696" s="1332" t="s">
        <v>683</v>
      </c>
      <c r="D2696" s="1331" t="s">
        <v>684</v>
      </c>
      <c r="E2696" s="1331" t="s">
        <v>675</v>
      </c>
      <c r="F2696" s="1334">
        <v>1.4999999999999999E-2</v>
      </c>
      <c r="G2696" s="1104">
        <f>DUB!$I$12</f>
        <v>225000</v>
      </c>
      <c r="H2696" s="1106">
        <f>G2696*F2696</f>
        <v>3375</v>
      </c>
      <c r="J2696" s="1557"/>
      <c r="K2696" s="1557"/>
      <c r="L2696" s="1557"/>
      <c r="M2696" s="1566"/>
    </row>
    <row r="2697" spans="2:13" s="979" customFormat="1" hidden="1">
      <c r="B2697" s="1543"/>
      <c r="C2697" s="1332"/>
      <c r="D2697" s="1331"/>
      <c r="E2697" s="1331"/>
      <c r="F2697" s="2074" t="s">
        <v>685</v>
      </c>
      <c r="G2697" s="2074"/>
      <c r="H2697" s="1106">
        <f>SUM(H2693:H2696)</f>
        <v>69475</v>
      </c>
      <c r="J2697" s="1557"/>
      <c r="K2697" s="1557"/>
      <c r="L2697" s="1557"/>
      <c r="M2697" s="1566"/>
    </row>
    <row r="2698" spans="2:13" s="979" customFormat="1" hidden="1">
      <c r="B2698" s="1543" t="s">
        <v>686</v>
      </c>
      <c r="C2698" s="1332" t="s">
        <v>687</v>
      </c>
      <c r="D2698" s="1331"/>
      <c r="E2698" s="1331"/>
      <c r="F2698" s="1334"/>
      <c r="G2698" s="1104"/>
      <c r="H2698" s="1106"/>
      <c r="J2698" s="1557"/>
      <c r="K2698" s="1557"/>
      <c r="L2698" s="1557"/>
      <c r="M2698" s="1566"/>
    </row>
    <row r="2699" spans="2:13" s="979" customFormat="1" hidden="1">
      <c r="B2699" s="1543"/>
      <c r="C2699" s="1332" t="s">
        <v>4792</v>
      </c>
      <c r="D2699" s="1331"/>
      <c r="E2699" s="1331" t="s">
        <v>1423</v>
      </c>
      <c r="F2699" s="1334">
        <v>70</v>
      </c>
      <c r="G2699" s="1104">
        <f>DUB!I50</f>
        <v>3735</v>
      </c>
      <c r="H2699" s="1106">
        <f>G2699*F2699</f>
        <v>261450</v>
      </c>
      <c r="J2699" s="1557"/>
      <c r="K2699" s="1557"/>
      <c r="L2699" s="1557"/>
      <c r="M2699" s="1566"/>
    </row>
    <row r="2700" spans="2:13" s="979" customFormat="1" hidden="1">
      <c r="B2700" s="1543"/>
      <c r="C2700" s="1332" t="s">
        <v>738</v>
      </c>
      <c r="D2700" s="1331"/>
      <c r="E2700" s="1331" t="s">
        <v>690</v>
      </c>
      <c r="F2700" s="1334">
        <v>18.95</v>
      </c>
      <c r="G2700" s="1104">
        <f>DUB!$I$65</f>
        <v>1575</v>
      </c>
      <c r="H2700" s="1106">
        <f>G2700*F2700</f>
        <v>29846.25</v>
      </c>
      <c r="J2700" s="1557"/>
      <c r="K2700" s="1557"/>
      <c r="L2700" s="1557"/>
      <c r="M2700" s="1566"/>
    </row>
    <row r="2701" spans="2:13" s="979" customFormat="1" hidden="1">
      <c r="B2701" s="1543"/>
      <c r="C2701" s="1332" t="s">
        <v>808</v>
      </c>
      <c r="D2701" s="1331"/>
      <c r="E2701" s="1331" t="s">
        <v>2646</v>
      </c>
      <c r="F2701" s="1334">
        <v>3.7999999999999999E-2</v>
      </c>
      <c r="G2701" s="1104">
        <f>DUB!$I$59</f>
        <v>208463</v>
      </c>
      <c r="H2701" s="1106">
        <f>G2701*F2701</f>
        <v>7921.5940000000001</v>
      </c>
      <c r="J2701" s="1557"/>
      <c r="K2701" s="1557"/>
      <c r="L2701" s="1557"/>
      <c r="M2701" s="1566"/>
    </row>
    <row r="2702" spans="2:13" s="979" customFormat="1" hidden="1">
      <c r="B2702" s="1543"/>
      <c r="C2702" s="1332"/>
      <c r="D2702" s="1331"/>
      <c r="E2702" s="1331"/>
      <c r="F2702" s="2090" t="s">
        <v>702</v>
      </c>
      <c r="G2702" s="2090"/>
      <c r="H2702" s="1106">
        <f>SUM(H2699:H2701)</f>
        <v>299217.84399999998</v>
      </c>
      <c r="J2702" s="1557"/>
      <c r="K2702" s="1557"/>
      <c r="L2702" s="1557"/>
      <c r="M2702" s="1566"/>
    </row>
    <row r="2703" spans="2:13" s="979" customFormat="1" hidden="1">
      <c r="B2703" s="1543" t="s">
        <v>703</v>
      </c>
      <c r="C2703" s="2089" t="s">
        <v>3764</v>
      </c>
      <c r="D2703" s="2089"/>
      <c r="E2703" s="2089"/>
      <c r="F2703" s="2089"/>
      <c r="G2703" s="2089"/>
      <c r="H2703" s="1107">
        <f>H2697+H2702</f>
        <v>368692.84399999998</v>
      </c>
      <c r="I2703" s="980"/>
      <c r="J2703" s="1559"/>
      <c r="K2703" s="1559"/>
      <c r="L2703" s="1557"/>
      <c r="M2703" s="1566"/>
    </row>
    <row r="2704" spans="2:13" s="979" customFormat="1" hidden="1">
      <c r="B2704" s="1543" t="s">
        <v>706</v>
      </c>
      <c r="C2704" s="2076" t="s">
        <v>876</v>
      </c>
      <c r="D2704" s="2076"/>
      <c r="E2704" s="2076"/>
      <c r="F2704" s="2077" t="s">
        <v>3873</v>
      </c>
      <c r="G2704" s="2077"/>
      <c r="H2704" s="1107">
        <f>H2703*0.15</f>
        <v>55303.926599999999</v>
      </c>
      <c r="I2704" s="980"/>
      <c r="J2704" s="1559"/>
      <c r="K2704" s="1559"/>
      <c r="L2704" s="1557"/>
      <c r="M2704" s="1566"/>
    </row>
    <row r="2705" spans="2:13" s="979" customFormat="1" hidden="1">
      <c r="B2705" s="1543" t="s">
        <v>708</v>
      </c>
      <c r="C2705" s="2078" t="s">
        <v>3765</v>
      </c>
      <c r="D2705" s="2078"/>
      <c r="E2705" s="2078"/>
      <c r="F2705" s="2078"/>
      <c r="G2705" s="2078"/>
      <c r="H2705" s="1107">
        <f>ROUND(SUM(H2703:H2704),2)</f>
        <v>423996.77</v>
      </c>
      <c r="I2705" s="981">
        <f>SUM(H2703:H2704)</f>
        <v>423996.77059999999</v>
      </c>
      <c r="J2705" s="1561"/>
      <c r="K2705" s="1561"/>
      <c r="L2705" s="1557"/>
      <c r="M2705" s="1566"/>
    </row>
    <row r="2706" spans="2:13" s="979" customFormat="1" hidden="1">
      <c r="B2706" s="1129"/>
      <c r="C2706" s="1130"/>
      <c r="D2706" s="1129"/>
      <c r="E2706" s="1129"/>
      <c r="F2706" s="1131"/>
      <c r="G2706" s="1132"/>
      <c r="H2706" s="1115"/>
      <c r="J2706" s="1557"/>
      <c r="K2706" s="1557"/>
      <c r="L2706" s="1557"/>
      <c r="M2706" s="1566"/>
    </row>
    <row r="2707" spans="2:13" s="979" customFormat="1" hidden="1">
      <c r="B2707" s="1150" t="s">
        <v>4004</v>
      </c>
      <c r="C2707" s="1112" t="s">
        <v>3496</v>
      </c>
      <c r="D2707" s="1129"/>
      <c r="E2707" s="1129"/>
      <c r="F2707" s="1131"/>
      <c r="G2707" s="1132"/>
      <c r="H2707" s="1115"/>
      <c r="J2707" s="1557"/>
      <c r="K2707" s="1557"/>
      <c r="L2707" s="1557"/>
      <c r="M2707" s="1566"/>
    </row>
    <row r="2708" spans="2:13" s="982" customFormat="1" ht="24.9" hidden="1" customHeight="1">
      <c r="B2708" s="1786" t="s">
        <v>1003</v>
      </c>
      <c r="C2708" s="1208" t="s">
        <v>1004</v>
      </c>
      <c r="D2708" s="1208" t="s">
        <v>1005</v>
      </c>
      <c r="E2708" s="1208" t="s">
        <v>1006</v>
      </c>
      <c r="F2708" s="1209" t="s">
        <v>1007</v>
      </c>
      <c r="G2708" s="1109" t="s">
        <v>2639</v>
      </c>
      <c r="H2708" s="1110" t="s">
        <v>2638</v>
      </c>
      <c r="J2708" s="1625"/>
      <c r="K2708" s="1625"/>
      <c r="L2708" s="1625"/>
      <c r="M2708" s="1570"/>
    </row>
    <row r="2709" spans="2:13" s="979" customFormat="1" hidden="1">
      <c r="B2709" s="1543" t="s">
        <v>671</v>
      </c>
      <c r="C2709" s="1332" t="s">
        <v>672</v>
      </c>
      <c r="D2709" s="1331"/>
      <c r="E2709" s="1331"/>
      <c r="F2709" s="1334"/>
      <c r="G2709" s="1104"/>
      <c r="H2709" s="1106"/>
      <c r="J2709" s="1557"/>
      <c r="K2709" s="1557"/>
      <c r="L2709" s="1557"/>
      <c r="M2709" s="1566"/>
    </row>
    <row r="2710" spans="2:13" s="979" customFormat="1" hidden="1">
      <c r="B2710" s="1543"/>
      <c r="C2710" s="1332" t="s">
        <v>673</v>
      </c>
      <c r="D2710" s="1331" t="s">
        <v>674</v>
      </c>
      <c r="E2710" s="1331" t="s">
        <v>675</v>
      </c>
      <c r="F2710" s="1334">
        <v>0.67</v>
      </c>
      <c r="G2710" s="1104">
        <f>DUB!$I$10</f>
        <v>150000</v>
      </c>
      <c r="H2710" s="1106">
        <f>G2710*F2710</f>
        <v>100500</v>
      </c>
      <c r="J2710" s="1557"/>
      <c r="K2710" s="1557"/>
      <c r="L2710" s="1557"/>
      <c r="M2710" s="1566"/>
    </row>
    <row r="2711" spans="2:13" s="979" customFormat="1" hidden="1">
      <c r="B2711" s="1543"/>
      <c r="C2711" s="1332" t="s">
        <v>816</v>
      </c>
      <c r="D2711" s="1331" t="s">
        <v>678</v>
      </c>
      <c r="E2711" s="1331" t="s">
        <v>675</v>
      </c>
      <c r="F2711" s="1334">
        <v>0.3</v>
      </c>
      <c r="G2711" s="1104">
        <f>DUB!$I$11</f>
        <v>187000</v>
      </c>
      <c r="H2711" s="1106">
        <f>G2711*F2711</f>
        <v>56100</v>
      </c>
      <c r="J2711" s="1557"/>
      <c r="K2711" s="1557"/>
      <c r="L2711" s="1557"/>
      <c r="M2711" s="1566"/>
    </row>
    <row r="2712" spans="2:13" s="979" customFormat="1" hidden="1">
      <c r="B2712" s="1543"/>
      <c r="C2712" s="1332" t="s">
        <v>680</v>
      </c>
      <c r="D2712" s="1331" t="s">
        <v>681</v>
      </c>
      <c r="E2712" s="1331" t="s">
        <v>675</v>
      </c>
      <c r="F2712" s="1334">
        <v>0.13</v>
      </c>
      <c r="G2712" s="1104">
        <f>DUB!$I$13</f>
        <v>240000</v>
      </c>
      <c r="H2712" s="1106">
        <f>G2712*F2712</f>
        <v>31200</v>
      </c>
      <c r="J2712" s="1557"/>
      <c r="K2712" s="1557"/>
      <c r="L2712" s="1557"/>
      <c r="M2712" s="1566"/>
    </row>
    <row r="2713" spans="2:13" s="979" customFormat="1" hidden="1">
      <c r="B2713" s="1543"/>
      <c r="C2713" s="1332" t="s">
        <v>683</v>
      </c>
      <c r="D2713" s="1331" t="s">
        <v>684</v>
      </c>
      <c r="E2713" s="1331" t="s">
        <v>675</v>
      </c>
      <c r="F2713" s="1334">
        <v>3.0000000000000001E-3</v>
      </c>
      <c r="G2713" s="1104">
        <f>DUB!$I$12</f>
        <v>225000</v>
      </c>
      <c r="H2713" s="1106">
        <f>G2713*F2713</f>
        <v>675</v>
      </c>
      <c r="J2713" s="1557"/>
      <c r="K2713" s="1557"/>
      <c r="L2713" s="1557"/>
      <c r="M2713" s="1566"/>
    </row>
    <row r="2714" spans="2:13" s="979" customFormat="1" hidden="1">
      <c r="B2714" s="1543"/>
      <c r="C2714" s="1332"/>
      <c r="D2714" s="1331"/>
      <c r="E2714" s="1331"/>
      <c r="F2714" s="2074" t="s">
        <v>685</v>
      </c>
      <c r="G2714" s="2074"/>
      <c r="H2714" s="1106">
        <f>SUM(H2710:H2713)</f>
        <v>188475</v>
      </c>
      <c r="J2714" s="1557"/>
      <c r="K2714" s="1557"/>
      <c r="L2714" s="1557"/>
      <c r="M2714" s="1566"/>
    </row>
    <row r="2715" spans="2:13" s="979" customFormat="1" hidden="1">
      <c r="B2715" s="1543" t="s">
        <v>686</v>
      </c>
      <c r="C2715" s="1332" t="s">
        <v>687</v>
      </c>
      <c r="D2715" s="1331"/>
      <c r="E2715" s="1331"/>
      <c r="F2715" s="1334"/>
      <c r="G2715" s="1104"/>
      <c r="H2715" s="1106"/>
      <c r="J2715" s="1557"/>
      <c r="K2715" s="1557"/>
      <c r="L2715" s="1557"/>
      <c r="M2715" s="1566"/>
    </row>
    <row r="2716" spans="2:13" s="979" customFormat="1" hidden="1">
      <c r="B2716" s="1543"/>
      <c r="C2716" s="1332" t="s">
        <v>3494</v>
      </c>
      <c r="D2716" s="1331"/>
      <c r="E2716" s="1331" t="s">
        <v>1423</v>
      </c>
      <c r="F2716" s="1334">
        <v>8.4</v>
      </c>
      <c r="G2716" s="1104">
        <f>DUB!$I$52</f>
        <v>13545</v>
      </c>
      <c r="H2716" s="1106">
        <f>G2716*F2716</f>
        <v>113778</v>
      </c>
      <c r="J2716" s="1557"/>
      <c r="K2716" s="1557"/>
      <c r="L2716" s="1557"/>
      <c r="M2716" s="1566"/>
    </row>
    <row r="2717" spans="2:13" s="979" customFormat="1" hidden="1">
      <c r="B2717" s="1543"/>
      <c r="C2717" s="1332" t="s">
        <v>3495</v>
      </c>
      <c r="D2717" s="1331"/>
      <c r="E2717" s="1331" t="s">
        <v>690</v>
      </c>
      <c r="F2717" s="1334">
        <v>0.47299999999999998</v>
      </c>
      <c r="G2717" s="1104">
        <f>DUB!$I$66</f>
        <v>5004</v>
      </c>
      <c r="H2717" s="1106">
        <f>G2717*F2717</f>
        <v>2366.8919999999998</v>
      </c>
      <c r="J2717" s="1557"/>
      <c r="K2717" s="1557"/>
      <c r="L2717" s="1557"/>
      <c r="M2717" s="1566"/>
    </row>
    <row r="2718" spans="2:13" s="979" customFormat="1" hidden="1">
      <c r="B2718" s="1543"/>
      <c r="C2718" s="1125"/>
      <c r="D2718" s="1333"/>
      <c r="E2718" s="1333"/>
      <c r="F2718" s="2074" t="s">
        <v>702</v>
      </c>
      <c r="G2718" s="2074"/>
      <c r="H2718" s="1106">
        <f>SUM(H2716:H2717)</f>
        <v>116144.89199999999</v>
      </c>
      <c r="J2718" s="1557"/>
      <c r="K2718" s="1557"/>
      <c r="L2718" s="1557"/>
      <c r="M2718" s="1566"/>
    </row>
    <row r="2719" spans="2:13" s="980" customFormat="1" hidden="1">
      <c r="B2719" s="1543" t="s">
        <v>703</v>
      </c>
      <c r="C2719" s="2075" t="s">
        <v>3764</v>
      </c>
      <c r="D2719" s="2075"/>
      <c r="E2719" s="2075"/>
      <c r="F2719" s="2075"/>
      <c r="G2719" s="2075"/>
      <c r="H2719" s="1107">
        <f>H2714+H2718</f>
        <v>304619.89199999999</v>
      </c>
      <c r="J2719" s="1559"/>
      <c r="K2719" s="1559"/>
      <c r="L2719" s="1559"/>
      <c r="M2719" s="1635"/>
    </row>
    <row r="2720" spans="2:13" s="980" customFormat="1" hidden="1">
      <c r="B2720" s="1543" t="s">
        <v>706</v>
      </c>
      <c r="C2720" s="2076" t="s">
        <v>876</v>
      </c>
      <c r="D2720" s="2076"/>
      <c r="E2720" s="2076"/>
      <c r="F2720" s="2077" t="s">
        <v>3873</v>
      </c>
      <c r="G2720" s="2077"/>
      <c r="H2720" s="1107">
        <f>H2719*0.15</f>
        <v>45692.983799999995</v>
      </c>
      <c r="J2720" s="1559"/>
      <c r="K2720" s="1559"/>
      <c r="L2720" s="1559"/>
      <c r="M2720" s="1635"/>
    </row>
    <row r="2721" spans="2:13" s="980" customFormat="1" hidden="1">
      <c r="B2721" s="1543" t="s">
        <v>708</v>
      </c>
      <c r="C2721" s="2078" t="s">
        <v>3765</v>
      </c>
      <c r="D2721" s="2078"/>
      <c r="E2721" s="2078"/>
      <c r="F2721" s="2078"/>
      <c r="G2721" s="2078"/>
      <c r="H2721" s="1107">
        <f>ROUND(SUM(H2719:H2720),2)</f>
        <v>350312.88</v>
      </c>
      <c r="I2721" s="981">
        <f>SUM(H2719:H2720)</f>
        <v>350312.87579999998</v>
      </c>
      <c r="J2721" s="1561"/>
      <c r="K2721" s="1561"/>
      <c r="L2721" s="1559"/>
      <c r="M2721" s="1635"/>
    </row>
    <row r="2722" spans="2:13" s="979" customFormat="1" hidden="1">
      <c r="B2722" s="1129"/>
      <c r="C2722" s="1130"/>
      <c r="D2722" s="1129"/>
      <c r="E2722" s="1130"/>
      <c r="F2722" s="1131"/>
      <c r="G2722" s="1132"/>
      <c r="H2722" s="1115"/>
      <c r="J2722" s="1557"/>
      <c r="K2722" s="1557"/>
      <c r="L2722" s="1557"/>
      <c r="M2722" s="1566"/>
    </row>
    <row r="2723" spans="2:13" s="979" customFormat="1" hidden="1">
      <c r="B2723" s="1150" t="s">
        <v>4005</v>
      </c>
      <c r="C2723" s="1112" t="s">
        <v>3497</v>
      </c>
      <c r="D2723" s="1129"/>
      <c r="E2723" s="1129"/>
      <c r="F2723" s="1131"/>
      <c r="G2723" s="1132"/>
      <c r="H2723" s="1115"/>
      <c r="J2723" s="1557"/>
      <c r="K2723" s="1557"/>
      <c r="L2723" s="1557"/>
      <c r="M2723" s="1566"/>
    </row>
    <row r="2724" spans="2:13" s="982" customFormat="1" ht="24.9" hidden="1" customHeight="1">
      <c r="B2724" s="1786" t="s">
        <v>1003</v>
      </c>
      <c r="C2724" s="1208" t="s">
        <v>1004</v>
      </c>
      <c r="D2724" s="1208" t="s">
        <v>1005</v>
      </c>
      <c r="E2724" s="1208" t="s">
        <v>1006</v>
      </c>
      <c r="F2724" s="1209" t="s">
        <v>1007</v>
      </c>
      <c r="G2724" s="1109" t="s">
        <v>2639</v>
      </c>
      <c r="H2724" s="1110" t="s">
        <v>2638</v>
      </c>
      <c r="J2724" s="1625"/>
      <c r="K2724" s="1625"/>
      <c r="L2724" s="1625"/>
      <c r="M2724" s="1570"/>
    </row>
    <row r="2725" spans="2:13" s="979" customFormat="1" hidden="1">
      <c r="B2725" s="1543" t="s">
        <v>671</v>
      </c>
      <c r="C2725" s="1332" t="s">
        <v>672</v>
      </c>
      <c r="D2725" s="1331"/>
      <c r="E2725" s="1331"/>
      <c r="F2725" s="1334"/>
      <c r="G2725" s="1104"/>
      <c r="H2725" s="1106"/>
      <c r="J2725" s="1557"/>
      <c r="K2725" s="1557"/>
      <c r="L2725" s="1557"/>
      <c r="M2725" s="1566"/>
    </row>
    <row r="2726" spans="2:13" s="979" customFormat="1" hidden="1">
      <c r="B2726" s="1543"/>
      <c r="C2726" s="1332" t="s">
        <v>673</v>
      </c>
      <c r="D2726" s="1331" t="s">
        <v>674</v>
      </c>
      <c r="E2726" s="1331" t="s">
        <v>675</v>
      </c>
      <c r="F2726" s="1334">
        <v>0.67100000000000004</v>
      </c>
      <c r="G2726" s="1104">
        <f>DUB!$I$10</f>
        <v>150000</v>
      </c>
      <c r="H2726" s="1106">
        <f>G2726*F2726</f>
        <v>100650</v>
      </c>
      <c r="J2726" s="1557"/>
      <c r="K2726" s="1557"/>
      <c r="L2726" s="1557"/>
      <c r="M2726" s="1566"/>
    </row>
    <row r="2727" spans="2:13" s="979" customFormat="1" hidden="1">
      <c r="B2727" s="1543"/>
      <c r="C2727" s="1332" t="s">
        <v>816</v>
      </c>
      <c r="D2727" s="1331" t="s">
        <v>678</v>
      </c>
      <c r="E2727" s="1331" t="s">
        <v>675</v>
      </c>
      <c r="F2727" s="1334">
        <v>0.3</v>
      </c>
      <c r="G2727" s="1104">
        <f>DUB!$I$11</f>
        <v>187000</v>
      </c>
      <c r="H2727" s="1106">
        <f>G2727*F2727</f>
        <v>56100</v>
      </c>
      <c r="J2727" s="1557"/>
      <c r="K2727" s="1557"/>
      <c r="L2727" s="1557"/>
      <c r="M2727" s="1566"/>
    </row>
    <row r="2728" spans="2:13" s="979" customFormat="1" hidden="1">
      <c r="B2728" s="1543"/>
      <c r="C2728" s="1332" t="s">
        <v>680</v>
      </c>
      <c r="D2728" s="1331" t="s">
        <v>681</v>
      </c>
      <c r="E2728" s="1331" t="s">
        <v>675</v>
      </c>
      <c r="F2728" s="1334">
        <v>0.13</v>
      </c>
      <c r="G2728" s="1104">
        <f>DUB!$I$13</f>
        <v>240000</v>
      </c>
      <c r="H2728" s="1106">
        <f>G2728*F2728</f>
        <v>31200</v>
      </c>
      <c r="J2728" s="1557"/>
      <c r="K2728" s="1557"/>
      <c r="L2728" s="1557"/>
      <c r="M2728" s="1566"/>
    </row>
    <row r="2729" spans="2:13" s="979" customFormat="1" hidden="1">
      <c r="B2729" s="1543"/>
      <c r="C2729" s="1332" t="s">
        <v>683</v>
      </c>
      <c r="D2729" s="1331" t="s">
        <v>684</v>
      </c>
      <c r="E2729" s="1331" t="s">
        <v>675</v>
      </c>
      <c r="F2729" s="1334">
        <v>3.0000000000000001E-3</v>
      </c>
      <c r="G2729" s="1104">
        <f>DUB!$I$12</f>
        <v>225000</v>
      </c>
      <c r="H2729" s="1106">
        <f>G2729*F2729</f>
        <v>675</v>
      </c>
      <c r="J2729" s="1557"/>
      <c r="K2729" s="1557"/>
      <c r="L2729" s="1557"/>
      <c r="M2729" s="1566"/>
    </row>
    <row r="2730" spans="2:13" s="979" customFormat="1" hidden="1">
      <c r="B2730" s="1543"/>
      <c r="C2730" s="1332"/>
      <c r="D2730" s="1331"/>
      <c r="E2730" s="1331"/>
      <c r="F2730" s="2074" t="s">
        <v>685</v>
      </c>
      <c r="G2730" s="2074"/>
      <c r="H2730" s="1106">
        <f>SUM(H2726:H2729)</f>
        <v>188625</v>
      </c>
      <c r="J2730" s="1557"/>
      <c r="K2730" s="1557"/>
      <c r="L2730" s="1557"/>
      <c r="M2730" s="1566"/>
    </row>
    <row r="2731" spans="2:13" s="979" customFormat="1" hidden="1">
      <c r="B2731" s="1543" t="s">
        <v>686</v>
      </c>
      <c r="C2731" s="1332" t="s">
        <v>687</v>
      </c>
      <c r="D2731" s="1331"/>
      <c r="E2731" s="1331"/>
      <c r="F2731" s="1334"/>
      <c r="G2731" s="1104"/>
      <c r="H2731" s="1106"/>
      <c r="J2731" s="1557"/>
      <c r="K2731" s="1557"/>
      <c r="L2731" s="1557"/>
      <c r="M2731" s="1566"/>
    </row>
    <row r="2732" spans="2:13" s="979" customFormat="1" hidden="1">
      <c r="B2732" s="1543"/>
      <c r="C2732" s="1332" t="s">
        <v>3498</v>
      </c>
      <c r="D2732" s="1331"/>
      <c r="E2732" s="1331" t="s">
        <v>1423</v>
      </c>
      <c r="F2732" s="1334">
        <v>8.4</v>
      </c>
      <c r="G2732" s="1104">
        <f>DUB!$I$51</f>
        <v>18045</v>
      </c>
      <c r="H2732" s="1106">
        <f>G2732*F2732</f>
        <v>151578</v>
      </c>
      <c r="J2732" s="1557"/>
      <c r="K2732" s="1557"/>
      <c r="L2732" s="1557"/>
      <c r="M2732" s="1566"/>
    </row>
    <row r="2733" spans="2:13" s="979" customFormat="1" hidden="1">
      <c r="B2733" s="1543"/>
      <c r="C2733" s="1332" t="s">
        <v>3495</v>
      </c>
      <c r="D2733" s="1331"/>
      <c r="E2733" s="1331" t="s">
        <v>690</v>
      </c>
      <c r="F2733" s="1334">
        <v>6.3E-2</v>
      </c>
      <c r="G2733" s="1104">
        <f>DUB!$I$66</f>
        <v>5004</v>
      </c>
      <c r="H2733" s="1106">
        <f>G2733*F2733</f>
        <v>315.25200000000001</v>
      </c>
      <c r="J2733" s="1557"/>
      <c r="K2733" s="1557"/>
      <c r="L2733" s="1557"/>
      <c r="M2733" s="1566"/>
    </row>
    <row r="2734" spans="2:13" s="979" customFormat="1" hidden="1">
      <c r="B2734" s="1543"/>
      <c r="C2734" s="1125"/>
      <c r="D2734" s="1333"/>
      <c r="E2734" s="1333"/>
      <c r="F2734" s="2074" t="s">
        <v>702</v>
      </c>
      <c r="G2734" s="2074"/>
      <c r="H2734" s="1106">
        <f>SUM(H2732:H2733)</f>
        <v>151893.25200000001</v>
      </c>
      <c r="J2734" s="1557"/>
      <c r="K2734" s="1557"/>
      <c r="L2734" s="1557"/>
      <c r="M2734" s="1566"/>
    </row>
    <row r="2735" spans="2:13" s="980" customFormat="1" hidden="1">
      <c r="B2735" s="1543" t="s">
        <v>703</v>
      </c>
      <c r="C2735" s="2075" t="s">
        <v>3764</v>
      </c>
      <c r="D2735" s="2075"/>
      <c r="E2735" s="2075"/>
      <c r="F2735" s="2075"/>
      <c r="G2735" s="2075"/>
      <c r="H2735" s="1107">
        <f>H2730+H2734</f>
        <v>340518.25199999998</v>
      </c>
      <c r="J2735" s="1559"/>
      <c r="K2735" s="1559"/>
      <c r="L2735" s="1559"/>
      <c r="M2735" s="1635"/>
    </row>
    <row r="2736" spans="2:13" s="980" customFormat="1" hidden="1">
      <c r="B2736" s="1543" t="s">
        <v>706</v>
      </c>
      <c r="C2736" s="2076" t="s">
        <v>876</v>
      </c>
      <c r="D2736" s="2076"/>
      <c r="E2736" s="2076"/>
      <c r="F2736" s="2077" t="s">
        <v>3873</v>
      </c>
      <c r="G2736" s="2077"/>
      <c r="H2736" s="1107">
        <f>H2735*0.15</f>
        <v>51077.737799999995</v>
      </c>
      <c r="J2736" s="1559"/>
      <c r="K2736" s="1559"/>
      <c r="L2736" s="1559"/>
      <c r="M2736" s="1635"/>
    </row>
    <row r="2737" spans="2:13" s="980" customFormat="1" hidden="1">
      <c r="B2737" s="1543" t="s">
        <v>708</v>
      </c>
      <c r="C2737" s="2078" t="s">
        <v>3765</v>
      </c>
      <c r="D2737" s="2078"/>
      <c r="E2737" s="2078"/>
      <c r="F2737" s="2078"/>
      <c r="G2737" s="2078"/>
      <c r="H2737" s="1107">
        <f>ROUND(SUM(H2735:H2736),2)</f>
        <v>391595.99</v>
      </c>
      <c r="I2737" s="981">
        <f>SUM(H2735:H2736)</f>
        <v>391595.98979999998</v>
      </c>
      <c r="J2737" s="1561"/>
      <c r="K2737" s="1561"/>
      <c r="L2737" s="1559"/>
      <c r="M2737" s="1635"/>
    </row>
    <row r="2738" spans="2:13" s="979" customFormat="1">
      <c r="B2738" s="1095"/>
      <c r="C2738" s="1096"/>
      <c r="D2738" s="1095"/>
      <c r="E2738" s="1095"/>
      <c r="F2738" s="1172"/>
      <c r="G2738" s="1173"/>
      <c r="H2738" s="1133"/>
      <c r="J2738" s="1557"/>
      <c r="K2738" s="1557"/>
      <c r="L2738" s="1557"/>
      <c r="M2738" s="1566"/>
    </row>
    <row r="2739" spans="2:13" s="979" customFormat="1">
      <c r="B2739" s="1150" t="s">
        <v>4006</v>
      </c>
      <c r="C2739" s="1232" t="s">
        <v>2831</v>
      </c>
      <c r="D2739" s="1095"/>
      <c r="E2739" s="1095"/>
      <c r="F2739" s="1172"/>
      <c r="G2739" s="1173"/>
      <c r="H2739" s="1133"/>
      <c r="J2739" s="1557"/>
      <c r="K2739" s="1557"/>
      <c r="L2739" s="1557"/>
      <c r="M2739" s="1566"/>
    </row>
    <row r="2740" spans="2:13" s="979" customFormat="1" hidden="1">
      <c r="B2740" s="1100" t="s">
        <v>4007</v>
      </c>
      <c r="C2740" s="1232" t="s">
        <v>2830</v>
      </c>
      <c r="D2740" s="1095"/>
      <c r="E2740" s="1095"/>
      <c r="F2740" s="1172"/>
      <c r="G2740" s="1173"/>
      <c r="H2740" s="1133"/>
      <c r="J2740" s="1557"/>
      <c r="K2740" s="1557"/>
      <c r="L2740" s="1557"/>
      <c r="M2740" s="1566"/>
    </row>
    <row r="2741" spans="2:13" s="982" customFormat="1" ht="24.9" hidden="1" customHeight="1">
      <c r="B2741" s="1786" t="s">
        <v>1003</v>
      </c>
      <c r="C2741" s="1208" t="s">
        <v>1059</v>
      </c>
      <c r="D2741" s="1208" t="s">
        <v>1005</v>
      </c>
      <c r="E2741" s="1208" t="s">
        <v>1006</v>
      </c>
      <c r="F2741" s="1209" t="s">
        <v>1007</v>
      </c>
      <c r="G2741" s="1109" t="s">
        <v>2637</v>
      </c>
      <c r="H2741" s="1110" t="s">
        <v>2638</v>
      </c>
      <c r="J2741" s="1625"/>
      <c r="K2741" s="1625"/>
      <c r="L2741" s="1625"/>
      <c r="M2741" s="1570"/>
    </row>
    <row r="2742" spans="2:13" s="979" customFormat="1" hidden="1">
      <c r="B2742" s="1543" t="s">
        <v>671</v>
      </c>
      <c r="C2742" s="1332" t="s">
        <v>672</v>
      </c>
      <c r="D2742" s="1331"/>
      <c r="E2742" s="1331"/>
      <c r="F2742" s="1334"/>
      <c r="G2742" s="1104"/>
      <c r="H2742" s="1106"/>
      <c r="J2742" s="1557"/>
      <c r="K2742" s="1557"/>
      <c r="L2742" s="1557"/>
      <c r="M2742" s="1566"/>
    </row>
    <row r="2743" spans="2:13" s="979" customFormat="1" hidden="1">
      <c r="B2743" s="1543"/>
      <c r="C2743" s="1332" t="s">
        <v>673</v>
      </c>
      <c r="D2743" s="1331" t="s">
        <v>674</v>
      </c>
      <c r="E2743" s="1331" t="s">
        <v>675</v>
      </c>
      <c r="F2743" s="1334">
        <v>0.3</v>
      </c>
      <c r="G2743" s="1104">
        <f>DUB!$I$10</f>
        <v>150000</v>
      </c>
      <c r="H2743" s="1106">
        <f>G2743*F2743</f>
        <v>45000</v>
      </c>
      <c r="J2743" s="1557"/>
      <c r="K2743" s="1557"/>
      <c r="L2743" s="1557"/>
      <c r="M2743" s="1566"/>
    </row>
    <row r="2744" spans="2:13" s="979" customFormat="1" hidden="1">
      <c r="B2744" s="1543"/>
      <c r="C2744" s="1332" t="s">
        <v>816</v>
      </c>
      <c r="D2744" s="1331" t="s">
        <v>678</v>
      </c>
      <c r="E2744" s="1331" t="s">
        <v>675</v>
      </c>
      <c r="F2744" s="1334">
        <v>0.15</v>
      </c>
      <c r="G2744" s="1104">
        <f>DUB!$I$11</f>
        <v>187000</v>
      </c>
      <c r="H2744" s="1106">
        <f>G2744*F2744</f>
        <v>28050</v>
      </c>
      <c r="J2744" s="1557"/>
      <c r="K2744" s="1557"/>
      <c r="L2744" s="1557"/>
      <c r="M2744" s="1566"/>
    </row>
    <row r="2745" spans="2:13" s="979" customFormat="1" hidden="1">
      <c r="B2745" s="1543"/>
      <c r="C2745" s="1332" t="s">
        <v>680</v>
      </c>
      <c r="D2745" s="1331" t="s">
        <v>681</v>
      </c>
      <c r="E2745" s="1331" t="s">
        <v>675</v>
      </c>
      <c r="F2745" s="1334">
        <v>1.4999999999999999E-2</v>
      </c>
      <c r="G2745" s="1104">
        <f>DUB!$I$13</f>
        <v>240000</v>
      </c>
      <c r="H2745" s="1106">
        <f>G2745*F2745</f>
        <v>3600</v>
      </c>
      <c r="J2745" s="1557"/>
      <c r="K2745" s="1557"/>
      <c r="L2745" s="1557"/>
      <c r="M2745" s="1566"/>
    </row>
    <row r="2746" spans="2:13" s="979" customFormat="1" hidden="1">
      <c r="B2746" s="1543"/>
      <c r="C2746" s="1332" t="s">
        <v>683</v>
      </c>
      <c r="D2746" s="1331" t="s">
        <v>684</v>
      </c>
      <c r="E2746" s="1331" t="s">
        <v>675</v>
      </c>
      <c r="F2746" s="1334">
        <v>1.4999999999999999E-2</v>
      </c>
      <c r="G2746" s="1104">
        <f>DUB!$I$12</f>
        <v>225000</v>
      </c>
      <c r="H2746" s="1106">
        <f>G2746*F2746</f>
        <v>3375</v>
      </c>
      <c r="J2746" s="1557"/>
      <c r="K2746" s="1557"/>
      <c r="L2746" s="1557"/>
      <c r="M2746" s="1566"/>
    </row>
    <row r="2747" spans="2:13" s="979" customFormat="1" hidden="1">
      <c r="B2747" s="1543"/>
      <c r="C2747" s="1332"/>
      <c r="D2747" s="1331"/>
      <c r="E2747" s="1331"/>
      <c r="F2747" s="2074" t="s">
        <v>685</v>
      </c>
      <c r="G2747" s="2074"/>
      <c r="H2747" s="1106">
        <f>SUM(H2743:H2746)</f>
        <v>80025</v>
      </c>
      <c r="J2747" s="1557"/>
      <c r="K2747" s="1557"/>
      <c r="L2747" s="1557"/>
      <c r="M2747" s="1566"/>
    </row>
    <row r="2748" spans="2:13" s="979" customFormat="1" hidden="1">
      <c r="B2748" s="1543" t="s">
        <v>686</v>
      </c>
      <c r="C2748" s="1332" t="s">
        <v>687</v>
      </c>
      <c r="D2748" s="1331"/>
      <c r="E2748" s="1331"/>
      <c r="F2748" s="1334"/>
      <c r="G2748" s="1104"/>
      <c r="H2748" s="1106"/>
      <c r="J2748" s="1557"/>
      <c r="K2748" s="1557"/>
      <c r="L2748" s="1557"/>
      <c r="M2748" s="1566"/>
    </row>
    <row r="2749" spans="2:13" s="979" customFormat="1" hidden="1">
      <c r="B2749" s="1543"/>
      <c r="C2749" s="1332" t="s">
        <v>738</v>
      </c>
      <c r="D2749" s="1331"/>
      <c r="E2749" s="1331" t="s">
        <v>690</v>
      </c>
      <c r="F2749" s="1334">
        <v>15.504</v>
      </c>
      <c r="G2749" s="1104">
        <f>DUB!$I$65</f>
        <v>1575</v>
      </c>
      <c r="H2749" s="1106">
        <f>G2749*F2749</f>
        <v>24418.799999999999</v>
      </c>
      <c r="J2749" s="1557"/>
      <c r="K2749" s="1557"/>
      <c r="L2749" s="1557"/>
      <c r="M2749" s="1566"/>
    </row>
    <row r="2750" spans="2:13" s="979" customFormat="1" hidden="1">
      <c r="B2750" s="1543"/>
      <c r="C2750" s="1332" t="s">
        <v>808</v>
      </c>
      <c r="D2750" s="1331"/>
      <c r="E2750" s="1331" t="s">
        <v>2646</v>
      </c>
      <c r="F2750" s="1334">
        <v>1.6E-2</v>
      </c>
      <c r="G2750" s="1104">
        <f>DUB!$I$59</f>
        <v>208463</v>
      </c>
      <c r="H2750" s="1106">
        <f>G2750*F2750</f>
        <v>3335.4079999999999</v>
      </c>
      <c r="J2750" s="1557"/>
      <c r="K2750" s="1557"/>
      <c r="L2750" s="1557"/>
      <c r="M2750" s="1566"/>
    </row>
    <row r="2751" spans="2:13" s="979" customFormat="1" hidden="1">
      <c r="B2751" s="1543"/>
      <c r="C2751" s="1125"/>
      <c r="D2751" s="1333"/>
      <c r="E2751" s="1333"/>
      <c r="F2751" s="2074" t="s">
        <v>702</v>
      </c>
      <c r="G2751" s="2074"/>
      <c r="H2751" s="1106">
        <f>SUM(H2749:H2750)</f>
        <v>27754.207999999999</v>
      </c>
      <c r="J2751" s="1557"/>
      <c r="K2751" s="1557"/>
      <c r="L2751" s="1557"/>
      <c r="M2751" s="1566"/>
    </row>
    <row r="2752" spans="2:13" s="980" customFormat="1" hidden="1">
      <c r="B2752" s="1543" t="s">
        <v>703</v>
      </c>
      <c r="C2752" s="2075" t="s">
        <v>3764</v>
      </c>
      <c r="D2752" s="2075"/>
      <c r="E2752" s="2075"/>
      <c r="F2752" s="2075"/>
      <c r="G2752" s="2075"/>
      <c r="H2752" s="1107">
        <f>H2747+H2751</f>
        <v>107779.208</v>
      </c>
      <c r="J2752" s="1559"/>
      <c r="K2752" s="1559"/>
      <c r="L2752" s="1559"/>
      <c r="M2752" s="1635"/>
    </row>
    <row r="2753" spans="2:13" s="980" customFormat="1" hidden="1">
      <c r="B2753" s="1543" t="s">
        <v>706</v>
      </c>
      <c r="C2753" s="2076" t="s">
        <v>876</v>
      </c>
      <c r="D2753" s="2076"/>
      <c r="E2753" s="2076"/>
      <c r="F2753" s="2077" t="s">
        <v>3873</v>
      </c>
      <c r="G2753" s="2077"/>
      <c r="H2753" s="1107">
        <f>H2752*0.15</f>
        <v>16166.8812</v>
      </c>
      <c r="J2753" s="1559"/>
      <c r="K2753" s="1559"/>
      <c r="L2753" s="1559"/>
      <c r="M2753" s="1635"/>
    </row>
    <row r="2754" spans="2:13" s="980" customFormat="1" hidden="1">
      <c r="B2754" s="1543" t="s">
        <v>708</v>
      </c>
      <c r="C2754" s="2078" t="s">
        <v>3765</v>
      </c>
      <c r="D2754" s="2078"/>
      <c r="E2754" s="2078"/>
      <c r="F2754" s="2078"/>
      <c r="G2754" s="2078"/>
      <c r="H2754" s="1107">
        <f>ROUND(SUM(H2752:H2753),2)</f>
        <v>123946.09</v>
      </c>
      <c r="I2754" s="981">
        <f>SUM(H2752:H2753)</f>
        <v>123946.0892</v>
      </c>
      <c r="J2754" s="1561"/>
      <c r="K2754" s="1561"/>
      <c r="L2754" s="1559"/>
      <c r="M2754" s="1635"/>
    </row>
    <row r="2755" spans="2:13" s="979" customFormat="1" hidden="1">
      <c r="B2755" s="1143"/>
      <c r="C2755" s="1144"/>
      <c r="D2755" s="1143"/>
      <c r="E2755" s="1143"/>
      <c r="F2755" s="1145"/>
      <c r="G2755" s="1146"/>
      <c r="H2755" s="1147"/>
      <c r="J2755" s="1557"/>
      <c r="K2755" s="1557"/>
      <c r="L2755" s="1557"/>
      <c r="M2755" s="1566"/>
    </row>
    <row r="2756" spans="2:13" s="979" customFormat="1" hidden="1">
      <c r="B2756" s="1100" t="s">
        <v>4008</v>
      </c>
      <c r="C2756" s="1112" t="s">
        <v>2829</v>
      </c>
      <c r="D2756" s="1129"/>
      <c r="E2756" s="1129"/>
      <c r="F2756" s="1131"/>
      <c r="G2756" s="1132"/>
      <c r="H2756" s="1115"/>
      <c r="J2756" s="1557"/>
      <c r="K2756" s="1557"/>
      <c r="L2756" s="1557"/>
      <c r="M2756" s="1566"/>
    </row>
    <row r="2757" spans="2:13" s="982" customFormat="1" ht="24.9" hidden="1" customHeight="1">
      <c r="B2757" s="1786" t="s">
        <v>1003</v>
      </c>
      <c r="C2757" s="1208" t="s">
        <v>1004</v>
      </c>
      <c r="D2757" s="1208" t="s">
        <v>1005</v>
      </c>
      <c r="E2757" s="1208" t="s">
        <v>1006</v>
      </c>
      <c r="F2757" s="1209" t="s">
        <v>1007</v>
      </c>
      <c r="G2757" s="1109" t="s">
        <v>2637</v>
      </c>
      <c r="H2757" s="1110" t="s">
        <v>2638</v>
      </c>
      <c r="J2757" s="1625"/>
      <c r="K2757" s="1625"/>
      <c r="L2757" s="1625"/>
      <c r="M2757" s="1570"/>
    </row>
    <row r="2758" spans="2:13" s="979" customFormat="1" hidden="1">
      <c r="B2758" s="1543" t="s">
        <v>671</v>
      </c>
      <c r="C2758" s="1332" t="s">
        <v>672</v>
      </c>
      <c r="D2758" s="1331"/>
      <c r="E2758" s="1331"/>
      <c r="F2758" s="1334"/>
      <c r="G2758" s="1104"/>
      <c r="H2758" s="1106"/>
      <c r="J2758" s="1557"/>
      <c r="K2758" s="1557"/>
      <c r="L2758" s="1557"/>
      <c r="M2758" s="1566"/>
    </row>
    <row r="2759" spans="2:13" s="979" customFormat="1" hidden="1">
      <c r="B2759" s="1543"/>
      <c r="C2759" s="1332" t="s">
        <v>673</v>
      </c>
      <c r="D2759" s="1331" t="s">
        <v>674</v>
      </c>
      <c r="E2759" s="1331" t="s">
        <v>675</v>
      </c>
      <c r="F2759" s="1334">
        <v>0.3</v>
      </c>
      <c r="G2759" s="1104">
        <f>DUB!$I$10</f>
        <v>150000</v>
      </c>
      <c r="H2759" s="1106">
        <f>G2759*F2759</f>
        <v>45000</v>
      </c>
      <c r="J2759" s="1557"/>
      <c r="K2759" s="1557"/>
      <c r="L2759" s="1557"/>
      <c r="M2759" s="1566"/>
    </row>
    <row r="2760" spans="2:13" s="979" customFormat="1" hidden="1">
      <c r="B2760" s="1543"/>
      <c r="C2760" s="1332" t="s">
        <v>816</v>
      </c>
      <c r="D2760" s="1331" t="s">
        <v>678</v>
      </c>
      <c r="E2760" s="1331" t="s">
        <v>675</v>
      </c>
      <c r="F2760" s="1334">
        <v>0.15</v>
      </c>
      <c r="G2760" s="1104">
        <f>DUB!$I$11</f>
        <v>187000</v>
      </c>
      <c r="H2760" s="1106">
        <f>G2760*F2760</f>
        <v>28050</v>
      </c>
      <c r="J2760" s="1557"/>
      <c r="K2760" s="1557"/>
      <c r="L2760" s="1557"/>
      <c r="M2760" s="1566"/>
    </row>
    <row r="2761" spans="2:13" s="979" customFormat="1" hidden="1">
      <c r="B2761" s="1543"/>
      <c r="C2761" s="1332" t="s">
        <v>680</v>
      </c>
      <c r="D2761" s="1331" t="s">
        <v>681</v>
      </c>
      <c r="E2761" s="1331" t="s">
        <v>675</v>
      </c>
      <c r="F2761" s="1334">
        <v>1.4999999999999999E-2</v>
      </c>
      <c r="G2761" s="1104">
        <f>DUB!$I$13</f>
        <v>240000</v>
      </c>
      <c r="H2761" s="1106">
        <f>G2761*F2761</f>
        <v>3600</v>
      </c>
      <c r="J2761" s="1557"/>
      <c r="K2761" s="1557"/>
      <c r="L2761" s="1557"/>
      <c r="M2761" s="1566"/>
    </row>
    <row r="2762" spans="2:13" s="979" customFormat="1" hidden="1">
      <c r="B2762" s="1543"/>
      <c r="C2762" s="1332" t="s">
        <v>683</v>
      </c>
      <c r="D2762" s="1331" t="s">
        <v>684</v>
      </c>
      <c r="E2762" s="1331" t="s">
        <v>675</v>
      </c>
      <c r="F2762" s="1334">
        <v>1.4999999999999999E-2</v>
      </c>
      <c r="G2762" s="1104">
        <f>DUB!$I$12</f>
        <v>225000</v>
      </c>
      <c r="H2762" s="1106">
        <f>G2762*F2762</f>
        <v>3375</v>
      </c>
      <c r="J2762" s="1557"/>
      <c r="K2762" s="1557"/>
      <c r="L2762" s="1557"/>
      <c r="M2762" s="1566"/>
    </row>
    <row r="2763" spans="2:13" s="979" customFormat="1" hidden="1">
      <c r="B2763" s="1543"/>
      <c r="C2763" s="1332"/>
      <c r="D2763" s="1331"/>
      <c r="E2763" s="1331"/>
      <c r="F2763" s="2074" t="s">
        <v>685</v>
      </c>
      <c r="G2763" s="2074"/>
      <c r="H2763" s="1106">
        <f>SUM(H2759:H2762)</f>
        <v>80025</v>
      </c>
      <c r="J2763" s="1557"/>
      <c r="K2763" s="1557"/>
      <c r="L2763" s="1557"/>
      <c r="M2763" s="1566"/>
    </row>
    <row r="2764" spans="2:13" s="979" customFormat="1" hidden="1">
      <c r="B2764" s="1543" t="s">
        <v>686</v>
      </c>
      <c r="C2764" s="1332" t="s">
        <v>687</v>
      </c>
      <c r="D2764" s="1331"/>
      <c r="E2764" s="1331"/>
      <c r="F2764" s="1334"/>
      <c r="G2764" s="1104"/>
      <c r="H2764" s="1106"/>
      <c r="J2764" s="1557"/>
      <c r="K2764" s="1557"/>
      <c r="L2764" s="1557"/>
      <c r="M2764" s="1566"/>
    </row>
    <row r="2765" spans="2:13" s="979" customFormat="1" hidden="1">
      <c r="B2765" s="1543"/>
      <c r="C2765" s="1332" t="s">
        <v>738</v>
      </c>
      <c r="D2765" s="1331"/>
      <c r="E2765" s="1331" t="s">
        <v>690</v>
      </c>
      <c r="F2765" s="1334">
        <v>10.224</v>
      </c>
      <c r="G2765" s="1104">
        <f>DUB!$I$65</f>
        <v>1575</v>
      </c>
      <c r="H2765" s="1106">
        <f>G2765*F2765</f>
        <v>16102.800000000001</v>
      </c>
      <c r="J2765" s="1557"/>
      <c r="K2765" s="1557"/>
      <c r="L2765" s="1557"/>
      <c r="M2765" s="1566"/>
    </row>
    <row r="2766" spans="2:13" s="979" customFormat="1" hidden="1">
      <c r="B2766" s="1543"/>
      <c r="C2766" s="1332" t="s">
        <v>808</v>
      </c>
      <c r="D2766" s="1331"/>
      <c r="E2766" s="1331" t="s">
        <v>2646</v>
      </c>
      <c r="F2766" s="1334">
        <v>0.02</v>
      </c>
      <c r="G2766" s="1104">
        <f>DUB!$I$59</f>
        <v>208463</v>
      </c>
      <c r="H2766" s="1106">
        <f>G2766*F2766</f>
        <v>4169.26</v>
      </c>
      <c r="J2766" s="1557"/>
      <c r="K2766" s="1557"/>
      <c r="L2766" s="1557"/>
      <c r="M2766" s="1566"/>
    </row>
    <row r="2767" spans="2:13" s="979" customFormat="1" hidden="1">
      <c r="B2767" s="1543"/>
      <c r="C2767" s="1125"/>
      <c r="D2767" s="1333"/>
      <c r="E2767" s="1333"/>
      <c r="F2767" s="2074" t="s">
        <v>702</v>
      </c>
      <c r="G2767" s="2074"/>
      <c r="H2767" s="1106">
        <f>SUM(H2765:H2766)</f>
        <v>20272.060000000001</v>
      </c>
      <c r="J2767" s="1557"/>
      <c r="K2767" s="1557"/>
      <c r="L2767" s="1557"/>
      <c r="M2767" s="1566"/>
    </row>
    <row r="2768" spans="2:13" s="980" customFormat="1" hidden="1">
      <c r="B2768" s="1543" t="s">
        <v>703</v>
      </c>
      <c r="C2768" s="2075" t="s">
        <v>3764</v>
      </c>
      <c r="D2768" s="2075"/>
      <c r="E2768" s="2075"/>
      <c r="F2768" s="2075"/>
      <c r="G2768" s="2075"/>
      <c r="H2768" s="1107">
        <f>H2763+H2767</f>
        <v>100297.06</v>
      </c>
      <c r="J2768" s="1559"/>
      <c r="K2768" s="1559"/>
      <c r="L2768" s="1559"/>
      <c r="M2768" s="1635"/>
    </row>
    <row r="2769" spans="2:13" s="980" customFormat="1" hidden="1">
      <c r="B2769" s="1543" t="s">
        <v>706</v>
      </c>
      <c r="C2769" s="2076" t="s">
        <v>876</v>
      </c>
      <c r="D2769" s="2076"/>
      <c r="E2769" s="2076"/>
      <c r="F2769" s="2077" t="s">
        <v>3873</v>
      </c>
      <c r="G2769" s="2077"/>
      <c r="H2769" s="1107">
        <f>H2768*0.15</f>
        <v>15044.558999999999</v>
      </c>
      <c r="J2769" s="1559"/>
      <c r="K2769" s="1559"/>
      <c r="L2769" s="1559"/>
      <c r="M2769" s="1635"/>
    </row>
    <row r="2770" spans="2:13" s="980" customFormat="1" hidden="1">
      <c r="B2770" s="1543" t="s">
        <v>708</v>
      </c>
      <c r="C2770" s="2078" t="s">
        <v>3765</v>
      </c>
      <c r="D2770" s="2078"/>
      <c r="E2770" s="2078"/>
      <c r="F2770" s="2078"/>
      <c r="G2770" s="2078"/>
      <c r="H2770" s="1107">
        <f>ROUND(SUM(H2768:H2769),2)</f>
        <v>115341.62</v>
      </c>
      <c r="I2770" s="981">
        <f>SUM(H2768:H2769)</f>
        <v>115341.61899999999</v>
      </c>
      <c r="J2770" s="1561"/>
      <c r="K2770" s="1561"/>
      <c r="L2770" s="1559"/>
      <c r="M2770" s="1635"/>
    </row>
    <row r="2771" spans="2:13" s="979" customFormat="1" hidden="1">
      <c r="B2771" s="1095"/>
      <c r="C2771" s="1096"/>
      <c r="D2771" s="1095"/>
      <c r="E2771" s="1095"/>
      <c r="F2771" s="1172"/>
      <c r="G2771" s="1173"/>
      <c r="H2771" s="1133"/>
      <c r="J2771" s="1557"/>
      <c r="K2771" s="1557"/>
      <c r="L2771" s="1557"/>
      <c r="M2771" s="1566"/>
    </row>
    <row r="2772" spans="2:13" s="979" customFormat="1" hidden="1">
      <c r="B2772" s="1100" t="s">
        <v>4009</v>
      </c>
      <c r="C2772" s="1232" t="s">
        <v>2828</v>
      </c>
      <c r="D2772" s="1095"/>
      <c r="E2772" s="1095"/>
      <c r="F2772" s="1172"/>
      <c r="G2772" s="1173"/>
      <c r="H2772" s="1133"/>
      <c r="J2772" s="1557"/>
      <c r="K2772" s="1557"/>
      <c r="L2772" s="1557"/>
      <c r="M2772" s="1566"/>
    </row>
    <row r="2773" spans="2:13" s="982" customFormat="1" ht="24.9" hidden="1" customHeight="1">
      <c r="B2773" s="1786" t="s">
        <v>1003</v>
      </c>
      <c r="C2773" s="1208" t="s">
        <v>1004</v>
      </c>
      <c r="D2773" s="1208" t="s">
        <v>1005</v>
      </c>
      <c r="E2773" s="1208" t="s">
        <v>1006</v>
      </c>
      <c r="F2773" s="1209" t="s">
        <v>1007</v>
      </c>
      <c r="G2773" s="1109" t="s">
        <v>2637</v>
      </c>
      <c r="H2773" s="1110" t="s">
        <v>2638</v>
      </c>
      <c r="J2773" s="1625"/>
      <c r="K2773" s="1625"/>
      <c r="L2773" s="1625"/>
      <c r="M2773" s="1570"/>
    </row>
    <row r="2774" spans="2:13" s="979" customFormat="1" hidden="1">
      <c r="B2774" s="1543" t="s">
        <v>671</v>
      </c>
      <c r="C2774" s="1332" t="s">
        <v>672</v>
      </c>
      <c r="D2774" s="1331"/>
      <c r="E2774" s="1331"/>
      <c r="F2774" s="1334"/>
      <c r="G2774" s="1104"/>
      <c r="H2774" s="1106"/>
      <c r="J2774" s="1557"/>
      <c r="K2774" s="1557"/>
      <c r="L2774" s="1557"/>
      <c r="M2774" s="1566"/>
    </row>
    <row r="2775" spans="2:13" s="979" customFormat="1" hidden="1">
      <c r="B2775" s="1543"/>
      <c r="C2775" s="1332" t="s">
        <v>673</v>
      </c>
      <c r="D2775" s="1331" t="s">
        <v>674</v>
      </c>
      <c r="E2775" s="1331" t="s">
        <v>675</v>
      </c>
      <c r="F2775" s="1334">
        <v>0.3</v>
      </c>
      <c r="G2775" s="1104">
        <f>DUB!$I$10</f>
        <v>150000</v>
      </c>
      <c r="H2775" s="1106">
        <f>G2775*F2775</f>
        <v>45000</v>
      </c>
      <c r="J2775" s="1557"/>
      <c r="K2775" s="1557"/>
      <c r="L2775" s="1557"/>
      <c r="M2775" s="1566"/>
    </row>
    <row r="2776" spans="2:13" s="979" customFormat="1" hidden="1">
      <c r="B2776" s="1543"/>
      <c r="C2776" s="1332" t="s">
        <v>816</v>
      </c>
      <c r="D2776" s="1331" t="s">
        <v>678</v>
      </c>
      <c r="E2776" s="1331" t="s">
        <v>675</v>
      </c>
      <c r="F2776" s="1334">
        <v>0.15</v>
      </c>
      <c r="G2776" s="1104">
        <f>DUB!$I$11</f>
        <v>187000</v>
      </c>
      <c r="H2776" s="1106">
        <f>G2776*F2776</f>
        <v>28050</v>
      </c>
      <c r="J2776" s="1557"/>
      <c r="K2776" s="1557"/>
      <c r="L2776" s="1557"/>
      <c r="M2776" s="1566"/>
    </row>
    <row r="2777" spans="2:13" s="979" customFormat="1" hidden="1">
      <c r="B2777" s="1543"/>
      <c r="C2777" s="1332" t="s">
        <v>680</v>
      </c>
      <c r="D2777" s="1331" t="s">
        <v>681</v>
      </c>
      <c r="E2777" s="1331" t="s">
        <v>675</v>
      </c>
      <c r="F2777" s="1334">
        <v>1.4999999999999999E-2</v>
      </c>
      <c r="G2777" s="1104">
        <f>DUB!$I$13</f>
        <v>240000</v>
      </c>
      <c r="H2777" s="1106">
        <f>G2777*F2777</f>
        <v>3600</v>
      </c>
      <c r="J2777" s="1557"/>
      <c r="K2777" s="1557"/>
      <c r="L2777" s="1557"/>
      <c r="M2777" s="1566"/>
    </row>
    <row r="2778" spans="2:13" s="979" customFormat="1" hidden="1">
      <c r="B2778" s="1543"/>
      <c r="C2778" s="1332" t="s">
        <v>683</v>
      </c>
      <c r="D2778" s="1331" t="s">
        <v>684</v>
      </c>
      <c r="E2778" s="1331" t="s">
        <v>675</v>
      </c>
      <c r="F2778" s="1334">
        <v>1.4999999999999999E-2</v>
      </c>
      <c r="G2778" s="1104">
        <f>DUB!$I$12</f>
        <v>225000</v>
      </c>
      <c r="H2778" s="1106">
        <f>G2778*F2778</f>
        <v>3375</v>
      </c>
      <c r="J2778" s="1557"/>
      <c r="K2778" s="1557"/>
      <c r="L2778" s="1557"/>
      <c r="M2778" s="1566"/>
    </row>
    <row r="2779" spans="2:13" s="979" customFormat="1" hidden="1">
      <c r="B2779" s="1543"/>
      <c r="C2779" s="1332"/>
      <c r="D2779" s="1331"/>
      <c r="E2779" s="1331"/>
      <c r="F2779" s="2074" t="s">
        <v>685</v>
      </c>
      <c r="G2779" s="2074"/>
      <c r="H2779" s="1106">
        <f>SUM(H2775:H2778)</f>
        <v>80025</v>
      </c>
      <c r="J2779" s="1557"/>
      <c r="K2779" s="1557"/>
      <c r="L2779" s="1557"/>
      <c r="M2779" s="1566"/>
    </row>
    <row r="2780" spans="2:13" s="979" customFormat="1" hidden="1">
      <c r="B2780" s="1543" t="s">
        <v>686</v>
      </c>
      <c r="C2780" s="1332" t="s">
        <v>687</v>
      </c>
      <c r="D2780" s="1331"/>
      <c r="E2780" s="1331"/>
      <c r="F2780" s="1334"/>
      <c r="G2780" s="1104"/>
      <c r="H2780" s="1106"/>
      <c r="J2780" s="1557"/>
      <c r="K2780" s="1557"/>
      <c r="L2780" s="1557"/>
      <c r="M2780" s="1566"/>
    </row>
    <row r="2781" spans="2:13" s="979" customFormat="1" hidden="1">
      <c r="B2781" s="1543"/>
      <c r="C2781" s="1332" t="s">
        <v>738</v>
      </c>
      <c r="D2781" s="1331"/>
      <c r="E2781" s="1331" t="s">
        <v>690</v>
      </c>
      <c r="F2781" s="1334">
        <v>7.7759999999999998</v>
      </c>
      <c r="G2781" s="1104">
        <f>DUB!$I$65</f>
        <v>1575</v>
      </c>
      <c r="H2781" s="1106">
        <f>G2781*F2781</f>
        <v>12247.199999999999</v>
      </c>
      <c r="J2781" s="1557"/>
      <c r="K2781" s="1557"/>
      <c r="L2781" s="1557"/>
      <c r="M2781" s="1566"/>
    </row>
    <row r="2782" spans="2:13" s="979" customFormat="1" hidden="1">
      <c r="B2782" s="1543"/>
      <c r="C2782" s="1332" t="s">
        <v>808</v>
      </c>
      <c r="D2782" s="1331"/>
      <c r="E2782" s="1331" t="s">
        <v>2646</v>
      </c>
      <c r="F2782" s="1334">
        <v>2.3E-2</v>
      </c>
      <c r="G2782" s="1104">
        <f>DUB!$I$59</f>
        <v>208463</v>
      </c>
      <c r="H2782" s="1106">
        <f>G2782*F2782</f>
        <v>4794.6490000000003</v>
      </c>
      <c r="J2782" s="1557"/>
      <c r="K2782" s="1557"/>
      <c r="L2782" s="1557"/>
      <c r="M2782" s="1566"/>
    </row>
    <row r="2783" spans="2:13" s="979" customFormat="1" hidden="1">
      <c r="B2783" s="1543"/>
      <c r="C2783" s="1125"/>
      <c r="D2783" s="1333"/>
      <c r="E2783" s="1333"/>
      <c r="F2783" s="2074" t="s">
        <v>702</v>
      </c>
      <c r="G2783" s="2074"/>
      <c r="H2783" s="1106">
        <f>SUM(H2781:H2782)</f>
        <v>17041.848999999998</v>
      </c>
      <c r="J2783" s="1557"/>
      <c r="K2783" s="1557"/>
      <c r="L2783" s="1557"/>
      <c r="M2783" s="1566"/>
    </row>
    <row r="2784" spans="2:13" s="980" customFormat="1" hidden="1">
      <c r="B2784" s="1543" t="s">
        <v>703</v>
      </c>
      <c r="C2784" s="2075" t="s">
        <v>3764</v>
      </c>
      <c r="D2784" s="2075"/>
      <c r="E2784" s="2075"/>
      <c r="F2784" s="2075"/>
      <c r="G2784" s="2075"/>
      <c r="H2784" s="1107">
        <f>H2779+H2783</f>
        <v>97066.849000000002</v>
      </c>
      <c r="J2784" s="1559"/>
      <c r="K2784" s="1559"/>
      <c r="L2784" s="1559"/>
      <c r="M2784" s="1635"/>
    </row>
    <row r="2785" spans="2:13" s="980" customFormat="1" hidden="1">
      <c r="B2785" s="1543" t="s">
        <v>706</v>
      </c>
      <c r="C2785" s="2076" t="s">
        <v>876</v>
      </c>
      <c r="D2785" s="2076"/>
      <c r="E2785" s="2076"/>
      <c r="F2785" s="2077" t="s">
        <v>3873</v>
      </c>
      <c r="G2785" s="2077"/>
      <c r="H2785" s="1107">
        <f>H2784*0.15</f>
        <v>14560.02735</v>
      </c>
      <c r="J2785" s="1559"/>
      <c r="K2785" s="1559"/>
      <c r="L2785" s="1559"/>
      <c r="M2785" s="1635"/>
    </row>
    <row r="2786" spans="2:13" s="980" customFormat="1" hidden="1">
      <c r="B2786" s="1543" t="s">
        <v>708</v>
      </c>
      <c r="C2786" s="2078" t="s">
        <v>3765</v>
      </c>
      <c r="D2786" s="2078"/>
      <c r="E2786" s="2078"/>
      <c r="F2786" s="2078"/>
      <c r="G2786" s="2078"/>
      <c r="H2786" s="1107">
        <f>ROUND(SUM(H2784:H2785),2)</f>
        <v>111626.88</v>
      </c>
      <c r="I2786" s="981">
        <f>SUM(H2784:H2785)</f>
        <v>111626.87635000001</v>
      </c>
      <c r="J2786" s="1561"/>
      <c r="K2786" s="1561"/>
      <c r="L2786" s="1559"/>
      <c r="M2786" s="1635"/>
    </row>
    <row r="2787" spans="2:13" s="979" customFormat="1" hidden="1">
      <c r="B2787" s="1143"/>
      <c r="C2787" s="1144"/>
      <c r="D2787" s="1143"/>
      <c r="E2787" s="1143"/>
      <c r="F2787" s="1145"/>
      <c r="G2787" s="1146"/>
      <c r="H2787" s="1147"/>
      <c r="J2787" s="1557"/>
      <c r="K2787" s="1557"/>
      <c r="L2787" s="1557"/>
      <c r="M2787" s="1566"/>
    </row>
    <row r="2788" spans="2:13" s="1088" customFormat="1">
      <c r="B2788" s="1100" t="s">
        <v>4010</v>
      </c>
      <c r="C2788" s="1112" t="s">
        <v>2827</v>
      </c>
      <c r="D2788" s="1129"/>
      <c r="E2788" s="1129"/>
      <c r="F2788" s="1131"/>
      <c r="G2788" s="1132"/>
      <c r="H2788" s="1115"/>
      <c r="J2788" s="1557"/>
      <c r="K2788" s="1557"/>
      <c r="L2788" s="1557"/>
      <c r="M2788" s="1566"/>
    </row>
    <row r="2789" spans="2:13" s="1089" customFormat="1" ht="24.9" customHeight="1">
      <c r="B2789" s="1208" t="s">
        <v>1003</v>
      </c>
      <c r="C2789" s="1208" t="s">
        <v>1004</v>
      </c>
      <c r="D2789" s="1208" t="s">
        <v>1005</v>
      </c>
      <c r="E2789" s="1208" t="s">
        <v>1006</v>
      </c>
      <c r="F2789" s="1209" t="s">
        <v>1007</v>
      </c>
      <c r="G2789" s="1109" t="s">
        <v>2637</v>
      </c>
      <c r="H2789" s="1110" t="s">
        <v>2638</v>
      </c>
      <c r="I2789" s="1850"/>
      <c r="J2789" s="1823" t="s">
        <v>5335</v>
      </c>
      <c r="K2789" s="1824" t="s">
        <v>5336</v>
      </c>
      <c r="L2789" s="1824" t="s">
        <v>5337</v>
      </c>
      <c r="M2789" s="1825" t="s">
        <v>5338</v>
      </c>
    </row>
    <row r="2790" spans="2:13" s="1088" customFormat="1">
      <c r="B2790" s="1330" t="s">
        <v>671</v>
      </c>
      <c r="C2790" s="1332" t="s">
        <v>672</v>
      </c>
      <c r="D2790" s="1331"/>
      <c r="E2790" s="1331"/>
      <c r="F2790" s="1334"/>
      <c r="G2790" s="1104"/>
      <c r="H2790" s="1106"/>
      <c r="J2790" s="1597"/>
      <c r="K2790" s="1597"/>
      <c r="L2790" s="1597"/>
      <c r="M2790" s="1826"/>
    </row>
    <row r="2791" spans="2:13" s="1088" customFormat="1">
      <c r="B2791" s="1330"/>
      <c r="C2791" s="1332" t="s">
        <v>673</v>
      </c>
      <c r="D2791" s="1331" t="s">
        <v>674</v>
      </c>
      <c r="E2791" s="1331" t="s">
        <v>675</v>
      </c>
      <c r="F2791" s="1334">
        <v>0.3</v>
      </c>
      <c r="G2791" s="1104">
        <f>DUB!$I$10</f>
        <v>150000</v>
      </c>
      <c r="H2791" s="1106">
        <f>G2791*F2791</f>
        <v>45000</v>
      </c>
      <c r="J2791" s="1609" t="s">
        <v>5339</v>
      </c>
      <c r="K2791" s="1611">
        <v>1</v>
      </c>
      <c r="L2791" s="1608" t="s">
        <v>5340</v>
      </c>
      <c r="M2791" s="1827">
        <f>H2791*K2791</f>
        <v>45000</v>
      </c>
    </row>
    <row r="2792" spans="2:13" s="1088" customFormat="1">
      <c r="B2792" s="1330"/>
      <c r="C2792" s="1332" t="s">
        <v>816</v>
      </c>
      <c r="D2792" s="1331" t="s">
        <v>678</v>
      </c>
      <c r="E2792" s="1331" t="s">
        <v>675</v>
      </c>
      <c r="F2792" s="1334">
        <v>0.15</v>
      </c>
      <c r="G2792" s="1104">
        <f>DUB!$I$11</f>
        <v>187000</v>
      </c>
      <c r="H2792" s="1106">
        <f>G2792*F2792</f>
        <v>28050</v>
      </c>
      <c r="J2792" s="1609" t="s">
        <v>5339</v>
      </c>
      <c r="K2792" s="1611">
        <v>1</v>
      </c>
      <c r="L2792" s="1608" t="s">
        <v>5340</v>
      </c>
      <c r="M2792" s="1827">
        <f t="shared" ref="M2792" si="79">H2792*K2792</f>
        <v>28050</v>
      </c>
    </row>
    <row r="2793" spans="2:13" s="1088" customFormat="1">
      <c r="B2793" s="1330"/>
      <c r="C2793" s="1332" t="s">
        <v>680</v>
      </c>
      <c r="D2793" s="1331" t="s">
        <v>681</v>
      </c>
      <c r="E2793" s="1331" t="s">
        <v>675</v>
      </c>
      <c r="F2793" s="1334">
        <v>1.4999999999999999E-2</v>
      </c>
      <c r="G2793" s="1104">
        <f>DUB!$I$13</f>
        <v>240000</v>
      </c>
      <c r="H2793" s="1106">
        <f>G2793*F2793</f>
        <v>3600</v>
      </c>
      <c r="J2793" s="1609" t="s">
        <v>5339</v>
      </c>
      <c r="K2793" s="1611">
        <v>1</v>
      </c>
      <c r="L2793" s="1608" t="s">
        <v>5340</v>
      </c>
      <c r="M2793" s="1827">
        <f>H2793*K2793</f>
        <v>3600</v>
      </c>
    </row>
    <row r="2794" spans="2:13" s="1088" customFormat="1">
      <c r="B2794" s="1330"/>
      <c r="C2794" s="1332" t="s">
        <v>683</v>
      </c>
      <c r="D2794" s="1331" t="s">
        <v>684</v>
      </c>
      <c r="E2794" s="1331" t="s">
        <v>675</v>
      </c>
      <c r="F2794" s="1334">
        <v>1.4999999999999999E-2</v>
      </c>
      <c r="G2794" s="1104">
        <f>DUB!$I$12</f>
        <v>225000</v>
      </c>
      <c r="H2794" s="1106">
        <f>G2794*F2794</f>
        <v>3375</v>
      </c>
      <c r="J2794" s="1609" t="s">
        <v>5339</v>
      </c>
      <c r="K2794" s="1611">
        <v>1</v>
      </c>
      <c r="L2794" s="1608" t="s">
        <v>5340</v>
      </c>
      <c r="M2794" s="1827">
        <f t="shared" ref="M2794" si="80">H2794*K2794</f>
        <v>3375</v>
      </c>
    </row>
    <row r="2795" spans="2:13" s="1088" customFormat="1">
      <c r="B2795" s="1330"/>
      <c r="C2795" s="1332"/>
      <c r="D2795" s="1331"/>
      <c r="E2795" s="1331"/>
      <c r="F2795" s="2074" t="s">
        <v>685</v>
      </c>
      <c r="G2795" s="2074"/>
      <c r="H2795" s="1106">
        <f>SUM(H2791:H2794)</f>
        <v>80025</v>
      </c>
      <c r="J2795" s="1597"/>
      <c r="K2795" s="1597"/>
      <c r="L2795" s="1597"/>
      <c r="M2795" s="1107">
        <f>SUM(M2791:M2794)</f>
        <v>80025</v>
      </c>
    </row>
    <row r="2796" spans="2:13" s="1088" customFormat="1">
      <c r="B2796" s="1330" t="s">
        <v>686</v>
      </c>
      <c r="C2796" s="1332" t="s">
        <v>687</v>
      </c>
      <c r="D2796" s="1331"/>
      <c r="E2796" s="1331"/>
      <c r="F2796" s="1334"/>
      <c r="G2796" s="1104"/>
      <c r="H2796" s="1106"/>
      <c r="J2796" s="1597"/>
      <c r="K2796" s="1597"/>
      <c r="L2796" s="1597"/>
      <c r="M2796" s="1826"/>
    </row>
    <row r="2797" spans="2:13" s="1088" customFormat="1">
      <c r="B2797" s="1330"/>
      <c r="C2797" s="1332" t="s">
        <v>738</v>
      </c>
      <c r="D2797" s="1331"/>
      <c r="E2797" s="1331" t="s">
        <v>690</v>
      </c>
      <c r="F2797" s="1334">
        <v>6.24</v>
      </c>
      <c r="G2797" s="1104">
        <f>DUB!$I$65</f>
        <v>1575</v>
      </c>
      <c r="H2797" s="1106">
        <f>G2797*F2797</f>
        <v>9828</v>
      </c>
      <c r="J2797" s="1642" t="s">
        <v>4925</v>
      </c>
      <c r="K2797" s="1611">
        <v>0.97009999999999996</v>
      </c>
      <c r="L2797" s="1607" t="s">
        <v>5343</v>
      </c>
      <c r="M2797" s="1827">
        <f t="shared" ref="M2797:M2798" si="81">H2797*K2797</f>
        <v>9534.1427999999996</v>
      </c>
    </row>
    <row r="2798" spans="2:13" s="1088" customFormat="1">
      <c r="B2798" s="1330"/>
      <c r="C2798" s="1332" t="s">
        <v>808</v>
      </c>
      <c r="D2798" s="1331"/>
      <c r="E2798" s="1331" t="s">
        <v>2646</v>
      </c>
      <c r="F2798" s="1334">
        <v>2.4E-2</v>
      </c>
      <c r="G2798" s="1104">
        <f>DUB!$I$59</f>
        <v>208463</v>
      </c>
      <c r="H2798" s="1106">
        <f>G2798*F2798</f>
        <v>5003.1120000000001</v>
      </c>
      <c r="J2798" s="1607" t="s">
        <v>5341</v>
      </c>
      <c r="K2798" s="1611">
        <v>1</v>
      </c>
      <c r="L2798" s="1607" t="s">
        <v>5341</v>
      </c>
      <c r="M2798" s="1827">
        <f t="shared" si="81"/>
        <v>5003.1120000000001</v>
      </c>
    </row>
    <row r="2799" spans="2:13" s="1088" customFormat="1">
      <c r="B2799" s="1330"/>
      <c r="C2799" s="1125"/>
      <c r="D2799" s="1333"/>
      <c r="E2799" s="1333"/>
      <c r="F2799" s="2074" t="s">
        <v>702</v>
      </c>
      <c r="G2799" s="2074"/>
      <c r="H2799" s="1106">
        <f>SUM(H2797:H2798)</f>
        <v>14831.112000000001</v>
      </c>
      <c r="J2799" s="1597"/>
      <c r="K2799" s="1597"/>
      <c r="L2799" s="1597"/>
      <c r="M2799" s="1106">
        <f>SUM(M2796:M2798)</f>
        <v>14537.254799999999</v>
      </c>
    </row>
    <row r="2800" spans="2:13" s="1090" customFormat="1">
      <c r="B2800" s="1330" t="s">
        <v>703</v>
      </c>
      <c r="C2800" s="2075" t="s">
        <v>3764</v>
      </c>
      <c r="D2800" s="2075"/>
      <c r="E2800" s="2075"/>
      <c r="F2800" s="2075"/>
      <c r="G2800" s="2075"/>
      <c r="H2800" s="1107">
        <f>H2795+H2799</f>
        <v>94856.111999999994</v>
      </c>
      <c r="J2800" s="1600"/>
      <c r="K2800" s="1633">
        <f>M2800/H2800</f>
        <v>0.99690207416470966</v>
      </c>
      <c r="L2800" s="1600"/>
      <c r="M2800" s="1107">
        <f>M2795+M2799</f>
        <v>94562.254799999995</v>
      </c>
    </row>
    <row r="2801" spans="2:13" s="1090" customFormat="1">
      <c r="B2801" s="1330" t="s">
        <v>706</v>
      </c>
      <c r="C2801" s="2076" t="s">
        <v>876</v>
      </c>
      <c r="D2801" s="2076"/>
      <c r="E2801" s="2076"/>
      <c r="F2801" s="2077" t="s">
        <v>3873</v>
      </c>
      <c r="G2801" s="2077"/>
      <c r="H2801" s="1107">
        <f>H2800*0.15</f>
        <v>14228.416799999999</v>
      </c>
      <c r="I2801" s="1697">
        <f>H2800*15%</f>
        <v>14228.416799999999</v>
      </c>
      <c r="J2801" s="1600"/>
      <c r="K2801" s="1600"/>
      <c r="L2801" s="1600"/>
      <c r="M2801" s="1107">
        <f>M2800*0.15</f>
        <v>14184.33822</v>
      </c>
    </row>
    <row r="2802" spans="2:13" s="1090" customFormat="1">
      <c r="B2802" s="1330" t="s">
        <v>708</v>
      </c>
      <c r="C2802" s="2078" t="s">
        <v>3765</v>
      </c>
      <c r="D2802" s="2078"/>
      <c r="E2802" s="2078"/>
      <c r="F2802" s="2078"/>
      <c r="G2802" s="2078"/>
      <c r="H2802" s="1107">
        <f>ROUND(SUM(H2800:H2801),2)</f>
        <v>109084.53</v>
      </c>
      <c r="I2802" s="1091">
        <f>SUM(H2800:H2801)</f>
        <v>109084.5288</v>
      </c>
      <c r="J2802" s="1636"/>
      <c r="K2802" s="1636"/>
      <c r="L2802" s="1637"/>
      <c r="M2802" s="1107">
        <f>ROUND(SUM(M2800:M2801),2)</f>
        <v>108746.59</v>
      </c>
    </row>
    <row r="2803" spans="2:13" s="1088" customFormat="1">
      <c r="B2803" s="1095"/>
      <c r="C2803" s="1096"/>
      <c r="D2803" s="1095"/>
      <c r="E2803" s="1095"/>
      <c r="F2803" s="1172"/>
      <c r="G2803" s="1173"/>
      <c r="H2803" s="1133"/>
      <c r="J2803" s="1557"/>
      <c r="K2803" s="1557"/>
      <c r="L2803" s="1557"/>
      <c r="M2803" s="1566"/>
    </row>
    <row r="2804" spans="2:13" s="1088" customFormat="1" hidden="1">
      <c r="B2804" s="1100" t="s">
        <v>4011</v>
      </c>
      <c r="C2804" s="1232" t="s">
        <v>2826</v>
      </c>
      <c r="D2804" s="1095"/>
      <c r="E2804" s="1095"/>
      <c r="F2804" s="1172"/>
      <c r="G2804" s="1173"/>
      <c r="H2804" s="1133"/>
      <c r="J2804" s="1557"/>
      <c r="K2804" s="1557"/>
      <c r="L2804" s="1557"/>
      <c r="M2804" s="1566"/>
    </row>
    <row r="2805" spans="2:13" s="1089" customFormat="1" ht="24.9" hidden="1" customHeight="1">
      <c r="B2805" s="1786" t="s">
        <v>1003</v>
      </c>
      <c r="C2805" s="1208" t="s">
        <v>1004</v>
      </c>
      <c r="D2805" s="1208" t="s">
        <v>1005</v>
      </c>
      <c r="E2805" s="1208" t="s">
        <v>1006</v>
      </c>
      <c r="F2805" s="1209" t="s">
        <v>1007</v>
      </c>
      <c r="G2805" s="1109" t="s">
        <v>2637</v>
      </c>
      <c r="H2805" s="1110" t="s">
        <v>2638</v>
      </c>
      <c r="J2805" s="1625"/>
      <c r="K2805" s="1625"/>
      <c r="L2805" s="1625"/>
      <c r="M2805" s="1570"/>
    </row>
    <row r="2806" spans="2:13" s="1088" customFormat="1" hidden="1">
      <c r="B2806" s="1543" t="s">
        <v>671</v>
      </c>
      <c r="C2806" s="1332" t="s">
        <v>672</v>
      </c>
      <c r="D2806" s="1331"/>
      <c r="E2806" s="1331"/>
      <c r="F2806" s="1334"/>
      <c r="G2806" s="1104"/>
      <c r="H2806" s="1106"/>
      <c r="J2806" s="1557"/>
      <c r="K2806" s="1557"/>
      <c r="L2806" s="1557"/>
      <c r="M2806" s="1566"/>
    </row>
    <row r="2807" spans="2:13" s="1088" customFormat="1" hidden="1">
      <c r="B2807" s="1543"/>
      <c r="C2807" s="1332" t="s">
        <v>673</v>
      </c>
      <c r="D2807" s="1331" t="s">
        <v>674</v>
      </c>
      <c r="E2807" s="1331" t="s">
        <v>675</v>
      </c>
      <c r="F2807" s="1334">
        <v>0.3</v>
      </c>
      <c r="G2807" s="1104">
        <f>DUB!$I$10</f>
        <v>150000</v>
      </c>
      <c r="H2807" s="1106">
        <f>G2807*F2807</f>
        <v>45000</v>
      </c>
      <c r="J2807" s="1557"/>
      <c r="K2807" s="1557"/>
      <c r="L2807" s="1557"/>
      <c r="M2807" s="1566"/>
    </row>
    <row r="2808" spans="2:13" s="1088" customFormat="1" hidden="1">
      <c r="B2808" s="1543"/>
      <c r="C2808" s="1332" t="s">
        <v>816</v>
      </c>
      <c r="D2808" s="1331" t="s">
        <v>678</v>
      </c>
      <c r="E2808" s="1331" t="s">
        <v>675</v>
      </c>
      <c r="F2808" s="1334">
        <v>0.15</v>
      </c>
      <c r="G2808" s="1104">
        <f>DUB!$I$11</f>
        <v>187000</v>
      </c>
      <c r="H2808" s="1106">
        <f>G2808*F2808</f>
        <v>28050</v>
      </c>
      <c r="J2808" s="1557"/>
      <c r="K2808" s="1557"/>
      <c r="L2808" s="1557"/>
      <c r="M2808" s="1566"/>
    </row>
    <row r="2809" spans="2:13" s="1088" customFormat="1" hidden="1">
      <c r="B2809" s="1543"/>
      <c r="C2809" s="1332" t="s">
        <v>680</v>
      </c>
      <c r="D2809" s="1331" t="s">
        <v>681</v>
      </c>
      <c r="E2809" s="1331" t="s">
        <v>675</v>
      </c>
      <c r="F2809" s="1334">
        <v>1.4999999999999999E-2</v>
      </c>
      <c r="G2809" s="1104">
        <f>DUB!$I$13</f>
        <v>240000</v>
      </c>
      <c r="H2809" s="1106">
        <f>G2809*F2809</f>
        <v>3600</v>
      </c>
      <c r="J2809" s="1557"/>
      <c r="K2809" s="1557"/>
      <c r="L2809" s="1557"/>
      <c r="M2809" s="1566"/>
    </row>
    <row r="2810" spans="2:13" s="1088" customFormat="1" hidden="1">
      <c r="B2810" s="1543"/>
      <c r="C2810" s="1332" t="s">
        <v>683</v>
      </c>
      <c r="D2810" s="1331" t="s">
        <v>684</v>
      </c>
      <c r="E2810" s="1331" t="s">
        <v>675</v>
      </c>
      <c r="F2810" s="1334">
        <v>1.4999999999999999E-2</v>
      </c>
      <c r="G2810" s="1104">
        <f>DUB!$I$12</f>
        <v>225000</v>
      </c>
      <c r="H2810" s="1106">
        <f>G2810*F2810</f>
        <v>3375</v>
      </c>
      <c r="J2810" s="1557"/>
      <c r="K2810" s="1557"/>
      <c r="L2810" s="1557"/>
      <c r="M2810" s="1566"/>
    </row>
    <row r="2811" spans="2:13" s="1088" customFormat="1" hidden="1">
      <c r="B2811" s="1543"/>
      <c r="C2811" s="1332"/>
      <c r="D2811" s="1331"/>
      <c r="E2811" s="1331"/>
      <c r="F2811" s="2074" t="s">
        <v>685</v>
      </c>
      <c r="G2811" s="2074"/>
      <c r="H2811" s="1106">
        <f>SUM(H2807:H2810)</f>
        <v>80025</v>
      </c>
      <c r="J2811" s="1557"/>
      <c r="K2811" s="1557"/>
      <c r="L2811" s="1557"/>
      <c r="M2811" s="1566"/>
    </row>
    <row r="2812" spans="2:13" s="1088" customFormat="1" hidden="1">
      <c r="B2812" s="1543" t="s">
        <v>686</v>
      </c>
      <c r="C2812" s="1332" t="s">
        <v>687</v>
      </c>
      <c r="D2812" s="1331"/>
      <c r="E2812" s="1331"/>
      <c r="F2812" s="1334"/>
      <c r="G2812" s="1104"/>
      <c r="H2812" s="1106"/>
      <c r="J2812" s="1557"/>
      <c r="K2812" s="1557"/>
      <c r="L2812" s="1557"/>
      <c r="M2812" s="1566"/>
    </row>
    <row r="2813" spans="2:13" s="1088" customFormat="1" hidden="1">
      <c r="B2813" s="1543"/>
      <c r="C2813" s="1332" t="s">
        <v>738</v>
      </c>
      <c r="D2813" s="1331"/>
      <c r="E2813" s="1331" t="s">
        <v>690</v>
      </c>
      <c r="F2813" s="1334">
        <v>5.1840000000000002</v>
      </c>
      <c r="G2813" s="1104">
        <f>DUB!$I$65</f>
        <v>1575</v>
      </c>
      <c r="H2813" s="1106">
        <f>G2813*F2813</f>
        <v>8164.8</v>
      </c>
      <c r="J2813" s="1557"/>
      <c r="K2813" s="1557"/>
      <c r="L2813" s="1557"/>
      <c r="M2813" s="1566"/>
    </row>
    <row r="2814" spans="2:13" s="1088" customFormat="1" hidden="1">
      <c r="B2814" s="1543"/>
      <c r="C2814" s="1332" t="s">
        <v>808</v>
      </c>
      <c r="D2814" s="1331"/>
      <c r="E2814" s="1331" t="s">
        <v>2646</v>
      </c>
      <c r="F2814" s="1334">
        <v>2.5999999999999999E-2</v>
      </c>
      <c r="G2814" s="1104">
        <f>DUB!$I$59</f>
        <v>208463</v>
      </c>
      <c r="H2814" s="1106">
        <f>G2814*F2814</f>
        <v>5420.0379999999996</v>
      </c>
      <c r="J2814" s="1557"/>
      <c r="K2814" s="1557"/>
      <c r="L2814" s="1557"/>
      <c r="M2814" s="1566"/>
    </row>
    <row r="2815" spans="2:13" s="1088" customFormat="1" hidden="1">
      <c r="B2815" s="1543"/>
      <c r="C2815" s="1125"/>
      <c r="D2815" s="1333"/>
      <c r="E2815" s="1333"/>
      <c r="F2815" s="2074" t="s">
        <v>702</v>
      </c>
      <c r="G2815" s="2074"/>
      <c r="H2815" s="1106">
        <f>SUM(H2813:H2814)</f>
        <v>13584.838</v>
      </c>
      <c r="J2815" s="1557"/>
      <c r="K2815" s="1557"/>
      <c r="L2815" s="1557"/>
      <c r="M2815" s="1566"/>
    </row>
    <row r="2816" spans="2:13" s="1090" customFormat="1" hidden="1">
      <c r="B2816" s="1543" t="s">
        <v>703</v>
      </c>
      <c r="C2816" s="2075" t="s">
        <v>3764</v>
      </c>
      <c r="D2816" s="2075"/>
      <c r="E2816" s="2075"/>
      <c r="F2816" s="2075"/>
      <c r="G2816" s="2075"/>
      <c r="H2816" s="1107">
        <f>H2811+H2815</f>
        <v>93609.838000000003</v>
      </c>
      <c r="J2816" s="1559"/>
      <c r="K2816" s="1559"/>
      <c r="L2816" s="1559"/>
      <c r="M2816" s="1635"/>
    </row>
    <row r="2817" spans="2:13" s="1090" customFormat="1" hidden="1">
      <c r="B2817" s="1543" t="s">
        <v>706</v>
      </c>
      <c r="C2817" s="2076" t="s">
        <v>876</v>
      </c>
      <c r="D2817" s="2076"/>
      <c r="E2817" s="2076"/>
      <c r="F2817" s="2077" t="s">
        <v>3873</v>
      </c>
      <c r="G2817" s="2077"/>
      <c r="H2817" s="1107">
        <f>H2816*0.15</f>
        <v>14041.475700000001</v>
      </c>
      <c r="J2817" s="1559"/>
      <c r="K2817" s="1559"/>
      <c r="L2817" s="1559"/>
      <c r="M2817" s="1635"/>
    </row>
    <row r="2818" spans="2:13" s="1090" customFormat="1" hidden="1">
      <c r="B2818" s="1543" t="s">
        <v>708</v>
      </c>
      <c r="C2818" s="2078" t="s">
        <v>3765</v>
      </c>
      <c r="D2818" s="2078"/>
      <c r="E2818" s="2078"/>
      <c r="F2818" s="2078"/>
      <c r="G2818" s="2078"/>
      <c r="H2818" s="1107">
        <f>ROUND(SUM(H2816:H2817),2)</f>
        <v>107651.31</v>
      </c>
      <c r="I2818" s="1091">
        <f>SUM(H2816:H2817)</f>
        <v>107651.3137</v>
      </c>
      <c r="J2818" s="1561"/>
      <c r="K2818" s="1561"/>
      <c r="L2818" s="1559"/>
      <c r="M2818" s="1635"/>
    </row>
    <row r="2819" spans="2:13" s="1088" customFormat="1" hidden="1">
      <c r="B2819" s="1143"/>
      <c r="C2819" s="1144"/>
      <c r="D2819" s="1143"/>
      <c r="E2819" s="1143"/>
      <c r="F2819" s="1145"/>
      <c r="G2819" s="1146"/>
      <c r="H2819" s="1147"/>
      <c r="J2819" s="1557"/>
      <c r="K2819" s="1557"/>
      <c r="L2819" s="1557"/>
      <c r="M2819" s="1566"/>
    </row>
    <row r="2820" spans="2:13" s="1088" customFormat="1" hidden="1">
      <c r="B2820" s="1100" t="s">
        <v>4012</v>
      </c>
      <c r="C2820" s="1112" t="s">
        <v>2825</v>
      </c>
      <c r="D2820" s="1129"/>
      <c r="E2820" s="1129"/>
      <c r="F2820" s="1131"/>
      <c r="G2820" s="1132"/>
      <c r="H2820" s="1115"/>
      <c r="J2820" s="1557"/>
      <c r="K2820" s="1557"/>
      <c r="L2820" s="1557"/>
      <c r="M2820" s="1566"/>
    </row>
    <row r="2821" spans="2:13" s="1089" customFormat="1" ht="24.9" hidden="1" customHeight="1">
      <c r="B2821" s="1786" t="s">
        <v>1003</v>
      </c>
      <c r="C2821" s="1208" t="s">
        <v>1004</v>
      </c>
      <c r="D2821" s="1208" t="s">
        <v>1005</v>
      </c>
      <c r="E2821" s="1208" t="s">
        <v>1006</v>
      </c>
      <c r="F2821" s="1209" t="s">
        <v>1007</v>
      </c>
      <c r="G2821" s="1109" t="s">
        <v>2637</v>
      </c>
      <c r="H2821" s="1110" t="s">
        <v>2638</v>
      </c>
      <c r="J2821" s="1625"/>
      <c r="K2821" s="1625"/>
      <c r="L2821" s="1625"/>
      <c r="M2821" s="1570"/>
    </row>
    <row r="2822" spans="2:13" s="1088" customFormat="1" hidden="1">
      <c r="B2822" s="1543" t="s">
        <v>671</v>
      </c>
      <c r="C2822" s="1332" t="s">
        <v>672</v>
      </c>
      <c r="D2822" s="1331"/>
      <c r="E2822" s="1331"/>
      <c r="F2822" s="1334"/>
      <c r="G2822" s="1104"/>
      <c r="H2822" s="1106"/>
      <c r="J2822" s="1557"/>
      <c r="K2822" s="1557"/>
      <c r="L2822" s="1557"/>
      <c r="M2822" s="1566"/>
    </row>
    <row r="2823" spans="2:13" s="1088" customFormat="1" hidden="1">
      <c r="B2823" s="1543"/>
      <c r="C2823" s="1332" t="s">
        <v>673</v>
      </c>
      <c r="D2823" s="1331" t="s">
        <v>674</v>
      </c>
      <c r="E2823" s="1331" t="s">
        <v>675</v>
      </c>
      <c r="F2823" s="1334">
        <v>0.3</v>
      </c>
      <c r="G2823" s="1104">
        <f>DUB!$I$10</f>
        <v>150000</v>
      </c>
      <c r="H2823" s="1106">
        <f>G2823*F2823</f>
        <v>45000</v>
      </c>
      <c r="J2823" s="1557"/>
      <c r="K2823" s="1557"/>
      <c r="L2823" s="1557"/>
      <c r="M2823" s="1566"/>
    </row>
    <row r="2824" spans="2:13" s="1088" customFormat="1" hidden="1">
      <c r="B2824" s="1543"/>
      <c r="C2824" s="1332" t="s">
        <v>816</v>
      </c>
      <c r="D2824" s="1331" t="s">
        <v>678</v>
      </c>
      <c r="E2824" s="1331" t="s">
        <v>675</v>
      </c>
      <c r="F2824" s="1334">
        <v>0.15</v>
      </c>
      <c r="G2824" s="1104">
        <f>DUB!$I$11</f>
        <v>187000</v>
      </c>
      <c r="H2824" s="1106">
        <f>G2824*F2824</f>
        <v>28050</v>
      </c>
      <c r="J2824" s="1557"/>
      <c r="K2824" s="1557"/>
      <c r="L2824" s="1557"/>
      <c r="M2824" s="1566"/>
    </row>
    <row r="2825" spans="2:13" s="1088" customFormat="1" hidden="1">
      <c r="B2825" s="1543"/>
      <c r="C2825" s="1332" t="s">
        <v>680</v>
      </c>
      <c r="D2825" s="1331" t="s">
        <v>681</v>
      </c>
      <c r="E2825" s="1331" t="s">
        <v>675</v>
      </c>
      <c r="F2825" s="1334">
        <v>1.4999999999999999E-2</v>
      </c>
      <c r="G2825" s="1104">
        <f>DUB!$I$13</f>
        <v>240000</v>
      </c>
      <c r="H2825" s="1106">
        <f>G2825*F2825</f>
        <v>3600</v>
      </c>
      <c r="J2825" s="1557"/>
      <c r="K2825" s="1557"/>
      <c r="L2825" s="1557"/>
      <c r="M2825" s="1566"/>
    </row>
    <row r="2826" spans="2:13" s="1088" customFormat="1" hidden="1">
      <c r="B2826" s="1543"/>
      <c r="C2826" s="1332" t="s">
        <v>683</v>
      </c>
      <c r="D2826" s="1331" t="s">
        <v>684</v>
      </c>
      <c r="E2826" s="1331" t="s">
        <v>675</v>
      </c>
      <c r="F2826" s="1334">
        <v>1.4999999999999999E-2</v>
      </c>
      <c r="G2826" s="1104">
        <f>DUB!$I$12</f>
        <v>225000</v>
      </c>
      <c r="H2826" s="1106">
        <f>G2826*F2826</f>
        <v>3375</v>
      </c>
      <c r="J2826" s="1557"/>
      <c r="K2826" s="1557"/>
      <c r="L2826" s="1557"/>
      <c r="M2826" s="1566"/>
    </row>
    <row r="2827" spans="2:13" s="1088" customFormat="1" hidden="1">
      <c r="B2827" s="1543"/>
      <c r="C2827" s="1332"/>
      <c r="D2827" s="1331"/>
      <c r="E2827" s="1331"/>
      <c r="F2827" s="2074" t="s">
        <v>685</v>
      </c>
      <c r="G2827" s="2074"/>
      <c r="H2827" s="1106">
        <f>SUM(H2823:H2826)</f>
        <v>80025</v>
      </c>
      <c r="J2827" s="1557"/>
      <c r="K2827" s="1557"/>
      <c r="L2827" s="1557"/>
      <c r="M2827" s="1566"/>
    </row>
    <row r="2828" spans="2:13" s="1088" customFormat="1" hidden="1">
      <c r="B2828" s="1543" t="s">
        <v>686</v>
      </c>
      <c r="C2828" s="1332" t="s">
        <v>687</v>
      </c>
      <c r="D2828" s="1331"/>
      <c r="E2828" s="1331"/>
      <c r="F2828" s="1334"/>
      <c r="G2828" s="1104"/>
      <c r="H2828" s="1106"/>
      <c r="J2828" s="1557"/>
      <c r="K2828" s="1557"/>
      <c r="L2828" s="1557"/>
      <c r="M2828" s="1566"/>
    </row>
    <row r="2829" spans="2:13" s="1088" customFormat="1" hidden="1">
      <c r="B2829" s="1543"/>
      <c r="C2829" s="1332" t="s">
        <v>738</v>
      </c>
      <c r="D2829" s="1331"/>
      <c r="E2829" s="1331" t="s">
        <v>690</v>
      </c>
      <c r="F2829" s="1334">
        <v>4.4160000000000004</v>
      </c>
      <c r="G2829" s="1104">
        <f>DUB!$I$65</f>
        <v>1575</v>
      </c>
      <c r="H2829" s="1106">
        <f>G2829*F2829</f>
        <v>6955.2000000000007</v>
      </c>
      <c r="J2829" s="1557"/>
      <c r="K2829" s="1557"/>
      <c r="L2829" s="1557"/>
      <c r="M2829" s="1566"/>
    </row>
    <row r="2830" spans="2:13" s="1088" customFormat="1" hidden="1">
      <c r="B2830" s="1543"/>
      <c r="C2830" s="1332" t="s">
        <v>808</v>
      </c>
      <c r="D2830" s="1331"/>
      <c r="E2830" s="1331" t="s">
        <v>2646</v>
      </c>
      <c r="F2830" s="1334">
        <v>2.7E-2</v>
      </c>
      <c r="G2830" s="1104">
        <f>DUB!$I$59</f>
        <v>208463</v>
      </c>
      <c r="H2830" s="1106">
        <f>G2830*F2830</f>
        <v>5628.5010000000002</v>
      </c>
      <c r="J2830" s="1557"/>
      <c r="K2830" s="1557"/>
      <c r="L2830" s="1557"/>
      <c r="M2830" s="1566"/>
    </row>
    <row r="2831" spans="2:13" s="1088" customFormat="1" hidden="1">
      <c r="B2831" s="1543"/>
      <c r="C2831" s="1125"/>
      <c r="D2831" s="1333"/>
      <c r="E2831" s="1333"/>
      <c r="F2831" s="2074" t="s">
        <v>702</v>
      </c>
      <c r="G2831" s="2074"/>
      <c r="H2831" s="1106">
        <f>SUM(H2829:H2830)</f>
        <v>12583.701000000001</v>
      </c>
      <c r="J2831" s="1557"/>
      <c r="K2831" s="1557"/>
      <c r="L2831" s="1557"/>
      <c r="M2831" s="1566"/>
    </row>
    <row r="2832" spans="2:13" s="1090" customFormat="1" hidden="1">
      <c r="B2832" s="1543" t="s">
        <v>703</v>
      </c>
      <c r="C2832" s="2075" t="s">
        <v>3764</v>
      </c>
      <c r="D2832" s="2075"/>
      <c r="E2832" s="2075"/>
      <c r="F2832" s="2075"/>
      <c r="G2832" s="2075"/>
      <c r="H2832" s="1107">
        <f>H2827+H2831</f>
        <v>92608.701000000001</v>
      </c>
      <c r="J2832" s="1559"/>
      <c r="K2832" s="1559"/>
      <c r="L2832" s="1559"/>
      <c r="M2832" s="1635"/>
    </row>
    <row r="2833" spans="2:13" s="1090" customFormat="1" hidden="1">
      <c r="B2833" s="1543" t="s">
        <v>706</v>
      </c>
      <c r="C2833" s="2076" t="s">
        <v>876</v>
      </c>
      <c r="D2833" s="2076"/>
      <c r="E2833" s="2076"/>
      <c r="F2833" s="2077" t="s">
        <v>3873</v>
      </c>
      <c r="G2833" s="2077"/>
      <c r="H2833" s="1107">
        <f>H2832*0.15</f>
        <v>13891.30515</v>
      </c>
      <c r="J2833" s="1559"/>
      <c r="K2833" s="1559"/>
      <c r="L2833" s="1559"/>
      <c r="M2833" s="1635"/>
    </row>
    <row r="2834" spans="2:13" s="1090" customFormat="1" hidden="1">
      <c r="B2834" s="1543" t="s">
        <v>708</v>
      </c>
      <c r="C2834" s="2078" t="s">
        <v>3765</v>
      </c>
      <c r="D2834" s="2078"/>
      <c r="E2834" s="2078"/>
      <c r="F2834" s="2078"/>
      <c r="G2834" s="2078"/>
      <c r="H2834" s="1107">
        <f>ROUND(SUM(H2832:H2833),2)</f>
        <v>106500.01</v>
      </c>
      <c r="I2834" s="1091">
        <f>SUM(H2832:H2833)</f>
        <v>106500.00615</v>
      </c>
      <c r="J2834" s="1561"/>
      <c r="K2834" s="1561"/>
      <c r="L2834" s="1559"/>
      <c r="M2834" s="1635"/>
    </row>
    <row r="2835" spans="2:13" s="1088" customFormat="1" hidden="1">
      <c r="B2835" s="1095"/>
      <c r="C2835" s="1096"/>
      <c r="D2835" s="1095"/>
      <c r="E2835" s="1095"/>
      <c r="F2835" s="1172"/>
      <c r="G2835" s="1173"/>
      <c r="H2835" s="1133"/>
      <c r="J2835" s="1557"/>
      <c r="K2835" s="1557"/>
      <c r="L2835" s="1557"/>
      <c r="M2835" s="1566"/>
    </row>
    <row r="2836" spans="2:13" s="1088" customFormat="1" hidden="1">
      <c r="B2836" s="1100" t="s">
        <v>4013</v>
      </c>
      <c r="C2836" s="1232" t="s">
        <v>2824</v>
      </c>
      <c r="D2836" s="1095"/>
      <c r="E2836" s="1095"/>
      <c r="F2836" s="1172"/>
      <c r="G2836" s="1173"/>
      <c r="H2836" s="1133"/>
      <c r="J2836" s="1557"/>
      <c r="K2836" s="1557"/>
      <c r="L2836" s="1557"/>
      <c r="M2836" s="1566"/>
    </row>
    <row r="2837" spans="2:13" s="1089" customFormat="1" ht="24.9" hidden="1" customHeight="1">
      <c r="B2837" s="1786" t="s">
        <v>1003</v>
      </c>
      <c r="C2837" s="1208" t="s">
        <v>1004</v>
      </c>
      <c r="D2837" s="1208" t="s">
        <v>1005</v>
      </c>
      <c r="E2837" s="1208" t="s">
        <v>1006</v>
      </c>
      <c r="F2837" s="1209" t="s">
        <v>1007</v>
      </c>
      <c r="G2837" s="1109" t="s">
        <v>2637</v>
      </c>
      <c r="H2837" s="1110" t="s">
        <v>2638</v>
      </c>
      <c r="J2837" s="1625"/>
      <c r="K2837" s="1625"/>
      <c r="L2837" s="1625"/>
      <c r="M2837" s="1570"/>
    </row>
    <row r="2838" spans="2:13" s="1088" customFormat="1" hidden="1">
      <c r="B2838" s="1543" t="s">
        <v>671</v>
      </c>
      <c r="C2838" s="1332" t="s">
        <v>672</v>
      </c>
      <c r="D2838" s="1331"/>
      <c r="E2838" s="1331"/>
      <c r="F2838" s="1334"/>
      <c r="G2838" s="1104"/>
      <c r="H2838" s="1106"/>
      <c r="J2838" s="1557"/>
      <c r="K2838" s="1557"/>
      <c r="L2838" s="1557"/>
      <c r="M2838" s="1566"/>
    </row>
    <row r="2839" spans="2:13" s="1088" customFormat="1" hidden="1">
      <c r="B2839" s="1543"/>
      <c r="C2839" s="1332" t="s">
        <v>673</v>
      </c>
      <c r="D2839" s="1331" t="s">
        <v>674</v>
      </c>
      <c r="E2839" s="1331" t="s">
        <v>675</v>
      </c>
      <c r="F2839" s="1334">
        <v>0.3</v>
      </c>
      <c r="G2839" s="1104">
        <f>DUB!$I$10</f>
        <v>150000</v>
      </c>
      <c r="H2839" s="1106">
        <f>G2839*F2839</f>
        <v>45000</v>
      </c>
      <c r="J2839" s="1557"/>
      <c r="K2839" s="1557"/>
      <c r="L2839" s="1557"/>
      <c r="M2839" s="1566"/>
    </row>
    <row r="2840" spans="2:13" s="1088" customFormat="1" hidden="1">
      <c r="B2840" s="1543"/>
      <c r="C2840" s="1332" t="s">
        <v>816</v>
      </c>
      <c r="D2840" s="1331" t="s">
        <v>678</v>
      </c>
      <c r="E2840" s="1331" t="s">
        <v>675</v>
      </c>
      <c r="F2840" s="1334">
        <v>0.15</v>
      </c>
      <c r="G2840" s="1104">
        <f>DUB!$I$11</f>
        <v>187000</v>
      </c>
      <c r="H2840" s="1106">
        <f>G2840*F2840</f>
        <v>28050</v>
      </c>
      <c r="J2840" s="1557"/>
      <c r="K2840" s="1557"/>
      <c r="L2840" s="1557"/>
      <c r="M2840" s="1566"/>
    </row>
    <row r="2841" spans="2:13" s="1088" customFormat="1" hidden="1">
      <c r="B2841" s="1543"/>
      <c r="C2841" s="1332" t="s">
        <v>680</v>
      </c>
      <c r="D2841" s="1331" t="s">
        <v>681</v>
      </c>
      <c r="E2841" s="1331" t="s">
        <v>675</v>
      </c>
      <c r="F2841" s="1334">
        <v>1.4999999999999999E-2</v>
      </c>
      <c r="G2841" s="1104">
        <f>DUB!$I$13</f>
        <v>240000</v>
      </c>
      <c r="H2841" s="1106">
        <f>G2841*F2841</f>
        <v>3600</v>
      </c>
      <c r="J2841" s="1557"/>
      <c r="K2841" s="1557"/>
      <c r="L2841" s="1557"/>
      <c r="M2841" s="1566"/>
    </row>
    <row r="2842" spans="2:13" s="1088" customFormat="1" hidden="1">
      <c r="B2842" s="1543"/>
      <c r="C2842" s="1332" t="s">
        <v>683</v>
      </c>
      <c r="D2842" s="1331" t="s">
        <v>684</v>
      </c>
      <c r="E2842" s="1331" t="s">
        <v>675</v>
      </c>
      <c r="F2842" s="1334">
        <v>1.4999999999999999E-2</v>
      </c>
      <c r="G2842" s="1104">
        <f>DUB!$I$12</f>
        <v>225000</v>
      </c>
      <c r="H2842" s="1106">
        <f>G2842*F2842</f>
        <v>3375</v>
      </c>
      <c r="J2842" s="1557"/>
      <c r="K2842" s="1557"/>
      <c r="L2842" s="1557"/>
      <c r="M2842" s="1566"/>
    </row>
    <row r="2843" spans="2:13" s="1088" customFormat="1" hidden="1">
      <c r="B2843" s="1543"/>
      <c r="C2843" s="1332"/>
      <c r="D2843" s="1331"/>
      <c r="E2843" s="1331"/>
      <c r="F2843" s="2074" t="s">
        <v>685</v>
      </c>
      <c r="G2843" s="2074"/>
      <c r="H2843" s="1106">
        <f>SUM(H2839:H2842)</f>
        <v>80025</v>
      </c>
      <c r="J2843" s="1557"/>
      <c r="K2843" s="1557"/>
      <c r="L2843" s="1557"/>
      <c r="M2843" s="1566"/>
    </row>
    <row r="2844" spans="2:13" s="1088" customFormat="1" hidden="1">
      <c r="B2844" s="1543" t="s">
        <v>686</v>
      </c>
      <c r="C2844" s="1332" t="s">
        <v>687</v>
      </c>
      <c r="D2844" s="1331"/>
      <c r="E2844" s="1331"/>
      <c r="F2844" s="1334"/>
      <c r="G2844" s="1104"/>
      <c r="H2844" s="1106"/>
      <c r="J2844" s="1557"/>
      <c r="K2844" s="1557"/>
      <c r="L2844" s="1557"/>
      <c r="M2844" s="1566"/>
    </row>
    <row r="2845" spans="2:13" s="1088" customFormat="1" hidden="1">
      <c r="B2845" s="1543"/>
      <c r="C2845" s="1332" t="s">
        <v>738</v>
      </c>
      <c r="D2845" s="1331"/>
      <c r="E2845" s="1331" t="s">
        <v>690</v>
      </c>
      <c r="F2845" s="1334">
        <v>3.9359999999999999</v>
      </c>
      <c r="G2845" s="1104">
        <f>DUB!$I$65</f>
        <v>1575</v>
      </c>
      <c r="H2845" s="1106">
        <f>G2845*F2845</f>
        <v>6199.2</v>
      </c>
      <c r="J2845" s="1557"/>
      <c r="K2845" s="1557"/>
      <c r="L2845" s="1557"/>
      <c r="M2845" s="1566"/>
    </row>
    <row r="2846" spans="2:13" s="1088" customFormat="1" hidden="1">
      <c r="B2846" s="1543"/>
      <c r="C2846" s="1332" t="s">
        <v>808</v>
      </c>
      <c r="D2846" s="1331"/>
      <c r="E2846" s="1331" t="s">
        <v>2646</v>
      </c>
      <c r="F2846" s="1334">
        <v>2.8000000000000001E-2</v>
      </c>
      <c r="G2846" s="1104">
        <f>DUB!$I$59</f>
        <v>208463</v>
      </c>
      <c r="H2846" s="1106">
        <f>G2846*F2846</f>
        <v>5836.9639999999999</v>
      </c>
      <c r="J2846" s="1557"/>
      <c r="K2846" s="1557"/>
      <c r="L2846" s="1557"/>
      <c r="M2846" s="1566"/>
    </row>
    <row r="2847" spans="2:13" s="1088" customFormat="1" hidden="1">
      <c r="B2847" s="1543"/>
      <c r="C2847" s="1125"/>
      <c r="D2847" s="1333"/>
      <c r="E2847" s="1333"/>
      <c r="F2847" s="2074" t="s">
        <v>702</v>
      </c>
      <c r="G2847" s="2074"/>
      <c r="H2847" s="1106">
        <f>SUM(H2845:H2846)</f>
        <v>12036.164000000001</v>
      </c>
      <c r="J2847" s="1557"/>
      <c r="K2847" s="1557"/>
      <c r="L2847" s="1557"/>
      <c r="M2847" s="1566"/>
    </row>
    <row r="2848" spans="2:13" s="1090" customFormat="1" hidden="1">
      <c r="B2848" s="1543" t="s">
        <v>703</v>
      </c>
      <c r="C2848" s="2075" t="s">
        <v>3764</v>
      </c>
      <c r="D2848" s="2075"/>
      <c r="E2848" s="2075"/>
      <c r="F2848" s="2075"/>
      <c r="G2848" s="2075"/>
      <c r="H2848" s="1107">
        <f>H2843+H2847</f>
        <v>92061.164000000004</v>
      </c>
      <c r="J2848" s="1559"/>
      <c r="K2848" s="1559"/>
      <c r="L2848" s="1559"/>
      <c r="M2848" s="1635"/>
    </row>
    <row r="2849" spans="2:13" s="1090" customFormat="1" hidden="1">
      <c r="B2849" s="1543" t="s">
        <v>706</v>
      </c>
      <c r="C2849" s="2076" t="s">
        <v>876</v>
      </c>
      <c r="D2849" s="2076"/>
      <c r="E2849" s="2076"/>
      <c r="F2849" s="2077" t="s">
        <v>3873</v>
      </c>
      <c r="G2849" s="2077"/>
      <c r="H2849" s="1107">
        <f>H2848*0.15</f>
        <v>13809.1746</v>
      </c>
      <c r="J2849" s="1559"/>
      <c r="K2849" s="1559"/>
      <c r="L2849" s="1559"/>
      <c r="M2849" s="1635"/>
    </row>
    <row r="2850" spans="2:13" s="1090" customFormat="1" hidden="1">
      <c r="B2850" s="1543" t="s">
        <v>708</v>
      </c>
      <c r="C2850" s="2078" t="s">
        <v>3765</v>
      </c>
      <c r="D2850" s="2078"/>
      <c r="E2850" s="2078"/>
      <c r="F2850" s="2078"/>
      <c r="G2850" s="2078"/>
      <c r="H2850" s="1107">
        <f>ROUND(SUM(H2848:H2849),2)</f>
        <v>105870.34</v>
      </c>
      <c r="I2850" s="1091">
        <f>SUM(H2848:H2849)</f>
        <v>105870.3386</v>
      </c>
      <c r="J2850" s="1561"/>
      <c r="K2850" s="1561"/>
      <c r="L2850" s="1559"/>
      <c r="M2850" s="1635"/>
    </row>
    <row r="2851" spans="2:13" s="1088" customFormat="1" hidden="1">
      <c r="B2851" s="1143"/>
      <c r="C2851" s="1144"/>
      <c r="D2851" s="1143"/>
      <c r="E2851" s="1143"/>
      <c r="F2851" s="1145"/>
      <c r="G2851" s="1146"/>
      <c r="H2851" s="1147"/>
      <c r="J2851" s="1557"/>
      <c r="K2851" s="1557"/>
      <c r="L2851" s="1557"/>
      <c r="M2851" s="1566"/>
    </row>
    <row r="2852" spans="2:13" s="1088" customFormat="1" hidden="1">
      <c r="B2852" s="1100" t="s">
        <v>4014</v>
      </c>
      <c r="C2852" s="1112" t="s">
        <v>4377</v>
      </c>
      <c r="D2852" s="1129"/>
      <c r="E2852" s="1129"/>
      <c r="F2852" s="1131"/>
      <c r="G2852" s="1132"/>
      <c r="H2852" s="1115"/>
      <c r="J2852" s="1557"/>
      <c r="K2852" s="1557"/>
      <c r="L2852" s="1557"/>
      <c r="M2852" s="1566"/>
    </row>
    <row r="2853" spans="2:13" s="1089" customFormat="1" ht="24.9" hidden="1" customHeight="1">
      <c r="B2853" s="1786" t="s">
        <v>1003</v>
      </c>
      <c r="C2853" s="1208" t="s">
        <v>1004</v>
      </c>
      <c r="D2853" s="1208" t="s">
        <v>1005</v>
      </c>
      <c r="E2853" s="1208" t="s">
        <v>1006</v>
      </c>
      <c r="F2853" s="1209" t="s">
        <v>1007</v>
      </c>
      <c r="G2853" s="1109" t="s">
        <v>2637</v>
      </c>
      <c r="H2853" s="1110" t="s">
        <v>2638</v>
      </c>
      <c r="J2853" s="1625"/>
      <c r="K2853" s="1625"/>
      <c r="L2853" s="1625"/>
      <c r="M2853" s="1570"/>
    </row>
    <row r="2854" spans="2:13" s="1088" customFormat="1" hidden="1">
      <c r="B2854" s="1543" t="s">
        <v>671</v>
      </c>
      <c r="C2854" s="1332" t="s">
        <v>672</v>
      </c>
      <c r="D2854" s="1331"/>
      <c r="E2854" s="1331"/>
      <c r="F2854" s="1334"/>
      <c r="G2854" s="1104"/>
      <c r="H2854" s="1106"/>
      <c r="J2854" s="1557"/>
      <c r="K2854" s="1557"/>
      <c r="L2854" s="1557"/>
      <c r="M2854" s="1566"/>
    </row>
    <row r="2855" spans="2:13" s="1088" customFormat="1" hidden="1">
      <c r="B2855" s="1543"/>
      <c r="C2855" s="1332" t="s">
        <v>673</v>
      </c>
      <c r="D2855" s="1331" t="s">
        <v>674</v>
      </c>
      <c r="E2855" s="1331" t="s">
        <v>675</v>
      </c>
      <c r="F2855" s="1334">
        <v>0.3</v>
      </c>
      <c r="G2855" s="1104">
        <f>DUB!$I$10</f>
        <v>150000</v>
      </c>
      <c r="H2855" s="1106">
        <f>G2855*F2855</f>
        <v>45000</v>
      </c>
      <c r="J2855" s="1557"/>
      <c r="K2855" s="1557"/>
      <c r="L2855" s="1557"/>
      <c r="M2855" s="1566"/>
    </row>
    <row r="2856" spans="2:13" s="1088" customFormat="1" hidden="1">
      <c r="B2856" s="1543"/>
      <c r="C2856" s="1332" t="s">
        <v>816</v>
      </c>
      <c r="D2856" s="1331" t="s">
        <v>678</v>
      </c>
      <c r="E2856" s="1331" t="s">
        <v>675</v>
      </c>
      <c r="F2856" s="1334">
        <v>0.15</v>
      </c>
      <c r="G2856" s="1104">
        <f>DUB!$I$11</f>
        <v>187000</v>
      </c>
      <c r="H2856" s="1106">
        <f>G2856*F2856</f>
        <v>28050</v>
      </c>
      <c r="J2856" s="1557"/>
      <c r="K2856" s="1557"/>
      <c r="L2856" s="1557"/>
      <c r="M2856" s="1566"/>
    </row>
    <row r="2857" spans="2:13" s="1088" customFormat="1" hidden="1">
      <c r="B2857" s="1543"/>
      <c r="C2857" s="1332" t="s">
        <v>680</v>
      </c>
      <c r="D2857" s="1331" t="s">
        <v>681</v>
      </c>
      <c r="E2857" s="1331" t="s">
        <v>675</v>
      </c>
      <c r="F2857" s="1334">
        <v>1.4999999999999999E-2</v>
      </c>
      <c r="G2857" s="1104">
        <f>DUB!$I$13</f>
        <v>240000</v>
      </c>
      <c r="H2857" s="1106">
        <f>G2857*F2857</f>
        <v>3600</v>
      </c>
      <c r="J2857" s="1557"/>
      <c r="K2857" s="1557"/>
      <c r="L2857" s="1557"/>
      <c r="M2857" s="1566"/>
    </row>
    <row r="2858" spans="2:13" s="1088" customFormat="1" hidden="1">
      <c r="B2858" s="1543"/>
      <c r="C2858" s="1332" t="s">
        <v>683</v>
      </c>
      <c r="D2858" s="1331" t="s">
        <v>684</v>
      </c>
      <c r="E2858" s="1331" t="s">
        <v>675</v>
      </c>
      <c r="F2858" s="1334">
        <v>1.4999999999999999E-2</v>
      </c>
      <c r="G2858" s="1104">
        <f>DUB!$I$12</f>
        <v>225000</v>
      </c>
      <c r="H2858" s="1106">
        <f>G2858*F2858</f>
        <v>3375</v>
      </c>
      <c r="J2858" s="1557"/>
      <c r="K2858" s="1557"/>
      <c r="L2858" s="1557"/>
      <c r="M2858" s="1566"/>
    </row>
    <row r="2859" spans="2:13" s="1088" customFormat="1" hidden="1">
      <c r="B2859" s="1543"/>
      <c r="C2859" s="1332"/>
      <c r="D2859" s="1331"/>
      <c r="E2859" s="1331"/>
      <c r="F2859" s="2074" t="s">
        <v>685</v>
      </c>
      <c r="G2859" s="2074"/>
      <c r="H2859" s="1106">
        <f>SUM(H2855:H2858)</f>
        <v>80025</v>
      </c>
      <c r="J2859" s="1557"/>
      <c r="K2859" s="1557"/>
      <c r="L2859" s="1557"/>
      <c r="M2859" s="1566"/>
    </row>
    <row r="2860" spans="2:13" s="1088" customFormat="1" hidden="1">
      <c r="B2860" s="1543" t="s">
        <v>686</v>
      </c>
      <c r="C2860" s="1332" t="s">
        <v>687</v>
      </c>
      <c r="D2860" s="1331"/>
      <c r="E2860" s="1331"/>
      <c r="F2860" s="1334"/>
      <c r="G2860" s="1104"/>
      <c r="H2860" s="1106"/>
      <c r="J2860" s="1557"/>
      <c r="K2860" s="1557"/>
      <c r="L2860" s="1557"/>
      <c r="M2860" s="1566"/>
    </row>
    <row r="2861" spans="2:13" s="1088" customFormat="1" hidden="1">
      <c r="B2861" s="1543"/>
      <c r="C2861" s="1332" t="s">
        <v>738</v>
      </c>
      <c r="D2861" s="1331"/>
      <c r="E2861" s="1331" t="s">
        <v>690</v>
      </c>
      <c r="F2861" s="1334">
        <v>3.456</v>
      </c>
      <c r="G2861" s="1104">
        <f>DUB!$I$65</f>
        <v>1575</v>
      </c>
      <c r="H2861" s="1106">
        <f>G2861*F2861</f>
        <v>5443.2</v>
      </c>
      <c r="J2861" s="1557"/>
      <c r="K2861" s="1557"/>
      <c r="L2861" s="1557"/>
      <c r="M2861" s="1566"/>
    </row>
    <row r="2862" spans="2:13" s="1088" customFormat="1" hidden="1">
      <c r="B2862" s="1543"/>
      <c r="C2862" s="1332" t="s">
        <v>808</v>
      </c>
      <c r="D2862" s="1331"/>
      <c r="E2862" s="1331" t="s">
        <v>2646</v>
      </c>
      <c r="F2862" s="1334">
        <v>2.9000000000000001E-2</v>
      </c>
      <c r="G2862" s="1104">
        <f>DUB!$I$59</f>
        <v>208463</v>
      </c>
      <c r="H2862" s="1106">
        <f>G2862*F2862</f>
        <v>6045.4270000000006</v>
      </c>
      <c r="J2862" s="1557"/>
      <c r="K2862" s="1557"/>
      <c r="L2862" s="1557"/>
      <c r="M2862" s="1566"/>
    </row>
    <row r="2863" spans="2:13" s="1088" customFormat="1" hidden="1">
      <c r="B2863" s="1543"/>
      <c r="C2863" s="1125"/>
      <c r="D2863" s="1333"/>
      <c r="E2863" s="1333"/>
      <c r="F2863" s="2074" t="s">
        <v>702</v>
      </c>
      <c r="G2863" s="2074"/>
      <c r="H2863" s="1106">
        <f>SUM(H2861:H2862)</f>
        <v>11488.627</v>
      </c>
      <c r="J2863" s="1557"/>
      <c r="K2863" s="1557"/>
      <c r="L2863" s="1557"/>
      <c r="M2863" s="1566"/>
    </row>
    <row r="2864" spans="2:13" s="1090" customFormat="1" hidden="1">
      <c r="B2864" s="1543" t="s">
        <v>703</v>
      </c>
      <c r="C2864" s="2075" t="s">
        <v>3764</v>
      </c>
      <c r="D2864" s="2075"/>
      <c r="E2864" s="2075"/>
      <c r="F2864" s="2075"/>
      <c r="G2864" s="2075"/>
      <c r="H2864" s="1107">
        <f>H2859+H2863</f>
        <v>91513.627000000008</v>
      </c>
      <c r="J2864" s="1559"/>
      <c r="K2864" s="1559"/>
      <c r="L2864" s="1559"/>
      <c r="M2864" s="1635"/>
    </row>
    <row r="2865" spans="2:13" s="1090" customFormat="1" hidden="1">
      <c r="B2865" s="1543" t="s">
        <v>706</v>
      </c>
      <c r="C2865" s="2076" t="s">
        <v>876</v>
      </c>
      <c r="D2865" s="2076"/>
      <c r="E2865" s="2076"/>
      <c r="F2865" s="2077" t="s">
        <v>3873</v>
      </c>
      <c r="G2865" s="2077"/>
      <c r="H2865" s="1107">
        <f>H2864*0.15</f>
        <v>13727.04405</v>
      </c>
      <c r="J2865" s="1559"/>
      <c r="K2865" s="1559"/>
      <c r="L2865" s="1559"/>
      <c r="M2865" s="1635"/>
    </row>
    <row r="2866" spans="2:13" s="1090" customFormat="1" hidden="1">
      <c r="B2866" s="1543" t="s">
        <v>708</v>
      </c>
      <c r="C2866" s="2078" t="s">
        <v>3765</v>
      </c>
      <c r="D2866" s="2078"/>
      <c r="E2866" s="2078"/>
      <c r="F2866" s="2078"/>
      <c r="G2866" s="2078"/>
      <c r="H2866" s="1107">
        <f>ROUND(SUM(H2864:H2865),2)</f>
        <v>105240.67</v>
      </c>
      <c r="I2866" s="1091">
        <f>SUM(H2864:H2865)</f>
        <v>105240.67105</v>
      </c>
      <c r="J2866" s="1561"/>
      <c r="K2866" s="1561"/>
      <c r="L2866" s="1559"/>
      <c r="M2866" s="1635"/>
    </row>
    <row r="2867" spans="2:13" s="1088" customFormat="1" hidden="1">
      <c r="B2867" s="1095"/>
      <c r="C2867" s="1096"/>
      <c r="D2867" s="1095"/>
      <c r="E2867" s="1095"/>
      <c r="F2867" s="1172"/>
      <c r="G2867" s="1173"/>
      <c r="H2867" s="1133"/>
      <c r="J2867" s="1557"/>
      <c r="K2867" s="1557"/>
      <c r="L2867" s="1557"/>
      <c r="M2867" s="1566"/>
    </row>
    <row r="2868" spans="2:13" s="1088" customFormat="1" hidden="1">
      <c r="B2868" s="1100" t="s">
        <v>4015</v>
      </c>
      <c r="C2868" s="1232" t="s">
        <v>3407</v>
      </c>
      <c r="D2868" s="1095"/>
      <c r="E2868" s="1095"/>
      <c r="F2868" s="1172"/>
      <c r="G2868" s="1173"/>
      <c r="H2868" s="1133"/>
      <c r="J2868" s="1557"/>
      <c r="K2868" s="1557"/>
      <c r="L2868" s="1557"/>
      <c r="M2868" s="1566"/>
    </row>
    <row r="2869" spans="2:13" s="1089" customFormat="1" ht="24.9" hidden="1" customHeight="1">
      <c r="B2869" s="1786" t="s">
        <v>1003</v>
      </c>
      <c r="C2869" s="1208" t="s">
        <v>1004</v>
      </c>
      <c r="D2869" s="1208" t="s">
        <v>1005</v>
      </c>
      <c r="E2869" s="1208" t="s">
        <v>1006</v>
      </c>
      <c r="F2869" s="1209" t="s">
        <v>1007</v>
      </c>
      <c r="G2869" s="1109" t="s">
        <v>2637</v>
      </c>
      <c r="H2869" s="1110" t="s">
        <v>2638</v>
      </c>
      <c r="J2869" s="1625"/>
      <c r="K2869" s="1625"/>
      <c r="L2869" s="1625"/>
      <c r="M2869" s="1570"/>
    </row>
    <row r="2870" spans="2:13" s="1088" customFormat="1" hidden="1">
      <c r="B2870" s="1543" t="s">
        <v>671</v>
      </c>
      <c r="C2870" s="1332" t="s">
        <v>672</v>
      </c>
      <c r="D2870" s="1331"/>
      <c r="E2870" s="1331"/>
      <c r="F2870" s="1334"/>
      <c r="G2870" s="1104"/>
      <c r="H2870" s="1106"/>
      <c r="J2870" s="1557"/>
      <c r="K2870" s="1557"/>
      <c r="L2870" s="1557"/>
      <c r="M2870" s="1566"/>
    </row>
    <row r="2871" spans="2:13" s="1088" customFormat="1" hidden="1">
      <c r="B2871" s="1543"/>
      <c r="C2871" s="1332" t="s">
        <v>673</v>
      </c>
      <c r="D2871" s="1331" t="s">
        <v>674</v>
      </c>
      <c r="E2871" s="1331" t="s">
        <v>675</v>
      </c>
      <c r="F2871" s="1334">
        <v>0.4</v>
      </c>
      <c r="G2871" s="1104">
        <f>DUB!$I$10</f>
        <v>150000</v>
      </c>
      <c r="H2871" s="1106">
        <f>G2871*F2871</f>
        <v>60000</v>
      </c>
      <c r="J2871" s="1557"/>
      <c r="K2871" s="1557"/>
      <c r="L2871" s="1557"/>
      <c r="M2871" s="1566"/>
    </row>
    <row r="2872" spans="2:13" s="1088" customFormat="1" hidden="1">
      <c r="B2872" s="1543"/>
      <c r="C2872" s="1332" t="s">
        <v>816</v>
      </c>
      <c r="D2872" s="1331" t="s">
        <v>678</v>
      </c>
      <c r="E2872" s="1331" t="s">
        <v>675</v>
      </c>
      <c r="F2872" s="1334">
        <v>0.2</v>
      </c>
      <c r="G2872" s="1104">
        <f>DUB!$I$11</f>
        <v>187000</v>
      </c>
      <c r="H2872" s="1106">
        <f>G2872*F2872</f>
        <v>37400</v>
      </c>
      <c r="J2872" s="1557"/>
      <c r="K2872" s="1557"/>
      <c r="L2872" s="1557"/>
      <c r="M2872" s="1566"/>
    </row>
    <row r="2873" spans="2:13" s="1088" customFormat="1" hidden="1">
      <c r="B2873" s="1543"/>
      <c r="C2873" s="1332" t="s">
        <v>680</v>
      </c>
      <c r="D2873" s="1331" t="s">
        <v>681</v>
      </c>
      <c r="E2873" s="1331" t="s">
        <v>675</v>
      </c>
      <c r="F2873" s="1334">
        <v>0.02</v>
      </c>
      <c r="G2873" s="1104">
        <f>DUB!$I$13</f>
        <v>240000</v>
      </c>
      <c r="H2873" s="1106">
        <f>G2873*F2873</f>
        <v>4800</v>
      </c>
      <c r="J2873" s="1557"/>
      <c r="K2873" s="1557"/>
      <c r="L2873" s="1557"/>
      <c r="M2873" s="1566"/>
    </row>
    <row r="2874" spans="2:13" s="1088" customFormat="1" hidden="1">
      <c r="B2874" s="1543"/>
      <c r="C2874" s="1332" t="s">
        <v>683</v>
      </c>
      <c r="D2874" s="1331" t="s">
        <v>684</v>
      </c>
      <c r="E2874" s="1331" t="s">
        <v>675</v>
      </c>
      <c r="F2874" s="1334">
        <v>2.1999999999999999E-2</v>
      </c>
      <c r="G2874" s="1104">
        <f>DUB!$I$12</f>
        <v>225000</v>
      </c>
      <c r="H2874" s="1106">
        <f>G2874*F2874</f>
        <v>4950</v>
      </c>
      <c r="J2874" s="1557"/>
      <c r="K2874" s="1557"/>
      <c r="L2874" s="1557"/>
      <c r="M2874" s="1566"/>
    </row>
    <row r="2875" spans="2:13" s="1088" customFormat="1" hidden="1">
      <c r="B2875" s="1543"/>
      <c r="C2875" s="1332"/>
      <c r="D2875" s="1331"/>
      <c r="E2875" s="1331"/>
      <c r="F2875" s="2074" t="s">
        <v>685</v>
      </c>
      <c r="G2875" s="2074"/>
      <c r="H2875" s="1106">
        <f>SUM(H2871:H2874)</f>
        <v>107150</v>
      </c>
      <c r="J2875" s="1557"/>
      <c r="K2875" s="1557"/>
      <c r="L2875" s="1557"/>
      <c r="M2875" s="1566"/>
    </row>
    <row r="2876" spans="2:13" s="1088" customFormat="1" hidden="1">
      <c r="B2876" s="1543" t="s">
        <v>686</v>
      </c>
      <c r="C2876" s="1332" t="s">
        <v>687</v>
      </c>
      <c r="D2876" s="1331"/>
      <c r="E2876" s="1331"/>
      <c r="F2876" s="1334"/>
      <c r="G2876" s="1104"/>
      <c r="H2876" s="1106"/>
      <c r="J2876" s="1557"/>
      <c r="K2876" s="1557"/>
      <c r="L2876" s="1557"/>
      <c r="M2876" s="1566"/>
    </row>
    <row r="2877" spans="2:13" s="1088" customFormat="1" hidden="1">
      <c r="B2877" s="1543"/>
      <c r="C2877" s="1332" t="s">
        <v>738</v>
      </c>
      <c r="D2877" s="1331"/>
      <c r="E2877" s="1331" t="s">
        <v>690</v>
      </c>
      <c r="F2877" s="1334">
        <v>13.632</v>
      </c>
      <c r="G2877" s="1104">
        <f>DUB!$I$65</f>
        <v>1575</v>
      </c>
      <c r="H2877" s="1106">
        <f>G2877*F2877</f>
        <v>21470.399999999998</v>
      </c>
      <c r="J2877" s="1557"/>
      <c r="K2877" s="1557"/>
      <c r="L2877" s="1557"/>
      <c r="M2877" s="1566"/>
    </row>
    <row r="2878" spans="2:13" s="1088" customFormat="1" hidden="1">
      <c r="B2878" s="1543"/>
      <c r="C2878" s="1332" t="s">
        <v>808</v>
      </c>
      <c r="D2878" s="1331"/>
      <c r="E2878" s="1331" t="s">
        <v>2646</v>
      </c>
      <c r="F2878" s="1334">
        <v>2.7E-2</v>
      </c>
      <c r="G2878" s="1104">
        <f>DUB!$I$59</f>
        <v>208463</v>
      </c>
      <c r="H2878" s="1106">
        <f>G2878*F2878</f>
        <v>5628.5010000000002</v>
      </c>
      <c r="J2878" s="1557"/>
      <c r="K2878" s="1557"/>
      <c r="L2878" s="1557"/>
      <c r="M2878" s="1566"/>
    </row>
    <row r="2879" spans="2:13" s="1088" customFormat="1" hidden="1">
      <c r="B2879" s="1543"/>
      <c r="C2879" s="1125"/>
      <c r="D2879" s="1333"/>
      <c r="E2879" s="1333"/>
      <c r="F2879" s="2074" t="s">
        <v>702</v>
      </c>
      <c r="G2879" s="2074"/>
      <c r="H2879" s="1106">
        <f>SUM(H2877:H2878)</f>
        <v>27098.900999999998</v>
      </c>
      <c r="J2879" s="1557"/>
      <c r="K2879" s="1557"/>
      <c r="L2879" s="1557"/>
      <c r="M2879" s="1566"/>
    </row>
    <row r="2880" spans="2:13" s="1090" customFormat="1" hidden="1">
      <c r="B2880" s="1543" t="s">
        <v>703</v>
      </c>
      <c r="C2880" s="2075" t="s">
        <v>3764</v>
      </c>
      <c r="D2880" s="2075"/>
      <c r="E2880" s="2075"/>
      <c r="F2880" s="2075"/>
      <c r="G2880" s="2075"/>
      <c r="H2880" s="1107">
        <f>H2875+H2879</f>
        <v>134248.90100000001</v>
      </c>
      <c r="J2880" s="1559"/>
      <c r="K2880" s="1559"/>
      <c r="L2880" s="1559"/>
      <c r="M2880" s="1635"/>
    </row>
    <row r="2881" spans="2:13" s="1090" customFormat="1" hidden="1">
      <c r="B2881" s="1543" t="s">
        <v>706</v>
      </c>
      <c r="C2881" s="2076" t="s">
        <v>876</v>
      </c>
      <c r="D2881" s="2076"/>
      <c r="E2881" s="2076"/>
      <c r="F2881" s="2077" t="s">
        <v>3873</v>
      </c>
      <c r="G2881" s="2077"/>
      <c r="H2881" s="1107">
        <f>H2880*0.15</f>
        <v>20137.335150000003</v>
      </c>
      <c r="J2881" s="1559"/>
      <c r="K2881" s="1559"/>
      <c r="L2881" s="1559"/>
      <c r="M2881" s="1635"/>
    </row>
    <row r="2882" spans="2:13" s="1090" customFormat="1" hidden="1">
      <c r="B2882" s="1543" t="s">
        <v>708</v>
      </c>
      <c r="C2882" s="2078" t="s">
        <v>3765</v>
      </c>
      <c r="D2882" s="2078"/>
      <c r="E2882" s="2078"/>
      <c r="F2882" s="2078"/>
      <c r="G2882" s="2078"/>
      <c r="H2882" s="1107">
        <f>ROUND(SUM(H2880:H2881),2)</f>
        <v>154386.23999999999</v>
      </c>
      <c r="I2882" s="1091">
        <f>SUM(H2880:H2881)</f>
        <v>154386.23615000001</v>
      </c>
      <c r="J2882" s="1561"/>
      <c r="K2882" s="1561"/>
      <c r="L2882" s="1559"/>
      <c r="M2882" s="1635"/>
    </row>
    <row r="2883" spans="2:13" s="1088" customFormat="1" hidden="1">
      <c r="B2883" s="1143"/>
      <c r="C2883" s="1144"/>
      <c r="D2883" s="1143"/>
      <c r="E2883" s="1143"/>
      <c r="F2883" s="1145"/>
      <c r="G2883" s="1146"/>
      <c r="H2883" s="1147"/>
      <c r="J2883" s="1557"/>
      <c r="K2883" s="1557"/>
      <c r="L2883" s="1557"/>
      <c r="M2883" s="1566"/>
    </row>
    <row r="2884" spans="2:13" s="1088" customFormat="1" hidden="1">
      <c r="B2884" s="1100" t="s">
        <v>4016</v>
      </c>
      <c r="C2884" s="1112" t="s">
        <v>2823</v>
      </c>
      <c r="D2884" s="1129"/>
      <c r="E2884" s="1129"/>
      <c r="F2884" s="1131"/>
      <c r="G2884" s="1132"/>
      <c r="H2884" s="1115"/>
      <c r="J2884" s="1557"/>
      <c r="K2884" s="1557"/>
      <c r="L2884" s="1557"/>
      <c r="M2884" s="1566"/>
    </row>
    <row r="2885" spans="2:13" s="1089" customFormat="1" ht="24.9" hidden="1" customHeight="1">
      <c r="B2885" s="1786" t="s">
        <v>1003</v>
      </c>
      <c r="C2885" s="1208" t="s">
        <v>1004</v>
      </c>
      <c r="D2885" s="1208" t="s">
        <v>1005</v>
      </c>
      <c r="E2885" s="1208" t="s">
        <v>1006</v>
      </c>
      <c r="F2885" s="1209" t="s">
        <v>1007</v>
      </c>
      <c r="G2885" s="1109" t="s">
        <v>2637</v>
      </c>
      <c r="H2885" s="1110" t="s">
        <v>2638</v>
      </c>
      <c r="J2885" s="1625"/>
      <c r="K2885" s="1625"/>
      <c r="L2885" s="1625"/>
      <c r="M2885" s="1570"/>
    </row>
    <row r="2886" spans="2:13" s="1088" customFormat="1" hidden="1">
      <c r="B2886" s="1543" t="s">
        <v>671</v>
      </c>
      <c r="C2886" s="1332" t="s">
        <v>672</v>
      </c>
      <c r="D2886" s="1331"/>
      <c r="E2886" s="1331"/>
      <c r="F2886" s="1334"/>
      <c r="G2886" s="1104"/>
      <c r="H2886" s="1106"/>
      <c r="J2886" s="1557"/>
      <c r="K2886" s="1557"/>
      <c r="L2886" s="1557"/>
      <c r="M2886" s="1566"/>
    </row>
    <row r="2887" spans="2:13" s="1088" customFormat="1" hidden="1">
      <c r="B2887" s="1543"/>
      <c r="C2887" s="1332" t="s">
        <v>673</v>
      </c>
      <c r="D2887" s="1331" t="s">
        <v>674</v>
      </c>
      <c r="E2887" s="1331" t="s">
        <v>675</v>
      </c>
      <c r="F2887" s="1334">
        <v>0.26</v>
      </c>
      <c r="G2887" s="1104">
        <f>DUB!$I$10</f>
        <v>150000</v>
      </c>
      <c r="H2887" s="1106">
        <f>G2887*F2887</f>
        <v>39000</v>
      </c>
      <c r="J2887" s="1557"/>
      <c r="K2887" s="1557"/>
      <c r="L2887" s="1557"/>
      <c r="M2887" s="1566"/>
    </row>
    <row r="2888" spans="2:13" s="1088" customFormat="1" hidden="1">
      <c r="B2888" s="1543"/>
      <c r="C2888" s="1332" t="s">
        <v>816</v>
      </c>
      <c r="D2888" s="1331" t="s">
        <v>678</v>
      </c>
      <c r="E2888" s="1331" t="s">
        <v>675</v>
      </c>
      <c r="F2888" s="1334">
        <v>0.2</v>
      </c>
      <c r="G2888" s="1104">
        <f>DUB!$I$11</f>
        <v>187000</v>
      </c>
      <c r="H2888" s="1106">
        <f>G2888*F2888</f>
        <v>37400</v>
      </c>
      <c r="J2888" s="1557"/>
      <c r="K2888" s="1557"/>
      <c r="L2888" s="1557"/>
      <c r="M2888" s="1566"/>
    </row>
    <row r="2889" spans="2:13" s="1088" customFormat="1" hidden="1">
      <c r="B2889" s="1543"/>
      <c r="C2889" s="1332" t="s">
        <v>680</v>
      </c>
      <c r="D2889" s="1331" t="s">
        <v>681</v>
      </c>
      <c r="E2889" s="1331" t="s">
        <v>675</v>
      </c>
      <c r="F2889" s="1334">
        <v>0.02</v>
      </c>
      <c r="G2889" s="1104">
        <f>DUB!$I$13</f>
        <v>240000</v>
      </c>
      <c r="H2889" s="1106">
        <f>G2889*F2889</f>
        <v>4800</v>
      </c>
      <c r="J2889" s="1557"/>
      <c r="K2889" s="1557"/>
      <c r="L2889" s="1557"/>
      <c r="M2889" s="1566"/>
    </row>
    <row r="2890" spans="2:13" s="1088" customFormat="1" hidden="1">
      <c r="B2890" s="1543"/>
      <c r="C2890" s="1332" t="s">
        <v>683</v>
      </c>
      <c r="D2890" s="1331" t="s">
        <v>684</v>
      </c>
      <c r="E2890" s="1331" t="s">
        <v>675</v>
      </c>
      <c r="F2890" s="1334">
        <v>1.2999999999999999E-2</v>
      </c>
      <c r="G2890" s="1104">
        <f>DUB!$I$12</f>
        <v>225000</v>
      </c>
      <c r="H2890" s="1106">
        <f>G2890*F2890</f>
        <v>2925</v>
      </c>
      <c r="J2890" s="1557"/>
      <c r="K2890" s="1557"/>
      <c r="L2890" s="1557"/>
      <c r="M2890" s="1566"/>
    </row>
    <row r="2891" spans="2:13" s="1088" customFormat="1" hidden="1">
      <c r="B2891" s="1543"/>
      <c r="C2891" s="1332"/>
      <c r="D2891" s="1331"/>
      <c r="E2891" s="1331"/>
      <c r="F2891" s="2074" t="s">
        <v>685</v>
      </c>
      <c r="G2891" s="2074"/>
      <c r="H2891" s="1106">
        <f>SUM(H2887:H2890)</f>
        <v>84125</v>
      </c>
      <c r="J2891" s="1557"/>
      <c r="K2891" s="1557"/>
      <c r="L2891" s="1557"/>
      <c r="M2891" s="1566"/>
    </row>
    <row r="2892" spans="2:13" s="1088" customFormat="1" hidden="1">
      <c r="B2892" s="1543" t="s">
        <v>686</v>
      </c>
      <c r="C2892" s="1332" t="s">
        <v>687</v>
      </c>
      <c r="D2892" s="1331"/>
      <c r="E2892" s="1331"/>
      <c r="F2892" s="1334"/>
      <c r="G2892" s="1104"/>
      <c r="H2892" s="1106"/>
      <c r="J2892" s="1557"/>
      <c r="K2892" s="1557"/>
      <c r="L2892" s="1557"/>
      <c r="M2892" s="1566"/>
    </row>
    <row r="2893" spans="2:13" s="1088" customFormat="1" hidden="1">
      <c r="B2893" s="1543"/>
      <c r="C2893" s="1332" t="s">
        <v>738</v>
      </c>
      <c r="D2893" s="1331"/>
      <c r="E2893" s="1331" t="s">
        <v>690</v>
      </c>
      <c r="F2893" s="1334">
        <v>10.368</v>
      </c>
      <c r="G2893" s="1104">
        <f>DUB!$I$65</f>
        <v>1575</v>
      </c>
      <c r="H2893" s="1106">
        <f>G2893*F2893</f>
        <v>16329.6</v>
      </c>
      <c r="J2893" s="1557"/>
      <c r="K2893" s="1557"/>
      <c r="L2893" s="1557"/>
      <c r="M2893" s="1566"/>
    </row>
    <row r="2894" spans="2:13" s="1088" customFormat="1" hidden="1">
      <c r="B2894" s="1543"/>
      <c r="C2894" s="1332" t="s">
        <v>808</v>
      </c>
      <c r="D2894" s="1331"/>
      <c r="E2894" s="1331" t="s">
        <v>2646</v>
      </c>
      <c r="F2894" s="1334">
        <v>3.1E-2</v>
      </c>
      <c r="G2894" s="1104">
        <f>DUB!$I$59</f>
        <v>208463</v>
      </c>
      <c r="H2894" s="1106">
        <f>G2894*F2894</f>
        <v>6462.3530000000001</v>
      </c>
      <c r="J2894" s="1557"/>
      <c r="K2894" s="1557"/>
      <c r="L2894" s="1557"/>
      <c r="M2894" s="1566"/>
    </row>
    <row r="2895" spans="2:13" s="1088" customFormat="1" hidden="1">
      <c r="B2895" s="1543"/>
      <c r="C2895" s="1332"/>
      <c r="D2895" s="1331"/>
      <c r="E2895" s="1331"/>
      <c r="F2895" s="2090" t="s">
        <v>702</v>
      </c>
      <c r="G2895" s="2090"/>
      <c r="H2895" s="1106">
        <f>SUM(H2893:H2894)</f>
        <v>22791.953000000001</v>
      </c>
      <c r="J2895" s="1557"/>
      <c r="K2895" s="1557"/>
      <c r="L2895" s="1557"/>
      <c r="M2895" s="1566"/>
    </row>
    <row r="2896" spans="2:13" s="1090" customFormat="1" hidden="1">
      <c r="B2896" s="1543" t="s">
        <v>703</v>
      </c>
      <c r="C2896" s="2089" t="s">
        <v>3764</v>
      </c>
      <c r="D2896" s="2089"/>
      <c r="E2896" s="2089"/>
      <c r="F2896" s="2089"/>
      <c r="G2896" s="2089"/>
      <c r="H2896" s="1107">
        <f>H2891+H2895</f>
        <v>106916.95300000001</v>
      </c>
      <c r="J2896" s="1559"/>
      <c r="K2896" s="1559"/>
      <c r="L2896" s="1559"/>
      <c r="M2896" s="1635"/>
    </row>
    <row r="2897" spans="2:13" s="1090" customFormat="1" hidden="1">
      <c r="B2897" s="1543" t="s">
        <v>706</v>
      </c>
      <c r="C2897" s="2076" t="s">
        <v>876</v>
      </c>
      <c r="D2897" s="2076"/>
      <c r="E2897" s="2076"/>
      <c r="F2897" s="2077" t="s">
        <v>3873</v>
      </c>
      <c r="G2897" s="2077"/>
      <c r="H2897" s="1107">
        <f>H2896*0.15</f>
        <v>16037.542950000001</v>
      </c>
      <c r="J2897" s="1559"/>
      <c r="K2897" s="1559"/>
      <c r="L2897" s="1559"/>
      <c r="M2897" s="1635"/>
    </row>
    <row r="2898" spans="2:13" s="1090" customFormat="1" hidden="1">
      <c r="B2898" s="1543" t="s">
        <v>708</v>
      </c>
      <c r="C2898" s="2078" t="s">
        <v>3765</v>
      </c>
      <c r="D2898" s="2078"/>
      <c r="E2898" s="2078"/>
      <c r="F2898" s="2078"/>
      <c r="G2898" s="2078"/>
      <c r="H2898" s="1107">
        <f>ROUND(SUM(H2896:H2897),2)</f>
        <v>122954.5</v>
      </c>
      <c r="I2898" s="1091">
        <f>SUM(H2896:H2897)</f>
        <v>122954.49595000001</v>
      </c>
      <c r="J2898" s="1561"/>
      <c r="K2898" s="1561"/>
      <c r="L2898" s="1559"/>
      <c r="M2898" s="1635"/>
    </row>
    <row r="2899" spans="2:13" s="1088" customFormat="1" hidden="1">
      <c r="B2899" s="1095"/>
      <c r="C2899" s="1096"/>
      <c r="D2899" s="1095"/>
      <c r="E2899" s="1095"/>
      <c r="F2899" s="1172"/>
      <c r="G2899" s="1173"/>
      <c r="H2899" s="1133"/>
      <c r="J2899" s="1557"/>
      <c r="K2899" s="1557"/>
      <c r="L2899" s="1557"/>
      <c r="M2899" s="1566"/>
    </row>
    <row r="2900" spans="2:13" s="1088" customFormat="1" hidden="1">
      <c r="B2900" s="1100" t="s">
        <v>4017</v>
      </c>
      <c r="C2900" s="1232" t="s">
        <v>2822</v>
      </c>
      <c r="D2900" s="1095"/>
      <c r="E2900" s="1095"/>
      <c r="F2900" s="1172"/>
      <c r="G2900" s="1173"/>
      <c r="H2900" s="1133"/>
      <c r="J2900" s="1557"/>
      <c r="K2900" s="1557"/>
      <c r="L2900" s="1557"/>
      <c r="M2900" s="1566"/>
    </row>
    <row r="2901" spans="2:13" s="1089" customFormat="1" ht="24.9" hidden="1" customHeight="1">
      <c r="B2901" s="1786" t="s">
        <v>1003</v>
      </c>
      <c r="C2901" s="1208" t="s">
        <v>1004</v>
      </c>
      <c r="D2901" s="1208" t="s">
        <v>1005</v>
      </c>
      <c r="E2901" s="1208" t="s">
        <v>1006</v>
      </c>
      <c r="F2901" s="1209" t="s">
        <v>1007</v>
      </c>
      <c r="G2901" s="1109" t="s">
        <v>2637</v>
      </c>
      <c r="H2901" s="1110" t="s">
        <v>2638</v>
      </c>
      <c r="J2901" s="1625"/>
      <c r="K2901" s="1625"/>
      <c r="L2901" s="1625"/>
      <c r="M2901" s="1570"/>
    </row>
    <row r="2902" spans="2:13" s="1088" customFormat="1" hidden="1">
      <c r="B2902" s="1543" t="s">
        <v>671</v>
      </c>
      <c r="C2902" s="1332" t="s">
        <v>672</v>
      </c>
      <c r="D2902" s="1331"/>
      <c r="E2902" s="1331"/>
      <c r="F2902" s="1334"/>
      <c r="G2902" s="1104"/>
      <c r="H2902" s="1106"/>
      <c r="J2902" s="1557"/>
      <c r="K2902" s="1557"/>
      <c r="L2902" s="1557"/>
      <c r="M2902" s="1566"/>
    </row>
    <row r="2903" spans="2:13" s="1088" customFormat="1" hidden="1">
      <c r="B2903" s="1543"/>
      <c r="C2903" s="1332" t="s">
        <v>673</v>
      </c>
      <c r="D2903" s="1331" t="s">
        <v>674</v>
      </c>
      <c r="E2903" s="1331" t="s">
        <v>675</v>
      </c>
      <c r="F2903" s="1334">
        <v>0.4</v>
      </c>
      <c r="G2903" s="1104">
        <f>DUB!$I$10</f>
        <v>150000</v>
      </c>
      <c r="H2903" s="1106">
        <f>G2903*F2903</f>
        <v>60000</v>
      </c>
      <c r="J2903" s="1557"/>
      <c r="K2903" s="1557"/>
      <c r="L2903" s="1557"/>
      <c r="M2903" s="1566"/>
    </row>
    <row r="2904" spans="2:13" s="1088" customFormat="1" hidden="1">
      <c r="B2904" s="1543"/>
      <c r="C2904" s="1332" t="s">
        <v>816</v>
      </c>
      <c r="D2904" s="1331" t="s">
        <v>678</v>
      </c>
      <c r="E2904" s="1331" t="s">
        <v>675</v>
      </c>
      <c r="F2904" s="1334">
        <v>0.2</v>
      </c>
      <c r="G2904" s="1104">
        <f>DUB!$I$11</f>
        <v>187000</v>
      </c>
      <c r="H2904" s="1106">
        <f>G2904*F2904</f>
        <v>37400</v>
      </c>
      <c r="J2904" s="1557"/>
      <c r="K2904" s="1557"/>
      <c r="L2904" s="1557"/>
      <c r="M2904" s="1566"/>
    </row>
    <row r="2905" spans="2:13" s="1088" customFormat="1" hidden="1">
      <c r="B2905" s="1543"/>
      <c r="C2905" s="1332" t="s">
        <v>680</v>
      </c>
      <c r="D2905" s="1331" t="s">
        <v>681</v>
      </c>
      <c r="E2905" s="1331" t="s">
        <v>675</v>
      </c>
      <c r="F2905" s="1334">
        <v>0.02</v>
      </c>
      <c r="G2905" s="1104">
        <f>DUB!$I$13</f>
        <v>240000</v>
      </c>
      <c r="H2905" s="1106">
        <f>G2905*F2905</f>
        <v>4800</v>
      </c>
      <c r="J2905" s="1557"/>
      <c r="K2905" s="1557"/>
      <c r="L2905" s="1557"/>
      <c r="M2905" s="1566"/>
    </row>
    <row r="2906" spans="2:13" s="1088" customFormat="1" hidden="1">
      <c r="B2906" s="1543"/>
      <c r="C2906" s="1332" t="s">
        <v>683</v>
      </c>
      <c r="D2906" s="1331" t="s">
        <v>684</v>
      </c>
      <c r="E2906" s="1331" t="s">
        <v>675</v>
      </c>
      <c r="F2906" s="1334">
        <v>2.1999999999999999E-2</v>
      </c>
      <c r="G2906" s="1104">
        <f>DUB!$I$12</f>
        <v>225000</v>
      </c>
      <c r="H2906" s="1106">
        <f>G2906*F2906</f>
        <v>4950</v>
      </c>
      <c r="J2906" s="1557"/>
      <c r="K2906" s="1557"/>
      <c r="L2906" s="1557"/>
      <c r="M2906" s="1566"/>
    </row>
    <row r="2907" spans="2:13" s="1088" customFormat="1" hidden="1">
      <c r="B2907" s="1543"/>
      <c r="C2907" s="1332"/>
      <c r="D2907" s="1331"/>
      <c r="E2907" s="1331"/>
      <c r="F2907" s="2074" t="s">
        <v>685</v>
      </c>
      <c r="G2907" s="2074"/>
      <c r="H2907" s="1106">
        <f>SUM(H2903:H2906)</f>
        <v>107150</v>
      </c>
      <c r="J2907" s="1557"/>
      <c r="K2907" s="1557"/>
      <c r="L2907" s="1557"/>
      <c r="M2907" s="1566"/>
    </row>
    <row r="2908" spans="2:13" s="1088" customFormat="1" hidden="1">
      <c r="B2908" s="1543" t="s">
        <v>686</v>
      </c>
      <c r="C2908" s="1332" t="s">
        <v>687</v>
      </c>
      <c r="D2908" s="1331"/>
      <c r="E2908" s="1331"/>
      <c r="F2908" s="1334"/>
      <c r="G2908" s="1104"/>
      <c r="H2908" s="1106"/>
      <c r="J2908" s="1557"/>
      <c r="K2908" s="1557"/>
      <c r="L2908" s="1557"/>
      <c r="M2908" s="1566"/>
    </row>
    <row r="2909" spans="2:13" s="1088" customFormat="1" hidden="1">
      <c r="B2909" s="1543"/>
      <c r="C2909" s="1332" t="s">
        <v>738</v>
      </c>
      <c r="D2909" s="1331"/>
      <c r="E2909" s="1331" t="s">
        <v>690</v>
      </c>
      <c r="F2909" s="1334">
        <v>8.32</v>
      </c>
      <c r="G2909" s="1104">
        <f>DUB!$I$65</f>
        <v>1575</v>
      </c>
      <c r="H2909" s="1106">
        <f>G2909*F2909</f>
        <v>13104</v>
      </c>
      <c r="J2909" s="1557"/>
      <c r="K2909" s="1557"/>
      <c r="L2909" s="1557"/>
      <c r="M2909" s="1566"/>
    </row>
    <row r="2910" spans="2:13" s="1088" customFormat="1" hidden="1">
      <c r="B2910" s="1543"/>
      <c r="C2910" s="1332" t="s">
        <v>808</v>
      </c>
      <c r="D2910" s="1331"/>
      <c r="E2910" s="1331" t="s">
        <v>2646</v>
      </c>
      <c r="F2910" s="1334">
        <v>3.2000000000000001E-2</v>
      </c>
      <c r="G2910" s="1104">
        <f>DUB!$I$59</f>
        <v>208463</v>
      </c>
      <c r="H2910" s="1106">
        <f>G2910*F2910</f>
        <v>6670.8159999999998</v>
      </c>
      <c r="J2910" s="1557"/>
      <c r="K2910" s="1557"/>
      <c r="L2910" s="1557"/>
      <c r="M2910" s="1566"/>
    </row>
    <row r="2911" spans="2:13" s="1088" customFormat="1" hidden="1">
      <c r="B2911" s="1543"/>
      <c r="C2911" s="1125"/>
      <c r="D2911" s="1333"/>
      <c r="E2911" s="1333"/>
      <c r="F2911" s="2074" t="s">
        <v>702</v>
      </c>
      <c r="G2911" s="2074"/>
      <c r="H2911" s="1106">
        <f>SUM(H2909:H2910)</f>
        <v>19774.815999999999</v>
      </c>
      <c r="J2911" s="1557"/>
      <c r="K2911" s="1557"/>
      <c r="L2911" s="1557"/>
      <c r="M2911" s="1566"/>
    </row>
    <row r="2912" spans="2:13" s="1090" customFormat="1" hidden="1">
      <c r="B2912" s="1543" t="s">
        <v>703</v>
      </c>
      <c r="C2912" s="2075" t="s">
        <v>3764</v>
      </c>
      <c r="D2912" s="2075"/>
      <c r="E2912" s="2075"/>
      <c r="F2912" s="2075"/>
      <c r="G2912" s="2075"/>
      <c r="H2912" s="1107">
        <f>H2907+H2911</f>
        <v>126924.81599999999</v>
      </c>
      <c r="J2912" s="1559"/>
      <c r="K2912" s="1559"/>
      <c r="L2912" s="1559"/>
      <c r="M2912" s="1635"/>
    </row>
    <row r="2913" spans="2:13" s="1090" customFormat="1" hidden="1">
      <c r="B2913" s="1543" t="s">
        <v>706</v>
      </c>
      <c r="C2913" s="2076" t="s">
        <v>876</v>
      </c>
      <c r="D2913" s="2076"/>
      <c r="E2913" s="2076"/>
      <c r="F2913" s="2077" t="s">
        <v>3873</v>
      </c>
      <c r="G2913" s="2077"/>
      <c r="H2913" s="1107">
        <f>H2912*0.15</f>
        <v>19038.722399999999</v>
      </c>
      <c r="J2913" s="1559"/>
      <c r="K2913" s="1559"/>
      <c r="L2913" s="1559"/>
      <c r="M2913" s="1635"/>
    </row>
    <row r="2914" spans="2:13" s="1090" customFormat="1" hidden="1">
      <c r="B2914" s="1543" t="s">
        <v>708</v>
      </c>
      <c r="C2914" s="2078" t="s">
        <v>3765</v>
      </c>
      <c r="D2914" s="2078"/>
      <c r="E2914" s="2078"/>
      <c r="F2914" s="2078"/>
      <c r="G2914" s="2078"/>
      <c r="H2914" s="1107">
        <f>ROUND(SUM(H2912:H2913),2)</f>
        <v>145963.54</v>
      </c>
      <c r="I2914" s="1091">
        <f>SUM(H2912:H2913)</f>
        <v>145963.53839999999</v>
      </c>
      <c r="J2914" s="1561"/>
      <c r="K2914" s="1561"/>
      <c r="L2914" s="1559"/>
      <c r="M2914" s="1635"/>
    </row>
    <row r="2915" spans="2:13" s="1088" customFormat="1" hidden="1">
      <c r="B2915" s="1143"/>
      <c r="C2915" s="1144"/>
      <c r="D2915" s="1143"/>
      <c r="E2915" s="1143"/>
      <c r="F2915" s="1145"/>
      <c r="G2915" s="1146"/>
      <c r="H2915" s="1147"/>
      <c r="J2915" s="1557"/>
      <c r="K2915" s="1557"/>
      <c r="L2915" s="1557"/>
      <c r="M2915" s="1566"/>
    </row>
    <row r="2916" spans="2:13" s="1088" customFormat="1" hidden="1">
      <c r="B2916" s="1100" t="s">
        <v>4018</v>
      </c>
      <c r="C2916" s="1112" t="s">
        <v>2821</v>
      </c>
      <c r="D2916" s="1129"/>
      <c r="E2916" s="1129"/>
      <c r="F2916" s="1131"/>
      <c r="G2916" s="1132"/>
      <c r="H2916" s="1115"/>
      <c r="J2916" s="1557"/>
      <c r="K2916" s="1557"/>
      <c r="L2916" s="1557"/>
      <c r="M2916" s="1566"/>
    </row>
    <row r="2917" spans="2:13" s="1089" customFormat="1" ht="24.9" hidden="1" customHeight="1">
      <c r="B2917" s="1786" t="s">
        <v>1003</v>
      </c>
      <c r="C2917" s="1208" t="s">
        <v>1004</v>
      </c>
      <c r="D2917" s="1208" t="s">
        <v>1005</v>
      </c>
      <c r="E2917" s="1208" t="s">
        <v>1006</v>
      </c>
      <c r="F2917" s="1209" t="s">
        <v>1007</v>
      </c>
      <c r="G2917" s="1109" t="s">
        <v>2637</v>
      </c>
      <c r="H2917" s="1110" t="s">
        <v>2638</v>
      </c>
      <c r="J2917" s="1625"/>
      <c r="K2917" s="1625"/>
      <c r="L2917" s="1625"/>
      <c r="M2917" s="1570"/>
    </row>
    <row r="2918" spans="2:13" s="1088" customFormat="1" hidden="1">
      <c r="B2918" s="1543" t="s">
        <v>671</v>
      </c>
      <c r="C2918" s="1332" t="s">
        <v>672</v>
      </c>
      <c r="D2918" s="1331"/>
      <c r="E2918" s="1331"/>
      <c r="F2918" s="1334"/>
      <c r="G2918" s="1104"/>
      <c r="H2918" s="1106"/>
      <c r="J2918" s="1557"/>
      <c r="K2918" s="1557"/>
      <c r="L2918" s="1557"/>
      <c r="M2918" s="1566"/>
    </row>
    <row r="2919" spans="2:13" s="1088" customFormat="1" hidden="1">
      <c r="B2919" s="1543"/>
      <c r="C2919" s="1332" t="s">
        <v>673</v>
      </c>
      <c r="D2919" s="1331" t="s">
        <v>674</v>
      </c>
      <c r="E2919" s="1331" t="s">
        <v>675</v>
      </c>
      <c r="F2919" s="1334">
        <v>0.4</v>
      </c>
      <c r="G2919" s="1104">
        <f>DUB!$I$10</f>
        <v>150000</v>
      </c>
      <c r="H2919" s="1106">
        <f>G2919*F2919</f>
        <v>60000</v>
      </c>
      <c r="J2919" s="1557"/>
      <c r="K2919" s="1557"/>
      <c r="L2919" s="1557"/>
      <c r="M2919" s="1566"/>
    </row>
    <row r="2920" spans="2:13" s="1088" customFormat="1" hidden="1">
      <c r="B2920" s="1543"/>
      <c r="C2920" s="1332" t="s">
        <v>816</v>
      </c>
      <c r="D2920" s="1331" t="s">
        <v>681</v>
      </c>
      <c r="E2920" s="1331" t="s">
        <v>675</v>
      </c>
      <c r="F2920" s="1334">
        <v>0.2</v>
      </c>
      <c r="G2920" s="1104">
        <f>DUB!$I$11</f>
        <v>187000</v>
      </c>
      <c r="H2920" s="1106">
        <f>G2920*F2920</f>
        <v>37400</v>
      </c>
      <c r="J2920" s="1557"/>
      <c r="K2920" s="1557"/>
      <c r="L2920" s="1557"/>
      <c r="M2920" s="1566"/>
    </row>
    <row r="2921" spans="2:13" s="1088" customFormat="1" hidden="1">
      <c r="B2921" s="1543"/>
      <c r="C2921" s="1332" t="s">
        <v>680</v>
      </c>
      <c r="D2921" s="1331" t="s">
        <v>681</v>
      </c>
      <c r="E2921" s="1331" t="s">
        <v>675</v>
      </c>
      <c r="F2921" s="1334">
        <v>0.02</v>
      </c>
      <c r="G2921" s="1104">
        <f>DUB!$I$13</f>
        <v>240000</v>
      </c>
      <c r="H2921" s="1106">
        <f>G2921*F2921</f>
        <v>4800</v>
      </c>
      <c r="J2921" s="1557"/>
      <c r="K2921" s="1557"/>
      <c r="L2921" s="1557"/>
      <c r="M2921" s="1566"/>
    </row>
    <row r="2922" spans="2:13" s="1088" customFormat="1" hidden="1">
      <c r="B2922" s="1543"/>
      <c r="C2922" s="1332" t="s">
        <v>683</v>
      </c>
      <c r="D2922" s="1331" t="s">
        <v>684</v>
      </c>
      <c r="E2922" s="1331" t="s">
        <v>675</v>
      </c>
      <c r="F2922" s="1334">
        <v>2.1999999999999999E-2</v>
      </c>
      <c r="G2922" s="1104">
        <f>DUB!$I$12</f>
        <v>225000</v>
      </c>
      <c r="H2922" s="1106">
        <f>G2922*F2922</f>
        <v>4950</v>
      </c>
      <c r="J2922" s="1557"/>
      <c r="K2922" s="1557"/>
      <c r="L2922" s="1557"/>
      <c r="M2922" s="1566"/>
    </row>
    <row r="2923" spans="2:13" s="1088" customFormat="1" hidden="1">
      <c r="B2923" s="1543"/>
      <c r="C2923" s="1332"/>
      <c r="D2923" s="1331"/>
      <c r="E2923" s="1331"/>
      <c r="F2923" s="2074" t="s">
        <v>685</v>
      </c>
      <c r="G2923" s="2074"/>
      <c r="H2923" s="1106">
        <f>SUM(H2919:H2922)</f>
        <v>107150</v>
      </c>
      <c r="J2923" s="1557"/>
      <c r="K2923" s="1557"/>
      <c r="L2923" s="1557"/>
      <c r="M2923" s="1566"/>
    </row>
    <row r="2924" spans="2:13" s="1088" customFormat="1" hidden="1">
      <c r="B2924" s="1543" t="s">
        <v>686</v>
      </c>
      <c r="C2924" s="1332" t="s">
        <v>687</v>
      </c>
      <c r="D2924" s="1331"/>
      <c r="E2924" s="1331"/>
      <c r="F2924" s="1334"/>
      <c r="G2924" s="1104"/>
      <c r="H2924" s="1106"/>
      <c r="J2924" s="1557"/>
      <c r="K2924" s="1557"/>
      <c r="L2924" s="1557"/>
      <c r="M2924" s="1566"/>
    </row>
    <row r="2925" spans="2:13" s="1088" customFormat="1" hidden="1">
      <c r="B2925" s="1543"/>
      <c r="C2925" s="1332" t="s">
        <v>738</v>
      </c>
      <c r="D2925" s="1331"/>
      <c r="E2925" s="1331" t="s">
        <v>690</v>
      </c>
      <c r="F2925" s="1334">
        <v>6.9119999999999999</v>
      </c>
      <c r="G2925" s="1104">
        <f>DUB!$I$65</f>
        <v>1575</v>
      </c>
      <c r="H2925" s="1106">
        <f>G2925*F2925</f>
        <v>10886.4</v>
      </c>
      <c r="J2925" s="1557"/>
      <c r="K2925" s="1557"/>
      <c r="L2925" s="1557"/>
      <c r="M2925" s="1566"/>
    </row>
    <row r="2926" spans="2:13" s="1088" customFormat="1" hidden="1">
      <c r="B2926" s="1543"/>
      <c r="C2926" s="1332" t="s">
        <v>808</v>
      </c>
      <c r="D2926" s="1331"/>
      <c r="E2926" s="1331" t="s">
        <v>2646</v>
      </c>
      <c r="F2926" s="1334">
        <v>3.5000000000000003E-2</v>
      </c>
      <c r="G2926" s="1104">
        <f>DUB!$I$59</f>
        <v>208463</v>
      </c>
      <c r="H2926" s="1106">
        <f>G2926*F2926</f>
        <v>7296.2050000000008</v>
      </c>
      <c r="J2926" s="1557"/>
      <c r="K2926" s="1557"/>
      <c r="L2926" s="1557"/>
      <c r="M2926" s="1566"/>
    </row>
    <row r="2927" spans="2:13" s="1088" customFormat="1" hidden="1">
      <c r="B2927" s="1543"/>
      <c r="C2927" s="1332"/>
      <c r="D2927" s="1331"/>
      <c r="E2927" s="1331"/>
      <c r="F2927" s="2115" t="s">
        <v>702</v>
      </c>
      <c r="G2927" s="2116"/>
      <c r="H2927" s="1106">
        <f>SUM(H2925:H2926)</f>
        <v>18182.605</v>
      </c>
      <c r="J2927" s="1557"/>
      <c r="K2927" s="1557"/>
      <c r="L2927" s="1557"/>
      <c r="M2927" s="1566"/>
    </row>
    <row r="2928" spans="2:13" s="1090" customFormat="1" hidden="1">
      <c r="B2928" s="1543" t="s">
        <v>703</v>
      </c>
      <c r="C2928" s="2089" t="s">
        <v>3764</v>
      </c>
      <c r="D2928" s="2089"/>
      <c r="E2928" s="2089"/>
      <c r="F2928" s="2089"/>
      <c r="G2928" s="2089"/>
      <c r="H2928" s="1107">
        <f>H2923+H2927</f>
        <v>125332.605</v>
      </c>
      <c r="J2928" s="1559"/>
      <c r="K2928" s="1559"/>
      <c r="L2928" s="1559"/>
      <c r="M2928" s="1635"/>
    </row>
    <row r="2929" spans="2:13" s="1090" customFormat="1" hidden="1">
      <c r="B2929" s="1543" t="s">
        <v>706</v>
      </c>
      <c r="C2929" s="2076" t="s">
        <v>876</v>
      </c>
      <c r="D2929" s="2076"/>
      <c r="E2929" s="2076"/>
      <c r="F2929" s="2077" t="s">
        <v>3873</v>
      </c>
      <c r="G2929" s="2077"/>
      <c r="H2929" s="1107">
        <f>H2928*0.15</f>
        <v>18799.890749999999</v>
      </c>
      <c r="J2929" s="1559"/>
      <c r="K2929" s="1559"/>
      <c r="L2929" s="1559"/>
      <c r="M2929" s="1635"/>
    </row>
    <row r="2930" spans="2:13" s="1090" customFormat="1" hidden="1">
      <c r="B2930" s="1543" t="s">
        <v>708</v>
      </c>
      <c r="C2930" s="2078" t="s">
        <v>3765</v>
      </c>
      <c r="D2930" s="2078"/>
      <c r="E2930" s="2078"/>
      <c r="F2930" s="2078"/>
      <c r="G2930" s="2078"/>
      <c r="H2930" s="1107">
        <f>ROUND(SUM(H2928:H2929),2)</f>
        <v>144132.5</v>
      </c>
      <c r="I2930" s="1091">
        <f>SUM(H2928:H2929)</f>
        <v>144132.49575</v>
      </c>
      <c r="J2930" s="1561"/>
      <c r="K2930" s="1561"/>
      <c r="L2930" s="1559"/>
      <c r="M2930" s="1635"/>
    </row>
    <row r="2931" spans="2:13" s="1088" customFormat="1" hidden="1">
      <c r="B2931" s="1095"/>
      <c r="C2931" s="1096"/>
      <c r="D2931" s="1095"/>
      <c r="E2931" s="1095"/>
      <c r="F2931" s="1172"/>
      <c r="G2931" s="1173"/>
      <c r="H2931" s="1133"/>
      <c r="J2931" s="1557"/>
      <c r="K2931" s="1557"/>
      <c r="L2931" s="1557"/>
      <c r="M2931" s="1566"/>
    </row>
    <row r="2932" spans="2:13" s="1088" customFormat="1" hidden="1">
      <c r="B2932" s="1100" t="s">
        <v>4019</v>
      </c>
      <c r="C2932" s="1232" t="s">
        <v>2820</v>
      </c>
      <c r="D2932" s="1095"/>
      <c r="E2932" s="1095"/>
      <c r="F2932" s="1172"/>
      <c r="G2932" s="1173"/>
      <c r="H2932" s="1133"/>
      <c r="J2932" s="1557"/>
      <c r="K2932" s="1557"/>
      <c r="L2932" s="1557"/>
      <c r="M2932" s="1566"/>
    </row>
    <row r="2933" spans="2:13" s="1089" customFormat="1" ht="24.9" hidden="1" customHeight="1">
      <c r="B2933" s="1786" t="s">
        <v>1003</v>
      </c>
      <c r="C2933" s="1208" t="s">
        <v>1004</v>
      </c>
      <c r="D2933" s="1208" t="s">
        <v>1005</v>
      </c>
      <c r="E2933" s="1210" t="s">
        <v>1006</v>
      </c>
      <c r="F2933" s="1211" t="s">
        <v>1007</v>
      </c>
      <c r="G2933" s="1103" t="s">
        <v>2637</v>
      </c>
      <c r="H2933" s="1110" t="s">
        <v>2638</v>
      </c>
      <c r="J2933" s="1625"/>
      <c r="K2933" s="1625"/>
      <c r="L2933" s="1625"/>
      <c r="M2933" s="1570"/>
    </row>
    <row r="2934" spans="2:13" s="1088" customFormat="1" hidden="1">
      <c r="B2934" s="1543" t="s">
        <v>671</v>
      </c>
      <c r="C2934" s="1332" t="s">
        <v>672</v>
      </c>
      <c r="D2934" s="1331"/>
      <c r="E2934" s="1539"/>
      <c r="F2934" s="1532"/>
      <c r="G2934" s="1140"/>
      <c r="H2934" s="1106"/>
      <c r="J2934" s="1557"/>
      <c r="K2934" s="1557"/>
      <c r="L2934" s="1557"/>
      <c r="M2934" s="1566"/>
    </row>
    <row r="2935" spans="2:13" s="1088" customFormat="1" hidden="1">
      <c r="B2935" s="1543"/>
      <c r="C2935" s="1332" t="s">
        <v>673</v>
      </c>
      <c r="D2935" s="1331" t="s">
        <v>674</v>
      </c>
      <c r="E2935" s="1539" t="s">
        <v>675</v>
      </c>
      <c r="F2935" s="1532">
        <v>0.4</v>
      </c>
      <c r="G2935" s="1104">
        <f>DUB!$I$10</f>
        <v>150000</v>
      </c>
      <c r="H2935" s="1106">
        <f>G2935*F2935</f>
        <v>60000</v>
      </c>
      <c r="J2935" s="1557"/>
      <c r="K2935" s="1557"/>
      <c r="L2935" s="1557"/>
      <c r="M2935" s="1566"/>
    </row>
    <row r="2936" spans="2:13" s="1088" customFormat="1" hidden="1">
      <c r="B2936" s="1543"/>
      <c r="C2936" s="1332" t="s">
        <v>816</v>
      </c>
      <c r="D2936" s="1331" t="s">
        <v>681</v>
      </c>
      <c r="E2936" s="1539" t="s">
        <v>675</v>
      </c>
      <c r="F2936" s="1532">
        <v>0.2</v>
      </c>
      <c r="G2936" s="1212">
        <f>DUB!$I$11</f>
        <v>187000</v>
      </c>
      <c r="H2936" s="1106">
        <f>G2936*F2936</f>
        <v>37400</v>
      </c>
      <c r="J2936" s="1557"/>
      <c r="K2936" s="1557"/>
      <c r="L2936" s="1557"/>
      <c r="M2936" s="1566"/>
    </row>
    <row r="2937" spans="2:13" s="1088" customFormat="1" hidden="1">
      <c r="B2937" s="1543"/>
      <c r="C2937" s="1332" t="s">
        <v>680</v>
      </c>
      <c r="D2937" s="1331" t="s">
        <v>681</v>
      </c>
      <c r="E2937" s="1539" t="s">
        <v>675</v>
      </c>
      <c r="F2937" s="1532">
        <v>0.02</v>
      </c>
      <c r="G2937" s="1698">
        <f>DUB!$I$13</f>
        <v>240000</v>
      </c>
      <c r="H2937" s="1153">
        <f>G2937*F2937</f>
        <v>4800</v>
      </c>
      <c r="J2937" s="1557"/>
      <c r="K2937" s="1557"/>
      <c r="L2937" s="1557"/>
      <c r="M2937" s="1566"/>
    </row>
    <row r="2938" spans="2:13" s="1088" customFormat="1" hidden="1">
      <c r="B2938" s="1543"/>
      <c r="C2938" s="1332" t="s">
        <v>683</v>
      </c>
      <c r="D2938" s="1331" t="s">
        <v>684</v>
      </c>
      <c r="E2938" s="1539" t="s">
        <v>675</v>
      </c>
      <c r="F2938" s="1532">
        <v>2.1999999999999999E-2</v>
      </c>
      <c r="G2938" s="1213">
        <f>DUB!$I$12</f>
        <v>225000</v>
      </c>
      <c r="H2938" s="1153">
        <f>G2938*F2938</f>
        <v>4950</v>
      </c>
      <c r="J2938" s="1557"/>
      <c r="K2938" s="1557"/>
      <c r="L2938" s="1557"/>
      <c r="M2938" s="1566"/>
    </row>
    <row r="2939" spans="2:13" s="1088" customFormat="1" hidden="1">
      <c r="B2939" s="1543"/>
      <c r="C2939" s="1332"/>
      <c r="D2939" s="1331"/>
      <c r="E2939" s="1539"/>
      <c r="F2939" s="1532" t="s">
        <v>685</v>
      </c>
      <c r="G2939" s="1213"/>
      <c r="H2939" s="1153">
        <f>SUM(H2935:H2938)</f>
        <v>107150</v>
      </c>
      <c r="J2939" s="1557"/>
      <c r="K2939" s="1557"/>
      <c r="L2939" s="1557"/>
      <c r="M2939" s="1566"/>
    </row>
    <row r="2940" spans="2:13" s="1088" customFormat="1" hidden="1">
      <c r="B2940" s="1543" t="s">
        <v>686</v>
      </c>
      <c r="C2940" s="1332" t="s">
        <v>687</v>
      </c>
      <c r="D2940" s="1331"/>
      <c r="E2940" s="1539"/>
      <c r="F2940" s="1532"/>
      <c r="G2940" s="1213"/>
      <c r="H2940" s="1153"/>
      <c r="J2940" s="1557"/>
      <c r="K2940" s="1557"/>
      <c r="L2940" s="1557"/>
      <c r="M2940" s="1566"/>
    </row>
    <row r="2941" spans="2:13" s="1088" customFormat="1" hidden="1">
      <c r="B2941" s="1543"/>
      <c r="C2941" s="1332" t="s">
        <v>738</v>
      </c>
      <c r="D2941" s="1331"/>
      <c r="E2941" s="1539" t="s">
        <v>690</v>
      </c>
      <c r="F2941" s="1532">
        <v>5.8879999999999999</v>
      </c>
      <c r="G2941" s="1213">
        <f>DUB!$I$65</f>
        <v>1575</v>
      </c>
      <c r="H2941" s="1153">
        <f>G2941*F2941</f>
        <v>9273.6</v>
      </c>
      <c r="J2941" s="1557"/>
      <c r="K2941" s="1557"/>
      <c r="L2941" s="1557"/>
      <c r="M2941" s="1566"/>
    </row>
    <row r="2942" spans="2:13" s="1088" customFormat="1" hidden="1">
      <c r="B2942" s="1543"/>
      <c r="C2942" s="1332" t="s">
        <v>808</v>
      </c>
      <c r="D2942" s="1331"/>
      <c r="E2942" s="1539" t="s">
        <v>2646</v>
      </c>
      <c r="F2942" s="1532">
        <v>3.5999999999999997E-2</v>
      </c>
      <c r="G2942" s="1213">
        <f>DUB!$I$59</f>
        <v>208463</v>
      </c>
      <c r="H2942" s="1153">
        <f>G2942*F2942</f>
        <v>7504.6679999999997</v>
      </c>
      <c r="J2942" s="1557"/>
      <c r="K2942" s="1557"/>
      <c r="L2942" s="1557"/>
      <c r="M2942" s="1566"/>
    </row>
    <row r="2943" spans="2:13" s="1088" customFormat="1" hidden="1">
      <c r="B2943" s="1543"/>
      <c r="C2943" s="1332"/>
      <c r="D2943" s="1331"/>
      <c r="E2943" s="1540"/>
      <c r="F2943" s="1532" t="s">
        <v>702</v>
      </c>
      <c r="G2943" s="1213"/>
      <c r="H2943" s="1153">
        <f>SUM(H2941:H2942)</f>
        <v>16778.268</v>
      </c>
      <c r="J2943" s="1557"/>
      <c r="K2943" s="1557"/>
      <c r="L2943" s="1557"/>
      <c r="M2943" s="1566"/>
    </row>
    <row r="2944" spans="2:13" s="1090" customFormat="1" hidden="1">
      <c r="B2944" s="1543" t="s">
        <v>703</v>
      </c>
      <c r="C2944" s="1117" t="s">
        <v>3764</v>
      </c>
      <c r="D2944" s="1120"/>
      <c r="E2944" s="1120"/>
      <c r="F2944" s="1121"/>
      <c r="G2944" s="1214"/>
      <c r="H2944" s="1149">
        <f>H2939+H2943</f>
        <v>123928.268</v>
      </c>
      <c r="J2944" s="1559"/>
      <c r="K2944" s="1559"/>
      <c r="L2944" s="1559"/>
      <c r="M2944" s="1635"/>
    </row>
    <row r="2945" spans="2:13" s="1090" customFormat="1" hidden="1">
      <c r="B2945" s="1543" t="s">
        <v>706</v>
      </c>
      <c r="C2945" s="1123" t="s">
        <v>876</v>
      </c>
      <c r="D2945" s="1124"/>
      <c r="E2945" s="1154"/>
      <c r="F2945" s="1545" t="s">
        <v>3873</v>
      </c>
      <c r="G2945" s="1214"/>
      <c r="H2945" s="1107">
        <f>H2944*0.15</f>
        <v>18589.2402</v>
      </c>
      <c r="J2945" s="1559"/>
      <c r="K2945" s="1559"/>
      <c r="L2945" s="1559"/>
      <c r="M2945" s="1635"/>
    </row>
    <row r="2946" spans="2:13" s="1090" customFormat="1" hidden="1">
      <c r="B2946" s="1543" t="s">
        <v>708</v>
      </c>
      <c r="C2946" s="1117" t="s">
        <v>3765</v>
      </c>
      <c r="D2946" s="1120"/>
      <c r="E2946" s="1120"/>
      <c r="F2946" s="1121"/>
      <c r="G2946" s="1215"/>
      <c r="H2946" s="1107">
        <f>ROUND(SUM(H2944:H2945),2)</f>
        <v>142517.51</v>
      </c>
      <c r="I2946" s="1092">
        <f>SUM(H2944:H2945)</f>
        <v>142517.50819999998</v>
      </c>
      <c r="J2946" s="1561"/>
      <c r="K2946" s="1561"/>
      <c r="L2946" s="1559"/>
      <c r="M2946" s="1635"/>
    </row>
    <row r="2947" spans="2:13" s="1088" customFormat="1" hidden="1">
      <c r="B2947" s="1143"/>
      <c r="C2947" s="1144"/>
      <c r="D2947" s="1143"/>
      <c r="E2947" s="1143"/>
      <c r="F2947" s="1145"/>
      <c r="G2947" s="1132"/>
      <c r="H2947" s="1147"/>
      <c r="J2947" s="1557"/>
      <c r="K2947" s="1557"/>
      <c r="L2947" s="1557"/>
      <c r="M2947" s="1566"/>
    </row>
    <row r="2948" spans="2:13" s="1088" customFormat="1" hidden="1">
      <c r="B2948" s="1100" t="s">
        <v>4020</v>
      </c>
      <c r="C2948" s="1232" t="s">
        <v>2819</v>
      </c>
      <c r="D2948" s="1095"/>
      <c r="E2948" s="1095"/>
      <c r="F2948" s="1172"/>
      <c r="G2948" s="1173"/>
      <c r="H2948" s="1133"/>
      <c r="J2948" s="1557"/>
      <c r="K2948" s="1557"/>
      <c r="L2948" s="1557"/>
      <c r="M2948" s="1566"/>
    </row>
    <row r="2949" spans="2:13" s="1089" customFormat="1" ht="24.9" hidden="1" customHeight="1">
      <c r="B2949" s="1786" t="s">
        <v>1003</v>
      </c>
      <c r="C2949" s="1208" t="s">
        <v>1004</v>
      </c>
      <c r="D2949" s="1208" t="s">
        <v>1005</v>
      </c>
      <c r="E2949" s="1208" t="s">
        <v>1006</v>
      </c>
      <c r="F2949" s="1209" t="s">
        <v>1007</v>
      </c>
      <c r="G2949" s="1109" t="s">
        <v>2637</v>
      </c>
      <c r="H2949" s="1110" t="s">
        <v>2638</v>
      </c>
      <c r="J2949" s="1625"/>
      <c r="K2949" s="1625"/>
      <c r="L2949" s="1625"/>
      <c r="M2949" s="1570"/>
    </row>
    <row r="2950" spans="2:13" s="1088" customFormat="1" hidden="1">
      <c r="B2950" s="1543" t="s">
        <v>671</v>
      </c>
      <c r="C2950" s="1332" t="s">
        <v>672</v>
      </c>
      <c r="D2950" s="1331"/>
      <c r="E2950" s="1331"/>
      <c r="F2950" s="1334"/>
      <c r="G2950" s="1104"/>
      <c r="H2950" s="1106"/>
      <c r="J2950" s="1557"/>
      <c r="K2950" s="1557"/>
      <c r="L2950" s="1557"/>
      <c r="M2950" s="1566"/>
    </row>
    <row r="2951" spans="2:13" s="1088" customFormat="1" hidden="1">
      <c r="B2951" s="1543"/>
      <c r="C2951" s="1332" t="s">
        <v>673</v>
      </c>
      <c r="D2951" s="1331" t="s">
        <v>674</v>
      </c>
      <c r="E2951" s="1331" t="s">
        <v>675</v>
      </c>
      <c r="F2951" s="1334">
        <v>0.15</v>
      </c>
      <c r="G2951" s="1104">
        <f>DUB!$I$10</f>
        <v>150000</v>
      </c>
      <c r="H2951" s="1106">
        <f>G2951*F2951</f>
        <v>22500</v>
      </c>
      <c r="J2951" s="1557"/>
      <c r="K2951" s="1557"/>
      <c r="L2951" s="1557"/>
      <c r="M2951" s="1566"/>
    </row>
    <row r="2952" spans="2:13" s="1088" customFormat="1" hidden="1">
      <c r="B2952" s="1543"/>
      <c r="C2952" s="1332" t="s">
        <v>816</v>
      </c>
      <c r="D2952" s="1331" t="s">
        <v>681</v>
      </c>
      <c r="E2952" s="1331" t="s">
        <v>675</v>
      </c>
      <c r="F2952" s="1334">
        <v>7.4999999999999997E-2</v>
      </c>
      <c r="G2952" s="1104">
        <f>DUB!$I$11</f>
        <v>187000</v>
      </c>
      <c r="H2952" s="1106">
        <f>G2952*F2952</f>
        <v>14025</v>
      </c>
      <c r="J2952" s="1557"/>
      <c r="K2952" s="1557"/>
      <c r="L2952" s="1557"/>
      <c r="M2952" s="1566"/>
    </row>
    <row r="2953" spans="2:13" s="1088" customFormat="1" hidden="1">
      <c r="B2953" s="1543"/>
      <c r="C2953" s="1332" t="s">
        <v>680</v>
      </c>
      <c r="D2953" s="1331" t="s">
        <v>681</v>
      </c>
      <c r="E2953" s="1331" t="s">
        <v>675</v>
      </c>
      <c r="F2953" s="1334">
        <v>8.0000000000000002E-3</v>
      </c>
      <c r="G2953" s="1104">
        <f>DUB!$I$13</f>
        <v>240000</v>
      </c>
      <c r="H2953" s="1106">
        <f>G2953*F2953</f>
        <v>1920</v>
      </c>
      <c r="J2953" s="1557"/>
      <c r="K2953" s="1557"/>
      <c r="L2953" s="1557"/>
      <c r="M2953" s="1566"/>
    </row>
    <row r="2954" spans="2:13" s="1088" customFormat="1" hidden="1">
      <c r="B2954" s="1543"/>
      <c r="C2954" s="1332" t="s">
        <v>683</v>
      </c>
      <c r="D2954" s="1331" t="s">
        <v>684</v>
      </c>
      <c r="E2954" s="1331" t="s">
        <v>675</v>
      </c>
      <c r="F2954" s="1334">
        <v>8.0000000000000002E-3</v>
      </c>
      <c r="G2954" s="1104">
        <f>DUB!$I$12</f>
        <v>225000</v>
      </c>
      <c r="H2954" s="1106">
        <f>G2954*F2954</f>
        <v>1800</v>
      </c>
      <c r="J2954" s="1557"/>
      <c r="K2954" s="1557"/>
      <c r="L2954" s="1557"/>
      <c r="M2954" s="1566"/>
    </row>
    <row r="2955" spans="2:13" s="1088" customFormat="1" hidden="1">
      <c r="B2955" s="1543"/>
      <c r="C2955" s="1332"/>
      <c r="D2955" s="1331"/>
      <c r="E2955" s="1331"/>
      <c r="F2955" s="2074" t="s">
        <v>685</v>
      </c>
      <c r="G2955" s="2074"/>
      <c r="H2955" s="1106">
        <f>SUM(H2951:H2954)</f>
        <v>40245</v>
      </c>
      <c r="J2955" s="1557"/>
      <c r="K2955" s="1557"/>
      <c r="L2955" s="1557"/>
      <c r="M2955" s="1566"/>
    </row>
    <row r="2956" spans="2:13" s="1088" customFormat="1" hidden="1">
      <c r="B2956" s="1543" t="s">
        <v>686</v>
      </c>
      <c r="C2956" s="1332" t="s">
        <v>687</v>
      </c>
      <c r="D2956" s="1331"/>
      <c r="E2956" s="1331"/>
      <c r="F2956" s="1334"/>
      <c r="G2956" s="1104"/>
      <c r="H2956" s="1106"/>
      <c r="J2956" s="1557"/>
      <c r="K2956" s="1557"/>
      <c r="L2956" s="1557"/>
      <c r="M2956" s="1566"/>
    </row>
    <row r="2957" spans="2:13" s="1088" customFormat="1" hidden="1">
      <c r="B2957" s="1543"/>
      <c r="C2957" s="1332" t="s">
        <v>738</v>
      </c>
      <c r="D2957" s="1331"/>
      <c r="E2957" s="1331" t="s">
        <v>690</v>
      </c>
      <c r="F2957" s="1334">
        <v>5.1840000000000002</v>
      </c>
      <c r="G2957" s="1104">
        <f>DUB!$I$65</f>
        <v>1575</v>
      </c>
      <c r="H2957" s="1106">
        <f>G2957*F2957</f>
        <v>8164.8</v>
      </c>
      <c r="J2957" s="1557"/>
      <c r="K2957" s="1557"/>
      <c r="L2957" s="1557"/>
      <c r="M2957" s="1566"/>
    </row>
    <row r="2958" spans="2:13" s="1088" customFormat="1" hidden="1">
      <c r="B2958" s="1543"/>
      <c r="C2958" s="1332" t="s">
        <v>808</v>
      </c>
      <c r="D2958" s="1331"/>
      <c r="E2958" s="1331" t="s">
        <v>2646</v>
      </c>
      <c r="F2958" s="1334">
        <v>2.5999999999999999E-2</v>
      </c>
      <c r="G2958" s="1104">
        <f>DUB!$I$59</f>
        <v>208463</v>
      </c>
      <c r="H2958" s="1106">
        <f>G2958*F2958</f>
        <v>5420.0379999999996</v>
      </c>
      <c r="J2958" s="1557"/>
      <c r="K2958" s="1557"/>
      <c r="L2958" s="1557"/>
      <c r="M2958" s="1566"/>
    </row>
    <row r="2959" spans="2:13" s="1088" customFormat="1" hidden="1">
      <c r="B2959" s="1543"/>
      <c r="C2959" s="1125"/>
      <c r="D2959" s="1333"/>
      <c r="E2959" s="1333"/>
      <c r="F2959" s="2074" t="s">
        <v>702</v>
      </c>
      <c r="G2959" s="2074"/>
      <c r="H2959" s="1106">
        <f>SUM(H2957:H2958)</f>
        <v>13584.838</v>
      </c>
      <c r="J2959" s="1557"/>
      <c r="K2959" s="1557"/>
      <c r="L2959" s="1557"/>
      <c r="M2959" s="1566"/>
    </row>
    <row r="2960" spans="2:13" s="1090" customFormat="1" hidden="1">
      <c r="B2960" s="1543" t="s">
        <v>703</v>
      </c>
      <c r="C2960" s="2075" t="s">
        <v>3764</v>
      </c>
      <c r="D2960" s="2075"/>
      <c r="E2960" s="2075"/>
      <c r="F2960" s="2075"/>
      <c r="G2960" s="2075"/>
      <c r="H2960" s="1107">
        <f>H2955+H2959</f>
        <v>53829.838000000003</v>
      </c>
      <c r="J2960" s="1559"/>
      <c r="K2960" s="1559"/>
      <c r="L2960" s="1559"/>
      <c r="M2960" s="1635"/>
    </row>
    <row r="2961" spans="2:13" s="1090" customFormat="1" hidden="1">
      <c r="B2961" s="1543" t="s">
        <v>706</v>
      </c>
      <c r="C2961" s="2076" t="s">
        <v>876</v>
      </c>
      <c r="D2961" s="2076"/>
      <c r="E2961" s="2076"/>
      <c r="F2961" s="2077" t="s">
        <v>3873</v>
      </c>
      <c r="G2961" s="2077"/>
      <c r="H2961" s="1107">
        <f>H2960*0.15</f>
        <v>8074.4757</v>
      </c>
      <c r="J2961" s="1559"/>
      <c r="K2961" s="1559"/>
      <c r="L2961" s="1559"/>
      <c r="M2961" s="1635"/>
    </row>
    <row r="2962" spans="2:13" s="1090" customFormat="1" hidden="1">
      <c r="B2962" s="1543" t="s">
        <v>708</v>
      </c>
      <c r="C2962" s="2078" t="s">
        <v>3765</v>
      </c>
      <c r="D2962" s="2078"/>
      <c r="E2962" s="2078"/>
      <c r="F2962" s="2078"/>
      <c r="G2962" s="2078"/>
      <c r="H2962" s="1107">
        <f>ROUND(SUM(H2960:H2961),2)</f>
        <v>61904.31</v>
      </c>
      <c r="I2962" s="1091">
        <f>SUM(H2960:H2961)</f>
        <v>61904.313700000006</v>
      </c>
      <c r="J2962" s="1561"/>
      <c r="K2962" s="1561"/>
      <c r="L2962" s="1559"/>
      <c r="M2962" s="1635"/>
    </row>
    <row r="2963" spans="2:13" s="1088" customFormat="1" hidden="1">
      <c r="B2963" s="1143"/>
      <c r="C2963" s="1144"/>
      <c r="D2963" s="1143"/>
      <c r="E2963" s="1143"/>
      <c r="F2963" s="1145"/>
      <c r="G2963" s="1146"/>
      <c r="H2963" s="1147"/>
      <c r="J2963" s="1557"/>
      <c r="K2963" s="1557"/>
      <c r="L2963" s="1557"/>
      <c r="M2963" s="1566"/>
    </row>
    <row r="2964" spans="2:13" s="1088" customFormat="1" hidden="1">
      <c r="B2964" s="1100" t="s">
        <v>4021</v>
      </c>
      <c r="C2964" s="1112" t="s">
        <v>2818</v>
      </c>
      <c r="D2964" s="1129"/>
      <c r="E2964" s="1129"/>
      <c r="F2964" s="1131"/>
      <c r="G2964" s="1132"/>
      <c r="H2964" s="1115"/>
      <c r="J2964" s="1557"/>
      <c r="K2964" s="1557"/>
      <c r="L2964" s="1557"/>
      <c r="M2964" s="1566"/>
    </row>
    <row r="2965" spans="2:13" s="1089" customFormat="1" ht="24.9" hidden="1" customHeight="1">
      <c r="B2965" s="1786" t="s">
        <v>1003</v>
      </c>
      <c r="C2965" s="1208" t="s">
        <v>1004</v>
      </c>
      <c r="D2965" s="1208" t="s">
        <v>1005</v>
      </c>
      <c r="E2965" s="1208" t="s">
        <v>1006</v>
      </c>
      <c r="F2965" s="1209" t="s">
        <v>1007</v>
      </c>
      <c r="G2965" s="1109" t="s">
        <v>2637</v>
      </c>
      <c r="H2965" s="1110" t="s">
        <v>2638</v>
      </c>
      <c r="J2965" s="1625"/>
      <c r="K2965" s="1625"/>
      <c r="L2965" s="1625"/>
      <c r="M2965" s="1570"/>
    </row>
    <row r="2966" spans="2:13" s="1088" customFormat="1" hidden="1">
      <c r="B2966" s="1543" t="s">
        <v>671</v>
      </c>
      <c r="C2966" s="1332" t="s">
        <v>672</v>
      </c>
      <c r="D2966" s="1331"/>
      <c r="E2966" s="1331"/>
      <c r="F2966" s="1334"/>
      <c r="G2966" s="1104"/>
      <c r="H2966" s="1106"/>
      <c r="J2966" s="1557"/>
      <c r="K2966" s="1557"/>
      <c r="L2966" s="1557"/>
      <c r="M2966" s="1566"/>
    </row>
    <row r="2967" spans="2:13" s="1088" customFormat="1" hidden="1">
      <c r="B2967" s="1543"/>
      <c r="C2967" s="1332" t="s">
        <v>673</v>
      </c>
      <c r="D2967" s="1331" t="s">
        <v>674</v>
      </c>
      <c r="E2967" s="1331" t="s">
        <v>675</v>
      </c>
      <c r="F2967" s="1334">
        <v>0.08</v>
      </c>
      <c r="G2967" s="1104">
        <f>DUB!$I$10</f>
        <v>150000</v>
      </c>
      <c r="H2967" s="1106">
        <f>G2967*F2967</f>
        <v>12000</v>
      </c>
      <c r="J2967" s="1557"/>
      <c r="K2967" s="1557"/>
      <c r="L2967" s="1557"/>
      <c r="M2967" s="1566"/>
    </row>
    <row r="2968" spans="2:13" s="1088" customFormat="1" hidden="1">
      <c r="B2968" s="1543"/>
      <c r="C2968" s="1332" t="s">
        <v>816</v>
      </c>
      <c r="D2968" s="1331" t="s">
        <v>681</v>
      </c>
      <c r="E2968" s="1331" t="s">
        <v>675</v>
      </c>
      <c r="F2968" s="1334">
        <v>0.4</v>
      </c>
      <c r="G2968" s="1104">
        <f>DUB!$I$11</f>
        <v>187000</v>
      </c>
      <c r="H2968" s="1106">
        <f>G2968*F2968</f>
        <v>74800</v>
      </c>
      <c r="J2968" s="1557"/>
      <c r="K2968" s="1557"/>
      <c r="L2968" s="1557"/>
      <c r="M2968" s="1566"/>
    </row>
    <row r="2969" spans="2:13" s="1088" customFormat="1" hidden="1">
      <c r="B2969" s="1543"/>
      <c r="C2969" s="1332" t="s">
        <v>680</v>
      </c>
      <c r="D2969" s="1331" t="s">
        <v>681</v>
      </c>
      <c r="E2969" s="1331" t="s">
        <v>675</v>
      </c>
      <c r="F2969" s="1334">
        <v>0.04</v>
      </c>
      <c r="G2969" s="1104">
        <f>DUB!$I$13</f>
        <v>240000</v>
      </c>
      <c r="H2969" s="1106">
        <f>G2969*F2969</f>
        <v>9600</v>
      </c>
      <c r="J2969" s="1557"/>
      <c r="K2969" s="1557"/>
      <c r="L2969" s="1557"/>
      <c r="M2969" s="1566"/>
    </row>
    <row r="2970" spans="2:13" s="1088" customFormat="1" hidden="1">
      <c r="B2970" s="1543"/>
      <c r="C2970" s="1332" t="s">
        <v>683</v>
      </c>
      <c r="D2970" s="1331" t="s">
        <v>684</v>
      </c>
      <c r="E2970" s="1331" t="s">
        <v>675</v>
      </c>
      <c r="F2970" s="1334">
        <v>4.0000000000000001E-3</v>
      </c>
      <c r="G2970" s="1104">
        <f>DUB!$I$12</f>
        <v>225000</v>
      </c>
      <c r="H2970" s="1106">
        <f>G2970*F2970</f>
        <v>900</v>
      </c>
      <c r="J2970" s="1557"/>
      <c r="K2970" s="1557"/>
      <c r="L2970" s="1557"/>
      <c r="M2970" s="1566"/>
    </row>
    <row r="2971" spans="2:13" s="1088" customFormat="1" hidden="1">
      <c r="B2971" s="1543"/>
      <c r="C2971" s="1332"/>
      <c r="D2971" s="1331"/>
      <c r="E2971" s="1331"/>
      <c r="F2971" s="2074" t="s">
        <v>685</v>
      </c>
      <c r="G2971" s="2074"/>
      <c r="H2971" s="1106">
        <f>SUM(H2967:H2970)</f>
        <v>97300</v>
      </c>
      <c r="J2971" s="1557"/>
      <c r="K2971" s="1557"/>
      <c r="L2971" s="1557"/>
      <c r="M2971" s="1566"/>
    </row>
    <row r="2972" spans="2:13" s="1088" customFormat="1" hidden="1">
      <c r="B2972" s="1543" t="s">
        <v>686</v>
      </c>
      <c r="C2972" s="1332" t="s">
        <v>687</v>
      </c>
      <c r="D2972" s="1331"/>
      <c r="E2972" s="1331"/>
      <c r="F2972" s="1334"/>
      <c r="G2972" s="1104"/>
      <c r="H2972" s="1106"/>
      <c r="J2972" s="1557"/>
      <c r="K2972" s="1557"/>
      <c r="L2972" s="1557"/>
      <c r="M2972" s="1566"/>
    </row>
    <row r="2973" spans="2:13" s="1088" customFormat="1" hidden="1">
      <c r="B2973" s="1543"/>
      <c r="C2973" s="1332" t="s">
        <v>790</v>
      </c>
      <c r="D2973" s="1331"/>
      <c r="E2973" s="1331" t="s">
        <v>690</v>
      </c>
      <c r="F2973" s="1334">
        <v>0.5</v>
      </c>
      <c r="G2973" s="1104">
        <f>DUB!$I$65</f>
        <v>1575</v>
      </c>
      <c r="H2973" s="1106">
        <f>G2973*F2973</f>
        <v>787.5</v>
      </c>
      <c r="J2973" s="1557"/>
      <c r="K2973" s="1557"/>
      <c r="L2973" s="1557"/>
      <c r="M2973" s="1566"/>
    </row>
    <row r="2974" spans="2:13" s="1088" customFormat="1" hidden="1">
      <c r="B2974" s="1543"/>
      <c r="C2974" s="1332" t="s">
        <v>739</v>
      </c>
      <c r="D2974" s="1331"/>
      <c r="E2974" s="1331" t="s">
        <v>2646</v>
      </c>
      <c r="F2974" s="1334">
        <v>1.2999999999999999E-2</v>
      </c>
      <c r="G2974" s="1104">
        <f>DUB!$I$59</f>
        <v>208463</v>
      </c>
      <c r="H2974" s="1106">
        <f>G2974*F2974</f>
        <v>2710.0189999999998</v>
      </c>
      <c r="J2974" s="1557"/>
      <c r="K2974" s="1557"/>
      <c r="L2974" s="1557"/>
      <c r="M2974" s="1566"/>
    </row>
    <row r="2975" spans="2:13" s="1088" customFormat="1" hidden="1">
      <c r="B2975" s="1543"/>
      <c r="C2975" s="1125"/>
      <c r="D2975" s="1333"/>
      <c r="E2975" s="1333"/>
      <c r="F2975" s="2074" t="s">
        <v>702</v>
      </c>
      <c r="G2975" s="2074"/>
      <c r="H2975" s="1106">
        <f>SUM(H2973:H2974)</f>
        <v>3497.5189999999998</v>
      </c>
      <c r="J2975" s="1557"/>
      <c r="K2975" s="1557"/>
      <c r="L2975" s="1557"/>
      <c r="M2975" s="1566"/>
    </row>
    <row r="2976" spans="2:13" s="1090" customFormat="1" hidden="1">
      <c r="B2976" s="1543" t="s">
        <v>703</v>
      </c>
      <c r="C2976" s="2075" t="s">
        <v>3764</v>
      </c>
      <c r="D2976" s="2075"/>
      <c r="E2976" s="2075"/>
      <c r="F2976" s="2075"/>
      <c r="G2976" s="2075"/>
      <c r="H2976" s="1107">
        <f>H2971+H2975</f>
        <v>100797.519</v>
      </c>
      <c r="J2976" s="1559"/>
      <c r="K2976" s="1559"/>
      <c r="L2976" s="1559"/>
      <c r="M2976" s="1635"/>
    </row>
    <row r="2977" spans="2:13" s="1090" customFormat="1" hidden="1">
      <c r="B2977" s="1543" t="s">
        <v>706</v>
      </c>
      <c r="C2977" s="2076" t="s">
        <v>876</v>
      </c>
      <c r="D2977" s="2076"/>
      <c r="E2977" s="2076"/>
      <c r="F2977" s="2077" t="s">
        <v>3873</v>
      </c>
      <c r="G2977" s="2077"/>
      <c r="H2977" s="1107">
        <f>H2976*0.15</f>
        <v>15119.627849999999</v>
      </c>
      <c r="J2977" s="1559"/>
      <c r="K2977" s="1559"/>
      <c r="L2977" s="1559"/>
      <c r="M2977" s="1635"/>
    </row>
    <row r="2978" spans="2:13" s="1090" customFormat="1" hidden="1">
      <c r="B2978" s="1543" t="s">
        <v>708</v>
      </c>
      <c r="C2978" s="2078" t="s">
        <v>3765</v>
      </c>
      <c r="D2978" s="2078"/>
      <c r="E2978" s="2078"/>
      <c r="F2978" s="2078"/>
      <c r="G2978" s="2078"/>
      <c r="H2978" s="1107">
        <f>ROUND(SUM(H2976:H2977),2)</f>
        <v>115917.15</v>
      </c>
      <c r="I2978" s="1091">
        <f>SUM(H2976:H2977)</f>
        <v>115917.14685</v>
      </c>
      <c r="J2978" s="1561"/>
      <c r="K2978" s="1561"/>
      <c r="L2978" s="1559"/>
      <c r="M2978" s="1635"/>
    </row>
    <row r="2979" spans="2:13" s="1088" customFormat="1" hidden="1">
      <c r="B2979" s="1095"/>
      <c r="C2979" s="1096"/>
      <c r="D2979" s="1095"/>
      <c r="E2979" s="1095"/>
      <c r="F2979" s="1172"/>
      <c r="G2979" s="1173"/>
      <c r="H2979" s="1133"/>
      <c r="J2979" s="1557"/>
      <c r="K2979" s="1557"/>
      <c r="L2979" s="1557"/>
      <c r="M2979" s="1566"/>
    </row>
    <row r="2980" spans="2:13" s="1088" customFormat="1" hidden="1">
      <c r="B2980" s="1100" t="s">
        <v>4022</v>
      </c>
      <c r="C2980" s="1232" t="s">
        <v>2817</v>
      </c>
      <c r="D2980" s="1095"/>
      <c r="E2980" s="1095"/>
      <c r="F2980" s="1172"/>
      <c r="G2980" s="1173"/>
      <c r="H2980" s="1133"/>
      <c r="J2980" s="1557"/>
      <c r="K2980" s="1557"/>
      <c r="L2980" s="1557"/>
      <c r="M2980" s="1566"/>
    </row>
    <row r="2981" spans="2:13" s="1089" customFormat="1" ht="24.9" hidden="1" customHeight="1">
      <c r="B2981" s="1786" t="s">
        <v>1003</v>
      </c>
      <c r="C2981" s="1208" t="s">
        <v>1004</v>
      </c>
      <c r="D2981" s="1208" t="s">
        <v>1005</v>
      </c>
      <c r="E2981" s="1208" t="s">
        <v>1006</v>
      </c>
      <c r="F2981" s="1209" t="s">
        <v>1007</v>
      </c>
      <c r="G2981" s="1109" t="s">
        <v>2637</v>
      </c>
      <c r="H2981" s="1110" t="s">
        <v>2638</v>
      </c>
      <c r="J2981" s="1625"/>
      <c r="K2981" s="1625"/>
      <c r="L2981" s="1625"/>
      <c r="M2981" s="1570"/>
    </row>
    <row r="2982" spans="2:13" s="1088" customFormat="1" hidden="1">
      <c r="B2982" s="1543" t="s">
        <v>671</v>
      </c>
      <c r="C2982" s="1332" t="s">
        <v>672</v>
      </c>
      <c r="D2982" s="1331"/>
      <c r="E2982" s="1331"/>
      <c r="F2982" s="1334"/>
      <c r="G2982" s="1104"/>
      <c r="H2982" s="1106"/>
      <c r="J2982" s="1557"/>
      <c r="K2982" s="1557"/>
      <c r="L2982" s="1557"/>
      <c r="M2982" s="1566"/>
    </row>
    <row r="2983" spans="2:13" s="1088" customFormat="1" hidden="1">
      <c r="B2983" s="1543"/>
      <c r="C2983" s="1332" t="s">
        <v>673</v>
      </c>
      <c r="D2983" s="1331" t="s">
        <v>674</v>
      </c>
      <c r="E2983" s="1331" t="s">
        <v>675</v>
      </c>
      <c r="F2983" s="1334">
        <v>0.3</v>
      </c>
      <c r="G2983" s="1104">
        <f>DUB!$I$10</f>
        <v>150000</v>
      </c>
      <c r="H2983" s="1106">
        <f>G2983*F2983</f>
        <v>45000</v>
      </c>
      <c r="J2983" s="1557"/>
      <c r="K2983" s="1557"/>
      <c r="L2983" s="1557"/>
      <c r="M2983" s="1566"/>
    </row>
    <row r="2984" spans="2:13" s="1088" customFormat="1" hidden="1">
      <c r="B2984" s="1543"/>
      <c r="C2984" s="1332" t="s">
        <v>816</v>
      </c>
      <c r="D2984" s="1331" t="s">
        <v>681</v>
      </c>
      <c r="E2984" s="1331" t="s">
        <v>675</v>
      </c>
      <c r="F2984" s="1334">
        <v>0.1</v>
      </c>
      <c r="G2984" s="1104">
        <f>DUB!$I$11</f>
        <v>187000</v>
      </c>
      <c r="H2984" s="1106">
        <f>G2984*F2984</f>
        <v>18700</v>
      </c>
      <c r="J2984" s="1557"/>
      <c r="K2984" s="1557"/>
      <c r="L2984" s="1557"/>
      <c r="M2984" s="1566"/>
    </row>
    <row r="2985" spans="2:13" s="1088" customFormat="1" hidden="1">
      <c r="B2985" s="1543"/>
      <c r="C2985" s="1332" t="s">
        <v>680</v>
      </c>
      <c r="D2985" s="1331" t="s">
        <v>681</v>
      </c>
      <c r="E2985" s="1331" t="s">
        <v>675</v>
      </c>
      <c r="F2985" s="1334">
        <v>0.01</v>
      </c>
      <c r="G2985" s="1104">
        <f>DUB!$I$13</f>
        <v>240000</v>
      </c>
      <c r="H2985" s="1106">
        <f>G2985*F2985</f>
        <v>2400</v>
      </c>
      <c r="J2985" s="1557"/>
      <c r="K2985" s="1557"/>
      <c r="L2985" s="1557"/>
      <c r="M2985" s="1566"/>
    </row>
    <row r="2986" spans="2:13" s="1088" customFormat="1" hidden="1">
      <c r="B2986" s="1543"/>
      <c r="C2986" s="1332" t="s">
        <v>683</v>
      </c>
      <c r="D2986" s="1331" t="s">
        <v>684</v>
      </c>
      <c r="E2986" s="1331" t="s">
        <v>675</v>
      </c>
      <c r="F2986" s="1334">
        <v>1.4999999999999999E-2</v>
      </c>
      <c r="G2986" s="1104">
        <f>DUB!$I$12</f>
        <v>225000</v>
      </c>
      <c r="H2986" s="1106">
        <f>G2986*F2986</f>
        <v>3375</v>
      </c>
      <c r="J2986" s="1557"/>
      <c r="K2986" s="1557"/>
      <c r="L2986" s="1557"/>
      <c r="M2986" s="1566"/>
    </row>
    <row r="2987" spans="2:13" s="1088" customFormat="1" hidden="1">
      <c r="B2987" s="1543"/>
      <c r="C2987" s="1332"/>
      <c r="D2987" s="1331"/>
      <c r="E2987" s="1331"/>
      <c r="F2987" s="2074" t="s">
        <v>685</v>
      </c>
      <c r="G2987" s="2074"/>
      <c r="H2987" s="1106">
        <f>SUM(H2983:H2986)</f>
        <v>69475</v>
      </c>
      <c r="J2987" s="1557"/>
      <c r="K2987" s="1557"/>
      <c r="L2987" s="1557"/>
      <c r="M2987" s="1566"/>
    </row>
    <row r="2988" spans="2:13" s="1088" customFormat="1" hidden="1">
      <c r="B2988" s="1543" t="s">
        <v>686</v>
      </c>
      <c r="C2988" s="1332" t="s">
        <v>687</v>
      </c>
      <c r="D2988" s="1331"/>
      <c r="E2988" s="1331"/>
      <c r="F2988" s="1334"/>
      <c r="G2988" s="1104"/>
      <c r="H2988" s="1106"/>
      <c r="J2988" s="1557"/>
      <c r="K2988" s="1557"/>
      <c r="L2988" s="1557"/>
      <c r="M2988" s="1566"/>
    </row>
    <row r="2989" spans="2:13" s="1088" customFormat="1" hidden="1">
      <c r="B2989" s="1543"/>
      <c r="C2989" s="1332" t="s">
        <v>790</v>
      </c>
      <c r="D2989" s="1331"/>
      <c r="E2989" s="1331" t="s">
        <v>690</v>
      </c>
      <c r="F2989" s="1334">
        <v>4.32</v>
      </c>
      <c r="G2989" s="1104">
        <f>DUB!$I$65</f>
        <v>1575</v>
      </c>
      <c r="H2989" s="1106">
        <f>G2989*F2989</f>
        <v>6804</v>
      </c>
      <c r="J2989" s="1557"/>
      <c r="K2989" s="1557"/>
      <c r="L2989" s="1557"/>
      <c r="M2989" s="1566"/>
    </row>
    <row r="2990" spans="2:13" s="1088" customFormat="1" hidden="1">
      <c r="B2990" s="1543"/>
      <c r="C2990" s="1332" t="s">
        <v>739</v>
      </c>
      <c r="D2990" s="1331"/>
      <c r="E2990" s="1331" t="s">
        <v>690</v>
      </c>
      <c r="F2990" s="1334">
        <v>6.0000000000000001E-3</v>
      </c>
      <c r="G2990" s="1104">
        <f>DUB!$I$59</f>
        <v>208463</v>
      </c>
      <c r="H2990" s="1106">
        <f>G2990*F2990</f>
        <v>1250.778</v>
      </c>
      <c r="J2990" s="1557"/>
      <c r="K2990" s="1557"/>
      <c r="L2990" s="1557"/>
      <c r="M2990" s="1566"/>
    </row>
    <row r="2991" spans="2:13" s="1088" customFormat="1" hidden="1">
      <c r="B2991" s="1543"/>
      <c r="C2991" s="1125"/>
      <c r="D2991" s="1333"/>
      <c r="E2991" s="1333"/>
      <c r="F2991" s="2074" t="s">
        <v>702</v>
      </c>
      <c r="G2991" s="2074"/>
      <c r="H2991" s="1106">
        <f>SUM(H2989:H2990)</f>
        <v>8054.7780000000002</v>
      </c>
      <c r="J2991" s="1557"/>
      <c r="K2991" s="1557"/>
      <c r="L2991" s="1557"/>
      <c r="M2991" s="1566"/>
    </row>
    <row r="2992" spans="2:13" s="1090" customFormat="1" hidden="1">
      <c r="B2992" s="1543" t="s">
        <v>703</v>
      </c>
      <c r="C2992" s="2075" t="s">
        <v>3764</v>
      </c>
      <c r="D2992" s="2075"/>
      <c r="E2992" s="2075"/>
      <c r="F2992" s="2075"/>
      <c r="G2992" s="2075"/>
      <c r="H2992" s="1107">
        <f>H2987+H2991</f>
        <v>77529.778000000006</v>
      </c>
      <c r="J2992" s="1559"/>
      <c r="K2992" s="1559"/>
      <c r="L2992" s="1559"/>
      <c r="M2992" s="1635"/>
    </row>
    <row r="2993" spans="2:13" s="1090" customFormat="1" hidden="1">
      <c r="B2993" s="1543" t="s">
        <v>706</v>
      </c>
      <c r="C2993" s="2076" t="s">
        <v>876</v>
      </c>
      <c r="D2993" s="2076"/>
      <c r="E2993" s="2076"/>
      <c r="F2993" s="2077" t="s">
        <v>3873</v>
      </c>
      <c r="G2993" s="2077"/>
      <c r="H2993" s="1107">
        <f>H2992*0.15</f>
        <v>11629.466700000001</v>
      </c>
      <c r="J2993" s="1559"/>
      <c r="K2993" s="1559"/>
      <c r="L2993" s="1559"/>
      <c r="M2993" s="1635"/>
    </row>
    <row r="2994" spans="2:13" s="1090" customFormat="1" hidden="1">
      <c r="B2994" s="1543" t="s">
        <v>708</v>
      </c>
      <c r="C2994" s="2078" t="s">
        <v>3765</v>
      </c>
      <c r="D2994" s="2078"/>
      <c r="E2994" s="2078"/>
      <c r="F2994" s="2078"/>
      <c r="G2994" s="2078"/>
      <c r="H2994" s="1107">
        <f>ROUND(SUM(H2992:H2993),2)</f>
        <v>89159.24</v>
      </c>
      <c r="I2994" s="1091">
        <f>SUM(H2992:H2993)</f>
        <v>89159.24470000001</v>
      </c>
      <c r="J2994" s="1561"/>
      <c r="K2994" s="1561"/>
      <c r="L2994" s="1559"/>
      <c r="M2994" s="1635"/>
    </row>
    <row r="2995" spans="2:13" s="1088" customFormat="1" hidden="1">
      <c r="B2995" s="1143"/>
      <c r="C2995" s="1144"/>
      <c r="D2995" s="1143"/>
      <c r="E2995" s="1143"/>
      <c r="F2995" s="1145"/>
      <c r="G2995" s="1146"/>
      <c r="H2995" s="1147"/>
      <c r="J2995" s="1557"/>
      <c r="K2995" s="1557"/>
      <c r="L2995" s="1557"/>
      <c r="M2995" s="1566"/>
    </row>
    <row r="2996" spans="2:13" s="1088" customFormat="1" hidden="1">
      <c r="B2996" s="1100" t="s">
        <v>4023</v>
      </c>
      <c r="C2996" s="1112" t="s">
        <v>2816</v>
      </c>
      <c r="D2996" s="1129"/>
      <c r="E2996" s="1129"/>
      <c r="F2996" s="1131"/>
      <c r="G2996" s="1132"/>
      <c r="H2996" s="1115"/>
      <c r="J2996" s="1557"/>
      <c r="K2996" s="1557"/>
      <c r="L2996" s="1557"/>
      <c r="M2996" s="1566"/>
    </row>
    <row r="2997" spans="2:13" s="1089" customFormat="1" ht="24.9" hidden="1" customHeight="1">
      <c r="B2997" s="1786" t="s">
        <v>1003</v>
      </c>
      <c r="C2997" s="1208" t="s">
        <v>1004</v>
      </c>
      <c r="D2997" s="1208" t="s">
        <v>1005</v>
      </c>
      <c r="E2997" s="1208" t="s">
        <v>1006</v>
      </c>
      <c r="F2997" s="1209" t="s">
        <v>1007</v>
      </c>
      <c r="G2997" s="1109" t="s">
        <v>2637</v>
      </c>
      <c r="H2997" s="1110" t="s">
        <v>2638</v>
      </c>
      <c r="J2997" s="1625"/>
      <c r="K2997" s="1625"/>
      <c r="L2997" s="1625"/>
      <c r="M2997" s="1570"/>
    </row>
    <row r="2998" spans="2:13" s="1088" customFormat="1" hidden="1">
      <c r="B2998" s="1543" t="s">
        <v>671</v>
      </c>
      <c r="C2998" s="1332" t="s">
        <v>672</v>
      </c>
      <c r="D2998" s="1331"/>
      <c r="E2998" s="1331"/>
      <c r="F2998" s="1334"/>
      <c r="G2998" s="1104"/>
      <c r="H2998" s="1106"/>
      <c r="J2998" s="1557"/>
      <c r="K2998" s="1557"/>
      <c r="L2998" s="1557"/>
      <c r="M2998" s="1566"/>
    </row>
    <row r="2999" spans="2:13" s="1088" customFormat="1" hidden="1">
      <c r="B2999" s="1543"/>
      <c r="C2999" s="1332" t="s">
        <v>673</v>
      </c>
      <c r="D2999" s="1331" t="s">
        <v>674</v>
      </c>
      <c r="E2999" s="1331" t="s">
        <v>675</v>
      </c>
      <c r="F2999" s="1334">
        <v>0.15</v>
      </c>
      <c r="G2999" s="1104">
        <f>DUB!$I$10</f>
        <v>150000</v>
      </c>
      <c r="H2999" s="1106">
        <f>G2999*F2999</f>
        <v>22500</v>
      </c>
      <c r="J2999" s="1557"/>
      <c r="K2999" s="1557"/>
      <c r="L2999" s="1557"/>
      <c r="M2999" s="1566"/>
    </row>
    <row r="3000" spans="2:13" s="1088" customFormat="1" hidden="1">
      <c r="B3000" s="1543"/>
      <c r="C3000" s="1332" t="s">
        <v>816</v>
      </c>
      <c r="D3000" s="1331" t="s">
        <v>681</v>
      </c>
      <c r="E3000" s="1331" t="s">
        <v>675</v>
      </c>
      <c r="F3000" s="1334">
        <v>7.4999999999999997E-2</v>
      </c>
      <c r="G3000" s="1104">
        <f>DUB!$I$11</f>
        <v>187000</v>
      </c>
      <c r="H3000" s="1106">
        <f>G3000*F3000</f>
        <v>14025</v>
      </c>
      <c r="J3000" s="1557"/>
      <c r="K3000" s="1557"/>
      <c r="L3000" s="1557"/>
      <c r="M3000" s="1566"/>
    </row>
    <row r="3001" spans="2:13" s="1088" customFormat="1" hidden="1">
      <c r="B3001" s="1543"/>
      <c r="C3001" s="1332" t="s">
        <v>680</v>
      </c>
      <c r="D3001" s="1331" t="s">
        <v>681</v>
      </c>
      <c r="E3001" s="1331" t="s">
        <v>675</v>
      </c>
      <c r="F3001" s="1334">
        <v>8.0000000000000002E-3</v>
      </c>
      <c r="G3001" s="1104">
        <f>DUB!$I$13</f>
        <v>240000</v>
      </c>
      <c r="H3001" s="1106">
        <f>G3001*F3001</f>
        <v>1920</v>
      </c>
      <c r="J3001" s="1557"/>
      <c r="K3001" s="1557"/>
      <c r="L3001" s="1557"/>
      <c r="M3001" s="1566"/>
    </row>
    <row r="3002" spans="2:13" s="1088" customFormat="1" hidden="1">
      <c r="B3002" s="1543"/>
      <c r="C3002" s="1332" t="s">
        <v>683</v>
      </c>
      <c r="D3002" s="1331" t="s">
        <v>684</v>
      </c>
      <c r="E3002" s="1331" t="s">
        <v>675</v>
      </c>
      <c r="F3002" s="1334">
        <v>8.0000000000000002E-3</v>
      </c>
      <c r="G3002" s="1104">
        <f>DUB!$I$12</f>
        <v>225000</v>
      </c>
      <c r="H3002" s="1106">
        <f>G3002*F3002</f>
        <v>1800</v>
      </c>
      <c r="J3002" s="1557"/>
      <c r="K3002" s="1557"/>
      <c r="L3002" s="1557"/>
      <c r="M3002" s="1566"/>
    </row>
    <row r="3003" spans="2:13" s="1088" customFormat="1" hidden="1">
      <c r="B3003" s="1543"/>
      <c r="C3003" s="1332"/>
      <c r="D3003" s="1331"/>
      <c r="E3003" s="1331"/>
      <c r="F3003" s="2074" t="s">
        <v>685</v>
      </c>
      <c r="G3003" s="2074"/>
      <c r="H3003" s="1106">
        <f>SUM(H2999:H3002)</f>
        <v>40245</v>
      </c>
      <c r="J3003" s="1557"/>
      <c r="K3003" s="1557"/>
      <c r="L3003" s="1557"/>
      <c r="M3003" s="1566"/>
    </row>
    <row r="3004" spans="2:13" s="1088" customFormat="1" hidden="1">
      <c r="B3004" s="1543" t="s">
        <v>686</v>
      </c>
      <c r="C3004" s="1332" t="s">
        <v>687</v>
      </c>
      <c r="D3004" s="1331"/>
      <c r="E3004" s="1331"/>
      <c r="F3004" s="1334"/>
      <c r="G3004" s="1104"/>
      <c r="H3004" s="1106"/>
      <c r="J3004" s="1557"/>
      <c r="K3004" s="1557"/>
      <c r="L3004" s="1557"/>
      <c r="M3004" s="1566"/>
    </row>
    <row r="3005" spans="2:13" s="1088" customFormat="1" hidden="1">
      <c r="B3005" s="1543"/>
      <c r="C3005" s="1332" t="s">
        <v>790</v>
      </c>
      <c r="D3005" s="1331"/>
      <c r="E3005" s="1331" t="s">
        <v>690</v>
      </c>
      <c r="F3005" s="1334">
        <v>3.1080000000000001</v>
      </c>
      <c r="G3005" s="1104">
        <f>DUB!$I$65</f>
        <v>1575</v>
      </c>
      <c r="H3005" s="1106">
        <f>G3005*F3005</f>
        <v>4895.1000000000004</v>
      </c>
      <c r="J3005" s="1557"/>
      <c r="K3005" s="1557"/>
      <c r="L3005" s="1557"/>
      <c r="M3005" s="1566"/>
    </row>
    <row r="3006" spans="2:13" s="1088" customFormat="1" hidden="1">
      <c r="B3006" s="1543"/>
      <c r="C3006" s="1125"/>
      <c r="D3006" s="1333"/>
      <c r="E3006" s="1333"/>
      <c r="F3006" s="2074" t="s">
        <v>702</v>
      </c>
      <c r="G3006" s="2074"/>
      <c r="H3006" s="1106">
        <f>SUM(H3005)</f>
        <v>4895.1000000000004</v>
      </c>
      <c r="J3006" s="1557"/>
      <c r="K3006" s="1557"/>
      <c r="L3006" s="1557"/>
      <c r="M3006" s="1566"/>
    </row>
    <row r="3007" spans="2:13" s="1090" customFormat="1" hidden="1">
      <c r="B3007" s="1543" t="s">
        <v>703</v>
      </c>
      <c r="C3007" s="2075" t="s">
        <v>3764</v>
      </c>
      <c r="D3007" s="2075"/>
      <c r="E3007" s="2075"/>
      <c r="F3007" s="2075"/>
      <c r="G3007" s="2075"/>
      <c r="H3007" s="1107">
        <f>H3003+H3006</f>
        <v>45140.1</v>
      </c>
      <c r="J3007" s="1559"/>
      <c r="K3007" s="1559"/>
      <c r="L3007" s="1559"/>
      <c r="M3007" s="1635"/>
    </row>
    <row r="3008" spans="2:13" s="1090" customFormat="1" hidden="1">
      <c r="B3008" s="1543" t="s">
        <v>706</v>
      </c>
      <c r="C3008" s="2076" t="s">
        <v>876</v>
      </c>
      <c r="D3008" s="2076"/>
      <c r="E3008" s="2076"/>
      <c r="F3008" s="2077" t="s">
        <v>3873</v>
      </c>
      <c r="G3008" s="2077"/>
      <c r="H3008" s="1107">
        <f>H3007*0.15</f>
        <v>6771.0149999999994</v>
      </c>
      <c r="J3008" s="1559"/>
      <c r="K3008" s="1559"/>
      <c r="L3008" s="1559"/>
      <c r="M3008" s="1635"/>
    </row>
    <row r="3009" spans="2:13" s="1090" customFormat="1" hidden="1">
      <c r="B3009" s="1543" t="s">
        <v>708</v>
      </c>
      <c r="C3009" s="2078" t="s">
        <v>3765</v>
      </c>
      <c r="D3009" s="2078"/>
      <c r="E3009" s="2078"/>
      <c r="F3009" s="2078"/>
      <c r="G3009" s="2078"/>
      <c r="H3009" s="1107">
        <f>ROUND(SUM(H3007:H3008),2)</f>
        <v>51911.12</v>
      </c>
      <c r="I3009" s="1091">
        <f>SUM(H3007:H3008)</f>
        <v>51911.114999999998</v>
      </c>
      <c r="J3009" s="1561"/>
      <c r="K3009" s="1561"/>
      <c r="L3009" s="1559"/>
      <c r="M3009" s="1635"/>
    </row>
    <row r="3010" spans="2:13" s="1088" customFormat="1" hidden="1">
      <c r="B3010" s="1095"/>
      <c r="C3010" s="1096"/>
      <c r="D3010" s="1095"/>
      <c r="E3010" s="1095"/>
      <c r="F3010" s="1172"/>
      <c r="G3010" s="1173"/>
      <c r="H3010" s="1133"/>
      <c r="J3010" s="1557"/>
      <c r="K3010" s="1557"/>
      <c r="L3010" s="1557"/>
      <c r="M3010" s="1566"/>
    </row>
    <row r="3011" spans="2:13" s="1088" customFormat="1" hidden="1">
      <c r="B3011" s="1100" t="s">
        <v>4024</v>
      </c>
      <c r="C3011" s="1232" t="s">
        <v>2815</v>
      </c>
      <c r="D3011" s="1095"/>
      <c r="E3011" s="1095"/>
      <c r="F3011" s="1172"/>
      <c r="G3011" s="1173"/>
      <c r="H3011" s="1133"/>
      <c r="J3011" s="1557"/>
      <c r="K3011" s="1557"/>
      <c r="L3011" s="1557"/>
      <c r="M3011" s="1566"/>
    </row>
    <row r="3012" spans="2:13" s="1089" customFormat="1" ht="24.9" hidden="1" customHeight="1">
      <c r="B3012" s="1786" t="s">
        <v>1003</v>
      </c>
      <c r="C3012" s="1208" t="s">
        <v>1004</v>
      </c>
      <c r="D3012" s="1208" t="s">
        <v>1005</v>
      </c>
      <c r="E3012" s="1208" t="s">
        <v>1006</v>
      </c>
      <c r="F3012" s="1209" t="s">
        <v>1007</v>
      </c>
      <c r="G3012" s="1109" t="s">
        <v>2637</v>
      </c>
      <c r="H3012" s="1110" t="s">
        <v>2638</v>
      </c>
      <c r="J3012" s="1625"/>
      <c r="K3012" s="1625"/>
      <c r="L3012" s="1625"/>
      <c r="M3012" s="1570"/>
    </row>
    <row r="3013" spans="2:13" s="1088" customFormat="1" hidden="1">
      <c r="B3013" s="1543" t="s">
        <v>671</v>
      </c>
      <c r="C3013" s="1332" t="s">
        <v>672</v>
      </c>
      <c r="D3013" s="1331"/>
      <c r="E3013" s="1331"/>
      <c r="F3013" s="1334"/>
      <c r="G3013" s="1104"/>
      <c r="H3013" s="1106"/>
      <c r="J3013" s="1557"/>
      <c r="K3013" s="1557"/>
      <c r="L3013" s="1557"/>
      <c r="M3013" s="1566"/>
    </row>
    <row r="3014" spans="2:13" s="1088" customFormat="1" hidden="1">
      <c r="B3014" s="1543"/>
      <c r="C3014" s="1332" t="s">
        <v>673</v>
      </c>
      <c r="D3014" s="1331" t="s">
        <v>674</v>
      </c>
      <c r="E3014" s="1331" t="s">
        <v>675</v>
      </c>
      <c r="F3014" s="1334">
        <v>7.0000000000000007E-2</v>
      </c>
      <c r="G3014" s="1104">
        <f>DUB!$I$10</f>
        <v>150000</v>
      </c>
      <c r="H3014" s="1106">
        <f>G3014*F3014</f>
        <v>10500.000000000002</v>
      </c>
      <c r="J3014" s="1557"/>
      <c r="K3014" s="1557"/>
      <c r="L3014" s="1557"/>
      <c r="M3014" s="1566"/>
    </row>
    <row r="3015" spans="2:13" s="1088" customFormat="1" hidden="1">
      <c r="B3015" s="1543"/>
      <c r="C3015" s="1332" t="s">
        <v>816</v>
      </c>
      <c r="D3015" s="1331" t="s">
        <v>681</v>
      </c>
      <c r="E3015" s="1331" t="s">
        <v>675</v>
      </c>
      <c r="F3015" s="1334">
        <v>3.5000000000000003E-2</v>
      </c>
      <c r="G3015" s="1104">
        <f>DUB!$I$11</f>
        <v>187000</v>
      </c>
      <c r="H3015" s="1106">
        <f>G3015*F3015</f>
        <v>6545.0000000000009</v>
      </c>
      <c r="J3015" s="1557"/>
      <c r="K3015" s="1557"/>
      <c r="L3015" s="1557"/>
      <c r="M3015" s="1566"/>
    </row>
    <row r="3016" spans="2:13" s="1088" customFormat="1" hidden="1">
      <c r="B3016" s="1543"/>
      <c r="C3016" s="1332" t="s">
        <v>680</v>
      </c>
      <c r="D3016" s="1331" t="s">
        <v>681</v>
      </c>
      <c r="E3016" s="1331" t="s">
        <v>675</v>
      </c>
      <c r="F3016" s="1334">
        <v>4.0000000000000001E-3</v>
      </c>
      <c r="G3016" s="1104">
        <f>DUB!$I$13</f>
        <v>240000</v>
      </c>
      <c r="H3016" s="1106">
        <f>G3016*F3016</f>
        <v>960</v>
      </c>
      <c r="J3016" s="1557"/>
      <c r="K3016" s="1557"/>
      <c r="L3016" s="1557"/>
      <c r="M3016" s="1566"/>
    </row>
    <row r="3017" spans="2:13" s="1088" customFormat="1" hidden="1">
      <c r="B3017" s="1543"/>
      <c r="C3017" s="1332" t="s">
        <v>683</v>
      </c>
      <c r="D3017" s="1331" t="s">
        <v>684</v>
      </c>
      <c r="E3017" s="1331" t="s">
        <v>675</v>
      </c>
      <c r="F3017" s="1334">
        <v>4.0000000000000001E-3</v>
      </c>
      <c r="G3017" s="1104">
        <f>DUB!$I$12</f>
        <v>225000</v>
      </c>
      <c r="H3017" s="1106">
        <f>G3017*F3017</f>
        <v>900</v>
      </c>
      <c r="J3017" s="1557"/>
      <c r="K3017" s="1557"/>
      <c r="L3017" s="1557"/>
      <c r="M3017" s="1566"/>
    </row>
    <row r="3018" spans="2:13" s="1088" customFormat="1" hidden="1">
      <c r="B3018" s="1543"/>
      <c r="C3018" s="1332"/>
      <c r="D3018" s="1331"/>
      <c r="E3018" s="1331"/>
      <c r="F3018" s="2074" t="s">
        <v>685</v>
      </c>
      <c r="G3018" s="2074"/>
      <c r="H3018" s="1106">
        <f>SUM(H3014:H3017)</f>
        <v>18905.000000000004</v>
      </c>
      <c r="J3018" s="1557"/>
      <c r="K3018" s="1557"/>
      <c r="L3018" s="1557"/>
      <c r="M3018" s="1566"/>
    </row>
    <row r="3019" spans="2:13" s="1088" customFormat="1" hidden="1">
      <c r="B3019" s="1543" t="s">
        <v>686</v>
      </c>
      <c r="C3019" s="1332" t="s">
        <v>687</v>
      </c>
      <c r="D3019" s="1331"/>
      <c r="E3019" s="1331"/>
      <c r="F3019" s="1334"/>
      <c r="G3019" s="1104"/>
      <c r="H3019" s="1106"/>
      <c r="J3019" s="1557"/>
      <c r="K3019" s="1557"/>
      <c r="L3019" s="1557"/>
      <c r="M3019" s="1566"/>
    </row>
    <row r="3020" spans="2:13" s="1088" customFormat="1" hidden="1">
      <c r="B3020" s="1543"/>
      <c r="C3020" s="1332" t="s">
        <v>790</v>
      </c>
      <c r="D3020" s="1331"/>
      <c r="E3020" s="1331" t="s">
        <v>690</v>
      </c>
      <c r="F3020" s="1334">
        <v>1.6</v>
      </c>
      <c r="G3020" s="1104">
        <f>DUB!$I$65</f>
        <v>1575</v>
      </c>
      <c r="H3020" s="1106">
        <f>G3020*F3020</f>
        <v>2520</v>
      </c>
      <c r="J3020" s="1557"/>
      <c r="K3020" s="1557"/>
      <c r="L3020" s="1557"/>
      <c r="M3020" s="1566"/>
    </row>
    <row r="3021" spans="2:13" s="1088" customFormat="1" hidden="1">
      <c r="B3021" s="1543"/>
      <c r="C3021" s="1125"/>
      <c r="D3021" s="1333"/>
      <c r="E3021" s="1333"/>
      <c r="F3021" s="2074" t="s">
        <v>702</v>
      </c>
      <c r="G3021" s="2074"/>
      <c r="H3021" s="1106">
        <f>SUM(H3020)</f>
        <v>2520</v>
      </c>
      <c r="J3021" s="1557"/>
      <c r="K3021" s="1557"/>
      <c r="L3021" s="1557"/>
      <c r="M3021" s="1566"/>
    </row>
    <row r="3022" spans="2:13" s="1090" customFormat="1" hidden="1">
      <c r="B3022" s="1543" t="s">
        <v>703</v>
      </c>
      <c r="C3022" s="2075" t="s">
        <v>3764</v>
      </c>
      <c r="D3022" s="2075"/>
      <c r="E3022" s="2075"/>
      <c r="F3022" s="2075"/>
      <c r="G3022" s="2075"/>
      <c r="H3022" s="1107">
        <f>H3018+H3021</f>
        <v>21425.000000000004</v>
      </c>
      <c r="J3022" s="1559"/>
      <c r="K3022" s="1559"/>
      <c r="L3022" s="1559"/>
      <c r="M3022" s="1635"/>
    </row>
    <row r="3023" spans="2:13" s="1090" customFormat="1" hidden="1">
      <c r="B3023" s="1543" t="s">
        <v>706</v>
      </c>
      <c r="C3023" s="2076" t="s">
        <v>876</v>
      </c>
      <c r="D3023" s="2076"/>
      <c r="E3023" s="2076"/>
      <c r="F3023" s="2077" t="s">
        <v>3873</v>
      </c>
      <c r="G3023" s="2077"/>
      <c r="H3023" s="1107">
        <f>H3022*0.15</f>
        <v>3213.7500000000005</v>
      </c>
      <c r="J3023" s="1559"/>
      <c r="K3023" s="1559"/>
      <c r="L3023" s="1559"/>
      <c r="M3023" s="1635"/>
    </row>
    <row r="3024" spans="2:13" s="1090" customFormat="1" hidden="1">
      <c r="B3024" s="1543" t="s">
        <v>708</v>
      </c>
      <c r="C3024" s="2078" t="s">
        <v>3765</v>
      </c>
      <c r="D3024" s="2078"/>
      <c r="E3024" s="2078"/>
      <c r="F3024" s="2078"/>
      <c r="G3024" s="2078"/>
      <c r="H3024" s="1107">
        <f>ROUND(SUM(H3022:H3023),2)</f>
        <v>24638.75</v>
      </c>
      <c r="I3024" s="1091">
        <f>SUM(H3022:H3023)</f>
        <v>24638.750000000004</v>
      </c>
      <c r="J3024" s="1561"/>
      <c r="K3024" s="1561"/>
      <c r="L3024" s="1559"/>
      <c r="M3024" s="1635"/>
    </row>
    <row r="3025" spans="2:13" s="1088" customFormat="1" hidden="1">
      <c r="B3025" s="1143"/>
      <c r="C3025" s="1144"/>
      <c r="D3025" s="1143"/>
      <c r="E3025" s="1143"/>
      <c r="F3025" s="1145"/>
      <c r="G3025" s="1146"/>
      <c r="H3025" s="1147"/>
      <c r="J3025" s="1557"/>
      <c r="K3025" s="1557"/>
      <c r="L3025" s="1557"/>
      <c r="M3025" s="1566"/>
    </row>
    <row r="3026" spans="2:13" s="1088" customFormat="1" hidden="1">
      <c r="B3026" s="1100" t="s">
        <v>4025</v>
      </c>
      <c r="C3026" s="1112" t="s">
        <v>4512</v>
      </c>
      <c r="D3026" s="1129"/>
      <c r="E3026" s="1129"/>
      <c r="F3026" s="1131"/>
      <c r="G3026" s="1132"/>
      <c r="H3026" s="1115"/>
      <c r="J3026" s="1557"/>
      <c r="K3026" s="1557"/>
      <c r="L3026" s="1557"/>
      <c r="M3026" s="1566"/>
    </row>
    <row r="3027" spans="2:13" s="1089" customFormat="1" ht="24.9" hidden="1" customHeight="1">
      <c r="B3027" s="1786" t="s">
        <v>1003</v>
      </c>
      <c r="C3027" s="1208" t="s">
        <v>1004</v>
      </c>
      <c r="D3027" s="1208" t="s">
        <v>1005</v>
      </c>
      <c r="E3027" s="1208" t="s">
        <v>1006</v>
      </c>
      <c r="F3027" s="1209" t="s">
        <v>1007</v>
      </c>
      <c r="G3027" s="1109" t="s">
        <v>2637</v>
      </c>
      <c r="H3027" s="1110" t="s">
        <v>2638</v>
      </c>
      <c r="J3027" s="1625"/>
      <c r="K3027" s="1625"/>
      <c r="L3027" s="1625"/>
      <c r="M3027" s="1570"/>
    </row>
    <row r="3028" spans="2:13" s="1088" customFormat="1" hidden="1">
      <c r="B3028" s="1543" t="s">
        <v>671</v>
      </c>
      <c r="C3028" s="1332" t="s">
        <v>672</v>
      </c>
      <c r="D3028" s="1331"/>
      <c r="E3028" s="1331"/>
      <c r="F3028" s="1334"/>
      <c r="G3028" s="1104"/>
      <c r="H3028" s="1106"/>
      <c r="J3028" s="1557"/>
      <c r="K3028" s="1557"/>
      <c r="L3028" s="1557"/>
      <c r="M3028" s="1566"/>
    </row>
    <row r="3029" spans="2:13" s="1088" customFormat="1" hidden="1">
      <c r="B3029" s="1543"/>
      <c r="C3029" s="1332" t="s">
        <v>673</v>
      </c>
      <c r="D3029" s="1331" t="s">
        <v>674</v>
      </c>
      <c r="E3029" s="1331" t="s">
        <v>675</v>
      </c>
      <c r="F3029" s="1334">
        <v>0.3</v>
      </c>
      <c r="G3029" s="1104">
        <f>DUB!$I$10</f>
        <v>150000</v>
      </c>
      <c r="H3029" s="1106">
        <f>G3029*F3029</f>
        <v>45000</v>
      </c>
      <c r="J3029" s="1557"/>
      <c r="K3029" s="1557"/>
      <c r="L3029" s="1557"/>
      <c r="M3029" s="1566"/>
    </row>
    <row r="3030" spans="2:13" s="1088" customFormat="1" hidden="1">
      <c r="B3030" s="1543"/>
      <c r="C3030" s="1332" t="s">
        <v>816</v>
      </c>
      <c r="D3030" s="1331" t="s">
        <v>681</v>
      </c>
      <c r="E3030" s="1331" t="s">
        <v>675</v>
      </c>
      <c r="F3030" s="1334">
        <v>0.15</v>
      </c>
      <c r="G3030" s="1104">
        <f>DUB!$I$11</f>
        <v>187000</v>
      </c>
      <c r="H3030" s="1106">
        <f>G3030*F3030</f>
        <v>28050</v>
      </c>
      <c r="J3030" s="1557"/>
      <c r="K3030" s="1557"/>
      <c r="L3030" s="1557"/>
      <c r="M3030" s="1566"/>
    </row>
    <row r="3031" spans="2:13" s="1088" customFormat="1" hidden="1">
      <c r="B3031" s="1543"/>
      <c r="C3031" s="1332" t="s">
        <v>680</v>
      </c>
      <c r="D3031" s="1331" t="s">
        <v>681</v>
      </c>
      <c r="E3031" s="1331" t="s">
        <v>675</v>
      </c>
      <c r="F3031" s="1334">
        <v>1.4999999999999999E-2</v>
      </c>
      <c r="G3031" s="1104">
        <f>DUB!$I$13</f>
        <v>240000</v>
      </c>
      <c r="H3031" s="1106">
        <f>G3031*F3031</f>
        <v>3600</v>
      </c>
      <c r="J3031" s="1557"/>
      <c r="K3031" s="1557"/>
      <c r="L3031" s="1557"/>
      <c r="M3031" s="1566"/>
    </row>
    <row r="3032" spans="2:13" s="1088" customFormat="1" hidden="1">
      <c r="B3032" s="1543"/>
      <c r="C3032" s="1332" t="s">
        <v>683</v>
      </c>
      <c r="D3032" s="1331" t="s">
        <v>684</v>
      </c>
      <c r="E3032" s="1331" t="s">
        <v>675</v>
      </c>
      <c r="F3032" s="1334">
        <v>1.4999999999999999E-2</v>
      </c>
      <c r="G3032" s="1104">
        <f>DUB!$I$12</f>
        <v>225000</v>
      </c>
      <c r="H3032" s="1106">
        <f>G3032*F3032</f>
        <v>3375</v>
      </c>
      <c r="J3032" s="1557"/>
      <c r="K3032" s="1557"/>
      <c r="L3032" s="1557"/>
      <c r="M3032" s="1566"/>
    </row>
    <row r="3033" spans="2:13" s="1088" customFormat="1" hidden="1">
      <c r="B3033" s="1543"/>
      <c r="C3033" s="1332"/>
      <c r="D3033" s="1331"/>
      <c r="E3033" s="1331"/>
      <c r="F3033" s="2074" t="s">
        <v>685</v>
      </c>
      <c r="G3033" s="2074"/>
      <c r="H3033" s="1106">
        <f>SUM(H3029:H3032)</f>
        <v>80025</v>
      </c>
      <c r="J3033" s="1557"/>
      <c r="K3033" s="1557"/>
      <c r="L3033" s="1557"/>
      <c r="M3033" s="1566"/>
    </row>
    <row r="3034" spans="2:13" s="1088" customFormat="1" hidden="1">
      <c r="B3034" s="1543" t="s">
        <v>686</v>
      </c>
      <c r="C3034" s="1332" t="s">
        <v>687</v>
      </c>
      <c r="D3034" s="1331"/>
      <c r="E3034" s="1331"/>
      <c r="F3034" s="1334"/>
      <c r="G3034" s="1104"/>
      <c r="H3034" s="1106"/>
      <c r="J3034" s="1557"/>
      <c r="K3034" s="1557"/>
      <c r="L3034" s="1557"/>
      <c r="M3034" s="1566"/>
    </row>
    <row r="3035" spans="2:13" s="1088" customFormat="1" hidden="1">
      <c r="B3035" s="1543"/>
      <c r="C3035" s="1332" t="s">
        <v>790</v>
      </c>
      <c r="D3035" s="1331"/>
      <c r="E3035" s="1331" t="s">
        <v>690</v>
      </c>
      <c r="F3035" s="1334">
        <v>6.34</v>
      </c>
      <c r="G3035" s="1104">
        <f>DUB!$I$65</f>
        <v>1575</v>
      </c>
      <c r="H3035" s="1106">
        <f>G3035*F3035</f>
        <v>9985.5</v>
      </c>
      <c r="J3035" s="1557"/>
      <c r="K3035" s="1557"/>
      <c r="L3035" s="1557"/>
      <c r="M3035" s="1566"/>
    </row>
    <row r="3036" spans="2:13" s="1088" customFormat="1" hidden="1">
      <c r="B3036" s="1543"/>
      <c r="C3036" s="1332" t="s">
        <v>739</v>
      </c>
      <c r="D3036" s="1331"/>
      <c r="E3036" s="1331" t="s">
        <v>2646</v>
      </c>
      <c r="F3036" s="1334">
        <v>1.2E-2</v>
      </c>
      <c r="G3036" s="1104">
        <f>DUB!$I$59</f>
        <v>208463</v>
      </c>
      <c r="H3036" s="1106">
        <f>G3036*F3036</f>
        <v>2501.556</v>
      </c>
      <c r="J3036" s="1557"/>
      <c r="K3036" s="1557"/>
      <c r="L3036" s="1557"/>
      <c r="M3036" s="1566"/>
    </row>
    <row r="3037" spans="2:13" s="1088" customFormat="1" hidden="1">
      <c r="B3037" s="1543"/>
      <c r="C3037" s="1125"/>
      <c r="D3037" s="1333"/>
      <c r="E3037" s="1333"/>
      <c r="F3037" s="2074" t="s">
        <v>702</v>
      </c>
      <c r="G3037" s="2074"/>
      <c r="H3037" s="1106">
        <f>SUM(H3035:H3036)</f>
        <v>12487.056</v>
      </c>
      <c r="J3037" s="1557"/>
      <c r="K3037" s="1557"/>
      <c r="L3037" s="1557"/>
      <c r="M3037" s="1566"/>
    </row>
    <row r="3038" spans="2:13" s="1090" customFormat="1" hidden="1">
      <c r="B3038" s="1543" t="s">
        <v>703</v>
      </c>
      <c r="C3038" s="2075" t="s">
        <v>3764</v>
      </c>
      <c r="D3038" s="2075"/>
      <c r="E3038" s="2075"/>
      <c r="F3038" s="2075"/>
      <c r="G3038" s="2075"/>
      <c r="H3038" s="1107">
        <f>H3033+H3037</f>
        <v>92512.055999999997</v>
      </c>
      <c r="J3038" s="1559"/>
      <c r="K3038" s="1559"/>
      <c r="L3038" s="1559"/>
      <c r="M3038" s="1635"/>
    </row>
    <row r="3039" spans="2:13" s="1090" customFormat="1" hidden="1">
      <c r="B3039" s="1543" t="s">
        <v>706</v>
      </c>
      <c r="C3039" s="2076" t="s">
        <v>876</v>
      </c>
      <c r="D3039" s="2076"/>
      <c r="E3039" s="2076"/>
      <c r="F3039" s="2077" t="s">
        <v>3873</v>
      </c>
      <c r="G3039" s="2077"/>
      <c r="H3039" s="1107">
        <f>H3038*0.15</f>
        <v>13876.8084</v>
      </c>
      <c r="J3039" s="1559"/>
      <c r="K3039" s="1559"/>
      <c r="L3039" s="1559"/>
      <c r="M3039" s="1635"/>
    </row>
    <row r="3040" spans="2:13" s="1090" customFormat="1" hidden="1">
      <c r="B3040" s="1543" t="s">
        <v>708</v>
      </c>
      <c r="C3040" s="2078" t="s">
        <v>3765</v>
      </c>
      <c r="D3040" s="2078"/>
      <c r="E3040" s="2078"/>
      <c r="F3040" s="2078"/>
      <c r="G3040" s="2078"/>
      <c r="H3040" s="1107">
        <f>ROUND(SUM(H3038:H3039),2)</f>
        <v>106388.86</v>
      </c>
      <c r="I3040" s="1091">
        <f>SUM(H3038:H3039)</f>
        <v>106388.86439999999</v>
      </c>
      <c r="J3040" s="1561"/>
      <c r="K3040" s="1561"/>
      <c r="L3040" s="1559"/>
      <c r="M3040" s="1635"/>
    </row>
    <row r="3041" spans="2:13" s="1088" customFormat="1" hidden="1">
      <c r="B3041" s="1095"/>
      <c r="C3041" s="1096"/>
      <c r="D3041" s="1095"/>
      <c r="E3041" s="1095"/>
      <c r="F3041" s="1172"/>
      <c r="G3041" s="1173"/>
      <c r="H3041" s="1133"/>
      <c r="J3041" s="1557"/>
      <c r="K3041" s="1557"/>
      <c r="L3041" s="1557"/>
      <c r="M3041" s="1566"/>
    </row>
    <row r="3042" spans="2:13" s="1088" customFormat="1" hidden="1">
      <c r="B3042" s="1100" t="s">
        <v>4026</v>
      </c>
      <c r="C3042" s="1232" t="s">
        <v>2814</v>
      </c>
      <c r="D3042" s="1095"/>
      <c r="E3042" s="1095"/>
      <c r="F3042" s="1172"/>
      <c r="G3042" s="1173"/>
      <c r="H3042" s="1133"/>
      <c r="J3042" s="1557"/>
      <c r="K3042" s="1557"/>
      <c r="L3042" s="1557"/>
      <c r="M3042" s="1566"/>
    </row>
    <row r="3043" spans="2:13" s="507" customFormat="1" ht="24.9" hidden="1" customHeight="1">
      <c r="B3043" s="1786" t="s">
        <v>1003</v>
      </c>
      <c r="C3043" s="1208" t="s">
        <v>1004</v>
      </c>
      <c r="D3043" s="1210" t="s">
        <v>1005</v>
      </c>
      <c r="E3043" s="1210" t="s">
        <v>1006</v>
      </c>
      <c r="F3043" s="1211" t="s">
        <v>1007</v>
      </c>
      <c r="G3043" s="1103" t="s">
        <v>2637</v>
      </c>
      <c r="H3043" s="1110" t="s">
        <v>2638</v>
      </c>
      <c r="J3043" s="1625"/>
      <c r="K3043" s="1625"/>
      <c r="L3043" s="1625"/>
      <c r="M3043" s="1570"/>
    </row>
    <row r="3044" spans="2:13" hidden="1">
      <c r="B3044" s="1543" t="s">
        <v>671</v>
      </c>
      <c r="C3044" s="1332" t="s">
        <v>672</v>
      </c>
      <c r="D3044" s="1539"/>
      <c r="E3044" s="1539"/>
      <c r="F3044" s="1532"/>
      <c r="G3044" s="1136"/>
      <c r="H3044" s="1106"/>
      <c r="M3044" s="1566"/>
    </row>
    <row r="3045" spans="2:13" hidden="1">
      <c r="B3045" s="1543"/>
      <c r="C3045" s="1332" t="s">
        <v>673</v>
      </c>
      <c r="D3045" s="1539" t="s">
        <v>674</v>
      </c>
      <c r="E3045" s="1539" t="s">
        <v>675</v>
      </c>
      <c r="F3045" s="1532">
        <v>0.2</v>
      </c>
      <c r="G3045" s="1104">
        <f>DUB!$I$10</f>
        <v>150000</v>
      </c>
      <c r="H3045" s="1106">
        <f>G3045*F3045</f>
        <v>30000</v>
      </c>
      <c r="M3045" s="1566"/>
    </row>
    <row r="3046" spans="2:13" hidden="1">
      <c r="B3046" s="1543"/>
      <c r="C3046" s="1332" t="s">
        <v>816</v>
      </c>
      <c r="D3046" s="1539" t="s">
        <v>681</v>
      </c>
      <c r="E3046" s="1539" t="s">
        <v>675</v>
      </c>
      <c r="F3046" s="1532">
        <v>0.1</v>
      </c>
      <c r="G3046" s="1104">
        <f>DUB!$I$11</f>
        <v>187000</v>
      </c>
      <c r="H3046" s="1106">
        <f>G3046*F3046</f>
        <v>18700</v>
      </c>
      <c r="M3046" s="1566"/>
    </row>
    <row r="3047" spans="2:13" hidden="1">
      <c r="B3047" s="1543"/>
      <c r="C3047" s="1332" t="s">
        <v>680</v>
      </c>
      <c r="D3047" s="1539" t="s">
        <v>681</v>
      </c>
      <c r="E3047" s="1539" t="s">
        <v>675</v>
      </c>
      <c r="F3047" s="1532">
        <v>0.01</v>
      </c>
      <c r="G3047" s="1104">
        <f>DUB!$I$13</f>
        <v>240000</v>
      </c>
      <c r="H3047" s="1106">
        <f>G3047*F3047</f>
        <v>2400</v>
      </c>
      <c r="M3047" s="1566"/>
    </row>
    <row r="3048" spans="2:13" hidden="1">
      <c r="B3048" s="1543"/>
      <c r="C3048" s="1332" t="s">
        <v>683</v>
      </c>
      <c r="D3048" s="1539" t="s">
        <v>684</v>
      </c>
      <c r="E3048" s="1539" t="s">
        <v>675</v>
      </c>
      <c r="F3048" s="1532">
        <v>0.01</v>
      </c>
      <c r="G3048" s="1104">
        <f>DUB!$I$12</f>
        <v>225000</v>
      </c>
      <c r="H3048" s="1106">
        <f>G3048*F3048</f>
        <v>2250</v>
      </c>
      <c r="M3048" s="1566"/>
    </row>
    <row r="3049" spans="2:13" hidden="1">
      <c r="B3049" s="1543"/>
      <c r="C3049" s="1332"/>
      <c r="D3049" s="1539"/>
      <c r="E3049" s="1539"/>
      <c r="F3049" s="2080" t="s">
        <v>685</v>
      </c>
      <c r="G3049" s="2081"/>
      <c r="H3049" s="1106">
        <f>SUM(H3045:H3048)</f>
        <v>53350</v>
      </c>
      <c r="M3049" s="1566"/>
    </row>
    <row r="3050" spans="2:13" hidden="1">
      <c r="B3050" s="1543" t="s">
        <v>686</v>
      </c>
      <c r="C3050" s="1332" t="s">
        <v>687</v>
      </c>
      <c r="D3050" s="1539"/>
      <c r="E3050" s="1539"/>
      <c r="F3050" s="1532"/>
      <c r="G3050" s="1136"/>
      <c r="H3050" s="1106"/>
      <c r="M3050" s="1566"/>
    </row>
    <row r="3051" spans="2:13" hidden="1">
      <c r="B3051" s="1543"/>
      <c r="C3051" s="1332" t="s">
        <v>790</v>
      </c>
      <c r="D3051" s="1539"/>
      <c r="E3051" s="1539" t="s">
        <v>690</v>
      </c>
      <c r="F3051" s="1532">
        <v>3.25</v>
      </c>
      <c r="G3051" s="1104">
        <f>DUB!$I$65</f>
        <v>1575</v>
      </c>
      <c r="H3051" s="1106">
        <f>G3051*F3051</f>
        <v>5118.75</v>
      </c>
      <c r="M3051" s="1566"/>
    </row>
    <row r="3052" spans="2:13" hidden="1">
      <c r="B3052" s="1543"/>
      <c r="C3052" s="1332"/>
      <c r="D3052" s="1539"/>
      <c r="E3052" s="1539"/>
      <c r="F3052" s="2080" t="s">
        <v>702</v>
      </c>
      <c r="G3052" s="2081"/>
      <c r="H3052" s="1106">
        <f>SUM(H3051)</f>
        <v>5118.75</v>
      </c>
      <c r="M3052" s="1566"/>
    </row>
    <row r="3053" spans="2:13" s="496" customFormat="1" hidden="1">
      <c r="B3053" s="1543" t="s">
        <v>703</v>
      </c>
      <c r="C3053" s="1117" t="s">
        <v>3764</v>
      </c>
      <c r="D3053" s="1120"/>
      <c r="E3053" s="1120"/>
      <c r="F3053" s="1121"/>
      <c r="G3053" s="1122"/>
      <c r="H3053" s="1107">
        <f>H3049+H3052</f>
        <v>58468.75</v>
      </c>
      <c r="J3053" s="1559"/>
      <c r="K3053" s="1559"/>
      <c r="L3053" s="1559"/>
      <c r="M3053" s="1635"/>
    </row>
    <row r="3054" spans="2:13" s="496" customFormat="1" hidden="1">
      <c r="B3054" s="1543" t="s">
        <v>706</v>
      </c>
      <c r="C3054" s="1123" t="s">
        <v>876</v>
      </c>
      <c r="D3054" s="1124"/>
      <c r="E3054" s="1124"/>
      <c r="F3054" s="1545" t="s">
        <v>3873</v>
      </c>
      <c r="G3054" s="1122"/>
      <c r="H3054" s="1107">
        <f>H3053*0.15</f>
        <v>8770.3125</v>
      </c>
      <c r="I3054" s="517"/>
      <c r="J3054" s="1651"/>
      <c r="K3054" s="1651"/>
      <c r="L3054" s="1559"/>
      <c r="M3054" s="1635"/>
    </row>
    <row r="3055" spans="2:13" s="496" customFormat="1" hidden="1">
      <c r="B3055" s="1543" t="s">
        <v>708</v>
      </c>
      <c r="C3055" s="1117" t="s">
        <v>3765</v>
      </c>
      <c r="D3055" s="1120"/>
      <c r="E3055" s="1120"/>
      <c r="F3055" s="1121"/>
      <c r="G3055" s="1122"/>
      <c r="H3055" s="1107">
        <f>ROUND(SUM(H3053:H3054),2)</f>
        <v>67239.06</v>
      </c>
      <c r="I3055" s="517">
        <f>37309.38+5596.41</f>
        <v>42905.789999999994</v>
      </c>
      <c r="J3055" s="1651"/>
      <c r="K3055" s="1651"/>
      <c r="L3055" s="1559"/>
      <c r="M3055" s="1635"/>
    </row>
    <row r="3056" spans="2:13" hidden="1">
      <c r="F3056" s="1172"/>
      <c r="G3056" s="1173"/>
      <c r="H3056" s="1133"/>
      <c r="M3056" s="1566"/>
    </row>
    <row r="3057" spans="2:13" hidden="1">
      <c r="B3057" s="1100" t="s">
        <v>4373</v>
      </c>
      <c r="C3057" s="1232" t="s">
        <v>4376</v>
      </c>
      <c r="F3057" s="1172"/>
      <c r="G3057" s="1173"/>
      <c r="H3057" s="1133"/>
      <c r="M3057" s="1566"/>
    </row>
    <row r="3058" spans="2:13" ht="24.9" hidden="1" customHeight="1">
      <c r="B3058" s="1786" t="s">
        <v>1003</v>
      </c>
      <c r="C3058" s="1208" t="s">
        <v>1004</v>
      </c>
      <c r="D3058" s="1210" t="s">
        <v>1005</v>
      </c>
      <c r="E3058" s="1210" t="s">
        <v>1006</v>
      </c>
      <c r="F3058" s="1211" t="s">
        <v>1007</v>
      </c>
      <c r="G3058" s="1103" t="s">
        <v>2637</v>
      </c>
      <c r="H3058" s="1110" t="s">
        <v>2638</v>
      </c>
      <c r="M3058" s="1566"/>
    </row>
    <row r="3059" spans="2:13" hidden="1">
      <c r="B3059" s="1543" t="s">
        <v>671</v>
      </c>
      <c r="C3059" s="1332" t="s">
        <v>672</v>
      </c>
      <c r="D3059" s="1539"/>
      <c r="E3059" s="1539"/>
      <c r="F3059" s="1532"/>
      <c r="G3059" s="1136"/>
      <c r="H3059" s="1106"/>
      <c r="M3059" s="1566"/>
    </row>
    <row r="3060" spans="2:13" hidden="1">
      <c r="B3060" s="1543"/>
      <c r="C3060" s="1332" t="s">
        <v>673</v>
      </c>
      <c r="D3060" s="1539" t="s">
        <v>674</v>
      </c>
      <c r="E3060" s="1539" t="s">
        <v>675</v>
      </c>
      <c r="F3060" s="1532">
        <v>0.2</v>
      </c>
      <c r="G3060" s="1104">
        <f>DUB!$I$10</f>
        <v>150000</v>
      </c>
      <c r="H3060" s="1106">
        <f>G3060*F3060</f>
        <v>30000</v>
      </c>
      <c r="M3060" s="1566"/>
    </row>
    <row r="3061" spans="2:13" hidden="1">
      <c r="B3061" s="1543"/>
      <c r="C3061" s="1332" t="s">
        <v>816</v>
      </c>
      <c r="D3061" s="1539" t="s">
        <v>681</v>
      </c>
      <c r="E3061" s="1539" t="s">
        <v>675</v>
      </c>
      <c r="F3061" s="1532">
        <v>0.1</v>
      </c>
      <c r="G3061" s="1104">
        <f>DUB!$I$11</f>
        <v>187000</v>
      </c>
      <c r="H3061" s="1106">
        <f>G3061*F3061</f>
        <v>18700</v>
      </c>
      <c r="M3061" s="1566"/>
    </row>
    <row r="3062" spans="2:13" hidden="1">
      <c r="B3062" s="1543"/>
      <c r="C3062" s="1332" t="s">
        <v>680</v>
      </c>
      <c r="D3062" s="1539" t="s">
        <v>681</v>
      </c>
      <c r="E3062" s="1539" t="s">
        <v>675</v>
      </c>
      <c r="F3062" s="1532">
        <v>0.01</v>
      </c>
      <c r="G3062" s="1104">
        <f>DUB!$I$13</f>
        <v>240000</v>
      </c>
      <c r="H3062" s="1106">
        <f>G3062*F3062</f>
        <v>2400</v>
      </c>
      <c r="M3062" s="1566"/>
    </row>
    <row r="3063" spans="2:13" hidden="1">
      <c r="B3063" s="1543"/>
      <c r="C3063" s="1332" t="s">
        <v>683</v>
      </c>
      <c r="D3063" s="1539" t="s">
        <v>684</v>
      </c>
      <c r="E3063" s="1539" t="s">
        <v>675</v>
      </c>
      <c r="F3063" s="1532">
        <v>0.01</v>
      </c>
      <c r="G3063" s="1104">
        <f>DUB!$I$12</f>
        <v>225000</v>
      </c>
      <c r="H3063" s="1106">
        <f>G3063*F3063</f>
        <v>2250</v>
      </c>
      <c r="M3063" s="1566"/>
    </row>
    <row r="3064" spans="2:13" hidden="1">
      <c r="B3064" s="1543"/>
      <c r="C3064" s="1332"/>
      <c r="D3064" s="1539"/>
      <c r="E3064" s="1539"/>
      <c r="F3064" s="2080" t="s">
        <v>685</v>
      </c>
      <c r="G3064" s="2081"/>
      <c r="H3064" s="1106">
        <f>SUM(H3060:H3063)</f>
        <v>53350</v>
      </c>
      <c r="M3064" s="1566"/>
    </row>
    <row r="3065" spans="2:13" hidden="1">
      <c r="B3065" s="1543" t="s">
        <v>686</v>
      </c>
      <c r="C3065" s="1332" t="s">
        <v>687</v>
      </c>
      <c r="D3065" s="1539"/>
      <c r="E3065" s="1539"/>
      <c r="F3065" s="1532"/>
      <c r="G3065" s="1136"/>
      <c r="H3065" s="1106"/>
      <c r="M3065" s="1566"/>
    </row>
    <row r="3066" spans="2:13" hidden="1">
      <c r="B3066" s="1543"/>
      <c r="C3066" s="1332" t="s">
        <v>4374</v>
      </c>
      <c r="D3066" s="1331"/>
      <c r="E3066" s="1331" t="s">
        <v>690</v>
      </c>
      <c r="F3066" s="1334">
        <v>0.26</v>
      </c>
      <c r="G3066" s="1104">
        <f>DUB!$I$312</f>
        <v>32850</v>
      </c>
      <c r="H3066" s="1106">
        <f>G3066*F3066</f>
        <v>8541</v>
      </c>
      <c r="I3066" s="494">
        <v>180000</v>
      </c>
      <c r="L3066" s="1557">
        <f>I3066/5</f>
        <v>36000</v>
      </c>
      <c r="M3066" s="1566"/>
    </row>
    <row r="3067" spans="2:13" hidden="1">
      <c r="B3067" s="1543"/>
      <c r="C3067" s="1332" t="s">
        <v>4375</v>
      </c>
      <c r="D3067" s="1331"/>
      <c r="E3067" s="1331" t="s">
        <v>2647</v>
      </c>
      <c r="F3067" s="1334">
        <v>1.05</v>
      </c>
      <c r="G3067" s="1104">
        <f>DUB!$I$326</f>
        <v>28053</v>
      </c>
      <c r="H3067" s="1106">
        <f>G3067*F3067</f>
        <v>29455.65</v>
      </c>
      <c r="M3067" s="1566"/>
    </row>
    <row r="3068" spans="2:13" hidden="1">
      <c r="B3068" s="1543"/>
      <c r="C3068" s="1332"/>
      <c r="D3068" s="1539"/>
      <c r="E3068" s="1539"/>
      <c r="F3068" s="2080" t="s">
        <v>702</v>
      </c>
      <c r="G3068" s="2081"/>
      <c r="H3068" s="1106">
        <f>SUM(H3066:H3067)</f>
        <v>37996.65</v>
      </c>
      <c r="M3068" s="1566"/>
    </row>
    <row r="3069" spans="2:13" hidden="1">
      <c r="B3069" s="1543" t="s">
        <v>703</v>
      </c>
      <c r="C3069" s="1117" t="s">
        <v>3764</v>
      </c>
      <c r="D3069" s="1120"/>
      <c r="E3069" s="1120"/>
      <c r="F3069" s="1121"/>
      <c r="G3069" s="1122"/>
      <c r="H3069" s="1107">
        <f>H3064+H3068</f>
        <v>91346.65</v>
      </c>
      <c r="M3069" s="1566"/>
    </row>
    <row r="3070" spans="2:13" hidden="1">
      <c r="B3070" s="1543" t="s">
        <v>706</v>
      </c>
      <c r="C3070" s="1123" t="s">
        <v>876</v>
      </c>
      <c r="D3070" s="1124"/>
      <c r="E3070" s="1124"/>
      <c r="F3070" s="1545" t="s">
        <v>3873</v>
      </c>
      <c r="G3070" s="1122"/>
      <c r="H3070" s="1107">
        <f>H3069*0.15</f>
        <v>13701.997499999999</v>
      </c>
      <c r="M3070" s="1566"/>
    </row>
    <row r="3071" spans="2:13" hidden="1">
      <c r="B3071" s="1543" t="s">
        <v>708</v>
      </c>
      <c r="C3071" s="1117" t="s">
        <v>3765</v>
      </c>
      <c r="D3071" s="1120"/>
      <c r="E3071" s="1120"/>
      <c r="F3071" s="1121"/>
      <c r="G3071" s="1122"/>
      <c r="H3071" s="1107">
        <f>ROUND(SUM(H3069:H3070),2)</f>
        <v>105048.65</v>
      </c>
      <c r="M3071" s="1566"/>
    </row>
    <row r="3072" spans="2:13">
      <c r="B3072" s="1100" t="s">
        <v>4027</v>
      </c>
      <c r="C3072" s="1112" t="s">
        <v>2813</v>
      </c>
      <c r="D3072" s="1129"/>
      <c r="E3072" s="1129"/>
      <c r="F3072" s="1131"/>
      <c r="G3072" s="1132"/>
      <c r="H3072" s="1115"/>
      <c r="M3072" s="1566"/>
    </row>
    <row r="3073" spans="2:13">
      <c r="B3073" s="1100" t="s">
        <v>4028</v>
      </c>
      <c r="C3073" s="1112" t="s">
        <v>5140</v>
      </c>
      <c r="D3073" s="1129"/>
      <c r="E3073" s="1129"/>
      <c r="F3073" s="1131"/>
      <c r="G3073" s="1132"/>
      <c r="H3073" s="1115"/>
      <c r="M3073" s="1566"/>
    </row>
    <row r="3074" spans="2:13" s="507" customFormat="1" ht="24.9" customHeight="1">
      <c r="B3074" s="1101" t="s">
        <v>1003</v>
      </c>
      <c r="C3074" s="1116" t="s">
        <v>1004</v>
      </c>
      <c r="D3074" s="1101" t="s">
        <v>1005</v>
      </c>
      <c r="E3074" s="1116" t="s">
        <v>1006</v>
      </c>
      <c r="F3074" s="1139" t="s">
        <v>1007</v>
      </c>
      <c r="G3074" s="1103" t="s">
        <v>2637</v>
      </c>
      <c r="H3074" s="1216" t="s">
        <v>2638</v>
      </c>
      <c r="I3074" s="1834"/>
      <c r="J3074" s="1823" t="s">
        <v>5335</v>
      </c>
      <c r="K3074" s="1824" t="s">
        <v>5336</v>
      </c>
      <c r="L3074" s="1824" t="s">
        <v>5337</v>
      </c>
      <c r="M3074" s="1825" t="s">
        <v>5338</v>
      </c>
    </row>
    <row r="3075" spans="2:13">
      <c r="B3075" s="1330" t="s">
        <v>671</v>
      </c>
      <c r="C3075" s="1118" t="s">
        <v>672</v>
      </c>
      <c r="D3075" s="1331"/>
      <c r="E3075" s="1539"/>
      <c r="F3075" s="1532"/>
      <c r="G3075" s="1136"/>
      <c r="H3075" s="1217"/>
      <c r="J3075" s="1597"/>
      <c r="K3075" s="1597"/>
      <c r="L3075" s="1597"/>
      <c r="M3075" s="1826"/>
    </row>
    <row r="3076" spans="2:13">
      <c r="B3076" s="1330"/>
      <c r="C3076" s="1118" t="s">
        <v>673</v>
      </c>
      <c r="D3076" s="1331" t="s">
        <v>674</v>
      </c>
      <c r="E3076" s="1539" t="s">
        <v>675</v>
      </c>
      <c r="F3076" s="1532">
        <v>0.25</v>
      </c>
      <c r="G3076" s="1104">
        <f>DUB!$I$10</f>
        <v>150000</v>
      </c>
      <c r="H3076" s="1106">
        <f>G3076*F3076</f>
        <v>37500</v>
      </c>
      <c r="J3076" s="1609" t="s">
        <v>5339</v>
      </c>
      <c r="K3076" s="1611">
        <v>1</v>
      </c>
      <c r="L3076" s="1608" t="s">
        <v>5340</v>
      </c>
      <c r="M3076" s="1827">
        <f>H3076*K3076</f>
        <v>37500</v>
      </c>
    </row>
    <row r="3077" spans="2:13">
      <c r="B3077" s="1330"/>
      <c r="C3077" s="1118" t="s">
        <v>816</v>
      </c>
      <c r="D3077" s="1331" t="s">
        <v>678</v>
      </c>
      <c r="E3077" s="1539" t="s">
        <v>675</v>
      </c>
      <c r="F3077" s="1532">
        <v>0.125</v>
      </c>
      <c r="G3077" s="1104">
        <f>DUB!$I$11</f>
        <v>187000</v>
      </c>
      <c r="H3077" s="1106">
        <f>G3077*F3077</f>
        <v>23375</v>
      </c>
      <c r="J3077" s="1609" t="s">
        <v>5339</v>
      </c>
      <c r="K3077" s="1611">
        <v>1</v>
      </c>
      <c r="L3077" s="1608" t="s">
        <v>5340</v>
      </c>
      <c r="M3077" s="1827">
        <f t="shared" ref="M3077" si="82">H3077*K3077</f>
        <v>23375</v>
      </c>
    </row>
    <row r="3078" spans="2:13">
      <c r="B3078" s="1330"/>
      <c r="C3078" s="1118" t="s">
        <v>751</v>
      </c>
      <c r="D3078" s="1331" t="s">
        <v>681</v>
      </c>
      <c r="E3078" s="1539" t="s">
        <v>675</v>
      </c>
      <c r="F3078" s="1532">
        <v>1.2999999999999999E-2</v>
      </c>
      <c r="G3078" s="1104">
        <f>DUB!$I$13</f>
        <v>240000</v>
      </c>
      <c r="H3078" s="1106">
        <f>G3078*F3078</f>
        <v>3120</v>
      </c>
      <c r="J3078" s="1609" t="s">
        <v>5339</v>
      </c>
      <c r="K3078" s="1611">
        <v>1</v>
      </c>
      <c r="L3078" s="1608" t="s">
        <v>5340</v>
      </c>
      <c r="M3078" s="1827">
        <f>H3078*K3078</f>
        <v>3120</v>
      </c>
    </row>
    <row r="3079" spans="2:13">
      <c r="B3079" s="1330"/>
      <c r="C3079" s="1118" t="s">
        <v>683</v>
      </c>
      <c r="D3079" s="1331" t="s">
        <v>684</v>
      </c>
      <c r="E3079" s="1539" t="s">
        <v>675</v>
      </c>
      <c r="F3079" s="1532">
        <v>1.2999999999999999E-2</v>
      </c>
      <c r="G3079" s="1104">
        <f>DUB!$I$12</f>
        <v>225000</v>
      </c>
      <c r="H3079" s="1106">
        <f>G3079*F3079</f>
        <v>2925</v>
      </c>
      <c r="J3079" s="1609" t="s">
        <v>5339</v>
      </c>
      <c r="K3079" s="1611">
        <v>1</v>
      </c>
      <c r="L3079" s="1608" t="s">
        <v>5340</v>
      </c>
      <c r="M3079" s="1827">
        <f t="shared" ref="M3079" si="83">H3079*K3079</f>
        <v>2925</v>
      </c>
    </row>
    <row r="3080" spans="2:13">
      <c r="B3080" s="1330"/>
      <c r="C3080" s="1118"/>
      <c r="D3080" s="1331"/>
      <c r="E3080" s="1539"/>
      <c r="F3080" s="2080" t="s">
        <v>685</v>
      </c>
      <c r="G3080" s="2081"/>
      <c r="H3080" s="1217">
        <f>SUM(H3076:H3079)</f>
        <v>66920</v>
      </c>
      <c r="J3080" s="1597"/>
      <c r="K3080" s="1597"/>
      <c r="L3080" s="1597"/>
      <c r="M3080" s="1107">
        <f>SUM(M3076:M3079)</f>
        <v>66920</v>
      </c>
    </row>
    <row r="3081" spans="2:13">
      <c r="B3081" s="1330" t="s">
        <v>686</v>
      </c>
      <c r="C3081" s="1118" t="s">
        <v>687</v>
      </c>
      <c r="D3081" s="1331"/>
      <c r="E3081" s="1539"/>
      <c r="F3081" s="1532"/>
      <c r="G3081" s="1136"/>
      <c r="H3081" s="1217"/>
      <c r="J3081" s="1597"/>
      <c r="K3081" s="1597"/>
      <c r="L3081" s="1597"/>
      <c r="M3081" s="1826"/>
    </row>
    <row r="3082" spans="2:13">
      <c r="B3082" s="1330"/>
      <c r="C3082" s="1118" t="s">
        <v>5163</v>
      </c>
      <c r="D3082" s="1331"/>
      <c r="E3082" s="1539" t="s">
        <v>743</v>
      </c>
      <c r="F3082" s="1532">
        <v>6.63</v>
      </c>
      <c r="G3082" s="1136">
        <f>DUB!$I$173</f>
        <v>9500</v>
      </c>
      <c r="H3082" s="1106">
        <f>G3082*F3082</f>
        <v>62985</v>
      </c>
      <c r="J3082" s="1634" t="s">
        <v>4925</v>
      </c>
      <c r="K3082" s="1611">
        <v>0.70399999999999996</v>
      </c>
      <c r="L3082" s="1607" t="s">
        <v>5343</v>
      </c>
      <c r="M3082" s="1827">
        <f>H3082*K3082</f>
        <v>44341.439999999995</v>
      </c>
    </row>
    <row r="3083" spans="2:13">
      <c r="B3083" s="1330"/>
      <c r="C3083" s="1118" t="s">
        <v>818</v>
      </c>
      <c r="D3083" s="1331"/>
      <c r="E3083" s="1539" t="s">
        <v>773</v>
      </c>
      <c r="F3083" s="1532">
        <v>1.1399999999999999</v>
      </c>
      <c r="G3083" s="1104">
        <f>DUB!$I$65</f>
        <v>1575</v>
      </c>
      <c r="H3083" s="1106">
        <f>G3083*F3083</f>
        <v>1795.4999999999998</v>
      </c>
      <c r="J3083" s="1642" t="s">
        <v>4925</v>
      </c>
      <c r="K3083" s="1611">
        <v>0.97009999999999996</v>
      </c>
      <c r="L3083" s="1607" t="s">
        <v>5343</v>
      </c>
      <c r="M3083" s="1827">
        <f t="shared" ref="M3083:M3084" si="84">H3083*K3083</f>
        <v>1741.8145499999996</v>
      </c>
    </row>
    <row r="3084" spans="2:13">
      <c r="B3084" s="1330"/>
      <c r="C3084" s="1118" t="s">
        <v>739</v>
      </c>
      <c r="D3084" s="1331"/>
      <c r="E3084" s="1539" t="s">
        <v>881</v>
      </c>
      <c r="F3084" s="1532">
        <v>4.4999999999999998E-2</v>
      </c>
      <c r="G3084" s="1104">
        <f>DUB!$I$59</f>
        <v>208463</v>
      </c>
      <c r="H3084" s="1106">
        <f>G3084*F3084</f>
        <v>9380.8349999999991</v>
      </c>
      <c r="J3084" s="1607" t="s">
        <v>5341</v>
      </c>
      <c r="K3084" s="1611">
        <v>1</v>
      </c>
      <c r="L3084" s="1607" t="s">
        <v>5341</v>
      </c>
      <c r="M3084" s="1827">
        <f t="shared" si="84"/>
        <v>9380.8349999999991</v>
      </c>
    </row>
    <row r="3085" spans="2:13">
      <c r="B3085" s="1330"/>
      <c r="C3085" s="1118"/>
      <c r="D3085" s="1331"/>
      <c r="E3085" s="1539"/>
      <c r="F3085" s="2080" t="s">
        <v>702</v>
      </c>
      <c r="G3085" s="2081"/>
      <c r="H3085" s="1217">
        <f>SUM(H3082:H3084)</f>
        <v>74161.334999999992</v>
      </c>
      <c r="J3085" s="1597"/>
      <c r="K3085" s="1597"/>
      <c r="L3085" s="1597"/>
      <c r="M3085" s="1106">
        <f>SUM(M3082:M3084)</f>
        <v>55464.089549999997</v>
      </c>
    </row>
    <row r="3086" spans="2:13" s="496" customFormat="1">
      <c r="B3086" s="1330" t="s">
        <v>703</v>
      </c>
      <c r="C3086" s="1117" t="s">
        <v>3764</v>
      </c>
      <c r="D3086" s="1120"/>
      <c r="E3086" s="1120"/>
      <c r="F3086" s="1121"/>
      <c r="G3086" s="1122"/>
      <c r="H3086" s="1218">
        <f>H3080+H3085</f>
        <v>141081.33499999999</v>
      </c>
      <c r="J3086" s="1600"/>
      <c r="K3086" s="1633">
        <f>M3086/H3086</f>
        <v>0.86747187039306095</v>
      </c>
      <c r="L3086" s="1600"/>
      <c r="M3086" s="1107">
        <f>M3080+M3085</f>
        <v>122384.08955</v>
      </c>
    </row>
    <row r="3087" spans="2:13" s="496" customFormat="1">
      <c r="B3087" s="1330" t="s">
        <v>706</v>
      </c>
      <c r="C3087" s="1123" t="s">
        <v>876</v>
      </c>
      <c r="D3087" s="1124"/>
      <c r="E3087" s="1124"/>
      <c r="F3087" s="1545" t="s">
        <v>3873</v>
      </c>
      <c r="G3087" s="1122"/>
      <c r="H3087" s="1107">
        <f>H3086*0.15</f>
        <v>21162.200249999998</v>
      </c>
      <c r="J3087" s="1600"/>
      <c r="K3087" s="1600"/>
      <c r="L3087" s="1600"/>
      <c r="M3087" s="1107">
        <f>M3086*0.15</f>
        <v>18357.613432499998</v>
      </c>
    </row>
    <row r="3088" spans="2:13" s="496" customFormat="1">
      <c r="B3088" s="1330" t="s">
        <v>708</v>
      </c>
      <c r="C3088" s="1117" t="s">
        <v>3765</v>
      </c>
      <c r="D3088" s="1120"/>
      <c r="E3088" s="1120"/>
      <c r="F3088" s="1121"/>
      <c r="G3088" s="1122"/>
      <c r="H3088" s="1107">
        <f>ROUND(SUM(H3086:H3087),2)</f>
        <v>162243.54</v>
      </c>
      <c r="I3088" s="529">
        <f>SUM(H3086:H3087)</f>
        <v>162243.53524999999</v>
      </c>
      <c r="J3088" s="1636"/>
      <c r="K3088" s="1636"/>
      <c r="L3088" s="1637"/>
      <c r="M3088" s="1919">
        <f>ROUND(SUM(M3086:M3087),2)</f>
        <v>140741.70000000001</v>
      </c>
    </row>
    <row r="3089" spans="2:13">
      <c r="F3089" s="1172"/>
      <c r="G3089" s="1173"/>
      <c r="H3089" s="1133"/>
      <c r="M3089" s="1566"/>
    </row>
    <row r="3090" spans="2:13" hidden="1">
      <c r="B3090" s="1100" t="s">
        <v>4029</v>
      </c>
      <c r="C3090" s="1232" t="s">
        <v>2812</v>
      </c>
      <c r="F3090" s="1172"/>
      <c r="G3090" s="1173"/>
      <c r="H3090" s="1133"/>
      <c r="M3090" s="1566"/>
    </row>
    <row r="3091" spans="2:13" s="507" customFormat="1" ht="24.9" hidden="1" customHeight="1">
      <c r="B3091" s="1748" t="s">
        <v>1003</v>
      </c>
      <c r="C3091" s="1101" t="s">
        <v>1004</v>
      </c>
      <c r="D3091" s="1101" t="s">
        <v>1005</v>
      </c>
      <c r="E3091" s="1101" t="s">
        <v>1006</v>
      </c>
      <c r="F3091" s="1102" t="s">
        <v>1007</v>
      </c>
      <c r="G3091" s="1109" t="s">
        <v>2637</v>
      </c>
      <c r="H3091" s="1110" t="s">
        <v>2638</v>
      </c>
      <c r="J3091" s="1625"/>
      <c r="K3091" s="1625"/>
      <c r="L3091" s="1625"/>
      <c r="M3091" s="1570"/>
    </row>
    <row r="3092" spans="2:13" hidden="1">
      <c r="B3092" s="1543" t="s">
        <v>671</v>
      </c>
      <c r="C3092" s="1332" t="s">
        <v>672</v>
      </c>
      <c r="D3092" s="1331"/>
      <c r="E3092" s="1331"/>
      <c r="F3092" s="1334"/>
      <c r="G3092" s="1104"/>
      <c r="H3092" s="1106"/>
      <c r="M3092" s="1566"/>
    </row>
    <row r="3093" spans="2:13" hidden="1">
      <c r="B3093" s="1543"/>
      <c r="C3093" s="1332" t="s">
        <v>673</v>
      </c>
      <c r="D3093" s="1331" t="s">
        <v>674</v>
      </c>
      <c r="E3093" s="1331" t="s">
        <v>675</v>
      </c>
      <c r="F3093" s="1334">
        <v>0.25</v>
      </c>
      <c r="G3093" s="1104">
        <f>DUB!$I$10</f>
        <v>150000</v>
      </c>
      <c r="H3093" s="1106">
        <f>G3093*F3093</f>
        <v>37500</v>
      </c>
      <c r="M3093" s="1566"/>
    </row>
    <row r="3094" spans="2:13" hidden="1">
      <c r="B3094" s="1543"/>
      <c r="C3094" s="1332" t="s">
        <v>816</v>
      </c>
      <c r="D3094" s="1331" t="s">
        <v>678</v>
      </c>
      <c r="E3094" s="1331" t="s">
        <v>675</v>
      </c>
      <c r="F3094" s="1334">
        <v>0.125</v>
      </c>
      <c r="G3094" s="1104">
        <f>DUB!$I$11</f>
        <v>187000</v>
      </c>
      <c r="H3094" s="1106">
        <f>G3094*F3094</f>
        <v>23375</v>
      </c>
      <c r="M3094" s="1566"/>
    </row>
    <row r="3095" spans="2:13" hidden="1">
      <c r="B3095" s="1543"/>
      <c r="C3095" s="1332" t="s">
        <v>751</v>
      </c>
      <c r="D3095" s="1331" t="s">
        <v>681</v>
      </c>
      <c r="E3095" s="1331" t="s">
        <v>675</v>
      </c>
      <c r="F3095" s="1334">
        <v>1.2999999999999999E-2</v>
      </c>
      <c r="G3095" s="1104">
        <f>DUB!$I$13</f>
        <v>240000</v>
      </c>
      <c r="H3095" s="1106">
        <f>G3095*F3095</f>
        <v>3120</v>
      </c>
      <c r="M3095" s="1566"/>
    </row>
    <row r="3096" spans="2:13" hidden="1">
      <c r="B3096" s="1543"/>
      <c r="C3096" s="1332" t="s">
        <v>683</v>
      </c>
      <c r="D3096" s="1331" t="s">
        <v>684</v>
      </c>
      <c r="E3096" s="1331" t="s">
        <v>675</v>
      </c>
      <c r="F3096" s="1334">
        <v>1.2999999999999999E-2</v>
      </c>
      <c r="G3096" s="1104">
        <f>DUB!$I$12</f>
        <v>225000</v>
      </c>
      <c r="H3096" s="1106">
        <f>G3096*F3096</f>
        <v>2925</v>
      </c>
      <c r="M3096" s="1566"/>
    </row>
    <row r="3097" spans="2:13" hidden="1">
      <c r="B3097" s="1543"/>
      <c r="C3097" s="1332"/>
      <c r="D3097" s="1331"/>
      <c r="E3097" s="1331"/>
      <c r="F3097" s="2074" t="s">
        <v>685</v>
      </c>
      <c r="G3097" s="2074"/>
      <c r="H3097" s="1106">
        <f>SUM(H3093:H3096)</f>
        <v>66920</v>
      </c>
      <c r="M3097" s="1566"/>
    </row>
    <row r="3098" spans="2:13" hidden="1">
      <c r="B3098" s="1543" t="s">
        <v>686</v>
      </c>
      <c r="C3098" s="1332" t="s">
        <v>687</v>
      </c>
      <c r="D3098" s="1331"/>
      <c r="E3098" s="1331"/>
      <c r="F3098" s="1334"/>
      <c r="G3098" s="1104"/>
      <c r="H3098" s="1106"/>
      <c r="M3098" s="1566"/>
    </row>
    <row r="3099" spans="2:13" hidden="1">
      <c r="B3099" s="1543"/>
      <c r="C3099" s="1332" t="s">
        <v>1092</v>
      </c>
      <c r="D3099" s="1331"/>
      <c r="E3099" s="1331" t="s">
        <v>743</v>
      </c>
      <c r="F3099" s="1334">
        <v>11.87</v>
      </c>
      <c r="G3099" s="1104">
        <f>DUB!$I$174</f>
        <v>4284</v>
      </c>
      <c r="H3099" s="1106">
        <f>G3099*F3099</f>
        <v>50851.079999999994</v>
      </c>
      <c r="M3099" s="1566"/>
    </row>
    <row r="3100" spans="2:13" hidden="1">
      <c r="B3100" s="1543"/>
      <c r="C3100" s="1332" t="s">
        <v>818</v>
      </c>
      <c r="D3100" s="1331"/>
      <c r="E3100" s="1331" t="s">
        <v>773</v>
      </c>
      <c r="F3100" s="1334">
        <v>10</v>
      </c>
      <c r="G3100" s="1104">
        <f>DUB!$I$65</f>
        <v>1575</v>
      </c>
      <c r="H3100" s="1106">
        <f>G3100*F3100</f>
        <v>15750</v>
      </c>
      <c r="M3100" s="1566"/>
    </row>
    <row r="3101" spans="2:13" hidden="1">
      <c r="B3101" s="1543"/>
      <c r="C3101" s="1332" t="s">
        <v>739</v>
      </c>
      <c r="D3101" s="1331"/>
      <c r="E3101" s="1331" t="s">
        <v>881</v>
      </c>
      <c r="F3101" s="1334">
        <v>4.4999999999999998E-2</v>
      </c>
      <c r="G3101" s="1104">
        <f>DUB!$I$59</f>
        <v>208463</v>
      </c>
      <c r="H3101" s="1106">
        <f>G3101*F3101</f>
        <v>9380.8349999999991</v>
      </c>
      <c r="M3101" s="1566"/>
    </row>
    <row r="3102" spans="2:13" hidden="1">
      <c r="B3102" s="1543"/>
      <c r="C3102" s="1332"/>
      <c r="D3102" s="1331"/>
      <c r="E3102" s="1331"/>
      <c r="F3102" s="2090" t="s">
        <v>702</v>
      </c>
      <c r="G3102" s="2090"/>
      <c r="H3102" s="1106">
        <f>SUM(H3099:H3101)</f>
        <v>75981.914999999979</v>
      </c>
      <c r="M3102" s="1566"/>
    </row>
    <row r="3103" spans="2:13" s="496" customFormat="1" hidden="1">
      <c r="B3103" s="1543" t="s">
        <v>703</v>
      </c>
      <c r="C3103" s="2089" t="s">
        <v>3764</v>
      </c>
      <c r="D3103" s="2089"/>
      <c r="E3103" s="2089"/>
      <c r="F3103" s="2089"/>
      <c r="G3103" s="2089"/>
      <c r="H3103" s="1107">
        <f>H3097+H3102</f>
        <v>142901.91499999998</v>
      </c>
      <c r="J3103" s="1559"/>
      <c r="K3103" s="1559"/>
      <c r="L3103" s="1559"/>
      <c r="M3103" s="1635"/>
    </row>
    <row r="3104" spans="2:13" s="496" customFormat="1" hidden="1">
      <c r="B3104" s="1543" t="s">
        <v>706</v>
      </c>
      <c r="C3104" s="2076" t="s">
        <v>876</v>
      </c>
      <c r="D3104" s="2076"/>
      <c r="E3104" s="2076"/>
      <c r="F3104" s="2077" t="s">
        <v>3873</v>
      </c>
      <c r="G3104" s="2077"/>
      <c r="H3104" s="1107">
        <f>H3103*0.15</f>
        <v>21435.287249999998</v>
      </c>
      <c r="J3104" s="1559"/>
      <c r="K3104" s="1559"/>
      <c r="L3104" s="1559"/>
      <c r="M3104" s="1635"/>
    </row>
    <row r="3105" spans="2:13" s="496" customFormat="1" hidden="1">
      <c r="B3105" s="1543" t="s">
        <v>708</v>
      </c>
      <c r="C3105" s="2078" t="s">
        <v>3765</v>
      </c>
      <c r="D3105" s="2078"/>
      <c r="E3105" s="2078"/>
      <c r="F3105" s="2078"/>
      <c r="G3105" s="2078"/>
      <c r="H3105" s="1107">
        <f>ROUND(SUM(H3103:H3104),2)</f>
        <v>164337.20000000001</v>
      </c>
      <c r="I3105" s="506">
        <f>SUM(H3103:H3104)</f>
        <v>164337.20224999997</v>
      </c>
      <c r="J3105" s="1561"/>
      <c r="K3105" s="1561"/>
      <c r="L3105" s="1559"/>
      <c r="M3105" s="1635"/>
    </row>
    <row r="3106" spans="2:13" hidden="1">
      <c r="B3106" s="1143"/>
      <c r="C3106" s="1144"/>
      <c r="D3106" s="1143"/>
      <c r="E3106" s="1143"/>
      <c r="F3106" s="1145"/>
      <c r="G3106" s="1146"/>
      <c r="H3106" s="1147"/>
      <c r="M3106" s="1566"/>
    </row>
    <row r="3107" spans="2:13" hidden="1">
      <c r="B3107" s="1100" t="s">
        <v>4030</v>
      </c>
      <c r="C3107" s="1112" t="s">
        <v>2811</v>
      </c>
      <c r="D3107" s="1129"/>
      <c r="E3107" s="1129"/>
      <c r="F3107" s="1131"/>
      <c r="G3107" s="1132"/>
      <c r="H3107" s="1115"/>
      <c r="M3107" s="1566"/>
    </row>
    <row r="3108" spans="2:13" s="507" customFormat="1" ht="24.9" hidden="1" customHeight="1">
      <c r="B3108" s="1748" t="s">
        <v>1003</v>
      </c>
      <c r="C3108" s="1101" t="s">
        <v>1004</v>
      </c>
      <c r="D3108" s="1101" t="s">
        <v>1005</v>
      </c>
      <c r="E3108" s="1101" t="s">
        <v>1006</v>
      </c>
      <c r="F3108" s="1102" t="s">
        <v>1007</v>
      </c>
      <c r="G3108" s="1109" t="s">
        <v>2637</v>
      </c>
      <c r="H3108" s="1110" t="s">
        <v>2638</v>
      </c>
      <c r="J3108" s="1625"/>
      <c r="K3108" s="1625"/>
      <c r="L3108" s="1625"/>
      <c r="M3108" s="1570"/>
    </row>
    <row r="3109" spans="2:13" hidden="1">
      <c r="B3109" s="1543" t="s">
        <v>671</v>
      </c>
      <c r="C3109" s="1332" t="s">
        <v>672</v>
      </c>
      <c r="D3109" s="1331"/>
      <c r="E3109" s="1331"/>
      <c r="F3109" s="1334"/>
      <c r="G3109" s="1104"/>
      <c r="H3109" s="1106"/>
      <c r="M3109" s="1566"/>
    </row>
    <row r="3110" spans="2:13" hidden="1">
      <c r="B3110" s="1543"/>
      <c r="C3110" s="1332" t="s">
        <v>673</v>
      </c>
      <c r="D3110" s="1331" t="s">
        <v>674</v>
      </c>
      <c r="E3110" s="1331" t="s">
        <v>675</v>
      </c>
      <c r="F3110" s="1334">
        <v>0.27</v>
      </c>
      <c r="G3110" s="1104">
        <f>DUB!$I$10</f>
        <v>150000</v>
      </c>
      <c r="H3110" s="1106">
        <f>G3110*F3110</f>
        <v>40500</v>
      </c>
      <c r="M3110" s="1566"/>
    </row>
    <row r="3111" spans="2:13" hidden="1">
      <c r="B3111" s="1543"/>
      <c r="C3111" s="1332" t="s">
        <v>816</v>
      </c>
      <c r="D3111" s="1331" t="s">
        <v>678</v>
      </c>
      <c r="E3111" s="1331" t="s">
        <v>675</v>
      </c>
      <c r="F3111" s="1334">
        <v>0.13500000000000001</v>
      </c>
      <c r="G3111" s="1104">
        <f>DUB!$I$11</f>
        <v>187000</v>
      </c>
      <c r="H3111" s="1106">
        <f>G3111*F3111</f>
        <v>25245</v>
      </c>
      <c r="M3111" s="1566"/>
    </row>
    <row r="3112" spans="2:13" hidden="1">
      <c r="B3112" s="1543"/>
      <c r="C3112" s="1332" t="s">
        <v>751</v>
      </c>
      <c r="D3112" s="1331" t="s">
        <v>681</v>
      </c>
      <c r="E3112" s="1331" t="s">
        <v>675</v>
      </c>
      <c r="F3112" s="1334">
        <v>1.4E-2</v>
      </c>
      <c r="G3112" s="1104">
        <f>DUB!$I$13</f>
        <v>240000</v>
      </c>
      <c r="H3112" s="1106">
        <f>G3112*F3112</f>
        <v>3360</v>
      </c>
      <c r="M3112" s="1566"/>
    </row>
    <row r="3113" spans="2:13" hidden="1">
      <c r="B3113" s="1543"/>
      <c r="C3113" s="1332" t="s">
        <v>683</v>
      </c>
      <c r="D3113" s="1331" t="s">
        <v>684</v>
      </c>
      <c r="E3113" s="1331" t="s">
        <v>675</v>
      </c>
      <c r="F3113" s="1334">
        <v>1.4E-2</v>
      </c>
      <c r="G3113" s="1104">
        <f>DUB!$I$12</f>
        <v>225000</v>
      </c>
      <c r="H3113" s="1106">
        <f>G3113*F3113</f>
        <v>3150</v>
      </c>
      <c r="M3113" s="1566"/>
    </row>
    <row r="3114" spans="2:13" hidden="1">
      <c r="B3114" s="1543"/>
      <c r="C3114" s="1332"/>
      <c r="D3114" s="1331"/>
      <c r="E3114" s="1331"/>
      <c r="F3114" s="2074" t="s">
        <v>685</v>
      </c>
      <c r="G3114" s="2074"/>
      <c r="H3114" s="1106">
        <f>SUM(H3110:H3113)</f>
        <v>72255</v>
      </c>
      <c r="M3114" s="1566"/>
    </row>
    <row r="3115" spans="2:13" hidden="1">
      <c r="B3115" s="1543" t="s">
        <v>686</v>
      </c>
      <c r="C3115" s="1332" t="s">
        <v>687</v>
      </c>
      <c r="D3115" s="1331"/>
      <c r="E3115" s="1331"/>
      <c r="F3115" s="1334"/>
      <c r="G3115" s="1104"/>
      <c r="H3115" s="1106"/>
      <c r="M3115" s="1566"/>
    </row>
    <row r="3116" spans="2:13" hidden="1">
      <c r="B3116" s="1543"/>
      <c r="C3116" s="1332" t="s">
        <v>1092</v>
      </c>
      <c r="D3116" s="1331"/>
      <c r="E3116" s="1331" t="s">
        <v>743</v>
      </c>
      <c r="F3116" s="1334">
        <v>26.5</v>
      </c>
      <c r="G3116" s="1104">
        <f>DUB!$I$172</f>
        <v>2142</v>
      </c>
      <c r="H3116" s="1106">
        <f>G3116*F3116</f>
        <v>56763</v>
      </c>
      <c r="M3116" s="1566"/>
    </row>
    <row r="3117" spans="2:13" hidden="1">
      <c r="B3117" s="1543"/>
      <c r="C3117" s="1332" t="s">
        <v>818</v>
      </c>
      <c r="D3117" s="1331"/>
      <c r="E3117" s="1331" t="s">
        <v>773</v>
      </c>
      <c r="F3117" s="1334">
        <v>10.4</v>
      </c>
      <c r="G3117" s="1104">
        <f>DUB!$I$65</f>
        <v>1575</v>
      </c>
      <c r="H3117" s="1106">
        <f>G3117*F3117</f>
        <v>16380</v>
      </c>
      <c r="M3117" s="1566"/>
    </row>
    <row r="3118" spans="2:13" hidden="1">
      <c r="B3118" s="1543"/>
      <c r="C3118" s="1332" t="s">
        <v>739</v>
      </c>
      <c r="D3118" s="1331"/>
      <c r="E3118" s="1331" t="s">
        <v>881</v>
      </c>
      <c r="F3118" s="1334">
        <v>4.4999999999999998E-2</v>
      </c>
      <c r="G3118" s="1104">
        <f>DUB!$I$59</f>
        <v>208463</v>
      </c>
      <c r="H3118" s="1106">
        <f>G3118*F3118</f>
        <v>9380.8349999999991</v>
      </c>
      <c r="M3118" s="1566"/>
    </row>
    <row r="3119" spans="2:13" hidden="1">
      <c r="B3119" s="1543"/>
      <c r="C3119" s="1125"/>
      <c r="D3119" s="1333"/>
      <c r="E3119" s="1333"/>
      <c r="F3119" s="2074" t="s">
        <v>702</v>
      </c>
      <c r="G3119" s="2074"/>
      <c r="H3119" s="1106">
        <f>SUM(H3116:H3118)</f>
        <v>82523.834999999992</v>
      </c>
      <c r="M3119" s="1566"/>
    </row>
    <row r="3120" spans="2:13" s="496" customFormat="1" hidden="1">
      <c r="B3120" s="1543" t="s">
        <v>703</v>
      </c>
      <c r="C3120" s="2075" t="s">
        <v>3764</v>
      </c>
      <c r="D3120" s="2075"/>
      <c r="E3120" s="2075"/>
      <c r="F3120" s="2075"/>
      <c r="G3120" s="2075"/>
      <c r="H3120" s="1107">
        <f>H3114+H3119</f>
        <v>154778.83499999999</v>
      </c>
      <c r="J3120" s="1559"/>
      <c r="K3120" s="1559"/>
      <c r="L3120" s="1559"/>
      <c r="M3120" s="1635"/>
    </row>
    <row r="3121" spans="2:13" s="496" customFormat="1" hidden="1">
      <c r="B3121" s="1543" t="s">
        <v>706</v>
      </c>
      <c r="C3121" s="2076" t="s">
        <v>876</v>
      </c>
      <c r="D3121" s="2076"/>
      <c r="E3121" s="2076"/>
      <c r="F3121" s="2077" t="s">
        <v>3873</v>
      </c>
      <c r="G3121" s="2077"/>
      <c r="H3121" s="1107">
        <f>H3120*0.15</f>
        <v>23216.825249999998</v>
      </c>
      <c r="J3121" s="1559"/>
      <c r="K3121" s="1559"/>
      <c r="L3121" s="1559"/>
      <c r="M3121" s="1635"/>
    </row>
    <row r="3122" spans="2:13" s="496" customFormat="1" hidden="1">
      <c r="B3122" s="1543" t="s">
        <v>708</v>
      </c>
      <c r="C3122" s="2078" t="s">
        <v>3765</v>
      </c>
      <c r="D3122" s="2078"/>
      <c r="E3122" s="2078"/>
      <c r="F3122" s="2078"/>
      <c r="G3122" s="2078"/>
      <c r="H3122" s="1107">
        <f>ROUND(SUM(H3120:H3121),2)</f>
        <v>177995.66</v>
      </c>
      <c r="I3122" s="506">
        <f>SUM(H3120:H3121)</f>
        <v>177995.66024999999</v>
      </c>
      <c r="J3122" s="1561"/>
      <c r="K3122" s="1561"/>
      <c r="L3122" s="1559"/>
      <c r="M3122" s="1635"/>
    </row>
    <row r="3123" spans="2:13" hidden="1">
      <c r="F3123" s="1172"/>
      <c r="G3123" s="1173"/>
      <c r="H3123" s="1133"/>
      <c r="M3123" s="1566"/>
    </row>
    <row r="3124" spans="2:13" hidden="1">
      <c r="B3124" s="1100" t="s">
        <v>4031</v>
      </c>
      <c r="C3124" s="1232" t="s">
        <v>2810</v>
      </c>
      <c r="F3124" s="1172"/>
      <c r="G3124" s="1173"/>
      <c r="H3124" s="1133"/>
      <c r="M3124" s="1566"/>
    </row>
    <row r="3125" spans="2:13" s="528" customFormat="1" ht="24.9" hidden="1" customHeight="1">
      <c r="B3125" s="1748" t="s">
        <v>1003</v>
      </c>
      <c r="C3125" s="1219" t="s">
        <v>1004</v>
      </c>
      <c r="D3125" s="1101" t="s">
        <v>1005</v>
      </c>
      <c r="E3125" s="1101" t="s">
        <v>1006</v>
      </c>
      <c r="F3125" s="1102" t="s">
        <v>1007</v>
      </c>
      <c r="G3125" s="1109" t="s">
        <v>2637</v>
      </c>
      <c r="H3125" s="1110" t="s">
        <v>2638</v>
      </c>
      <c r="J3125" s="1687"/>
      <c r="K3125" s="1687"/>
      <c r="L3125" s="1687"/>
      <c r="M3125" s="1787"/>
    </row>
    <row r="3126" spans="2:13" hidden="1">
      <c r="B3126" s="1543" t="s">
        <v>671</v>
      </c>
      <c r="C3126" s="1332" t="s">
        <v>672</v>
      </c>
      <c r="D3126" s="1331"/>
      <c r="E3126" s="1331"/>
      <c r="F3126" s="1334"/>
      <c r="G3126" s="1104"/>
      <c r="H3126" s="1106"/>
      <c r="M3126" s="1566"/>
    </row>
    <row r="3127" spans="2:13" hidden="1">
      <c r="B3127" s="1543"/>
      <c r="C3127" s="1332" t="s">
        <v>673</v>
      </c>
      <c r="D3127" s="1331" t="s">
        <v>674</v>
      </c>
      <c r="E3127" s="1331" t="s">
        <v>675</v>
      </c>
      <c r="F3127" s="1334">
        <v>0.25</v>
      </c>
      <c r="G3127" s="1104">
        <f>DUB!$I$10</f>
        <v>150000</v>
      </c>
      <c r="H3127" s="1106">
        <f>G3127*F3127</f>
        <v>37500</v>
      </c>
      <c r="M3127" s="1566"/>
    </row>
    <row r="3128" spans="2:13" hidden="1">
      <c r="B3128" s="1543"/>
      <c r="C3128" s="1332" t="s">
        <v>816</v>
      </c>
      <c r="D3128" s="1331" t="s">
        <v>678</v>
      </c>
      <c r="E3128" s="1331" t="s">
        <v>675</v>
      </c>
      <c r="F3128" s="1334">
        <v>0.125</v>
      </c>
      <c r="G3128" s="1104">
        <f>DUB!$I$11</f>
        <v>187000</v>
      </c>
      <c r="H3128" s="1106">
        <f>G3128*F3128</f>
        <v>23375</v>
      </c>
      <c r="M3128" s="1566"/>
    </row>
    <row r="3129" spans="2:13" hidden="1">
      <c r="B3129" s="1543"/>
      <c r="C3129" s="1332" t="s">
        <v>751</v>
      </c>
      <c r="D3129" s="1331" t="s">
        <v>681</v>
      </c>
      <c r="E3129" s="1331" t="s">
        <v>675</v>
      </c>
      <c r="F3129" s="1334">
        <v>1.2999999999999999E-2</v>
      </c>
      <c r="G3129" s="1104">
        <f>DUB!$I$13</f>
        <v>240000</v>
      </c>
      <c r="H3129" s="1106">
        <f>G3129*F3129</f>
        <v>3120</v>
      </c>
      <c r="M3129" s="1566"/>
    </row>
    <row r="3130" spans="2:13" hidden="1">
      <c r="B3130" s="1543"/>
      <c r="C3130" s="1332" t="s">
        <v>683</v>
      </c>
      <c r="D3130" s="1331" t="s">
        <v>684</v>
      </c>
      <c r="E3130" s="1331" t="s">
        <v>675</v>
      </c>
      <c r="F3130" s="1334">
        <v>1.2999999999999999E-2</v>
      </c>
      <c r="G3130" s="1104">
        <f>DUB!$I$12</f>
        <v>225000</v>
      </c>
      <c r="H3130" s="1106">
        <f>G3130*F3130</f>
        <v>2925</v>
      </c>
      <c r="M3130" s="1566"/>
    </row>
    <row r="3131" spans="2:13" hidden="1">
      <c r="B3131" s="1543"/>
      <c r="C3131" s="1332"/>
      <c r="D3131" s="1331"/>
      <c r="E3131" s="1331"/>
      <c r="F3131" s="2074" t="s">
        <v>685</v>
      </c>
      <c r="G3131" s="2074"/>
      <c r="H3131" s="1106">
        <f>SUM(H3127:H3130)</f>
        <v>66920</v>
      </c>
      <c r="M3131" s="1566"/>
    </row>
    <row r="3132" spans="2:13" hidden="1">
      <c r="B3132" s="1543" t="s">
        <v>686</v>
      </c>
      <c r="C3132" s="1332" t="s">
        <v>687</v>
      </c>
      <c r="D3132" s="1331"/>
      <c r="E3132" s="1331"/>
      <c r="F3132" s="1334"/>
      <c r="G3132" s="1104"/>
      <c r="H3132" s="1106"/>
      <c r="M3132" s="1566"/>
    </row>
    <row r="3133" spans="2:13" hidden="1">
      <c r="B3133" s="1543"/>
      <c r="C3133" s="1332" t="s">
        <v>1099</v>
      </c>
      <c r="D3133" s="1331"/>
      <c r="E3133" s="1331" t="s">
        <v>743</v>
      </c>
      <c r="F3133" s="1334">
        <v>6.63</v>
      </c>
      <c r="G3133" s="1104">
        <f>DUB!$I$173</f>
        <v>9500</v>
      </c>
      <c r="H3133" s="1106">
        <f>G3133*F3133</f>
        <v>62985</v>
      </c>
      <c r="M3133" s="1566"/>
    </row>
    <row r="3134" spans="2:13" hidden="1">
      <c r="B3134" s="1543"/>
      <c r="C3134" s="1332" t="s">
        <v>818</v>
      </c>
      <c r="D3134" s="1331"/>
      <c r="E3134" s="1331" t="s">
        <v>773</v>
      </c>
      <c r="F3134" s="1334">
        <v>9.8000000000000007</v>
      </c>
      <c r="G3134" s="1104">
        <f>DUB!$I$65</f>
        <v>1575</v>
      </c>
      <c r="H3134" s="1106">
        <f>G3134*F3134</f>
        <v>15435.000000000002</v>
      </c>
      <c r="M3134" s="1566"/>
    </row>
    <row r="3135" spans="2:13" hidden="1">
      <c r="B3135" s="1543"/>
      <c r="C3135" s="1332" t="s">
        <v>1100</v>
      </c>
      <c r="D3135" s="1331"/>
      <c r="E3135" s="1331" t="s">
        <v>690</v>
      </c>
      <c r="F3135" s="1334">
        <v>1.3</v>
      </c>
      <c r="G3135" s="1104">
        <f>DUB!$I$62/40</f>
        <v>2750</v>
      </c>
      <c r="H3135" s="1106">
        <f>G3135*F3135</f>
        <v>3575</v>
      </c>
      <c r="M3135" s="1566"/>
    </row>
    <row r="3136" spans="2:13" hidden="1">
      <c r="B3136" s="1543"/>
      <c r="C3136" s="1332" t="s">
        <v>739</v>
      </c>
      <c r="D3136" s="1331"/>
      <c r="E3136" s="1331" t="s">
        <v>881</v>
      </c>
      <c r="F3136" s="1334">
        <v>4.4999999999999998E-2</v>
      </c>
      <c r="G3136" s="1104">
        <f>DUB!$I$59</f>
        <v>208463</v>
      </c>
      <c r="H3136" s="1106">
        <f>G3136*F3136</f>
        <v>9380.8349999999991</v>
      </c>
      <c r="M3136" s="1566"/>
    </row>
    <row r="3137" spans="2:13" hidden="1">
      <c r="B3137" s="1543"/>
      <c r="C3137" s="1125"/>
      <c r="D3137" s="1333"/>
      <c r="E3137" s="1333"/>
      <c r="F3137" s="2074" t="s">
        <v>702</v>
      </c>
      <c r="G3137" s="2074"/>
      <c r="H3137" s="1106">
        <f>SUM(H3133:H3136)</f>
        <v>91375.834999999992</v>
      </c>
      <c r="M3137" s="1566"/>
    </row>
    <row r="3138" spans="2:13" s="496" customFormat="1" hidden="1">
      <c r="B3138" s="1543" t="s">
        <v>703</v>
      </c>
      <c r="C3138" s="2075" t="s">
        <v>3764</v>
      </c>
      <c r="D3138" s="2075"/>
      <c r="E3138" s="2075"/>
      <c r="F3138" s="2075"/>
      <c r="G3138" s="2075"/>
      <c r="H3138" s="1107">
        <f>H3131+H3137</f>
        <v>158295.83499999999</v>
      </c>
      <c r="J3138" s="1559"/>
      <c r="K3138" s="1559"/>
      <c r="L3138" s="1559"/>
      <c r="M3138" s="1635"/>
    </row>
    <row r="3139" spans="2:13" s="496" customFormat="1" hidden="1">
      <c r="B3139" s="1543" t="s">
        <v>706</v>
      </c>
      <c r="C3139" s="2076" t="s">
        <v>876</v>
      </c>
      <c r="D3139" s="2076"/>
      <c r="E3139" s="2076"/>
      <c r="F3139" s="2077" t="s">
        <v>3873</v>
      </c>
      <c r="G3139" s="2077"/>
      <c r="H3139" s="1107">
        <f>H3138*0.15</f>
        <v>23744.375249999997</v>
      </c>
      <c r="J3139" s="1559"/>
      <c r="K3139" s="1559"/>
      <c r="L3139" s="1559"/>
      <c r="M3139" s="1635"/>
    </row>
    <row r="3140" spans="2:13" s="496" customFormat="1" hidden="1">
      <c r="B3140" s="1543" t="s">
        <v>708</v>
      </c>
      <c r="C3140" s="2078" t="s">
        <v>3765</v>
      </c>
      <c r="D3140" s="2078"/>
      <c r="E3140" s="2078"/>
      <c r="F3140" s="2078"/>
      <c r="G3140" s="2078"/>
      <c r="H3140" s="1107">
        <f>ROUND(SUM(H3138:H3139),2)</f>
        <v>182040.21</v>
      </c>
      <c r="I3140" s="506">
        <f>SUM(H3138:H3139)</f>
        <v>182040.21025</v>
      </c>
      <c r="J3140" s="1561"/>
      <c r="K3140" s="1561"/>
      <c r="L3140" s="1559"/>
      <c r="M3140" s="1635"/>
    </row>
    <row r="3141" spans="2:13" hidden="1">
      <c r="B3141" s="1143"/>
      <c r="C3141" s="1144"/>
      <c r="D3141" s="1143"/>
      <c r="E3141" s="1143"/>
      <c r="F3141" s="1145"/>
      <c r="G3141" s="1146"/>
      <c r="H3141" s="1147"/>
      <c r="M3141" s="1566"/>
    </row>
    <row r="3142" spans="2:13" hidden="1">
      <c r="B3142" s="1100" t="s">
        <v>4032</v>
      </c>
      <c r="C3142" s="1112" t="s">
        <v>2809</v>
      </c>
      <c r="D3142" s="1129"/>
      <c r="E3142" s="1129"/>
      <c r="F3142" s="1131"/>
      <c r="G3142" s="1132"/>
      <c r="H3142" s="1115"/>
      <c r="M3142" s="1566"/>
    </row>
    <row r="3143" spans="2:13" s="507" customFormat="1" ht="24.9" hidden="1" customHeight="1">
      <c r="B3143" s="1748" t="s">
        <v>1003</v>
      </c>
      <c r="C3143" s="1101" t="s">
        <v>1004</v>
      </c>
      <c r="D3143" s="1101" t="s">
        <v>1005</v>
      </c>
      <c r="E3143" s="1101" t="s">
        <v>1006</v>
      </c>
      <c r="F3143" s="1102" t="s">
        <v>1007</v>
      </c>
      <c r="G3143" s="1109" t="s">
        <v>2637</v>
      </c>
      <c r="H3143" s="1110" t="s">
        <v>2638</v>
      </c>
      <c r="J3143" s="1625"/>
      <c r="K3143" s="1625"/>
      <c r="L3143" s="1625"/>
      <c r="M3143" s="1570"/>
    </row>
    <row r="3144" spans="2:13" hidden="1">
      <c r="B3144" s="1543" t="s">
        <v>671</v>
      </c>
      <c r="C3144" s="1332" t="s">
        <v>672</v>
      </c>
      <c r="D3144" s="1331"/>
      <c r="E3144" s="1331"/>
      <c r="F3144" s="1334"/>
      <c r="G3144" s="1104"/>
      <c r="H3144" s="1106"/>
      <c r="M3144" s="1566"/>
    </row>
    <row r="3145" spans="2:13" hidden="1">
      <c r="B3145" s="1543"/>
      <c r="C3145" s="1332" t="s">
        <v>673</v>
      </c>
      <c r="D3145" s="1331" t="s">
        <v>674</v>
      </c>
      <c r="E3145" s="1331" t="s">
        <v>675</v>
      </c>
      <c r="F3145" s="1334">
        <v>0.26</v>
      </c>
      <c r="G3145" s="1104">
        <f>DUB!$I$10</f>
        <v>150000</v>
      </c>
      <c r="H3145" s="1106">
        <f>G3145*F3145</f>
        <v>39000</v>
      </c>
      <c r="M3145" s="1566"/>
    </row>
    <row r="3146" spans="2:13" hidden="1">
      <c r="B3146" s="1543"/>
      <c r="C3146" s="1332" t="s">
        <v>816</v>
      </c>
      <c r="D3146" s="1331" t="s">
        <v>678</v>
      </c>
      <c r="E3146" s="1331" t="s">
        <v>675</v>
      </c>
      <c r="F3146" s="1334">
        <v>0.13</v>
      </c>
      <c r="G3146" s="1104">
        <f>DUB!$I$11</f>
        <v>187000</v>
      </c>
      <c r="H3146" s="1106">
        <f>G3146*F3146</f>
        <v>24310</v>
      </c>
      <c r="M3146" s="1566"/>
    </row>
    <row r="3147" spans="2:13" hidden="1">
      <c r="B3147" s="1543"/>
      <c r="C3147" s="1332" t="s">
        <v>751</v>
      </c>
      <c r="D3147" s="1331" t="s">
        <v>681</v>
      </c>
      <c r="E3147" s="1331" t="s">
        <v>675</v>
      </c>
      <c r="F3147" s="1334">
        <v>1.2999999999999999E-2</v>
      </c>
      <c r="G3147" s="1104">
        <f>DUB!$I$13</f>
        <v>240000</v>
      </c>
      <c r="H3147" s="1106">
        <f>G3147*F3147</f>
        <v>3120</v>
      </c>
      <c r="M3147" s="1566"/>
    </row>
    <row r="3148" spans="2:13" hidden="1">
      <c r="B3148" s="1543"/>
      <c r="C3148" s="1332" t="s">
        <v>683</v>
      </c>
      <c r="D3148" s="1331" t="s">
        <v>684</v>
      </c>
      <c r="E3148" s="1331" t="s">
        <v>675</v>
      </c>
      <c r="F3148" s="1334">
        <v>1.2999999999999999E-2</v>
      </c>
      <c r="G3148" s="1104">
        <f>DUB!$I$12</f>
        <v>225000</v>
      </c>
      <c r="H3148" s="1106">
        <f>G3148*F3148</f>
        <v>2925</v>
      </c>
      <c r="M3148" s="1566"/>
    </row>
    <row r="3149" spans="2:13" hidden="1">
      <c r="B3149" s="1543"/>
      <c r="C3149" s="1332"/>
      <c r="D3149" s="1331"/>
      <c r="E3149" s="1331"/>
      <c r="F3149" s="2074" t="s">
        <v>685</v>
      </c>
      <c r="G3149" s="2074"/>
      <c r="H3149" s="1106">
        <f>SUM(H3145:H3148)</f>
        <v>69355</v>
      </c>
      <c r="M3149" s="1566"/>
    </row>
    <row r="3150" spans="2:13" hidden="1">
      <c r="B3150" s="1543" t="s">
        <v>686</v>
      </c>
      <c r="C3150" s="1332" t="s">
        <v>687</v>
      </c>
      <c r="D3150" s="1331"/>
      <c r="E3150" s="1331"/>
      <c r="F3150" s="1334"/>
      <c r="G3150" s="1104"/>
      <c r="H3150" s="1106"/>
      <c r="M3150" s="1566"/>
    </row>
    <row r="3151" spans="2:13" hidden="1">
      <c r="B3151" s="1543"/>
      <c r="C3151" s="1332" t="s">
        <v>1099</v>
      </c>
      <c r="D3151" s="1331"/>
      <c r="E3151" s="1331" t="s">
        <v>743</v>
      </c>
      <c r="F3151" s="1334">
        <v>11.87</v>
      </c>
      <c r="G3151" s="1104">
        <f>DUB!$I$174</f>
        <v>4284</v>
      </c>
      <c r="H3151" s="1106">
        <f>G3151*F3151</f>
        <v>50851.079999999994</v>
      </c>
      <c r="M3151" s="1566"/>
    </row>
    <row r="3152" spans="2:13" hidden="1">
      <c r="B3152" s="1543"/>
      <c r="C3152" s="1332" t="s">
        <v>818</v>
      </c>
      <c r="D3152" s="1331"/>
      <c r="E3152" s="1331" t="s">
        <v>773</v>
      </c>
      <c r="F3152" s="1334">
        <v>10</v>
      </c>
      <c r="G3152" s="1104">
        <f>DUB!$I$65</f>
        <v>1575</v>
      </c>
      <c r="H3152" s="1106">
        <f>G3152*F3152</f>
        <v>15750</v>
      </c>
      <c r="M3152" s="1566"/>
    </row>
    <row r="3153" spans="2:13" hidden="1">
      <c r="B3153" s="1543"/>
      <c r="C3153" s="1332" t="s">
        <v>1100</v>
      </c>
      <c r="D3153" s="1331"/>
      <c r="E3153" s="1331" t="s">
        <v>690</v>
      </c>
      <c r="F3153" s="1334">
        <v>1.5</v>
      </c>
      <c r="G3153" s="1104">
        <f>DUB!$I$62/40</f>
        <v>2750</v>
      </c>
      <c r="H3153" s="1106">
        <f>G3153*F3153</f>
        <v>4125</v>
      </c>
      <c r="M3153" s="1566"/>
    </row>
    <row r="3154" spans="2:13" hidden="1">
      <c r="B3154" s="1543"/>
      <c r="C3154" s="1332" t="s">
        <v>739</v>
      </c>
      <c r="D3154" s="1331"/>
      <c r="E3154" s="1331" t="s">
        <v>881</v>
      </c>
      <c r="F3154" s="1334">
        <v>4.4999999999999998E-2</v>
      </c>
      <c r="G3154" s="1104">
        <f>DUB!$I$59</f>
        <v>208463</v>
      </c>
      <c r="H3154" s="1106">
        <f>G3154*F3154</f>
        <v>9380.8349999999991</v>
      </c>
      <c r="M3154" s="1566"/>
    </row>
    <row r="3155" spans="2:13" hidden="1">
      <c r="B3155" s="1543"/>
      <c r="C3155" s="1125"/>
      <c r="D3155" s="1333"/>
      <c r="E3155" s="1333"/>
      <c r="F3155" s="2074" t="s">
        <v>702</v>
      </c>
      <c r="G3155" s="2074"/>
      <c r="H3155" s="1106">
        <f>SUM(H3151:H3154)</f>
        <v>80106.914999999979</v>
      </c>
      <c r="M3155" s="1566"/>
    </row>
    <row r="3156" spans="2:13" s="496" customFormat="1" hidden="1">
      <c r="B3156" s="1543" t="s">
        <v>703</v>
      </c>
      <c r="C3156" s="2075" t="s">
        <v>3764</v>
      </c>
      <c r="D3156" s="2075"/>
      <c r="E3156" s="2075"/>
      <c r="F3156" s="2075"/>
      <c r="G3156" s="2075"/>
      <c r="H3156" s="1107">
        <f>H3149+H3155</f>
        <v>149461.91499999998</v>
      </c>
      <c r="J3156" s="1559"/>
      <c r="K3156" s="1559"/>
      <c r="L3156" s="1559"/>
      <c r="M3156" s="1635"/>
    </row>
    <row r="3157" spans="2:13" s="496" customFormat="1" hidden="1">
      <c r="B3157" s="1543" t="s">
        <v>706</v>
      </c>
      <c r="C3157" s="2076" t="s">
        <v>876</v>
      </c>
      <c r="D3157" s="2076"/>
      <c r="E3157" s="2076"/>
      <c r="F3157" s="2077" t="s">
        <v>3873</v>
      </c>
      <c r="G3157" s="2077"/>
      <c r="H3157" s="1107">
        <f>H3156*0.15</f>
        <v>22419.287249999998</v>
      </c>
      <c r="J3157" s="1559"/>
      <c r="K3157" s="1559"/>
      <c r="L3157" s="1559"/>
      <c r="M3157" s="1635"/>
    </row>
    <row r="3158" spans="2:13" s="496" customFormat="1" hidden="1">
      <c r="B3158" s="1543" t="s">
        <v>708</v>
      </c>
      <c r="C3158" s="2078" t="s">
        <v>3765</v>
      </c>
      <c r="D3158" s="2078"/>
      <c r="E3158" s="2078"/>
      <c r="F3158" s="2078"/>
      <c r="G3158" s="2078"/>
      <c r="H3158" s="1107">
        <f>ROUND(SUM(H3156:H3157),2)</f>
        <v>171881.2</v>
      </c>
      <c r="I3158" s="506">
        <f>SUM(H3156:H3157)</f>
        <v>171881.20224999997</v>
      </c>
      <c r="J3158" s="1561"/>
      <c r="K3158" s="1561"/>
      <c r="L3158" s="1559"/>
      <c r="M3158" s="1635"/>
    </row>
    <row r="3159" spans="2:13" hidden="1">
      <c r="F3159" s="1172"/>
      <c r="G3159" s="1173"/>
      <c r="H3159" s="1133"/>
      <c r="M3159" s="1566"/>
    </row>
    <row r="3160" spans="2:13" hidden="1">
      <c r="B3160" s="1100" t="s">
        <v>4033</v>
      </c>
      <c r="C3160" s="1232" t="s">
        <v>2808</v>
      </c>
      <c r="F3160" s="1172"/>
      <c r="G3160" s="1173"/>
      <c r="H3160" s="1133"/>
      <c r="M3160" s="1566"/>
    </row>
    <row r="3161" spans="2:13" s="507" customFormat="1" ht="24.9" hidden="1" customHeight="1">
      <c r="B3161" s="1748" t="s">
        <v>1003</v>
      </c>
      <c r="C3161" s="1101" t="s">
        <v>1004</v>
      </c>
      <c r="D3161" s="1101" t="s">
        <v>1005</v>
      </c>
      <c r="E3161" s="1101" t="s">
        <v>1006</v>
      </c>
      <c r="F3161" s="1102" t="s">
        <v>1007</v>
      </c>
      <c r="G3161" s="1109" t="s">
        <v>2637</v>
      </c>
      <c r="H3161" s="1110" t="s">
        <v>2638</v>
      </c>
      <c r="J3161" s="1625"/>
      <c r="K3161" s="1625"/>
      <c r="L3161" s="1625"/>
      <c r="M3161" s="1570"/>
    </row>
    <row r="3162" spans="2:13" hidden="1">
      <c r="B3162" s="1543" t="s">
        <v>671</v>
      </c>
      <c r="C3162" s="1332" t="s">
        <v>672</v>
      </c>
      <c r="D3162" s="1331"/>
      <c r="E3162" s="1331"/>
      <c r="F3162" s="1334"/>
      <c r="G3162" s="1104"/>
      <c r="H3162" s="1106"/>
      <c r="M3162" s="1566"/>
    </row>
    <row r="3163" spans="2:13" hidden="1">
      <c r="B3163" s="1543"/>
      <c r="C3163" s="1332" t="s">
        <v>673</v>
      </c>
      <c r="D3163" s="1331" t="s">
        <v>674</v>
      </c>
      <c r="E3163" s="1331" t="s">
        <v>675</v>
      </c>
      <c r="F3163" s="1334">
        <v>0.27</v>
      </c>
      <c r="G3163" s="1104">
        <f>DUB!$I$10</f>
        <v>150000</v>
      </c>
      <c r="H3163" s="1106">
        <f>G3163*F3163</f>
        <v>40500</v>
      </c>
      <c r="M3163" s="1566"/>
    </row>
    <row r="3164" spans="2:13" hidden="1">
      <c r="B3164" s="1543"/>
      <c r="C3164" s="1332" t="s">
        <v>816</v>
      </c>
      <c r="D3164" s="1331" t="s">
        <v>678</v>
      </c>
      <c r="E3164" s="1331" t="s">
        <v>675</v>
      </c>
      <c r="F3164" s="1334">
        <v>0.13500000000000001</v>
      </c>
      <c r="G3164" s="1104">
        <f>DUB!$I$11</f>
        <v>187000</v>
      </c>
      <c r="H3164" s="1106">
        <f>G3164*F3164</f>
        <v>25245</v>
      </c>
      <c r="M3164" s="1566"/>
    </row>
    <row r="3165" spans="2:13" hidden="1">
      <c r="B3165" s="1543"/>
      <c r="C3165" s="1332" t="s">
        <v>751</v>
      </c>
      <c r="D3165" s="1331" t="s">
        <v>681</v>
      </c>
      <c r="E3165" s="1331" t="s">
        <v>675</v>
      </c>
      <c r="F3165" s="1334">
        <v>1.4E-2</v>
      </c>
      <c r="G3165" s="1104">
        <f>DUB!$I$13</f>
        <v>240000</v>
      </c>
      <c r="H3165" s="1106">
        <f>G3165*F3165</f>
        <v>3360</v>
      </c>
      <c r="M3165" s="1566"/>
    </row>
    <row r="3166" spans="2:13" hidden="1">
      <c r="B3166" s="1543"/>
      <c r="C3166" s="1332" t="s">
        <v>683</v>
      </c>
      <c r="D3166" s="1331" t="s">
        <v>684</v>
      </c>
      <c r="E3166" s="1331" t="s">
        <v>675</v>
      </c>
      <c r="F3166" s="1334">
        <v>1.4E-2</v>
      </c>
      <c r="G3166" s="1104">
        <f>DUB!$I$12</f>
        <v>225000</v>
      </c>
      <c r="H3166" s="1106">
        <f>G3166*F3166</f>
        <v>3150</v>
      </c>
      <c r="M3166" s="1566"/>
    </row>
    <row r="3167" spans="2:13" hidden="1">
      <c r="B3167" s="1543"/>
      <c r="C3167" s="1332"/>
      <c r="D3167" s="1331"/>
      <c r="E3167" s="1331"/>
      <c r="F3167" s="2074" t="s">
        <v>685</v>
      </c>
      <c r="G3167" s="2074"/>
      <c r="H3167" s="1106">
        <f>SUM(H3163:H3166)</f>
        <v>72255</v>
      </c>
      <c r="M3167" s="1566"/>
    </row>
    <row r="3168" spans="2:13" hidden="1">
      <c r="B3168" s="1543" t="s">
        <v>686</v>
      </c>
      <c r="C3168" s="1332" t="s">
        <v>687</v>
      </c>
      <c r="D3168" s="1331"/>
      <c r="E3168" s="1331"/>
      <c r="F3168" s="1334"/>
      <c r="G3168" s="1104"/>
      <c r="H3168" s="1106"/>
      <c r="M3168" s="1566"/>
    </row>
    <row r="3169" spans="2:13" hidden="1">
      <c r="B3169" s="1543"/>
      <c r="C3169" s="1332" t="s">
        <v>1099</v>
      </c>
      <c r="D3169" s="1331"/>
      <c r="E3169" s="1331" t="s">
        <v>743</v>
      </c>
      <c r="F3169" s="1334">
        <v>26.5</v>
      </c>
      <c r="G3169" s="1104">
        <f>DUB!$I$175</f>
        <v>3213</v>
      </c>
      <c r="H3169" s="1106">
        <f>G3169*F3169</f>
        <v>85144.5</v>
      </c>
      <c r="M3169" s="1566"/>
    </row>
    <row r="3170" spans="2:13" hidden="1">
      <c r="B3170" s="1543"/>
      <c r="C3170" s="1332" t="s">
        <v>818</v>
      </c>
      <c r="D3170" s="1331"/>
      <c r="E3170" s="1331" t="s">
        <v>773</v>
      </c>
      <c r="F3170" s="1334">
        <v>10.4</v>
      </c>
      <c r="G3170" s="1104">
        <f>DUB!$I$65</f>
        <v>1575</v>
      </c>
      <c r="H3170" s="1106">
        <f>G3170*F3170</f>
        <v>16380</v>
      </c>
      <c r="M3170" s="1566"/>
    </row>
    <row r="3171" spans="2:13" hidden="1">
      <c r="B3171" s="1543"/>
      <c r="C3171" s="1332" t="s">
        <v>1100</v>
      </c>
      <c r="D3171" s="1331"/>
      <c r="E3171" s="1331" t="s">
        <v>690</v>
      </c>
      <c r="F3171" s="1334">
        <v>1.62</v>
      </c>
      <c r="G3171" s="1104">
        <f>DUB!$I$62/40</f>
        <v>2750</v>
      </c>
      <c r="H3171" s="1106">
        <f>G3171*F3171</f>
        <v>4455</v>
      </c>
      <c r="M3171" s="1566"/>
    </row>
    <row r="3172" spans="2:13" hidden="1">
      <c r="B3172" s="1543"/>
      <c r="C3172" s="1332" t="s">
        <v>739</v>
      </c>
      <c r="D3172" s="1331"/>
      <c r="E3172" s="1331" t="s">
        <v>881</v>
      </c>
      <c r="F3172" s="1334">
        <v>4.4999999999999998E-2</v>
      </c>
      <c r="G3172" s="1104">
        <f>DUB!$I$59</f>
        <v>208463</v>
      </c>
      <c r="H3172" s="1106">
        <f>G3172*F3172</f>
        <v>9380.8349999999991</v>
      </c>
      <c r="M3172" s="1566"/>
    </row>
    <row r="3173" spans="2:13" hidden="1">
      <c r="B3173" s="1543"/>
      <c r="C3173" s="1125"/>
      <c r="D3173" s="1333"/>
      <c r="E3173" s="1333"/>
      <c r="F3173" s="2074" t="s">
        <v>702</v>
      </c>
      <c r="G3173" s="2074"/>
      <c r="H3173" s="1106">
        <f>SUM(H3169:H3172)</f>
        <v>115360.33499999999</v>
      </c>
      <c r="M3173" s="1566"/>
    </row>
    <row r="3174" spans="2:13" s="496" customFormat="1" hidden="1">
      <c r="B3174" s="1543" t="s">
        <v>703</v>
      </c>
      <c r="C3174" s="2075" t="s">
        <v>3764</v>
      </c>
      <c r="D3174" s="2075"/>
      <c r="E3174" s="2075"/>
      <c r="F3174" s="2075"/>
      <c r="G3174" s="2075"/>
      <c r="H3174" s="1107">
        <f>H3167+H3173</f>
        <v>187615.33499999999</v>
      </c>
      <c r="J3174" s="1559"/>
      <c r="K3174" s="1559"/>
      <c r="L3174" s="1559"/>
      <c r="M3174" s="1635"/>
    </row>
    <row r="3175" spans="2:13" s="496" customFormat="1" hidden="1">
      <c r="B3175" s="1543" t="s">
        <v>706</v>
      </c>
      <c r="C3175" s="2076" t="s">
        <v>876</v>
      </c>
      <c r="D3175" s="2076"/>
      <c r="E3175" s="2076"/>
      <c r="F3175" s="2077" t="s">
        <v>3873</v>
      </c>
      <c r="G3175" s="2077"/>
      <c r="H3175" s="1107">
        <f>H3174*0.15</f>
        <v>28142.300249999997</v>
      </c>
      <c r="J3175" s="1559"/>
      <c r="K3175" s="1559"/>
      <c r="L3175" s="1559"/>
      <c r="M3175" s="1635"/>
    </row>
    <row r="3176" spans="2:13" s="496" customFormat="1" hidden="1">
      <c r="B3176" s="1543" t="s">
        <v>708</v>
      </c>
      <c r="C3176" s="2078" t="s">
        <v>3765</v>
      </c>
      <c r="D3176" s="2078"/>
      <c r="E3176" s="2078"/>
      <c r="F3176" s="2078"/>
      <c r="G3176" s="2078"/>
      <c r="H3176" s="1107">
        <f>ROUND(SUM(H3174:H3175),2)</f>
        <v>215757.64</v>
      </c>
      <c r="I3176" s="506">
        <f>SUM(H3174:H3175)</f>
        <v>215757.63524999999</v>
      </c>
      <c r="J3176" s="1561"/>
      <c r="K3176" s="1561"/>
      <c r="L3176" s="1559"/>
      <c r="M3176" s="1635"/>
    </row>
    <row r="3177" spans="2:13" hidden="1">
      <c r="B3177" s="1143"/>
      <c r="C3177" s="1144"/>
      <c r="D3177" s="1143"/>
      <c r="E3177" s="1143"/>
      <c r="F3177" s="1145"/>
      <c r="G3177" s="1146"/>
      <c r="H3177" s="1147"/>
      <c r="M3177" s="1566"/>
    </row>
    <row r="3178" spans="2:13" hidden="1">
      <c r="B3178" s="1100" t="s">
        <v>4034</v>
      </c>
      <c r="C3178" s="1112" t="s">
        <v>2807</v>
      </c>
      <c r="D3178" s="1129"/>
      <c r="E3178" s="1129"/>
      <c r="F3178" s="1131"/>
      <c r="G3178" s="1132"/>
      <c r="H3178" s="1115"/>
      <c r="M3178" s="1566"/>
    </row>
    <row r="3179" spans="2:13" s="507" customFormat="1" ht="24.9" hidden="1" customHeight="1">
      <c r="B3179" s="1748" t="s">
        <v>1003</v>
      </c>
      <c r="C3179" s="1101" t="s">
        <v>1004</v>
      </c>
      <c r="D3179" s="1101" t="s">
        <v>1005</v>
      </c>
      <c r="E3179" s="1101" t="s">
        <v>1006</v>
      </c>
      <c r="F3179" s="1102" t="s">
        <v>1007</v>
      </c>
      <c r="G3179" s="1109" t="s">
        <v>2637</v>
      </c>
      <c r="H3179" s="1110" t="s">
        <v>2638</v>
      </c>
      <c r="J3179" s="1625"/>
      <c r="K3179" s="1625"/>
      <c r="L3179" s="1625"/>
      <c r="M3179" s="1570"/>
    </row>
    <row r="3180" spans="2:13" hidden="1">
      <c r="B3180" s="1543" t="s">
        <v>671</v>
      </c>
      <c r="C3180" s="1332" t="s">
        <v>672</v>
      </c>
      <c r="D3180" s="1331"/>
      <c r="E3180" s="1331"/>
      <c r="F3180" s="1334"/>
      <c r="G3180" s="1104"/>
      <c r="H3180" s="1106"/>
      <c r="M3180" s="1566"/>
    </row>
    <row r="3181" spans="2:13" hidden="1">
      <c r="B3181" s="1543"/>
      <c r="C3181" s="1332" t="s">
        <v>673</v>
      </c>
      <c r="D3181" s="1331" t="s">
        <v>674</v>
      </c>
      <c r="E3181" s="1331" t="s">
        <v>675</v>
      </c>
      <c r="F3181" s="1334">
        <v>0.25</v>
      </c>
      <c r="G3181" s="1104">
        <f>DUB!$I$10</f>
        <v>150000</v>
      </c>
      <c r="H3181" s="1106">
        <f>G3181*F3181</f>
        <v>37500</v>
      </c>
      <c r="M3181" s="1566"/>
    </row>
    <row r="3182" spans="2:13" hidden="1">
      <c r="B3182" s="1543"/>
      <c r="C3182" s="1332" t="s">
        <v>816</v>
      </c>
      <c r="D3182" s="1331" t="s">
        <v>678</v>
      </c>
      <c r="E3182" s="1331" t="s">
        <v>675</v>
      </c>
      <c r="F3182" s="1334">
        <v>0.125</v>
      </c>
      <c r="G3182" s="1104">
        <f>DUB!$I$11</f>
        <v>187000</v>
      </c>
      <c r="H3182" s="1106">
        <f>G3182*F3182</f>
        <v>23375</v>
      </c>
      <c r="M3182" s="1566"/>
    </row>
    <row r="3183" spans="2:13" hidden="1">
      <c r="B3183" s="1543"/>
      <c r="C3183" s="1332" t="s">
        <v>751</v>
      </c>
      <c r="D3183" s="1331" t="s">
        <v>681</v>
      </c>
      <c r="E3183" s="1331" t="s">
        <v>675</v>
      </c>
      <c r="F3183" s="1334">
        <v>1.2999999999999999E-2</v>
      </c>
      <c r="G3183" s="1104">
        <f>DUB!$I$13</f>
        <v>240000</v>
      </c>
      <c r="H3183" s="1106">
        <f>G3183*F3183</f>
        <v>3120</v>
      </c>
      <c r="M3183" s="1566"/>
    </row>
    <row r="3184" spans="2:13" hidden="1">
      <c r="B3184" s="1543"/>
      <c r="C3184" s="1332" t="s">
        <v>683</v>
      </c>
      <c r="D3184" s="1331" t="s">
        <v>684</v>
      </c>
      <c r="E3184" s="1331" t="s">
        <v>675</v>
      </c>
      <c r="F3184" s="1334">
        <v>1.2999999999999999E-2</v>
      </c>
      <c r="G3184" s="1104">
        <f>DUB!$I$12</f>
        <v>225000</v>
      </c>
      <c r="H3184" s="1106">
        <f>G3184*F3184</f>
        <v>2925</v>
      </c>
      <c r="M3184" s="1566"/>
    </row>
    <row r="3185" spans="2:13" hidden="1">
      <c r="B3185" s="1543"/>
      <c r="C3185" s="1332"/>
      <c r="D3185" s="1331"/>
      <c r="E3185" s="1331"/>
      <c r="F3185" s="2074" t="s">
        <v>685</v>
      </c>
      <c r="G3185" s="2074"/>
      <c r="H3185" s="1106">
        <f>SUM(H3181:H3184)</f>
        <v>66920</v>
      </c>
      <c r="M3185" s="1566"/>
    </row>
    <row r="3186" spans="2:13" hidden="1">
      <c r="B3186" s="1543" t="s">
        <v>686</v>
      </c>
      <c r="C3186" s="1332" t="s">
        <v>687</v>
      </c>
      <c r="D3186" s="1331"/>
      <c r="E3186" s="1331"/>
      <c r="F3186" s="1334"/>
      <c r="G3186" s="1104"/>
      <c r="H3186" s="1106"/>
      <c r="M3186" s="1566"/>
    </row>
    <row r="3187" spans="2:13" hidden="1">
      <c r="B3187" s="1543"/>
      <c r="C3187" s="1332" t="s">
        <v>1104</v>
      </c>
      <c r="D3187" s="1331"/>
      <c r="E3187" s="1331" t="s">
        <v>743</v>
      </c>
      <c r="F3187" s="1334">
        <v>6.63</v>
      </c>
      <c r="G3187" s="1104">
        <f>DUB!$I$176</f>
        <v>53550</v>
      </c>
      <c r="H3187" s="1106">
        <f>G3187*F3187</f>
        <v>355036.5</v>
      </c>
      <c r="M3187" s="1566"/>
    </row>
    <row r="3188" spans="2:13" hidden="1">
      <c r="B3188" s="1543"/>
      <c r="C3188" s="1332" t="s">
        <v>818</v>
      </c>
      <c r="D3188" s="1331"/>
      <c r="E3188" s="1331" t="s">
        <v>773</v>
      </c>
      <c r="F3188" s="1334">
        <v>9.8000000000000007</v>
      </c>
      <c r="G3188" s="1104">
        <f>DUB!$I$65</f>
        <v>1575</v>
      </c>
      <c r="H3188" s="1106">
        <f>G3188*F3188</f>
        <v>15435.000000000002</v>
      </c>
      <c r="M3188" s="1566"/>
    </row>
    <row r="3189" spans="2:13" hidden="1">
      <c r="B3189" s="1543"/>
      <c r="C3189" s="1332" t="s">
        <v>1100</v>
      </c>
      <c r="D3189" s="1331"/>
      <c r="E3189" s="1331" t="s">
        <v>690</v>
      </c>
      <c r="F3189" s="1334">
        <v>1.3</v>
      </c>
      <c r="G3189" s="1104">
        <f>DUB!$I$62/40</f>
        <v>2750</v>
      </c>
      <c r="H3189" s="1106">
        <f>G3189*F3189</f>
        <v>3575</v>
      </c>
      <c r="M3189" s="1566"/>
    </row>
    <row r="3190" spans="2:13" hidden="1">
      <c r="B3190" s="1543"/>
      <c r="C3190" s="1332" t="s">
        <v>739</v>
      </c>
      <c r="D3190" s="1331"/>
      <c r="E3190" s="1331" t="s">
        <v>881</v>
      </c>
      <c r="F3190" s="1334">
        <v>4.4999999999999998E-2</v>
      </c>
      <c r="G3190" s="1104">
        <f>DUB!$I$59</f>
        <v>208463</v>
      </c>
      <c r="H3190" s="1106">
        <f>G3190*F3190</f>
        <v>9380.8349999999991</v>
      </c>
      <c r="M3190" s="1566"/>
    </row>
    <row r="3191" spans="2:13" hidden="1">
      <c r="B3191" s="1543"/>
      <c r="C3191" s="1125"/>
      <c r="D3191" s="1333"/>
      <c r="E3191" s="1333"/>
      <c r="F3191" s="2074" t="s">
        <v>702</v>
      </c>
      <c r="G3191" s="2074"/>
      <c r="H3191" s="1106">
        <f>SUM(H3187:H3190)</f>
        <v>383427.33500000002</v>
      </c>
      <c r="M3191" s="1566"/>
    </row>
    <row r="3192" spans="2:13" s="496" customFormat="1" hidden="1">
      <c r="B3192" s="1543" t="s">
        <v>703</v>
      </c>
      <c r="C3192" s="2075" t="s">
        <v>3764</v>
      </c>
      <c r="D3192" s="2075"/>
      <c r="E3192" s="2075"/>
      <c r="F3192" s="2075"/>
      <c r="G3192" s="2075"/>
      <c r="H3192" s="1107">
        <f>H3185+H3191</f>
        <v>450347.33500000002</v>
      </c>
      <c r="J3192" s="1559"/>
      <c r="K3192" s="1559"/>
      <c r="L3192" s="1559"/>
      <c r="M3192" s="1635"/>
    </row>
    <row r="3193" spans="2:13" s="496" customFormat="1" hidden="1">
      <c r="B3193" s="1543" t="s">
        <v>706</v>
      </c>
      <c r="C3193" s="2076" t="s">
        <v>876</v>
      </c>
      <c r="D3193" s="2076"/>
      <c r="E3193" s="2076"/>
      <c r="F3193" s="2077" t="s">
        <v>3873</v>
      </c>
      <c r="G3193" s="2077"/>
      <c r="H3193" s="1107">
        <f>H3192*0.15</f>
        <v>67552.100250000003</v>
      </c>
      <c r="J3193" s="1559"/>
      <c r="K3193" s="1559"/>
      <c r="L3193" s="1559"/>
      <c r="M3193" s="1635"/>
    </row>
    <row r="3194" spans="2:13" s="496" customFormat="1" hidden="1">
      <c r="B3194" s="1543" t="s">
        <v>708</v>
      </c>
      <c r="C3194" s="2078" t="s">
        <v>3765</v>
      </c>
      <c r="D3194" s="2078"/>
      <c r="E3194" s="2078"/>
      <c r="F3194" s="2078"/>
      <c r="G3194" s="2078"/>
      <c r="H3194" s="1107">
        <f>ROUND(SUM(H3192:H3193),2)</f>
        <v>517899.44</v>
      </c>
      <c r="I3194" s="506">
        <f>SUM(H3192:H3193)</f>
        <v>517899.43525000004</v>
      </c>
      <c r="J3194" s="1561"/>
      <c r="K3194" s="1561"/>
      <c r="L3194" s="1559"/>
      <c r="M3194" s="1635"/>
    </row>
    <row r="3195" spans="2:13" hidden="1">
      <c r="F3195" s="1172"/>
      <c r="G3195" s="1173"/>
      <c r="H3195" s="1133"/>
      <c r="M3195" s="1566"/>
    </row>
    <row r="3196" spans="2:13" hidden="1">
      <c r="B3196" s="1100" t="s">
        <v>4035</v>
      </c>
      <c r="C3196" s="1232" t="s">
        <v>2806</v>
      </c>
      <c r="F3196" s="1172"/>
      <c r="G3196" s="1173"/>
      <c r="H3196" s="1133"/>
      <c r="M3196" s="1566"/>
    </row>
    <row r="3197" spans="2:13" s="507" customFormat="1" ht="24.9" hidden="1" customHeight="1">
      <c r="B3197" s="1748" t="s">
        <v>1003</v>
      </c>
      <c r="C3197" s="1101" t="s">
        <v>1004</v>
      </c>
      <c r="D3197" s="1101" t="s">
        <v>1005</v>
      </c>
      <c r="E3197" s="1101" t="s">
        <v>1006</v>
      </c>
      <c r="F3197" s="1102" t="s">
        <v>1007</v>
      </c>
      <c r="G3197" s="1109" t="s">
        <v>2637</v>
      </c>
      <c r="H3197" s="1110" t="s">
        <v>2638</v>
      </c>
      <c r="J3197" s="1625"/>
      <c r="K3197" s="1625"/>
      <c r="L3197" s="1625"/>
      <c r="M3197" s="1570"/>
    </row>
    <row r="3198" spans="2:13" hidden="1">
      <c r="B3198" s="1543" t="s">
        <v>671</v>
      </c>
      <c r="C3198" s="1332" t="s">
        <v>672</v>
      </c>
      <c r="D3198" s="1331"/>
      <c r="E3198" s="1331"/>
      <c r="F3198" s="1334"/>
      <c r="G3198" s="1104"/>
      <c r="H3198" s="1106"/>
      <c r="M3198" s="1566"/>
    </row>
    <row r="3199" spans="2:13" hidden="1">
      <c r="B3199" s="1543"/>
      <c r="C3199" s="1332" t="s">
        <v>673</v>
      </c>
      <c r="D3199" s="1331" t="s">
        <v>674</v>
      </c>
      <c r="E3199" s="1331" t="s">
        <v>675</v>
      </c>
      <c r="F3199" s="1334">
        <v>0.26</v>
      </c>
      <c r="G3199" s="1104">
        <f>DUB!$I$10</f>
        <v>150000</v>
      </c>
      <c r="H3199" s="1106">
        <f>G3199*F3199</f>
        <v>39000</v>
      </c>
      <c r="M3199" s="1566"/>
    </row>
    <row r="3200" spans="2:13" hidden="1">
      <c r="B3200" s="1543"/>
      <c r="C3200" s="1332" t="s">
        <v>816</v>
      </c>
      <c r="D3200" s="1331" t="s">
        <v>678</v>
      </c>
      <c r="E3200" s="1331" t="s">
        <v>675</v>
      </c>
      <c r="F3200" s="1334">
        <v>0.13</v>
      </c>
      <c r="G3200" s="1104">
        <f>DUB!$I$11</f>
        <v>187000</v>
      </c>
      <c r="H3200" s="1106">
        <f>G3200*F3200</f>
        <v>24310</v>
      </c>
      <c r="M3200" s="1566"/>
    </row>
    <row r="3201" spans="2:13" hidden="1">
      <c r="B3201" s="1543"/>
      <c r="C3201" s="1332" t="s">
        <v>751</v>
      </c>
      <c r="D3201" s="1331" t="s">
        <v>681</v>
      </c>
      <c r="E3201" s="1331" t="s">
        <v>675</v>
      </c>
      <c r="F3201" s="1334">
        <v>1.2999999999999999E-2</v>
      </c>
      <c r="G3201" s="1104">
        <f>DUB!$I$13</f>
        <v>240000</v>
      </c>
      <c r="H3201" s="1106">
        <f>G3201*F3201</f>
        <v>3120</v>
      </c>
      <c r="M3201" s="1566"/>
    </row>
    <row r="3202" spans="2:13" hidden="1">
      <c r="B3202" s="1543"/>
      <c r="C3202" s="1332" t="s">
        <v>683</v>
      </c>
      <c r="D3202" s="1331" t="s">
        <v>684</v>
      </c>
      <c r="E3202" s="1331" t="s">
        <v>675</v>
      </c>
      <c r="F3202" s="1334">
        <v>1.2999999999999999E-2</v>
      </c>
      <c r="G3202" s="1104">
        <f>DUB!$I$12</f>
        <v>225000</v>
      </c>
      <c r="H3202" s="1106">
        <f>G3202*F3202</f>
        <v>2925</v>
      </c>
      <c r="M3202" s="1566"/>
    </row>
    <row r="3203" spans="2:13" hidden="1">
      <c r="B3203" s="1543"/>
      <c r="C3203" s="1332"/>
      <c r="D3203" s="1331"/>
      <c r="E3203" s="1331"/>
      <c r="F3203" s="2074" t="s">
        <v>685</v>
      </c>
      <c r="G3203" s="2074"/>
      <c r="H3203" s="1106">
        <f>SUM(H3199:H3202)</f>
        <v>69355</v>
      </c>
      <c r="M3203" s="1566"/>
    </row>
    <row r="3204" spans="2:13" hidden="1">
      <c r="B3204" s="1543" t="s">
        <v>686</v>
      </c>
      <c r="C3204" s="1332" t="s">
        <v>687</v>
      </c>
      <c r="D3204" s="1331"/>
      <c r="E3204" s="1331"/>
      <c r="F3204" s="1334"/>
      <c r="G3204" s="1104"/>
      <c r="H3204" s="1106"/>
      <c r="M3204" s="1566"/>
    </row>
    <row r="3205" spans="2:13" hidden="1">
      <c r="B3205" s="1543"/>
      <c r="C3205" s="1332" t="s">
        <v>1106</v>
      </c>
      <c r="D3205" s="1331"/>
      <c r="E3205" s="1331" t="s">
        <v>743</v>
      </c>
      <c r="F3205" s="1334">
        <v>11.87</v>
      </c>
      <c r="G3205" s="1104">
        <f>DUB!$I$177</f>
        <v>42840</v>
      </c>
      <c r="H3205" s="1106">
        <f>G3205*F3205</f>
        <v>508510.8</v>
      </c>
      <c r="M3205" s="1566"/>
    </row>
    <row r="3206" spans="2:13" hidden="1">
      <c r="B3206" s="1543"/>
      <c r="C3206" s="1332" t="s">
        <v>818</v>
      </c>
      <c r="D3206" s="1331"/>
      <c r="E3206" s="1331" t="s">
        <v>773</v>
      </c>
      <c r="F3206" s="1334">
        <v>10</v>
      </c>
      <c r="G3206" s="1104">
        <f>DUB!$I$65</f>
        <v>1575</v>
      </c>
      <c r="H3206" s="1106">
        <f>G3206*F3206</f>
        <v>15750</v>
      </c>
      <c r="M3206" s="1566"/>
    </row>
    <row r="3207" spans="2:13" hidden="1">
      <c r="B3207" s="1543"/>
      <c r="C3207" s="1332" t="s">
        <v>1100</v>
      </c>
      <c r="D3207" s="1331"/>
      <c r="E3207" s="1331" t="s">
        <v>690</v>
      </c>
      <c r="F3207" s="1334">
        <v>1.5</v>
      </c>
      <c r="G3207" s="1104">
        <f>DUB!$I$62/40</f>
        <v>2750</v>
      </c>
      <c r="H3207" s="1106">
        <f>G3207*F3207</f>
        <v>4125</v>
      </c>
      <c r="M3207" s="1566"/>
    </row>
    <row r="3208" spans="2:13" hidden="1">
      <c r="B3208" s="1543"/>
      <c r="C3208" s="1332" t="s">
        <v>739</v>
      </c>
      <c r="D3208" s="1331"/>
      <c r="E3208" s="1331" t="s">
        <v>881</v>
      </c>
      <c r="F3208" s="1334">
        <v>4.4999999999999998E-2</v>
      </c>
      <c r="G3208" s="1104">
        <f>DUB!$I$59</f>
        <v>208463</v>
      </c>
      <c r="H3208" s="1106">
        <f>G3208*F3208</f>
        <v>9380.8349999999991</v>
      </c>
      <c r="M3208" s="1566"/>
    </row>
    <row r="3209" spans="2:13" hidden="1">
      <c r="B3209" s="1543"/>
      <c r="C3209" s="1125"/>
      <c r="D3209" s="1333"/>
      <c r="E3209" s="1333"/>
      <c r="F3209" s="2074" t="s">
        <v>702</v>
      </c>
      <c r="G3209" s="2074"/>
      <c r="H3209" s="1106">
        <f>SUM(H3205:H3208)</f>
        <v>537766.63500000001</v>
      </c>
      <c r="M3209" s="1566"/>
    </row>
    <row r="3210" spans="2:13" s="496" customFormat="1" hidden="1">
      <c r="B3210" s="1543" t="s">
        <v>703</v>
      </c>
      <c r="C3210" s="2075" t="s">
        <v>3764</v>
      </c>
      <c r="D3210" s="2075"/>
      <c r="E3210" s="2075"/>
      <c r="F3210" s="2075"/>
      <c r="G3210" s="2075"/>
      <c r="H3210" s="1107">
        <f>H3203+H3209</f>
        <v>607121.63500000001</v>
      </c>
      <c r="J3210" s="1559"/>
      <c r="K3210" s="1559"/>
      <c r="L3210" s="1559"/>
      <c r="M3210" s="1635"/>
    </row>
    <row r="3211" spans="2:13" s="496" customFormat="1" hidden="1">
      <c r="B3211" s="1543" t="s">
        <v>706</v>
      </c>
      <c r="C3211" s="2076" t="s">
        <v>876</v>
      </c>
      <c r="D3211" s="2076"/>
      <c r="E3211" s="2076"/>
      <c r="F3211" s="2077" t="s">
        <v>3873</v>
      </c>
      <c r="G3211" s="2077"/>
      <c r="H3211" s="1107">
        <f>H3210*0.15</f>
        <v>91068.245249999993</v>
      </c>
      <c r="J3211" s="1559"/>
      <c r="K3211" s="1559"/>
      <c r="L3211" s="1559"/>
      <c r="M3211" s="1635"/>
    </row>
    <row r="3212" spans="2:13" s="496" customFormat="1" hidden="1">
      <c r="B3212" s="1543" t="s">
        <v>708</v>
      </c>
      <c r="C3212" s="2078" t="s">
        <v>3765</v>
      </c>
      <c r="D3212" s="2078"/>
      <c r="E3212" s="2078"/>
      <c r="F3212" s="2078"/>
      <c r="G3212" s="2078"/>
      <c r="H3212" s="1107">
        <f>ROUND(SUM(H3210:H3211),2)</f>
        <v>698189.88</v>
      </c>
      <c r="I3212" s="506">
        <f>SUM(H3210:H3211)</f>
        <v>698189.88025000005</v>
      </c>
      <c r="J3212" s="1561"/>
      <c r="K3212" s="1561"/>
      <c r="L3212" s="1559"/>
      <c r="M3212" s="1635"/>
    </row>
    <row r="3213" spans="2:13" hidden="1">
      <c r="B3213" s="1143"/>
      <c r="C3213" s="1144"/>
      <c r="D3213" s="1143"/>
      <c r="E3213" s="1143"/>
      <c r="F3213" s="1145"/>
      <c r="G3213" s="1146"/>
      <c r="H3213" s="1147"/>
      <c r="M3213" s="1566"/>
    </row>
    <row r="3214" spans="2:13" hidden="1">
      <c r="B3214" s="1100" t="s">
        <v>4036</v>
      </c>
      <c r="C3214" s="1232" t="s">
        <v>2805</v>
      </c>
      <c r="F3214" s="1172"/>
      <c r="G3214" s="1173"/>
      <c r="H3214" s="1133"/>
      <c r="M3214" s="1566"/>
    </row>
    <row r="3215" spans="2:13" s="507" customFormat="1" ht="24.9" hidden="1" customHeight="1">
      <c r="B3215" s="1748" t="s">
        <v>1003</v>
      </c>
      <c r="C3215" s="1101" t="s">
        <v>1004</v>
      </c>
      <c r="D3215" s="1101" t="s">
        <v>1005</v>
      </c>
      <c r="E3215" s="1101" t="s">
        <v>1006</v>
      </c>
      <c r="F3215" s="1102" t="s">
        <v>1007</v>
      </c>
      <c r="G3215" s="1109" t="s">
        <v>2637</v>
      </c>
      <c r="H3215" s="1110" t="s">
        <v>2638</v>
      </c>
      <c r="J3215" s="1625"/>
      <c r="K3215" s="1625"/>
      <c r="L3215" s="1625"/>
      <c r="M3215" s="1570"/>
    </row>
    <row r="3216" spans="2:13" hidden="1">
      <c r="B3216" s="1543" t="s">
        <v>671</v>
      </c>
      <c r="C3216" s="1332" t="s">
        <v>672</v>
      </c>
      <c r="D3216" s="1331"/>
      <c r="E3216" s="1331"/>
      <c r="F3216" s="1334"/>
      <c r="G3216" s="1104"/>
      <c r="H3216" s="1106"/>
      <c r="M3216" s="1566"/>
    </row>
    <row r="3217" spans="2:13" hidden="1">
      <c r="B3217" s="1543"/>
      <c r="C3217" s="1332" t="s">
        <v>673</v>
      </c>
      <c r="D3217" s="1331" t="s">
        <v>674</v>
      </c>
      <c r="E3217" s="1331" t="s">
        <v>675</v>
      </c>
      <c r="F3217" s="1334">
        <v>0.7</v>
      </c>
      <c r="G3217" s="1104">
        <f>DUB!$I$10</f>
        <v>150000</v>
      </c>
      <c r="H3217" s="1106">
        <f>G3217*F3217</f>
        <v>105000</v>
      </c>
      <c r="M3217" s="1566"/>
    </row>
    <row r="3218" spans="2:13" hidden="1">
      <c r="B3218" s="1543"/>
      <c r="C3218" s="1332" t="s">
        <v>816</v>
      </c>
      <c r="D3218" s="1331" t="s">
        <v>678</v>
      </c>
      <c r="E3218" s="1331" t="s">
        <v>675</v>
      </c>
      <c r="F3218" s="1334">
        <v>0.35</v>
      </c>
      <c r="G3218" s="1104">
        <f>DUB!$I$11</f>
        <v>187000</v>
      </c>
      <c r="H3218" s="1106">
        <f>G3218*F3218</f>
        <v>65449.999999999993</v>
      </c>
      <c r="M3218" s="1566"/>
    </row>
    <row r="3219" spans="2:13" hidden="1">
      <c r="B3219" s="1543"/>
      <c r="C3219" s="1332" t="s">
        <v>751</v>
      </c>
      <c r="D3219" s="1331" t="s">
        <v>681</v>
      </c>
      <c r="E3219" s="1331" t="s">
        <v>675</v>
      </c>
      <c r="F3219" s="1334">
        <v>3.5000000000000003E-2</v>
      </c>
      <c r="G3219" s="1104">
        <f>DUB!$I$13</f>
        <v>240000</v>
      </c>
      <c r="H3219" s="1106">
        <f>G3219*F3219</f>
        <v>8400</v>
      </c>
      <c r="M3219" s="1566"/>
    </row>
    <row r="3220" spans="2:13" hidden="1">
      <c r="B3220" s="1543"/>
      <c r="C3220" s="1332" t="s">
        <v>683</v>
      </c>
      <c r="D3220" s="1331" t="s">
        <v>684</v>
      </c>
      <c r="E3220" s="1331" t="s">
        <v>675</v>
      </c>
      <c r="F3220" s="1334">
        <v>3.5000000000000003E-2</v>
      </c>
      <c r="G3220" s="1104">
        <f>DUB!$I$12</f>
        <v>225000</v>
      </c>
      <c r="H3220" s="1106">
        <f>G3220*F3220</f>
        <v>7875.0000000000009</v>
      </c>
      <c r="M3220" s="1566"/>
    </row>
    <row r="3221" spans="2:13" hidden="1">
      <c r="B3221" s="1543"/>
      <c r="C3221" s="1332"/>
      <c r="D3221" s="1331"/>
      <c r="E3221" s="1331"/>
      <c r="F3221" s="2074" t="s">
        <v>685</v>
      </c>
      <c r="G3221" s="2074"/>
      <c r="H3221" s="1106">
        <f>SUM(H3217:H3220)</f>
        <v>186725</v>
      </c>
      <c r="M3221" s="1566"/>
    </row>
    <row r="3222" spans="2:13" hidden="1">
      <c r="B3222" s="1543" t="s">
        <v>686</v>
      </c>
      <c r="C3222" s="1332" t="s">
        <v>687</v>
      </c>
      <c r="D3222" s="1331"/>
      <c r="E3222" s="1331"/>
      <c r="F3222" s="1334"/>
      <c r="G3222" s="1104"/>
      <c r="H3222" s="1106"/>
      <c r="M3222" s="1566"/>
    </row>
    <row r="3223" spans="2:13" hidden="1">
      <c r="B3223" s="1543"/>
      <c r="C3223" s="1332" t="s">
        <v>1134</v>
      </c>
      <c r="D3223" s="1331"/>
      <c r="E3223" s="1331" t="s">
        <v>743</v>
      </c>
      <c r="F3223" s="1334">
        <v>53</v>
      </c>
      <c r="G3223" s="1104">
        <f>DUB!$I$182</f>
        <v>1926</v>
      </c>
      <c r="H3223" s="1106">
        <f>G3223*F3223</f>
        <v>102078</v>
      </c>
      <c r="M3223" s="1566"/>
    </row>
    <row r="3224" spans="2:13" hidden="1">
      <c r="B3224" s="1543"/>
      <c r="C3224" s="1332" t="s">
        <v>818</v>
      </c>
      <c r="D3224" s="1331"/>
      <c r="E3224" s="1331" t="s">
        <v>690</v>
      </c>
      <c r="F3224" s="1334">
        <v>8.19</v>
      </c>
      <c r="G3224" s="1104">
        <f>DUB!$I$65</f>
        <v>1575</v>
      </c>
      <c r="H3224" s="1106">
        <f>G3224*F3224</f>
        <v>12899.25</v>
      </c>
      <c r="M3224" s="1566"/>
    </row>
    <row r="3225" spans="2:13" hidden="1">
      <c r="B3225" s="1543"/>
      <c r="C3225" s="1332" t="s">
        <v>739</v>
      </c>
      <c r="D3225" s="1331"/>
      <c r="E3225" s="1331" t="s">
        <v>881</v>
      </c>
      <c r="F3225" s="1334">
        <v>4.4999999999999998E-2</v>
      </c>
      <c r="G3225" s="1104">
        <f>DUB!$I$59</f>
        <v>208463</v>
      </c>
      <c r="H3225" s="1106">
        <f>G3225*F3225</f>
        <v>9380.8349999999991</v>
      </c>
      <c r="M3225" s="1566"/>
    </row>
    <row r="3226" spans="2:13" hidden="1">
      <c r="B3226" s="1543"/>
      <c r="C3226" s="1332" t="s">
        <v>1100</v>
      </c>
      <c r="D3226" s="1331"/>
      <c r="E3226" s="1331" t="s">
        <v>690</v>
      </c>
      <c r="F3226" s="1334">
        <v>2.75</v>
      </c>
      <c r="G3226" s="1104">
        <f>DUB!$I$62/40</f>
        <v>2750</v>
      </c>
      <c r="H3226" s="1106">
        <f>G3226*F3226</f>
        <v>7562.5</v>
      </c>
      <c r="M3226" s="1566"/>
    </row>
    <row r="3227" spans="2:13" hidden="1">
      <c r="B3227" s="1543"/>
      <c r="C3227" s="1125"/>
      <c r="D3227" s="1333"/>
      <c r="E3227" s="1333"/>
      <c r="F3227" s="2074" t="s">
        <v>702</v>
      </c>
      <c r="G3227" s="2074"/>
      <c r="H3227" s="1106">
        <f>SUM(H3223:H3226)</f>
        <v>131920.58499999999</v>
      </c>
      <c r="M3227" s="1566"/>
    </row>
    <row r="3228" spans="2:13" s="496" customFormat="1" hidden="1">
      <c r="B3228" s="1543" t="s">
        <v>703</v>
      </c>
      <c r="C3228" s="2075" t="s">
        <v>3764</v>
      </c>
      <c r="D3228" s="2075"/>
      <c r="E3228" s="2075"/>
      <c r="F3228" s="2075"/>
      <c r="G3228" s="2075"/>
      <c r="H3228" s="1107">
        <f>H3221+H3227</f>
        <v>318645.58499999996</v>
      </c>
      <c r="J3228" s="1559"/>
      <c r="K3228" s="1559"/>
      <c r="L3228" s="1559"/>
      <c r="M3228" s="1635"/>
    </row>
    <row r="3229" spans="2:13" s="496" customFormat="1" hidden="1">
      <c r="B3229" s="1543" t="s">
        <v>706</v>
      </c>
      <c r="C3229" s="2076" t="s">
        <v>876</v>
      </c>
      <c r="D3229" s="2076"/>
      <c r="E3229" s="2076"/>
      <c r="F3229" s="2077" t="s">
        <v>3873</v>
      </c>
      <c r="G3229" s="2077"/>
      <c r="H3229" s="1107">
        <f>H3228*0.15</f>
        <v>47796.837749999992</v>
      </c>
      <c r="J3229" s="1559"/>
      <c r="K3229" s="1559"/>
      <c r="L3229" s="1559"/>
      <c r="M3229" s="1635"/>
    </row>
    <row r="3230" spans="2:13" s="496" customFormat="1" hidden="1">
      <c r="B3230" s="1543" t="s">
        <v>708</v>
      </c>
      <c r="C3230" s="2078" t="s">
        <v>3765</v>
      </c>
      <c r="D3230" s="2078"/>
      <c r="E3230" s="2078"/>
      <c r="F3230" s="2078"/>
      <c r="G3230" s="2078"/>
      <c r="H3230" s="1107">
        <f>ROUND(SUM(H3228:H3229),2)</f>
        <v>366442.42</v>
      </c>
      <c r="I3230" s="506">
        <f>SUM(H3228:H3229)</f>
        <v>366442.42274999997</v>
      </c>
      <c r="J3230" s="1561"/>
      <c r="K3230" s="1561"/>
      <c r="L3230" s="1559"/>
      <c r="M3230" s="1635"/>
    </row>
    <row r="3231" spans="2:13" hidden="1">
      <c r="B3231" s="1143"/>
      <c r="C3231" s="1144"/>
      <c r="D3231" s="1143"/>
      <c r="E3231" s="1143"/>
      <c r="F3231" s="1145"/>
      <c r="G3231" s="1146"/>
      <c r="H3231" s="1147"/>
      <c r="M3231" s="1566"/>
    </row>
    <row r="3232" spans="2:13" hidden="1">
      <c r="B3232" s="1100" t="s">
        <v>4037</v>
      </c>
      <c r="C3232" s="1112" t="s">
        <v>2804</v>
      </c>
      <c r="D3232" s="1129"/>
      <c r="E3232" s="1129"/>
      <c r="F3232" s="1131"/>
      <c r="G3232" s="1132"/>
      <c r="H3232" s="1115"/>
      <c r="M3232" s="1566"/>
    </row>
    <row r="3233" spans="2:13" s="507" customFormat="1" ht="24.9" hidden="1" customHeight="1">
      <c r="B3233" s="1748" t="s">
        <v>1003</v>
      </c>
      <c r="C3233" s="1101" t="s">
        <v>1004</v>
      </c>
      <c r="D3233" s="1101" t="s">
        <v>1005</v>
      </c>
      <c r="E3233" s="1101" t="s">
        <v>1006</v>
      </c>
      <c r="F3233" s="1102" t="s">
        <v>1007</v>
      </c>
      <c r="G3233" s="1109" t="s">
        <v>2637</v>
      </c>
      <c r="H3233" s="1110" t="s">
        <v>2638</v>
      </c>
      <c r="J3233" s="1625"/>
      <c r="K3233" s="1625"/>
      <c r="L3233" s="1625"/>
      <c r="M3233" s="1570"/>
    </row>
    <row r="3234" spans="2:13" hidden="1">
      <c r="B3234" s="1543" t="s">
        <v>671</v>
      </c>
      <c r="C3234" s="1332" t="s">
        <v>672</v>
      </c>
      <c r="D3234" s="1331"/>
      <c r="E3234" s="1331"/>
      <c r="F3234" s="1334"/>
      <c r="G3234" s="1104"/>
      <c r="H3234" s="1106"/>
      <c r="M3234" s="1566"/>
    </row>
    <row r="3235" spans="2:13" hidden="1">
      <c r="B3235" s="1543"/>
      <c r="C3235" s="1332" t="s">
        <v>673</v>
      </c>
      <c r="D3235" s="1331" t="s">
        <v>674</v>
      </c>
      <c r="E3235" s="1331" t="s">
        <v>675</v>
      </c>
      <c r="F3235" s="1334">
        <v>0.7</v>
      </c>
      <c r="G3235" s="1104">
        <f>DUB!$I$10</f>
        <v>150000</v>
      </c>
      <c r="H3235" s="1106">
        <f>G3235*F3235</f>
        <v>105000</v>
      </c>
      <c r="M3235" s="1566"/>
    </row>
    <row r="3236" spans="2:13" hidden="1">
      <c r="B3236" s="1543"/>
      <c r="C3236" s="1332" t="s">
        <v>816</v>
      </c>
      <c r="D3236" s="1331" t="s">
        <v>678</v>
      </c>
      <c r="E3236" s="1331" t="s">
        <v>675</v>
      </c>
      <c r="F3236" s="1334">
        <v>0.35</v>
      </c>
      <c r="G3236" s="1104">
        <f>DUB!$I$11</f>
        <v>187000</v>
      </c>
      <c r="H3236" s="1106">
        <f>G3236*F3236</f>
        <v>65449.999999999993</v>
      </c>
      <c r="M3236" s="1566"/>
    </row>
    <row r="3237" spans="2:13" hidden="1">
      <c r="B3237" s="1543"/>
      <c r="C3237" s="1332" t="s">
        <v>751</v>
      </c>
      <c r="D3237" s="1331" t="s">
        <v>681</v>
      </c>
      <c r="E3237" s="1331" t="s">
        <v>675</v>
      </c>
      <c r="F3237" s="1334">
        <v>3.5000000000000003E-2</v>
      </c>
      <c r="G3237" s="1104">
        <f>DUB!$I$13</f>
        <v>240000</v>
      </c>
      <c r="H3237" s="1106">
        <f>G3237*F3237</f>
        <v>8400</v>
      </c>
      <c r="M3237" s="1566"/>
    </row>
    <row r="3238" spans="2:13" hidden="1">
      <c r="B3238" s="1543"/>
      <c r="C3238" s="1332" t="s">
        <v>683</v>
      </c>
      <c r="D3238" s="1331" t="s">
        <v>684</v>
      </c>
      <c r="E3238" s="1331" t="s">
        <v>675</v>
      </c>
      <c r="F3238" s="1334">
        <v>3.5000000000000003E-2</v>
      </c>
      <c r="G3238" s="1104">
        <f>DUB!$I$12</f>
        <v>225000</v>
      </c>
      <c r="H3238" s="1106">
        <f>G3238*F3238</f>
        <v>7875.0000000000009</v>
      </c>
      <c r="M3238" s="1566"/>
    </row>
    <row r="3239" spans="2:13" hidden="1">
      <c r="B3239" s="1543"/>
      <c r="C3239" s="1332"/>
      <c r="D3239" s="1331"/>
      <c r="E3239" s="1331"/>
      <c r="F3239" s="2074" t="s">
        <v>685</v>
      </c>
      <c r="G3239" s="2074"/>
      <c r="H3239" s="1106">
        <f>SUM(H3235:H3238)</f>
        <v>186725</v>
      </c>
      <c r="M3239" s="1566"/>
    </row>
    <row r="3240" spans="2:13" hidden="1">
      <c r="B3240" s="1543" t="s">
        <v>686</v>
      </c>
      <c r="C3240" s="1332" t="s">
        <v>687</v>
      </c>
      <c r="D3240" s="1331"/>
      <c r="E3240" s="1331"/>
      <c r="F3240" s="1334"/>
      <c r="G3240" s="1104"/>
      <c r="H3240" s="1106"/>
      <c r="M3240" s="1566"/>
    </row>
    <row r="3241" spans="2:13" hidden="1">
      <c r="B3241" s="1543"/>
      <c r="C3241" s="1332" t="s">
        <v>1134</v>
      </c>
      <c r="D3241" s="1331"/>
      <c r="E3241" s="1331" t="s">
        <v>743</v>
      </c>
      <c r="F3241" s="1334">
        <v>106</v>
      </c>
      <c r="G3241" s="1104">
        <f>DUB!$I$181</f>
        <v>1071</v>
      </c>
      <c r="H3241" s="1106">
        <f>G3241*F3241</f>
        <v>113526</v>
      </c>
      <c r="M3241" s="1566"/>
    </row>
    <row r="3242" spans="2:13" hidden="1">
      <c r="B3242" s="1543"/>
      <c r="C3242" s="1332" t="s">
        <v>818</v>
      </c>
      <c r="D3242" s="1331"/>
      <c r="E3242" s="1331" t="s">
        <v>690</v>
      </c>
      <c r="F3242" s="1334">
        <v>8.19</v>
      </c>
      <c r="G3242" s="1104">
        <f>DUB!$I$65</f>
        <v>1575</v>
      </c>
      <c r="H3242" s="1106">
        <f>G3242*F3242</f>
        <v>12899.25</v>
      </c>
      <c r="M3242" s="1566"/>
    </row>
    <row r="3243" spans="2:13" hidden="1">
      <c r="B3243" s="1543"/>
      <c r="C3243" s="1332" t="s">
        <v>739</v>
      </c>
      <c r="D3243" s="1331"/>
      <c r="E3243" s="1331" t="s">
        <v>881</v>
      </c>
      <c r="F3243" s="1334">
        <v>4.4999999999999998E-2</v>
      </c>
      <c r="G3243" s="1104">
        <f>DUB!$I$59</f>
        <v>208463</v>
      </c>
      <c r="H3243" s="1106">
        <f>G3243*F3243</f>
        <v>9380.8349999999991</v>
      </c>
      <c r="M3243" s="1566"/>
    </row>
    <row r="3244" spans="2:13" hidden="1">
      <c r="B3244" s="1543"/>
      <c r="C3244" s="1332" t="s">
        <v>1100</v>
      </c>
      <c r="D3244" s="1331"/>
      <c r="E3244" s="1331" t="s">
        <v>690</v>
      </c>
      <c r="F3244" s="1334">
        <v>3.2</v>
      </c>
      <c r="G3244" s="1104">
        <f>DUB!$I$62/40</f>
        <v>2750</v>
      </c>
      <c r="H3244" s="1106">
        <f>G3244*F3244</f>
        <v>8800</v>
      </c>
      <c r="M3244" s="1566"/>
    </row>
    <row r="3245" spans="2:13" hidden="1">
      <c r="B3245" s="1543"/>
      <c r="C3245" s="1125"/>
      <c r="D3245" s="1333"/>
      <c r="E3245" s="1333"/>
      <c r="F3245" s="2074" t="s">
        <v>702</v>
      </c>
      <c r="G3245" s="2074"/>
      <c r="H3245" s="1106">
        <f>SUM(H3241:H3244)</f>
        <v>144606.08499999999</v>
      </c>
      <c r="M3245" s="1566"/>
    </row>
    <row r="3246" spans="2:13" s="496" customFormat="1" hidden="1">
      <c r="B3246" s="1543" t="s">
        <v>703</v>
      </c>
      <c r="C3246" s="2075" t="s">
        <v>3764</v>
      </c>
      <c r="D3246" s="2075"/>
      <c r="E3246" s="2075"/>
      <c r="F3246" s="2075"/>
      <c r="G3246" s="2075"/>
      <c r="H3246" s="1107">
        <f>H3239+H3245</f>
        <v>331331.08499999996</v>
      </c>
      <c r="J3246" s="1559"/>
      <c r="K3246" s="1559"/>
      <c r="L3246" s="1559"/>
      <c r="M3246" s="1635"/>
    </row>
    <row r="3247" spans="2:13" s="496" customFormat="1" hidden="1">
      <c r="B3247" s="1543" t="s">
        <v>706</v>
      </c>
      <c r="C3247" s="2076" t="s">
        <v>876</v>
      </c>
      <c r="D3247" s="2076"/>
      <c r="E3247" s="2076"/>
      <c r="F3247" s="2077" t="s">
        <v>3873</v>
      </c>
      <c r="G3247" s="2077"/>
      <c r="H3247" s="1107">
        <f>H3246*0.15</f>
        <v>49699.662749999996</v>
      </c>
      <c r="J3247" s="1559"/>
      <c r="K3247" s="1559"/>
      <c r="L3247" s="1559"/>
      <c r="M3247" s="1635"/>
    </row>
    <row r="3248" spans="2:13" s="496" customFormat="1" hidden="1">
      <c r="B3248" s="1543" t="s">
        <v>708</v>
      </c>
      <c r="C3248" s="2078" t="s">
        <v>3765</v>
      </c>
      <c r="D3248" s="2078"/>
      <c r="E3248" s="2078"/>
      <c r="F3248" s="2078"/>
      <c r="G3248" s="2078"/>
      <c r="H3248" s="1107">
        <f>ROUND(SUM(H3246:H3247),2)</f>
        <v>381030.75</v>
      </c>
      <c r="I3248" s="506">
        <f>SUM(H3246:H3247)</f>
        <v>381030.74774999998</v>
      </c>
      <c r="J3248" s="1561"/>
      <c r="K3248" s="1561"/>
      <c r="L3248" s="1559"/>
      <c r="M3248" s="1635"/>
    </row>
    <row r="3249" spans="2:13" hidden="1">
      <c r="F3249" s="1172"/>
      <c r="G3249" s="1173"/>
      <c r="H3249" s="1133"/>
      <c r="M3249" s="1566"/>
    </row>
    <row r="3250" spans="2:13" hidden="1">
      <c r="B3250" s="1150" t="s">
        <v>4038</v>
      </c>
      <c r="C3250" s="1232" t="s">
        <v>2803</v>
      </c>
      <c r="F3250" s="1172"/>
      <c r="G3250" s="1173"/>
      <c r="H3250" s="1133"/>
      <c r="M3250" s="1566"/>
    </row>
    <row r="3251" spans="2:13" s="507" customFormat="1" ht="24.9" hidden="1" customHeight="1">
      <c r="B3251" s="1748" t="s">
        <v>1003</v>
      </c>
      <c r="C3251" s="1101" t="s">
        <v>1004</v>
      </c>
      <c r="D3251" s="1101" t="s">
        <v>1005</v>
      </c>
      <c r="E3251" s="1101" t="s">
        <v>1006</v>
      </c>
      <c r="F3251" s="1102" t="s">
        <v>1007</v>
      </c>
      <c r="G3251" s="1109" t="s">
        <v>2637</v>
      </c>
      <c r="H3251" s="1110" t="s">
        <v>2638</v>
      </c>
      <c r="J3251" s="1625"/>
      <c r="K3251" s="1625"/>
      <c r="L3251" s="1625"/>
      <c r="M3251" s="1570"/>
    </row>
    <row r="3252" spans="2:13" hidden="1">
      <c r="B3252" s="1543" t="s">
        <v>671</v>
      </c>
      <c r="C3252" s="1332" t="s">
        <v>672</v>
      </c>
      <c r="D3252" s="1331"/>
      <c r="E3252" s="1331"/>
      <c r="F3252" s="1334"/>
      <c r="G3252" s="1104"/>
      <c r="H3252" s="1106"/>
      <c r="M3252" s="1566"/>
    </row>
    <row r="3253" spans="2:13" hidden="1">
      <c r="B3253" s="1543"/>
      <c r="C3253" s="1332" t="s">
        <v>673</v>
      </c>
      <c r="D3253" s="1331" t="s">
        <v>674</v>
      </c>
      <c r="E3253" s="1331" t="s">
        <v>675</v>
      </c>
      <c r="F3253" s="1334">
        <v>0.7</v>
      </c>
      <c r="G3253" s="1104">
        <f>DUB!$I$10</f>
        <v>150000</v>
      </c>
      <c r="H3253" s="1106">
        <f>G3253*F3253</f>
        <v>105000</v>
      </c>
      <c r="M3253" s="1566"/>
    </row>
    <row r="3254" spans="2:13" hidden="1">
      <c r="B3254" s="1543"/>
      <c r="C3254" s="1332" t="s">
        <v>816</v>
      </c>
      <c r="D3254" s="1331" t="s">
        <v>678</v>
      </c>
      <c r="E3254" s="1331" t="s">
        <v>675</v>
      </c>
      <c r="F3254" s="1334">
        <v>0.35</v>
      </c>
      <c r="G3254" s="1104">
        <f>DUB!$I$11</f>
        <v>187000</v>
      </c>
      <c r="H3254" s="1106">
        <f>G3254*F3254</f>
        <v>65449.999999999993</v>
      </c>
      <c r="M3254" s="1566"/>
    </row>
    <row r="3255" spans="2:13" hidden="1">
      <c r="B3255" s="1543"/>
      <c r="C3255" s="1332" t="s">
        <v>751</v>
      </c>
      <c r="D3255" s="1331" t="s">
        <v>681</v>
      </c>
      <c r="E3255" s="1331" t="s">
        <v>675</v>
      </c>
      <c r="F3255" s="1334">
        <v>3.5000000000000003E-2</v>
      </c>
      <c r="G3255" s="1104">
        <f>DUB!$I$13</f>
        <v>240000</v>
      </c>
      <c r="H3255" s="1106">
        <f>G3255*F3255</f>
        <v>8400</v>
      </c>
      <c r="M3255" s="1566"/>
    </row>
    <row r="3256" spans="2:13" hidden="1">
      <c r="B3256" s="1543"/>
      <c r="C3256" s="1332" t="s">
        <v>683</v>
      </c>
      <c r="D3256" s="1331" t="s">
        <v>684</v>
      </c>
      <c r="E3256" s="1331" t="s">
        <v>675</v>
      </c>
      <c r="F3256" s="1334">
        <v>3.5000000000000003E-2</v>
      </c>
      <c r="G3256" s="1104">
        <f>DUB!$I$12</f>
        <v>225000</v>
      </c>
      <c r="H3256" s="1106">
        <f>G3256*F3256</f>
        <v>7875.0000000000009</v>
      </c>
      <c r="M3256" s="1566"/>
    </row>
    <row r="3257" spans="2:13" hidden="1">
      <c r="B3257" s="1543"/>
      <c r="C3257" s="1332"/>
      <c r="D3257" s="1331"/>
      <c r="E3257" s="1331"/>
      <c r="F3257" s="2074" t="s">
        <v>685</v>
      </c>
      <c r="G3257" s="2074"/>
      <c r="H3257" s="1106">
        <f>SUM(H3253:H3256)</f>
        <v>186725</v>
      </c>
      <c r="M3257" s="1566"/>
    </row>
    <row r="3258" spans="2:13" hidden="1">
      <c r="B3258" s="1543" t="s">
        <v>686</v>
      </c>
      <c r="C3258" s="1332" t="s">
        <v>687</v>
      </c>
      <c r="D3258" s="1331"/>
      <c r="E3258" s="1331"/>
      <c r="F3258" s="1334"/>
      <c r="G3258" s="1104"/>
      <c r="H3258" s="1106"/>
      <c r="M3258" s="1566"/>
    </row>
    <row r="3259" spans="2:13" hidden="1">
      <c r="B3259" s="1543"/>
      <c r="C3259" s="1332" t="s">
        <v>1134</v>
      </c>
      <c r="D3259" s="1331"/>
      <c r="E3259" s="1331" t="s">
        <v>743</v>
      </c>
      <c r="F3259" s="1334">
        <v>10</v>
      </c>
      <c r="G3259" s="1104">
        <f>DUB!$I$188</f>
        <v>7821</v>
      </c>
      <c r="H3259" s="1106">
        <f>G3259*F3259</f>
        <v>78210</v>
      </c>
      <c r="M3259" s="1566"/>
    </row>
    <row r="3260" spans="2:13" hidden="1">
      <c r="B3260" s="1543"/>
      <c r="C3260" s="1332" t="s">
        <v>738</v>
      </c>
      <c r="D3260" s="1331"/>
      <c r="E3260" s="1331" t="s">
        <v>690</v>
      </c>
      <c r="F3260" s="1334">
        <v>8.19</v>
      </c>
      <c r="G3260" s="1104">
        <f>DUB!$I$65</f>
        <v>1575</v>
      </c>
      <c r="H3260" s="1106">
        <f>G3260*F3260</f>
        <v>12899.25</v>
      </c>
      <c r="M3260" s="1566"/>
    </row>
    <row r="3261" spans="2:13" hidden="1">
      <c r="B3261" s="1543"/>
      <c r="C3261" s="1332" t="s">
        <v>739</v>
      </c>
      <c r="D3261" s="1331"/>
      <c r="E3261" s="1331" t="s">
        <v>881</v>
      </c>
      <c r="F3261" s="1334">
        <v>4.4999999999999998E-2</v>
      </c>
      <c r="G3261" s="1104">
        <f>DUB!$I$59</f>
        <v>208463</v>
      </c>
      <c r="H3261" s="1106">
        <f>G3261*F3261</f>
        <v>9380.8349999999991</v>
      </c>
      <c r="M3261" s="1566"/>
    </row>
    <row r="3262" spans="2:13" hidden="1">
      <c r="B3262" s="1543"/>
      <c r="C3262" s="1332" t="s">
        <v>1100</v>
      </c>
      <c r="D3262" s="1331"/>
      <c r="E3262" s="1331" t="s">
        <v>690</v>
      </c>
      <c r="F3262" s="1334">
        <v>1.62</v>
      </c>
      <c r="G3262" s="1104">
        <f>DUB!$I$62/40</f>
        <v>2750</v>
      </c>
      <c r="H3262" s="1106">
        <f>G3262*F3262</f>
        <v>4455</v>
      </c>
      <c r="M3262" s="1566"/>
    </row>
    <row r="3263" spans="2:13" hidden="1">
      <c r="B3263" s="1543"/>
      <c r="C3263" s="1125"/>
      <c r="D3263" s="1333"/>
      <c r="E3263" s="1333"/>
      <c r="F3263" s="2074" t="s">
        <v>702</v>
      </c>
      <c r="G3263" s="2074"/>
      <c r="H3263" s="1106">
        <f>SUM(H3259:H3262)</f>
        <v>104945.08499999999</v>
      </c>
      <c r="M3263" s="1566"/>
    </row>
    <row r="3264" spans="2:13" s="496" customFormat="1" hidden="1">
      <c r="B3264" s="1543" t="s">
        <v>703</v>
      </c>
      <c r="C3264" s="2075" t="s">
        <v>3764</v>
      </c>
      <c r="D3264" s="2075"/>
      <c r="E3264" s="2075"/>
      <c r="F3264" s="2075"/>
      <c r="G3264" s="2075"/>
      <c r="H3264" s="1107">
        <f>H3257+H3263</f>
        <v>291670.08499999996</v>
      </c>
      <c r="J3264" s="1559"/>
      <c r="K3264" s="1559"/>
      <c r="L3264" s="1559"/>
      <c r="M3264" s="1635"/>
    </row>
    <row r="3265" spans="2:13" s="496" customFormat="1" hidden="1">
      <c r="B3265" s="1543" t="s">
        <v>706</v>
      </c>
      <c r="C3265" s="2076" t="s">
        <v>876</v>
      </c>
      <c r="D3265" s="2076"/>
      <c r="E3265" s="2076"/>
      <c r="F3265" s="2077" t="s">
        <v>3873</v>
      </c>
      <c r="G3265" s="2077"/>
      <c r="H3265" s="1107">
        <f>H3264*0.15</f>
        <v>43750.512749999994</v>
      </c>
      <c r="J3265" s="1559"/>
      <c r="K3265" s="1559"/>
      <c r="L3265" s="1559"/>
      <c r="M3265" s="1635"/>
    </row>
    <row r="3266" spans="2:13" s="496" customFormat="1" hidden="1">
      <c r="B3266" s="1543" t="s">
        <v>708</v>
      </c>
      <c r="C3266" s="2078" t="s">
        <v>3765</v>
      </c>
      <c r="D3266" s="2078"/>
      <c r="E3266" s="2078"/>
      <c r="F3266" s="2078"/>
      <c r="G3266" s="2078"/>
      <c r="H3266" s="1107">
        <f>ROUND(SUM(H3264:H3265),2)</f>
        <v>335420.59999999998</v>
      </c>
      <c r="I3266" s="506">
        <f>SUM(H3264:H3265)</f>
        <v>335420.59774999996</v>
      </c>
      <c r="J3266" s="1561"/>
      <c r="K3266" s="1561"/>
      <c r="L3266" s="1559"/>
      <c r="M3266" s="1635"/>
    </row>
    <row r="3267" spans="2:13" hidden="1">
      <c r="B3267" s="1143"/>
      <c r="C3267" s="1144"/>
      <c r="D3267" s="1143"/>
      <c r="E3267" s="1143"/>
      <c r="F3267" s="1145"/>
      <c r="G3267" s="1146"/>
      <c r="H3267" s="1147"/>
      <c r="M3267" s="1566"/>
    </row>
    <row r="3268" spans="2:13" hidden="1">
      <c r="B3268" s="1100" t="s">
        <v>4039</v>
      </c>
      <c r="C3268" s="1112" t="s">
        <v>2802</v>
      </c>
      <c r="D3268" s="1129"/>
      <c r="E3268" s="1129"/>
      <c r="F3268" s="1131"/>
      <c r="G3268" s="1132"/>
      <c r="H3268" s="1115"/>
      <c r="M3268" s="1566"/>
    </row>
    <row r="3269" spans="2:13" s="507" customFormat="1" ht="24.9" hidden="1" customHeight="1">
      <c r="B3269" s="1748" t="s">
        <v>1003</v>
      </c>
      <c r="C3269" s="1101" t="s">
        <v>1004</v>
      </c>
      <c r="D3269" s="1101" t="s">
        <v>1005</v>
      </c>
      <c r="E3269" s="1101" t="s">
        <v>1006</v>
      </c>
      <c r="F3269" s="1102" t="s">
        <v>1007</v>
      </c>
      <c r="G3269" s="1109" t="s">
        <v>2637</v>
      </c>
      <c r="H3269" s="1110" t="s">
        <v>2638</v>
      </c>
      <c r="J3269" s="1625"/>
      <c r="K3269" s="1625"/>
      <c r="L3269" s="1625"/>
      <c r="M3269" s="1570"/>
    </row>
    <row r="3270" spans="2:13" hidden="1">
      <c r="B3270" s="1543" t="s">
        <v>671</v>
      </c>
      <c r="C3270" s="1332" t="s">
        <v>672</v>
      </c>
      <c r="D3270" s="1331"/>
      <c r="E3270" s="1331"/>
      <c r="F3270" s="1334"/>
      <c r="G3270" s="1104"/>
      <c r="H3270" s="1106"/>
      <c r="M3270" s="1566"/>
    </row>
    <row r="3271" spans="2:13" hidden="1">
      <c r="B3271" s="1543"/>
      <c r="C3271" s="1332" t="s">
        <v>673</v>
      </c>
      <c r="D3271" s="1331" t="s">
        <v>674</v>
      </c>
      <c r="E3271" s="1331" t="s">
        <v>675</v>
      </c>
      <c r="F3271" s="1334">
        <v>0.7</v>
      </c>
      <c r="G3271" s="1104">
        <f>DUB!$I$10</f>
        <v>150000</v>
      </c>
      <c r="H3271" s="1106">
        <f>G3271*F3271</f>
        <v>105000</v>
      </c>
      <c r="M3271" s="1566"/>
    </row>
    <row r="3272" spans="2:13" hidden="1">
      <c r="B3272" s="1543"/>
      <c r="C3272" s="1332" t="s">
        <v>816</v>
      </c>
      <c r="D3272" s="1331" t="s">
        <v>678</v>
      </c>
      <c r="E3272" s="1331" t="s">
        <v>675</v>
      </c>
      <c r="F3272" s="1334">
        <v>0.35</v>
      </c>
      <c r="G3272" s="1104">
        <f>DUB!$I$11</f>
        <v>187000</v>
      </c>
      <c r="H3272" s="1106">
        <f>G3272*F3272</f>
        <v>65449.999999999993</v>
      </c>
      <c r="M3272" s="1566"/>
    </row>
    <row r="3273" spans="2:13" hidden="1">
      <c r="B3273" s="1543"/>
      <c r="C3273" s="1332" t="s">
        <v>751</v>
      </c>
      <c r="D3273" s="1331" t="s">
        <v>681</v>
      </c>
      <c r="E3273" s="1331" t="s">
        <v>675</v>
      </c>
      <c r="F3273" s="1334">
        <v>3.5000000000000003E-2</v>
      </c>
      <c r="G3273" s="1104">
        <f>DUB!$I$13</f>
        <v>240000</v>
      </c>
      <c r="H3273" s="1106">
        <f>G3273*F3273</f>
        <v>8400</v>
      </c>
      <c r="M3273" s="1566"/>
    </row>
    <row r="3274" spans="2:13" hidden="1">
      <c r="B3274" s="1543"/>
      <c r="C3274" s="1332" t="s">
        <v>683</v>
      </c>
      <c r="D3274" s="1331" t="s">
        <v>684</v>
      </c>
      <c r="E3274" s="1331" t="s">
        <v>675</v>
      </c>
      <c r="F3274" s="1334">
        <v>3.5000000000000003E-2</v>
      </c>
      <c r="G3274" s="1104">
        <f>DUB!$I$12</f>
        <v>225000</v>
      </c>
      <c r="H3274" s="1106">
        <f>G3274*F3274</f>
        <v>7875.0000000000009</v>
      </c>
      <c r="M3274" s="1566"/>
    </row>
    <row r="3275" spans="2:13" hidden="1">
      <c r="B3275" s="1543"/>
      <c r="C3275" s="1332"/>
      <c r="D3275" s="1331"/>
      <c r="E3275" s="1331"/>
      <c r="F3275" s="2074" t="s">
        <v>685</v>
      </c>
      <c r="G3275" s="2074"/>
      <c r="H3275" s="1106">
        <f>SUM(H3271:H3274)</f>
        <v>186725</v>
      </c>
      <c r="M3275" s="1566"/>
    </row>
    <row r="3276" spans="2:13" hidden="1">
      <c r="B3276" s="1543" t="s">
        <v>686</v>
      </c>
      <c r="C3276" s="1332" t="s">
        <v>687</v>
      </c>
      <c r="D3276" s="1331"/>
      <c r="E3276" s="1331"/>
      <c r="F3276" s="1334"/>
      <c r="G3276" s="1104"/>
      <c r="H3276" s="1106"/>
      <c r="M3276" s="1566"/>
    </row>
    <row r="3277" spans="2:13" hidden="1">
      <c r="B3277" s="1543"/>
      <c r="C3277" s="1332" t="s">
        <v>1134</v>
      </c>
      <c r="D3277" s="1331"/>
      <c r="E3277" s="1331" t="s">
        <v>743</v>
      </c>
      <c r="F3277" s="1334">
        <v>11.87</v>
      </c>
      <c r="G3277" s="1104">
        <f>DUB!$I$186</f>
        <v>7119</v>
      </c>
      <c r="H3277" s="1106">
        <f>G3277*F3277</f>
        <v>84502.53</v>
      </c>
      <c r="M3277" s="1566"/>
    </row>
    <row r="3278" spans="2:13" hidden="1">
      <c r="B3278" s="1543"/>
      <c r="C3278" s="1332" t="s">
        <v>738</v>
      </c>
      <c r="D3278" s="1331"/>
      <c r="E3278" s="1331" t="s">
        <v>690</v>
      </c>
      <c r="F3278" s="1334">
        <v>10</v>
      </c>
      <c r="G3278" s="1104">
        <f>DUB!$I$65</f>
        <v>1575</v>
      </c>
      <c r="H3278" s="1106">
        <f>G3278*F3278</f>
        <v>15750</v>
      </c>
      <c r="M3278" s="1566"/>
    </row>
    <row r="3279" spans="2:13" hidden="1">
      <c r="B3279" s="1543"/>
      <c r="C3279" s="1332" t="s">
        <v>739</v>
      </c>
      <c r="D3279" s="1331"/>
      <c r="E3279" s="1331" t="s">
        <v>881</v>
      </c>
      <c r="F3279" s="1334">
        <v>4.4999999999999998E-2</v>
      </c>
      <c r="G3279" s="1104">
        <f>DUB!$I$59</f>
        <v>208463</v>
      </c>
      <c r="H3279" s="1106">
        <f>G3279*F3279</f>
        <v>9380.8349999999991</v>
      </c>
      <c r="M3279" s="1566"/>
    </row>
    <row r="3280" spans="2:13" hidden="1">
      <c r="B3280" s="1543"/>
      <c r="C3280" s="1332" t="s">
        <v>1100</v>
      </c>
      <c r="D3280" s="1331"/>
      <c r="E3280" s="1331" t="s">
        <v>690</v>
      </c>
      <c r="F3280" s="1334">
        <v>1.5</v>
      </c>
      <c r="G3280" s="1104">
        <f>DUB!$I$62/40</f>
        <v>2750</v>
      </c>
      <c r="H3280" s="1106">
        <f>G3280*F3280</f>
        <v>4125</v>
      </c>
      <c r="M3280" s="1566"/>
    </row>
    <row r="3281" spans="2:13" hidden="1">
      <c r="B3281" s="1543"/>
      <c r="C3281" s="1125"/>
      <c r="D3281" s="1333"/>
      <c r="E3281" s="1333"/>
      <c r="F3281" s="2074" t="s">
        <v>702</v>
      </c>
      <c r="G3281" s="2074"/>
      <c r="H3281" s="1106">
        <f>SUM(H3277:H3280)</f>
        <v>113758.36499999999</v>
      </c>
      <c r="M3281" s="1566"/>
    </row>
    <row r="3282" spans="2:13" s="496" customFormat="1" hidden="1">
      <c r="B3282" s="1543" t="s">
        <v>703</v>
      </c>
      <c r="C3282" s="2075" t="s">
        <v>3764</v>
      </c>
      <c r="D3282" s="2075"/>
      <c r="E3282" s="2075"/>
      <c r="F3282" s="2075"/>
      <c r="G3282" s="2075"/>
      <c r="H3282" s="1107">
        <f>H3275+H3281</f>
        <v>300483.36499999999</v>
      </c>
      <c r="J3282" s="1559"/>
      <c r="K3282" s="1559"/>
      <c r="L3282" s="1559"/>
      <c r="M3282" s="1635"/>
    </row>
    <row r="3283" spans="2:13" s="496" customFormat="1" hidden="1">
      <c r="B3283" s="1543" t="s">
        <v>706</v>
      </c>
      <c r="C3283" s="2076" t="s">
        <v>876</v>
      </c>
      <c r="D3283" s="2076"/>
      <c r="E3283" s="2076"/>
      <c r="F3283" s="2077" t="s">
        <v>3873</v>
      </c>
      <c r="G3283" s="2077"/>
      <c r="H3283" s="1107">
        <f>H3282*0.15</f>
        <v>45072.50475</v>
      </c>
      <c r="J3283" s="1559"/>
      <c r="K3283" s="1559"/>
      <c r="L3283" s="1559"/>
      <c r="M3283" s="1635"/>
    </row>
    <row r="3284" spans="2:13" s="496" customFormat="1" hidden="1">
      <c r="B3284" s="1543" t="s">
        <v>708</v>
      </c>
      <c r="C3284" s="2078" t="s">
        <v>3765</v>
      </c>
      <c r="D3284" s="2078"/>
      <c r="E3284" s="2078"/>
      <c r="F3284" s="2078"/>
      <c r="G3284" s="2078"/>
      <c r="H3284" s="1107">
        <f>ROUND(SUM(H3282:H3283),2)</f>
        <v>345555.87</v>
      </c>
      <c r="I3284" s="506">
        <f>SUM(H3282:H3283)</f>
        <v>345555.86975000001</v>
      </c>
      <c r="J3284" s="1561"/>
      <c r="K3284" s="1561"/>
      <c r="L3284" s="1559"/>
      <c r="M3284" s="1635"/>
    </row>
    <row r="3285" spans="2:13" hidden="1">
      <c r="F3285" s="1172"/>
      <c r="G3285" s="1173"/>
      <c r="H3285" s="1133"/>
      <c r="M3285" s="1566"/>
    </row>
    <row r="3286" spans="2:13" hidden="1">
      <c r="B3286" s="1100" t="s">
        <v>4040</v>
      </c>
      <c r="C3286" s="1232" t="s">
        <v>2801</v>
      </c>
      <c r="F3286" s="1172"/>
      <c r="G3286" s="1173"/>
      <c r="H3286" s="1133"/>
      <c r="M3286" s="1566"/>
    </row>
    <row r="3287" spans="2:13" s="507" customFormat="1" ht="24.9" hidden="1" customHeight="1">
      <c r="B3287" s="1748" t="s">
        <v>1003</v>
      </c>
      <c r="C3287" s="1101" t="s">
        <v>1004</v>
      </c>
      <c r="D3287" s="1101" t="s">
        <v>1005</v>
      </c>
      <c r="E3287" s="1101" t="s">
        <v>1006</v>
      </c>
      <c r="F3287" s="1102" t="s">
        <v>1007</v>
      </c>
      <c r="G3287" s="1109" t="s">
        <v>2637</v>
      </c>
      <c r="H3287" s="1110" t="s">
        <v>2638</v>
      </c>
      <c r="J3287" s="1625"/>
      <c r="K3287" s="1625"/>
      <c r="L3287" s="1625"/>
      <c r="M3287" s="1570"/>
    </row>
    <row r="3288" spans="2:13" hidden="1">
      <c r="B3288" s="1543" t="s">
        <v>671</v>
      </c>
      <c r="C3288" s="1332" t="s">
        <v>672</v>
      </c>
      <c r="D3288" s="1331"/>
      <c r="E3288" s="1331"/>
      <c r="F3288" s="1334"/>
      <c r="G3288" s="1104"/>
      <c r="H3288" s="1106"/>
      <c r="M3288" s="1566"/>
    </row>
    <row r="3289" spans="2:13" hidden="1">
      <c r="B3289" s="1543"/>
      <c r="C3289" s="1332" t="s">
        <v>673</v>
      </c>
      <c r="D3289" s="1331" t="s">
        <v>674</v>
      </c>
      <c r="E3289" s="1331" t="s">
        <v>675</v>
      </c>
      <c r="F3289" s="1334">
        <v>0.7</v>
      </c>
      <c r="G3289" s="1104">
        <f>DUB!$I$10</f>
        <v>150000</v>
      </c>
      <c r="H3289" s="1106">
        <f>G3289*F3289</f>
        <v>105000</v>
      </c>
      <c r="M3289" s="1566"/>
    </row>
    <row r="3290" spans="2:13" hidden="1">
      <c r="B3290" s="1543"/>
      <c r="C3290" s="1332" t="s">
        <v>816</v>
      </c>
      <c r="D3290" s="1331" t="s">
        <v>678</v>
      </c>
      <c r="E3290" s="1331" t="s">
        <v>675</v>
      </c>
      <c r="F3290" s="1334">
        <v>0.35</v>
      </c>
      <c r="G3290" s="1104">
        <f>DUB!$I$11</f>
        <v>187000</v>
      </c>
      <c r="H3290" s="1106">
        <f>G3290*F3290</f>
        <v>65449.999999999993</v>
      </c>
      <c r="M3290" s="1566"/>
    </row>
    <row r="3291" spans="2:13" hidden="1">
      <c r="B3291" s="1543"/>
      <c r="C3291" s="1332" t="s">
        <v>751</v>
      </c>
      <c r="D3291" s="1331" t="s">
        <v>681</v>
      </c>
      <c r="E3291" s="1331" t="s">
        <v>675</v>
      </c>
      <c r="F3291" s="1334">
        <v>3.5000000000000003E-2</v>
      </c>
      <c r="G3291" s="1104">
        <f>DUB!$I$13</f>
        <v>240000</v>
      </c>
      <c r="H3291" s="1106">
        <f>G3291*F3291</f>
        <v>8400</v>
      </c>
      <c r="M3291" s="1566"/>
    </row>
    <row r="3292" spans="2:13" hidden="1">
      <c r="B3292" s="1543"/>
      <c r="C3292" s="1332" t="s">
        <v>683</v>
      </c>
      <c r="D3292" s="1331" t="s">
        <v>684</v>
      </c>
      <c r="E3292" s="1331" t="s">
        <v>675</v>
      </c>
      <c r="F3292" s="1334">
        <v>3.5000000000000003E-2</v>
      </c>
      <c r="G3292" s="1104">
        <f>DUB!$I$12</f>
        <v>225000</v>
      </c>
      <c r="H3292" s="1106">
        <f>G3292*F3292</f>
        <v>7875.0000000000009</v>
      </c>
      <c r="M3292" s="1566"/>
    </row>
    <row r="3293" spans="2:13" hidden="1">
      <c r="B3293" s="1543"/>
      <c r="C3293" s="1332"/>
      <c r="D3293" s="1331"/>
      <c r="E3293" s="1331"/>
      <c r="F3293" s="2074" t="s">
        <v>685</v>
      </c>
      <c r="G3293" s="2074"/>
      <c r="H3293" s="1106">
        <f>SUM(H3289:H3292)</f>
        <v>186725</v>
      </c>
      <c r="M3293" s="1566"/>
    </row>
    <row r="3294" spans="2:13" hidden="1">
      <c r="B3294" s="1543" t="s">
        <v>686</v>
      </c>
      <c r="C3294" s="1332" t="s">
        <v>687</v>
      </c>
      <c r="D3294" s="1331"/>
      <c r="E3294" s="1331"/>
      <c r="F3294" s="1334"/>
      <c r="G3294" s="1104"/>
      <c r="H3294" s="1106"/>
      <c r="M3294" s="1566"/>
    </row>
    <row r="3295" spans="2:13" hidden="1">
      <c r="B3295" s="1543"/>
      <c r="C3295" s="1332" t="s">
        <v>1134</v>
      </c>
      <c r="D3295" s="1331"/>
      <c r="E3295" s="1331" t="s">
        <v>743</v>
      </c>
      <c r="F3295" s="1334">
        <v>26.5</v>
      </c>
      <c r="G3295" s="1104">
        <f>DUB!$I$183</f>
        <v>2403</v>
      </c>
      <c r="H3295" s="1106">
        <f>G3295*F3295</f>
        <v>63679.5</v>
      </c>
      <c r="M3295" s="1566"/>
    </row>
    <row r="3296" spans="2:13" hidden="1">
      <c r="B3296" s="1543"/>
      <c r="C3296" s="1332" t="s">
        <v>818</v>
      </c>
      <c r="D3296" s="1331"/>
      <c r="E3296" s="1331" t="s">
        <v>690</v>
      </c>
      <c r="F3296" s="1334">
        <v>10.4</v>
      </c>
      <c r="G3296" s="1104">
        <f>DUB!$I$65</f>
        <v>1575</v>
      </c>
      <c r="H3296" s="1106">
        <f>G3296*F3296</f>
        <v>16380</v>
      </c>
      <c r="M3296" s="1566"/>
    </row>
    <row r="3297" spans="2:13" hidden="1">
      <c r="B3297" s="1543"/>
      <c r="C3297" s="1332" t="s">
        <v>739</v>
      </c>
      <c r="D3297" s="1331"/>
      <c r="E3297" s="1331" t="s">
        <v>881</v>
      </c>
      <c r="F3297" s="1334">
        <v>4.4999999999999998E-2</v>
      </c>
      <c r="G3297" s="1104">
        <f>DUB!$I$59</f>
        <v>208463</v>
      </c>
      <c r="H3297" s="1106">
        <f>G3297*F3297</f>
        <v>9380.8349999999991</v>
      </c>
      <c r="M3297" s="1566"/>
    </row>
    <row r="3298" spans="2:13" hidden="1">
      <c r="B3298" s="1543"/>
      <c r="C3298" s="1332" t="s">
        <v>1100</v>
      </c>
      <c r="D3298" s="1331"/>
      <c r="E3298" s="1331" t="s">
        <v>690</v>
      </c>
      <c r="F3298" s="1334">
        <v>1.62</v>
      </c>
      <c r="G3298" s="1104">
        <f>DUB!$I$62/40</f>
        <v>2750</v>
      </c>
      <c r="H3298" s="1106">
        <f>G3298*F3298</f>
        <v>4455</v>
      </c>
      <c r="M3298" s="1566"/>
    </row>
    <row r="3299" spans="2:13" hidden="1">
      <c r="B3299" s="1543"/>
      <c r="C3299" s="1125"/>
      <c r="D3299" s="1333"/>
      <c r="E3299" s="1333"/>
      <c r="F3299" s="2074" t="s">
        <v>702</v>
      </c>
      <c r="G3299" s="2074"/>
      <c r="H3299" s="1106">
        <f>SUM(H3295:H3298)</f>
        <v>93895.334999999992</v>
      </c>
      <c r="M3299" s="1566"/>
    </row>
    <row r="3300" spans="2:13" s="496" customFormat="1" hidden="1">
      <c r="B3300" s="1543" t="s">
        <v>703</v>
      </c>
      <c r="C3300" s="2075" t="s">
        <v>3764</v>
      </c>
      <c r="D3300" s="2075"/>
      <c r="E3300" s="2075"/>
      <c r="F3300" s="2075"/>
      <c r="G3300" s="2075"/>
      <c r="H3300" s="1107">
        <f>H3293+H3299</f>
        <v>280620.33499999996</v>
      </c>
      <c r="J3300" s="1559"/>
      <c r="K3300" s="1559"/>
      <c r="L3300" s="1559"/>
      <c r="M3300" s="1635"/>
    </row>
    <row r="3301" spans="2:13" s="496" customFormat="1" hidden="1">
      <c r="B3301" s="1543" t="s">
        <v>706</v>
      </c>
      <c r="C3301" s="2076" t="s">
        <v>876</v>
      </c>
      <c r="D3301" s="2076"/>
      <c r="E3301" s="2076"/>
      <c r="F3301" s="2077" t="s">
        <v>3873</v>
      </c>
      <c r="G3301" s="2077"/>
      <c r="H3301" s="1107">
        <f>H3300*0.15</f>
        <v>42093.050249999993</v>
      </c>
      <c r="J3301" s="1559"/>
      <c r="K3301" s="1559"/>
      <c r="L3301" s="1559"/>
      <c r="M3301" s="1635"/>
    </row>
    <row r="3302" spans="2:13" s="496" customFormat="1" hidden="1">
      <c r="B3302" s="1543" t="s">
        <v>708</v>
      </c>
      <c r="C3302" s="2078" t="s">
        <v>3765</v>
      </c>
      <c r="D3302" s="2078"/>
      <c r="E3302" s="2078"/>
      <c r="F3302" s="2078"/>
      <c r="G3302" s="2078"/>
      <c r="H3302" s="1107">
        <f>ROUND(SUM(H3300:H3301),2)</f>
        <v>322713.39</v>
      </c>
      <c r="I3302" s="506">
        <f>SUM(H3300:H3301)</f>
        <v>322713.38524999993</v>
      </c>
      <c r="J3302" s="1561"/>
      <c r="K3302" s="1561"/>
      <c r="L3302" s="1559"/>
      <c r="M3302" s="1635"/>
    </row>
    <row r="3303" spans="2:13" hidden="1">
      <c r="B3303" s="1129"/>
      <c r="C3303" s="1130"/>
      <c r="D3303" s="1129"/>
      <c r="E3303" s="1130"/>
      <c r="F3303" s="1131"/>
      <c r="G3303" s="1132"/>
      <c r="H3303" s="1115"/>
      <c r="M3303" s="1566"/>
    </row>
    <row r="3304" spans="2:13" hidden="1">
      <c r="B3304" s="1100" t="s">
        <v>4041</v>
      </c>
      <c r="C3304" s="1232" t="s">
        <v>3563</v>
      </c>
      <c r="F3304" s="1172"/>
      <c r="G3304" s="1173"/>
      <c r="H3304" s="1133"/>
      <c r="M3304" s="1566"/>
    </row>
    <row r="3305" spans="2:13" s="507" customFormat="1" ht="24.9" hidden="1" customHeight="1">
      <c r="B3305" s="1748" t="s">
        <v>1003</v>
      </c>
      <c r="C3305" s="1101" t="s">
        <v>1004</v>
      </c>
      <c r="D3305" s="1101" t="s">
        <v>1005</v>
      </c>
      <c r="E3305" s="1101" t="s">
        <v>1006</v>
      </c>
      <c r="F3305" s="1102" t="s">
        <v>1007</v>
      </c>
      <c r="G3305" s="1109" t="s">
        <v>2637</v>
      </c>
      <c r="H3305" s="1110" t="s">
        <v>2638</v>
      </c>
      <c r="J3305" s="1625"/>
      <c r="K3305" s="1625"/>
      <c r="L3305" s="1625"/>
      <c r="M3305" s="1570"/>
    </row>
    <row r="3306" spans="2:13" hidden="1">
      <c r="B3306" s="1543" t="s">
        <v>671</v>
      </c>
      <c r="C3306" s="1332" t="s">
        <v>672</v>
      </c>
      <c r="D3306" s="1331"/>
      <c r="E3306" s="1331"/>
      <c r="F3306" s="1334"/>
      <c r="G3306" s="1104"/>
      <c r="H3306" s="1106"/>
      <c r="M3306" s="1566"/>
    </row>
    <row r="3307" spans="2:13" hidden="1">
      <c r="B3307" s="1543"/>
      <c r="C3307" s="1332" t="s">
        <v>673</v>
      </c>
      <c r="D3307" s="1331" t="s">
        <v>674</v>
      </c>
      <c r="E3307" s="1331" t="s">
        <v>675</v>
      </c>
      <c r="F3307" s="1334">
        <v>0.7</v>
      </c>
      <c r="G3307" s="1104">
        <f>DUB!$I$10</f>
        <v>150000</v>
      </c>
      <c r="H3307" s="1106">
        <f>G3307*F3307</f>
        <v>105000</v>
      </c>
      <c r="M3307" s="1566"/>
    </row>
    <row r="3308" spans="2:13" hidden="1">
      <c r="B3308" s="1543"/>
      <c r="C3308" s="1332" t="s">
        <v>816</v>
      </c>
      <c r="D3308" s="1331" t="s">
        <v>678</v>
      </c>
      <c r="E3308" s="1331" t="s">
        <v>675</v>
      </c>
      <c r="F3308" s="1334">
        <v>0.35</v>
      </c>
      <c r="G3308" s="1104">
        <f>DUB!$I$11</f>
        <v>187000</v>
      </c>
      <c r="H3308" s="1106">
        <f>G3308*F3308</f>
        <v>65449.999999999993</v>
      </c>
      <c r="M3308" s="1566"/>
    </row>
    <row r="3309" spans="2:13" hidden="1">
      <c r="B3309" s="1543"/>
      <c r="C3309" s="1332" t="s">
        <v>751</v>
      </c>
      <c r="D3309" s="1331" t="s">
        <v>681</v>
      </c>
      <c r="E3309" s="1331" t="s">
        <v>675</v>
      </c>
      <c r="F3309" s="1334">
        <v>3.5000000000000003E-2</v>
      </c>
      <c r="G3309" s="1104">
        <f>DUB!$I$13</f>
        <v>240000</v>
      </c>
      <c r="H3309" s="1106">
        <f>G3309*F3309</f>
        <v>8400</v>
      </c>
      <c r="M3309" s="1566"/>
    </row>
    <row r="3310" spans="2:13" hidden="1">
      <c r="B3310" s="1543"/>
      <c r="C3310" s="1332" t="s">
        <v>683</v>
      </c>
      <c r="D3310" s="1331" t="s">
        <v>684</v>
      </c>
      <c r="E3310" s="1331" t="s">
        <v>675</v>
      </c>
      <c r="F3310" s="1334">
        <v>3.5000000000000003E-2</v>
      </c>
      <c r="G3310" s="1104">
        <f>DUB!$I$12</f>
        <v>225000</v>
      </c>
      <c r="H3310" s="1106">
        <f>G3310*F3310</f>
        <v>7875.0000000000009</v>
      </c>
      <c r="M3310" s="1566"/>
    </row>
    <row r="3311" spans="2:13" hidden="1">
      <c r="B3311" s="1543"/>
      <c r="C3311" s="1332"/>
      <c r="D3311" s="1331"/>
      <c r="E3311" s="1331"/>
      <c r="F3311" s="2074" t="s">
        <v>685</v>
      </c>
      <c r="G3311" s="2074"/>
      <c r="H3311" s="1106">
        <f>SUM(H3307:H3310)</f>
        <v>186725</v>
      </c>
      <c r="M3311" s="1566"/>
    </row>
    <row r="3312" spans="2:13" hidden="1">
      <c r="B3312" s="1543" t="s">
        <v>686</v>
      </c>
      <c r="C3312" s="1332" t="s">
        <v>687</v>
      </c>
      <c r="D3312" s="1331"/>
      <c r="E3312" s="1331"/>
      <c r="F3312" s="1334"/>
      <c r="G3312" s="1104"/>
      <c r="H3312" s="1106"/>
      <c r="M3312" s="1566"/>
    </row>
    <row r="3313" spans="2:13" hidden="1">
      <c r="B3313" s="1543"/>
      <c r="C3313" s="1332" t="s">
        <v>1134</v>
      </c>
      <c r="D3313" s="1331"/>
      <c r="E3313" s="1331" t="s">
        <v>743</v>
      </c>
      <c r="F3313" s="1334">
        <v>20</v>
      </c>
      <c r="G3313" s="1104">
        <f>DUB!$I$184</f>
        <v>3744</v>
      </c>
      <c r="H3313" s="1106">
        <f>G3313*F3313</f>
        <v>74880</v>
      </c>
      <c r="M3313" s="1566"/>
    </row>
    <row r="3314" spans="2:13" hidden="1">
      <c r="B3314" s="1543"/>
      <c r="C3314" s="1332" t="s">
        <v>818</v>
      </c>
      <c r="D3314" s="1331"/>
      <c r="E3314" s="1331" t="s">
        <v>690</v>
      </c>
      <c r="F3314" s="1334">
        <v>10.4</v>
      </c>
      <c r="G3314" s="1104">
        <f>DUB!$I$65</f>
        <v>1575</v>
      </c>
      <c r="H3314" s="1106">
        <f>G3314*F3314</f>
        <v>16380</v>
      </c>
      <c r="M3314" s="1566"/>
    </row>
    <row r="3315" spans="2:13" hidden="1">
      <c r="B3315" s="1543"/>
      <c r="C3315" s="1332" t="s">
        <v>739</v>
      </c>
      <c r="D3315" s="1331"/>
      <c r="E3315" s="1331" t="s">
        <v>881</v>
      </c>
      <c r="F3315" s="1334">
        <v>4.4999999999999998E-2</v>
      </c>
      <c r="G3315" s="1104">
        <f>DUB!$I$59</f>
        <v>208463</v>
      </c>
      <c r="H3315" s="1106">
        <f>G3315*F3315</f>
        <v>9380.8349999999991</v>
      </c>
      <c r="M3315" s="1566"/>
    </row>
    <row r="3316" spans="2:13" hidden="1">
      <c r="B3316" s="1543"/>
      <c r="C3316" s="1332" t="s">
        <v>1100</v>
      </c>
      <c r="D3316" s="1331"/>
      <c r="E3316" s="1331" t="s">
        <v>690</v>
      </c>
      <c r="F3316" s="1334">
        <v>1.62</v>
      </c>
      <c r="G3316" s="1104">
        <f>DUB!$I$62/40</f>
        <v>2750</v>
      </c>
      <c r="H3316" s="1106">
        <f>G3316*F3316</f>
        <v>4455</v>
      </c>
      <c r="M3316" s="1566"/>
    </row>
    <row r="3317" spans="2:13" hidden="1">
      <c r="B3317" s="1543"/>
      <c r="C3317" s="1332"/>
      <c r="D3317" s="1331"/>
      <c r="E3317" s="1331"/>
      <c r="F3317" s="2091" t="s">
        <v>702</v>
      </c>
      <c r="G3317" s="2091"/>
      <c r="H3317" s="1106">
        <f>SUM(H3313:H3316)</f>
        <v>105095.83499999999</v>
      </c>
      <c r="M3317" s="1566"/>
    </row>
    <row r="3318" spans="2:13" s="496" customFormat="1" hidden="1">
      <c r="B3318" s="1543" t="s">
        <v>703</v>
      </c>
      <c r="C3318" s="2075" t="s">
        <v>3764</v>
      </c>
      <c r="D3318" s="2075"/>
      <c r="E3318" s="2075"/>
      <c r="F3318" s="2075"/>
      <c r="G3318" s="2075"/>
      <c r="H3318" s="1107">
        <f>H3311+H3317</f>
        <v>291820.83499999996</v>
      </c>
      <c r="J3318" s="1559"/>
      <c r="K3318" s="1559"/>
      <c r="L3318" s="1559"/>
      <c r="M3318" s="1635"/>
    </row>
    <row r="3319" spans="2:13" s="496" customFormat="1" hidden="1">
      <c r="B3319" s="1543" t="s">
        <v>706</v>
      </c>
      <c r="C3319" s="2076" t="s">
        <v>876</v>
      </c>
      <c r="D3319" s="2076"/>
      <c r="E3319" s="2076"/>
      <c r="F3319" s="2077" t="s">
        <v>3873</v>
      </c>
      <c r="G3319" s="2077"/>
      <c r="H3319" s="1107">
        <f>H3318*0.15</f>
        <v>43773.12524999999</v>
      </c>
      <c r="J3319" s="1559"/>
      <c r="K3319" s="1559"/>
      <c r="L3319" s="1559"/>
      <c r="M3319" s="1635"/>
    </row>
    <row r="3320" spans="2:13" s="496" customFormat="1" hidden="1">
      <c r="B3320" s="1543" t="s">
        <v>708</v>
      </c>
      <c r="C3320" s="2075" t="s">
        <v>3765</v>
      </c>
      <c r="D3320" s="2075"/>
      <c r="E3320" s="2075"/>
      <c r="F3320" s="2075"/>
      <c r="G3320" s="2075"/>
      <c r="H3320" s="1107">
        <f>ROUND(SUM(H3318:H3319),2)</f>
        <v>335593.96</v>
      </c>
      <c r="I3320" s="506">
        <f>SUM(H3318:H3319)</f>
        <v>335593.96024999995</v>
      </c>
      <c r="J3320" s="1561"/>
      <c r="K3320" s="1561"/>
      <c r="L3320" s="1559"/>
      <c r="M3320" s="1635"/>
    </row>
    <row r="3321" spans="2:13" hidden="1">
      <c r="B3321" s="1129"/>
      <c r="C3321" s="1130"/>
      <c r="D3321" s="1129"/>
      <c r="E3321" s="1130"/>
      <c r="F3321" s="1131"/>
      <c r="G3321" s="1132"/>
      <c r="H3321" s="1133"/>
      <c r="I3321" s="526"/>
      <c r="J3321" s="1562"/>
      <c r="K3321" s="1562"/>
      <c r="M3321" s="1566"/>
    </row>
    <row r="3322" spans="2:13">
      <c r="B3322" s="1100" t="s">
        <v>4042</v>
      </c>
      <c r="C3322" s="1232" t="s">
        <v>3408</v>
      </c>
      <c r="F3322" s="1172"/>
      <c r="G3322" s="1173"/>
      <c r="H3322" s="1133"/>
      <c r="I3322" s="526"/>
      <c r="J3322" s="1562"/>
      <c r="K3322" s="1562"/>
      <c r="M3322" s="1566"/>
    </row>
    <row r="3323" spans="2:13" ht="24.9" customHeight="1">
      <c r="B3323" s="1101" t="s">
        <v>1003</v>
      </c>
      <c r="C3323" s="1101" t="s">
        <v>1004</v>
      </c>
      <c r="D3323" s="1101" t="s">
        <v>1005</v>
      </c>
      <c r="E3323" s="1101" t="s">
        <v>1006</v>
      </c>
      <c r="F3323" s="1102" t="s">
        <v>1007</v>
      </c>
      <c r="G3323" s="1109" t="s">
        <v>2637</v>
      </c>
      <c r="H3323" s="1110" t="s">
        <v>2638</v>
      </c>
      <c r="I3323" s="1845"/>
      <c r="J3323" s="1823" t="s">
        <v>5335</v>
      </c>
      <c r="K3323" s="1824" t="s">
        <v>5336</v>
      </c>
      <c r="L3323" s="1824" t="s">
        <v>5337</v>
      </c>
      <c r="M3323" s="1825" t="s">
        <v>5338</v>
      </c>
    </row>
    <row r="3324" spans="2:13">
      <c r="B3324" s="1330" t="s">
        <v>671</v>
      </c>
      <c r="C3324" s="1332" t="s">
        <v>672</v>
      </c>
      <c r="D3324" s="1331"/>
      <c r="E3324" s="1331"/>
      <c r="F3324" s="1334"/>
      <c r="G3324" s="1104"/>
      <c r="H3324" s="1106"/>
      <c r="I3324" s="526"/>
      <c r="J3324" s="1597"/>
      <c r="K3324" s="1597"/>
      <c r="L3324" s="1597"/>
      <c r="M3324" s="1826"/>
    </row>
    <row r="3325" spans="2:13">
      <c r="B3325" s="1330"/>
      <c r="C3325" s="1332" t="s">
        <v>673</v>
      </c>
      <c r="D3325" s="1331" t="s">
        <v>674</v>
      </c>
      <c r="E3325" s="1331" t="s">
        <v>675</v>
      </c>
      <c r="F3325" s="1334">
        <v>0.7</v>
      </c>
      <c r="G3325" s="1104">
        <f>DUB!$I$10</f>
        <v>150000</v>
      </c>
      <c r="H3325" s="1106">
        <f>G3325*F3325</f>
        <v>105000</v>
      </c>
      <c r="I3325" s="526"/>
      <c r="J3325" s="1609" t="s">
        <v>5339</v>
      </c>
      <c r="K3325" s="1611">
        <v>1</v>
      </c>
      <c r="L3325" s="1608" t="s">
        <v>5340</v>
      </c>
      <c r="M3325" s="1827">
        <f>H3325*K3325</f>
        <v>105000</v>
      </c>
    </row>
    <row r="3326" spans="2:13">
      <c r="B3326" s="1330"/>
      <c r="C3326" s="1332" t="s">
        <v>816</v>
      </c>
      <c r="D3326" s="1331" t="s">
        <v>678</v>
      </c>
      <c r="E3326" s="1331" t="s">
        <v>675</v>
      </c>
      <c r="F3326" s="1334">
        <v>0.35</v>
      </c>
      <c r="G3326" s="1104">
        <f>DUB!$I$11</f>
        <v>187000</v>
      </c>
      <c r="H3326" s="1106">
        <f>G3326*F3326</f>
        <v>65449.999999999993</v>
      </c>
      <c r="I3326" s="526"/>
      <c r="J3326" s="1609" t="s">
        <v>5339</v>
      </c>
      <c r="K3326" s="1611">
        <v>1</v>
      </c>
      <c r="L3326" s="1608" t="s">
        <v>5340</v>
      </c>
      <c r="M3326" s="1827">
        <f t="shared" ref="M3326" si="85">H3326*K3326</f>
        <v>65449.999999999993</v>
      </c>
    </row>
    <row r="3327" spans="2:13">
      <c r="B3327" s="1330"/>
      <c r="C3327" s="1332" t="s">
        <v>751</v>
      </c>
      <c r="D3327" s="1331" t="s">
        <v>681</v>
      </c>
      <c r="E3327" s="1331" t="s">
        <v>675</v>
      </c>
      <c r="F3327" s="1334">
        <v>3.5000000000000003E-2</v>
      </c>
      <c r="G3327" s="1104">
        <f>DUB!$I$13</f>
        <v>240000</v>
      </c>
      <c r="H3327" s="1106">
        <f>G3327*F3327</f>
        <v>8400</v>
      </c>
      <c r="I3327" s="526"/>
      <c r="J3327" s="1609" t="s">
        <v>5339</v>
      </c>
      <c r="K3327" s="1611">
        <v>1</v>
      </c>
      <c r="L3327" s="1608" t="s">
        <v>5340</v>
      </c>
      <c r="M3327" s="1827">
        <f>H3327*K3327</f>
        <v>8400</v>
      </c>
    </row>
    <row r="3328" spans="2:13">
      <c r="B3328" s="1330"/>
      <c r="C3328" s="1332" t="s">
        <v>683</v>
      </c>
      <c r="D3328" s="1331" t="s">
        <v>684</v>
      </c>
      <c r="E3328" s="1331" t="s">
        <v>675</v>
      </c>
      <c r="F3328" s="1334">
        <v>3.5000000000000003E-2</v>
      </c>
      <c r="G3328" s="1104">
        <f>DUB!$I$12</f>
        <v>225000</v>
      </c>
      <c r="H3328" s="1106">
        <f>G3328*F3328</f>
        <v>7875.0000000000009</v>
      </c>
      <c r="I3328" s="526"/>
      <c r="J3328" s="1609" t="s">
        <v>5339</v>
      </c>
      <c r="K3328" s="1611">
        <v>1</v>
      </c>
      <c r="L3328" s="1608" t="s">
        <v>5340</v>
      </c>
      <c r="M3328" s="1827">
        <f t="shared" ref="M3328" si="86">H3328*K3328</f>
        <v>7875.0000000000009</v>
      </c>
    </row>
    <row r="3329" spans="2:13">
      <c r="B3329" s="1330"/>
      <c r="C3329" s="1332"/>
      <c r="D3329" s="1331"/>
      <c r="E3329" s="1331"/>
      <c r="F3329" s="2074" t="s">
        <v>685</v>
      </c>
      <c r="G3329" s="2074"/>
      <c r="H3329" s="1106">
        <f>SUM(H3325:H3328)</f>
        <v>186725</v>
      </c>
      <c r="I3329" s="526"/>
      <c r="J3329" s="1597"/>
      <c r="K3329" s="1597"/>
      <c r="L3329" s="1597"/>
      <c r="M3329" s="1107">
        <f>SUM(M3325:M3328)</f>
        <v>186725</v>
      </c>
    </row>
    <row r="3330" spans="2:13">
      <c r="B3330" s="1330" t="s">
        <v>686</v>
      </c>
      <c r="C3330" s="1332" t="s">
        <v>687</v>
      </c>
      <c r="D3330" s="1331"/>
      <c r="E3330" s="1331"/>
      <c r="F3330" s="1334"/>
      <c r="G3330" s="1104"/>
      <c r="H3330" s="1106"/>
      <c r="I3330" s="526"/>
      <c r="J3330" s="1597"/>
      <c r="K3330" s="1597"/>
      <c r="L3330" s="1597"/>
      <c r="M3330" s="1826"/>
    </row>
    <row r="3331" spans="2:13">
      <c r="B3331" s="1330"/>
      <c r="C3331" s="1332" t="s">
        <v>1134</v>
      </c>
      <c r="D3331" s="1331"/>
      <c r="E3331" s="1331" t="s">
        <v>743</v>
      </c>
      <c r="F3331" s="1334">
        <v>6</v>
      </c>
      <c r="G3331" s="1104">
        <f>DUB!$I$190</f>
        <v>11500</v>
      </c>
      <c r="H3331" s="1106">
        <f>G3331*F3331</f>
        <v>69000</v>
      </c>
      <c r="I3331" s="526"/>
      <c r="J3331" s="1634" t="s">
        <v>4925</v>
      </c>
      <c r="K3331" s="1611">
        <v>0.79810000000000003</v>
      </c>
      <c r="L3331" s="1607" t="s">
        <v>5343</v>
      </c>
      <c r="M3331" s="1827">
        <f>H3331*K3331</f>
        <v>55068.9</v>
      </c>
    </row>
    <row r="3332" spans="2:13">
      <c r="B3332" s="1330"/>
      <c r="C3332" s="1332" t="s">
        <v>818</v>
      </c>
      <c r="D3332" s="1331"/>
      <c r="E3332" s="1331" t="s">
        <v>690</v>
      </c>
      <c r="F3332" s="1334">
        <v>1.1399999999999999</v>
      </c>
      <c r="G3332" s="1104">
        <f>DUB!$I$65</f>
        <v>1575</v>
      </c>
      <c r="H3332" s="1106">
        <f>G3332*F3332</f>
        <v>1795.4999999999998</v>
      </c>
      <c r="I3332" s="526"/>
      <c r="J3332" s="1634" t="s">
        <v>4925</v>
      </c>
      <c r="K3332" s="1611">
        <v>0.97009999999999996</v>
      </c>
      <c r="L3332" s="1607" t="s">
        <v>5343</v>
      </c>
      <c r="M3332" s="1827">
        <f>H3332*K3332</f>
        <v>1741.8145499999996</v>
      </c>
    </row>
    <row r="3333" spans="2:13">
      <c r="B3333" s="1330"/>
      <c r="C3333" s="1332" t="s">
        <v>739</v>
      </c>
      <c r="D3333" s="1331"/>
      <c r="E3333" s="1331" t="s">
        <v>881</v>
      </c>
      <c r="F3333" s="1334">
        <v>0.03</v>
      </c>
      <c r="G3333" s="1104">
        <f>DUB!$I$59</f>
        <v>208463</v>
      </c>
      <c r="H3333" s="1106">
        <f>G3333*F3333</f>
        <v>6253.8899999999994</v>
      </c>
      <c r="I3333" s="526"/>
      <c r="J3333" s="1642" t="s">
        <v>4925</v>
      </c>
      <c r="K3333" s="1611">
        <v>1</v>
      </c>
      <c r="L3333" s="1607" t="s">
        <v>5341</v>
      </c>
      <c r="M3333" s="1827">
        <f t="shared" ref="M3333:M3334" si="87">H3333*K3333</f>
        <v>6253.8899999999994</v>
      </c>
    </row>
    <row r="3334" spans="2:13">
      <c r="B3334" s="1330"/>
      <c r="C3334" s="1332" t="s">
        <v>1100</v>
      </c>
      <c r="D3334" s="1331"/>
      <c r="E3334" s="1331" t="s">
        <v>690</v>
      </c>
      <c r="F3334" s="1334">
        <v>0.1</v>
      </c>
      <c r="G3334" s="1104">
        <f>DUB!$I$62/40</f>
        <v>2750</v>
      </c>
      <c r="H3334" s="1106">
        <f>G3334*F3334</f>
        <v>275</v>
      </c>
      <c r="I3334" s="526"/>
      <c r="J3334" s="1607" t="s">
        <v>5341</v>
      </c>
      <c r="K3334" s="1611">
        <v>0.52749999999999997</v>
      </c>
      <c r="L3334" s="1607" t="s">
        <v>5343</v>
      </c>
      <c r="M3334" s="1827">
        <f t="shared" si="87"/>
        <v>145.0625</v>
      </c>
    </row>
    <row r="3335" spans="2:13">
      <c r="B3335" s="1330"/>
      <c r="C3335" s="1125"/>
      <c r="D3335" s="1333"/>
      <c r="E3335" s="1333"/>
      <c r="F3335" s="2074" t="s">
        <v>702</v>
      </c>
      <c r="G3335" s="2074"/>
      <c r="H3335" s="1106">
        <f>SUM(H3331:H3334)</f>
        <v>77324.39</v>
      </c>
      <c r="I3335" s="526"/>
      <c r="J3335" s="1597"/>
      <c r="K3335" s="1597"/>
      <c r="L3335" s="1597"/>
      <c r="M3335" s="1106">
        <f>SUM(M3331:M3334)</f>
        <v>63209.667050000004</v>
      </c>
    </row>
    <row r="3336" spans="2:13">
      <c r="B3336" s="1330" t="s">
        <v>703</v>
      </c>
      <c r="C3336" s="2075" t="s">
        <v>3764</v>
      </c>
      <c r="D3336" s="2075"/>
      <c r="E3336" s="2075"/>
      <c r="F3336" s="2075"/>
      <c r="G3336" s="2075"/>
      <c r="H3336" s="1107">
        <f>H3329+H3335</f>
        <v>264049.39</v>
      </c>
      <c r="I3336" s="526"/>
      <c r="J3336" s="1600"/>
      <c r="K3336" s="1633">
        <f>M3336/H3336</f>
        <v>0.94654514085414088</v>
      </c>
      <c r="L3336" s="1600"/>
      <c r="M3336" s="1107">
        <f>M3329+M3335</f>
        <v>249934.66704999999</v>
      </c>
    </row>
    <row r="3337" spans="2:13">
      <c r="B3337" s="1330" t="s">
        <v>706</v>
      </c>
      <c r="C3337" s="2076" t="s">
        <v>876</v>
      </c>
      <c r="D3337" s="2076"/>
      <c r="E3337" s="2076"/>
      <c r="F3337" s="2077" t="s">
        <v>3873</v>
      </c>
      <c r="G3337" s="2077"/>
      <c r="H3337" s="1107">
        <f>H3336*0.15</f>
        <v>39607.408499999998</v>
      </c>
      <c r="I3337" s="526"/>
      <c r="J3337" s="1600"/>
      <c r="K3337" s="1600"/>
      <c r="L3337" s="1600"/>
      <c r="M3337" s="1107">
        <f>M3336*0.15</f>
        <v>37490.200057499998</v>
      </c>
    </row>
    <row r="3338" spans="2:13">
      <c r="B3338" s="1330" t="s">
        <v>708</v>
      </c>
      <c r="C3338" s="2078" t="s">
        <v>3765</v>
      </c>
      <c r="D3338" s="2078"/>
      <c r="E3338" s="2078"/>
      <c r="F3338" s="2078"/>
      <c r="G3338" s="2078"/>
      <c r="H3338" s="1107">
        <f>ROUND(SUM(H3336:H3337),2)</f>
        <v>303656.8</v>
      </c>
      <c r="I3338" s="1849"/>
      <c r="J3338" s="1636"/>
      <c r="K3338" s="1636"/>
      <c r="L3338" s="1637"/>
      <c r="M3338" s="1919">
        <f>ROUND(SUM(M3336:M3337),2)</f>
        <v>287424.87</v>
      </c>
    </row>
    <row r="3339" spans="2:13">
      <c r="B3339" s="1129"/>
      <c r="C3339" s="1130"/>
      <c r="D3339" s="1129"/>
      <c r="E3339" s="1130"/>
      <c r="F3339" s="1131"/>
      <c r="G3339" s="1132"/>
      <c r="H3339" s="1133"/>
      <c r="I3339" s="526"/>
      <c r="J3339" s="1562"/>
      <c r="K3339" s="1562"/>
      <c r="M3339" s="1566"/>
    </row>
    <row r="3340" spans="2:13">
      <c r="B3340" s="1100" t="s">
        <v>4043</v>
      </c>
      <c r="C3340" s="1232" t="s">
        <v>3359</v>
      </c>
      <c r="F3340" s="1172"/>
      <c r="G3340" s="1173"/>
      <c r="H3340" s="1133"/>
      <c r="M3340" s="1566"/>
    </row>
    <row r="3341" spans="2:13" s="507" customFormat="1" ht="24.9" customHeight="1">
      <c r="B3341" s="1101" t="s">
        <v>1003</v>
      </c>
      <c r="C3341" s="1101" t="s">
        <v>1004</v>
      </c>
      <c r="D3341" s="1101" t="s">
        <v>1005</v>
      </c>
      <c r="E3341" s="1101" t="s">
        <v>1006</v>
      </c>
      <c r="F3341" s="1102" t="s">
        <v>1007</v>
      </c>
      <c r="G3341" s="1109" t="s">
        <v>2637</v>
      </c>
      <c r="H3341" s="1110" t="s">
        <v>2638</v>
      </c>
      <c r="I3341" s="1834"/>
      <c r="J3341" s="1823" t="s">
        <v>5335</v>
      </c>
      <c r="K3341" s="1824" t="s">
        <v>5336</v>
      </c>
      <c r="L3341" s="1824" t="s">
        <v>5337</v>
      </c>
      <c r="M3341" s="1825" t="s">
        <v>5338</v>
      </c>
    </row>
    <row r="3342" spans="2:13">
      <c r="B3342" s="1330" t="s">
        <v>671</v>
      </c>
      <c r="C3342" s="1332" t="s">
        <v>672</v>
      </c>
      <c r="D3342" s="1331"/>
      <c r="E3342" s="1331"/>
      <c r="F3342" s="1334"/>
      <c r="G3342" s="1104"/>
      <c r="H3342" s="1106"/>
      <c r="J3342" s="1597"/>
      <c r="K3342" s="1597"/>
      <c r="L3342" s="1597"/>
      <c r="M3342" s="1826"/>
    </row>
    <row r="3343" spans="2:13">
      <c r="B3343" s="1330"/>
      <c r="C3343" s="1332" t="s">
        <v>673</v>
      </c>
      <c r="D3343" s="1331" t="s">
        <v>674</v>
      </c>
      <c r="E3343" s="1331" t="s">
        <v>675</v>
      </c>
      <c r="F3343" s="1334">
        <v>0.7</v>
      </c>
      <c r="G3343" s="1104">
        <f>DUB!$I$10</f>
        <v>150000</v>
      </c>
      <c r="H3343" s="1106">
        <f>G3343*F3343</f>
        <v>105000</v>
      </c>
      <c r="J3343" s="1609" t="s">
        <v>5339</v>
      </c>
      <c r="K3343" s="1611">
        <v>1</v>
      </c>
      <c r="L3343" s="1608" t="s">
        <v>5340</v>
      </c>
      <c r="M3343" s="1827">
        <f>H3343*K3343</f>
        <v>105000</v>
      </c>
    </row>
    <row r="3344" spans="2:13">
      <c r="B3344" s="1330"/>
      <c r="C3344" s="1332" t="s">
        <v>816</v>
      </c>
      <c r="D3344" s="1331" t="s">
        <v>678</v>
      </c>
      <c r="E3344" s="1331" t="s">
        <v>675</v>
      </c>
      <c r="F3344" s="1334">
        <v>0.35</v>
      </c>
      <c r="G3344" s="1104">
        <f>DUB!$I$11</f>
        <v>187000</v>
      </c>
      <c r="H3344" s="1106">
        <f>G3344*F3344</f>
        <v>65449.999999999993</v>
      </c>
      <c r="J3344" s="1609" t="s">
        <v>5339</v>
      </c>
      <c r="K3344" s="1611">
        <v>1</v>
      </c>
      <c r="L3344" s="1608" t="s">
        <v>5340</v>
      </c>
      <c r="M3344" s="1827">
        <f t="shared" ref="M3344" si="88">H3344*K3344</f>
        <v>65449.999999999993</v>
      </c>
    </row>
    <row r="3345" spans="2:13">
      <c r="B3345" s="1330"/>
      <c r="C3345" s="1332" t="s">
        <v>751</v>
      </c>
      <c r="D3345" s="1331" t="s">
        <v>681</v>
      </c>
      <c r="E3345" s="1331" t="s">
        <v>675</v>
      </c>
      <c r="F3345" s="1334">
        <v>3.5000000000000003E-2</v>
      </c>
      <c r="G3345" s="1104">
        <f>DUB!$I$13</f>
        <v>240000</v>
      </c>
      <c r="H3345" s="1106">
        <f>G3345*F3345</f>
        <v>8400</v>
      </c>
      <c r="J3345" s="1609" t="s">
        <v>5339</v>
      </c>
      <c r="K3345" s="1611">
        <v>1</v>
      </c>
      <c r="L3345" s="1608" t="s">
        <v>5340</v>
      </c>
      <c r="M3345" s="1827">
        <f>H3345*K3345</f>
        <v>8400</v>
      </c>
    </row>
    <row r="3346" spans="2:13">
      <c r="B3346" s="1330"/>
      <c r="C3346" s="1332" t="s">
        <v>683</v>
      </c>
      <c r="D3346" s="1331" t="s">
        <v>684</v>
      </c>
      <c r="E3346" s="1331" t="s">
        <v>675</v>
      </c>
      <c r="F3346" s="1334">
        <v>3.5000000000000003E-2</v>
      </c>
      <c r="G3346" s="1104">
        <f>DUB!$I$12</f>
        <v>225000</v>
      </c>
      <c r="H3346" s="1106">
        <f>G3346*F3346</f>
        <v>7875.0000000000009</v>
      </c>
      <c r="J3346" s="1609" t="s">
        <v>5339</v>
      </c>
      <c r="K3346" s="1611">
        <v>1</v>
      </c>
      <c r="L3346" s="1608" t="s">
        <v>5340</v>
      </c>
      <c r="M3346" s="1827">
        <f t="shared" ref="M3346" si="89">H3346*K3346</f>
        <v>7875.0000000000009</v>
      </c>
    </row>
    <row r="3347" spans="2:13">
      <c r="B3347" s="1330"/>
      <c r="C3347" s="1332"/>
      <c r="D3347" s="1331"/>
      <c r="E3347" s="1331"/>
      <c r="F3347" s="2074" t="s">
        <v>685</v>
      </c>
      <c r="G3347" s="2074"/>
      <c r="H3347" s="1106">
        <f>SUM(H3343:H3346)</f>
        <v>186725</v>
      </c>
      <c r="J3347" s="1597"/>
      <c r="K3347" s="1597"/>
      <c r="L3347" s="1597"/>
      <c r="M3347" s="1107">
        <f>SUM(M3343:M3346)</f>
        <v>186725</v>
      </c>
    </row>
    <row r="3348" spans="2:13">
      <c r="B3348" s="1330" t="s">
        <v>686</v>
      </c>
      <c r="C3348" s="1332" t="s">
        <v>687</v>
      </c>
      <c r="D3348" s="1331"/>
      <c r="E3348" s="1331"/>
      <c r="F3348" s="1334"/>
      <c r="G3348" s="1104"/>
      <c r="H3348" s="1106"/>
      <c r="J3348" s="1597"/>
      <c r="K3348" s="1597"/>
      <c r="L3348" s="1597"/>
      <c r="M3348" s="1826"/>
    </row>
    <row r="3349" spans="2:13">
      <c r="B3349" s="1330"/>
      <c r="C3349" s="1332" t="s">
        <v>1134</v>
      </c>
      <c r="D3349" s="1331"/>
      <c r="E3349" s="1331" t="s">
        <v>743</v>
      </c>
      <c r="F3349" s="1334">
        <v>2.85</v>
      </c>
      <c r="G3349" s="1104">
        <f>DUB!$I$192</f>
        <v>50100</v>
      </c>
      <c r="H3349" s="1106">
        <f>G3349*F3349</f>
        <v>142785</v>
      </c>
      <c r="J3349" s="1634" t="s">
        <v>4925</v>
      </c>
      <c r="K3349" s="1611">
        <v>0.79810000000000003</v>
      </c>
      <c r="L3349" s="1607" t="s">
        <v>5343</v>
      </c>
      <c r="M3349" s="1827">
        <f>H3349*K3349</f>
        <v>113956.70850000001</v>
      </c>
    </row>
    <row r="3350" spans="2:13">
      <c r="B3350" s="1330"/>
      <c r="C3350" s="1332" t="s">
        <v>818</v>
      </c>
      <c r="D3350" s="1331"/>
      <c r="E3350" s="1331" t="s">
        <v>690</v>
      </c>
      <c r="F3350" s="1334">
        <v>1.1399999999999999</v>
      </c>
      <c r="G3350" s="1104">
        <f>DUB!$I$65</f>
        <v>1575</v>
      </c>
      <c r="H3350" s="1106">
        <f>G3350*F3350</f>
        <v>1795.4999999999998</v>
      </c>
      <c r="J3350" s="1634" t="s">
        <v>4925</v>
      </c>
      <c r="K3350" s="1611">
        <v>0.97009999999999996</v>
      </c>
      <c r="L3350" s="1607" t="s">
        <v>5343</v>
      </c>
      <c r="M3350" s="1827">
        <f>H3350*K3350</f>
        <v>1741.8145499999996</v>
      </c>
    </row>
    <row r="3351" spans="2:13">
      <c r="B3351" s="1330"/>
      <c r="C3351" s="1332" t="s">
        <v>739</v>
      </c>
      <c r="D3351" s="1331"/>
      <c r="E3351" s="1331" t="s">
        <v>881</v>
      </c>
      <c r="F3351" s="1334">
        <v>0.03</v>
      </c>
      <c r="G3351" s="1104">
        <f>DUB!$I$59</f>
        <v>208463</v>
      </c>
      <c r="H3351" s="1106">
        <f>G3351*F3351</f>
        <v>6253.8899999999994</v>
      </c>
      <c r="J3351" s="1642" t="s">
        <v>4925</v>
      </c>
      <c r="K3351" s="1611">
        <v>1</v>
      </c>
      <c r="L3351" s="1607" t="s">
        <v>5341</v>
      </c>
      <c r="M3351" s="1827">
        <f t="shared" ref="M3351:M3352" si="90">H3351*K3351</f>
        <v>6253.8899999999994</v>
      </c>
    </row>
    <row r="3352" spans="2:13">
      <c r="B3352" s="1330"/>
      <c r="C3352" s="1332" t="s">
        <v>1100</v>
      </c>
      <c r="D3352" s="1331"/>
      <c r="E3352" s="1331" t="s">
        <v>690</v>
      </c>
      <c r="F3352" s="1334">
        <v>0.1</v>
      </c>
      <c r="G3352" s="1104">
        <f>DUB!$I$62/40</f>
        <v>2750</v>
      </c>
      <c r="H3352" s="1106">
        <f>G3352*F3352</f>
        <v>275</v>
      </c>
      <c r="J3352" s="1607" t="s">
        <v>5341</v>
      </c>
      <c r="K3352" s="1611">
        <v>0.52749999999999997</v>
      </c>
      <c r="L3352" s="1607" t="s">
        <v>5343</v>
      </c>
      <c r="M3352" s="1827">
        <f t="shared" si="90"/>
        <v>145.0625</v>
      </c>
    </row>
    <row r="3353" spans="2:13">
      <c r="B3353" s="1330"/>
      <c r="C3353" s="1125"/>
      <c r="D3353" s="1333"/>
      <c r="E3353" s="1333"/>
      <c r="F3353" s="2074" t="s">
        <v>702</v>
      </c>
      <c r="G3353" s="2074"/>
      <c r="H3353" s="1106">
        <f>SUM(H3349:H3352)</f>
        <v>151109.39000000001</v>
      </c>
      <c r="J3353" s="1597"/>
      <c r="K3353" s="1597"/>
      <c r="L3353" s="1597"/>
      <c r="M3353" s="1106">
        <f>SUM(M3349:M3352)</f>
        <v>122097.47555</v>
      </c>
    </row>
    <row r="3354" spans="2:13" s="496" customFormat="1">
      <c r="B3354" s="1330" t="s">
        <v>703</v>
      </c>
      <c r="C3354" s="2075" t="s">
        <v>3764</v>
      </c>
      <c r="D3354" s="2075"/>
      <c r="E3354" s="2075"/>
      <c r="F3354" s="2075"/>
      <c r="G3354" s="2075"/>
      <c r="H3354" s="1107">
        <f>H3347+H3353</f>
        <v>337834.39</v>
      </c>
      <c r="J3354" s="1600"/>
      <c r="K3354" s="1633">
        <f>M3354/H3354</f>
        <v>0.91412385681043296</v>
      </c>
      <c r="L3354" s="1600"/>
      <c r="M3354" s="1107">
        <f>M3347+M3353</f>
        <v>308822.47554999997</v>
      </c>
    </row>
    <row r="3355" spans="2:13" s="496" customFormat="1">
      <c r="B3355" s="1330" t="s">
        <v>706</v>
      </c>
      <c r="C3355" s="2076" t="s">
        <v>876</v>
      </c>
      <c r="D3355" s="2076"/>
      <c r="E3355" s="2076"/>
      <c r="F3355" s="2077" t="s">
        <v>3873</v>
      </c>
      <c r="G3355" s="2077"/>
      <c r="H3355" s="1107">
        <f>H3354*0.15</f>
        <v>50675.158499999998</v>
      </c>
      <c r="J3355" s="1600"/>
      <c r="K3355" s="1600"/>
      <c r="L3355" s="1600"/>
      <c r="M3355" s="1107">
        <f>M3354*0.15</f>
        <v>46323.371332499992</v>
      </c>
    </row>
    <row r="3356" spans="2:13" s="496" customFormat="1">
      <c r="B3356" s="1330" t="s">
        <v>708</v>
      </c>
      <c r="C3356" s="2078" t="s">
        <v>3765</v>
      </c>
      <c r="D3356" s="2078"/>
      <c r="E3356" s="2078"/>
      <c r="F3356" s="2078"/>
      <c r="G3356" s="2078"/>
      <c r="H3356" s="1107">
        <f>ROUND(SUM(H3354:H3355),2)</f>
        <v>388509.55</v>
      </c>
      <c r="I3356" s="506">
        <f>SUM(H3354:H3355)</f>
        <v>388509.54850000003</v>
      </c>
      <c r="J3356" s="1636"/>
      <c r="K3356" s="1636"/>
      <c r="L3356" s="1637"/>
      <c r="M3356" s="1107">
        <f>ROUND(SUM(M3354:M3355),2)</f>
        <v>355145.85</v>
      </c>
    </row>
    <row r="3357" spans="2:13">
      <c r="B3357" s="1129"/>
      <c r="C3357" s="1130"/>
      <c r="D3357" s="1129"/>
      <c r="E3357" s="1130"/>
      <c r="F3357" s="1131"/>
      <c r="G3357" s="1132"/>
      <c r="H3357" s="1133"/>
      <c r="I3357" s="526"/>
      <c r="J3357" s="1562"/>
      <c r="K3357" s="1562"/>
      <c r="M3357" s="1566"/>
    </row>
    <row r="3358" spans="2:13" hidden="1">
      <c r="B3358" s="1100" t="s">
        <v>4044</v>
      </c>
      <c r="C3358" s="1232" t="s">
        <v>3409</v>
      </c>
      <c r="F3358" s="1172"/>
      <c r="G3358" s="1173"/>
      <c r="H3358" s="1133"/>
      <c r="M3358" s="1566"/>
    </row>
    <row r="3359" spans="2:13" s="507" customFormat="1" ht="24.9" hidden="1" customHeight="1">
      <c r="B3359" s="1748" t="s">
        <v>1003</v>
      </c>
      <c r="C3359" s="1101" t="s">
        <v>1004</v>
      </c>
      <c r="D3359" s="1101" t="s">
        <v>1005</v>
      </c>
      <c r="E3359" s="1101" t="s">
        <v>1006</v>
      </c>
      <c r="F3359" s="1102" t="s">
        <v>1007</v>
      </c>
      <c r="G3359" s="1109" t="s">
        <v>2637</v>
      </c>
      <c r="H3359" s="1110" t="s">
        <v>2638</v>
      </c>
      <c r="J3359" s="1625"/>
      <c r="K3359" s="1625"/>
      <c r="L3359" s="1625"/>
      <c r="M3359" s="1570"/>
    </row>
    <row r="3360" spans="2:13" hidden="1">
      <c r="B3360" s="1543" t="s">
        <v>671</v>
      </c>
      <c r="C3360" s="1332" t="s">
        <v>672</v>
      </c>
      <c r="D3360" s="1331"/>
      <c r="E3360" s="1331"/>
      <c r="F3360" s="1334"/>
      <c r="G3360" s="1104"/>
      <c r="H3360" s="1106"/>
      <c r="M3360" s="1566"/>
    </row>
    <row r="3361" spans="2:13" hidden="1">
      <c r="B3361" s="1543"/>
      <c r="C3361" s="1332" t="s">
        <v>673</v>
      </c>
      <c r="D3361" s="1331" t="s">
        <v>674</v>
      </c>
      <c r="E3361" s="1331" t="s">
        <v>675</v>
      </c>
      <c r="F3361" s="1334">
        <v>0.7</v>
      </c>
      <c r="G3361" s="1104">
        <f>DUB!$I$10</f>
        <v>150000</v>
      </c>
      <c r="H3361" s="1106">
        <f>G3361*F3361</f>
        <v>105000</v>
      </c>
      <c r="M3361" s="1566"/>
    </row>
    <row r="3362" spans="2:13" hidden="1">
      <c r="B3362" s="1543"/>
      <c r="C3362" s="1332" t="s">
        <v>816</v>
      </c>
      <c r="D3362" s="1331" t="s">
        <v>678</v>
      </c>
      <c r="E3362" s="1331" t="s">
        <v>675</v>
      </c>
      <c r="F3362" s="1334">
        <v>0.35</v>
      </c>
      <c r="G3362" s="1104">
        <f>DUB!$I$11</f>
        <v>187000</v>
      </c>
      <c r="H3362" s="1106">
        <f>G3362*F3362</f>
        <v>65449.999999999993</v>
      </c>
      <c r="M3362" s="1566"/>
    </row>
    <row r="3363" spans="2:13" hidden="1">
      <c r="B3363" s="1543"/>
      <c r="C3363" s="1332" t="s">
        <v>751</v>
      </c>
      <c r="D3363" s="1331" t="s">
        <v>681</v>
      </c>
      <c r="E3363" s="1331" t="s">
        <v>675</v>
      </c>
      <c r="F3363" s="1334">
        <v>3.5000000000000003E-2</v>
      </c>
      <c r="G3363" s="1104">
        <f>DUB!$I$13</f>
        <v>240000</v>
      </c>
      <c r="H3363" s="1106">
        <f>G3363*F3363</f>
        <v>8400</v>
      </c>
      <c r="M3363" s="1566"/>
    </row>
    <row r="3364" spans="2:13" hidden="1">
      <c r="B3364" s="1543"/>
      <c r="C3364" s="1332" t="s">
        <v>683</v>
      </c>
      <c r="D3364" s="1331" t="s">
        <v>684</v>
      </c>
      <c r="E3364" s="1331" t="s">
        <v>675</v>
      </c>
      <c r="F3364" s="1334">
        <v>3.5000000000000003E-2</v>
      </c>
      <c r="G3364" s="1104">
        <f>DUB!$I$12</f>
        <v>225000</v>
      </c>
      <c r="H3364" s="1106">
        <f>G3364*F3364</f>
        <v>7875.0000000000009</v>
      </c>
      <c r="M3364" s="1566"/>
    </row>
    <row r="3365" spans="2:13" hidden="1">
      <c r="B3365" s="1543"/>
      <c r="C3365" s="1332"/>
      <c r="D3365" s="1331"/>
      <c r="E3365" s="1331"/>
      <c r="F3365" s="2074" t="s">
        <v>685</v>
      </c>
      <c r="G3365" s="2074"/>
      <c r="H3365" s="1106">
        <f>SUM(H3361:H3364)</f>
        <v>186725</v>
      </c>
      <c r="M3365" s="1566"/>
    </row>
    <row r="3366" spans="2:13" hidden="1">
      <c r="B3366" s="1543" t="s">
        <v>686</v>
      </c>
      <c r="C3366" s="1332" t="s">
        <v>687</v>
      </c>
      <c r="D3366" s="1331"/>
      <c r="E3366" s="1331"/>
      <c r="F3366" s="1334"/>
      <c r="G3366" s="1104"/>
      <c r="H3366" s="1106"/>
      <c r="M3366" s="1566"/>
    </row>
    <row r="3367" spans="2:13" hidden="1">
      <c r="B3367" s="1543"/>
      <c r="C3367" s="1332" t="s">
        <v>1134</v>
      </c>
      <c r="D3367" s="1331"/>
      <c r="E3367" s="1331" t="s">
        <v>743</v>
      </c>
      <c r="F3367" s="1334">
        <v>6.5</v>
      </c>
      <c r="G3367" s="1104">
        <f>DUB!$I$193</f>
        <v>54621</v>
      </c>
      <c r="H3367" s="1106">
        <f>G3367*F3367</f>
        <v>355036.5</v>
      </c>
      <c r="M3367" s="1566"/>
    </row>
    <row r="3368" spans="2:13" hidden="1">
      <c r="B3368" s="1543"/>
      <c r="C3368" s="1332" t="s">
        <v>818</v>
      </c>
      <c r="D3368" s="1331"/>
      <c r="E3368" s="1331" t="s">
        <v>690</v>
      </c>
      <c r="F3368" s="1334">
        <v>10.4</v>
      </c>
      <c r="G3368" s="1104">
        <f>DUB!$I$65</f>
        <v>1575</v>
      </c>
      <c r="H3368" s="1106">
        <f>G3368*F3368</f>
        <v>16380</v>
      </c>
      <c r="M3368" s="1566"/>
    </row>
    <row r="3369" spans="2:13" hidden="1">
      <c r="B3369" s="1543"/>
      <c r="C3369" s="1332" t="s">
        <v>739</v>
      </c>
      <c r="D3369" s="1331"/>
      <c r="E3369" s="1331" t="s">
        <v>881</v>
      </c>
      <c r="F3369" s="1334">
        <v>4.4999999999999998E-2</v>
      </c>
      <c r="G3369" s="1104">
        <f>DUB!$I$59</f>
        <v>208463</v>
      </c>
      <c r="H3369" s="1106">
        <f>G3369*F3369</f>
        <v>9380.8349999999991</v>
      </c>
      <c r="M3369" s="1566"/>
    </row>
    <row r="3370" spans="2:13" hidden="1">
      <c r="B3370" s="1543"/>
      <c r="C3370" s="1332" t="s">
        <v>1100</v>
      </c>
      <c r="D3370" s="1331"/>
      <c r="E3370" s="1331" t="s">
        <v>690</v>
      </c>
      <c r="F3370" s="1334">
        <v>1.62</v>
      </c>
      <c r="G3370" s="1104">
        <f>DUB!$I$62/40</f>
        <v>2750</v>
      </c>
      <c r="H3370" s="1106">
        <f>G3370*F3370</f>
        <v>4455</v>
      </c>
      <c r="M3370" s="1566"/>
    </row>
    <row r="3371" spans="2:13" hidden="1">
      <c r="B3371" s="1543"/>
      <c r="C3371" s="1125"/>
      <c r="D3371" s="1333"/>
      <c r="E3371" s="1333"/>
      <c r="F3371" s="2074" t="s">
        <v>702</v>
      </c>
      <c r="G3371" s="2074"/>
      <c r="H3371" s="1106">
        <f>SUM(H3367:H3370)</f>
        <v>385252.33500000002</v>
      </c>
      <c r="M3371" s="1566"/>
    </row>
    <row r="3372" spans="2:13" s="496" customFormat="1" hidden="1">
      <c r="B3372" s="1543" t="s">
        <v>703</v>
      </c>
      <c r="C3372" s="2075" t="s">
        <v>3764</v>
      </c>
      <c r="D3372" s="2075"/>
      <c r="E3372" s="2075"/>
      <c r="F3372" s="2075"/>
      <c r="G3372" s="2075"/>
      <c r="H3372" s="1107">
        <f>H3365+H3371</f>
        <v>571977.33499999996</v>
      </c>
      <c r="J3372" s="1559"/>
      <c r="K3372" s="1559"/>
      <c r="L3372" s="1559"/>
      <c r="M3372" s="1635"/>
    </row>
    <row r="3373" spans="2:13" s="496" customFormat="1" hidden="1">
      <c r="B3373" s="1543" t="s">
        <v>706</v>
      </c>
      <c r="C3373" s="2076" t="s">
        <v>876</v>
      </c>
      <c r="D3373" s="2076"/>
      <c r="E3373" s="2076"/>
      <c r="F3373" s="2077" t="s">
        <v>3873</v>
      </c>
      <c r="G3373" s="2077"/>
      <c r="H3373" s="1107">
        <f>H3372*0.15</f>
        <v>85796.600249999989</v>
      </c>
      <c r="J3373" s="1559"/>
      <c r="K3373" s="1559"/>
      <c r="L3373" s="1559"/>
      <c r="M3373" s="1635"/>
    </row>
    <row r="3374" spans="2:13" s="496" customFormat="1" hidden="1">
      <c r="B3374" s="1543" t="s">
        <v>708</v>
      </c>
      <c r="C3374" s="2078" t="s">
        <v>3765</v>
      </c>
      <c r="D3374" s="2078"/>
      <c r="E3374" s="2078"/>
      <c r="F3374" s="2078"/>
      <c r="G3374" s="2078"/>
      <c r="H3374" s="1107">
        <f>ROUND(SUM(H3372:H3373),2)</f>
        <v>657773.93999999994</v>
      </c>
      <c r="I3374" s="506">
        <f>SUM(H3372:H3373)</f>
        <v>657773.93524999998</v>
      </c>
      <c r="J3374" s="1561"/>
      <c r="K3374" s="1561"/>
      <c r="L3374" s="1559"/>
      <c r="M3374" s="1635"/>
    </row>
    <row r="3375" spans="2:13" hidden="1">
      <c r="B3375" s="1129"/>
      <c r="C3375" s="1130"/>
      <c r="D3375" s="1129"/>
      <c r="E3375" s="1130"/>
      <c r="F3375" s="1131"/>
      <c r="G3375" s="1132"/>
      <c r="H3375" s="1133"/>
      <c r="I3375" s="526"/>
      <c r="J3375" s="1562"/>
      <c r="K3375" s="1562"/>
      <c r="M3375" s="1566"/>
    </row>
    <row r="3376" spans="2:13" hidden="1">
      <c r="B3376" s="1100" t="s">
        <v>4045</v>
      </c>
      <c r="C3376" s="1232" t="s">
        <v>3410</v>
      </c>
      <c r="F3376" s="1172"/>
      <c r="G3376" s="1173"/>
      <c r="H3376" s="1133"/>
      <c r="M3376" s="1566"/>
    </row>
    <row r="3377" spans="2:13" s="507" customFormat="1" ht="24.9" hidden="1" customHeight="1">
      <c r="B3377" s="1748" t="s">
        <v>1003</v>
      </c>
      <c r="C3377" s="1101" t="s">
        <v>1004</v>
      </c>
      <c r="D3377" s="1101" t="s">
        <v>1005</v>
      </c>
      <c r="E3377" s="1101" t="s">
        <v>1006</v>
      </c>
      <c r="F3377" s="1102" t="s">
        <v>1007</v>
      </c>
      <c r="G3377" s="1109" t="s">
        <v>2637</v>
      </c>
      <c r="H3377" s="1110" t="s">
        <v>2638</v>
      </c>
      <c r="J3377" s="1625"/>
      <c r="K3377" s="1625"/>
      <c r="L3377" s="1625"/>
      <c r="M3377" s="1570"/>
    </row>
    <row r="3378" spans="2:13" hidden="1">
      <c r="B3378" s="1543" t="s">
        <v>671</v>
      </c>
      <c r="C3378" s="1332" t="s">
        <v>672</v>
      </c>
      <c r="D3378" s="1331"/>
      <c r="E3378" s="1331"/>
      <c r="F3378" s="1334"/>
      <c r="G3378" s="1104"/>
      <c r="H3378" s="1106"/>
      <c r="M3378" s="1566"/>
    </row>
    <row r="3379" spans="2:13" hidden="1">
      <c r="B3379" s="1543"/>
      <c r="C3379" s="1332" t="s">
        <v>673</v>
      </c>
      <c r="D3379" s="1331" t="s">
        <v>674</v>
      </c>
      <c r="E3379" s="1331" t="s">
        <v>675</v>
      </c>
      <c r="F3379" s="1334">
        <v>0.7</v>
      </c>
      <c r="G3379" s="1104">
        <f>DUB!$I$10</f>
        <v>150000</v>
      </c>
      <c r="H3379" s="1106">
        <f>G3379*F3379</f>
        <v>105000</v>
      </c>
      <c r="M3379" s="1566"/>
    </row>
    <row r="3380" spans="2:13" hidden="1">
      <c r="B3380" s="1543"/>
      <c r="C3380" s="1332" t="s">
        <v>816</v>
      </c>
      <c r="D3380" s="1331" t="s">
        <v>678</v>
      </c>
      <c r="E3380" s="1331" t="s">
        <v>675</v>
      </c>
      <c r="F3380" s="1334">
        <v>0.35</v>
      </c>
      <c r="G3380" s="1104">
        <f>DUB!$I$11</f>
        <v>187000</v>
      </c>
      <c r="H3380" s="1106">
        <f>G3380*F3380</f>
        <v>65449.999999999993</v>
      </c>
      <c r="M3380" s="1566"/>
    </row>
    <row r="3381" spans="2:13" hidden="1">
      <c r="B3381" s="1543"/>
      <c r="C3381" s="1332" t="s">
        <v>751</v>
      </c>
      <c r="D3381" s="1331" t="s">
        <v>681</v>
      </c>
      <c r="E3381" s="1331" t="s">
        <v>675</v>
      </c>
      <c r="F3381" s="1334">
        <v>3.5000000000000003E-2</v>
      </c>
      <c r="G3381" s="1104">
        <f>DUB!$I$13</f>
        <v>240000</v>
      </c>
      <c r="H3381" s="1106">
        <f>G3381*F3381</f>
        <v>8400</v>
      </c>
      <c r="M3381" s="1566"/>
    </row>
    <row r="3382" spans="2:13" hidden="1">
      <c r="B3382" s="1543"/>
      <c r="C3382" s="1332" t="s">
        <v>683</v>
      </c>
      <c r="D3382" s="1331" t="s">
        <v>684</v>
      </c>
      <c r="E3382" s="1331" t="s">
        <v>675</v>
      </c>
      <c r="F3382" s="1334">
        <v>3.5000000000000003E-2</v>
      </c>
      <c r="G3382" s="1104">
        <f>DUB!$I$12</f>
        <v>225000</v>
      </c>
      <c r="H3382" s="1106">
        <f>G3382*F3382</f>
        <v>7875.0000000000009</v>
      </c>
      <c r="M3382" s="1566"/>
    </row>
    <row r="3383" spans="2:13" hidden="1">
      <c r="B3383" s="1543"/>
      <c r="C3383" s="1332"/>
      <c r="D3383" s="1331"/>
      <c r="E3383" s="1331"/>
      <c r="F3383" s="2074" t="s">
        <v>685</v>
      </c>
      <c r="G3383" s="2074"/>
      <c r="H3383" s="1106">
        <f>SUM(H3379:H3382)</f>
        <v>186725</v>
      </c>
      <c r="M3383" s="1566"/>
    </row>
    <row r="3384" spans="2:13" hidden="1">
      <c r="B3384" s="1543" t="s">
        <v>686</v>
      </c>
      <c r="C3384" s="1332" t="s">
        <v>687</v>
      </c>
      <c r="D3384" s="1331"/>
      <c r="E3384" s="1331"/>
      <c r="F3384" s="1334"/>
      <c r="G3384" s="1104"/>
      <c r="H3384" s="1106"/>
      <c r="M3384" s="1566"/>
    </row>
    <row r="3385" spans="2:13" hidden="1">
      <c r="B3385" s="1543"/>
      <c r="C3385" s="1332" t="s">
        <v>1134</v>
      </c>
      <c r="D3385" s="1331"/>
      <c r="E3385" s="1331" t="s">
        <v>743</v>
      </c>
      <c r="F3385" s="1334">
        <v>6.5</v>
      </c>
      <c r="G3385" s="1104">
        <f>DUB!$I$194</f>
        <v>67473</v>
      </c>
      <c r="H3385" s="1106">
        <f>G3385*F3385</f>
        <v>438574.5</v>
      </c>
      <c r="M3385" s="1566"/>
    </row>
    <row r="3386" spans="2:13" hidden="1">
      <c r="B3386" s="1543"/>
      <c r="C3386" s="1332" t="s">
        <v>818</v>
      </c>
      <c r="D3386" s="1331"/>
      <c r="E3386" s="1331" t="s">
        <v>690</v>
      </c>
      <c r="F3386" s="1334">
        <v>10.4</v>
      </c>
      <c r="G3386" s="1104">
        <f>DUB!$I$65</f>
        <v>1575</v>
      </c>
      <c r="H3386" s="1106">
        <f>G3386*F3386</f>
        <v>16380</v>
      </c>
      <c r="M3386" s="1566"/>
    </row>
    <row r="3387" spans="2:13" hidden="1">
      <c r="B3387" s="1543"/>
      <c r="C3387" s="1332" t="s">
        <v>739</v>
      </c>
      <c r="D3387" s="1331"/>
      <c r="E3387" s="1331" t="s">
        <v>881</v>
      </c>
      <c r="F3387" s="1334">
        <v>4.4999999999999998E-2</v>
      </c>
      <c r="G3387" s="1104">
        <f>DUB!$I$59</f>
        <v>208463</v>
      </c>
      <c r="H3387" s="1106">
        <f>G3387*F3387</f>
        <v>9380.8349999999991</v>
      </c>
      <c r="M3387" s="1566"/>
    </row>
    <row r="3388" spans="2:13" hidden="1">
      <c r="B3388" s="1543"/>
      <c r="C3388" s="1332" t="s">
        <v>1100</v>
      </c>
      <c r="D3388" s="1331"/>
      <c r="E3388" s="1331" t="s">
        <v>690</v>
      </c>
      <c r="F3388" s="1334">
        <v>1.62</v>
      </c>
      <c r="G3388" s="1104">
        <f>DUB!$I$62/40</f>
        <v>2750</v>
      </c>
      <c r="H3388" s="1106">
        <f>G3388*F3388</f>
        <v>4455</v>
      </c>
      <c r="M3388" s="1566"/>
    </row>
    <row r="3389" spans="2:13" hidden="1">
      <c r="B3389" s="1543"/>
      <c r="C3389" s="1125"/>
      <c r="D3389" s="1333"/>
      <c r="E3389" s="1333"/>
      <c r="F3389" s="2074" t="s">
        <v>702</v>
      </c>
      <c r="G3389" s="2074"/>
      <c r="H3389" s="1106">
        <f>SUM(H3385:H3388)</f>
        <v>468790.33500000002</v>
      </c>
      <c r="M3389" s="1566"/>
    </row>
    <row r="3390" spans="2:13" s="496" customFormat="1" hidden="1">
      <c r="B3390" s="1543" t="s">
        <v>703</v>
      </c>
      <c r="C3390" s="2075" t="s">
        <v>3764</v>
      </c>
      <c r="D3390" s="2075"/>
      <c r="E3390" s="2075"/>
      <c r="F3390" s="2075"/>
      <c r="G3390" s="2075"/>
      <c r="H3390" s="1107">
        <f>H3383+H3389</f>
        <v>655515.33499999996</v>
      </c>
      <c r="J3390" s="1559"/>
      <c r="K3390" s="1559"/>
      <c r="L3390" s="1559"/>
      <c r="M3390" s="1635"/>
    </row>
    <row r="3391" spans="2:13" s="496" customFormat="1" hidden="1">
      <c r="B3391" s="1543" t="s">
        <v>706</v>
      </c>
      <c r="C3391" s="2076" t="s">
        <v>876</v>
      </c>
      <c r="D3391" s="2076"/>
      <c r="E3391" s="2076"/>
      <c r="F3391" s="2077" t="s">
        <v>3873</v>
      </c>
      <c r="G3391" s="2077"/>
      <c r="H3391" s="1107">
        <f>H3390*0.15</f>
        <v>98327.300249999986</v>
      </c>
      <c r="J3391" s="1559"/>
      <c r="K3391" s="1559"/>
      <c r="L3391" s="1559"/>
      <c r="M3391" s="1635"/>
    </row>
    <row r="3392" spans="2:13" s="496" customFormat="1" hidden="1">
      <c r="B3392" s="1543" t="s">
        <v>708</v>
      </c>
      <c r="C3392" s="2078" t="s">
        <v>3765</v>
      </c>
      <c r="D3392" s="2078"/>
      <c r="E3392" s="2078"/>
      <c r="F3392" s="2078"/>
      <c r="G3392" s="2078"/>
      <c r="H3392" s="1107">
        <f>ROUND(SUM(H3390:H3391),2)</f>
        <v>753842.64</v>
      </c>
      <c r="I3392" s="506">
        <f>SUM(H3390:H3391)</f>
        <v>753842.63524999993</v>
      </c>
      <c r="J3392" s="1561"/>
      <c r="K3392" s="1561"/>
      <c r="L3392" s="1559"/>
      <c r="M3392" s="1635"/>
    </row>
    <row r="3393" spans="2:13" hidden="1">
      <c r="B3393" s="1143"/>
      <c r="C3393" s="1144"/>
      <c r="D3393" s="1143"/>
      <c r="E3393" s="1143"/>
      <c r="F3393" s="1145"/>
      <c r="G3393" s="1146"/>
      <c r="H3393" s="1147"/>
      <c r="M3393" s="1566"/>
    </row>
    <row r="3394" spans="2:13" hidden="1">
      <c r="B3394" s="1100" t="s">
        <v>4046</v>
      </c>
      <c r="C3394" s="1232" t="s">
        <v>3844</v>
      </c>
      <c r="F3394" s="1172"/>
      <c r="G3394" s="1173"/>
      <c r="H3394" s="1133"/>
      <c r="M3394" s="1566"/>
    </row>
    <row r="3395" spans="2:13" s="507" customFormat="1" ht="24.9" hidden="1" customHeight="1">
      <c r="B3395" s="1748" t="s">
        <v>1003</v>
      </c>
      <c r="C3395" s="1101" t="s">
        <v>1004</v>
      </c>
      <c r="D3395" s="1101" t="s">
        <v>1005</v>
      </c>
      <c r="E3395" s="1101" t="s">
        <v>1006</v>
      </c>
      <c r="F3395" s="1102" t="s">
        <v>1007</v>
      </c>
      <c r="G3395" s="1109" t="s">
        <v>2637</v>
      </c>
      <c r="H3395" s="1110" t="s">
        <v>2638</v>
      </c>
      <c r="J3395" s="1625"/>
      <c r="K3395" s="1625"/>
      <c r="L3395" s="1625"/>
      <c r="M3395" s="1570"/>
    </row>
    <row r="3396" spans="2:13" hidden="1">
      <c r="B3396" s="1543" t="s">
        <v>671</v>
      </c>
      <c r="C3396" s="1332" t="s">
        <v>672</v>
      </c>
      <c r="D3396" s="1331"/>
      <c r="E3396" s="1331"/>
      <c r="F3396" s="1334"/>
      <c r="G3396" s="1104"/>
      <c r="H3396" s="1106"/>
      <c r="M3396" s="1566"/>
    </row>
    <row r="3397" spans="2:13" hidden="1">
      <c r="B3397" s="1543"/>
      <c r="C3397" s="1332" t="s">
        <v>673</v>
      </c>
      <c r="D3397" s="1331" t="s">
        <v>674</v>
      </c>
      <c r="E3397" s="1331" t="s">
        <v>675</v>
      </c>
      <c r="F3397" s="1334">
        <v>0.7</v>
      </c>
      <c r="G3397" s="1104">
        <f>DUB!$I$10</f>
        <v>150000</v>
      </c>
      <c r="H3397" s="1106">
        <f>G3397*F3397</f>
        <v>105000</v>
      </c>
      <c r="M3397" s="1566"/>
    </row>
    <row r="3398" spans="2:13" hidden="1">
      <c r="B3398" s="1543"/>
      <c r="C3398" s="1332" t="s">
        <v>816</v>
      </c>
      <c r="D3398" s="1331" t="s">
        <v>678</v>
      </c>
      <c r="E3398" s="1331" t="s">
        <v>675</v>
      </c>
      <c r="F3398" s="1334">
        <v>0.35</v>
      </c>
      <c r="G3398" s="1104">
        <f>DUB!$I$11</f>
        <v>187000</v>
      </c>
      <c r="H3398" s="1106">
        <f>G3398*F3398</f>
        <v>65449.999999999993</v>
      </c>
      <c r="M3398" s="1566"/>
    </row>
    <row r="3399" spans="2:13" hidden="1">
      <c r="B3399" s="1543"/>
      <c r="C3399" s="1332" t="s">
        <v>751</v>
      </c>
      <c r="D3399" s="1331" t="s">
        <v>681</v>
      </c>
      <c r="E3399" s="1331" t="s">
        <v>675</v>
      </c>
      <c r="F3399" s="1334">
        <v>3.5000000000000003E-2</v>
      </c>
      <c r="G3399" s="1104">
        <f>DUB!$I$13</f>
        <v>240000</v>
      </c>
      <c r="H3399" s="1106">
        <f>G3399*F3399</f>
        <v>8400</v>
      </c>
      <c r="M3399" s="1566"/>
    </row>
    <row r="3400" spans="2:13" hidden="1">
      <c r="B3400" s="1543"/>
      <c r="C3400" s="1332" t="s">
        <v>683</v>
      </c>
      <c r="D3400" s="1331" t="s">
        <v>684</v>
      </c>
      <c r="E3400" s="1331" t="s">
        <v>675</v>
      </c>
      <c r="F3400" s="1334">
        <v>3.5000000000000003E-2</v>
      </c>
      <c r="G3400" s="1104">
        <f>DUB!$I$12</f>
        <v>225000</v>
      </c>
      <c r="H3400" s="1106">
        <f>G3400*F3400</f>
        <v>7875.0000000000009</v>
      </c>
      <c r="M3400" s="1566"/>
    </row>
    <row r="3401" spans="2:13" hidden="1">
      <c r="B3401" s="1543"/>
      <c r="C3401" s="1332"/>
      <c r="D3401" s="1331"/>
      <c r="E3401" s="1331"/>
      <c r="F3401" s="2074" t="s">
        <v>685</v>
      </c>
      <c r="G3401" s="2074"/>
      <c r="H3401" s="1106">
        <f>SUM(H3397:H3400)</f>
        <v>186725</v>
      </c>
      <c r="M3401" s="1566"/>
    </row>
    <row r="3402" spans="2:13" hidden="1">
      <c r="B3402" s="1543" t="s">
        <v>686</v>
      </c>
      <c r="C3402" s="1332" t="s">
        <v>687</v>
      </c>
      <c r="D3402" s="1331"/>
      <c r="E3402" s="1331"/>
      <c r="F3402" s="1334"/>
      <c r="G3402" s="1104"/>
      <c r="H3402" s="1106"/>
      <c r="M3402" s="1566"/>
    </row>
    <row r="3403" spans="2:13" hidden="1">
      <c r="B3403" s="1543"/>
      <c r="C3403" s="1332" t="s">
        <v>1134</v>
      </c>
      <c r="D3403" s="1331"/>
      <c r="E3403" s="1331" t="s">
        <v>743</v>
      </c>
      <c r="F3403" s="1334">
        <v>16.8</v>
      </c>
      <c r="G3403" s="1104">
        <f>DUB!$I$189</f>
        <v>5751</v>
      </c>
      <c r="H3403" s="1106">
        <f>G3403*F3403</f>
        <v>96616.8</v>
      </c>
      <c r="M3403" s="1566"/>
    </row>
    <row r="3404" spans="2:13" hidden="1">
      <c r="B3404" s="1543"/>
      <c r="C3404" s="1332" t="s">
        <v>818</v>
      </c>
      <c r="D3404" s="1331"/>
      <c r="E3404" s="1331" t="s">
        <v>690</v>
      </c>
      <c r="F3404" s="1334">
        <v>10.4</v>
      </c>
      <c r="G3404" s="1104">
        <f>DUB!$I$65</f>
        <v>1575</v>
      </c>
      <c r="H3404" s="1106">
        <f>G3404*F3404</f>
        <v>16380</v>
      </c>
      <c r="M3404" s="1566"/>
    </row>
    <row r="3405" spans="2:13" hidden="1">
      <c r="B3405" s="1543"/>
      <c r="C3405" s="1332" t="s">
        <v>739</v>
      </c>
      <c r="D3405" s="1331"/>
      <c r="E3405" s="1331" t="s">
        <v>881</v>
      </c>
      <c r="F3405" s="1334">
        <v>4.4999999999999998E-2</v>
      </c>
      <c r="G3405" s="1104">
        <f>DUB!$I$59</f>
        <v>208463</v>
      </c>
      <c r="H3405" s="1106">
        <f>G3405*F3405</f>
        <v>9380.8349999999991</v>
      </c>
      <c r="M3405" s="1566"/>
    </row>
    <row r="3406" spans="2:13" hidden="1">
      <c r="B3406" s="1543"/>
      <c r="C3406" s="1332" t="s">
        <v>1100</v>
      </c>
      <c r="D3406" s="1331"/>
      <c r="E3406" s="1331" t="s">
        <v>690</v>
      </c>
      <c r="F3406" s="1334">
        <v>1.62</v>
      </c>
      <c r="G3406" s="1104">
        <f>DUB!$I$62/40</f>
        <v>2750</v>
      </c>
      <c r="H3406" s="1106">
        <f>G3406*F3406</f>
        <v>4455</v>
      </c>
      <c r="M3406" s="1566"/>
    </row>
    <row r="3407" spans="2:13" hidden="1">
      <c r="B3407" s="1543"/>
      <c r="C3407" s="1125"/>
      <c r="D3407" s="1333"/>
      <c r="E3407" s="1333"/>
      <c r="F3407" s="2074" t="s">
        <v>702</v>
      </c>
      <c r="G3407" s="2074"/>
      <c r="H3407" s="1106">
        <f>SUM(H3403:H3406)</f>
        <v>126832.63500000001</v>
      </c>
      <c r="M3407" s="1566"/>
    </row>
    <row r="3408" spans="2:13" s="496" customFormat="1" hidden="1">
      <c r="B3408" s="1543" t="s">
        <v>703</v>
      </c>
      <c r="C3408" s="2075" t="s">
        <v>3764</v>
      </c>
      <c r="D3408" s="2075"/>
      <c r="E3408" s="2075"/>
      <c r="F3408" s="2075"/>
      <c r="G3408" s="2075"/>
      <c r="H3408" s="1107">
        <f>H3401+H3407</f>
        <v>313557.63500000001</v>
      </c>
      <c r="J3408" s="1559"/>
      <c r="K3408" s="1559"/>
      <c r="L3408" s="1559"/>
      <c r="M3408" s="1635"/>
    </row>
    <row r="3409" spans="2:13" s="496" customFormat="1" hidden="1">
      <c r="B3409" s="1543" t="s">
        <v>706</v>
      </c>
      <c r="C3409" s="2076" t="s">
        <v>876</v>
      </c>
      <c r="D3409" s="2076"/>
      <c r="E3409" s="2076"/>
      <c r="F3409" s="2077" t="s">
        <v>3873</v>
      </c>
      <c r="G3409" s="2077"/>
      <c r="H3409" s="1107">
        <f>H3408*0.15</f>
        <v>47033.645250000001</v>
      </c>
      <c r="J3409" s="1559"/>
      <c r="K3409" s="1559"/>
      <c r="L3409" s="1559"/>
      <c r="M3409" s="1635"/>
    </row>
    <row r="3410" spans="2:13" s="496" customFormat="1" hidden="1">
      <c r="B3410" s="1543" t="s">
        <v>708</v>
      </c>
      <c r="C3410" s="2078" t="s">
        <v>3765</v>
      </c>
      <c r="D3410" s="2078"/>
      <c r="E3410" s="2078"/>
      <c r="F3410" s="2078"/>
      <c r="G3410" s="2078"/>
      <c r="H3410" s="1107">
        <f>ROUND(SUM(H3408:H3409),2)</f>
        <v>360591.28</v>
      </c>
      <c r="I3410" s="506">
        <f>SUM(H3408:H3409)</f>
        <v>360591.28025000001</v>
      </c>
      <c r="J3410" s="1561"/>
      <c r="K3410" s="1561"/>
      <c r="L3410" s="1559"/>
      <c r="M3410" s="1635"/>
    </row>
    <row r="3411" spans="2:13" hidden="1">
      <c r="B3411" s="1129"/>
      <c r="C3411" s="1130"/>
      <c r="D3411" s="1129"/>
      <c r="E3411" s="1129"/>
      <c r="F3411" s="1131"/>
      <c r="G3411" s="1132"/>
      <c r="H3411" s="1115"/>
      <c r="M3411" s="1566"/>
    </row>
    <row r="3412" spans="2:13" hidden="1">
      <c r="B3412" s="1100" t="s">
        <v>4047</v>
      </c>
      <c r="C3412" s="1232" t="s">
        <v>2800</v>
      </c>
      <c r="F3412" s="1172"/>
      <c r="G3412" s="1173"/>
      <c r="H3412" s="1133"/>
      <c r="M3412" s="1566"/>
    </row>
    <row r="3413" spans="2:13" s="507" customFormat="1" ht="24.9" hidden="1" customHeight="1">
      <c r="B3413" s="1748" t="s">
        <v>1003</v>
      </c>
      <c r="C3413" s="1101" t="s">
        <v>1004</v>
      </c>
      <c r="D3413" s="1101" t="s">
        <v>1005</v>
      </c>
      <c r="E3413" s="1101" t="s">
        <v>1006</v>
      </c>
      <c r="F3413" s="1102" t="s">
        <v>1007</v>
      </c>
      <c r="G3413" s="1109" t="s">
        <v>2637</v>
      </c>
      <c r="H3413" s="1110" t="s">
        <v>2638</v>
      </c>
      <c r="J3413" s="1625"/>
      <c r="K3413" s="1625"/>
      <c r="L3413" s="1625"/>
      <c r="M3413" s="1570"/>
    </row>
    <row r="3414" spans="2:13" hidden="1">
      <c r="B3414" s="1543" t="s">
        <v>671</v>
      </c>
      <c r="C3414" s="1332" t="s">
        <v>672</v>
      </c>
      <c r="D3414" s="1331"/>
      <c r="E3414" s="1331"/>
      <c r="F3414" s="1334"/>
      <c r="G3414" s="1104"/>
      <c r="H3414" s="1106"/>
      <c r="M3414" s="1566"/>
    </row>
    <row r="3415" spans="2:13" hidden="1">
      <c r="B3415" s="1543"/>
      <c r="C3415" s="1332" t="s">
        <v>673</v>
      </c>
      <c r="D3415" s="1331" t="s">
        <v>674</v>
      </c>
      <c r="E3415" s="1331" t="s">
        <v>675</v>
      </c>
      <c r="F3415" s="1334">
        <v>0.7</v>
      </c>
      <c r="G3415" s="1104">
        <f>DUB!$I$10</f>
        <v>150000</v>
      </c>
      <c r="H3415" s="1106">
        <f>G3415*F3415</f>
        <v>105000</v>
      </c>
      <c r="M3415" s="1566"/>
    </row>
    <row r="3416" spans="2:13" hidden="1">
      <c r="B3416" s="1543"/>
      <c r="C3416" s="1332" t="s">
        <v>816</v>
      </c>
      <c r="D3416" s="1331" t="s">
        <v>678</v>
      </c>
      <c r="E3416" s="1331" t="s">
        <v>675</v>
      </c>
      <c r="F3416" s="1334">
        <v>0.35</v>
      </c>
      <c r="G3416" s="1104">
        <f>DUB!$I$11</f>
        <v>187000</v>
      </c>
      <c r="H3416" s="1106">
        <f>G3416*F3416</f>
        <v>65449.999999999993</v>
      </c>
      <c r="M3416" s="1566"/>
    </row>
    <row r="3417" spans="2:13" hidden="1">
      <c r="B3417" s="1543"/>
      <c r="C3417" s="1332" t="s">
        <v>751</v>
      </c>
      <c r="D3417" s="1331" t="s">
        <v>681</v>
      </c>
      <c r="E3417" s="1331" t="s">
        <v>675</v>
      </c>
      <c r="F3417" s="1334">
        <v>3.5000000000000003E-2</v>
      </c>
      <c r="G3417" s="1104">
        <f>DUB!$I$13</f>
        <v>240000</v>
      </c>
      <c r="H3417" s="1106">
        <f>G3417*F3417</f>
        <v>8400</v>
      </c>
      <c r="M3417" s="1566"/>
    </row>
    <row r="3418" spans="2:13" hidden="1">
      <c r="B3418" s="1543"/>
      <c r="C3418" s="1332" t="s">
        <v>683</v>
      </c>
      <c r="D3418" s="1331" t="s">
        <v>684</v>
      </c>
      <c r="E3418" s="1331" t="s">
        <v>675</v>
      </c>
      <c r="F3418" s="1334">
        <v>3.5000000000000003E-2</v>
      </c>
      <c r="G3418" s="1104">
        <f>DUB!$I$12</f>
        <v>225000</v>
      </c>
      <c r="H3418" s="1106">
        <f>G3418*F3418</f>
        <v>7875.0000000000009</v>
      </c>
      <c r="M3418" s="1566"/>
    </row>
    <row r="3419" spans="2:13" hidden="1">
      <c r="B3419" s="1543"/>
      <c r="C3419" s="1332"/>
      <c r="D3419" s="1331"/>
      <c r="E3419" s="1331"/>
      <c r="F3419" s="2074" t="s">
        <v>685</v>
      </c>
      <c r="G3419" s="2074"/>
      <c r="H3419" s="1106">
        <f>SUM(H3415:H3418)</f>
        <v>186725</v>
      </c>
      <c r="M3419" s="1566"/>
    </row>
    <row r="3420" spans="2:13" hidden="1">
      <c r="B3420" s="1543" t="s">
        <v>686</v>
      </c>
      <c r="C3420" s="1332" t="s">
        <v>687</v>
      </c>
      <c r="D3420" s="1331"/>
      <c r="E3420" s="1331"/>
      <c r="F3420" s="1334"/>
      <c r="G3420" s="1104"/>
      <c r="H3420" s="1106"/>
      <c r="M3420" s="1566"/>
    </row>
    <row r="3421" spans="2:13" hidden="1">
      <c r="B3421" s="1543"/>
      <c r="C3421" s="1332" t="s">
        <v>1134</v>
      </c>
      <c r="D3421" s="1331"/>
      <c r="E3421" s="1331" t="s">
        <v>743</v>
      </c>
      <c r="F3421" s="1334">
        <v>11.87</v>
      </c>
      <c r="G3421" s="1104">
        <f>DUB!$I$186</f>
        <v>7119</v>
      </c>
      <c r="H3421" s="1106">
        <f>G3421*F3421</f>
        <v>84502.53</v>
      </c>
      <c r="M3421" s="1566"/>
    </row>
    <row r="3422" spans="2:13" hidden="1">
      <c r="B3422" s="1543"/>
      <c r="C3422" s="1332" t="s">
        <v>818</v>
      </c>
      <c r="D3422" s="1331"/>
      <c r="E3422" s="1331" t="s">
        <v>690</v>
      </c>
      <c r="F3422" s="1334">
        <v>14.15</v>
      </c>
      <c r="G3422" s="1104">
        <f>DUB!$I$65</f>
        <v>1575</v>
      </c>
      <c r="H3422" s="1106">
        <f>G3422*F3422</f>
        <v>22286.25</v>
      </c>
      <c r="M3422" s="1566"/>
    </row>
    <row r="3423" spans="2:13" hidden="1">
      <c r="B3423" s="1543"/>
      <c r="C3423" s="1332" t="s">
        <v>739</v>
      </c>
      <c r="D3423" s="1331"/>
      <c r="E3423" s="1331" t="s">
        <v>881</v>
      </c>
      <c r="F3423" s="1334">
        <v>3.9E-2</v>
      </c>
      <c r="G3423" s="1104">
        <f>DUB!$I$59</f>
        <v>208463</v>
      </c>
      <c r="H3423" s="1106">
        <f>G3423*F3423</f>
        <v>8130.0569999999998</v>
      </c>
      <c r="M3423" s="1566"/>
    </row>
    <row r="3424" spans="2:13" hidden="1">
      <c r="B3424" s="1543"/>
      <c r="C3424" s="1332" t="s">
        <v>1100</v>
      </c>
      <c r="D3424" s="1331"/>
      <c r="E3424" s="1331" t="s">
        <v>690</v>
      </c>
      <c r="F3424" s="1334">
        <v>2</v>
      </c>
      <c r="G3424" s="1104">
        <f>DUB!$I$62/40</f>
        <v>2750</v>
      </c>
      <c r="H3424" s="1106">
        <f>G3424*F3424</f>
        <v>5500</v>
      </c>
      <c r="M3424" s="1566"/>
    </row>
    <row r="3425" spans="2:13" hidden="1">
      <c r="B3425" s="1543"/>
      <c r="C3425" s="1125"/>
      <c r="D3425" s="1333"/>
      <c r="E3425" s="1333"/>
      <c r="F3425" s="2074" t="s">
        <v>702</v>
      </c>
      <c r="G3425" s="2074"/>
      <c r="H3425" s="1106">
        <f>SUM(H3421:H3424)</f>
        <v>120418.837</v>
      </c>
      <c r="M3425" s="1566"/>
    </row>
    <row r="3426" spans="2:13" s="496" customFormat="1" hidden="1">
      <c r="B3426" s="1543" t="s">
        <v>703</v>
      </c>
      <c r="C3426" s="2075" t="s">
        <v>3764</v>
      </c>
      <c r="D3426" s="2075"/>
      <c r="E3426" s="2075"/>
      <c r="F3426" s="2075"/>
      <c r="G3426" s="2075"/>
      <c r="H3426" s="1107">
        <f>H3419+H3425</f>
        <v>307143.837</v>
      </c>
      <c r="J3426" s="1559"/>
      <c r="K3426" s="1559"/>
      <c r="L3426" s="1559"/>
      <c r="M3426" s="1635"/>
    </row>
    <row r="3427" spans="2:13" s="496" customFormat="1" hidden="1">
      <c r="B3427" s="1543" t="s">
        <v>706</v>
      </c>
      <c r="C3427" s="2076" t="s">
        <v>876</v>
      </c>
      <c r="D3427" s="2076"/>
      <c r="E3427" s="2076"/>
      <c r="F3427" s="2077" t="s">
        <v>3873</v>
      </c>
      <c r="G3427" s="2077"/>
      <c r="H3427" s="1107">
        <f>H3426*0.15</f>
        <v>46071.575550000001</v>
      </c>
      <c r="J3427" s="1559"/>
      <c r="K3427" s="1559"/>
      <c r="L3427" s="1559"/>
      <c r="M3427" s="1635"/>
    </row>
    <row r="3428" spans="2:13" s="496" customFormat="1" hidden="1">
      <c r="B3428" s="1543" t="s">
        <v>708</v>
      </c>
      <c r="C3428" s="2078" t="s">
        <v>3765</v>
      </c>
      <c r="D3428" s="2078"/>
      <c r="E3428" s="2078"/>
      <c r="F3428" s="2078"/>
      <c r="G3428" s="2078"/>
      <c r="H3428" s="1107">
        <f>ROUND(SUM(H3426:H3427),2)</f>
        <v>353215.41</v>
      </c>
      <c r="I3428" s="506">
        <f>SUM(H3426:H3427)</f>
        <v>353215.41255000001</v>
      </c>
      <c r="J3428" s="1561"/>
      <c r="K3428" s="1561"/>
      <c r="L3428" s="1559"/>
      <c r="M3428" s="1635"/>
    </row>
    <row r="3429" spans="2:13" hidden="1">
      <c r="B3429" s="1143"/>
      <c r="C3429" s="1144"/>
      <c r="D3429" s="1143"/>
      <c r="E3429" s="1143"/>
      <c r="F3429" s="1145"/>
      <c r="G3429" s="1146"/>
      <c r="H3429" s="1147"/>
      <c r="M3429" s="1566"/>
    </row>
    <row r="3430" spans="2:13" hidden="1">
      <c r="B3430" s="1100" t="s">
        <v>4048</v>
      </c>
      <c r="C3430" s="1232" t="s">
        <v>2798</v>
      </c>
      <c r="F3430" s="1172"/>
      <c r="G3430" s="1173"/>
      <c r="H3430" s="1133"/>
      <c r="M3430" s="1566"/>
    </row>
    <row r="3431" spans="2:13" ht="24.9" hidden="1" customHeight="1">
      <c r="B3431" s="1748" t="s">
        <v>1003</v>
      </c>
      <c r="C3431" s="1101" t="s">
        <v>1004</v>
      </c>
      <c r="D3431" s="1101" t="s">
        <v>1005</v>
      </c>
      <c r="E3431" s="1101" t="s">
        <v>1006</v>
      </c>
      <c r="F3431" s="1102" t="s">
        <v>1007</v>
      </c>
      <c r="G3431" s="1109" t="s">
        <v>2637</v>
      </c>
      <c r="H3431" s="1110" t="s">
        <v>2638</v>
      </c>
      <c r="M3431" s="1566"/>
    </row>
    <row r="3432" spans="2:13" hidden="1">
      <c r="B3432" s="1543" t="s">
        <v>671</v>
      </c>
      <c r="C3432" s="1332" t="s">
        <v>672</v>
      </c>
      <c r="D3432" s="1331"/>
      <c r="E3432" s="1331"/>
      <c r="F3432" s="1334"/>
      <c r="G3432" s="1104"/>
      <c r="H3432" s="1106"/>
      <c r="M3432" s="1566"/>
    </row>
    <row r="3433" spans="2:13" hidden="1">
      <c r="B3433" s="1543"/>
      <c r="C3433" s="1332" t="s">
        <v>673</v>
      </c>
      <c r="D3433" s="1331" t="s">
        <v>674</v>
      </c>
      <c r="E3433" s="1331" t="s">
        <v>675</v>
      </c>
      <c r="F3433" s="1334">
        <v>0.09</v>
      </c>
      <c r="G3433" s="1104">
        <f>DUB!$I$10</f>
        <v>150000</v>
      </c>
      <c r="H3433" s="1106">
        <f>G3433*F3433</f>
        <v>13500</v>
      </c>
      <c r="M3433" s="1566"/>
    </row>
    <row r="3434" spans="2:13" hidden="1">
      <c r="B3434" s="1543"/>
      <c r="C3434" s="1332" t="s">
        <v>816</v>
      </c>
      <c r="D3434" s="1331" t="s">
        <v>678</v>
      </c>
      <c r="E3434" s="1331" t="s">
        <v>675</v>
      </c>
      <c r="F3434" s="1334">
        <v>0.09</v>
      </c>
      <c r="G3434" s="1104">
        <f>DUB!$I$11</f>
        <v>187000</v>
      </c>
      <c r="H3434" s="1106">
        <f>G3434*F3434</f>
        <v>16830</v>
      </c>
      <c r="M3434" s="1566"/>
    </row>
    <row r="3435" spans="2:13" hidden="1">
      <c r="B3435" s="1543"/>
      <c r="C3435" s="1332" t="s">
        <v>751</v>
      </c>
      <c r="D3435" s="1331" t="s">
        <v>681</v>
      </c>
      <c r="E3435" s="1331" t="s">
        <v>675</v>
      </c>
      <c r="F3435" s="1334">
        <v>3.5000000000000003E-2</v>
      </c>
      <c r="G3435" s="1104">
        <f>DUB!$I$13</f>
        <v>240000</v>
      </c>
      <c r="H3435" s="1106">
        <f>G3435*F3435</f>
        <v>8400</v>
      </c>
      <c r="M3435" s="1566"/>
    </row>
    <row r="3436" spans="2:13" hidden="1">
      <c r="B3436" s="1543"/>
      <c r="C3436" s="1332" t="s">
        <v>683</v>
      </c>
      <c r="D3436" s="1331" t="s">
        <v>684</v>
      </c>
      <c r="E3436" s="1331" t="s">
        <v>675</v>
      </c>
      <c r="F3436" s="1334">
        <v>5.0000000000000001E-3</v>
      </c>
      <c r="G3436" s="1104">
        <f>DUB!$I$12</f>
        <v>225000</v>
      </c>
      <c r="H3436" s="1106">
        <f>G3436*F3436</f>
        <v>1125</v>
      </c>
      <c r="M3436" s="1566"/>
    </row>
    <row r="3437" spans="2:13" hidden="1">
      <c r="B3437" s="1543"/>
      <c r="C3437" s="1332"/>
      <c r="D3437" s="1331"/>
      <c r="E3437" s="1331"/>
      <c r="F3437" s="2074" t="s">
        <v>685</v>
      </c>
      <c r="G3437" s="2074"/>
      <c r="H3437" s="1106">
        <f>SUM(H3433:H3436)</f>
        <v>39855</v>
      </c>
      <c r="M3437" s="1566"/>
    </row>
    <row r="3438" spans="2:13" hidden="1">
      <c r="B3438" s="1543" t="s">
        <v>686</v>
      </c>
      <c r="C3438" s="1332" t="s">
        <v>687</v>
      </c>
      <c r="D3438" s="1331"/>
      <c r="E3438" s="1331"/>
      <c r="F3438" s="1334"/>
      <c r="G3438" s="1104"/>
      <c r="H3438" s="1106"/>
      <c r="M3438" s="1566"/>
    </row>
    <row r="3439" spans="2:13" hidden="1">
      <c r="B3439" s="1543"/>
      <c r="C3439" s="1332" t="s">
        <v>1145</v>
      </c>
      <c r="D3439" s="1331"/>
      <c r="E3439" s="1331" t="s">
        <v>743</v>
      </c>
      <c r="F3439" s="1334">
        <v>10.5</v>
      </c>
      <c r="G3439" s="1104">
        <f>DUB!$I$204</f>
        <v>1143</v>
      </c>
      <c r="H3439" s="1106">
        <f>G3439*F3439</f>
        <v>12001.5</v>
      </c>
      <c r="M3439" s="1566"/>
    </row>
    <row r="3440" spans="2:13" hidden="1">
      <c r="B3440" s="1543"/>
      <c r="C3440" s="1332" t="s">
        <v>738</v>
      </c>
      <c r="D3440" s="1331"/>
      <c r="E3440" s="1331" t="s">
        <v>690</v>
      </c>
      <c r="F3440" s="1334">
        <v>1.1399999999999999</v>
      </c>
      <c r="G3440" s="1104">
        <f>DUB!$I$65</f>
        <v>1575</v>
      </c>
      <c r="H3440" s="1106">
        <f>G3440*F3440</f>
        <v>1795.4999999999998</v>
      </c>
      <c r="M3440" s="1566"/>
    </row>
    <row r="3441" spans="2:13" hidden="1">
      <c r="B3441" s="1543"/>
      <c r="C3441" s="1332" t="s">
        <v>739</v>
      </c>
      <c r="D3441" s="1331"/>
      <c r="E3441" s="1331" t="s">
        <v>881</v>
      </c>
      <c r="F3441" s="1334">
        <v>3.0000000000000001E-3</v>
      </c>
      <c r="G3441" s="1104">
        <f>DUB!$I$59</f>
        <v>208463</v>
      </c>
      <c r="H3441" s="1106">
        <f>G3441*F3441</f>
        <v>625.38900000000001</v>
      </c>
      <c r="M3441" s="1566"/>
    </row>
    <row r="3442" spans="2:13" hidden="1">
      <c r="B3442" s="1543"/>
      <c r="C3442" s="1332" t="s">
        <v>1100</v>
      </c>
      <c r="D3442" s="1331"/>
      <c r="E3442" s="1331" t="s">
        <v>690</v>
      </c>
      <c r="F3442" s="1334">
        <v>0.05</v>
      </c>
      <c r="G3442" s="1104">
        <f>DUB!$I$62/40</f>
        <v>2750</v>
      </c>
      <c r="H3442" s="1106">
        <f>G3442*F3442</f>
        <v>137.5</v>
      </c>
      <c r="M3442" s="1566"/>
    </row>
    <row r="3443" spans="2:13" hidden="1">
      <c r="B3443" s="1543"/>
      <c r="C3443" s="1125"/>
      <c r="D3443" s="1333"/>
      <c r="E3443" s="1333"/>
      <c r="F3443" s="2074" t="s">
        <v>702</v>
      </c>
      <c r="G3443" s="2074"/>
      <c r="H3443" s="1106">
        <f>SUM(H3439:H3442)</f>
        <v>14559.888999999999</v>
      </c>
      <c r="M3443" s="1566"/>
    </row>
    <row r="3444" spans="2:13" hidden="1">
      <c r="B3444" s="1543" t="s">
        <v>703</v>
      </c>
      <c r="C3444" s="2075" t="s">
        <v>3764</v>
      </c>
      <c r="D3444" s="2075"/>
      <c r="E3444" s="2075"/>
      <c r="F3444" s="2075"/>
      <c r="G3444" s="2075"/>
      <c r="H3444" s="1107">
        <f>H3437+H3443</f>
        <v>54414.888999999996</v>
      </c>
      <c r="M3444" s="1566"/>
    </row>
    <row r="3445" spans="2:13" hidden="1">
      <c r="B3445" s="1543" t="s">
        <v>706</v>
      </c>
      <c r="C3445" s="2076" t="s">
        <v>876</v>
      </c>
      <c r="D3445" s="2076"/>
      <c r="E3445" s="2076"/>
      <c r="F3445" s="2077" t="s">
        <v>3873</v>
      </c>
      <c r="G3445" s="2077"/>
      <c r="H3445" s="1107">
        <f>H3444*0.15</f>
        <v>8162.2333499999986</v>
      </c>
      <c r="M3445" s="1566"/>
    </row>
    <row r="3446" spans="2:13" hidden="1">
      <c r="B3446" s="1543" t="s">
        <v>708</v>
      </c>
      <c r="C3446" s="2078" t="s">
        <v>3765</v>
      </c>
      <c r="D3446" s="2078"/>
      <c r="E3446" s="2078"/>
      <c r="F3446" s="2078"/>
      <c r="G3446" s="2078"/>
      <c r="H3446" s="1107">
        <f>ROUND(SUM(H3444:H3445),2)</f>
        <v>62577.120000000003</v>
      </c>
      <c r="M3446" s="1566"/>
    </row>
    <row r="3447" spans="2:13" hidden="1">
      <c r="B3447" s="1129"/>
      <c r="C3447" s="1130"/>
      <c r="D3447" s="1129"/>
      <c r="E3447" s="1129"/>
      <c r="F3447" s="1131"/>
      <c r="G3447" s="1132"/>
      <c r="H3447" s="1115"/>
      <c r="M3447" s="1566"/>
    </row>
    <row r="3448" spans="2:13" hidden="1">
      <c r="B3448" s="1100" t="s">
        <v>4424</v>
      </c>
      <c r="C3448" s="1112" t="s">
        <v>2799</v>
      </c>
      <c r="D3448" s="1129"/>
      <c r="E3448" s="1129"/>
      <c r="F3448" s="1131"/>
      <c r="G3448" s="1132"/>
      <c r="H3448" s="1115"/>
      <c r="M3448" s="1566"/>
    </row>
    <row r="3449" spans="2:13" s="507" customFormat="1" ht="24.9" hidden="1" customHeight="1">
      <c r="B3449" s="1748" t="s">
        <v>1003</v>
      </c>
      <c r="C3449" s="1101" t="s">
        <v>1004</v>
      </c>
      <c r="D3449" s="1101" t="s">
        <v>1005</v>
      </c>
      <c r="E3449" s="1101" t="s">
        <v>1006</v>
      </c>
      <c r="F3449" s="1102" t="s">
        <v>1007</v>
      </c>
      <c r="G3449" s="1109" t="s">
        <v>2637</v>
      </c>
      <c r="H3449" s="1110" t="s">
        <v>2638</v>
      </c>
      <c r="J3449" s="1625"/>
      <c r="K3449" s="1625"/>
      <c r="L3449" s="1625"/>
      <c r="M3449" s="1570"/>
    </row>
    <row r="3450" spans="2:13" hidden="1">
      <c r="B3450" s="1543" t="s">
        <v>671</v>
      </c>
      <c r="C3450" s="1332" t="s">
        <v>672</v>
      </c>
      <c r="D3450" s="1331"/>
      <c r="E3450" s="1331"/>
      <c r="F3450" s="1334"/>
      <c r="G3450" s="1104"/>
      <c r="H3450" s="1106"/>
      <c r="M3450" s="1566"/>
    </row>
    <row r="3451" spans="2:13" hidden="1">
      <c r="B3451" s="1543"/>
      <c r="C3451" s="1332" t="s">
        <v>673</v>
      </c>
      <c r="D3451" s="1331" t="s">
        <v>674</v>
      </c>
      <c r="E3451" s="1331" t="s">
        <v>675</v>
      </c>
      <c r="F3451" s="1334">
        <v>0.09</v>
      </c>
      <c r="G3451" s="1104">
        <f>DUB!$I$10</f>
        <v>150000</v>
      </c>
      <c r="H3451" s="1106">
        <f>G3451*F3451</f>
        <v>13500</v>
      </c>
      <c r="M3451" s="1566"/>
    </row>
    <row r="3452" spans="2:13" hidden="1">
      <c r="B3452" s="1543"/>
      <c r="C3452" s="1332" t="s">
        <v>816</v>
      </c>
      <c r="D3452" s="1331" t="s">
        <v>678</v>
      </c>
      <c r="E3452" s="1331" t="s">
        <v>675</v>
      </c>
      <c r="F3452" s="1334">
        <v>0.09</v>
      </c>
      <c r="G3452" s="1104">
        <f>DUB!$I$11</f>
        <v>187000</v>
      </c>
      <c r="H3452" s="1106">
        <f>G3452*F3452</f>
        <v>16830</v>
      </c>
      <c r="M3452" s="1566"/>
    </row>
    <row r="3453" spans="2:13" hidden="1">
      <c r="B3453" s="1543"/>
      <c r="C3453" s="1332" t="s">
        <v>751</v>
      </c>
      <c r="D3453" s="1331" t="s">
        <v>681</v>
      </c>
      <c r="E3453" s="1331" t="s">
        <v>675</v>
      </c>
      <c r="F3453" s="1334">
        <v>3.5000000000000003E-2</v>
      </c>
      <c r="G3453" s="1104">
        <f>DUB!$I$13</f>
        <v>240000</v>
      </c>
      <c r="H3453" s="1106">
        <f>G3453*F3453</f>
        <v>8400</v>
      </c>
      <c r="M3453" s="1566"/>
    </row>
    <row r="3454" spans="2:13" hidden="1">
      <c r="B3454" s="1543"/>
      <c r="C3454" s="1332" t="s">
        <v>683</v>
      </c>
      <c r="D3454" s="1331" t="s">
        <v>684</v>
      </c>
      <c r="E3454" s="1331" t="s">
        <v>675</v>
      </c>
      <c r="F3454" s="1334">
        <v>5.0000000000000001E-3</v>
      </c>
      <c r="G3454" s="1104">
        <f>DUB!$I$12</f>
        <v>225000</v>
      </c>
      <c r="H3454" s="1106">
        <f>G3454*F3454</f>
        <v>1125</v>
      </c>
      <c r="M3454" s="1566"/>
    </row>
    <row r="3455" spans="2:13" hidden="1">
      <c r="B3455" s="1543"/>
      <c r="C3455" s="1332"/>
      <c r="D3455" s="1331"/>
      <c r="E3455" s="1331"/>
      <c r="F3455" s="2074" t="s">
        <v>685</v>
      </c>
      <c r="G3455" s="2074"/>
      <c r="H3455" s="1106">
        <f>SUM(H3451:H3454)</f>
        <v>39855</v>
      </c>
      <c r="M3455" s="1566"/>
    </row>
    <row r="3456" spans="2:13" hidden="1">
      <c r="B3456" s="1543" t="s">
        <v>686</v>
      </c>
      <c r="C3456" s="1332" t="s">
        <v>687</v>
      </c>
      <c r="D3456" s="1331"/>
      <c r="E3456" s="1331"/>
      <c r="F3456" s="1334"/>
      <c r="G3456" s="1104"/>
      <c r="H3456" s="1106"/>
      <c r="M3456" s="1566"/>
    </row>
    <row r="3457" spans="2:13" hidden="1">
      <c r="B3457" s="1543"/>
      <c r="C3457" s="1332" t="s">
        <v>1145</v>
      </c>
      <c r="D3457" s="1331"/>
      <c r="E3457" s="1331" t="s">
        <v>743</v>
      </c>
      <c r="F3457" s="1334">
        <v>5.3</v>
      </c>
      <c r="G3457" s="1104">
        <f>DUB!$I$205</f>
        <v>1818</v>
      </c>
      <c r="H3457" s="1106">
        <f>G3457*F3457</f>
        <v>9635.4</v>
      </c>
      <c r="M3457" s="1566"/>
    </row>
    <row r="3458" spans="2:13" hidden="1">
      <c r="B3458" s="1543"/>
      <c r="C3458" s="1332" t="s">
        <v>818</v>
      </c>
      <c r="D3458" s="1331"/>
      <c r="E3458" s="1331" t="s">
        <v>690</v>
      </c>
      <c r="F3458" s="1334">
        <v>1.1399999999999999</v>
      </c>
      <c r="G3458" s="1104">
        <f>DUB!$I$65</f>
        <v>1575</v>
      </c>
      <c r="H3458" s="1106">
        <f>G3458*F3458</f>
        <v>1795.4999999999998</v>
      </c>
      <c r="M3458" s="1566"/>
    </row>
    <row r="3459" spans="2:13" hidden="1">
      <c r="B3459" s="1543"/>
      <c r="C3459" s="1332" t="s">
        <v>739</v>
      </c>
      <c r="D3459" s="1331"/>
      <c r="E3459" s="1331" t="s">
        <v>881</v>
      </c>
      <c r="F3459" s="1334">
        <v>3.0000000000000001E-3</v>
      </c>
      <c r="G3459" s="1104">
        <f>DUB!$I$59</f>
        <v>208463</v>
      </c>
      <c r="H3459" s="1106">
        <f>G3459*F3459</f>
        <v>625.38900000000001</v>
      </c>
      <c r="M3459" s="1566"/>
    </row>
    <row r="3460" spans="2:13" hidden="1">
      <c r="B3460" s="1543"/>
      <c r="C3460" s="1332" t="s">
        <v>1100</v>
      </c>
      <c r="D3460" s="1331"/>
      <c r="E3460" s="1331" t="s">
        <v>690</v>
      </c>
      <c r="F3460" s="1334">
        <v>2.5000000000000001E-2</v>
      </c>
      <c r="G3460" s="1104">
        <f>DUB!$I$62/40</f>
        <v>2750</v>
      </c>
      <c r="H3460" s="1106">
        <f>G3460*F3460</f>
        <v>68.75</v>
      </c>
      <c r="M3460" s="1566"/>
    </row>
    <row r="3461" spans="2:13" hidden="1">
      <c r="B3461" s="1543"/>
      <c r="C3461" s="1332"/>
      <c r="D3461" s="1331"/>
      <c r="E3461" s="1331"/>
      <c r="F3461" s="2090" t="s">
        <v>702</v>
      </c>
      <c r="G3461" s="2090"/>
      <c r="H3461" s="1106">
        <f>SUM(H3457:H3460)</f>
        <v>12125.038999999999</v>
      </c>
      <c r="M3461" s="1566"/>
    </row>
    <row r="3462" spans="2:13" s="496" customFormat="1" hidden="1">
      <c r="B3462" s="1543" t="s">
        <v>703</v>
      </c>
      <c r="C3462" s="2089" t="s">
        <v>3764</v>
      </c>
      <c r="D3462" s="2089"/>
      <c r="E3462" s="2089"/>
      <c r="F3462" s="2089"/>
      <c r="G3462" s="2089"/>
      <c r="H3462" s="1107">
        <f>H3455+H3461</f>
        <v>51980.038999999997</v>
      </c>
      <c r="J3462" s="1559"/>
      <c r="K3462" s="1559"/>
      <c r="L3462" s="1559"/>
      <c r="M3462" s="1635"/>
    </row>
    <row r="3463" spans="2:13" s="496" customFormat="1" hidden="1">
      <c r="B3463" s="1543" t="s">
        <v>706</v>
      </c>
      <c r="C3463" s="2076" t="s">
        <v>876</v>
      </c>
      <c r="D3463" s="2076"/>
      <c r="E3463" s="2076"/>
      <c r="F3463" s="2077" t="s">
        <v>3873</v>
      </c>
      <c r="G3463" s="2077"/>
      <c r="H3463" s="1107">
        <f>H3462*0.15</f>
        <v>7797.0058499999996</v>
      </c>
      <c r="J3463" s="1559"/>
      <c r="K3463" s="1559"/>
      <c r="L3463" s="1559"/>
      <c r="M3463" s="1635"/>
    </row>
    <row r="3464" spans="2:13" s="496" customFormat="1" hidden="1">
      <c r="B3464" s="1543" t="s">
        <v>708</v>
      </c>
      <c r="C3464" s="2078" t="s">
        <v>3765</v>
      </c>
      <c r="D3464" s="2078"/>
      <c r="E3464" s="2078"/>
      <c r="F3464" s="2078"/>
      <c r="G3464" s="2078"/>
      <c r="H3464" s="1107">
        <f>ROUND(SUM(H3462:H3463),2)</f>
        <v>59777.04</v>
      </c>
      <c r="I3464" s="506">
        <f>SUM(H3462:H3463)</f>
        <v>59777.044849999998</v>
      </c>
      <c r="J3464" s="1561"/>
      <c r="K3464" s="1561"/>
      <c r="L3464" s="1559"/>
      <c r="M3464" s="1635"/>
    </row>
    <row r="3465" spans="2:13" hidden="1">
      <c r="F3465" s="1172"/>
      <c r="G3465" s="1173"/>
      <c r="H3465" s="1133"/>
      <c r="M3465" s="1566"/>
    </row>
    <row r="3466" spans="2:13" hidden="1">
      <c r="B3466" s="1100" t="s">
        <v>4425</v>
      </c>
      <c r="C3466" s="1112" t="s">
        <v>3360</v>
      </c>
      <c r="D3466" s="1129"/>
      <c r="E3466" s="1129"/>
      <c r="F3466" s="1131"/>
      <c r="G3466" s="1132"/>
      <c r="H3466" s="1115"/>
      <c r="M3466" s="1566"/>
    </row>
    <row r="3467" spans="2:13" s="507" customFormat="1" ht="24.9" hidden="1" customHeight="1">
      <c r="B3467" s="1748" t="s">
        <v>1003</v>
      </c>
      <c r="C3467" s="1101" t="s">
        <v>1004</v>
      </c>
      <c r="D3467" s="1101" t="s">
        <v>1005</v>
      </c>
      <c r="E3467" s="1101" t="s">
        <v>1006</v>
      </c>
      <c r="F3467" s="1102" t="s">
        <v>1007</v>
      </c>
      <c r="G3467" s="1109" t="s">
        <v>2637</v>
      </c>
      <c r="H3467" s="1110" t="s">
        <v>2638</v>
      </c>
      <c r="J3467" s="1625"/>
      <c r="K3467" s="1625"/>
      <c r="L3467" s="1625"/>
      <c r="M3467" s="1570"/>
    </row>
    <row r="3468" spans="2:13" hidden="1">
      <c r="B3468" s="1543" t="s">
        <v>671</v>
      </c>
      <c r="C3468" s="1332" t="s">
        <v>672</v>
      </c>
      <c r="D3468" s="1331"/>
      <c r="E3468" s="1331"/>
      <c r="F3468" s="1334"/>
      <c r="G3468" s="1104"/>
      <c r="H3468" s="1106"/>
      <c r="M3468" s="1566"/>
    </row>
    <row r="3469" spans="2:13" hidden="1">
      <c r="B3469" s="1543"/>
      <c r="C3469" s="1332" t="s">
        <v>673</v>
      </c>
      <c r="D3469" s="1331" t="s">
        <v>674</v>
      </c>
      <c r="E3469" s="1331" t="s">
        <v>675</v>
      </c>
      <c r="F3469" s="1334">
        <v>0.09</v>
      </c>
      <c r="G3469" s="1104">
        <f>DUB!$I$10</f>
        <v>150000</v>
      </c>
      <c r="H3469" s="1106">
        <f>G3469*F3469</f>
        <v>13500</v>
      </c>
      <c r="M3469" s="1566"/>
    </row>
    <row r="3470" spans="2:13" hidden="1">
      <c r="B3470" s="1543"/>
      <c r="C3470" s="1332" t="s">
        <v>816</v>
      </c>
      <c r="D3470" s="1331" t="s">
        <v>678</v>
      </c>
      <c r="E3470" s="1331" t="s">
        <v>675</v>
      </c>
      <c r="F3470" s="1334">
        <v>0.09</v>
      </c>
      <c r="G3470" s="1104">
        <f>DUB!$I$11</f>
        <v>187000</v>
      </c>
      <c r="H3470" s="1106">
        <f>G3470*F3470</f>
        <v>16830</v>
      </c>
      <c r="M3470" s="1566"/>
    </row>
    <row r="3471" spans="2:13" hidden="1">
      <c r="B3471" s="1543"/>
      <c r="C3471" s="1332" t="s">
        <v>751</v>
      </c>
      <c r="D3471" s="1331" t="s">
        <v>681</v>
      </c>
      <c r="E3471" s="1331" t="s">
        <v>675</v>
      </c>
      <c r="F3471" s="1334">
        <v>3.5000000000000003E-2</v>
      </c>
      <c r="G3471" s="1104">
        <f>DUB!$I$13</f>
        <v>240000</v>
      </c>
      <c r="H3471" s="1106">
        <f>G3471*F3471</f>
        <v>8400</v>
      </c>
      <c r="M3471" s="1566"/>
    </row>
    <row r="3472" spans="2:13" hidden="1">
      <c r="B3472" s="1543"/>
      <c r="C3472" s="1332" t="s">
        <v>683</v>
      </c>
      <c r="D3472" s="1331" t="s">
        <v>684</v>
      </c>
      <c r="E3472" s="1331" t="s">
        <v>675</v>
      </c>
      <c r="F3472" s="1334">
        <v>5.0000000000000001E-3</v>
      </c>
      <c r="G3472" s="1104">
        <f>DUB!$I$12</f>
        <v>225000</v>
      </c>
      <c r="H3472" s="1106">
        <f>G3472*F3472</f>
        <v>1125</v>
      </c>
      <c r="M3472" s="1566"/>
    </row>
    <row r="3473" spans="2:13" hidden="1">
      <c r="B3473" s="1543"/>
      <c r="C3473" s="1332"/>
      <c r="D3473" s="1331"/>
      <c r="E3473" s="1331"/>
      <c r="F3473" s="2074" t="s">
        <v>685</v>
      </c>
      <c r="G3473" s="2074"/>
      <c r="H3473" s="1106">
        <f>SUM(H3469:H3472)</f>
        <v>39855</v>
      </c>
      <c r="M3473" s="1566"/>
    </row>
    <row r="3474" spans="2:13" hidden="1">
      <c r="B3474" s="1543" t="s">
        <v>686</v>
      </c>
      <c r="C3474" s="1332" t="s">
        <v>687</v>
      </c>
      <c r="D3474" s="1331"/>
      <c r="E3474" s="1331"/>
      <c r="F3474" s="1334"/>
      <c r="G3474" s="1104"/>
      <c r="H3474" s="1106"/>
      <c r="M3474" s="1566"/>
    </row>
    <row r="3475" spans="2:13" hidden="1">
      <c r="B3475" s="1543"/>
      <c r="C3475" s="1332" t="s">
        <v>1145</v>
      </c>
      <c r="D3475" s="1331"/>
      <c r="E3475" s="1331" t="s">
        <v>743</v>
      </c>
      <c r="F3475" s="1334">
        <v>5.3</v>
      </c>
      <c r="G3475" s="1104">
        <f>DUB!I206</f>
        <v>2358</v>
      </c>
      <c r="H3475" s="1106">
        <f>G3475*F3475</f>
        <v>12497.4</v>
      </c>
      <c r="M3475" s="1566"/>
    </row>
    <row r="3476" spans="2:13" hidden="1">
      <c r="B3476" s="1543"/>
      <c r="C3476" s="1332" t="s">
        <v>738</v>
      </c>
      <c r="D3476" s="1331"/>
      <c r="E3476" s="1331" t="s">
        <v>690</v>
      </c>
      <c r="F3476" s="1334">
        <v>0.56999999999999995</v>
      </c>
      <c r="G3476" s="1104">
        <f>DUB!$I$65</f>
        <v>1575</v>
      </c>
      <c r="H3476" s="1106">
        <f>G3476*F3476</f>
        <v>897.74999999999989</v>
      </c>
      <c r="M3476" s="1566"/>
    </row>
    <row r="3477" spans="2:13" hidden="1">
      <c r="B3477" s="1543"/>
      <c r="C3477" s="1332" t="s">
        <v>739</v>
      </c>
      <c r="D3477" s="1331"/>
      <c r="E3477" s="1331" t="s">
        <v>881</v>
      </c>
      <c r="F3477" s="1334">
        <v>1.5E-3</v>
      </c>
      <c r="G3477" s="1104">
        <f>DUB!$I$59</f>
        <v>208463</v>
      </c>
      <c r="H3477" s="1106">
        <f>G3477*F3477</f>
        <v>312.69450000000001</v>
      </c>
      <c r="M3477" s="1566"/>
    </row>
    <row r="3478" spans="2:13" hidden="1">
      <c r="B3478" s="1543"/>
      <c r="C3478" s="1332" t="s">
        <v>1100</v>
      </c>
      <c r="D3478" s="1331"/>
      <c r="E3478" s="1331" t="s">
        <v>690</v>
      </c>
      <c r="F3478" s="1334">
        <v>1.2999999999999999E-2</v>
      </c>
      <c r="G3478" s="1104">
        <f>DUB!$I$62/40</f>
        <v>2750</v>
      </c>
      <c r="H3478" s="1106">
        <f>G3478*F3478</f>
        <v>35.75</v>
      </c>
      <c r="M3478" s="1566"/>
    </row>
    <row r="3479" spans="2:13" hidden="1">
      <c r="B3479" s="1543"/>
      <c r="C3479" s="1125"/>
      <c r="D3479" s="1333"/>
      <c r="E3479" s="1333"/>
      <c r="F3479" s="2074" t="s">
        <v>702</v>
      </c>
      <c r="G3479" s="2074"/>
      <c r="H3479" s="1106">
        <v>12713.32</v>
      </c>
      <c r="L3479" s="1653"/>
      <c r="M3479" s="1566"/>
    </row>
    <row r="3480" spans="2:13" s="496" customFormat="1" hidden="1">
      <c r="B3480" s="1543" t="s">
        <v>703</v>
      </c>
      <c r="C3480" s="2075" t="s">
        <v>3764</v>
      </c>
      <c r="D3480" s="2075"/>
      <c r="E3480" s="2075"/>
      <c r="F3480" s="2075"/>
      <c r="G3480" s="2075"/>
      <c r="H3480" s="1107">
        <f>H3473+H3479</f>
        <v>52568.32</v>
      </c>
      <c r="J3480" s="1559"/>
      <c r="K3480" s="1559"/>
      <c r="L3480" s="1559"/>
      <c r="M3480" s="1635"/>
    </row>
    <row r="3481" spans="2:13" s="496" customFormat="1" hidden="1">
      <c r="B3481" s="1543" t="s">
        <v>706</v>
      </c>
      <c r="C3481" s="2076" t="s">
        <v>876</v>
      </c>
      <c r="D3481" s="2076"/>
      <c r="E3481" s="2076"/>
      <c r="F3481" s="2077" t="s">
        <v>3873</v>
      </c>
      <c r="G3481" s="2077"/>
      <c r="H3481" s="1107">
        <f>H3480*0.15</f>
        <v>7885.2479999999996</v>
      </c>
      <c r="J3481" s="1559"/>
      <c r="K3481" s="1559"/>
      <c r="L3481" s="1559"/>
      <c r="M3481" s="1635"/>
    </row>
    <row r="3482" spans="2:13" s="496" customFormat="1" hidden="1">
      <c r="B3482" s="1543" t="s">
        <v>708</v>
      </c>
      <c r="C3482" s="2078" t="s">
        <v>3765</v>
      </c>
      <c r="D3482" s="2078"/>
      <c r="E3482" s="2078"/>
      <c r="F3482" s="2078"/>
      <c r="G3482" s="2078"/>
      <c r="H3482" s="1107">
        <f>ROUND(SUM(H3480:H3481),2)</f>
        <v>60453.57</v>
      </c>
      <c r="I3482" s="506">
        <f>SUM(H3480:H3481)</f>
        <v>60453.567999999999</v>
      </c>
      <c r="J3482" s="1561"/>
      <c r="K3482" s="1561"/>
      <c r="L3482" s="1559"/>
      <c r="M3482" s="1635"/>
    </row>
    <row r="3483" spans="2:13" hidden="1">
      <c r="B3483" s="1129"/>
      <c r="C3483" s="1130"/>
      <c r="D3483" s="1129"/>
      <c r="E3483" s="1130"/>
      <c r="F3483" s="1131"/>
      <c r="G3483" s="1132"/>
      <c r="H3483" s="1133"/>
      <c r="I3483" s="526"/>
      <c r="J3483" s="1562"/>
      <c r="K3483" s="1562"/>
      <c r="M3483" s="1566"/>
    </row>
    <row r="3484" spans="2:13" hidden="1">
      <c r="B3484" s="1100" t="s">
        <v>4426</v>
      </c>
      <c r="C3484" s="1171" t="s">
        <v>3361</v>
      </c>
      <c r="D3484" s="1129"/>
      <c r="E3484" s="1129"/>
      <c r="F3484" s="1131"/>
      <c r="G3484" s="1132"/>
      <c r="H3484" s="1115"/>
      <c r="M3484" s="1566"/>
    </row>
    <row r="3485" spans="2:13" s="507" customFormat="1" ht="24.9" hidden="1" customHeight="1">
      <c r="B3485" s="1748" t="s">
        <v>1003</v>
      </c>
      <c r="C3485" s="1101" t="s">
        <v>1004</v>
      </c>
      <c r="D3485" s="1101" t="s">
        <v>1005</v>
      </c>
      <c r="E3485" s="1101" t="s">
        <v>1006</v>
      </c>
      <c r="F3485" s="1102" t="s">
        <v>1007</v>
      </c>
      <c r="G3485" s="1109" t="s">
        <v>2637</v>
      </c>
      <c r="H3485" s="1110" t="s">
        <v>2638</v>
      </c>
      <c r="J3485" s="1625"/>
      <c r="K3485" s="1625"/>
      <c r="L3485" s="1625"/>
      <c r="M3485" s="1570"/>
    </row>
    <row r="3486" spans="2:13" hidden="1">
      <c r="B3486" s="1543" t="s">
        <v>671</v>
      </c>
      <c r="C3486" s="1332" t="s">
        <v>672</v>
      </c>
      <c r="D3486" s="1331"/>
      <c r="E3486" s="1331"/>
      <c r="F3486" s="1334"/>
      <c r="G3486" s="1104"/>
      <c r="H3486" s="1106"/>
      <c r="M3486" s="1566"/>
    </row>
    <row r="3487" spans="2:13" hidden="1">
      <c r="B3487" s="1543"/>
      <c r="C3487" s="1332" t="s">
        <v>673</v>
      </c>
      <c r="D3487" s="1331" t="s">
        <v>674</v>
      </c>
      <c r="E3487" s="1331" t="s">
        <v>675</v>
      </c>
      <c r="F3487" s="1334">
        <v>0.09</v>
      </c>
      <c r="G3487" s="1104">
        <f>DUB!$I$10</f>
        <v>150000</v>
      </c>
      <c r="H3487" s="1106">
        <f>G3487*F3487</f>
        <v>13500</v>
      </c>
      <c r="M3487" s="1566"/>
    </row>
    <row r="3488" spans="2:13" hidden="1">
      <c r="B3488" s="1543"/>
      <c r="C3488" s="1332" t="s">
        <v>816</v>
      </c>
      <c r="D3488" s="1331" t="s">
        <v>678</v>
      </c>
      <c r="E3488" s="1331" t="s">
        <v>675</v>
      </c>
      <c r="F3488" s="1334">
        <v>0.09</v>
      </c>
      <c r="G3488" s="1104">
        <f>DUB!$I$11</f>
        <v>187000</v>
      </c>
      <c r="H3488" s="1106">
        <f>G3488*F3488</f>
        <v>16830</v>
      </c>
      <c r="M3488" s="1566"/>
    </row>
    <row r="3489" spans="2:13" hidden="1">
      <c r="B3489" s="1543"/>
      <c r="C3489" s="1332" t="s">
        <v>751</v>
      </c>
      <c r="D3489" s="1331" t="s">
        <v>681</v>
      </c>
      <c r="E3489" s="1331" t="s">
        <v>675</v>
      </c>
      <c r="F3489" s="1334">
        <v>3.5000000000000003E-2</v>
      </c>
      <c r="G3489" s="1104">
        <f>DUB!$I$13</f>
        <v>240000</v>
      </c>
      <c r="H3489" s="1106">
        <f>G3489*F3489</f>
        <v>8400</v>
      </c>
      <c r="M3489" s="1566"/>
    </row>
    <row r="3490" spans="2:13" hidden="1">
      <c r="B3490" s="1543"/>
      <c r="C3490" s="1332" t="s">
        <v>683</v>
      </c>
      <c r="D3490" s="1331" t="s">
        <v>684</v>
      </c>
      <c r="E3490" s="1331" t="s">
        <v>675</v>
      </c>
      <c r="F3490" s="1334">
        <v>5.0000000000000001E-3</v>
      </c>
      <c r="G3490" s="1104">
        <f>DUB!$I$12</f>
        <v>225000</v>
      </c>
      <c r="H3490" s="1106">
        <f>G3490*F3490</f>
        <v>1125</v>
      </c>
      <c r="M3490" s="1566"/>
    </row>
    <row r="3491" spans="2:13" hidden="1">
      <c r="B3491" s="1543"/>
      <c r="C3491" s="1332"/>
      <c r="D3491" s="1331"/>
      <c r="E3491" s="1331"/>
      <c r="F3491" s="2074" t="s">
        <v>685</v>
      </c>
      <c r="G3491" s="2074"/>
      <c r="H3491" s="1106">
        <f>SUM(H3487:H3490)</f>
        <v>39855</v>
      </c>
      <c r="M3491" s="1566"/>
    </row>
    <row r="3492" spans="2:13" hidden="1">
      <c r="B3492" s="1543" t="s">
        <v>686</v>
      </c>
      <c r="C3492" s="1332" t="s">
        <v>687</v>
      </c>
      <c r="D3492" s="1331"/>
      <c r="E3492" s="1331"/>
      <c r="F3492" s="1334"/>
      <c r="G3492" s="1104"/>
      <c r="H3492" s="1106"/>
      <c r="M3492" s="1566"/>
    </row>
    <row r="3493" spans="2:13" hidden="1">
      <c r="B3493" s="1543"/>
      <c r="C3493" s="1332" t="s">
        <v>1145</v>
      </c>
      <c r="D3493" s="1331"/>
      <c r="E3493" s="1331" t="s">
        <v>743</v>
      </c>
      <c r="F3493" s="1334">
        <v>5.3</v>
      </c>
      <c r="G3493" s="1104">
        <f>DUB!I207</f>
        <v>3456</v>
      </c>
      <c r="H3493" s="1106">
        <f>G3493*F3493</f>
        <v>18316.8</v>
      </c>
      <c r="M3493" s="1566"/>
    </row>
    <row r="3494" spans="2:13" hidden="1">
      <c r="B3494" s="1543"/>
      <c r="C3494" s="1332" t="s">
        <v>738</v>
      </c>
      <c r="D3494" s="1331"/>
      <c r="E3494" s="1331" t="s">
        <v>690</v>
      </c>
      <c r="F3494" s="1334">
        <v>0.56999999999999995</v>
      </c>
      <c r="G3494" s="1104">
        <f>DUB!$I$65</f>
        <v>1575</v>
      </c>
      <c r="H3494" s="1106">
        <f>G3494*F3494</f>
        <v>897.74999999999989</v>
      </c>
      <c r="M3494" s="1566"/>
    </row>
    <row r="3495" spans="2:13" hidden="1">
      <c r="B3495" s="1543"/>
      <c r="C3495" s="1332" t="s">
        <v>739</v>
      </c>
      <c r="D3495" s="1331"/>
      <c r="E3495" s="1331" t="s">
        <v>881</v>
      </c>
      <c r="F3495" s="1334">
        <v>1.5E-3</v>
      </c>
      <c r="G3495" s="1104">
        <f>DUB!$I$59</f>
        <v>208463</v>
      </c>
      <c r="H3495" s="1106">
        <f>G3495*F3495</f>
        <v>312.69450000000001</v>
      </c>
      <c r="M3495" s="1566"/>
    </row>
    <row r="3496" spans="2:13" hidden="1">
      <c r="B3496" s="1543"/>
      <c r="C3496" s="1332" t="s">
        <v>1100</v>
      </c>
      <c r="D3496" s="1331"/>
      <c r="E3496" s="1331" t="s">
        <v>690</v>
      </c>
      <c r="F3496" s="1334">
        <v>1.2999999999999999E-2</v>
      </c>
      <c r="G3496" s="1104">
        <f>DUB!$I$62/40</f>
        <v>2750</v>
      </c>
      <c r="H3496" s="1106">
        <f>G3496*F3496</f>
        <v>35.75</v>
      </c>
      <c r="M3496" s="1566"/>
    </row>
    <row r="3497" spans="2:13" hidden="1">
      <c r="B3497" s="1543"/>
      <c r="C3497" s="1125"/>
      <c r="D3497" s="1333"/>
      <c r="E3497" s="1333"/>
      <c r="F3497" s="2074" t="s">
        <v>702</v>
      </c>
      <c r="G3497" s="2074"/>
      <c r="H3497" s="1106">
        <f>SUM(H3493:H3496)</f>
        <v>19562.994500000001</v>
      </c>
      <c r="M3497" s="1566"/>
    </row>
    <row r="3498" spans="2:13" s="496" customFormat="1" hidden="1">
      <c r="B3498" s="1543" t="s">
        <v>703</v>
      </c>
      <c r="C3498" s="2075" t="s">
        <v>3764</v>
      </c>
      <c r="D3498" s="2075"/>
      <c r="E3498" s="2075"/>
      <c r="F3498" s="2075"/>
      <c r="G3498" s="2075"/>
      <c r="H3498" s="1107">
        <f>H3491+H3497</f>
        <v>59417.994500000001</v>
      </c>
      <c r="J3498" s="1559"/>
      <c r="K3498" s="1559"/>
      <c r="L3498" s="1559"/>
      <c r="M3498" s="1635"/>
    </row>
    <row r="3499" spans="2:13" s="496" customFormat="1" hidden="1">
      <c r="B3499" s="1543" t="s">
        <v>706</v>
      </c>
      <c r="C3499" s="2076" t="s">
        <v>876</v>
      </c>
      <c r="D3499" s="2076"/>
      <c r="E3499" s="2076"/>
      <c r="F3499" s="2077" t="s">
        <v>3873</v>
      </c>
      <c r="G3499" s="2077"/>
      <c r="H3499" s="1107">
        <f>H3498*0.15</f>
        <v>8912.6991749999997</v>
      </c>
      <c r="J3499" s="1559"/>
      <c r="K3499" s="1559"/>
      <c r="L3499" s="1559"/>
      <c r="M3499" s="1635"/>
    </row>
    <row r="3500" spans="2:13" s="496" customFormat="1" hidden="1">
      <c r="B3500" s="1543" t="s">
        <v>708</v>
      </c>
      <c r="C3500" s="2078" t="s">
        <v>3765</v>
      </c>
      <c r="D3500" s="2078"/>
      <c r="E3500" s="2078"/>
      <c r="F3500" s="2078"/>
      <c r="G3500" s="2078"/>
      <c r="H3500" s="1107">
        <f>ROUND(SUM(H3498:H3499),2)</f>
        <v>68330.69</v>
      </c>
      <c r="I3500" s="506">
        <f>SUM(H3498:H3499)</f>
        <v>68330.693675000002</v>
      </c>
      <c r="J3500" s="1561"/>
      <c r="K3500" s="1561"/>
      <c r="L3500" s="1559"/>
      <c r="M3500" s="1635"/>
    </row>
    <row r="3501" spans="2:13" hidden="1">
      <c r="B3501" s="1129"/>
      <c r="C3501" s="1130"/>
      <c r="D3501" s="1129"/>
      <c r="E3501" s="1130"/>
      <c r="F3501" s="1131"/>
      <c r="G3501" s="1132"/>
      <c r="H3501" s="1133"/>
      <c r="I3501" s="526"/>
      <c r="J3501" s="1562"/>
      <c r="K3501" s="1562"/>
      <c r="M3501" s="1566"/>
    </row>
    <row r="3502" spans="2:13" hidden="1">
      <c r="B3502" s="1100" t="s">
        <v>4427</v>
      </c>
      <c r="C3502" s="1112" t="s">
        <v>3362</v>
      </c>
      <c r="D3502" s="1129"/>
      <c r="E3502" s="1129"/>
      <c r="F3502" s="1131"/>
      <c r="G3502" s="1132"/>
      <c r="H3502" s="1115"/>
      <c r="M3502" s="1566"/>
    </row>
    <row r="3503" spans="2:13" s="507" customFormat="1" ht="24.9" hidden="1" customHeight="1">
      <c r="B3503" s="1748" t="s">
        <v>1003</v>
      </c>
      <c r="C3503" s="1101" t="s">
        <v>1004</v>
      </c>
      <c r="D3503" s="1101" t="s">
        <v>1005</v>
      </c>
      <c r="E3503" s="1101" t="s">
        <v>1006</v>
      </c>
      <c r="F3503" s="1102" t="s">
        <v>1007</v>
      </c>
      <c r="G3503" s="1109" t="s">
        <v>2637</v>
      </c>
      <c r="H3503" s="1110" t="s">
        <v>2638</v>
      </c>
      <c r="J3503" s="1625"/>
      <c r="K3503" s="1625"/>
      <c r="L3503" s="1625"/>
      <c r="M3503" s="1570"/>
    </row>
    <row r="3504" spans="2:13" hidden="1">
      <c r="B3504" s="1543" t="s">
        <v>671</v>
      </c>
      <c r="C3504" s="1332" t="s">
        <v>672</v>
      </c>
      <c r="D3504" s="1331"/>
      <c r="E3504" s="1331"/>
      <c r="F3504" s="1334"/>
      <c r="G3504" s="1104"/>
      <c r="H3504" s="1106"/>
      <c r="M3504" s="1566"/>
    </row>
    <row r="3505" spans="2:13" hidden="1">
      <c r="B3505" s="1543"/>
      <c r="C3505" s="1332" t="s">
        <v>673</v>
      </c>
      <c r="D3505" s="1331" t="s">
        <v>674</v>
      </c>
      <c r="E3505" s="1331" t="s">
        <v>675</v>
      </c>
      <c r="F3505" s="1334">
        <v>0.09</v>
      </c>
      <c r="G3505" s="1104">
        <f>DUB!$I$10</f>
        <v>150000</v>
      </c>
      <c r="H3505" s="1106">
        <f>G3505*F3505</f>
        <v>13500</v>
      </c>
      <c r="M3505" s="1566"/>
    </row>
    <row r="3506" spans="2:13" hidden="1">
      <c r="B3506" s="1543"/>
      <c r="C3506" s="1332" t="s">
        <v>816</v>
      </c>
      <c r="D3506" s="1331" t="s">
        <v>678</v>
      </c>
      <c r="E3506" s="1331" t="s">
        <v>675</v>
      </c>
      <c r="F3506" s="1334">
        <v>0.09</v>
      </c>
      <c r="G3506" s="1104">
        <f>DUB!$I$11</f>
        <v>187000</v>
      </c>
      <c r="H3506" s="1106">
        <f>G3506*F3506</f>
        <v>16830</v>
      </c>
      <c r="M3506" s="1566"/>
    </row>
    <row r="3507" spans="2:13" hidden="1">
      <c r="B3507" s="1543"/>
      <c r="C3507" s="1332" t="s">
        <v>751</v>
      </c>
      <c r="D3507" s="1331" t="s">
        <v>681</v>
      </c>
      <c r="E3507" s="1331" t="s">
        <v>675</v>
      </c>
      <c r="F3507" s="1334">
        <v>3.5000000000000003E-2</v>
      </c>
      <c r="G3507" s="1104">
        <f>DUB!$I$13</f>
        <v>240000</v>
      </c>
      <c r="H3507" s="1106">
        <f>G3507*F3507</f>
        <v>8400</v>
      </c>
      <c r="M3507" s="1566"/>
    </row>
    <row r="3508" spans="2:13" hidden="1">
      <c r="B3508" s="1543"/>
      <c r="C3508" s="1332" t="s">
        <v>683</v>
      </c>
      <c r="D3508" s="1331" t="s">
        <v>684</v>
      </c>
      <c r="E3508" s="1331" t="s">
        <v>675</v>
      </c>
      <c r="F3508" s="1334">
        <v>5.0000000000000001E-3</v>
      </c>
      <c r="G3508" s="1104">
        <f>DUB!$I$12</f>
        <v>225000</v>
      </c>
      <c r="H3508" s="1106">
        <f>G3508*F3508</f>
        <v>1125</v>
      </c>
      <c r="M3508" s="1566"/>
    </row>
    <row r="3509" spans="2:13" hidden="1">
      <c r="B3509" s="1543"/>
      <c r="C3509" s="1332"/>
      <c r="D3509" s="1331"/>
      <c r="E3509" s="1331"/>
      <c r="F3509" s="2074" t="s">
        <v>685</v>
      </c>
      <c r="G3509" s="2074"/>
      <c r="H3509" s="1106">
        <f>SUM(H3505:H3508)</f>
        <v>39855</v>
      </c>
      <c r="M3509" s="1566"/>
    </row>
    <row r="3510" spans="2:13" hidden="1">
      <c r="B3510" s="1543" t="s">
        <v>686</v>
      </c>
      <c r="C3510" s="1332" t="s">
        <v>687</v>
      </c>
      <c r="D3510" s="1331"/>
      <c r="E3510" s="1331"/>
      <c r="F3510" s="1334"/>
      <c r="G3510" s="1104"/>
      <c r="H3510" s="1106"/>
      <c r="M3510" s="1566"/>
    </row>
    <row r="3511" spans="2:13" hidden="1">
      <c r="B3511" s="1543"/>
      <c r="C3511" s="1332" t="s">
        <v>1145</v>
      </c>
      <c r="D3511" s="1331"/>
      <c r="E3511" s="1331" t="s">
        <v>743</v>
      </c>
      <c r="F3511" s="1334">
        <v>5.3</v>
      </c>
      <c r="G3511" s="1104">
        <f>DUB!I208</f>
        <v>9009</v>
      </c>
      <c r="H3511" s="1106">
        <f>G3511*F3511</f>
        <v>47747.7</v>
      </c>
      <c r="M3511" s="1566"/>
    </row>
    <row r="3512" spans="2:13" hidden="1">
      <c r="B3512" s="1543"/>
      <c r="C3512" s="1332" t="s">
        <v>738</v>
      </c>
      <c r="D3512" s="1331"/>
      <c r="E3512" s="1331" t="s">
        <v>690</v>
      </c>
      <c r="F3512" s="1334">
        <v>0.56999999999999995</v>
      </c>
      <c r="G3512" s="1104">
        <f>DUB!$I$65</f>
        <v>1575</v>
      </c>
      <c r="H3512" s="1106">
        <f>G3512*F3512</f>
        <v>897.74999999999989</v>
      </c>
      <c r="M3512" s="1566"/>
    </row>
    <row r="3513" spans="2:13" hidden="1">
      <c r="B3513" s="1543"/>
      <c r="C3513" s="1332" t="s">
        <v>739</v>
      </c>
      <c r="D3513" s="1331"/>
      <c r="E3513" s="1331" t="s">
        <v>881</v>
      </c>
      <c r="F3513" s="1334">
        <v>1.5E-3</v>
      </c>
      <c r="G3513" s="1104">
        <f>DUB!$I$59</f>
        <v>208463</v>
      </c>
      <c r="H3513" s="1106">
        <f>G3513*F3513</f>
        <v>312.69450000000001</v>
      </c>
      <c r="M3513" s="1566"/>
    </row>
    <row r="3514" spans="2:13" hidden="1">
      <c r="B3514" s="1543"/>
      <c r="C3514" s="1332" t="s">
        <v>1100</v>
      </c>
      <c r="D3514" s="1331"/>
      <c r="E3514" s="1331" t="s">
        <v>690</v>
      </c>
      <c r="F3514" s="1334">
        <v>1.2999999999999999E-2</v>
      </c>
      <c r="G3514" s="1104">
        <f>DUB!$I$62/40</f>
        <v>2750</v>
      </c>
      <c r="H3514" s="1106">
        <f>G3514*F3514</f>
        <v>35.75</v>
      </c>
      <c r="M3514" s="1566"/>
    </row>
    <row r="3515" spans="2:13" hidden="1">
      <c r="B3515" s="1543"/>
      <c r="C3515" s="1332"/>
      <c r="D3515" s="1331"/>
      <c r="E3515" s="1331"/>
      <c r="F3515" s="2090" t="s">
        <v>702</v>
      </c>
      <c r="G3515" s="2090"/>
      <c r="H3515" s="1106">
        <f>SUM(H3511:H3514)</f>
        <v>48993.894499999995</v>
      </c>
      <c r="M3515" s="1566"/>
    </row>
    <row r="3516" spans="2:13" s="496" customFormat="1" hidden="1">
      <c r="B3516" s="1543" t="s">
        <v>703</v>
      </c>
      <c r="C3516" s="2089" t="s">
        <v>3764</v>
      </c>
      <c r="D3516" s="2089"/>
      <c r="E3516" s="2089"/>
      <c r="F3516" s="2089"/>
      <c r="G3516" s="2089"/>
      <c r="H3516" s="1107">
        <f>H3509+H3515</f>
        <v>88848.894499999995</v>
      </c>
      <c r="J3516" s="1559"/>
      <c r="K3516" s="1559"/>
      <c r="L3516" s="1559"/>
      <c r="M3516" s="1635"/>
    </row>
    <row r="3517" spans="2:13" s="496" customFormat="1" hidden="1">
      <c r="B3517" s="1543" t="s">
        <v>706</v>
      </c>
      <c r="C3517" s="2076" t="s">
        <v>876</v>
      </c>
      <c r="D3517" s="2076"/>
      <c r="E3517" s="2076"/>
      <c r="F3517" s="2077" t="s">
        <v>3873</v>
      </c>
      <c r="G3517" s="2077"/>
      <c r="H3517" s="1107">
        <f>H3516*0.15</f>
        <v>13327.334174999998</v>
      </c>
      <c r="J3517" s="1559"/>
      <c r="K3517" s="1559"/>
      <c r="L3517" s="1559"/>
      <c r="M3517" s="1635"/>
    </row>
    <row r="3518" spans="2:13" s="496" customFormat="1" hidden="1">
      <c r="B3518" s="1543" t="s">
        <v>708</v>
      </c>
      <c r="C3518" s="2078" t="s">
        <v>3765</v>
      </c>
      <c r="D3518" s="2078"/>
      <c r="E3518" s="2078"/>
      <c r="F3518" s="2078"/>
      <c r="G3518" s="2078"/>
      <c r="H3518" s="1107">
        <f>ROUND(SUM(H3516:H3517),2)</f>
        <v>102176.23</v>
      </c>
      <c r="I3518" s="506">
        <f>SUM(H3516:H3517)</f>
        <v>102176.22867499999</v>
      </c>
      <c r="J3518" s="1561"/>
      <c r="K3518" s="1561"/>
      <c r="L3518" s="1559"/>
      <c r="M3518" s="1635"/>
    </row>
    <row r="3519" spans="2:13" hidden="1">
      <c r="F3519" s="1172"/>
      <c r="G3519" s="1173"/>
      <c r="H3519" s="1133"/>
      <c r="M3519" s="1566"/>
    </row>
    <row r="3520" spans="2:13" hidden="1">
      <c r="B3520" s="1100" t="s">
        <v>4049</v>
      </c>
      <c r="C3520" s="1112" t="s">
        <v>2797</v>
      </c>
      <c r="D3520" s="1129"/>
      <c r="E3520" s="1129"/>
      <c r="F3520" s="1131"/>
      <c r="G3520" s="1132"/>
      <c r="H3520" s="1115"/>
      <c r="M3520" s="1566"/>
    </row>
    <row r="3521" spans="2:13" ht="24.9" hidden="1" customHeight="1">
      <c r="B3521" s="1748" t="s">
        <v>1003</v>
      </c>
      <c r="C3521" s="1101" t="s">
        <v>1004</v>
      </c>
      <c r="D3521" s="1101" t="s">
        <v>1005</v>
      </c>
      <c r="E3521" s="1101" t="s">
        <v>1006</v>
      </c>
      <c r="F3521" s="1102" t="s">
        <v>1007</v>
      </c>
      <c r="G3521" s="1109" t="s">
        <v>2637</v>
      </c>
      <c r="H3521" s="1110" t="s">
        <v>2638</v>
      </c>
      <c r="M3521" s="1566"/>
    </row>
    <row r="3522" spans="2:13" hidden="1">
      <c r="B3522" s="1543" t="s">
        <v>671</v>
      </c>
      <c r="C3522" s="1332" t="s">
        <v>672</v>
      </c>
      <c r="D3522" s="1331"/>
      <c r="E3522" s="1331"/>
      <c r="F3522" s="1334"/>
      <c r="G3522" s="1104"/>
      <c r="H3522" s="1106"/>
      <c r="M3522" s="1566"/>
    </row>
    <row r="3523" spans="2:13" hidden="1">
      <c r="B3523" s="1543"/>
      <c r="C3523" s="1332" t="s">
        <v>673</v>
      </c>
      <c r="D3523" s="1331" t="s">
        <v>674</v>
      </c>
      <c r="E3523" s="1331" t="s">
        <v>675</v>
      </c>
      <c r="F3523" s="1334">
        <v>0.09</v>
      </c>
      <c r="G3523" s="1104">
        <f>DUB!$I$10</f>
        <v>150000</v>
      </c>
      <c r="H3523" s="1106">
        <f>G3523*F3523</f>
        <v>13500</v>
      </c>
      <c r="M3523" s="1566"/>
    </row>
    <row r="3524" spans="2:13" hidden="1">
      <c r="B3524" s="1543"/>
      <c r="C3524" s="1332" t="s">
        <v>816</v>
      </c>
      <c r="D3524" s="1331" t="s">
        <v>678</v>
      </c>
      <c r="E3524" s="1331" t="s">
        <v>675</v>
      </c>
      <c r="F3524" s="1334">
        <v>0.09</v>
      </c>
      <c r="G3524" s="1104">
        <f>DUB!$I$11</f>
        <v>187000</v>
      </c>
      <c r="H3524" s="1106">
        <f>G3524*F3524</f>
        <v>16830</v>
      </c>
      <c r="M3524" s="1566"/>
    </row>
    <row r="3525" spans="2:13" hidden="1">
      <c r="B3525" s="1543"/>
      <c r="C3525" s="1332" t="s">
        <v>751</v>
      </c>
      <c r="D3525" s="1331" t="s">
        <v>681</v>
      </c>
      <c r="E3525" s="1331" t="s">
        <v>675</v>
      </c>
      <c r="F3525" s="1334">
        <v>3.5000000000000003E-2</v>
      </c>
      <c r="G3525" s="1104">
        <f>DUB!$I$13</f>
        <v>240000</v>
      </c>
      <c r="H3525" s="1106">
        <f>G3525*F3525</f>
        <v>8400</v>
      </c>
      <c r="M3525" s="1566"/>
    </row>
    <row r="3526" spans="2:13" hidden="1">
      <c r="B3526" s="1543"/>
      <c r="C3526" s="1332" t="s">
        <v>683</v>
      </c>
      <c r="D3526" s="1331" t="s">
        <v>684</v>
      </c>
      <c r="E3526" s="1331" t="s">
        <v>675</v>
      </c>
      <c r="F3526" s="1334">
        <v>5.0000000000000001E-3</v>
      </c>
      <c r="G3526" s="1104">
        <f>DUB!$I$12</f>
        <v>225000</v>
      </c>
      <c r="H3526" s="1106">
        <f>G3526*F3526</f>
        <v>1125</v>
      </c>
      <c r="M3526" s="1566"/>
    </row>
    <row r="3527" spans="2:13" hidden="1">
      <c r="B3527" s="1543"/>
      <c r="C3527" s="1332"/>
      <c r="D3527" s="1331"/>
      <c r="E3527" s="1331"/>
      <c r="F3527" s="2074" t="s">
        <v>685</v>
      </c>
      <c r="G3527" s="2074"/>
      <c r="H3527" s="1106">
        <f>SUM(H3523:H3526)</f>
        <v>39855</v>
      </c>
      <c r="M3527" s="1566"/>
    </row>
    <row r="3528" spans="2:13" hidden="1">
      <c r="B3528" s="1543" t="s">
        <v>686</v>
      </c>
      <c r="C3528" s="1332" t="s">
        <v>687</v>
      </c>
      <c r="D3528" s="1331"/>
      <c r="E3528" s="1331"/>
      <c r="F3528" s="1334"/>
      <c r="G3528" s="1104"/>
      <c r="H3528" s="1106"/>
      <c r="M3528" s="1566"/>
    </row>
    <row r="3529" spans="2:13" hidden="1">
      <c r="B3529" s="1543"/>
      <c r="C3529" s="1332" t="s">
        <v>1145</v>
      </c>
      <c r="D3529" s="1331"/>
      <c r="E3529" s="1331" t="s">
        <v>743</v>
      </c>
      <c r="F3529" s="1334">
        <v>5.3</v>
      </c>
      <c r="G3529" s="1104">
        <f>DUB!$I$209</f>
        <v>1071</v>
      </c>
      <c r="H3529" s="1106">
        <f>G3529*F3529</f>
        <v>5676.3</v>
      </c>
      <c r="M3529" s="1566"/>
    </row>
    <row r="3530" spans="2:13" hidden="1">
      <c r="B3530" s="1543"/>
      <c r="C3530" s="1332" t="s">
        <v>738</v>
      </c>
      <c r="D3530" s="1331"/>
      <c r="E3530" s="1331" t="s">
        <v>690</v>
      </c>
      <c r="F3530" s="1334">
        <v>0.56999999999999995</v>
      </c>
      <c r="G3530" s="1104">
        <f>DUB!$I$65</f>
        <v>1575</v>
      </c>
      <c r="H3530" s="1106">
        <f>G3530*F3530</f>
        <v>897.74999999999989</v>
      </c>
      <c r="M3530" s="1566"/>
    </row>
    <row r="3531" spans="2:13" hidden="1">
      <c r="B3531" s="1543"/>
      <c r="C3531" s="1332" t="s">
        <v>739</v>
      </c>
      <c r="D3531" s="1331"/>
      <c r="E3531" s="1331" t="s">
        <v>881</v>
      </c>
      <c r="F3531" s="1334">
        <v>1.5E-3</v>
      </c>
      <c r="G3531" s="1104">
        <f>DUB!$I$59</f>
        <v>208463</v>
      </c>
      <c r="H3531" s="1106">
        <f>G3531*F3531</f>
        <v>312.69450000000001</v>
      </c>
      <c r="M3531" s="1566"/>
    </row>
    <row r="3532" spans="2:13" hidden="1">
      <c r="B3532" s="1543"/>
      <c r="C3532" s="1332" t="s">
        <v>1100</v>
      </c>
      <c r="D3532" s="1331"/>
      <c r="E3532" s="1331" t="s">
        <v>690</v>
      </c>
      <c r="F3532" s="1334">
        <v>1.2999999999999999E-2</v>
      </c>
      <c r="G3532" s="1104">
        <f>DUB!$I$62/40</f>
        <v>2750</v>
      </c>
      <c r="H3532" s="1106">
        <f>G3532*F3532</f>
        <v>35.75</v>
      </c>
      <c r="M3532" s="1566"/>
    </row>
    <row r="3533" spans="2:13" hidden="1">
      <c r="B3533" s="1543"/>
      <c r="C3533" s="1125"/>
      <c r="D3533" s="1333"/>
      <c r="E3533" s="1333"/>
      <c r="F3533" s="2074" t="s">
        <v>702</v>
      </c>
      <c r="G3533" s="2074"/>
      <c r="H3533" s="1106">
        <f>SUM(H3529:H3532)</f>
        <v>6922.4944999999998</v>
      </c>
      <c r="M3533" s="1566"/>
    </row>
    <row r="3534" spans="2:13" hidden="1">
      <c r="B3534" s="1543" t="s">
        <v>703</v>
      </c>
      <c r="C3534" s="2075" t="s">
        <v>3764</v>
      </c>
      <c r="D3534" s="2075"/>
      <c r="E3534" s="2075"/>
      <c r="F3534" s="2075"/>
      <c r="G3534" s="2075"/>
      <c r="H3534" s="1107">
        <f>H3527+H3533</f>
        <v>46777.494500000001</v>
      </c>
      <c r="M3534" s="1566"/>
    </row>
    <row r="3535" spans="2:13" hidden="1">
      <c r="B3535" s="1543" t="s">
        <v>706</v>
      </c>
      <c r="C3535" s="2076" t="s">
        <v>876</v>
      </c>
      <c r="D3535" s="2076"/>
      <c r="E3535" s="2076"/>
      <c r="F3535" s="2077" t="s">
        <v>3873</v>
      </c>
      <c r="G3535" s="2077"/>
      <c r="H3535" s="1107">
        <f>H3534*0.15</f>
        <v>7016.6241749999999</v>
      </c>
      <c r="M3535" s="1566"/>
    </row>
    <row r="3536" spans="2:13" hidden="1">
      <c r="B3536" s="1543" t="s">
        <v>708</v>
      </c>
      <c r="C3536" s="2078" t="s">
        <v>3765</v>
      </c>
      <c r="D3536" s="2078"/>
      <c r="E3536" s="2078"/>
      <c r="F3536" s="2078"/>
      <c r="G3536" s="2078"/>
      <c r="H3536" s="1107">
        <f>ROUND(SUM(H3534:H3535),2)</f>
        <v>53794.12</v>
      </c>
      <c r="M3536" s="1566"/>
    </row>
    <row r="3537" spans="2:13" hidden="1">
      <c r="F3537" s="1172"/>
      <c r="G3537" s="1173"/>
      <c r="H3537" s="1133"/>
      <c r="M3537" s="1566"/>
    </row>
    <row r="3538" spans="2:13" hidden="1">
      <c r="B3538" s="1100" t="s">
        <v>4050</v>
      </c>
      <c r="C3538" s="1112" t="s">
        <v>2796</v>
      </c>
      <c r="D3538" s="1129"/>
      <c r="E3538" s="1129"/>
      <c r="F3538" s="1131"/>
      <c r="G3538" s="1132"/>
      <c r="H3538" s="1115"/>
      <c r="M3538" s="1566"/>
    </row>
    <row r="3539" spans="2:13" s="507" customFormat="1" ht="24.9" hidden="1" customHeight="1">
      <c r="B3539" s="1748" t="s">
        <v>1003</v>
      </c>
      <c r="C3539" s="1101" t="s">
        <v>1004</v>
      </c>
      <c r="D3539" s="1101" t="s">
        <v>1005</v>
      </c>
      <c r="E3539" s="1101" t="s">
        <v>1006</v>
      </c>
      <c r="F3539" s="1102" t="s">
        <v>1007</v>
      </c>
      <c r="G3539" s="1109" t="s">
        <v>2637</v>
      </c>
      <c r="H3539" s="1110" t="s">
        <v>2638</v>
      </c>
      <c r="J3539" s="1625"/>
      <c r="K3539" s="1625"/>
      <c r="L3539" s="1625"/>
      <c r="M3539" s="1570"/>
    </row>
    <row r="3540" spans="2:13" hidden="1">
      <c r="B3540" s="1543" t="s">
        <v>671</v>
      </c>
      <c r="C3540" s="1332" t="s">
        <v>672</v>
      </c>
      <c r="D3540" s="1331"/>
      <c r="E3540" s="1331"/>
      <c r="F3540" s="1334"/>
      <c r="G3540" s="1104"/>
      <c r="H3540" s="1106"/>
      <c r="M3540" s="1566"/>
    </row>
    <row r="3541" spans="2:13" hidden="1">
      <c r="B3541" s="1543"/>
      <c r="C3541" s="1332" t="s">
        <v>673</v>
      </c>
      <c r="D3541" s="1331" t="s">
        <v>674</v>
      </c>
      <c r="E3541" s="1331" t="s">
        <v>675</v>
      </c>
      <c r="F3541" s="1334">
        <v>0.7</v>
      </c>
      <c r="G3541" s="1104">
        <f>DUB!$I$10</f>
        <v>150000</v>
      </c>
      <c r="H3541" s="1106">
        <f>G3541*F3541</f>
        <v>105000</v>
      </c>
      <c r="M3541" s="1566"/>
    </row>
    <row r="3542" spans="2:13" hidden="1">
      <c r="B3542" s="1543"/>
      <c r="C3542" s="1332" t="s">
        <v>816</v>
      </c>
      <c r="D3542" s="1331" t="s">
        <v>678</v>
      </c>
      <c r="E3542" s="1331" t="s">
        <v>675</v>
      </c>
      <c r="F3542" s="1334">
        <v>0.35</v>
      </c>
      <c r="G3542" s="1104">
        <f>DUB!$I$11</f>
        <v>187000</v>
      </c>
      <c r="H3542" s="1106">
        <f>G3542*F3542</f>
        <v>65449.999999999993</v>
      </c>
      <c r="M3542" s="1566"/>
    </row>
    <row r="3543" spans="2:13" hidden="1">
      <c r="B3543" s="1543"/>
      <c r="C3543" s="1332" t="s">
        <v>751</v>
      </c>
      <c r="D3543" s="1331" t="s">
        <v>681</v>
      </c>
      <c r="E3543" s="1331" t="s">
        <v>675</v>
      </c>
      <c r="F3543" s="1334">
        <v>3.5000000000000003E-2</v>
      </c>
      <c r="G3543" s="1104">
        <f>DUB!$I$13</f>
        <v>240000</v>
      </c>
      <c r="H3543" s="1106">
        <f>G3543*F3543</f>
        <v>8400</v>
      </c>
      <c r="M3543" s="1566"/>
    </row>
    <row r="3544" spans="2:13" hidden="1">
      <c r="B3544" s="1543"/>
      <c r="C3544" s="1332" t="s">
        <v>683</v>
      </c>
      <c r="D3544" s="1331" t="s">
        <v>684</v>
      </c>
      <c r="E3544" s="1331" t="s">
        <v>675</v>
      </c>
      <c r="F3544" s="1334">
        <v>3.5000000000000003E-2</v>
      </c>
      <c r="G3544" s="1104">
        <f>DUB!$I$12</f>
        <v>225000</v>
      </c>
      <c r="H3544" s="1106">
        <f>G3544*F3544</f>
        <v>7875.0000000000009</v>
      </c>
      <c r="M3544" s="1566"/>
    </row>
    <row r="3545" spans="2:13" hidden="1">
      <c r="B3545" s="1543"/>
      <c r="C3545" s="1332"/>
      <c r="D3545" s="1331"/>
      <c r="E3545" s="1331"/>
      <c r="F3545" s="2074" t="s">
        <v>685</v>
      </c>
      <c r="G3545" s="2074"/>
      <c r="H3545" s="1106">
        <f>SUM(H3541:H3544)</f>
        <v>186725</v>
      </c>
      <c r="M3545" s="1566"/>
    </row>
    <row r="3546" spans="2:13" hidden="1">
      <c r="B3546" s="1543" t="s">
        <v>686</v>
      </c>
      <c r="C3546" s="1332" t="s">
        <v>687</v>
      </c>
      <c r="D3546" s="1331"/>
      <c r="E3546" s="1331"/>
      <c r="F3546" s="1334"/>
      <c r="G3546" s="1104"/>
      <c r="H3546" s="1106"/>
      <c r="M3546" s="1566"/>
    </row>
    <row r="3547" spans="2:13" hidden="1">
      <c r="B3547" s="1543"/>
      <c r="C3547" s="1332" t="s">
        <v>1151</v>
      </c>
      <c r="D3547" s="1331"/>
      <c r="E3547" s="1331" t="s">
        <v>743</v>
      </c>
      <c r="F3547" s="1334">
        <v>1.06</v>
      </c>
      <c r="G3547" s="1104">
        <f>DUB!I212</f>
        <v>910350</v>
      </c>
      <c r="H3547" s="1106">
        <f>G3547*F3547</f>
        <v>964971</v>
      </c>
      <c r="M3547" s="1566"/>
    </row>
    <row r="3548" spans="2:13" hidden="1">
      <c r="B3548" s="1543"/>
      <c r="C3548" s="1332" t="s">
        <v>818</v>
      </c>
      <c r="D3548" s="1331"/>
      <c r="E3548" s="1331" t="s">
        <v>690</v>
      </c>
      <c r="F3548" s="1334">
        <v>8.19</v>
      </c>
      <c r="G3548" s="1104">
        <f>DUB!$I$65</f>
        <v>1575</v>
      </c>
      <c r="H3548" s="1106">
        <f>G3548*F3548</f>
        <v>12899.25</v>
      </c>
      <c r="M3548" s="1566"/>
    </row>
    <row r="3549" spans="2:13" hidden="1">
      <c r="B3549" s="1543"/>
      <c r="C3549" s="1332" t="s">
        <v>739</v>
      </c>
      <c r="D3549" s="1331"/>
      <c r="E3549" s="1331" t="s">
        <v>881</v>
      </c>
      <c r="F3549" s="1334">
        <v>4.4999999999999998E-2</v>
      </c>
      <c r="G3549" s="1104">
        <f>DUB!$I$59</f>
        <v>208463</v>
      </c>
      <c r="H3549" s="1106">
        <f>G3549*F3549</f>
        <v>9380.8349999999991</v>
      </c>
      <c r="M3549" s="1566"/>
    </row>
    <row r="3550" spans="2:13" hidden="1">
      <c r="B3550" s="1543"/>
      <c r="C3550" s="1332" t="s">
        <v>1100</v>
      </c>
      <c r="D3550" s="1331"/>
      <c r="E3550" s="1331" t="s">
        <v>690</v>
      </c>
      <c r="F3550" s="1334">
        <v>0.65</v>
      </c>
      <c r="G3550" s="1104">
        <f>DUB!$I$62/40</f>
        <v>2750</v>
      </c>
      <c r="H3550" s="1106">
        <f>G3550*F3550</f>
        <v>1787.5</v>
      </c>
      <c r="M3550" s="1566"/>
    </row>
    <row r="3551" spans="2:13" hidden="1">
      <c r="B3551" s="1543"/>
      <c r="C3551" s="1332"/>
      <c r="D3551" s="1331"/>
      <c r="E3551" s="1331"/>
      <c r="F3551" s="2091" t="s">
        <v>702</v>
      </c>
      <c r="G3551" s="2091"/>
      <c r="H3551" s="1106">
        <f>SUM(H3547:H3550)</f>
        <v>989038.58499999996</v>
      </c>
      <c r="M3551" s="1566"/>
    </row>
    <row r="3552" spans="2:13" hidden="1">
      <c r="B3552" s="1543" t="s">
        <v>703</v>
      </c>
      <c r="C3552" s="1332" t="s">
        <v>704</v>
      </c>
      <c r="D3552" s="1331"/>
      <c r="E3552" s="1331"/>
      <c r="F3552" s="1331"/>
      <c r="G3552" s="1142"/>
      <c r="H3552" s="1106"/>
      <c r="M3552" s="1566"/>
    </row>
    <row r="3553" spans="2:13" hidden="1">
      <c r="B3553" s="1543"/>
      <c r="C3553" s="1332" t="s">
        <v>4400</v>
      </c>
      <c r="D3553" s="1331"/>
      <c r="E3553" s="1331" t="s">
        <v>1264</v>
      </c>
      <c r="F3553" s="1334">
        <v>1</v>
      </c>
      <c r="G3553" s="1104">
        <f>DUB!$I$215</f>
        <v>85680</v>
      </c>
      <c r="H3553" s="1106">
        <f>G3553*F3553</f>
        <v>85680</v>
      </c>
      <c r="M3553" s="1566"/>
    </row>
    <row r="3554" spans="2:13" hidden="1">
      <c r="B3554" s="1543"/>
      <c r="C3554" s="1332"/>
      <c r="D3554" s="1331"/>
      <c r="E3554" s="1331"/>
      <c r="F3554" s="2091" t="s">
        <v>4428</v>
      </c>
      <c r="G3554" s="2091"/>
      <c r="H3554" s="1106">
        <f>H3553</f>
        <v>85680</v>
      </c>
      <c r="M3554" s="1566"/>
    </row>
    <row r="3555" spans="2:13" s="496" customFormat="1" hidden="1">
      <c r="B3555" s="1543" t="s">
        <v>706</v>
      </c>
      <c r="C3555" s="2075" t="s">
        <v>707</v>
      </c>
      <c r="D3555" s="2075"/>
      <c r="E3555" s="2075"/>
      <c r="F3555" s="2075"/>
      <c r="G3555" s="2075"/>
      <c r="H3555" s="1107">
        <f>H3545+H3551+H3554</f>
        <v>1261443.585</v>
      </c>
      <c r="J3555" s="1559"/>
      <c r="K3555" s="1559"/>
      <c r="L3555" s="1559"/>
      <c r="M3555" s="1635"/>
    </row>
    <row r="3556" spans="2:13" s="496" customFormat="1" hidden="1">
      <c r="B3556" s="1543" t="s">
        <v>708</v>
      </c>
      <c r="C3556" s="2076" t="s">
        <v>876</v>
      </c>
      <c r="D3556" s="2076"/>
      <c r="E3556" s="2076"/>
      <c r="F3556" s="2077" t="s">
        <v>710</v>
      </c>
      <c r="G3556" s="2077"/>
      <c r="H3556" s="1107">
        <f>H3555*0.15</f>
        <v>189216.53774999999</v>
      </c>
      <c r="J3556" s="1559"/>
      <c r="K3556" s="1559"/>
      <c r="L3556" s="1559"/>
      <c r="M3556" s="1635"/>
    </row>
    <row r="3557" spans="2:13" s="496" customFormat="1" hidden="1">
      <c r="B3557" s="1543" t="s">
        <v>711</v>
      </c>
      <c r="C3557" s="2078" t="s">
        <v>712</v>
      </c>
      <c r="D3557" s="2078"/>
      <c r="E3557" s="2078"/>
      <c r="F3557" s="2078"/>
      <c r="G3557" s="2078"/>
      <c r="H3557" s="1107">
        <f>ROUND(SUM(H3555:H3556),2)</f>
        <v>1450660.12</v>
      </c>
      <c r="I3557" s="506">
        <f>SUM(H3555:H3556)</f>
        <v>1450660.1227499999</v>
      </c>
      <c r="J3557" s="1561"/>
      <c r="K3557" s="1561"/>
      <c r="L3557" s="1559"/>
      <c r="M3557" s="1635"/>
    </row>
    <row r="3558" spans="2:13" hidden="1">
      <c r="F3558" s="1172"/>
      <c r="G3558" s="1173"/>
      <c r="H3558" s="1133"/>
      <c r="M3558" s="1566"/>
    </row>
    <row r="3559" spans="2:13" hidden="1">
      <c r="B3559" s="1100" t="s">
        <v>4051</v>
      </c>
      <c r="C3559" s="1232" t="s">
        <v>2795</v>
      </c>
      <c r="F3559" s="1172"/>
      <c r="G3559" s="1173"/>
      <c r="H3559" s="1133"/>
      <c r="M3559" s="1566"/>
    </row>
    <row r="3560" spans="2:13" s="507" customFormat="1" ht="24.9" hidden="1" customHeight="1">
      <c r="B3560" s="1748" t="s">
        <v>1003</v>
      </c>
      <c r="C3560" s="1101" t="s">
        <v>1004</v>
      </c>
      <c r="D3560" s="1101" t="s">
        <v>1005</v>
      </c>
      <c r="E3560" s="1101" t="s">
        <v>1006</v>
      </c>
      <c r="F3560" s="1102" t="s">
        <v>1007</v>
      </c>
      <c r="G3560" s="1109" t="s">
        <v>2637</v>
      </c>
      <c r="H3560" s="1110" t="s">
        <v>2638</v>
      </c>
      <c r="J3560" s="1625"/>
      <c r="K3560" s="1625"/>
      <c r="L3560" s="1625"/>
      <c r="M3560" s="1570"/>
    </row>
    <row r="3561" spans="2:13" hidden="1">
      <c r="B3561" s="1543" t="s">
        <v>671</v>
      </c>
      <c r="C3561" s="1332" t="s">
        <v>672</v>
      </c>
      <c r="D3561" s="1331"/>
      <c r="E3561" s="1331"/>
      <c r="F3561" s="1334"/>
      <c r="G3561" s="1104"/>
      <c r="H3561" s="1106"/>
      <c r="M3561" s="1566"/>
    </row>
    <row r="3562" spans="2:13" hidden="1">
      <c r="B3562" s="1543"/>
      <c r="C3562" s="1332" t="s">
        <v>673</v>
      </c>
      <c r="D3562" s="1331" t="s">
        <v>674</v>
      </c>
      <c r="E3562" s="1331" t="s">
        <v>675</v>
      </c>
      <c r="F3562" s="1334">
        <v>0.17</v>
      </c>
      <c r="G3562" s="1104">
        <f>DUB!$I$10</f>
        <v>150000</v>
      </c>
      <c r="H3562" s="1106">
        <f>G3562*F3562</f>
        <v>25500.000000000004</v>
      </c>
      <c r="M3562" s="1566"/>
    </row>
    <row r="3563" spans="2:13" hidden="1">
      <c r="B3563" s="1543"/>
      <c r="C3563" s="1332" t="s">
        <v>677</v>
      </c>
      <c r="D3563" s="1331" t="s">
        <v>678</v>
      </c>
      <c r="E3563" s="1331" t="s">
        <v>675</v>
      </c>
      <c r="F3563" s="1334">
        <v>0.17</v>
      </c>
      <c r="G3563" s="1104">
        <f>DUB!$I$11</f>
        <v>187000</v>
      </c>
      <c r="H3563" s="1106">
        <f>G3563*F3563</f>
        <v>31790.000000000004</v>
      </c>
      <c r="M3563" s="1566"/>
    </row>
    <row r="3564" spans="2:13" hidden="1">
      <c r="B3564" s="1543"/>
      <c r="C3564" s="1332" t="s">
        <v>751</v>
      </c>
      <c r="D3564" s="1331" t="s">
        <v>681</v>
      </c>
      <c r="E3564" s="1331" t="s">
        <v>675</v>
      </c>
      <c r="F3564" s="1334">
        <v>1.7000000000000001E-2</v>
      </c>
      <c r="G3564" s="1104">
        <f>DUB!$I$13</f>
        <v>240000</v>
      </c>
      <c r="H3564" s="1106">
        <f>G3564*F3564</f>
        <v>4080.0000000000005</v>
      </c>
      <c r="M3564" s="1566"/>
    </row>
    <row r="3565" spans="2:13" hidden="1">
      <c r="B3565" s="1543"/>
      <c r="C3565" s="1332" t="s">
        <v>683</v>
      </c>
      <c r="D3565" s="1331" t="s">
        <v>684</v>
      </c>
      <c r="E3565" s="1331" t="s">
        <v>675</v>
      </c>
      <c r="F3565" s="1334">
        <v>8.9999999999999993E-3</v>
      </c>
      <c r="G3565" s="1104">
        <f>DUB!$I$12</f>
        <v>225000</v>
      </c>
      <c r="H3565" s="1106">
        <f>G3565*F3565</f>
        <v>2024.9999999999998</v>
      </c>
      <c r="M3565" s="1566"/>
    </row>
    <row r="3566" spans="2:13" hidden="1">
      <c r="B3566" s="1543"/>
      <c r="C3566" s="1332"/>
      <c r="D3566" s="1331"/>
      <c r="E3566" s="1331"/>
      <c r="F3566" s="2074" t="s">
        <v>685</v>
      </c>
      <c r="G3566" s="2074"/>
      <c r="H3566" s="1106">
        <f>SUM(H3562:H3565)</f>
        <v>63395.000000000007</v>
      </c>
      <c r="M3566" s="1566"/>
    </row>
    <row r="3567" spans="2:13" hidden="1">
      <c r="B3567" s="1543" t="s">
        <v>686</v>
      </c>
      <c r="C3567" s="1332" t="s">
        <v>687</v>
      </c>
      <c r="D3567" s="1331"/>
      <c r="E3567" s="1331"/>
      <c r="F3567" s="1334"/>
      <c r="G3567" s="1104"/>
      <c r="H3567" s="1106"/>
      <c r="M3567" s="1566"/>
    </row>
    <row r="3568" spans="2:13" hidden="1">
      <c r="B3568" s="1543"/>
      <c r="C3568" s="1332" t="s">
        <v>1156</v>
      </c>
      <c r="D3568" s="1331"/>
      <c r="E3568" s="1331" t="s">
        <v>2647</v>
      </c>
      <c r="F3568" s="1334">
        <v>1.05</v>
      </c>
      <c r="G3568" s="1104">
        <f>DUB!$I$198</f>
        <v>50067</v>
      </c>
      <c r="H3568" s="1106">
        <f>G3568*F3568</f>
        <v>52570.350000000006</v>
      </c>
      <c r="M3568" s="1566"/>
    </row>
    <row r="3569" spans="2:13" hidden="1">
      <c r="B3569" s="1543"/>
      <c r="C3569" s="1332" t="s">
        <v>1158</v>
      </c>
      <c r="D3569" s="1331"/>
      <c r="E3569" s="1331" t="s">
        <v>690</v>
      </c>
      <c r="F3569" s="1334">
        <v>0.35</v>
      </c>
      <c r="G3569" s="1104">
        <f>DUB!$I$88</f>
        <v>20934</v>
      </c>
      <c r="H3569" s="1106">
        <f>G3569*F3569</f>
        <v>7326.9</v>
      </c>
      <c r="M3569" s="1566"/>
    </row>
    <row r="3570" spans="2:13" hidden="1">
      <c r="B3570" s="1543"/>
      <c r="C3570" s="1125"/>
      <c r="D3570" s="1333"/>
      <c r="E3570" s="1333"/>
      <c r="F3570" s="2074" t="s">
        <v>702</v>
      </c>
      <c r="G3570" s="2074"/>
      <c r="H3570" s="1106">
        <f>SUM(H3568:H3569)</f>
        <v>59897.250000000007</v>
      </c>
      <c r="M3570" s="1566"/>
    </row>
    <row r="3571" spans="2:13" s="496" customFormat="1" hidden="1">
      <c r="B3571" s="1543" t="s">
        <v>703</v>
      </c>
      <c r="C3571" s="2075" t="s">
        <v>3764</v>
      </c>
      <c r="D3571" s="2075"/>
      <c r="E3571" s="2075"/>
      <c r="F3571" s="2075"/>
      <c r="G3571" s="2075"/>
      <c r="H3571" s="1107">
        <f>H3566+H3570</f>
        <v>123292.25000000001</v>
      </c>
      <c r="J3571" s="1559"/>
      <c r="K3571" s="1559"/>
      <c r="L3571" s="1559"/>
      <c r="M3571" s="1635"/>
    </row>
    <row r="3572" spans="2:13" s="496" customFormat="1" hidden="1">
      <c r="B3572" s="1543" t="s">
        <v>706</v>
      </c>
      <c r="C3572" s="2076" t="s">
        <v>876</v>
      </c>
      <c r="D3572" s="2076"/>
      <c r="E3572" s="2076"/>
      <c r="F3572" s="2077" t="s">
        <v>3873</v>
      </c>
      <c r="G3572" s="2077"/>
      <c r="H3572" s="1107">
        <f>H3571*0.15</f>
        <v>18493.837500000001</v>
      </c>
      <c r="J3572" s="1559"/>
      <c r="K3572" s="1559"/>
      <c r="L3572" s="1559"/>
      <c r="M3572" s="1635"/>
    </row>
    <row r="3573" spans="2:13" s="496" customFormat="1" hidden="1">
      <c r="B3573" s="1543" t="s">
        <v>708</v>
      </c>
      <c r="C3573" s="2078" t="s">
        <v>3765</v>
      </c>
      <c r="D3573" s="2078"/>
      <c r="E3573" s="2078"/>
      <c r="F3573" s="2078"/>
      <c r="G3573" s="2078"/>
      <c r="H3573" s="1107">
        <f>ROUND(SUM(H3571:H3572),2)</f>
        <v>141786.09</v>
      </c>
      <c r="I3573" s="506">
        <f>SUM(H3571:H3572)</f>
        <v>141786.08750000002</v>
      </c>
      <c r="J3573" s="1561"/>
      <c r="K3573" s="1561"/>
      <c r="L3573" s="1559"/>
      <c r="M3573" s="1635"/>
    </row>
    <row r="3574" spans="2:13" hidden="1">
      <c r="B3574" s="1143"/>
      <c r="C3574" s="1144"/>
      <c r="D3574" s="1143"/>
      <c r="E3574" s="1143"/>
      <c r="F3574" s="1145"/>
      <c r="G3574" s="1146"/>
      <c r="H3574" s="1147"/>
      <c r="M3574" s="1566"/>
    </row>
    <row r="3575" spans="2:13" hidden="1">
      <c r="B3575" s="1100" t="s">
        <v>4052</v>
      </c>
      <c r="C3575" s="1112" t="s">
        <v>2794</v>
      </c>
      <c r="D3575" s="1129"/>
      <c r="E3575" s="1129"/>
      <c r="F3575" s="1131"/>
      <c r="G3575" s="1132"/>
      <c r="H3575" s="1115"/>
      <c r="M3575" s="1566"/>
    </row>
    <row r="3576" spans="2:13" s="507" customFormat="1" ht="24.9" hidden="1" customHeight="1">
      <c r="B3576" s="1748" t="s">
        <v>1003</v>
      </c>
      <c r="C3576" s="1101" t="s">
        <v>1004</v>
      </c>
      <c r="D3576" s="1101" t="s">
        <v>1005</v>
      </c>
      <c r="E3576" s="1101" t="s">
        <v>1006</v>
      </c>
      <c r="F3576" s="1102" t="s">
        <v>1007</v>
      </c>
      <c r="G3576" s="1109" t="s">
        <v>2637</v>
      </c>
      <c r="H3576" s="1110" t="s">
        <v>2638</v>
      </c>
      <c r="J3576" s="1625"/>
      <c r="K3576" s="1625"/>
      <c r="L3576" s="1625"/>
      <c r="M3576" s="1570"/>
    </row>
    <row r="3577" spans="2:13" hidden="1">
      <c r="B3577" s="1543" t="s">
        <v>671</v>
      </c>
      <c r="C3577" s="1332" t="s">
        <v>672</v>
      </c>
      <c r="D3577" s="1331"/>
      <c r="E3577" s="1331"/>
      <c r="F3577" s="1334"/>
      <c r="G3577" s="1104"/>
      <c r="H3577" s="1106"/>
      <c r="M3577" s="1566"/>
    </row>
    <row r="3578" spans="2:13" hidden="1">
      <c r="B3578" s="1543"/>
      <c r="C3578" s="1332" t="s">
        <v>673</v>
      </c>
      <c r="D3578" s="1331" t="s">
        <v>674</v>
      </c>
      <c r="E3578" s="1331" t="s">
        <v>675</v>
      </c>
      <c r="F3578" s="1334">
        <v>0.12</v>
      </c>
      <c r="G3578" s="1104">
        <f>DUB!$I$10</f>
        <v>150000</v>
      </c>
      <c r="H3578" s="1106">
        <f>G3578*F3578</f>
        <v>18000</v>
      </c>
      <c r="M3578" s="1566"/>
    </row>
    <row r="3579" spans="2:13" hidden="1">
      <c r="B3579" s="1543"/>
      <c r="C3579" s="1332" t="s">
        <v>677</v>
      </c>
      <c r="D3579" s="1331" t="s">
        <v>678</v>
      </c>
      <c r="E3579" s="1331" t="s">
        <v>675</v>
      </c>
      <c r="F3579" s="1334">
        <v>0.12</v>
      </c>
      <c r="G3579" s="1104">
        <f>DUB!$I$11</f>
        <v>187000</v>
      </c>
      <c r="H3579" s="1106">
        <f>G3579*F3579</f>
        <v>22440</v>
      </c>
      <c r="M3579" s="1566"/>
    </row>
    <row r="3580" spans="2:13" hidden="1">
      <c r="B3580" s="1543"/>
      <c r="C3580" s="1332" t="s">
        <v>751</v>
      </c>
      <c r="D3580" s="1331" t="s">
        <v>681</v>
      </c>
      <c r="E3580" s="1331" t="s">
        <v>675</v>
      </c>
      <c r="F3580" s="1334">
        <v>1.2E-2</v>
      </c>
      <c r="G3580" s="1104">
        <f>DUB!$I$13</f>
        <v>240000</v>
      </c>
      <c r="H3580" s="1106">
        <f>G3580*F3580</f>
        <v>2880</v>
      </c>
      <c r="M3580" s="1566"/>
    </row>
    <row r="3581" spans="2:13" hidden="1">
      <c r="B3581" s="1543"/>
      <c r="C3581" s="1332" t="s">
        <v>683</v>
      </c>
      <c r="D3581" s="1331" t="s">
        <v>684</v>
      </c>
      <c r="E3581" s="1331" t="s">
        <v>675</v>
      </c>
      <c r="F3581" s="1334">
        <v>6.0000000000000001E-3</v>
      </c>
      <c r="G3581" s="1104">
        <f>DUB!$I$12</f>
        <v>225000</v>
      </c>
      <c r="H3581" s="1106">
        <f>G3581*F3581</f>
        <v>1350</v>
      </c>
      <c r="M3581" s="1566"/>
    </row>
    <row r="3582" spans="2:13" hidden="1">
      <c r="B3582" s="1543"/>
      <c r="C3582" s="1332"/>
      <c r="D3582" s="1331"/>
      <c r="E3582" s="1331"/>
      <c r="F3582" s="2074" t="s">
        <v>685</v>
      </c>
      <c r="G3582" s="2074"/>
      <c r="H3582" s="1106">
        <f>SUM(H3578:H3581)</f>
        <v>44670</v>
      </c>
      <c r="M3582" s="1566"/>
    </row>
    <row r="3583" spans="2:13" hidden="1">
      <c r="B3583" s="1543" t="s">
        <v>686</v>
      </c>
      <c r="C3583" s="1332" t="s">
        <v>687</v>
      </c>
      <c r="D3583" s="1331"/>
      <c r="E3583" s="1331"/>
      <c r="F3583" s="1334"/>
      <c r="G3583" s="1104"/>
      <c r="H3583" s="1106"/>
      <c r="M3583" s="1566"/>
    </row>
    <row r="3584" spans="2:13" hidden="1">
      <c r="B3584" s="1543"/>
      <c r="C3584" s="1332" t="s">
        <v>1159</v>
      </c>
      <c r="D3584" s="1331"/>
      <c r="E3584" s="1331" t="s">
        <v>2647</v>
      </c>
      <c r="F3584" s="1334">
        <v>1.05</v>
      </c>
      <c r="G3584" s="1104">
        <f>DUB!$I$199</f>
        <v>55692</v>
      </c>
      <c r="H3584" s="1106">
        <f>G3584*F3584</f>
        <v>58476.600000000006</v>
      </c>
      <c r="M3584" s="1566"/>
    </row>
    <row r="3585" spans="2:13" hidden="1">
      <c r="B3585" s="1543"/>
      <c r="C3585" s="1332" t="s">
        <v>1158</v>
      </c>
      <c r="D3585" s="1331"/>
      <c r="E3585" s="1331" t="s">
        <v>690</v>
      </c>
      <c r="F3585" s="1334">
        <v>0.35</v>
      </c>
      <c r="G3585" s="1104">
        <f>DUB!$I$88</f>
        <v>20934</v>
      </c>
      <c r="H3585" s="1106">
        <f>G3585*F3585</f>
        <v>7326.9</v>
      </c>
      <c r="M3585" s="1566"/>
    </row>
    <row r="3586" spans="2:13" hidden="1">
      <c r="B3586" s="1543"/>
      <c r="C3586" s="1125"/>
      <c r="D3586" s="1333"/>
      <c r="E3586" s="1333"/>
      <c r="F3586" s="2074" t="s">
        <v>702</v>
      </c>
      <c r="G3586" s="2074"/>
      <c r="H3586" s="1106">
        <f>SUM(H3584:H3585)</f>
        <v>65803.5</v>
      </c>
      <c r="M3586" s="1566"/>
    </row>
    <row r="3587" spans="2:13" s="496" customFormat="1" hidden="1">
      <c r="B3587" s="1543" t="s">
        <v>703</v>
      </c>
      <c r="C3587" s="2075" t="s">
        <v>3764</v>
      </c>
      <c r="D3587" s="2075"/>
      <c r="E3587" s="2075"/>
      <c r="F3587" s="2075"/>
      <c r="G3587" s="2075"/>
      <c r="H3587" s="1107">
        <f>H3582+H3586</f>
        <v>110473.5</v>
      </c>
      <c r="J3587" s="1559"/>
      <c r="K3587" s="1559"/>
      <c r="L3587" s="1559"/>
      <c r="M3587" s="1635"/>
    </row>
    <row r="3588" spans="2:13" s="496" customFormat="1" hidden="1">
      <c r="B3588" s="1543" t="s">
        <v>706</v>
      </c>
      <c r="C3588" s="2076" t="s">
        <v>876</v>
      </c>
      <c r="D3588" s="2076"/>
      <c r="E3588" s="2076"/>
      <c r="F3588" s="2077" t="s">
        <v>3873</v>
      </c>
      <c r="G3588" s="2077"/>
      <c r="H3588" s="1107">
        <f>H3587*0.15</f>
        <v>16571.024999999998</v>
      </c>
      <c r="J3588" s="1559"/>
      <c r="K3588" s="1559"/>
      <c r="L3588" s="1559"/>
      <c r="M3588" s="1635"/>
    </row>
    <row r="3589" spans="2:13" s="496" customFormat="1" hidden="1">
      <c r="B3589" s="1543" t="s">
        <v>708</v>
      </c>
      <c r="C3589" s="2078" t="s">
        <v>3765</v>
      </c>
      <c r="D3589" s="2078"/>
      <c r="E3589" s="2078"/>
      <c r="F3589" s="2078"/>
      <c r="G3589" s="2078"/>
      <c r="H3589" s="1107">
        <f>ROUND(SUM(H3587:H3588),2)</f>
        <v>127044.53</v>
      </c>
      <c r="J3589" s="1559"/>
      <c r="K3589" s="1559"/>
      <c r="L3589" s="1559"/>
      <c r="M3589" s="1635"/>
    </row>
    <row r="3590" spans="2:13" hidden="1">
      <c r="F3590" s="1172"/>
      <c r="G3590" s="1173"/>
      <c r="H3590" s="1133"/>
      <c r="M3590" s="1566"/>
    </row>
    <row r="3591" spans="2:13" hidden="1">
      <c r="B3591" s="1100" t="s">
        <v>4053</v>
      </c>
      <c r="C3591" s="1232" t="s">
        <v>2793</v>
      </c>
      <c r="F3591" s="1172"/>
      <c r="G3591" s="1173"/>
      <c r="H3591" s="1133"/>
      <c r="M3591" s="1566"/>
    </row>
    <row r="3592" spans="2:13" s="507" customFormat="1" ht="24.9" hidden="1" customHeight="1">
      <c r="B3592" s="1748" t="s">
        <v>1003</v>
      </c>
      <c r="C3592" s="1101" t="s">
        <v>1004</v>
      </c>
      <c r="D3592" s="1101" t="s">
        <v>1005</v>
      </c>
      <c r="E3592" s="1101" t="s">
        <v>1006</v>
      </c>
      <c r="F3592" s="1102" t="s">
        <v>1007</v>
      </c>
      <c r="G3592" s="1109" t="s">
        <v>2637</v>
      </c>
      <c r="H3592" s="1110" t="s">
        <v>2638</v>
      </c>
      <c r="J3592" s="1625"/>
      <c r="K3592" s="1625"/>
      <c r="L3592" s="1625"/>
      <c r="M3592" s="1570"/>
    </row>
    <row r="3593" spans="2:13" hidden="1">
      <c r="B3593" s="1543" t="s">
        <v>671</v>
      </c>
      <c r="C3593" s="1332" t="s">
        <v>672</v>
      </c>
      <c r="D3593" s="1331"/>
      <c r="E3593" s="1331"/>
      <c r="F3593" s="1334"/>
      <c r="G3593" s="1104"/>
      <c r="H3593" s="1106"/>
      <c r="M3593" s="1566"/>
    </row>
    <row r="3594" spans="2:13" hidden="1">
      <c r="B3594" s="1543"/>
      <c r="C3594" s="1332" t="s">
        <v>673</v>
      </c>
      <c r="D3594" s="1331" t="s">
        <v>674</v>
      </c>
      <c r="E3594" s="1331" t="s">
        <v>675</v>
      </c>
      <c r="F3594" s="1334">
        <v>0.7</v>
      </c>
      <c r="G3594" s="1104">
        <f>DUB!$I$10</f>
        <v>150000</v>
      </c>
      <c r="H3594" s="1106">
        <f>G3594*F3594</f>
        <v>105000</v>
      </c>
      <c r="M3594" s="1566"/>
    </row>
    <row r="3595" spans="2:13" hidden="1">
      <c r="B3595" s="1543"/>
      <c r="C3595" s="1332" t="s">
        <v>677</v>
      </c>
      <c r="D3595" s="1331" t="s">
        <v>678</v>
      </c>
      <c r="E3595" s="1331" t="s">
        <v>675</v>
      </c>
      <c r="F3595" s="1334">
        <v>0.35</v>
      </c>
      <c r="G3595" s="1104">
        <f>DUB!$I$11</f>
        <v>187000</v>
      </c>
      <c r="H3595" s="1106">
        <f>G3595*F3595</f>
        <v>65449.999999999993</v>
      </c>
      <c r="M3595" s="1566"/>
    </row>
    <row r="3596" spans="2:13" hidden="1">
      <c r="B3596" s="1543"/>
      <c r="C3596" s="1332" t="s">
        <v>751</v>
      </c>
      <c r="D3596" s="1331" t="s">
        <v>681</v>
      </c>
      <c r="E3596" s="1331" t="s">
        <v>675</v>
      </c>
      <c r="F3596" s="1334">
        <v>3.5000000000000003E-2</v>
      </c>
      <c r="G3596" s="1104">
        <f>DUB!$I$13</f>
        <v>240000</v>
      </c>
      <c r="H3596" s="1106">
        <f>G3596*F3596</f>
        <v>8400</v>
      </c>
      <c r="M3596" s="1566"/>
    </row>
    <row r="3597" spans="2:13" hidden="1">
      <c r="B3597" s="1543"/>
      <c r="C3597" s="1332" t="s">
        <v>683</v>
      </c>
      <c r="D3597" s="1331" t="s">
        <v>684</v>
      </c>
      <c r="E3597" s="1331" t="s">
        <v>675</v>
      </c>
      <c r="F3597" s="1334">
        <v>3.5000000000000003E-2</v>
      </c>
      <c r="G3597" s="1104">
        <f>DUB!$I$12</f>
        <v>225000</v>
      </c>
      <c r="H3597" s="1106">
        <f>G3597*F3597</f>
        <v>7875.0000000000009</v>
      </c>
      <c r="M3597" s="1566"/>
    </row>
    <row r="3598" spans="2:13" hidden="1">
      <c r="B3598" s="1543"/>
      <c r="C3598" s="1332"/>
      <c r="D3598" s="1331"/>
      <c r="E3598" s="1331"/>
      <c r="F3598" s="2074" t="s">
        <v>685</v>
      </c>
      <c r="G3598" s="2074"/>
      <c r="H3598" s="1106">
        <f>SUM(H3594:H3597)</f>
        <v>186725</v>
      </c>
      <c r="M3598" s="1566"/>
    </row>
    <row r="3599" spans="2:13" hidden="1">
      <c r="B3599" s="1543" t="s">
        <v>686</v>
      </c>
      <c r="C3599" s="1332" t="s">
        <v>687</v>
      </c>
      <c r="D3599" s="1331"/>
      <c r="E3599" s="1331"/>
      <c r="F3599" s="1334"/>
      <c r="G3599" s="1104"/>
      <c r="H3599" s="1106"/>
      <c r="M3599" s="1566"/>
    </row>
    <row r="3600" spans="2:13" hidden="1">
      <c r="B3600" s="1543"/>
      <c r="C3600" s="1332" t="s">
        <v>1160</v>
      </c>
      <c r="D3600" s="1331"/>
      <c r="E3600" s="1331" t="s">
        <v>2647</v>
      </c>
      <c r="F3600" s="1334">
        <v>1.05</v>
      </c>
      <c r="G3600" s="1104">
        <f>DUB!$I$202</f>
        <v>327726</v>
      </c>
      <c r="H3600" s="1106">
        <f>G3600*F3600</f>
        <v>344112.3</v>
      </c>
      <c r="M3600" s="1566"/>
    </row>
    <row r="3601" spans="2:13" hidden="1">
      <c r="B3601" s="1543"/>
      <c r="C3601" s="1332" t="s">
        <v>1158</v>
      </c>
      <c r="D3601" s="1331"/>
      <c r="E3601" s="1331" t="s">
        <v>690</v>
      </c>
      <c r="F3601" s="1334">
        <v>0.6</v>
      </c>
      <c r="G3601" s="1104">
        <f>DUB!$I$88</f>
        <v>20934</v>
      </c>
      <c r="H3601" s="1106">
        <f>G3601*F3601</f>
        <v>12560.4</v>
      </c>
      <c r="M3601" s="1566"/>
    </row>
    <row r="3602" spans="2:13" hidden="1">
      <c r="B3602" s="1543"/>
      <c r="C3602" s="1125"/>
      <c r="D3602" s="1333"/>
      <c r="E3602" s="1333"/>
      <c r="F3602" s="2074" t="s">
        <v>702</v>
      </c>
      <c r="G3602" s="2074"/>
      <c r="H3602" s="1106">
        <f>SUM(H3600:H3601)</f>
        <v>356672.7</v>
      </c>
      <c r="M3602" s="1566"/>
    </row>
    <row r="3603" spans="2:13" s="496" customFormat="1" hidden="1">
      <c r="B3603" s="1543" t="s">
        <v>703</v>
      </c>
      <c r="C3603" s="2075" t="s">
        <v>3764</v>
      </c>
      <c r="D3603" s="2075"/>
      <c r="E3603" s="2075"/>
      <c r="F3603" s="2075"/>
      <c r="G3603" s="2075"/>
      <c r="H3603" s="1107">
        <f>H3598+H3602</f>
        <v>543397.69999999995</v>
      </c>
      <c r="J3603" s="1559"/>
      <c r="K3603" s="1559"/>
      <c r="L3603" s="1559"/>
      <c r="M3603" s="1635"/>
    </row>
    <row r="3604" spans="2:13" s="496" customFormat="1" hidden="1">
      <c r="B3604" s="1543" t="s">
        <v>706</v>
      </c>
      <c r="C3604" s="2076" t="s">
        <v>876</v>
      </c>
      <c r="D3604" s="2076"/>
      <c r="E3604" s="2076"/>
      <c r="F3604" s="2077" t="s">
        <v>3873</v>
      </c>
      <c r="G3604" s="2077"/>
      <c r="H3604" s="1107">
        <f>H3603*0.15</f>
        <v>81509.654999999984</v>
      </c>
      <c r="J3604" s="1559"/>
      <c r="K3604" s="1559"/>
      <c r="L3604" s="1559"/>
      <c r="M3604" s="1635"/>
    </row>
    <row r="3605" spans="2:13" s="496" customFormat="1" hidden="1">
      <c r="B3605" s="1543" t="s">
        <v>708</v>
      </c>
      <c r="C3605" s="2078" t="s">
        <v>3765</v>
      </c>
      <c r="D3605" s="2078"/>
      <c r="E3605" s="2078"/>
      <c r="F3605" s="2078"/>
      <c r="G3605" s="2078"/>
      <c r="H3605" s="1107">
        <f>ROUND(SUM(H3603:H3604),2)</f>
        <v>624907.36</v>
      </c>
      <c r="I3605" s="506">
        <f>SUM(H3603:H3604)</f>
        <v>624907.35499999998</v>
      </c>
      <c r="J3605" s="1561"/>
      <c r="K3605" s="1561"/>
      <c r="L3605" s="1559"/>
      <c r="M3605" s="1635"/>
    </row>
    <row r="3606" spans="2:13" hidden="1">
      <c r="B3606" s="1143"/>
      <c r="C3606" s="1144"/>
      <c r="D3606" s="1143"/>
      <c r="E3606" s="1143"/>
      <c r="F3606" s="1145"/>
      <c r="G3606" s="1146"/>
      <c r="H3606" s="1147"/>
      <c r="M3606" s="1566"/>
    </row>
    <row r="3607" spans="2:13" hidden="1">
      <c r="B3607" s="1150" t="s">
        <v>4054</v>
      </c>
      <c r="C3607" s="1112" t="s">
        <v>2792</v>
      </c>
      <c r="D3607" s="1129"/>
      <c r="E3607" s="1129"/>
      <c r="F3607" s="1131"/>
      <c r="G3607" s="1132"/>
      <c r="H3607" s="1115"/>
      <c r="M3607" s="1566"/>
    </row>
    <row r="3608" spans="2:13" s="507" customFormat="1" ht="24.9" hidden="1" customHeight="1">
      <c r="B3608" s="1748" t="s">
        <v>1003</v>
      </c>
      <c r="C3608" s="1101" t="s">
        <v>1004</v>
      </c>
      <c r="D3608" s="1101" t="s">
        <v>1005</v>
      </c>
      <c r="E3608" s="1101" t="s">
        <v>1006</v>
      </c>
      <c r="F3608" s="1102" t="s">
        <v>1007</v>
      </c>
      <c r="G3608" s="1109" t="s">
        <v>2637</v>
      </c>
      <c r="H3608" s="1110" t="s">
        <v>2638</v>
      </c>
      <c r="J3608" s="1625"/>
      <c r="K3608" s="1625"/>
      <c r="L3608" s="1625"/>
      <c r="M3608" s="1570"/>
    </row>
    <row r="3609" spans="2:13" hidden="1">
      <c r="B3609" s="1543" t="s">
        <v>671</v>
      </c>
      <c r="C3609" s="1332" t="s">
        <v>672</v>
      </c>
      <c r="D3609" s="1331"/>
      <c r="E3609" s="1331"/>
      <c r="F3609" s="1334"/>
      <c r="G3609" s="1104"/>
      <c r="H3609" s="1106"/>
      <c r="M3609" s="1566"/>
    </row>
    <row r="3610" spans="2:13" hidden="1">
      <c r="B3610" s="1543"/>
      <c r="C3610" s="1332" t="s">
        <v>673</v>
      </c>
      <c r="D3610" s="1331" t="s">
        <v>674</v>
      </c>
      <c r="E3610" s="1331" t="s">
        <v>675</v>
      </c>
      <c r="F3610" s="1334">
        <v>0.7</v>
      </c>
      <c r="G3610" s="1104">
        <f>DUB!$I$10</f>
        <v>150000</v>
      </c>
      <c r="H3610" s="1106">
        <f>G3610*F3610</f>
        <v>105000</v>
      </c>
      <c r="M3610" s="1566"/>
    </row>
    <row r="3611" spans="2:13" hidden="1">
      <c r="B3611" s="1543"/>
      <c r="C3611" s="1332" t="s">
        <v>677</v>
      </c>
      <c r="D3611" s="1331" t="s">
        <v>678</v>
      </c>
      <c r="E3611" s="1331" t="s">
        <v>675</v>
      </c>
      <c r="F3611" s="1334">
        <v>0.35</v>
      </c>
      <c r="G3611" s="1104">
        <f>DUB!$I$11</f>
        <v>187000</v>
      </c>
      <c r="H3611" s="1106">
        <f>G3611*F3611</f>
        <v>65449.999999999993</v>
      </c>
      <c r="M3611" s="1566"/>
    </row>
    <row r="3612" spans="2:13" hidden="1">
      <c r="B3612" s="1543"/>
      <c r="C3612" s="1332" t="s">
        <v>751</v>
      </c>
      <c r="D3612" s="1331" t="s">
        <v>681</v>
      </c>
      <c r="E3612" s="1331" t="s">
        <v>675</v>
      </c>
      <c r="F3612" s="1334">
        <v>3.5000000000000003E-2</v>
      </c>
      <c r="G3612" s="1104">
        <f>DUB!$I$13</f>
        <v>240000</v>
      </c>
      <c r="H3612" s="1106">
        <f>G3612*F3612</f>
        <v>8400</v>
      </c>
      <c r="M3612" s="1566"/>
    </row>
    <row r="3613" spans="2:13" hidden="1">
      <c r="B3613" s="1543"/>
      <c r="C3613" s="1332" t="s">
        <v>683</v>
      </c>
      <c r="D3613" s="1331" t="s">
        <v>684</v>
      </c>
      <c r="E3613" s="1331" t="s">
        <v>675</v>
      </c>
      <c r="F3613" s="1334">
        <v>3.5000000000000003E-2</v>
      </c>
      <c r="G3613" s="1104">
        <f>DUB!$I$12</f>
        <v>225000</v>
      </c>
      <c r="H3613" s="1106">
        <f>G3613*F3613</f>
        <v>7875.0000000000009</v>
      </c>
      <c r="M3613" s="1566"/>
    </row>
    <row r="3614" spans="2:13" hidden="1">
      <c r="B3614" s="1543"/>
      <c r="C3614" s="1332"/>
      <c r="D3614" s="1331"/>
      <c r="E3614" s="1331"/>
      <c r="F3614" s="2074" t="s">
        <v>685</v>
      </c>
      <c r="G3614" s="2074"/>
      <c r="H3614" s="1106">
        <f>SUM(H3610:H3613)</f>
        <v>186725</v>
      </c>
      <c r="M3614" s="1566"/>
    </row>
    <row r="3615" spans="2:13" hidden="1">
      <c r="B3615" s="1543" t="s">
        <v>686</v>
      </c>
      <c r="C3615" s="1332" t="s">
        <v>687</v>
      </c>
      <c r="D3615" s="1331"/>
      <c r="E3615" s="1331"/>
      <c r="F3615" s="1334"/>
      <c r="G3615" s="1104"/>
      <c r="H3615" s="1106"/>
      <c r="M3615" s="1566"/>
    </row>
    <row r="3616" spans="2:13" hidden="1">
      <c r="B3616" s="1543"/>
      <c r="C3616" s="1544" t="s">
        <v>1160</v>
      </c>
      <c r="D3616" s="1331"/>
      <c r="E3616" s="1331" t="s">
        <v>2647</v>
      </c>
      <c r="F3616" s="1334">
        <v>1.05</v>
      </c>
      <c r="G3616" s="1104">
        <f>DUB!$I$203</f>
        <v>191169</v>
      </c>
      <c r="H3616" s="1106">
        <f>G3616*F3616</f>
        <v>200727.45</v>
      </c>
      <c r="M3616" s="1566"/>
    </row>
    <row r="3617" spans="2:13" hidden="1">
      <c r="B3617" s="1543"/>
      <c r="C3617" s="1332" t="s">
        <v>1158</v>
      </c>
      <c r="D3617" s="1331"/>
      <c r="E3617" s="1331" t="s">
        <v>690</v>
      </c>
      <c r="F3617" s="1334">
        <v>0.6</v>
      </c>
      <c r="G3617" s="1104">
        <f>DUB!$I$88</f>
        <v>20934</v>
      </c>
      <c r="H3617" s="1106">
        <f>G3617*F3617</f>
        <v>12560.4</v>
      </c>
      <c r="M3617" s="1566"/>
    </row>
    <row r="3618" spans="2:13" hidden="1">
      <c r="B3618" s="1543"/>
      <c r="C3618" s="1125"/>
      <c r="D3618" s="1333"/>
      <c r="E3618" s="1333"/>
      <c r="F3618" s="2074" t="s">
        <v>702</v>
      </c>
      <c r="G3618" s="2074"/>
      <c r="H3618" s="1106">
        <f>SUM(H3616:H3617)</f>
        <v>213287.85</v>
      </c>
      <c r="M3618" s="1566"/>
    </row>
    <row r="3619" spans="2:13" s="496" customFormat="1" hidden="1">
      <c r="B3619" s="1543" t="s">
        <v>703</v>
      </c>
      <c r="C3619" s="2075" t="s">
        <v>3764</v>
      </c>
      <c r="D3619" s="2075"/>
      <c r="E3619" s="2075"/>
      <c r="F3619" s="2075"/>
      <c r="G3619" s="2075"/>
      <c r="H3619" s="1107">
        <f>H3614+H3618</f>
        <v>400012.85</v>
      </c>
      <c r="J3619" s="1559"/>
      <c r="K3619" s="1559"/>
      <c r="L3619" s="1559"/>
      <c r="M3619" s="1635"/>
    </row>
    <row r="3620" spans="2:13" s="496" customFormat="1" hidden="1">
      <c r="B3620" s="1543" t="s">
        <v>706</v>
      </c>
      <c r="C3620" s="2076" t="s">
        <v>876</v>
      </c>
      <c r="D3620" s="2076"/>
      <c r="E3620" s="2076"/>
      <c r="F3620" s="2077" t="s">
        <v>3873</v>
      </c>
      <c r="G3620" s="2077"/>
      <c r="H3620" s="1107">
        <f>H3619*0.15</f>
        <v>60001.927499999991</v>
      </c>
      <c r="J3620" s="1559"/>
      <c r="K3620" s="1559"/>
      <c r="L3620" s="1559"/>
      <c r="M3620" s="1635"/>
    </row>
    <row r="3621" spans="2:13" s="496" customFormat="1" hidden="1">
      <c r="B3621" s="1543" t="s">
        <v>708</v>
      </c>
      <c r="C3621" s="2078" t="s">
        <v>3765</v>
      </c>
      <c r="D3621" s="2078"/>
      <c r="E3621" s="2078"/>
      <c r="F3621" s="2078"/>
      <c r="G3621" s="2078"/>
      <c r="H3621" s="1107">
        <f>ROUND(SUM(H3619:H3620),2)</f>
        <v>460014.78</v>
      </c>
      <c r="I3621" s="506">
        <f>SUM(H3619:H3620)</f>
        <v>460014.77749999997</v>
      </c>
      <c r="J3621" s="1561"/>
      <c r="K3621" s="1561"/>
      <c r="L3621" s="1559"/>
      <c r="M3621" s="1635"/>
    </row>
    <row r="3622" spans="2:13" hidden="1">
      <c r="F3622" s="1172"/>
      <c r="G3622" s="1173"/>
      <c r="H3622" s="1133"/>
      <c r="M3622" s="1566"/>
    </row>
    <row r="3623" spans="2:13" hidden="1">
      <c r="B3623" s="1100" t="s">
        <v>4055</v>
      </c>
      <c r="C3623" s="1232" t="s">
        <v>2791</v>
      </c>
      <c r="F3623" s="1172"/>
      <c r="G3623" s="1173"/>
      <c r="H3623" s="1133"/>
      <c r="M3623" s="1566"/>
    </row>
    <row r="3624" spans="2:13" s="507" customFormat="1" ht="24.9" hidden="1" customHeight="1">
      <c r="B3624" s="1748" t="s">
        <v>1003</v>
      </c>
      <c r="C3624" s="1101" t="s">
        <v>1004</v>
      </c>
      <c r="D3624" s="1101" t="s">
        <v>1005</v>
      </c>
      <c r="E3624" s="1101" t="s">
        <v>1006</v>
      </c>
      <c r="F3624" s="1102" t="s">
        <v>1007</v>
      </c>
      <c r="G3624" s="1109" t="s">
        <v>2637</v>
      </c>
      <c r="H3624" s="1110" t="s">
        <v>2638</v>
      </c>
      <c r="J3624" s="1625"/>
      <c r="K3624" s="1625"/>
      <c r="L3624" s="1625"/>
      <c r="M3624" s="1570"/>
    </row>
    <row r="3625" spans="2:13" hidden="1">
      <c r="B3625" s="1543" t="s">
        <v>671</v>
      </c>
      <c r="C3625" s="1332" t="s">
        <v>672</v>
      </c>
      <c r="D3625" s="1331"/>
      <c r="E3625" s="1331"/>
      <c r="F3625" s="1334"/>
      <c r="G3625" s="1104"/>
      <c r="H3625" s="1106"/>
      <c r="M3625" s="1566"/>
    </row>
    <row r="3626" spans="2:13" hidden="1">
      <c r="B3626" s="1543"/>
      <c r="C3626" s="1332" t="s">
        <v>673</v>
      </c>
      <c r="D3626" s="1331" t="s">
        <v>674</v>
      </c>
      <c r="E3626" s="1331" t="s">
        <v>675</v>
      </c>
      <c r="F3626" s="1334">
        <v>0.9</v>
      </c>
      <c r="G3626" s="1104">
        <f>DUB!$I$10</f>
        <v>150000</v>
      </c>
      <c r="H3626" s="1106">
        <f>G3626*F3626</f>
        <v>135000</v>
      </c>
      <c r="M3626" s="1566"/>
    </row>
    <row r="3627" spans="2:13" hidden="1">
      <c r="B3627" s="1543"/>
      <c r="C3627" s="1332" t="s">
        <v>816</v>
      </c>
      <c r="D3627" s="1331" t="s">
        <v>678</v>
      </c>
      <c r="E3627" s="1331" t="s">
        <v>675</v>
      </c>
      <c r="F3627" s="1334">
        <v>0.45</v>
      </c>
      <c r="G3627" s="1104">
        <f>DUB!$I$11</f>
        <v>187000</v>
      </c>
      <c r="H3627" s="1106">
        <f>G3627*F3627</f>
        <v>84150</v>
      </c>
      <c r="M3627" s="1566"/>
    </row>
    <row r="3628" spans="2:13" hidden="1">
      <c r="B3628" s="1543"/>
      <c r="C3628" s="1332" t="s">
        <v>751</v>
      </c>
      <c r="D3628" s="1331" t="s">
        <v>681</v>
      </c>
      <c r="E3628" s="1331" t="s">
        <v>675</v>
      </c>
      <c r="F3628" s="1334">
        <v>4.4999999999999998E-2</v>
      </c>
      <c r="G3628" s="1104">
        <f>DUB!$I$13</f>
        <v>240000</v>
      </c>
      <c r="H3628" s="1106">
        <f>G3628*F3628</f>
        <v>10800</v>
      </c>
      <c r="M3628" s="1566"/>
    </row>
    <row r="3629" spans="2:13" hidden="1">
      <c r="B3629" s="1543"/>
      <c r="C3629" s="1332" t="s">
        <v>683</v>
      </c>
      <c r="D3629" s="1331" t="s">
        <v>684</v>
      </c>
      <c r="E3629" s="1331" t="s">
        <v>675</v>
      </c>
      <c r="F3629" s="1334">
        <v>4.4999999999999998E-2</v>
      </c>
      <c r="G3629" s="1104">
        <f>DUB!$I$12</f>
        <v>225000</v>
      </c>
      <c r="H3629" s="1106">
        <f>G3629*F3629</f>
        <v>10125</v>
      </c>
      <c r="M3629" s="1566"/>
    </row>
    <row r="3630" spans="2:13" hidden="1">
      <c r="B3630" s="1543"/>
      <c r="C3630" s="1332"/>
      <c r="D3630" s="1331"/>
      <c r="E3630" s="1331"/>
      <c r="F3630" s="2074" t="s">
        <v>685</v>
      </c>
      <c r="G3630" s="2074"/>
      <c r="H3630" s="1106">
        <f>SUM(H3626:H3629)</f>
        <v>240075</v>
      </c>
      <c r="M3630" s="1566"/>
    </row>
    <row r="3631" spans="2:13" hidden="1">
      <c r="B3631" s="1543" t="s">
        <v>686</v>
      </c>
      <c r="C3631" s="1332" t="s">
        <v>687</v>
      </c>
      <c r="D3631" s="1331"/>
      <c r="E3631" s="1331"/>
      <c r="F3631" s="1334"/>
      <c r="G3631" s="1104"/>
      <c r="H3631" s="1106"/>
      <c r="M3631" s="1566"/>
    </row>
    <row r="3632" spans="2:13" hidden="1">
      <c r="B3632" s="1543"/>
      <c r="C3632" s="1332" t="s">
        <v>3839</v>
      </c>
      <c r="D3632" s="1331"/>
      <c r="E3632" s="1331" t="s">
        <v>743</v>
      </c>
      <c r="F3632" s="1334">
        <v>26.25</v>
      </c>
      <c r="G3632" s="1104">
        <f>DUB!$I$183</f>
        <v>2403</v>
      </c>
      <c r="H3632" s="1106">
        <f>G3632*F3632</f>
        <v>63078.75</v>
      </c>
      <c r="I3632" s="494">
        <f>(1/(0.2*0.2))*1.05</f>
        <v>26.249999999999996</v>
      </c>
      <c r="M3632" s="1566"/>
    </row>
    <row r="3633" spans="2:13" hidden="1">
      <c r="B3633" s="1543"/>
      <c r="C3633" s="1332" t="s">
        <v>818</v>
      </c>
      <c r="D3633" s="1331"/>
      <c r="E3633" s="1331" t="s">
        <v>690</v>
      </c>
      <c r="F3633" s="1334">
        <v>9.3000000000000007</v>
      </c>
      <c r="G3633" s="1104">
        <f>DUB!$I$65</f>
        <v>1575</v>
      </c>
      <c r="H3633" s="1106">
        <f>G3633*F3633</f>
        <v>14647.500000000002</v>
      </c>
      <c r="M3633" s="1566"/>
    </row>
    <row r="3634" spans="2:13" hidden="1">
      <c r="B3634" s="1543"/>
      <c r="C3634" s="1332" t="s">
        <v>808</v>
      </c>
      <c r="D3634" s="1331"/>
      <c r="E3634" s="1331" t="s">
        <v>881</v>
      </c>
      <c r="F3634" s="1334">
        <v>1.7999999999999999E-2</v>
      </c>
      <c r="G3634" s="1104">
        <f>DUB!$I$59</f>
        <v>208463</v>
      </c>
      <c r="H3634" s="1106">
        <f>G3634*F3634</f>
        <v>3752.3339999999998</v>
      </c>
      <c r="M3634" s="1566"/>
    </row>
    <row r="3635" spans="2:13" hidden="1">
      <c r="B3635" s="1543"/>
      <c r="C3635" s="1332" t="s">
        <v>1100</v>
      </c>
      <c r="D3635" s="1331"/>
      <c r="E3635" s="1331" t="s">
        <v>690</v>
      </c>
      <c r="F3635" s="1334">
        <v>1.94</v>
      </c>
      <c r="G3635" s="1104">
        <f>DUB!$I$63</f>
        <v>2750</v>
      </c>
      <c r="H3635" s="1106">
        <f>G3635*F3635</f>
        <v>5335</v>
      </c>
      <c r="M3635" s="1566"/>
    </row>
    <row r="3636" spans="2:13" hidden="1">
      <c r="B3636" s="1543"/>
      <c r="C3636" s="1125"/>
      <c r="D3636" s="1333"/>
      <c r="E3636" s="1333"/>
      <c r="F3636" s="2074" t="s">
        <v>702</v>
      </c>
      <c r="G3636" s="2074"/>
      <c r="H3636" s="1106">
        <f>SUM(H3632:H3635)</f>
        <v>86813.584000000003</v>
      </c>
      <c r="M3636" s="1566"/>
    </row>
    <row r="3637" spans="2:13" s="496" customFormat="1" hidden="1">
      <c r="B3637" s="1543" t="s">
        <v>703</v>
      </c>
      <c r="C3637" s="2075" t="s">
        <v>3764</v>
      </c>
      <c r="D3637" s="2075"/>
      <c r="E3637" s="2075"/>
      <c r="F3637" s="2075"/>
      <c r="G3637" s="2075"/>
      <c r="H3637" s="1107">
        <f>H3630+H3636</f>
        <v>326888.58400000003</v>
      </c>
      <c r="J3637" s="1559"/>
      <c r="K3637" s="1559"/>
      <c r="L3637" s="1559"/>
      <c r="M3637" s="1635"/>
    </row>
    <row r="3638" spans="2:13" s="496" customFormat="1" hidden="1">
      <c r="B3638" s="1543" t="s">
        <v>706</v>
      </c>
      <c r="C3638" s="2076" t="s">
        <v>876</v>
      </c>
      <c r="D3638" s="2076"/>
      <c r="E3638" s="2076"/>
      <c r="F3638" s="2077" t="s">
        <v>3873</v>
      </c>
      <c r="G3638" s="2077"/>
      <c r="H3638" s="1107">
        <f>H3637*0.15</f>
        <v>49033.287600000003</v>
      </c>
      <c r="J3638" s="1559"/>
      <c r="K3638" s="1559"/>
      <c r="L3638" s="1559"/>
      <c r="M3638" s="1635"/>
    </row>
    <row r="3639" spans="2:13" s="496" customFormat="1" hidden="1">
      <c r="B3639" s="1543" t="s">
        <v>708</v>
      </c>
      <c r="C3639" s="2078" t="s">
        <v>3765</v>
      </c>
      <c r="D3639" s="2078"/>
      <c r="E3639" s="2078"/>
      <c r="F3639" s="2078"/>
      <c r="G3639" s="2078"/>
      <c r="H3639" s="1107">
        <f>ROUND(SUM(H3637:H3638),2)</f>
        <v>375921.87</v>
      </c>
      <c r="I3639" s="506">
        <f>SUM(H3637:H3638)</f>
        <v>375921.87160000001</v>
      </c>
      <c r="J3639" s="1561"/>
      <c r="K3639" s="1561"/>
      <c r="L3639" s="1651"/>
      <c r="M3639" s="1635"/>
    </row>
    <row r="3640" spans="2:13" hidden="1">
      <c r="B3640" s="1129"/>
      <c r="C3640" s="1130"/>
      <c r="D3640" s="1129"/>
      <c r="E3640" s="1130"/>
      <c r="F3640" s="1131"/>
      <c r="G3640" s="1132"/>
      <c r="H3640" s="1133"/>
      <c r="I3640" s="526"/>
      <c r="J3640" s="1562"/>
      <c r="K3640" s="1562"/>
      <c r="L3640" s="1653"/>
      <c r="M3640" s="1566"/>
    </row>
    <row r="3641" spans="2:13" hidden="1">
      <c r="B3641" s="1100" t="s">
        <v>4359</v>
      </c>
      <c r="C3641" s="1232" t="s">
        <v>3840</v>
      </c>
      <c r="F3641" s="1172"/>
      <c r="G3641" s="1173"/>
      <c r="H3641" s="1133"/>
      <c r="L3641" s="1653"/>
      <c r="M3641" s="1566"/>
    </row>
    <row r="3642" spans="2:13" s="507" customFormat="1" ht="24.9" hidden="1" customHeight="1">
      <c r="B3642" s="1748" t="s">
        <v>1003</v>
      </c>
      <c r="C3642" s="1101" t="s">
        <v>1004</v>
      </c>
      <c r="D3642" s="1101" t="s">
        <v>1005</v>
      </c>
      <c r="E3642" s="1101" t="s">
        <v>1006</v>
      </c>
      <c r="F3642" s="1102" t="s">
        <v>1007</v>
      </c>
      <c r="G3642" s="1109" t="s">
        <v>2637</v>
      </c>
      <c r="H3642" s="1110" t="s">
        <v>2638</v>
      </c>
      <c r="J3642" s="1625"/>
      <c r="K3642" s="1625"/>
      <c r="L3642" s="1699"/>
      <c r="M3642" s="1570"/>
    </row>
    <row r="3643" spans="2:13" hidden="1">
      <c r="B3643" s="1543" t="s">
        <v>671</v>
      </c>
      <c r="C3643" s="1332" t="s">
        <v>672</v>
      </c>
      <c r="D3643" s="1331"/>
      <c r="E3643" s="1331"/>
      <c r="F3643" s="1334"/>
      <c r="G3643" s="1104"/>
      <c r="H3643" s="1106"/>
      <c r="L3643" s="1653"/>
      <c r="M3643" s="1566"/>
    </row>
    <row r="3644" spans="2:13" hidden="1">
      <c r="B3644" s="1543"/>
      <c r="C3644" s="1332" t="s">
        <v>673</v>
      </c>
      <c r="D3644" s="1331" t="s">
        <v>674</v>
      </c>
      <c r="E3644" s="1331" t="s">
        <v>675</v>
      </c>
      <c r="F3644" s="1334">
        <v>0.9</v>
      </c>
      <c r="G3644" s="1104">
        <f>DUB!$I$10</f>
        <v>150000</v>
      </c>
      <c r="H3644" s="1106">
        <f>G3644*F3644</f>
        <v>135000</v>
      </c>
      <c r="L3644" s="1653"/>
      <c r="M3644" s="1566"/>
    </row>
    <row r="3645" spans="2:13" hidden="1">
      <c r="B3645" s="1543"/>
      <c r="C3645" s="1332" t="s">
        <v>816</v>
      </c>
      <c r="D3645" s="1331" t="s">
        <v>678</v>
      </c>
      <c r="E3645" s="1331" t="s">
        <v>675</v>
      </c>
      <c r="F3645" s="1334">
        <v>0.45</v>
      </c>
      <c r="G3645" s="1104">
        <f>DUB!$I$11</f>
        <v>187000</v>
      </c>
      <c r="H3645" s="1106">
        <f>G3645*F3645</f>
        <v>84150</v>
      </c>
      <c r="L3645" s="1653"/>
      <c r="M3645" s="1566"/>
    </row>
    <row r="3646" spans="2:13" hidden="1">
      <c r="B3646" s="1543"/>
      <c r="C3646" s="1332" t="s">
        <v>751</v>
      </c>
      <c r="D3646" s="1331" t="s">
        <v>681</v>
      </c>
      <c r="E3646" s="1331" t="s">
        <v>675</v>
      </c>
      <c r="F3646" s="1334">
        <v>4.4999999999999998E-2</v>
      </c>
      <c r="G3646" s="1104">
        <f>DUB!$I$13</f>
        <v>240000</v>
      </c>
      <c r="H3646" s="1106">
        <f>G3646*F3646</f>
        <v>10800</v>
      </c>
      <c r="L3646" s="1653"/>
      <c r="M3646" s="1566"/>
    </row>
    <row r="3647" spans="2:13" hidden="1">
      <c r="B3647" s="1543"/>
      <c r="C3647" s="1332" t="s">
        <v>683</v>
      </c>
      <c r="D3647" s="1331" t="s">
        <v>684</v>
      </c>
      <c r="E3647" s="1331" t="s">
        <v>675</v>
      </c>
      <c r="F3647" s="1334">
        <v>4.4999999999999998E-2</v>
      </c>
      <c r="G3647" s="1104">
        <f>DUB!$I$12</f>
        <v>225000</v>
      </c>
      <c r="H3647" s="1106">
        <f>G3647*F3647</f>
        <v>10125</v>
      </c>
      <c r="L3647" s="1653"/>
      <c r="M3647" s="1566"/>
    </row>
    <row r="3648" spans="2:13" hidden="1">
      <c r="B3648" s="1543"/>
      <c r="C3648" s="1332"/>
      <c r="D3648" s="1331"/>
      <c r="E3648" s="1331"/>
      <c r="F3648" s="2074" t="s">
        <v>685</v>
      </c>
      <c r="G3648" s="2074"/>
      <c r="H3648" s="1106">
        <f>SUM(H3644:H3647)</f>
        <v>240075</v>
      </c>
      <c r="L3648" s="1653"/>
      <c r="M3648" s="1566"/>
    </row>
    <row r="3649" spans="2:13" hidden="1">
      <c r="B3649" s="1543" t="s">
        <v>686</v>
      </c>
      <c r="C3649" s="1332" t="s">
        <v>687</v>
      </c>
      <c r="D3649" s="1331"/>
      <c r="E3649" s="1331"/>
      <c r="F3649" s="1334"/>
      <c r="G3649" s="1104"/>
      <c r="H3649" s="1106"/>
      <c r="L3649" s="1653"/>
      <c r="M3649" s="1566"/>
    </row>
    <row r="3650" spans="2:13" hidden="1">
      <c r="B3650" s="1543"/>
      <c r="C3650" s="1332" t="s">
        <v>3839</v>
      </c>
      <c r="D3650" s="1331"/>
      <c r="E3650" s="1331" t="s">
        <v>743</v>
      </c>
      <c r="F3650" s="1334">
        <v>21</v>
      </c>
      <c r="G3650" s="1104">
        <f>DUB!$I$184</f>
        <v>3744</v>
      </c>
      <c r="H3650" s="1106">
        <f>G3650*F3650</f>
        <v>78624</v>
      </c>
      <c r="I3650" s="1700">
        <f>(1/(0.2*0.25))*1.05</f>
        <v>21</v>
      </c>
      <c r="J3650" s="1701"/>
      <c r="K3650" s="1701"/>
      <c r="L3650" s="1653"/>
      <c r="M3650" s="1566"/>
    </row>
    <row r="3651" spans="2:13" hidden="1">
      <c r="B3651" s="1543"/>
      <c r="C3651" s="1332" t="s">
        <v>818</v>
      </c>
      <c r="D3651" s="1331"/>
      <c r="E3651" s="1331" t="s">
        <v>690</v>
      </c>
      <c r="F3651" s="1334">
        <v>9.3000000000000007</v>
      </c>
      <c r="G3651" s="1104">
        <f>DUB!$I$65</f>
        <v>1575</v>
      </c>
      <c r="H3651" s="1106">
        <f>G3651*F3651</f>
        <v>14647.500000000002</v>
      </c>
      <c r="L3651" s="1653"/>
      <c r="M3651" s="1566"/>
    </row>
    <row r="3652" spans="2:13" hidden="1">
      <c r="B3652" s="1543"/>
      <c r="C3652" s="1332" t="s">
        <v>808</v>
      </c>
      <c r="D3652" s="1331"/>
      <c r="E3652" s="1331" t="s">
        <v>881</v>
      </c>
      <c r="F3652" s="1334">
        <v>1.7999999999999999E-2</v>
      </c>
      <c r="G3652" s="1104">
        <f>DUB!$I$59</f>
        <v>208463</v>
      </c>
      <c r="H3652" s="1106">
        <f>G3652*F3652</f>
        <v>3752.3339999999998</v>
      </c>
      <c r="L3652" s="1653"/>
      <c r="M3652" s="1566"/>
    </row>
    <row r="3653" spans="2:13" hidden="1">
      <c r="B3653" s="1543"/>
      <c r="C3653" s="1332" t="s">
        <v>1100</v>
      </c>
      <c r="D3653" s="1331"/>
      <c r="E3653" s="1331" t="s">
        <v>690</v>
      </c>
      <c r="F3653" s="1334">
        <v>1.94</v>
      </c>
      <c r="G3653" s="1104">
        <f>DUB!$I$63</f>
        <v>2750</v>
      </c>
      <c r="H3653" s="1106">
        <f>G3653*F3653</f>
        <v>5335</v>
      </c>
      <c r="L3653" s="1653"/>
      <c r="M3653" s="1566"/>
    </row>
    <row r="3654" spans="2:13" hidden="1">
      <c r="B3654" s="1543"/>
      <c r="C3654" s="1125"/>
      <c r="D3654" s="1333"/>
      <c r="E3654" s="1333"/>
      <c r="F3654" s="2074" t="s">
        <v>702</v>
      </c>
      <c r="G3654" s="2074"/>
      <c r="H3654" s="1106">
        <f>SUM(H3650:H3653)</f>
        <v>102358.834</v>
      </c>
      <c r="L3654" s="1653"/>
      <c r="M3654" s="1566"/>
    </row>
    <row r="3655" spans="2:13" s="496" customFormat="1" hidden="1">
      <c r="B3655" s="1543" t="s">
        <v>703</v>
      </c>
      <c r="C3655" s="2075" t="s">
        <v>3764</v>
      </c>
      <c r="D3655" s="2075"/>
      <c r="E3655" s="2075"/>
      <c r="F3655" s="2075"/>
      <c r="G3655" s="2075"/>
      <c r="H3655" s="1107">
        <f>H3648+H3654</f>
        <v>342433.83400000003</v>
      </c>
      <c r="J3655" s="1559"/>
      <c r="K3655" s="1559"/>
      <c r="L3655" s="1651"/>
      <c r="M3655" s="1635"/>
    </row>
    <row r="3656" spans="2:13" s="496" customFormat="1" hidden="1">
      <c r="B3656" s="1543" t="s">
        <v>706</v>
      </c>
      <c r="C3656" s="2076" t="s">
        <v>876</v>
      </c>
      <c r="D3656" s="2076"/>
      <c r="E3656" s="2076"/>
      <c r="F3656" s="2077" t="s">
        <v>3873</v>
      </c>
      <c r="G3656" s="2077"/>
      <c r="H3656" s="1107">
        <f>H3655*0.15</f>
        <v>51365.075100000002</v>
      </c>
      <c r="J3656" s="1559"/>
      <c r="K3656" s="1559"/>
      <c r="L3656" s="1651"/>
      <c r="M3656" s="1635"/>
    </row>
    <row r="3657" spans="2:13" s="496" customFormat="1" hidden="1">
      <c r="B3657" s="1543" t="s">
        <v>708</v>
      </c>
      <c r="C3657" s="2078" t="s">
        <v>3765</v>
      </c>
      <c r="D3657" s="2078"/>
      <c r="E3657" s="2078"/>
      <c r="F3657" s="2078"/>
      <c r="G3657" s="2078"/>
      <c r="H3657" s="1107">
        <f>ROUND(SUM(H3655:H3656),2)</f>
        <v>393798.91</v>
      </c>
      <c r="I3657" s="506">
        <f>SUM(H3655:H3656)</f>
        <v>393798.90910000005</v>
      </c>
      <c r="J3657" s="1561"/>
      <c r="K3657" s="1561"/>
      <c r="L3657" s="1651"/>
      <c r="M3657" s="1635"/>
    </row>
    <row r="3658" spans="2:13" hidden="1">
      <c r="B3658" s="1129"/>
      <c r="C3658" s="1130"/>
      <c r="D3658" s="1129"/>
      <c r="E3658" s="1130"/>
      <c r="F3658" s="1131"/>
      <c r="G3658" s="1132"/>
      <c r="H3658" s="1133"/>
      <c r="I3658" s="526"/>
      <c r="J3658" s="1562"/>
      <c r="K3658" s="1562"/>
      <c r="L3658" s="1653"/>
      <c r="M3658" s="1566"/>
    </row>
    <row r="3659" spans="2:13">
      <c r="B3659" s="1100" t="s">
        <v>4360</v>
      </c>
      <c r="C3659" s="1232" t="s">
        <v>3411</v>
      </c>
      <c r="F3659" s="1172"/>
      <c r="G3659" s="1173"/>
      <c r="H3659" s="1133"/>
      <c r="M3659" s="1566"/>
    </row>
    <row r="3660" spans="2:13" s="507" customFormat="1" ht="24.9" customHeight="1">
      <c r="B3660" s="1101" t="s">
        <v>1003</v>
      </c>
      <c r="C3660" s="1101" t="s">
        <v>1004</v>
      </c>
      <c r="D3660" s="1101" t="s">
        <v>1005</v>
      </c>
      <c r="E3660" s="1101" t="s">
        <v>1006</v>
      </c>
      <c r="F3660" s="1102" t="s">
        <v>1007</v>
      </c>
      <c r="G3660" s="1109" t="s">
        <v>2637</v>
      </c>
      <c r="H3660" s="1110" t="s">
        <v>2638</v>
      </c>
      <c r="I3660" s="1834"/>
      <c r="J3660" s="1823" t="s">
        <v>5335</v>
      </c>
      <c r="K3660" s="1824" t="s">
        <v>5336</v>
      </c>
      <c r="L3660" s="1824" t="s">
        <v>5337</v>
      </c>
      <c r="M3660" s="1825" t="s">
        <v>5338</v>
      </c>
    </row>
    <row r="3661" spans="2:13">
      <c r="B3661" s="1330" t="s">
        <v>671</v>
      </c>
      <c r="C3661" s="1332" t="s">
        <v>672</v>
      </c>
      <c r="D3661" s="1331"/>
      <c r="E3661" s="1331"/>
      <c r="F3661" s="1334"/>
      <c r="G3661" s="1104"/>
      <c r="H3661" s="1106"/>
      <c r="J3661" s="1597"/>
      <c r="K3661" s="1597"/>
      <c r="L3661" s="1597"/>
      <c r="M3661" s="1826"/>
    </row>
    <row r="3662" spans="2:13">
      <c r="B3662" s="1330"/>
      <c r="C3662" s="1332" t="s">
        <v>673</v>
      </c>
      <c r="D3662" s="1331" t="s">
        <v>674</v>
      </c>
      <c r="E3662" s="1331" t="s">
        <v>675</v>
      </c>
      <c r="F3662" s="1334">
        <v>0.7</v>
      </c>
      <c r="G3662" s="1104">
        <f>DUB!$I$10</f>
        <v>150000</v>
      </c>
      <c r="H3662" s="1106">
        <f>G3662*F3662</f>
        <v>105000</v>
      </c>
      <c r="J3662" s="1609" t="s">
        <v>5339</v>
      </c>
      <c r="K3662" s="1611">
        <v>1</v>
      </c>
      <c r="L3662" s="1608" t="s">
        <v>5340</v>
      </c>
      <c r="M3662" s="1827">
        <f>H3662*K3662</f>
        <v>105000</v>
      </c>
    </row>
    <row r="3663" spans="2:13">
      <c r="B3663" s="1330"/>
      <c r="C3663" s="1332" t="s">
        <v>816</v>
      </c>
      <c r="D3663" s="1331" t="s">
        <v>678</v>
      </c>
      <c r="E3663" s="1331" t="s">
        <v>675</v>
      </c>
      <c r="F3663" s="1334">
        <v>0.35</v>
      </c>
      <c r="G3663" s="1104">
        <f>DUB!$I$11</f>
        <v>187000</v>
      </c>
      <c r="H3663" s="1106">
        <f>G3663*F3663</f>
        <v>65449.999999999993</v>
      </c>
      <c r="J3663" s="1609" t="s">
        <v>5339</v>
      </c>
      <c r="K3663" s="1611">
        <v>1</v>
      </c>
      <c r="L3663" s="1608" t="s">
        <v>5340</v>
      </c>
      <c r="M3663" s="1827">
        <f t="shared" ref="M3663" si="91">H3663*K3663</f>
        <v>65449.999999999993</v>
      </c>
    </row>
    <row r="3664" spans="2:13">
      <c r="B3664" s="1330"/>
      <c r="C3664" s="1332" t="s">
        <v>751</v>
      </c>
      <c r="D3664" s="1331" t="s">
        <v>681</v>
      </c>
      <c r="E3664" s="1331" t="s">
        <v>675</v>
      </c>
      <c r="F3664" s="1334">
        <v>3.5000000000000003E-2</v>
      </c>
      <c r="G3664" s="1104">
        <f>DUB!$I$13</f>
        <v>240000</v>
      </c>
      <c r="H3664" s="1106">
        <f>G3664*F3664</f>
        <v>8400</v>
      </c>
      <c r="J3664" s="1609" t="s">
        <v>5339</v>
      </c>
      <c r="K3664" s="1611">
        <v>1</v>
      </c>
      <c r="L3664" s="1608" t="s">
        <v>5340</v>
      </c>
      <c r="M3664" s="1827">
        <f>H3664*K3664</f>
        <v>8400</v>
      </c>
    </row>
    <row r="3665" spans="2:13">
      <c r="B3665" s="1330"/>
      <c r="C3665" s="1332" t="s">
        <v>683</v>
      </c>
      <c r="D3665" s="1331" t="s">
        <v>684</v>
      </c>
      <c r="E3665" s="1331" t="s">
        <v>675</v>
      </c>
      <c r="F3665" s="1334">
        <v>3.5000000000000003E-2</v>
      </c>
      <c r="G3665" s="1104">
        <f>DUB!$I$12</f>
        <v>225000</v>
      </c>
      <c r="H3665" s="1106">
        <f>G3665*F3665</f>
        <v>7875.0000000000009</v>
      </c>
      <c r="J3665" s="1609" t="s">
        <v>5339</v>
      </c>
      <c r="K3665" s="1611">
        <v>1</v>
      </c>
      <c r="L3665" s="1608" t="s">
        <v>5340</v>
      </c>
      <c r="M3665" s="1827">
        <f t="shared" ref="M3665" si="92">H3665*K3665</f>
        <v>7875.0000000000009</v>
      </c>
    </row>
    <row r="3666" spans="2:13">
      <c r="B3666" s="1330"/>
      <c r="C3666" s="1332"/>
      <c r="D3666" s="1331"/>
      <c r="E3666" s="1331"/>
      <c r="F3666" s="2074" t="s">
        <v>685</v>
      </c>
      <c r="G3666" s="2074"/>
      <c r="H3666" s="1106">
        <f>SUM(H3662:H3665)</f>
        <v>186725</v>
      </c>
      <c r="J3666" s="1597"/>
      <c r="K3666" s="1597"/>
      <c r="L3666" s="1597"/>
      <c r="M3666" s="1107">
        <f>SUM(M3662:M3665)</f>
        <v>186725</v>
      </c>
    </row>
    <row r="3667" spans="2:13">
      <c r="B3667" s="1330" t="s">
        <v>686</v>
      </c>
      <c r="C3667" s="1332" t="s">
        <v>687</v>
      </c>
      <c r="D3667" s="1331"/>
      <c r="E3667" s="1331"/>
      <c r="F3667" s="1334"/>
      <c r="G3667" s="1104"/>
      <c r="H3667" s="1106"/>
      <c r="J3667" s="1597"/>
      <c r="K3667" s="1597"/>
      <c r="L3667" s="1597"/>
      <c r="M3667" s="1826"/>
    </row>
    <row r="3668" spans="2:13">
      <c r="B3668" s="1330"/>
      <c r="C3668" s="1332" t="s">
        <v>3839</v>
      </c>
      <c r="D3668" s="1331"/>
      <c r="E3668" s="1331" t="s">
        <v>743</v>
      </c>
      <c r="F3668" s="1334">
        <v>12</v>
      </c>
      <c r="G3668" s="1104">
        <f>DUB!$I$185</f>
        <v>10226</v>
      </c>
      <c r="H3668" s="1106">
        <f>G3668*F3668</f>
        <v>122712</v>
      </c>
      <c r="I3668" s="494">
        <f>(1/(0.2*0.4))*1.05</f>
        <v>13.124999999999998</v>
      </c>
      <c r="J3668" s="1634" t="s">
        <v>4925</v>
      </c>
      <c r="K3668" s="1611">
        <v>0.70399999999999996</v>
      </c>
      <c r="L3668" s="1607" t="s">
        <v>5343</v>
      </c>
      <c r="M3668" s="1827">
        <f>H3668*K3668</f>
        <v>86389.247999999992</v>
      </c>
    </row>
    <row r="3669" spans="2:13">
      <c r="B3669" s="1330"/>
      <c r="C3669" s="1332" t="s">
        <v>818</v>
      </c>
      <c r="D3669" s="1331"/>
      <c r="E3669" s="1331" t="s">
        <v>690</v>
      </c>
      <c r="F3669" s="1334">
        <v>1.1399999999999999</v>
      </c>
      <c r="G3669" s="1104">
        <f>DUB!$I$65</f>
        <v>1575</v>
      </c>
      <c r="H3669" s="1106">
        <f>G3669*F3669</f>
        <v>1795.4999999999998</v>
      </c>
      <c r="J3669" s="1634" t="s">
        <v>4925</v>
      </c>
      <c r="K3669" s="1611">
        <v>0.97009999999999996</v>
      </c>
      <c r="L3669" s="1607" t="s">
        <v>5343</v>
      </c>
      <c r="M3669" s="1827">
        <f>H3669*K3669</f>
        <v>1741.8145499999996</v>
      </c>
    </row>
    <row r="3670" spans="2:13">
      <c r="B3670" s="1330"/>
      <c r="C3670" s="1332" t="s">
        <v>808</v>
      </c>
      <c r="D3670" s="1331"/>
      <c r="E3670" s="1331" t="s">
        <v>881</v>
      </c>
      <c r="F3670" s="1334">
        <v>1.7999999999999999E-2</v>
      </c>
      <c r="G3670" s="1104">
        <f>DUB!$I$59</f>
        <v>208463</v>
      </c>
      <c r="H3670" s="1106">
        <f>G3670*F3670</f>
        <v>3752.3339999999998</v>
      </c>
      <c r="J3670" s="1642" t="s">
        <v>4925</v>
      </c>
      <c r="K3670" s="1611">
        <v>1</v>
      </c>
      <c r="L3670" s="1607" t="s">
        <v>5341</v>
      </c>
      <c r="M3670" s="1827">
        <f t="shared" ref="M3670:M3671" si="93">H3670*K3670</f>
        <v>3752.3339999999998</v>
      </c>
    </row>
    <row r="3671" spans="2:13">
      <c r="B3671" s="1330"/>
      <c r="C3671" s="1332" t="s">
        <v>1100</v>
      </c>
      <c r="D3671" s="1331"/>
      <c r="E3671" s="1331" t="s">
        <v>690</v>
      </c>
      <c r="F3671" s="1334">
        <v>0.1</v>
      </c>
      <c r="G3671" s="1104">
        <f>DUB!$I$63</f>
        <v>2750</v>
      </c>
      <c r="H3671" s="1106">
        <f>G3671*F3671</f>
        <v>275</v>
      </c>
      <c r="J3671" s="1607" t="s">
        <v>5341</v>
      </c>
      <c r="K3671" s="1611">
        <v>0.52749999999999997</v>
      </c>
      <c r="L3671" s="1607" t="s">
        <v>5343</v>
      </c>
      <c r="M3671" s="1827">
        <f t="shared" si="93"/>
        <v>145.0625</v>
      </c>
    </row>
    <row r="3672" spans="2:13">
      <c r="B3672" s="1330"/>
      <c r="C3672" s="1125"/>
      <c r="D3672" s="1333"/>
      <c r="E3672" s="1333"/>
      <c r="F3672" s="2074" t="s">
        <v>702</v>
      </c>
      <c r="G3672" s="2074"/>
      <c r="H3672" s="1106">
        <f>SUM(H3668:H3671)</f>
        <v>128534.834</v>
      </c>
      <c r="J3672" s="1597"/>
      <c r="K3672" s="1597"/>
      <c r="L3672" s="1597"/>
      <c r="M3672" s="1106">
        <f>SUM(M3668:M3671)</f>
        <v>92028.45904999999</v>
      </c>
    </row>
    <row r="3673" spans="2:13" s="496" customFormat="1">
      <c r="B3673" s="1330" t="s">
        <v>703</v>
      </c>
      <c r="C3673" s="2075" t="s">
        <v>3764</v>
      </c>
      <c r="D3673" s="2075"/>
      <c r="E3673" s="2075"/>
      <c r="F3673" s="2075"/>
      <c r="G3673" s="2075"/>
      <c r="H3673" s="1107">
        <f>H3666+H3672</f>
        <v>315259.83400000003</v>
      </c>
      <c r="J3673" s="1600"/>
      <c r="K3673" s="1633">
        <f>M3673/H3673</f>
        <v>0.88420226425038329</v>
      </c>
      <c r="L3673" s="1600"/>
      <c r="M3673" s="1107">
        <f>M3666+M3672</f>
        <v>278753.45905</v>
      </c>
    </row>
    <row r="3674" spans="2:13" s="496" customFormat="1">
      <c r="B3674" s="1330" t="s">
        <v>706</v>
      </c>
      <c r="C3674" s="2076" t="s">
        <v>876</v>
      </c>
      <c r="D3674" s="2076"/>
      <c r="E3674" s="2076"/>
      <c r="F3674" s="2077" t="s">
        <v>3873</v>
      </c>
      <c r="G3674" s="2077"/>
      <c r="H3674" s="1107">
        <f>H3673*0.15</f>
        <v>47288.975100000003</v>
      </c>
      <c r="J3674" s="1600"/>
      <c r="K3674" s="1600"/>
      <c r="L3674" s="1600"/>
      <c r="M3674" s="1107">
        <f>M3673*0.15</f>
        <v>41813.018857499999</v>
      </c>
    </row>
    <row r="3675" spans="2:13" s="496" customFormat="1">
      <c r="B3675" s="1330" t="s">
        <v>708</v>
      </c>
      <c r="C3675" s="2078" t="s">
        <v>3765</v>
      </c>
      <c r="D3675" s="2078"/>
      <c r="E3675" s="2078"/>
      <c r="F3675" s="2078"/>
      <c r="G3675" s="2078"/>
      <c r="H3675" s="1107">
        <f>ROUND(SUM(H3673:H3674),2)</f>
        <v>362548.81</v>
      </c>
      <c r="I3675" s="506">
        <f>SUM(H3673:H3674)</f>
        <v>362548.80910000001</v>
      </c>
      <c r="J3675" s="1636"/>
      <c r="K3675" s="1636"/>
      <c r="L3675" s="1637"/>
      <c r="M3675" s="1919">
        <f>ROUND(SUM(M3673:M3674),2)</f>
        <v>320566.48</v>
      </c>
    </row>
    <row r="3676" spans="2:13">
      <c r="B3676" s="1129"/>
      <c r="C3676" s="1130"/>
      <c r="D3676" s="1129"/>
      <c r="E3676" s="1129"/>
      <c r="F3676" s="1131"/>
      <c r="G3676" s="1132"/>
      <c r="H3676" s="1115"/>
      <c r="M3676" s="1566"/>
    </row>
    <row r="3677" spans="2:13" hidden="1">
      <c r="B3677" s="1100" t="s">
        <v>4056</v>
      </c>
      <c r="C3677" s="1232" t="s">
        <v>3847</v>
      </c>
      <c r="F3677" s="1172"/>
      <c r="G3677" s="1173"/>
      <c r="H3677" s="1133"/>
      <c r="M3677" s="1566"/>
    </row>
    <row r="3678" spans="2:13" s="507" customFormat="1" ht="24.9" hidden="1" customHeight="1">
      <c r="B3678" s="1748" t="s">
        <v>1003</v>
      </c>
      <c r="C3678" s="1101" t="s">
        <v>1004</v>
      </c>
      <c r="D3678" s="1101" t="s">
        <v>1005</v>
      </c>
      <c r="E3678" s="1101" t="s">
        <v>1006</v>
      </c>
      <c r="F3678" s="1102" t="s">
        <v>1007</v>
      </c>
      <c r="G3678" s="1109" t="s">
        <v>2637</v>
      </c>
      <c r="H3678" s="1110" t="s">
        <v>2638</v>
      </c>
      <c r="J3678" s="1625"/>
      <c r="K3678" s="1625"/>
      <c r="L3678" s="1625"/>
      <c r="M3678" s="1570"/>
    </row>
    <row r="3679" spans="2:13" hidden="1">
      <c r="B3679" s="1543" t="s">
        <v>671</v>
      </c>
      <c r="C3679" s="1332" t="s">
        <v>672</v>
      </c>
      <c r="D3679" s="1331"/>
      <c r="E3679" s="1331"/>
      <c r="F3679" s="1334"/>
      <c r="G3679" s="1104"/>
      <c r="H3679" s="1106"/>
      <c r="M3679" s="1566"/>
    </row>
    <row r="3680" spans="2:13" hidden="1">
      <c r="B3680" s="1543"/>
      <c r="C3680" s="1332" t="s">
        <v>673</v>
      </c>
      <c r="D3680" s="1331" t="s">
        <v>674</v>
      </c>
      <c r="E3680" s="1331" t="s">
        <v>675</v>
      </c>
      <c r="F3680" s="1334">
        <v>0.9</v>
      </c>
      <c r="G3680" s="1104">
        <f>DUB!$I$10</f>
        <v>150000</v>
      </c>
      <c r="H3680" s="1106">
        <f>G3680*F3680</f>
        <v>135000</v>
      </c>
      <c r="M3680" s="1566"/>
    </row>
    <row r="3681" spans="2:13" hidden="1">
      <c r="B3681" s="1543"/>
      <c r="C3681" s="1332" t="s">
        <v>816</v>
      </c>
      <c r="D3681" s="1331" t="s">
        <v>678</v>
      </c>
      <c r="E3681" s="1331" t="s">
        <v>675</v>
      </c>
      <c r="F3681" s="1334">
        <v>0.45</v>
      </c>
      <c r="G3681" s="1104">
        <f>DUB!$I$11</f>
        <v>187000</v>
      </c>
      <c r="H3681" s="1106">
        <f>G3681*F3681</f>
        <v>84150</v>
      </c>
      <c r="M3681" s="1566"/>
    </row>
    <row r="3682" spans="2:13" hidden="1">
      <c r="B3682" s="1543"/>
      <c r="C3682" s="1332" t="s">
        <v>751</v>
      </c>
      <c r="D3682" s="1331" t="s">
        <v>681</v>
      </c>
      <c r="E3682" s="1331" t="s">
        <v>675</v>
      </c>
      <c r="F3682" s="1334">
        <v>4.4999999999999998E-2</v>
      </c>
      <c r="G3682" s="1104">
        <f>DUB!$I$13</f>
        <v>240000</v>
      </c>
      <c r="H3682" s="1106">
        <f>G3682*F3682</f>
        <v>10800</v>
      </c>
      <c r="M3682" s="1566"/>
    </row>
    <row r="3683" spans="2:13" hidden="1">
      <c r="B3683" s="1543"/>
      <c r="C3683" s="1332" t="s">
        <v>683</v>
      </c>
      <c r="D3683" s="1331" t="s">
        <v>684</v>
      </c>
      <c r="E3683" s="1331" t="s">
        <v>675</v>
      </c>
      <c r="F3683" s="1334">
        <v>4.4999999999999998E-2</v>
      </c>
      <c r="G3683" s="1104">
        <f>DUB!$I$12</f>
        <v>225000</v>
      </c>
      <c r="H3683" s="1106">
        <f>G3683*F3683</f>
        <v>10125</v>
      </c>
      <c r="M3683" s="1566"/>
    </row>
    <row r="3684" spans="2:13" hidden="1">
      <c r="B3684" s="1543"/>
      <c r="C3684" s="1332"/>
      <c r="D3684" s="1331"/>
      <c r="E3684" s="1331"/>
      <c r="F3684" s="2074" t="s">
        <v>685</v>
      </c>
      <c r="G3684" s="2074"/>
      <c r="H3684" s="1106">
        <f>SUM(H3680:H3683)</f>
        <v>240075</v>
      </c>
      <c r="M3684" s="1566"/>
    </row>
    <row r="3685" spans="2:13" hidden="1">
      <c r="B3685" s="1543" t="s">
        <v>686</v>
      </c>
      <c r="C3685" s="1332" t="s">
        <v>687</v>
      </c>
      <c r="D3685" s="1331"/>
      <c r="E3685" s="1331"/>
      <c r="F3685" s="1334"/>
      <c r="G3685" s="1104"/>
      <c r="H3685" s="1106"/>
      <c r="M3685" s="1566"/>
    </row>
    <row r="3686" spans="2:13" hidden="1">
      <c r="B3686" s="1543"/>
      <c r="C3686" s="1332" t="s">
        <v>3839</v>
      </c>
      <c r="D3686" s="1331"/>
      <c r="E3686" s="1331" t="s">
        <v>743</v>
      </c>
      <c r="F3686" s="1334">
        <v>10.5</v>
      </c>
      <c r="G3686" s="1104">
        <f>DUB!$I$191</f>
        <v>9369</v>
      </c>
      <c r="H3686" s="1106">
        <f>G3686*F3686</f>
        <v>98374.5</v>
      </c>
      <c r="I3686" s="494">
        <f>(1/(0.25*0.4))*1.05</f>
        <v>10.5</v>
      </c>
      <c r="M3686" s="1566"/>
    </row>
    <row r="3687" spans="2:13" hidden="1">
      <c r="B3687" s="1543"/>
      <c r="C3687" s="1332" t="s">
        <v>818</v>
      </c>
      <c r="D3687" s="1331"/>
      <c r="E3687" s="1331" t="s">
        <v>690</v>
      </c>
      <c r="F3687" s="1334">
        <v>9.3000000000000007</v>
      </c>
      <c r="G3687" s="1104">
        <f>DUB!$I$65</f>
        <v>1575</v>
      </c>
      <c r="H3687" s="1106">
        <f>G3687*F3687</f>
        <v>14647.500000000002</v>
      </c>
      <c r="M3687" s="1566"/>
    </row>
    <row r="3688" spans="2:13" hidden="1">
      <c r="B3688" s="1543"/>
      <c r="C3688" s="1332" t="s">
        <v>808</v>
      </c>
      <c r="D3688" s="1331"/>
      <c r="E3688" s="1331" t="s">
        <v>881</v>
      </c>
      <c r="F3688" s="1334">
        <v>1.7999999999999999E-2</v>
      </c>
      <c r="G3688" s="1104">
        <f>DUB!$I$59</f>
        <v>208463</v>
      </c>
      <c r="H3688" s="1106">
        <f>G3688*F3688</f>
        <v>3752.3339999999998</v>
      </c>
      <c r="M3688" s="1566"/>
    </row>
    <row r="3689" spans="2:13" hidden="1">
      <c r="B3689" s="1543"/>
      <c r="C3689" s="1332" t="s">
        <v>1100</v>
      </c>
      <c r="D3689" s="1331"/>
      <c r="E3689" s="1331" t="s">
        <v>690</v>
      </c>
      <c r="F3689" s="1334">
        <v>1.94</v>
      </c>
      <c r="G3689" s="1104">
        <f>DUB!$I$63</f>
        <v>2750</v>
      </c>
      <c r="H3689" s="1106">
        <f>G3689*F3689</f>
        <v>5335</v>
      </c>
      <c r="M3689" s="1566"/>
    </row>
    <row r="3690" spans="2:13" hidden="1">
      <c r="B3690" s="1543"/>
      <c r="C3690" s="1125"/>
      <c r="D3690" s="1333"/>
      <c r="E3690" s="1333"/>
      <c r="F3690" s="2074" t="s">
        <v>702</v>
      </c>
      <c r="G3690" s="2074"/>
      <c r="H3690" s="1106">
        <f>SUM(H3686:H3689)</f>
        <v>122109.334</v>
      </c>
      <c r="M3690" s="1566"/>
    </row>
    <row r="3691" spans="2:13" s="496" customFormat="1" hidden="1">
      <c r="B3691" s="1543" t="s">
        <v>703</v>
      </c>
      <c r="C3691" s="2075" t="s">
        <v>3764</v>
      </c>
      <c r="D3691" s="2075"/>
      <c r="E3691" s="2075"/>
      <c r="F3691" s="2075"/>
      <c r="G3691" s="2075"/>
      <c r="H3691" s="1107">
        <f>H3684+H3690</f>
        <v>362184.33400000003</v>
      </c>
      <c r="J3691" s="1559"/>
      <c r="K3691" s="1559"/>
      <c r="L3691" s="1559"/>
      <c r="M3691" s="1635"/>
    </row>
    <row r="3692" spans="2:13" s="496" customFormat="1" hidden="1">
      <c r="B3692" s="1543" t="s">
        <v>706</v>
      </c>
      <c r="C3692" s="2076" t="s">
        <v>876</v>
      </c>
      <c r="D3692" s="2076"/>
      <c r="E3692" s="2076"/>
      <c r="F3692" s="2077" t="s">
        <v>3873</v>
      </c>
      <c r="G3692" s="2077"/>
      <c r="H3692" s="1107">
        <f>H3691*0.15</f>
        <v>54327.650100000006</v>
      </c>
      <c r="J3692" s="1559"/>
      <c r="K3692" s="1559"/>
      <c r="L3692" s="1559"/>
      <c r="M3692" s="1635"/>
    </row>
    <row r="3693" spans="2:13" s="496" customFormat="1" hidden="1">
      <c r="B3693" s="1543" t="s">
        <v>708</v>
      </c>
      <c r="C3693" s="2078" t="s">
        <v>3765</v>
      </c>
      <c r="D3693" s="2078"/>
      <c r="E3693" s="2078"/>
      <c r="F3693" s="2078"/>
      <c r="G3693" s="2078"/>
      <c r="H3693" s="1107">
        <f>ROUND(SUM(H3691:H3692),2)</f>
        <v>416511.98</v>
      </c>
      <c r="I3693" s="506">
        <f>SUM(H3691:H3692)</f>
        <v>416511.98410000006</v>
      </c>
      <c r="J3693" s="1561"/>
      <c r="K3693" s="1561"/>
      <c r="L3693" s="1559"/>
      <c r="M3693" s="1635"/>
    </row>
    <row r="3694" spans="2:13" hidden="1">
      <c r="B3694" s="1129"/>
      <c r="C3694" s="1130"/>
      <c r="D3694" s="1129"/>
      <c r="E3694" s="1129"/>
      <c r="F3694" s="1131"/>
      <c r="G3694" s="1132"/>
      <c r="H3694" s="1115"/>
      <c r="M3694" s="1566"/>
    </row>
    <row r="3695" spans="2:13" hidden="1">
      <c r="B3695" s="1100" t="s">
        <v>4057</v>
      </c>
      <c r="C3695" s="1232" t="s">
        <v>4361</v>
      </c>
      <c r="F3695" s="1172"/>
      <c r="G3695" s="1173"/>
      <c r="H3695" s="1133"/>
      <c r="M3695" s="1566"/>
    </row>
    <row r="3696" spans="2:13" ht="24.9" hidden="1" customHeight="1">
      <c r="B3696" s="1748" t="s">
        <v>1003</v>
      </c>
      <c r="C3696" s="1101" t="s">
        <v>1004</v>
      </c>
      <c r="D3696" s="1101" t="s">
        <v>1005</v>
      </c>
      <c r="E3696" s="1101" t="s">
        <v>1006</v>
      </c>
      <c r="F3696" s="1102" t="s">
        <v>1007</v>
      </c>
      <c r="G3696" s="1109" t="s">
        <v>2637</v>
      </c>
      <c r="H3696" s="1110" t="s">
        <v>2638</v>
      </c>
      <c r="M3696" s="1566"/>
    </row>
    <row r="3697" spans="2:13" hidden="1">
      <c r="B3697" s="1543" t="s">
        <v>671</v>
      </c>
      <c r="C3697" s="1332" t="s">
        <v>672</v>
      </c>
      <c r="D3697" s="1331"/>
      <c r="E3697" s="1331"/>
      <c r="F3697" s="1334"/>
      <c r="G3697" s="1104"/>
      <c r="H3697" s="1106"/>
      <c r="M3697" s="1566"/>
    </row>
    <row r="3698" spans="2:13" hidden="1">
      <c r="B3698" s="1543"/>
      <c r="C3698" s="1332" t="s">
        <v>673</v>
      </c>
      <c r="D3698" s="1331" t="s">
        <v>674</v>
      </c>
      <c r="E3698" s="1331" t="s">
        <v>675</v>
      </c>
      <c r="F3698" s="1334">
        <v>0.9</v>
      </c>
      <c r="G3698" s="1104">
        <f>DUB!$I$10</f>
        <v>150000</v>
      </c>
      <c r="H3698" s="1106">
        <f>G3698*F3698</f>
        <v>135000</v>
      </c>
      <c r="M3698" s="1566"/>
    </row>
    <row r="3699" spans="2:13" hidden="1">
      <c r="B3699" s="1543"/>
      <c r="C3699" s="1332" t="s">
        <v>816</v>
      </c>
      <c r="D3699" s="1331" t="s">
        <v>678</v>
      </c>
      <c r="E3699" s="1331" t="s">
        <v>675</v>
      </c>
      <c r="F3699" s="1334">
        <v>0.45</v>
      </c>
      <c r="G3699" s="1104">
        <f>DUB!$I$11</f>
        <v>187000</v>
      </c>
      <c r="H3699" s="1106">
        <f>G3699*F3699</f>
        <v>84150</v>
      </c>
      <c r="M3699" s="1566"/>
    </row>
    <row r="3700" spans="2:13" hidden="1">
      <c r="B3700" s="1543"/>
      <c r="C3700" s="1332" t="s">
        <v>751</v>
      </c>
      <c r="D3700" s="1331" t="s">
        <v>681</v>
      </c>
      <c r="E3700" s="1331" t="s">
        <v>675</v>
      </c>
      <c r="F3700" s="1334">
        <v>4.4999999999999998E-2</v>
      </c>
      <c r="G3700" s="1104">
        <f>DUB!$I$13</f>
        <v>240000</v>
      </c>
      <c r="H3700" s="1106">
        <f>G3700*F3700</f>
        <v>10800</v>
      </c>
      <c r="M3700" s="1566"/>
    </row>
    <row r="3701" spans="2:13" hidden="1">
      <c r="B3701" s="1543"/>
      <c r="C3701" s="1332" t="s">
        <v>683</v>
      </c>
      <c r="D3701" s="1331" t="s">
        <v>684</v>
      </c>
      <c r="E3701" s="1331" t="s">
        <v>675</v>
      </c>
      <c r="F3701" s="1334">
        <v>4.4999999999999998E-2</v>
      </c>
      <c r="G3701" s="1104">
        <f>DUB!$I$12</f>
        <v>225000</v>
      </c>
      <c r="H3701" s="1106">
        <f>G3701*F3701</f>
        <v>10125</v>
      </c>
      <c r="M3701" s="1566"/>
    </row>
    <row r="3702" spans="2:13" hidden="1">
      <c r="B3702" s="1543"/>
      <c r="C3702" s="1332"/>
      <c r="D3702" s="1331"/>
      <c r="E3702" s="1331"/>
      <c r="F3702" s="2074" t="s">
        <v>685</v>
      </c>
      <c r="G3702" s="2074"/>
      <c r="H3702" s="1106">
        <f>SUM(H3698:H3701)</f>
        <v>240075</v>
      </c>
      <c r="M3702" s="1566"/>
    </row>
    <row r="3703" spans="2:13" hidden="1">
      <c r="B3703" s="1543" t="s">
        <v>686</v>
      </c>
      <c r="C3703" s="1332" t="s">
        <v>687</v>
      </c>
      <c r="D3703" s="1331"/>
      <c r="E3703" s="1331"/>
      <c r="F3703" s="1334"/>
      <c r="G3703" s="1104"/>
      <c r="H3703" s="1106"/>
      <c r="M3703" s="1566"/>
    </row>
    <row r="3704" spans="2:13" hidden="1">
      <c r="B3704" s="1543"/>
      <c r="C3704" s="1332" t="s">
        <v>3839</v>
      </c>
      <c r="D3704" s="1331"/>
      <c r="E3704" s="1331" t="s">
        <v>743</v>
      </c>
      <c r="F3704" s="1334">
        <v>5.8330000000000002</v>
      </c>
      <c r="G3704" s="1104">
        <f>DUB!$I$187</f>
        <v>25380</v>
      </c>
      <c r="H3704" s="1106">
        <f>G3704*F3704</f>
        <v>148041.54</v>
      </c>
      <c r="M3704" s="1566"/>
    </row>
    <row r="3705" spans="2:13" hidden="1">
      <c r="B3705" s="1543"/>
      <c r="C3705" s="1332" t="s">
        <v>818</v>
      </c>
      <c r="D3705" s="1331"/>
      <c r="E3705" s="1331" t="s">
        <v>690</v>
      </c>
      <c r="F3705" s="1334">
        <v>9.3000000000000007</v>
      </c>
      <c r="G3705" s="1104">
        <f>DUB!$I$65</f>
        <v>1575</v>
      </c>
      <c r="H3705" s="1106">
        <f>G3705*F3705</f>
        <v>14647.500000000002</v>
      </c>
      <c r="M3705" s="1566"/>
    </row>
    <row r="3706" spans="2:13" hidden="1">
      <c r="B3706" s="1543"/>
      <c r="C3706" s="1332" t="s">
        <v>808</v>
      </c>
      <c r="D3706" s="1331"/>
      <c r="E3706" s="1331" t="s">
        <v>881</v>
      </c>
      <c r="F3706" s="1334">
        <v>1.7999999999999999E-2</v>
      </c>
      <c r="G3706" s="1104">
        <f>DUB!$I$59</f>
        <v>208463</v>
      </c>
      <c r="H3706" s="1106">
        <f>G3706*F3706</f>
        <v>3752.3339999999998</v>
      </c>
      <c r="M3706" s="1566"/>
    </row>
    <row r="3707" spans="2:13" hidden="1">
      <c r="B3707" s="1543"/>
      <c r="C3707" s="1332" t="s">
        <v>1100</v>
      </c>
      <c r="D3707" s="1331"/>
      <c r="E3707" s="1331" t="s">
        <v>690</v>
      </c>
      <c r="F3707" s="1334">
        <v>1.94</v>
      </c>
      <c r="G3707" s="1104">
        <f>DUB!$I$63</f>
        <v>2750</v>
      </c>
      <c r="H3707" s="1106">
        <f>G3707*F3707</f>
        <v>5335</v>
      </c>
      <c r="M3707" s="1566"/>
    </row>
    <row r="3708" spans="2:13" hidden="1">
      <c r="B3708" s="1543"/>
      <c r="C3708" s="1125"/>
      <c r="D3708" s="1333"/>
      <c r="E3708" s="1333"/>
      <c r="F3708" s="2074" t="s">
        <v>702</v>
      </c>
      <c r="G3708" s="2074"/>
      <c r="H3708" s="1106">
        <f>SUM(H3704:H3707)</f>
        <v>171776.37400000001</v>
      </c>
      <c r="M3708" s="1566"/>
    </row>
    <row r="3709" spans="2:13" hidden="1">
      <c r="B3709" s="1543" t="s">
        <v>703</v>
      </c>
      <c r="C3709" s="2075" t="s">
        <v>3764</v>
      </c>
      <c r="D3709" s="2075"/>
      <c r="E3709" s="2075"/>
      <c r="F3709" s="2075"/>
      <c r="G3709" s="2075"/>
      <c r="H3709" s="1107">
        <f>H3702+H3708</f>
        <v>411851.37400000001</v>
      </c>
      <c r="M3709" s="1566"/>
    </row>
    <row r="3710" spans="2:13" hidden="1">
      <c r="B3710" s="1543" t="s">
        <v>706</v>
      </c>
      <c r="C3710" s="2076" t="s">
        <v>876</v>
      </c>
      <c r="D3710" s="2076"/>
      <c r="E3710" s="2076"/>
      <c r="F3710" s="2077" t="s">
        <v>3873</v>
      </c>
      <c r="G3710" s="2077"/>
      <c r="H3710" s="1107">
        <f>H3709*0.15</f>
        <v>61777.706099999996</v>
      </c>
      <c r="M3710" s="1566"/>
    </row>
    <row r="3711" spans="2:13" hidden="1">
      <c r="B3711" s="1543" t="s">
        <v>708</v>
      </c>
      <c r="C3711" s="2078" t="s">
        <v>3765</v>
      </c>
      <c r="D3711" s="2078"/>
      <c r="E3711" s="2078"/>
      <c r="F3711" s="2078"/>
      <c r="G3711" s="2078"/>
      <c r="H3711" s="1107">
        <f>ROUND(SUM(H3709:H3710),2)</f>
        <v>473629.08</v>
      </c>
      <c r="M3711" s="1566"/>
    </row>
    <row r="3712" spans="2:13" hidden="1">
      <c r="B3712" s="1129"/>
      <c r="C3712" s="1130"/>
      <c r="D3712" s="1129"/>
      <c r="E3712" s="1129"/>
      <c r="F3712" s="1131"/>
      <c r="G3712" s="1132"/>
      <c r="H3712" s="1115"/>
      <c r="M3712" s="1566"/>
    </row>
    <row r="3713" spans="2:13" hidden="1">
      <c r="B3713" s="1100" t="s">
        <v>4058</v>
      </c>
      <c r="C3713" s="1232" t="s">
        <v>4362</v>
      </c>
      <c r="F3713" s="1172"/>
      <c r="G3713" s="1173"/>
      <c r="H3713" s="1133"/>
      <c r="M3713" s="1566"/>
    </row>
    <row r="3714" spans="2:13" ht="24.9" hidden="1" customHeight="1">
      <c r="B3714" s="1748" t="s">
        <v>1003</v>
      </c>
      <c r="C3714" s="1101" t="s">
        <v>1004</v>
      </c>
      <c r="D3714" s="1101" t="s">
        <v>1005</v>
      </c>
      <c r="E3714" s="1101" t="s">
        <v>1006</v>
      </c>
      <c r="F3714" s="1102" t="s">
        <v>1007</v>
      </c>
      <c r="G3714" s="1109" t="s">
        <v>2637</v>
      </c>
      <c r="H3714" s="1110" t="s">
        <v>2638</v>
      </c>
      <c r="M3714" s="1566"/>
    </row>
    <row r="3715" spans="2:13" hidden="1">
      <c r="B3715" s="1543" t="s">
        <v>671</v>
      </c>
      <c r="C3715" s="1332" t="s">
        <v>672</v>
      </c>
      <c r="D3715" s="1331"/>
      <c r="E3715" s="1331"/>
      <c r="F3715" s="1334"/>
      <c r="G3715" s="1104"/>
      <c r="H3715" s="1106"/>
      <c r="M3715" s="1566"/>
    </row>
    <row r="3716" spans="2:13" hidden="1">
      <c r="B3716" s="1543"/>
      <c r="C3716" s="1332" t="s">
        <v>673</v>
      </c>
      <c r="D3716" s="1331" t="s">
        <v>674</v>
      </c>
      <c r="E3716" s="1331" t="s">
        <v>675</v>
      </c>
      <c r="F3716" s="1334">
        <v>0.9</v>
      </c>
      <c r="G3716" s="1104">
        <f>DUB!$I$10</f>
        <v>150000</v>
      </c>
      <c r="H3716" s="1106">
        <f>G3716*F3716</f>
        <v>135000</v>
      </c>
      <c r="M3716" s="1566"/>
    </row>
    <row r="3717" spans="2:13" hidden="1">
      <c r="B3717" s="1543"/>
      <c r="C3717" s="1332" t="s">
        <v>816</v>
      </c>
      <c r="D3717" s="1331" t="s">
        <v>678</v>
      </c>
      <c r="E3717" s="1331" t="s">
        <v>675</v>
      </c>
      <c r="F3717" s="1334">
        <v>0.45</v>
      </c>
      <c r="G3717" s="1104">
        <f>DUB!$I$11</f>
        <v>187000</v>
      </c>
      <c r="H3717" s="1106">
        <f>G3717*F3717</f>
        <v>84150</v>
      </c>
      <c r="M3717" s="1566"/>
    </row>
    <row r="3718" spans="2:13" hidden="1">
      <c r="B3718" s="1543"/>
      <c r="C3718" s="1332" t="s">
        <v>751</v>
      </c>
      <c r="D3718" s="1331" t="s">
        <v>681</v>
      </c>
      <c r="E3718" s="1331" t="s">
        <v>675</v>
      </c>
      <c r="F3718" s="1334">
        <v>4.4999999999999998E-2</v>
      </c>
      <c r="G3718" s="1104">
        <f>DUB!$I$13</f>
        <v>240000</v>
      </c>
      <c r="H3718" s="1106">
        <f>G3718*F3718</f>
        <v>10800</v>
      </c>
      <c r="M3718" s="1566"/>
    </row>
    <row r="3719" spans="2:13" hidden="1">
      <c r="B3719" s="1543"/>
      <c r="C3719" s="1332" t="s">
        <v>683</v>
      </c>
      <c r="D3719" s="1331" t="s">
        <v>684</v>
      </c>
      <c r="E3719" s="1331" t="s">
        <v>675</v>
      </c>
      <c r="F3719" s="1334">
        <v>4.4999999999999998E-2</v>
      </c>
      <c r="G3719" s="1104">
        <f>DUB!$I$12</f>
        <v>225000</v>
      </c>
      <c r="H3719" s="1106">
        <f>G3719*F3719</f>
        <v>10125</v>
      </c>
      <c r="M3719" s="1566"/>
    </row>
    <row r="3720" spans="2:13" hidden="1">
      <c r="B3720" s="1543"/>
      <c r="C3720" s="1332"/>
      <c r="D3720" s="1331"/>
      <c r="E3720" s="1331"/>
      <c r="F3720" s="2074" t="s">
        <v>685</v>
      </c>
      <c r="G3720" s="2074"/>
      <c r="H3720" s="1106">
        <f>SUM(H3716:H3719)</f>
        <v>240075</v>
      </c>
      <c r="M3720" s="1566"/>
    </row>
    <row r="3721" spans="2:13" hidden="1">
      <c r="B3721" s="1543" t="s">
        <v>686</v>
      </c>
      <c r="C3721" s="1332" t="s">
        <v>687</v>
      </c>
      <c r="D3721" s="1331"/>
      <c r="E3721" s="1331"/>
      <c r="F3721" s="1334"/>
      <c r="G3721" s="1104"/>
      <c r="H3721" s="1106"/>
      <c r="M3721" s="1566"/>
    </row>
    <row r="3722" spans="2:13" hidden="1">
      <c r="B3722" s="1543"/>
      <c r="C3722" s="1332" t="s">
        <v>3839</v>
      </c>
      <c r="D3722" s="1331"/>
      <c r="E3722" s="1331" t="s">
        <v>743</v>
      </c>
      <c r="F3722" s="1334">
        <v>2.9167000000000001</v>
      </c>
      <c r="G3722" s="1104">
        <f>DUB!$I$192</f>
        <v>50100</v>
      </c>
      <c r="H3722" s="1106">
        <f>G3722*F3722</f>
        <v>146126.67000000001</v>
      </c>
      <c r="M3722" s="1566"/>
    </row>
    <row r="3723" spans="2:13" hidden="1">
      <c r="B3723" s="1543"/>
      <c r="C3723" s="1332" t="s">
        <v>818</v>
      </c>
      <c r="D3723" s="1331"/>
      <c r="E3723" s="1331" t="s">
        <v>690</v>
      </c>
      <c r="F3723" s="1334">
        <v>9.3000000000000007</v>
      </c>
      <c r="G3723" s="1104">
        <f>DUB!$I$65</f>
        <v>1575</v>
      </c>
      <c r="H3723" s="1106">
        <f>G3723*F3723</f>
        <v>14647.500000000002</v>
      </c>
      <c r="M3723" s="1566"/>
    </row>
    <row r="3724" spans="2:13" hidden="1">
      <c r="B3724" s="1543"/>
      <c r="C3724" s="1332" t="s">
        <v>808</v>
      </c>
      <c r="D3724" s="1331"/>
      <c r="E3724" s="1331" t="s">
        <v>881</v>
      </c>
      <c r="F3724" s="1334">
        <v>1.7999999999999999E-2</v>
      </c>
      <c r="G3724" s="1104">
        <f>DUB!$I$59</f>
        <v>208463</v>
      </c>
      <c r="H3724" s="1106">
        <f>G3724*F3724</f>
        <v>3752.3339999999998</v>
      </c>
      <c r="M3724" s="1566"/>
    </row>
    <row r="3725" spans="2:13" hidden="1">
      <c r="B3725" s="1543"/>
      <c r="C3725" s="1332" t="s">
        <v>1100</v>
      </c>
      <c r="D3725" s="1331"/>
      <c r="E3725" s="1331" t="s">
        <v>690</v>
      </c>
      <c r="F3725" s="1334">
        <v>1.94</v>
      </c>
      <c r="G3725" s="1104">
        <f>DUB!$I$63</f>
        <v>2750</v>
      </c>
      <c r="H3725" s="1106">
        <f>G3725*F3725</f>
        <v>5335</v>
      </c>
      <c r="M3725" s="1566"/>
    </row>
    <row r="3726" spans="2:13" hidden="1">
      <c r="B3726" s="1543"/>
      <c r="C3726" s="1125"/>
      <c r="D3726" s="1333"/>
      <c r="E3726" s="1333"/>
      <c r="F3726" s="2074" t="s">
        <v>702</v>
      </c>
      <c r="G3726" s="2074"/>
      <c r="H3726" s="1106">
        <f>SUM(H3722:H3725)</f>
        <v>169861.50400000002</v>
      </c>
      <c r="M3726" s="1566"/>
    </row>
    <row r="3727" spans="2:13" hidden="1">
      <c r="B3727" s="1543" t="s">
        <v>703</v>
      </c>
      <c r="C3727" s="2075" t="s">
        <v>3764</v>
      </c>
      <c r="D3727" s="2075"/>
      <c r="E3727" s="2075"/>
      <c r="F3727" s="2075"/>
      <c r="G3727" s="2075"/>
      <c r="H3727" s="1107">
        <f>H3720+H3726</f>
        <v>409936.50400000002</v>
      </c>
      <c r="M3727" s="1566"/>
    </row>
    <row r="3728" spans="2:13" hidden="1">
      <c r="B3728" s="1543" t="s">
        <v>706</v>
      </c>
      <c r="C3728" s="2076" t="s">
        <v>876</v>
      </c>
      <c r="D3728" s="2076"/>
      <c r="E3728" s="2076"/>
      <c r="F3728" s="2077" t="s">
        <v>3873</v>
      </c>
      <c r="G3728" s="2077"/>
      <c r="H3728" s="1107">
        <f>H3727*0.15</f>
        <v>61490.475599999998</v>
      </c>
      <c r="M3728" s="1566"/>
    </row>
    <row r="3729" spans="2:13" hidden="1">
      <c r="B3729" s="1543" t="s">
        <v>708</v>
      </c>
      <c r="C3729" s="2078" t="s">
        <v>3765</v>
      </c>
      <c r="D3729" s="2078"/>
      <c r="E3729" s="2078"/>
      <c r="F3729" s="2078"/>
      <c r="G3729" s="2078"/>
      <c r="H3729" s="1107">
        <f>ROUND(SUM(H3727:H3728),2)</f>
        <v>471426.98</v>
      </c>
      <c r="M3729" s="1566"/>
    </row>
    <row r="3730" spans="2:13" hidden="1">
      <c r="B3730" s="1129"/>
      <c r="C3730" s="1130"/>
      <c r="D3730" s="1129"/>
      <c r="E3730" s="1129"/>
      <c r="F3730" s="1131"/>
      <c r="G3730" s="1132"/>
      <c r="H3730" s="1115"/>
      <c r="M3730" s="1566"/>
    </row>
    <row r="3731" spans="2:13" hidden="1">
      <c r="B3731" s="1100" t="s">
        <v>4059</v>
      </c>
      <c r="C3731" s="1112" t="s">
        <v>2790</v>
      </c>
      <c r="D3731" s="1129"/>
      <c r="E3731" s="1129"/>
      <c r="F3731" s="1131"/>
      <c r="G3731" s="1132"/>
      <c r="H3731" s="1115"/>
      <c r="M3731" s="1566"/>
    </row>
    <row r="3732" spans="2:13" s="507" customFormat="1" ht="24.9" hidden="1" customHeight="1">
      <c r="B3732" s="1748" t="s">
        <v>1003</v>
      </c>
      <c r="C3732" s="1101" t="s">
        <v>1004</v>
      </c>
      <c r="D3732" s="1101" t="s">
        <v>1005</v>
      </c>
      <c r="E3732" s="1101" t="s">
        <v>1006</v>
      </c>
      <c r="F3732" s="1102" t="s">
        <v>1007</v>
      </c>
      <c r="G3732" s="1109" t="s">
        <v>2637</v>
      </c>
      <c r="H3732" s="1110" t="s">
        <v>2638</v>
      </c>
      <c r="J3732" s="1625"/>
      <c r="K3732" s="1625"/>
      <c r="L3732" s="1625"/>
      <c r="M3732" s="1570"/>
    </row>
    <row r="3733" spans="2:13" hidden="1">
      <c r="B3733" s="1543" t="s">
        <v>671</v>
      </c>
      <c r="C3733" s="1332" t="s">
        <v>672</v>
      </c>
      <c r="D3733" s="1331"/>
      <c r="E3733" s="1331"/>
      <c r="F3733" s="1334"/>
      <c r="G3733" s="1104"/>
      <c r="H3733" s="1106"/>
      <c r="M3733" s="1566"/>
    </row>
    <row r="3734" spans="2:13" hidden="1">
      <c r="B3734" s="1543"/>
      <c r="C3734" s="1332" t="s">
        <v>673</v>
      </c>
      <c r="D3734" s="1331" t="s">
        <v>674</v>
      </c>
      <c r="E3734" s="1331" t="s">
        <v>675</v>
      </c>
      <c r="F3734" s="1334">
        <v>1.3</v>
      </c>
      <c r="G3734" s="1104">
        <f>DUB!$I$10</f>
        <v>150000</v>
      </c>
      <c r="H3734" s="1106">
        <f>G3734*F3734</f>
        <v>195000</v>
      </c>
      <c r="M3734" s="1566"/>
    </row>
    <row r="3735" spans="2:13" hidden="1">
      <c r="B3735" s="1543"/>
      <c r="C3735" s="1332" t="s">
        <v>816</v>
      </c>
      <c r="D3735" s="1331" t="s">
        <v>678</v>
      </c>
      <c r="E3735" s="1331" t="s">
        <v>675</v>
      </c>
      <c r="F3735" s="1334">
        <v>0.65</v>
      </c>
      <c r="G3735" s="1104">
        <f>DUB!$I$11</f>
        <v>187000</v>
      </c>
      <c r="H3735" s="1106">
        <f>G3735*F3735</f>
        <v>121550</v>
      </c>
      <c r="M3735" s="1566"/>
    </row>
    <row r="3736" spans="2:13" hidden="1">
      <c r="B3736" s="1543"/>
      <c r="C3736" s="1332" t="s">
        <v>751</v>
      </c>
      <c r="D3736" s="1331" t="s">
        <v>681</v>
      </c>
      <c r="E3736" s="1331" t="s">
        <v>675</v>
      </c>
      <c r="F3736" s="1334">
        <v>6.5000000000000002E-2</v>
      </c>
      <c r="G3736" s="1104">
        <f>DUB!$I$13</f>
        <v>240000</v>
      </c>
      <c r="H3736" s="1106">
        <f>G3736*F3736</f>
        <v>15600</v>
      </c>
      <c r="M3736" s="1566"/>
    </row>
    <row r="3737" spans="2:13" hidden="1">
      <c r="B3737" s="1543"/>
      <c r="C3737" s="1332" t="s">
        <v>683</v>
      </c>
      <c r="D3737" s="1331" t="s">
        <v>684</v>
      </c>
      <c r="E3737" s="1331" t="s">
        <v>675</v>
      </c>
      <c r="F3737" s="1334">
        <v>6.5000000000000002E-2</v>
      </c>
      <c r="G3737" s="1104">
        <f>DUB!$I$12</f>
        <v>225000</v>
      </c>
      <c r="H3737" s="1106">
        <f>G3737*F3737</f>
        <v>14625</v>
      </c>
      <c r="M3737" s="1566"/>
    </row>
    <row r="3738" spans="2:13" hidden="1">
      <c r="B3738" s="1543"/>
      <c r="C3738" s="1332"/>
      <c r="D3738" s="1331"/>
      <c r="E3738" s="1331"/>
      <c r="F3738" s="2074" t="s">
        <v>685</v>
      </c>
      <c r="G3738" s="2074"/>
      <c r="H3738" s="1106">
        <f>SUM(H3734:H3737)</f>
        <v>346775</v>
      </c>
      <c r="M3738" s="1566"/>
    </row>
    <row r="3739" spans="2:13" hidden="1">
      <c r="B3739" s="1543" t="s">
        <v>686</v>
      </c>
      <c r="C3739" s="1332" t="s">
        <v>687</v>
      </c>
      <c r="D3739" s="1331"/>
      <c r="E3739" s="1331"/>
      <c r="F3739" s="1334"/>
      <c r="G3739" s="1104"/>
      <c r="H3739" s="1106"/>
      <c r="M3739" s="1566"/>
    </row>
    <row r="3740" spans="2:13" hidden="1">
      <c r="B3740" s="1543"/>
      <c r="C3740" s="1332" t="s">
        <v>1151</v>
      </c>
      <c r="D3740" s="1331"/>
      <c r="E3740" s="1331" t="s">
        <v>743</v>
      </c>
      <c r="F3740" s="1334">
        <v>1.06</v>
      </c>
      <c r="G3740" s="1104">
        <f>DUB!$I$212</f>
        <v>910350</v>
      </c>
      <c r="H3740" s="1106">
        <f>G3740*F3740</f>
        <v>964971</v>
      </c>
      <c r="M3740" s="1566"/>
    </row>
    <row r="3741" spans="2:13" hidden="1">
      <c r="B3741" s="1543"/>
      <c r="C3741" s="1332" t="s">
        <v>818</v>
      </c>
      <c r="D3741" s="1331"/>
      <c r="E3741" s="1331" t="s">
        <v>690</v>
      </c>
      <c r="F3741" s="1334">
        <v>12.44</v>
      </c>
      <c r="G3741" s="1104">
        <f>DUB!$I$65</f>
        <v>1575</v>
      </c>
      <c r="H3741" s="1106">
        <f>G3741*F3741</f>
        <v>19593</v>
      </c>
      <c r="M3741" s="1566"/>
    </row>
    <row r="3742" spans="2:13" hidden="1">
      <c r="B3742" s="1543"/>
      <c r="C3742" s="1332" t="s">
        <v>808</v>
      </c>
      <c r="D3742" s="1331"/>
      <c r="E3742" s="1331" t="s">
        <v>881</v>
      </c>
      <c r="F3742" s="1334">
        <v>2.5000000000000001E-2</v>
      </c>
      <c r="G3742" s="1104">
        <f>DUB!$I$59</f>
        <v>208463</v>
      </c>
      <c r="H3742" s="1106">
        <f>G3742*F3742</f>
        <v>5211.5750000000007</v>
      </c>
      <c r="M3742" s="1566"/>
    </row>
    <row r="3743" spans="2:13" hidden="1">
      <c r="B3743" s="1543"/>
      <c r="C3743" s="1332" t="s">
        <v>1100</v>
      </c>
      <c r="D3743" s="1331"/>
      <c r="E3743" s="1331" t="s">
        <v>690</v>
      </c>
      <c r="F3743" s="1334">
        <v>0.65</v>
      </c>
      <c r="G3743" s="1104">
        <f>DUB!$I$63</f>
        <v>2750</v>
      </c>
      <c r="H3743" s="1106">
        <f>G3743*F3743</f>
        <v>1787.5</v>
      </c>
      <c r="M3743" s="1566"/>
    </row>
    <row r="3744" spans="2:13" hidden="1">
      <c r="B3744" s="1543"/>
      <c r="C3744" s="1332" t="s">
        <v>1172</v>
      </c>
      <c r="D3744" s="1331"/>
      <c r="E3744" s="1331" t="s">
        <v>743</v>
      </c>
      <c r="F3744" s="1334">
        <v>3.03</v>
      </c>
      <c r="G3744" s="1104">
        <f>DUB!$I$128</f>
        <v>20441.7</v>
      </c>
      <c r="H3744" s="1106">
        <f>G3744*F3744</f>
        <v>61938.350999999995</v>
      </c>
      <c r="M3744" s="1566"/>
    </row>
    <row r="3745" spans="2:13" hidden="1">
      <c r="B3745" s="1543"/>
      <c r="C3745" s="1332"/>
      <c r="D3745" s="1331"/>
      <c r="E3745" s="1331"/>
      <c r="F3745" s="2091" t="s">
        <v>702</v>
      </c>
      <c r="G3745" s="2091"/>
      <c r="H3745" s="1106">
        <f>SUM(H3740:H3744)</f>
        <v>1053501.426</v>
      </c>
      <c r="M3745" s="1566"/>
    </row>
    <row r="3746" spans="2:13" hidden="1">
      <c r="B3746" s="1543" t="s">
        <v>703</v>
      </c>
      <c r="C3746" s="1332" t="s">
        <v>704</v>
      </c>
      <c r="D3746" s="1331"/>
      <c r="E3746" s="1331"/>
      <c r="F3746" s="1331"/>
      <c r="G3746" s="1142"/>
      <c r="H3746" s="1106"/>
      <c r="M3746" s="1566"/>
    </row>
    <row r="3747" spans="2:13" hidden="1">
      <c r="B3747" s="1543"/>
      <c r="C3747" s="1332" t="s">
        <v>4399</v>
      </c>
      <c r="D3747" s="1331"/>
      <c r="E3747" s="1331" t="s">
        <v>2647</v>
      </c>
      <c r="F3747" s="1334">
        <v>1</v>
      </c>
      <c r="G3747" s="1104">
        <f>DUB!$I$215</f>
        <v>85680</v>
      </c>
      <c r="H3747" s="1106">
        <f>G3747*F3747</f>
        <v>85680</v>
      </c>
      <c r="M3747" s="1566"/>
    </row>
    <row r="3748" spans="2:13" hidden="1">
      <c r="B3748" s="1543"/>
      <c r="C3748" s="1332"/>
      <c r="D3748" s="1331"/>
      <c r="E3748" s="1331"/>
      <c r="F3748" s="2091" t="s">
        <v>4428</v>
      </c>
      <c r="G3748" s="2091"/>
      <c r="H3748" s="1106">
        <f>SUM(H3747)</f>
        <v>85680</v>
      </c>
      <c r="M3748" s="1566"/>
    </row>
    <row r="3749" spans="2:13" s="496" customFormat="1" hidden="1">
      <c r="B3749" s="1543" t="s">
        <v>706</v>
      </c>
      <c r="C3749" s="2075" t="s">
        <v>707</v>
      </c>
      <c r="D3749" s="2075"/>
      <c r="E3749" s="2075"/>
      <c r="F3749" s="2075"/>
      <c r="G3749" s="2075"/>
      <c r="H3749" s="1107">
        <f>H3738+H3745+H3748</f>
        <v>1485956.426</v>
      </c>
      <c r="J3749" s="1559"/>
      <c r="K3749" s="1559"/>
      <c r="L3749" s="1559"/>
      <c r="M3749" s="1635"/>
    </row>
    <row r="3750" spans="2:13" s="496" customFormat="1" hidden="1">
      <c r="B3750" s="1543" t="s">
        <v>708</v>
      </c>
      <c r="C3750" s="2076" t="s">
        <v>876</v>
      </c>
      <c r="D3750" s="2076"/>
      <c r="E3750" s="2076"/>
      <c r="F3750" s="2077" t="s">
        <v>710</v>
      </c>
      <c r="G3750" s="2077"/>
      <c r="H3750" s="1107">
        <f>H3749*0.15</f>
        <v>222893.4639</v>
      </c>
      <c r="J3750" s="1559"/>
      <c r="K3750" s="1559"/>
      <c r="L3750" s="1559"/>
      <c r="M3750" s="1635"/>
    </row>
    <row r="3751" spans="2:13" s="496" customFormat="1" hidden="1">
      <c r="B3751" s="1543" t="s">
        <v>711</v>
      </c>
      <c r="C3751" s="2078" t="s">
        <v>712</v>
      </c>
      <c r="D3751" s="2078"/>
      <c r="E3751" s="2078"/>
      <c r="F3751" s="2078"/>
      <c r="G3751" s="2078"/>
      <c r="H3751" s="1107">
        <f>ROUND(SUM(H3749:H3750),2)</f>
        <v>1708849.89</v>
      </c>
      <c r="I3751" s="506">
        <f>SUM(H3749:H3750)</f>
        <v>1708849.8899000001</v>
      </c>
      <c r="J3751" s="1561"/>
      <c r="K3751" s="1561"/>
      <c r="L3751" s="1559"/>
      <c r="M3751" s="1635"/>
    </row>
    <row r="3752" spans="2:13" hidden="1">
      <c r="F3752" s="1172"/>
      <c r="G3752" s="1173"/>
      <c r="H3752" s="1133"/>
      <c r="M3752" s="1566"/>
    </row>
    <row r="3753" spans="2:13" hidden="1">
      <c r="B3753" s="1100" t="s">
        <v>4060</v>
      </c>
      <c r="C3753" s="1232" t="s">
        <v>2789</v>
      </c>
      <c r="F3753" s="1172"/>
      <c r="G3753" s="1173"/>
      <c r="H3753" s="1133"/>
      <c r="M3753" s="1566"/>
    </row>
    <row r="3754" spans="2:13" s="507" customFormat="1" ht="24.9" hidden="1" customHeight="1">
      <c r="B3754" s="1748" t="s">
        <v>1003</v>
      </c>
      <c r="C3754" s="1101" t="s">
        <v>1004</v>
      </c>
      <c r="D3754" s="1101" t="s">
        <v>1005</v>
      </c>
      <c r="E3754" s="1101" t="s">
        <v>1006</v>
      </c>
      <c r="F3754" s="1102" t="s">
        <v>1007</v>
      </c>
      <c r="G3754" s="1109" t="s">
        <v>2637</v>
      </c>
      <c r="H3754" s="1110" t="s">
        <v>2638</v>
      </c>
      <c r="J3754" s="1625"/>
      <c r="K3754" s="1625"/>
      <c r="L3754" s="1625"/>
      <c r="M3754" s="1570"/>
    </row>
    <row r="3755" spans="2:13" hidden="1">
      <c r="B3755" s="1543" t="s">
        <v>671</v>
      </c>
      <c r="C3755" s="1332" t="s">
        <v>672</v>
      </c>
      <c r="D3755" s="1331"/>
      <c r="E3755" s="1331"/>
      <c r="F3755" s="1334"/>
      <c r="G3755" s="1104"/>
      <c r="H3755" s="1106"/>
      <c r="M3755" s="1566"/>
    </row>
    <row r="3756" spans="2:13" hidden="1">
      <c r="B3756" s="1543"/>
      <c r="C3756" s="1332" t="s">
        <v>673</v>
      </c>
      <c r="D3756" s="1331" t="s">
        <v>674</v>
      </c>
      <c r="E3756" s="1331" t="s">
        <v>675</v>
      </c>
      <c r="F3756" s="1334">
        <v>1</v>
      </c>
      <c r="G3756" s="1104">
        <f>DUB!$I$10</f>
        <v>150000</v>
      </c>
      <c r="H3756" s="1106">
        <f>G3756*F3756</f>
        <v>150000</v>
      </c>
      <c r="M3756" s="1566"/>
    </row>
    <row r="3757" spans="2:13" hidden="1">
      <c r="B3757" s="1543"/>
      <c r="C3757" s="1332" t="s">
        <v>816</v>
      </c>
      <c r="D3757" s="1331" t="s">
        <v>678</v>
      </c>
      <c r="E3757" s="1331" t="s">
        <v>675</v>
      </c>
      <c r="F3757" s="1334">
        <v>0.5</v>
      </c>
      <c r="G3757" s="1104">
        <f>DUB!$I$11</f>
        <v>187000</v>
      </c>
      <c r="H3757" s="1106">
        <f>G3757*F3757</f>
        <v>93500</v>
      </c>
      <c r="M3757" s="1566"/>
    </row>
    <row r="3758" spans="2:13" hidden="1">
      <c r="B3758" s="1543"/>
      <c r="C3758" s="1332" t="s">
        <v>751</v>
      </c>
      <c r="D3758" s="1331" t="s">
        <v>681</v>
      </c>
      <c r="E3758" s="1331" t="s">
        <v>675</v>
      </c>
      <c r="F3758" s="1334">
        <v>0.05</v>
      </c>
      <c r="G3758" s="1104">
        <f>DUB!$I$13</f>
        <v>240000</v>
      </c>
      <c r="H3758" s="1106">
        <f>G3758*F3758</f>
        <v>12000</v>
      </c>
      <c r="M3758" s="1566"/>
    </row>
    <row r="3759" spans="2:13" hidden="1">
      <c r="B3759" s="1543"/>
      <c r="C3759" s="1332" t="s">
        <v>683</v>
      </c>
      <c r="D3759" s="1331" t="s">
        <v>684</v>
      </c>
      <c r="E3759" s="1331" t="s">
        <v>675</v>
      </c>
      <c r="F3759" s="1334">
        <v>0.05</v>
      </c>
      <c r="G3759" s="1104">
        <f>DUB!$I$12</f>
        <v>225000</v>
      </c>
      <c r="H3759" s="1106">
        <f>G3759*F3759</f>
        <v>11250</v>
      </c>
      <c r="M3759" s="1566"/>
    </row>
    <row r="3760" spans="2:13" hidden="1">
      <c r="B3760" s="1543"/>
      <c r="C3760" s="1332"/>
      <c r="D3760" s="1331"/>
      <c r="E3760" s="1331"/>
      <c r="F3760" s="2074" t="s">
        <v>685</v>
      </c>
      <c r="G3760" s="2074"/>
      <c r="H3760" s="1106">
        <f>SUM(H3756:H3759)</f>
        <v>266750</v>
      </c>
      <c r="M3760" s="1566"/>
    </row>
    <row r="3761" spans="2:13" hidden="1">
      <c r="B3761" s="1543" t="s">
        <v>686</v>
      </c>
      <c r="C3761" s="1332" t="s">
        <v>687</v>
      </c>
      <c r="D3761" s="1331"/>
      <c r="E3761" s="1331"/>
      <c r="F3761" s="1334"/>
      <c r="G3761" s="1104"/>
      <c r="H3761" s="1106"/>
      <c r="M3761" s="1566"/>
    </row>
    <row r="3762" spans="2:13" hidden="1">
      <c r="B3762" s="1543"/>
      <c r="C3762" s="1332" t="s">
        <v>1174</v>
      </c>
      <c r="D3762" s="1331"/>
      <c r="E3762" s="1331" t="s">
        <v>743</v>
      </c>
      <c r="F3762" s="1334">
        <v>63</v>
      </c>
      <c r="G3762" s="1104">
        <f>DUB!$I$213</f>
        <v>909</v>
      </c>
      <c r="H3762" s="1106">
        <f>G3762*F3762</f>
        <v>57267</v>
      </c>
      <c r="M3762" s="1566"/>
    </row>
    <row r="3763" spans="2:13" hidden="1">
      <c r="B3763" s="1543"/>
      <c r="C3763" s="1332" t="s">
        <v>818</v>
      </c>
      <c r="D3763" s="1331"/>
      <c r="E3763" s="1331" t="s">
        <v>690</v>
      </c>
      <c r="F3763" s="1334">
        <v>12.44</v>
      </c>
      <c r="G3763" s="1104">
        <f>DUB!$I$65</f>
        <v>1575</v>
      </c>
      <c r="H3763" s="1106">
        <f>G3763*F3763</f>
        <v>19593</v>
      </c>
      <c r="M3763" s="1566"/>
    </row>
    <row r="3764" spans="2:13" hidden="1">
      <c r="B3764" s="1543"/>
      <c r="C3764" s="1332" t="s">
        <v>808</v>
      </c>
      <c r="D3764" s="1331"/>
      <c r="E3764" s="1331" t="s">
        <v>881</v>
      </c>
      <c r="F3764" s="1334">
        <v>2.5000000000000001E-2</v>
      </c>
      <c r="G3764" s="1104">
        <f>DUB!$I$59</f>
        <v>208463</v>
      </c>
      <c r="H3764" s="1106">
        <f>G3764*F3764</f>
        <v>5211.5750000000007</v>
      </c>
      <c r="M3764" s="1566"/>
    </row>
    <row r="3765" spans="2:13" hidden="1">
      <c r="B3765" s="1543"/>
      <c r="C3765" s="1332" t="s">
        <v>1100</v>
      </c>
      <c r="D3765" s="1331"/>
      <c r="E3765" s="1331" t="s">
        <v>690</v>
      </c>
      <c r="F3765" s="1334">
        <v>2.75</v>
      </c>
      <c r="G3765" s="1104">
        <f>DUB!$I$63</f>
        <v>2750</v>
      </c>
      <c r="H3765" s="1106">
        <f>G3765*F3765</f>
        <v>7562.5</v>
      </c>
      <c r="M3765" s="1566"/>
    </row>
    <row r="3766" spans="2:13" hidden="1">
      <c r="B3766" s="1543"/>
      <c r="C3766" s="1125"/>
      <c r="D3766" s="1333"/>
      <c r="E3766" s="1333"/>
      <c r="F3766" s="2074" t="s">
        <v>702</v>
      </c>
      <c r="G3766" s="2074"/>
      <c r="H3766" s="1106">
        <f>SUM(H3762:H3765)</f>
        <v>89634.074999999997</v>
      </c>
      <c r="M3766" s="1566"/>
    </row>
    <row r="3767" spans="2:13" s="496" customFormat="1" hidden="1">
      <c r="B3767" s="1543" t="s">
        <v>703</v>
      </c>
      <c r="C3767" s="2075" t="s">
        <v>3764</v>
      </c>
      <c r="D3767" s="2075"/>
      <c r="E3767" s="2075"/>
      <c r="F3767" s="2075"/>
      <c r="G3767" s="2075"/>
      <c r="H3767" s="1107">
        <f>H3760+H3766</f>
        <v>356384.07500000001</v>
      </c>
      <c r="J3767" s="1559"/>
      <c r="K3767" s="1559"/>
      <c r="L3767" s="1559"/>
      <c r="M3767" s="1635"/>
    </row>
    <row r="3768" spans="2:13" s="496" customFormat="1" hidden="1">
      <c r="B3768" s="1543" t="s">
        <v>706</v>
      </c>
      <c r="C3768" s="2076" t="s">
        <v>876</v>
      </c>
      <c r="D3768" s="2076"/>
      <c r="E3768" s="2076"/>
      <c r="F3768" s="2077" t="s">
        <v>3873</v>
      </c>
      <c r="G3768" s="2077"/>
      <c r="H3768" s="1107">
        <f>H3767*0.15</f>
        <v>53457.611250000002</v>
      </c>
      <c r="J3768" s="1559"/>
      <c r="K3768" s="1559"/>
      <c r="L3768" s="1559"/>
      <c r="M3768" s="1635"/>
    </row>
    <row r="3769" spans="2:13" s="496" customFormat="1" hidden="1">
      <c r="B3769" s="1543" t="s">
        <v>708</v>
      </c>
      <c r="C3769" s="2078" t="s">
        <v>3765</v>
      </c>
      <c r="D3769" s="2078"/>
      <c r="E3769" s="2078"/>
      <c r="F3769" s="2078"/>
      <c r="G3769" s="2078"/>
      <c r="H3769" s="1107">
        <f>ROUND(SUM(H3767:H3768),2)</f>
        <v>409841.69</v>
      </c>
      <c r="I3769" s="506">
        <f>247707.13+37156.07</f>
        <v>284863.2</v>
      </c>
      <c r="J3769" s="1561"/>
      <c r="K3769" s="1561"/>
      <c r="L3769" s="1651"/>
      <c r="M3769" s="1635"/>
    </row>
    <row r="3770" spans="2:13" hidden="1">
      <c r="B3770" s="1143"/>
      <c r="C3770" s="1144"/>
      <c r="D3770" s="1143"/>
      <c r="E3770" s="1143"/>
      <c r="F3770" s="1145"/>
      <c r="G3770" s="1146"/>
      <c r="H3770" s="1147"/>
      <c r="M3770" s="1566"/>
    </row>
    <row r="3771" spans="2:13" hidden="1">
      <c r="B3771" s="1100" t="s">
        <v>4061</v>
      </c>
      <c r="C3771" s="1112" t="s">
        <v>2788</v>
      </c>
      <c r="D3771" s="1129"/>
      <c r="E3771" s="1129"/>
      <c r="F3771" s="1131"/>
      <c r="G3771" s="1132"/>
      <c r="H3771" s="1115"/>
      <c r="M3771" s="1566"/>
    </row>
    <row r="3772" spans="2:13" s="507" customFormat="1" ht="24.9" hidden="1" customHeight="1">
      <c r="B3772" s="1748" t="s">
        <v>1003</v>
      </c>
      <c r="C3772" s="1101" t="s">
        <v>1004</v>
      </c>
      <c r="D3772" s="1101" t="s">
        <v>1005</v>
      </c>
      <c r="E3772" s="1101" t="s">
        <v>1006</v>
      </c>
      <c r="F3772" s="1102" t="s">
        <v>1007</v>
      </c>
      <c r="G3772" s="1109" t="s">
        <v>2637</v>
      </c>
      <c r="H3772" s="1110" t="s">
        <v>2638</v>
      </c>
      <c r="J3772" s="1625"/>
      <c r="K3772" s="1625"/>
      <c r="L3772" s="1625"/>
      <c r="M3772" s="1570"/>
    </row>
    <row r="3773" spans="2:13" hidden="1">
      <c r="B3773" s="1543" t="s">
        <v>671</v>
      </c>
      <c r="C3773" s="1332" t="s">
        <v>672</v>
      </c>
      <c r="D3773" s="1331"/>
      <c r="E3773" s="1331"/>
      <c r="F3773" s="1334"/>
      <c r="G3773" s="1104"/>
      <c r="H3773" s="1106"/>
      <c r="M3773" s="1566"/>
    </row>
    <row r="3774" spans="2:13" hidden="1">
      <c r="B3774" s="1543"/>
      <c r="C3774" s="1332" t="s">
        <v>673</v>
      </c>
      <c r="D3774" s="1331" t="s">
        <v>674</v>
      </c>
      <c r="E3774" s="1331" t="s">
        <v>675</v>
      </c>
      <c r="F3774" s="1334">
        <v>0.7</v>
      </c>
      <c r="G3774" s="1104">
        <f>DUB!$I$10</f>
        <v>150000</v>
      </c>
      <c r="H3774" s="1106">
        <f>G3774*F3774</f>
        <v>105000</v>
      </c>
      <c r="M3774" s="1566"/>
    </row>
    <row r="3775" spans="2:13" hidden="1">
      <c r="B3775" s="1543"/>
      <c r="C3775" s="1332" t="s">
        <v>816</v>
      </c>
      <c r="D3775" s="1331" t="s">
        <v>678</v>
      </c>
      <c r="E3775" s="1331" t="s">
        <v>675</v>
      </c>
      <c r="F3775" s="1334">
        <v>0.35</v>
      </c>
      <c r="G3775" s="1104">
        <f>DUB!$I$11</f>
        <v>187000</v>
      </c>
      <c r="H3775" s="1106">
        <f>G3775*F3775</f>
        <v>65449.999999999993</v>
      </c>
      <c r="M3775" s="1566"/>
    </row>
    <row r="3776" spans="2:13" hidden="1">
      <c r="B3776" s="1543"/>
      <c r="C3776" s="1332" t="s">
        <v>751</v>
      </c>
      <c r="D3776" s="1331" t="s">
        <v>681</v>
      </c>
      <c r="E3776" s="1331" t="s">
        <v>675</v>
      </c>
      <c r="F3776" s="1334">
        <v>3.5000000000000003E-2</v>
      </c>
      <c r="G3776" s="1104">
        <f>DUB!$I$13</f>
        <v>240000</v>
      </c>
      <c r="H3776" s="1106">
        <f>G3776*F3776</f>
        <v>8400</v>
      </c>
      <c r="M3776" s="1566"/>
    </row>
    <row r="3777" spans="2:13" hidden="1">
      <c r="B3777" s="1543"/>
      <c r="C3777" s="1332" t="s">
        <v>683</v>
      </c>
      <c r="D3777" s="1331" t="s">
        <v>684</v>
      </c>
      <c r="E3777" s="1331" t="s">
        <v>675</v>
      </c>
      <c r="F3777" s="1334">
        <v>3.5000000000000003E-2</v>
      </c>
      <c r="G3777" s="1104">
        <f>DUB!$I$12</f>
        <v>225000</v>
      </c>
      <c r="H3777" s="1106">
        <f>G3777*F3777</f>
        <v>7875.0000000000009</v>
      </c>
      <c r="M3777" s="1566"/>
    </row>
    <row r="3778" spans="2:13" hidden="1">
      <c r="B3778" s="1543"/>
      <c r="C3778" s="1332"/>
      <c r="D3778" s="1331"/>
      <c r="E3778" s="1331"/>
      <c r="F3778" s="2074" t="s">
        <v>685</v>
      </c>
      <c r="G3778" s="2074"/>
      <c r="H3778" s="1106">
        <f>SUM(H3774:H3777)</f>
        <v>186725</v>
      </c>
      <c r="M3778" s="1566"/>
    </row>
    <row r="3779" spans="2:13" hidden="1">
      <c r="B3779" s="1543" t="s">
        <v>686</v>
      </c>
      <c r="C3779" s="1332" t="s">
        <v>687</v>
      </c>
      <c r="D3779" s="1331"/>
      <c r="E3779" s="1331"/>
      <c r="F3779" s="1334"/>
      <c r="G3779" s="1104"/>
      <c r="H3779" s="1106"/>
      <c r="M3779" s="1566"/>
    </row>
    <row r="3780" spans="2:13" hidden="1">
      <c r="B3780" s="1543"/>
      <c r="C3780" s="1332" t="s">
        <v>1176</v>
      </c>
      <c r="D3780" s="1331"/>
      <c r="E3780" s="1331" t="s">
        <v>743</v>
      </c>
      <c r="F3780" s="1334">
        <v>1.1000000000000001</v>
      </c>
      <c r="G3780" s="1104">
        <f>DUB!$I$46</f>
        <v>219555</v>
      </c>
      <c r="H3780" s="1106">
        <f>G3780*F3780</f>
        <v>241510.50000000003</v>
      </c>
      <c r="M3780" s="1566"/>
    </row>
    <row r="3781" spans="2:13" hidden="1">
      <c r="B3781" s="1543"/>
      <c r="C3781" s="1332" t="s">
        <v>818</v>
      </c>
      <c r="D3781" s="1331"/>
      <c r="E3781" s="1331" t="s">
        <v>690</v>
      </c>
      <c r="F3781" s="1334">
        <v>11.75</v>
      </c>
      <c r="G3781" s="1104">
        <f>DUB!$I$65</f>
        <v>1575</v>
      </c>
      <c r="H3781" s="1106">
        <f>G3781*F3781</f>
        <v>18506.25</v>
      </c>
      <c r="M3781" s="1566"/>
    </row>
    <row r="3782" spans="2:13" hidden="1">
      <c r="B3782" s="1543"/>
      <c r="C3782" s="1332" t="s">
        <v>808</v>
      </c>
      <c r="D3782" s="1331"/>
      <c r="E3782" s="1331" t="s">
        <v>881</v>
      </c>
      <c r="F3782" s="1334">
        <v>3.5000000000000003E-2</v>
      </c>
      <c r="G3782" s="1104">
        <f>DUB!$I$59</f>
        <v>208463</v>
      </c>
      <c r="H3782" s="1106">
        <f>G3782*F3782</f>
        <v>7296.2050000000008</v>
      </c>
      <c r="M3782" s="1566"/>
    </row>
    <row r="3783" spans="2:13" hidden="1">
      <c r="B3783" s="1543"/>
      <c r="C3783" s="1332"/>
      <c r="D3783" s="1331"/>
      <c r="E3783" s="1331"/>
      <c r="F3783" s="2090" t="s">
        <v>702</v>
      </c>
      <c r="G3783" s="2090"/>
      <c r="H3783" s="1106">
        <f>SUM(H3780:H3782)</f>
        <v>267312.95500000002</v>
      </c>
      <c r="M3783" s="1566"/>
    </row>
    <row r="3784" spans="2:13" s="496" customFormat="1" hidden="1">
      <c r="B3784" s="1543" t="s">
        <v>703</v>
      </c>
      <c r="C3784" s="2089" t="s">
        <v>3764</v>
      </c>
      <c r="D3784" s="2089"/>
      <c r="E3784" s="2089"/>
      <c r="F3784" s="2089"/>
      <c r="G3784" s="2089"/>
      <c r="H3784" s="1107">
        <f>H3778+H3783</f>
        <v>454037.95500000002</v>
      </c>
      <c r="J3784" s="1559"/>
      <c r="K3784" s="1559"/>
      <c r="L3784" s="1559"/>
      <c r="M3784" s="1635"/>
    </row>
    <row r="3785" spans="2:13" s="496" customFormat="1" hidden="1">
      <c r="B3785" s="1543" t="s">
        <v>706</v>
      </c>
      <c r="C3785" s="2076" t="s">
        <v>876</v>
      </c>
      <c r="D3785" s="2076"/>
      <c r="E3785" s="2076"/>
      <c r="F3785" s="2077" t="s">
        <v>3873</v>
      </c>
      <c r="G3785" s="2077"/>
      <c r="H3785" s="1107">
        <f>H3784*0.15</f>
        <v>68105.693249999997</v>
      </c>
      <c r="J3785" s="1559"/>
      <c r="K3785" s="1559"/>
      <c r="L3785" s="1559"/>
      <c r="M3785" s="1635"/>
    </row>
    <row r="3786" spans="2:13" s="496" customFormat="1" hidden="1">
      <c r="B3786" s="1543" t="s">
        <v>708</v>
      </c>
      <c r="C3786" s="2078" t="s">
        <v>3765</v>
      </c>
      <c r="D3786" s="2078"/>
      <c r="E3786" s="2078"/>
      <c r="F3786" s="2078"/>
      <c r="G3786" s="2078"/>
      <c r="H3786" s="1107">
        <f>ROUND(SUM(H3784:H3785),2)</f>
        <v>522143.65</v>
      </c>
      <c r="I3786" s="506">
        <f>SUM(H3784:H3785)</f>
        <v>522143.64825000003</v>
      </c>
      <c r="J3786" s="1561"/>
      <c r="K3786" s="1561"/>
      <c r="L3786" s="1559"/>
      <c r="M3786" s="1635"/>
    </row>
    <row r="3787" spans="2:13" hidden="1">
      <c r="F3787" s="1172"/>
      <c r="G3787" s="1173"/>
      <c r="H3787" s="1133"/>
      <c r="M3787" s="1566"/>
    </row>
    <row r="3788" spans="2:13">
      <c r="B3788" s="1100" t="s">
        <v>4062</v>
      </c>
      <c r="C3788" s="1232" t="s">
        <v>4951</v>
      </c>
      <c r="F3788" s="1172"/>
      <c r="G3788" s="1173"/>
      <c r="H3788" s="1133"/>
      <c r="M3788" s="1566"/>
    </row>
    <row r="3789" spans="2:13" s="507" customFormat="1" ht="24.9" customHeight="1">
      <c r="B3789" s="1101" t="s">
        <v>1003</v>
      </c>
      <c r="C3789" s="1101" t="s">
        <v>1004</v>
      </c>
      <c r="D3789" s="1101" t="s">
        <v>1005</v>
      </c>
      <c r="E3789" s="1101" t="s">
        <v>1006</v>
      </c>
      <c r="F3789" s="1102" t="s">
        <v>1007</v>
      </c>
      <c r="G3789" s="1109" t="s">
        <v>2637</v>
      </c>
      <c r="H3789" s="1110" t="s">
        <v>2638</v>
      </c>
      <c r="I3789" s="1834"/>
      <c r="J3789" s="1823" t="s">
        <v>5335</v>
      </c>
      <c r="K3789" s="1824" t="s">
        <v>5336</v>
      </c>
      <c r="L3789" s="1824" t="s">
        <v>5337</v>
      </c>
      <c r="M3789" s="1825" t="s">
        <v>5338</v>
      </c>
    </row>
    <row r="3790" spans="2:13">
      <c r="B3790" s="1330" t="s">
        <v>671</v>
      </c>
      <c r="C3790" s="1332" t="s">
        <v>672</v>
      </c>
      <c r="D3790" s="1331"/>
      <c r="E3790" s="1331"/>
      <c r="F3790" s="1334"/>
      <c r="G3790" s="1104"/>
      <c r="H3790" s="1106"/>
      <c r="J3790" s="1597"/>
      <c r="K3790" s="1597"/>
      <c r="L3790" s="1597"/>
      <c r="M3790" s="1826"/>
    </row>
    <row r="3791" spans="2:13">
      <c r="B3791" s="1330"/>
      <c r="C3791" s="1332" t="s">
        <v>673</v>
      </c>
      <c r="D3791" s="1331" t="s">
        <v>674</v>
      </c>
      <c r="E3791" s="1331" t="s">
        <v>675</v>
      </c>
      <c r="F3791" s="1334">
        <v>0.7</v>
      </c>
      <c r="G3791" s="1104">
        <f>DUB!$I$10</f>
        <v>150000</v>
      </c>
      <c r="H3791" s="1106">
        <f>G3791*F3791</f>
        <v>105000</v>
      </c>
      <c r="J3791" s="1609" t="s">
        <v>5339</v>
      </c>
      <c r="K3791" s="1611">
        <v>1</v>
      </c>
      <c r="L3791" s="1608" t="s">
        <v>5340</v>
      </c>
      <c r="M3791" s="1827">
        <f>H3791*K3791</f>
        <v>105000</v>
      </c>
    </row>
    <row r="3792" spans="2:13">
      <c r="B3792" s="1330"/>
      <c r="C3792" s="1332" t="s">
        <v>816</v>
      </c>
      <c r="D3792" s="1331" t="s">
        <v>678</v>
      </c>
      <c r="E3792" s="1331" t="s">
        <v>675</v>
      </c>
      <c r="F3792" s="1334">
        <v>0.35</v>
      </c>
      <c r="G3792" s="1104">
        <f>DUB!$I$11</f>
        <v>187000</v>
      </c>
      <c r="H3792" s="1106">
        <f>G3792*F3792</f>
        <v>65449.999999999993</v>
      </c>
      <c r="J3792" s="1609" t="s">
        <v>5339</v>
      </c>
      <c r="K3792" s="1611">
        <v>1</v>
      </c>
      <c r="L3792" s="1608" t="s">
        <v>5340</v>
      </c>
      <c r="M3792" s="1827">
        <f t="shared" ref="M3792" si="94">H3792*K3792</f>
        <v>65449.999999999993</v>
      </c>
    </row>
    <row r="3793" spans="2:13">
      <c r="B3793" s="1330"/>
      <c r="C3793" s="1332" t="s">
        <v>751</v>
      </c>
      <c r="D3793" s="1331" t="s">
        <v>681</v>
      </c>
      <c r="E3793" s="1331" t="s">
        <v>675</v>
      </c>
      <c r="F3793" s="1334">
        <v>3.5000000000000003E-2</v>
      </c>
      <c r="G3793" s="1104">
        <f>DUB!$I$13</f>
        <v>240000</v>
      </c>
      <c r="H3793" s="1106">
        <f>G3793*F3793</f>
        <v>8400</v>
      </c>
      <c r="J3793" s="1609" t="s">
        <v>5339</v>
      </c>
      <c r="K3793" s="1611">
        <v>1</v>
      </c>
      <c r="L3793" s="1608" t="s">
        <v>5340</v>
      </c>
      <c r="M3793" s="1827">
        <f>H3793*K3793</f>
        <v>8400</v>
      </c>
    </row>
    <row r="3794" spans="2:13">
      <c r="B3794" s="1330"/>
      <c r="C3794" s="1332" t="s">
        <v>683</v>
      </c>
      <c r="D3794" s="1331" t="s">
        <v>684</v>
      </c>
      <c r="E3794" s="1331" t="s">
        <v>675</v>
      </c>
      <c r="F3794" s="1334">
        <v>3.5000000000000003E-2</v>
      </c>
      <c r="G3794" s="1104">
        <f>DUB!$I$12</f>
        <v>225000</v>
      </c>
      <c r="H3794" s="1106">
        <f>G3794*F3794</f>
        <v>7875.0000000000009</v>
      </c>
      <c r="J3794" s="1609" t="s">
        <v>5339</v>
      </c>
      <c r="K3794" s="1611">
        <v>1</v>
      </c>
      <c r="L3794" s="1608" t="s">
        <v>5340</v>
      </c>
      <c r="M3794" s="1827">
        <f t="shared" ref="M3794" si="95">H3794*K3794</f>
        <v>7875.0000000000009</v>
      </c>
    </row>
    <row r="3795" spans="2:13">
      <c r="B3795" s="1330"/>
      <c r="C3795" s="1332"/>
      <c r="D3795" s="1331"/>
      <c r="E3795" s="1331"/>
      <c r="F3795" s="2074" t="s">
        <v>685</v>
      </c>
      <c r="G3795" s="2074"/>
      <c r="H3795" s="1106">
        <f>SUM(H3791:H3794)</f>
        <v>186725</v>
      </c>
      <c r="J3795" s="1597"/>
      <c r="K3795" s="1597"/>
      <c r="L3795" s="1597"/>
      <c r="M3795" s="1107">
        <f>SUM(M3791:M3794)</f>
        <v>186725</v>
      </c>
    </row>
    <row r="3796" spans="2:13">
      <c r="B3796" s="1330" t="s">
        <v>686</v>
      </c>
      <c r="C3796" s="1332" t="s">
        <v>687</v>
      </c>
      <c r="D3796" s="1331"/>
      <c r="E3796" s="1331"/>
      <c r="F3796" s="1334"/>
      <c r="G3796" s="1104"/>
      <c r="H3796" s="1106"/>
      <c r="J3796" s="1597"/>
      <c r="K3796" s="1597"/>
      <c r="L3796" s="1597"/>
      <c r="M3796" s="1826"/>
    </row>
    <row r="3797" spans="2:13">
      <c r="B3797" s="1330"/>
      <c r="C3797" s="1332" t="str">
        <f>DUB!C47</f>
        <v>Batu Alam Candi Rata Mesin</v>
      </c>
      <c r="D3797" s="1331"/>
      <c r="E3797" s="1331" t="s">
        <v>743</v>
      </c>
      <c r="F3797" s="1334">
        <v>1.1000000000000001</v>
      </c>
      <c r="G3797" s="1104">
        <f>DUB!I47</f>
        <v>6750</v>
      </c>
      <c r="H3797" s="1106">
        <f>G3797*F3797</f>
        <v>7425.0000000000009</v>
      </c>
      <c r="J3797" s="1634" t="s">
        <v>4925</v>
      </c>
      <c r="K3797" s="1611">
        <v>0.99750000000000005</v>
      </c>
      <c r="L3797" s="1607" t="s">
        <v>5343</v>
      </c>
      <c r="M3797" s="1827">
        <f>H3797*K3797</f>
        <v>7406.4375000000009</v>
      </c>
    </row>
    <row r="3798" spans="2:13">
      <c r="B3798" s="1330"/>
      <c r="C3798" s="1332" t="s">
        <v>818</v>
      </c>
      <c r="D3798" s="1331"/>
      <c r="E3798" s="1331" t="s">
        <v>690</v>
      </c>
      <c r="F3798" s="1334">
        <v>11.75</v>
      </c>
      <c r="G3798" s="1104">
        <f>DUB!$I$65</f>
        <v>1575</v>
      </c>
      <c r="H3798" s="1106">
        <f>G3798*F3798</f>
        <v>18506.25</v>
      </c>
      <c r="J3798" s="1642" t="s">
        <v>4925</v>
      </c>
      <c r="K3798" s="1611">
        <v>0.97009999999999996</v>
      </c>
      <c r="L3798" s="1607" t="s">
        <v>5343</v>
      </c>
      <c r="M3798" s="1827">
        <f t="shared" ref="M3798:M3799" si="96">H3798*K3798</f>
        <v>17952.913124999999</v>
      </c>
    </row>
    <row r="3799" spans="2:13">
      <c r="B3799" s="1330"/>
      <c r="C3799" s="1332" t="s">
        <v>808</v>
      </c>
      <c r="D3799" s="1331"/>
      <c r="E3799" s="1331" t="s">
        <v>881</v>
      </c>
      <c r="F3799" s="1334">
        <v>3.5000000000000003E-2</v>
      </c>
      <c r="G3799" s="1104">
        <f>DUB!$I$59</f>
        <v>208463</v>
      </c>
      <c r="H3799" s="1106">
        <f>G3799*F3799</f>
        <v>7296.2050000000008</v>
      </c>
      <c r="J3799" s="1607" t="s">
        <v>5341</v>
      </c>
      <c r="K3799" s="1611">
        <v>1</v>
      </c>
      <c r="L3799" s="1607" t="s">
        <v>5341</v>
      </c>
      <c r="M3799" s="1827">
        <f t="shared" si="96"/>
        <v>7296.2050000000008</v>
      </c>
    </row>
    <row r="3800" spans="2:13">
      <c r="B3800" s="1330"/>
      <c r="C3800" s="1332"/>
      <c r="D3800" s="1331"/>
      <c r="E3800" s="1331"/>
      <c r="F3800" s="2090" t="s">
        <v>702</v>
      </c>
      <c r="G3800" s="2090"/>
      <c r="H3800" s="1106">
        <f>SUM(H3797:H3799)</f>
        <v>33227.455000000002</v>
      </c>
      <c r="J3800" s="1597"/>
      <c r="K3800" s="1597"/>
      <c r="L3800" s="1597"/>
      <c r="M3800" s="1106">
        <f>SUM(M3797:M3799)</f>
        <v>32655.555625000001</v>
      </c>
    </row>
    <row r="3801" spans="2:13" s="496" customFormat="1">
      <c r="B3801" s="1330" t="s">
        <v>703</v>
      </c>
      <c r="C3801" s="2089" t="s">
        <v>3764</v>
      </c>
      <c r="D3801" s="2089"/>
      <c r="E3801" s="2089"/>
      <c r="F3801" s="2089"/>
      <c r="G3801" s="2089"/>
      <c r="H3801" s="1107">
        <f>H3795+H3800</f>
        <v>219952.45500000002</v>
      </c>
      <c r="J3801" s="1600"/>
      <c r="K3801" s="1633">
        <f>M3801/H3801</f>
        <v>0.99739989546831831</v>
      </c>
      <c r="L3801" s="1600"/>
      <c r="M3801" s="1107">
        <f>M3795+M3800</f>
        <v>219380.55562500001</v>
      </c>
    </row>
    <row r="3802" spans="2:13" s="496" customFormat="1">
      <c r="B3802" s="1330" t="s">
        <v>706</v>
      </c>
      <c r="C3802" s="2076" t="s">
        <v>876</v>
      </c>
      <c r="D3802" s="2076"/>
      <c r="E3802" s="2076"/>
      <c r="F3802" s="2077" t="s">
        <v>3873</v>
      </c>
      <c r="G3802" s="2077"/>
      <c r="H3802" s="1107">
        <f>H3801*0.15</f>
        <v>32992.86825</v>
      </c>
      <c r="J3802" s="1600"/>
      <c r="K3802" s="1600"/>
      <c r="L3802" s="1600"/>
      <c r="M3802" s="1107">
        <f>M3801*0.15</f>
        <v>32907.083343749997</v>
      </c>
    </row>
    <row r="3803" spans="2:13" s="496" customFormat="1">
      <c r="B3803" s="1330" t="s">
        <v>708</v>
      </c>
      <c r="C3803" s="2078" t="s">
        <v>3765</v>
      </c>
      <c r="D3803" s="2078"/>
      <c r="E3803" s="2078"/>
      <c r="F3803" s="2078"/>
      <c r="G3803" s="2078"/>
      <c r="H3803" s="1107">
        <f>ROUND(SUM(H3801:H3802),2)</f>
        <v>252945.32</v>
      </c>
      <c r="I3803" s="506">
        <f>SUM(H3801:H3802)</f>
        <v>252945.32325000002</v>
      </c>
      <c r="J3803" s="1636"/>
      <c r="K3803" s="1636"/>
      <c r="L3803" s="1637"/>
      <c r="M3803" s="1919">
        <f>ROUND(SUM(M3801:M3802),2)</f>
        <v>252287.64</v>
      </c>
    </row>
    <row r="3804" spans="2:13">
      <c r="B3804" s="1129"/>
      <c r="C3804" s="1130"/>
      <c r="D3804" s="1129"/>
      <c r="E3804" s="1129"/>
      <c r="F3804" s="1131"/>
      <c r="G3804" s="1132"/>
      <c r="H3804" s="1115"/>
      <c r="M3804" s="1566"/>
    </row>
    <row r="3805" spans="2:13">
      <c r="B3805" s="1100" t="s">
        <v>4063</v>
      </c>
      <c r="C3805" s="1112" t="s">
        <v>5136</v>
      </c>
      <c r="D3805" s="1129"/>
      <c r="E3805" s="1129"/>
      <c r="F3805" s="1131"/>
      <c r="G3805" s="1132"/>
      <c r="H3805" s="1115"/>
      <c r="M3805" s="1566"/>
    </row>
    <row r="3806" spans="2:13" s="507" customFormat="1" ht="24.9" customHeight="1">
      <c r="B3806" s="1101" t="s">
        <v>1003</v>
      </c>
      <c r="C3806" s="1101" t="s">
        <v>1004</v>
      </c>
      <c r="D3806" s="1101" t="s">
        <v>1005</v>
      </c>
      <c r="E3806" s="1101" t="s">
        <v>1006</v>
      </c>
      <c r="F3806" s="1102" t="s">
        <v>1007</v>
      </c>
      <c r="G3806" s="1109" t="s">
        <v>2637</v>
      </c>
      <c r="H3806" s="1110" t="s">
        <v>2638</v>
      </c>
      <c r="I3806" s="1834"/>
      <c r="J3806" s="1823" t="s">
        <v>5335</v>
      </c>
      <c r="K3806" s="1824" t="s">
        <v>5336</v>
      </c>
      <c r="L3806" s="1824" t="s">
        <v>5337</v>
      </c>
      <c r="M3806" s="1825" t="s">
        <v>5338</v>
      </c>
    </row>
    <row r="3807" spans="2:13">
      <c r="B3807" s="1330" t="s">
        <v>671</v>
      </c>
      <c r="C3807" s="1332" t="s">
        <v>672</v>
      </c>
      <c r="D3807" s="1331"/>
      <c r="E3807" s="1331"/>
      <c r="F3807" s="1334"/>
      <c r="G3807" s="1104"/>
      <c r="H3807" s="1106"/>
      <c r="J3807" s="1597"/>
      <c r="K3807" s="1597"/>
      <c r="L3807" s="1597"/>
      <c r="M3807" s="1826"/>
    </row>
    <row r="3808" spans="2:13">
      <c r="B3808" s="1330"/>
      <c r="C3808" s="1332" t="s">
        <v>673</v>
      </c>
      <c r="D3808" s="1331" t="s">
        <v>674</v>
      </c>
      <c r="E3808" s="1331" t="s">
        <v>675</v>
      </c>
      <c r="F3808" s="1334">
        <v>0.15</v>
      </c>
      <c r="G3808" s="1104">
        <f>DUB!$I$10</f>
        <v>150000</v>
      </c>
      <c r="H3808" s="1106">
        <f>G3808*F3808</f>
        <v>22500</v>
      </c>
      <c r="J3808" s="1609" t="s">
        <v>5339</v>
      </c>
      <c r="K3808" s="1611">
        <v>1</v>
      </c>
      <c r="L3808" s="1608" t="s">
        <v>5340</v>
      </c>
      <c r="M3808" s="1827">
        <f>H3808*K3808</f>
        <v>22500</v>
      </c>
    </row>
    <row r="3809" spans="2:13">
      <c r="B3809" s="1330"/>
      <c r="C3809" s="1332" t="s">
        <v>816</v>
      </c>
      <c r="D3809" s="1331" t="s">
        <v>678</v>
      </c>
      <c r="E3809" s="1331" t="s">
        <v>675</v>
      </c>
      <c r="F3809" s="1334">
        <v>0.15</v>
      </c>
      <c r="G3809" s="1104">
        <f>DUB!$I$11</f>
        <v>187000</v>
      </c>
      <c r="H3809" s="1106">
        <f>G3809*F3809</f>
        <v>28050</v>
      </c>
      <c r="J3809" s="1609" t="s">
        <v>5339</v>
      </c>
      <c r="K3809" s="1611">
        <v>1</v>
      </c>
      <c r="L3809" s="1608" t="s">
        <v>5340</v>
      </c>
      <c r="M3809" s="1827">
        <f t="shared" ref="M3809" si="97">H3809*K3809</f>
        <v>28050</v>
      </c>
    </row>
    <row r="3810" spans="2:13">
      <c r="B3810" s="1330"/>
      <c r="C3810" s="1332" t="s">
        <v>751</v>
      </c>
      <c r="D3810" s="1331" t="s">
        <v>681</v>
      </c>
      <c r="E3810" s="1331" t="s">
        <v>675</v>
      </c>
      <c r="F3810" s="1334">
        <v>1.4999999999999999E-2</v>
      </c>
      <c r="G3810" s="1104">
        <f>DUB!$I$13</f>
        <v>240000</v>
      </c>
      <c r="H3810" s="1106">
        <f>G3810*F3810</f>
        <v>3600</v>
      </c>
      <c r="J3810" s="1609" t="s">
        <v>5339</v>
      </c>
      <c r="K3810" s="1611">
        <v>1</v>
      </c>
      <c r="L3810" s="1608" t="s">
        <v>5340</v>
      </c>
      <c r="M3810" s="1827">
        <f>H3810*K3810</f>
        <v>3600</v>
      </c>
    </row>
    <row r="3811" spans="2:13">
      <c r="B3811" s="1330"/>
      <c r="C3811" s="1332" t="s">
        <v>683</v>
      </c>
      <c r="D3811" s="1331" t="s">
        <v>684</v>
      </c>
      <c r="E3811" s="1331" t="s">
        <v>675</v>
      </c>
      <c r="F3811" s="1334">
        <v>8.0000000000000002E-3</v>
      </c>
      <c r="G3811" s="1104">
        <f>DUB!$I$12</f>
        <v>225000</v>
      </c>
      <c r="H3811" s="1106">
        <f>G3811*F3811</f>
        <v>1800</v>
      </c>
      <c r="J3811" s="1609" t="s">
        <v>5339</v>
      </c>
      <c r="K3811" s="1611">
        <v>1</v>
      </c>
      <c r="L3811" s="1608" t="s">
        <v>5340</v>
      </c>
      <c r="M3811" s="1827">
        <f t="shared" ref="M3811" si="98">H3811*K3811</f>
        <v>1800</v>
      </c>
    </row>
    <row r="3812" spans="2:13">
      <c r="B3812" s="1330"/>
      <c r="C3812" s="1332"/>
      <c r="D3812" s="1331"/>
      <c r="E3812" s="1331"/>
      <c r="F3812" s="2074" t="s">
        <v>685</v>
      </c>
      <c r="G3812" s="2074"/>
      <c r="H3812" s="1106">
        <f>SUM(H3808:H3811)</f>
        <v>55950</v>
      </c>
      <c r="J3812" s="1597"/>
      <c r="K3812" s="1597"/>
      <c r="L3812" s="1597"/>
      <c r="M3812" s="1107">
        <f>SUM(M3808:M3811)</f>
        <v>55950</v>
      </c>
    </row>
    <row r="3813" spans="2:13">
      <c r="B3813" s="1330" t="s">
        <v>686</v>
      </c>
      <c r="C3813" s="1332" t="s">
        <v>687</v>
      </c>
      <c r="D3813" s="1331"/>
      <c r="E3813" s="1331"/>
      <c r="F3813" s="1334"/>
      <c r="G3813" s="1104"/>
      <c r="H3813" s="1106"/>
      <c r="J3813" s="1634"/>
      <c r="K3813" s="1611"/>
      <c r="L3813" s="1607"/>
      <c r="M3813" s="1827"/>
    </row>
    <row r="3814" spans="2:13">
      <c r="B3814" s="1330"/>
      <c r="C3814" s="1332" t="s">
        <v>1179</v>
      </c>
      <c r="D3814" s="1331"/>
      <c r="E3814" s="1331" t="s">
        <v>743</v>
      </c>
      <c r="F3814" s="1334">
        <v>11.87</v>
      </c>
      <c r="G3814" s="1104">
        <f>DUB!$I$214</f>
        <v>12500</v>
      </c>
      <c r="H3814" s="1106">
        <f>G3814*F3814</f>
        <v>148375</v>
      </c>
      <c r="J3814" s="1642" t="s">
        <v>4925</v>
      </c>
      <c r="K3814" s="1611">
        <v>0.64170000000000005</v>
      </c>
      <c r="L3814" s="1607" t="s">
        <v>5343</v>
      </c>
      <c r="M3814" s="1827">
        <f t="shared" ref="M3814:M3815" si="99">H3814*K3814</f>
        <v>95212.237500000003</v>
      </c>
    </row>
    <row r="3815" spans="2:13">
      <c r="B3815" s="1330"/>
      <c r="C3815" s="1332" t="s">
        <v>1158</v>
      </c>
      <c r="D3815" s="1331"/>
      <c r="E3815" s="1331" t="s">
        <v>690</v>
      </c>
      <c r="F3815" s="1334">
        <v>0.35</v>
      </c>
      <c r="G3815" s="1104">
        <f>DUB!$I$88</f>
        <v>20934</v>
      </c>
      <c r="H3815" s="1106">
        <f>G3815*F3815</f>
        <v>7326.9</v>
      </c>
      <c r="J3815" s="1642" t="s">
        <v>4925</v>
      </c>
      <c r="K3815" s="1611">
        <v>0.45829999999999999</v>
      </c>
      <c r="L3815" s="1607" t="s">
        <v>5343</v>
      </c>
      <c r="M3815" s="1827">
        <f t="shared" si="99"/>
        <v>3357.9182699999997</v>
      </c>
    </row>
    <row r="3816" spans="2:13">
      <c r="B3816" s="1330"/>
      <c r="C3816" s="1125"/>
      <c r="D3816" s="1333"/>
      <c r="E3816" s="1333"/>
      <c r="F3816" s="2074" t="s">
        <v>702</v>
      </c>
      <c r="G3816" s="2074"/>
      <c r="H3816" s="1106">
        <f>SUM(H3814:H3815)</f>
        <v>155701.9</v>
      </c>
      <c r="J3816" s="1597"/>
      <c r="K3816" s="1597"/>
      <c r="L3816" s="1597"/>
      <c r="M3816" s="1106">
        <f>SUM(M3814:M3815)</f>
        <v>98570.155769999998</v>
      </c>
    </row>
    <row r="3817" spans="2:13" s="496" customFormat="1">
      <c r="B3817" s="1330" t="s">
        <v>703</v>
      </c>
      <c r="C3817" s="2075" t="s">
        <v>3764</v>
      </c>
      <c r="D3817" s="2075"/>
      <c r="E3817" s="2075"/>
      <c r="F3817" s="2075"/>
      <c r="G3817" s="2075"/>
      <c r="H3817" s="1107">
        <f>H3812+H3816</f>
        <v>211651.9</v>
      </c>
      <c r="J3817" s="1600"/>
      <c r="K3817" s="1633">
        <f>M3817/H3817</f>
        <v>0.73006741621502103</v>
      </c>
      <c r="L3817" s="1600"/>
      <c r="M3817" s="1107">
        <f>M3812+M3816</f>
        <v>154520.15577000001</v>
      </c>
    </row>
    <row r="3818" spans="2:13" s="496" customFormat="1">
      <c r="B3818" s="1330" t="s">
        <v>706</v>
      </c>
      <c r="C3818" s="2076" t="s">
        <v>876</v>
      </c>
      <c r="D3818" s="2076"/>
      <c r="E3818" s="2076"/>
      <c r="F3818" s="2077" t="s">
        <v>3873</v>
      </c>
      <c r="G3818" s="2077"/>
      <c r="H3818" s="1107">
        <f>H3817*0.15</f>
        <v>31747.784999999996</v>
      </c>
      <c r="J3818" s="1600"/>
      <c r="K3818" s="1600"/>
      <c r="L3818" s="1600"/>
      <c r="M3818" s="1107">
        <f>M3817*0.15</f>
        <v>23178.023365500001</v>
      </c>
    </row>
    <row r="3819" spans="2:13" s="496" customFormat="1">
      <c r="B3819" s="1330" t="s">
        <v>708</v>
      </c>
      <c r="C3819" s="2078" t="s">
        <v>3765</v>
      </c>
      <c r="D3819" s="2078"/>
      <c r="E3819" s="2078"/>
      <c r="F3819" s="2078"/>
      <c r="G3819" s="2078"/>
      <c r="H3819" s="1107">
        <f>ROUND(SUM(H3817:H3818),2)</f>
        <v>243399.69</v>
      </c>
      <c r="I3819" s="506">
        <f>SUM(H3817:H3818)</f>
        <v>243399.685</v>
      </c>
      <c r="J3819" s="1636"/>
      <c r="K3819" s="1636"/>
      <c r="L3819" s="1637"/>
      <c r="M3819" s="1919">
        <f>ROUND(SUM(M3817:M3818),2)</f>
        <v>177698.18</v>
      </c>
    </row>
    <row r="3820" spans="2:13" s="947" customFormat="1" hidden="1">
      <c r="B3820" s="1624"/>
      <c r="C3820" s="1096"/>
      <c r="D3820" s="1095"/>
      <c r="E3820" s="1095"/>
      <c r="F3820" s="1172"/>
      <c r="G3820" s="1173"/>
      <c r="H3820" s="1133"/>
      <c r="J3820" s="1557"/>
      <c r="K3820" s="1557"/>
      <c r="L3820" s="1557"/>
      <c r="M3820" s="1619"/>
    </row>
    <row r="3821" spans="2:13" s="947" customFormat="1" hidden="1">
      <c r="B3821" s="1613" t="s">
        <v>4064</v>
      </c>
      <c r="C3821" s="1232" t="s">
        <v>4363</v>
      </c>
      <c r="D3821" s="1095"/>
      <c r="E3821" s="1095"/>
      <c r="F3821" s="1172"/>
      <c r="G3821" s="1173"/>
      <c r="H3821" s="1133"/>
      <c r="J3821" s="1557"/>
      <c r="K3821" s="1557"/>
      <c r="L3821" s="1557"/>
      <c r="M3821" s="1619"/>
    </row>
    <row r="3822" spans="2:13" s="948" customFormat="1" ht="24.9" hidden="1" customHeight="1">
      <c r="B3822" s="1648" t="s">
        <v>1003</v>
      </c>
      <c r="C3822" s="1101" t="s">
        <v>1004</v>
      </c>
      <c r="D3822" s="1101" t="s">
        <v>1005</v>
      </c>
      <c r="E3822" s="1101" t="s">
        <v>1006</v>
      </c>
      <c r="F3822" s="1102" t="s">
        <v>1007</v>
      </c>
      <c r="G3822" s="1109" t="s">
        <v>2637</v>
      </c>
      <c r="H3822" s="1110" t="s">
        <v>2638</v>
      </c>
      <c r="J3822" s="1625"/>
      <c r="K3822" s="1625"/>
      <c r="L3822" s="1625"/>
      <c r="M3822" s="1626"/>
    </row>
    <row r="3823" spans="2:13" s="947" customFormat="1" hidden="1">
      <c r="B3823" s="1649" t="s">
        <v>671</v>
      </c>
      <c r="C3823" s="1332" t="s">
        <v>672</v>
      </c>
      <c r="D3823" s="1331"/>
      <c r="E3823" s="1331"/>
      <c r="F3823" s="1334"/>
      <c r="G3823" s="1104"/>
      <c r="H3823" s="1106"/>
      <c r="J3823" s="1557"/>
      <c r="K3823" s="1557"/>
      <c r="L3823" s="1557"/>
      <c r="M3823" s="1619"/>
    </row>
    <row r="3824" spans="2:13" s="947" customFormat="1" hidden="1">
      <c r="B3824" s="1649"/>
      <c r="C3824" s="1332" t="s">
        <v>673</v>
      </c>
      <c r="D3824" s="1331" t="s">
        <v>674</v>
      </c>
      <c r="E3824" s="1331" t="s">
        <v>675</v>
      </c>
      <c r="F3824" s="1334">
        <v>0.35</v>
      </c>
      <c r="G3824" s="1104">
        <f>DUB!$I$10</f>
        <v>150000</v>
      </c>
      <c r="H3824" s="1106">
        <f>G3824*F3824</f>
        <v>52500</v>
      </c>
      <c r="J3824" s="1557"/>
      <c r="K3824" s="1557"/>
      <c r="L3824" s="1557"/>
      <c r="M3824" s="1619"/>
    </row>
    <row r="3825" spans="2:13" s="947" customFormat="1" hidden="1">
      <c r="B3825" s="1649"/>
      <c r="C3825" s="1332" t="s">
        <v>816</v>
      </c>
      <c r="D3825" s="1331" t="s">
        <v>678</v>
      </c>
      <c r="E3825" s="1331" t="s">
        <v>675</v>
      </c>
      <c r="F3825" s="1334">
        <v>0.17499999999999999</v>
      </c>
      <c r="G3825" s="1104">
        <f>DUB!$I$11</f>
        <v>187000</v>
      </c>
      <c r="H3825" s="1106">
        <f>G3825*F3825</f>
        <v>32724.999999999996</v>
      </c>
      <c r="J3825" s="1557"/>
      <c r="K3825" s="1557"/>
      <c r="L3825" s="1557"/>
      <c r="M3825" s="1619"/>
    </row>
    <row r="3826" spans="2:13" s="947" customFormat="1" hidden="1">
      <c r="B3826" s="1649"/>
      <c r="C3826" s="1332" t="s">
        <v>751</v>
      </c>
      <c r="D3826" s="1331" t="s">
        <v>681</v>
      </c>
      <c r="E3826" s="1331" t="s">
        <v>675</v>
      </c>
      <c r="F3826" s="1334">
        <v>1.7000000000000001E-2</v>
      </c>
      <c r="G3826" s="1104">
        <f>DUB!$I$13</f>
        <v>240000</v>
      </c>
      <c r="H3826" s="1106">
        <f>G3826*F3826</f>
        <v>4080.0000000000005</v>
      </c>
      <c r="J3826" s="1557"/>
      <c r="K3826" s="1557"/>
      <c r="L3826" s="1557"/>
      <c r="M3826" s="1619"/>
    </row>
    <row r="3827" spans="2:13" s="947" customFormat="1" hidden="1">
      <c r="B3827" s="1649"/>
      <c r="C3827" s="1332" t="s">
        <v>683</v>
      </c>
      <c r="D3827" s="1331" t="s">
        <v>684</v>
      </c>
      <c r="E3827" s="1331" t="s">
        <v>675</v>
      </c>
      <c r="F3827" s="1334">
        <v>2E-3</v>
      </c>
      <c r="G3827" s="1104">
        <f>DUB!$I$12</f>
        <v>225000</v>
      </c>
      <c r="H3827" s="1106">
        <f>G3827*F3827</f>
        <v>450</v>
      </c>
      <c r="J3827" s="1557"/>
      <c r="K3827" s="1557"/>
      <c r="L3827" s="1557"/>
      <c r="M3827" s="1619"/>
    </row>
    <row r="3828" spans="2:13" s="947" customFormat="1" hidden="1">
      <c r="B3828" s="1649"/>
      <c r="C3828" s="1332"/>
      <c r="D3828" s="1331"/>
      <c r="E3828" s="1331"/>
      <c r="F3828" s="2074" t="s">
        <v>685</v>
      </c>
      <c r="G3828" s="2074"/>
      <c r="H3828" s="1106">
        <f>SUM(H3824:H3827)</f>
        <v>89755</v>
      </c>
      <c r="J3828" s="1557"/>
      <c r="K3828" s="1557"/>
      <c r="L3828" s="1557"/>
      <c r="M3828" s="1619"/>
    </row>
    <row r="3829" spans="2:13" s="947" customFormat="1" hidden="1">
      <c r="B3829" s="1649" t="s">
        <v>686</v>
      </c>
      <c r="C3829" s="1332" t="s">
        <v>687</v>
      </c>
      <c r="D3829" s="1331"/>
      <c r="E3829" s="1331"/>
      <c r="F3829" s="1334"/>
      <c r="G3829" s="1104"/>
      <c r="H3829" s="1106"/>
      <c r="J3829" s="1557"/>
      <c r="K3829" s="1557"/>
      <c r="L3829" s="1557"/>
      <c r="M3829" s="1619"/>
    </row>
    <row r="3830" spans="2:13" s="947" customFormat="1" hidden="1">
      <c r="B3830" s="1649"/>
      <c r="C3830" s="1332" t="s">
        <v>1181</v>
      </c>
      <c r="D3830" s="1331"/>
      <c r="E3830" s="1331" t="s">
        <v>853</v>
      </c>
      <c r="F3830" s="1334">
        <v>2.2000000000000002</v>
      </c>
      <c r="G3830" s="1104">
        <f>DUB!$I$210</f>
        <v>53550</v>
      </c>
      <c r="H3830" s="1106">
        <f>G3830*F3830</f>
        <v>117810.00000000001</v>
      </c>
      <c r="J3830" s="1557"/>
      <c r="K3830" s="1557"/>
      <c r="L3830" s="1557"/>
      <c r="M3830" s="1619"/>
    </row>
    <row r="3831" spans="2:13" s="947" customFormat="1" hidden="1">
      <c r="B3831" s="1649"/>
      <c r="C3831" s="1332" t="s">
        <v>1158</v>
      </c>
      <c r="D3831" s="1331"/>
      <c r="E3831" s="1331" t="s">
        <v>690</v>
      </c>
      <c r="F3831" s="1334">
        <v>0.25</v>
      </c>
      <c r="G3831" s="1104">
        <f>DUB!$I$88</f>
        <v>20934</v>
      </c>
      <c r="H3831" s="1106">
        <f>G3831*F3831</f>
        <v>5233.5</v>
      </c>
      <c r="J3831" s="1557"/>
      <c r="K3831" s="1557"/>
      <c r="L3831" s="1557"/>
      <c r="M3831" s="1619"/>
    </row>
    <row r="3832" spans="2:13" s="947" customFormat="1" hidden="1">
      <c r="B3832" s="1649"/>
      <c r="C3832" s="1125"/>
      <c r="D3832" s="1333"/>
      <c r="E3832" s="1333"/>
      <c r="F3832" s="2074" t="s">
        <v>702</v>
      </c>
      <c r="G3832" s="2074"/>
      <c r="H3832" s="1106">
        <f>SUM(H3830:H3831)</f>
        <v>123043.50000000001</v>
      </c>
      <c r="J3832" s="1557"/>
      <c r="K3832" s="1557"/>
      <c r="L3832" s="1557"/>
      <c r="M3832" s="1619"/>
    </row>
    <row r="3833" spans="2:13" s="949" customFormat="1" hidden="1">
      <c r="B3833" s="1649" t="s">
        <v>703</v>
      </c>
      <c r="C3833" s="2075" t="s">
        <v>3764</v>
      </c>
      <c r="D3833" s="2075"/>
      <c r="E3833" s="2075"/>
      <c r="F3833" s="2075"/>
      <c r="G3833" s="2075"/>
      <c r="H3833" s="1107">
        <f>H3828+H3832</f>
        <v>212798.5</v>
      </c>
      <c r="J3833" s="1559"/>
      <c r="K3833" s="1559"/>
      <c r="L3833" s="1559"/>
      <c r="M3833" s="1614"/>
    </row>
    <row r="3834" spans="2:13" s="949" customFormat="1" hidden="1">
      <c r="B3834" s="1649" t="s">
        <v>706</v>
      </c>
      <c r="C3834" s="2076" t="s">
        <v>876</v>
      </c>
      <c r="D3834" s="2076"/>
      <c r="E3834" s="2076"/>
      <c r="F3834" s="2077" t="s">
        <v>3873</v>
      </c>
      <c r="G3834" s="2077"/>
      <c r="H3834" s="1107">
        <f>H3833*0.15</f>
        <v>31919.774999999998</v>
      </c>
      <c r="J3834" s="1559"/>
      <c r="K3834" s="1559"/>
      <c r="L3834" s="1559"/>
      <c r="M3834" s="1614"/>
    </row>
    <row r="3835" spans="2:13" s="949" customFormat="1" hidden="1">
      <c r="B3835" s="1649" t="s">
        <v>708</v>
      </c>
      <c r="C3835" s="2078" t="s">
        <v>3765</v>
      </c>
      <c r="D3835" s="2078"/>
      <c r="E3835" s="2078"/>
      <c r="F3835" s="2078"/>
      <c r="G3835" s="2078"/>
      <c r="H3835" s="1107">
        <f>ROUND(SUM(H3833:H3834),2)</f>
        <v>244718.28</v>
      </c>
      <c r="I3835" s="950">
        <f>SUM(H3833:H3834)</f>
        <v>244718.27499999999</v>
      </c>
      <c r="J3835" s="1561"/>
      <c r="K3835" s="1561"/>
      <c r="L3835" s="1559"/>
      <c r="M3835" s="1614"/>
    </row>
    <row r="3836" spans="2:13" s="947" customFormat="1" hidden="1">
      <c r="B3836" s="1659"/>
      <c r="C3836" s="1144"/>
      <c r="D3836" s="1143"/>
      <c r="E3836" s="1143"/>
      <c r="F3836" s="1145"/>
      <c r="G3836" s="1146"/>
      <c r="H3836" s="1147"/>
      <c r="J3836" s="1557"/>
      <c r="K3836" s="1557"/>
      <c r="L3836" s="1557"/>
      <c r="M3836" s="1619"/>
    </row>
    <row r="3837" spans="2:13" s="947" customFormat="1" hidden="1">
      <c r="B3837" s="1613" t="s">
        <v>4364</v>
      </c>
      <c r="C3837" s="1232" t="s">
        <v>4365</v>
      </c>
      <c r="D3837" s="1095"/>
      <c r="E3837" s="1095"/>
      <c r="F3837" s="1172"/>
      <c r="G3837" s="1173"/>
      <c r="H3837" s="1133"/>
      <c r="J3837" s="1557"/>
      <c r="K3837" s="1557"/>
      <c r="L3837" s="1557"/>
      <c r="M3837" s="1619"/>
    </row>
    <row r="3838" spans="2:13" s="947" customFormat="1" ht="24.9" hidden="1" customHeight="1">
      <c r="B3838" s="1648" t="s">
        <v>1003</v>
      </c>
      <c r="C3838" s="1101" t="s">
        <v>1004</v>
      </c>
      <c r="D3838" s="1101" t="s">
        <v>1005</v>
      </c>
      <c r="E3838" s="1101" t="s">
        <v>1006</v>
      </c>
      <c r="F3838" s="1102" t="s">
        <v>1007</v>
      </c>
      <c r="G3838" s="1109" t="s">
        <v>2637</v>
      </c>
      <c r="H3838" s="1110" t="s">
        <v>2638</v>
      </c>
      <c r="J3838" s="1557"/>
      <c r="K3838" s="1557"/>
      <c r="L3838" s="1557"/>
      <c r="M3838" s="1619"/>
    </row>
    <row r="3839" spans="2:13" s="947" customFormat="1" hidden="1">
      <c r="B3839" s="1649" t="s">
        <v>671</v>
      </c>
      <c r="C3839" s="1332" t="s">
        <v>672</v>
      </c>
      <c r="D3839" s="1331"/>
      <c r="E3839" s="1331"/>
      <c r="F3839" s="1334"/>
      <c r="G3839" s="1104"/>
      <c r="H3839" s="1106"/>
      <c r="J3839" s="1557"/>
      <c r="K3839" s="1557"/>
      <c r="L3839" s="1557"/>
      <c r="M3839" s="1619"/>
    </row>
    <row r="3840" spans="2:13" s="947" customFormat="1" hidden="1">
      <c r="B3840" s="1649"/>
      <c r="C3840" s="1332" t="s">
        <v>673</v>
      </c>
      <c r="D3840" s="1331" t="s">
        <v>674</v>
      </c>
      <c r="E3840" s="1331" t="s">
        <v>675</v>
      </c>
      <c r="F3840" s="1334">
        <v>0.35</v>
      </c>
      <c r="G3840" s="1104">
        <f>DUB!$I$10</f>
        <v>150000</v>
      </c>
      <c r="H3840" s="1106">
        <f>G3840*F3840</f>
        <v>52500</v>
      </c>
      <c r="J3840" s="1557"/>
      <c r="K3840" s="1557"/>
      <c r="L3840" s="1557"/>
      <c r="M3840" s="1619"/>
    </row>
    <row r="3841" spans="2:13" s="947" customFormat="1" hidden="1">
      <c r="B3841" s="1649"/>
      <c r="C3841" s="1332" t="s">
        <v>816</v>
      </c>
      <c r="D3841" s="1331" t="s">
        <v>678</v>
      </c>
      <c r="E3841" s="1331" t="s">
        <v>675</v>
      </c>
      <c r="F3841" s="1334">
        <v>0.17499999999999999</v>
      </c>
      <c r="G3841" s="1104">
        <f>DUB!$I$11</f>
        <v>187000</v>
      </c>
      <c r="H3841" s="1106">
        <f>G3841*F3841</f>
        <v>32724.999999999996</v>
      </c>
      <c r="J3841" s="1557"/>
      <c r="K3841" s="1557"/>
      <c r="L3841" s="1557"/>
      <c r="M3841" s="1619"/>
    </row>
    <row r="3842" spans="2:13" s="947" customFormat="1" hidden="1">
      <c r="B3842" s="1649"/>
      <c r="C3842" s="1332" t="s">
        <v>751</v>
      </c>
      <c r="D3842" s="1331" t="s">
        <v>681</v>
      </c>
      <c r="E3842" s="1331" t="s">
        <v>675</v>
      </c>
      <c r="F3842" s="1334">
        <v>1.7000000000000001E-2</v>
      </c>
      <c r="G3842" s="1104">
        <f>DUB!$I$13</f>
        <v>240000</v>
      </c>
      <c r="H3842" s="1106">
        <f>G3842*F3842</f>
        <v>4080.0000000000005</v>
      </c>
      <c r="J3842" s="1557"/>
      <c r="K3842" s="1557"/>
      <c r="L3842" s="1557"/>
      <c r="M3842" s="1619"/>
    </row>
    <row r="3843" spans="2:13" s="947" customFormat="1" hidden="1">
      <c r="B3843" s="1649"/>
      <c r="C3843" s="1332" t="s">
        <v>683</v>
      </c>
      <c r="D3843" s="1331" t="s">
        <v>684</v>
      </c>
      <c r="E3843" s="1331" t="s">
        <v>675</v>
      </c>
      <c r="F3843" s="1334">
        <v>2E-3</v>
      </c>
      <c r="G3843" s="1104">
        <f>DUB!$I$12</f>
        <v>225000</v>
      </c>
      <c r="H3843" s="1106">
        <f>G3843*F3843</f>
        <v>450</v>
      </c>
      <c r="J3843" s="1557"/>
      <c r="K3843" s="1557"/>
      <c r="L3843" s="1557"/>
      <c r="M3843" s="1619"/>
    </row>
    <row r="3844" spans="2:13" s="947" customFormat="1" hidden="1">
      <c r="B3844" s="1649"/>
      <c r="C3844" s="1332"/>
      <c r="D3844" s="1331"/>
      <c r="E3844" s="1331"/>
      <c r="F3844" s="2074" t="s">
        <v>685</v>
      </c>
      <c r="G3844" s="2074"/>
      <c r="H3844" s="1106">
        <f>SUM(H3840:H3843)</f>
        <v>89755</v>
      </c>
      <c r="J3844" s="1557"/>
      <c r="K3844" s="1557"/>
      <c r="L3844" s="1557"/>
      <c r="M3844" s="1619"/>
    </row>
    <row r="3845" spans="2:13" s="947" customFormat="1" hidden="1">
      <c r="B3845" s="1649" t="s">
        <v>686</v>
      </c>
      <c r="C3845" s="1332" t="s">
        <v>687</v>
      </c>
      <c r="D3845" s="1331"/>
      <c r="E3845" s="1331"/>
      <c r="F3845" s="1334"/>
      <c r="G3845" s="1104"/>
      <c r="H3845" s="1106"/>
      <c r="J3845" s="1557"/>
      <c r="K3845" s="1557"/>
      <c r="L3845" s="1557"/>
      <c r="M3845" s="1619"/>
    </row>
    <row r="3846" spans="2:13" s="947" customFormat="1" hidden="1">
      <c r="B3846" s="1649"/>
      <c r="C3846" s="1332" t="s">
        <v>1181</v>
      </c>
      <c r="D3846" s="1331"/>
      <c r="E3846" s="1331" t="s">
        <v>853</v>
      </c>
      <c r="F3846" s="1334">
        <v>2.2000000000000002</v>
      </c>
      <c r="G3846" s="1104">
        <f>DUB!$I$211</f>
        <v>80325</v>
      </c>
      <c r="H3846" s="1106">
        <f>G3846*F3846</f>
        <v>176715</v>
      </c>
      <c r="J3846" s="1557"/>
      <c r="K3846" s="1557"/>
      <c r="L3846" s="1557"/>
      <c r="M3846" s="1619"/>
    </row>
    <row r="3847" spans="2:13" s="947" customFormat="1" hidden="1">
      <c r="B3847" s="1649"/>
      <c r="C3847" s="1332" t="s">
        <v>1158</v>
      </c>
      <c r="D3847" s="1331"/>
      <c r="E3847" s="1331" t="s">
        <v>690</v>
      </c>
      <c r="F3847" s="1334">
        <v>0.25</v>
      </c>
      <c r="G3847" s="1104">
        <f>DUB!$I$88</f>
        <v>20934</v>
      </c>
      <c r="H3847" s="1106">
        <f>G3847*F3847</f>
        <v>5233.5</v>
      </c>
      <c r="J3847" s="1557"/>
      <c r="K3847" s="1557"/>
      <c r="L3847" s="1557"/>
      <c r="M3847" s="1619"/>
    </row>
    <row r="3848" spans="2:13" s="947" customFormat="1" hidden="1">
      <c r="B3848" s="1649"/>
      <c r="C3848" s="1125"/>
      <c r="D3848" s="1333"/>
      <c r="E3848" s="1333"/>
      <c r="F3848" s="2074" t="s">
        <v>702</v>
      </c>
      <c r="G3848" s="2074"/>
      <c r="H3848" s="1106">
        <f>SUM(H3846:H3847)</f>
        <v>181948.5</v>
      </c>
      <c r="J3848" s="1557"/>
      <c r="K3848" s="1557"/>
      <c r="L3848" s="1557"/>
      <c r="M3848" s="1619"/>
    </row>
    <row r="3849" spans="2:13" s="947" customFormat="1" hidden="1">
      <c r="B3849" s="1649" t="s">
        <v>703</v>
      </c>
      <c r="C3849" s="2075" t="s">
        <v>3764</v>
      </c>
      <c r="D3849" s="2075"/>
      <c r="E3849" s="2075"/>
      <c r="F3849" s="2075"/>
      <c r="G3849" s="2075"/>
      <c r="H3849" s="1107">
        <f>H3844+H3848</f>
        <v>271703.5</v>
      </c>
      <c r="J3849" s="1557"/>
      <c r="K3849" s="1557"/>
      <c r="L3849" s="1557"/>
      <c r="M3849" s="1619"/>
    </row>
    <row r="3850" spans="2:13" s="947" customFormat="1" hidden="1">
      <c r="B3850" s="1649" t="s">
        <v>706</v>
      </c>
      <c r="C3850" s="2076" t="s">
        <v>876</v>
      </c>
      <c r="D3850" s="2076"/>
      <c r="E3850" s="2076"/>
      <c r="F3850" s="2077" t="s">
        <v>3873</v>
      </c>
      <c r="G3850" s="2077"/>
      <c r="H3850" s="1107">
        <f>H3849*0.15</f>
        <v>40755.525000000001</v>
      </c>
      <c r="J3850" s="1557"/>
      <c r="K3850" s="1557"/>
      <c r="L3850" s="1557"/>
      <c r="M3850" s="1619"/>
    </row>
    <row r="3851" spans="2:13" s="947" customFormat="1" hidden="1">
      <c r="B3851" s="1649" t="s">
        <v>708</v>
      </c>
      <c r="C3851" s="2078" t="s">
        <v>3765</v>
      </c>
      <c r="D3851" s="2078"/>
      <c r="E3851" s="2078"/>
      <c r="F3851" s="2078"/>
      <c r="G3851" s="2078"/>
      <c r="H3851" s="1107">
        <f>ROUND(SUM(H3849:H3850),2)</f>
        <v>312459.03000000003</v>
      </c>
      <c r="J3851" s="1557"/>
      <c r="K3851" s="1557"/>
      <c r="L3851" s="1557"/>
      <c r="M3851" s="1619"/>
    </row>
    <row r="3852" spans="2:13" s="947" customFormat="1" hidden="1">
      <c r="B3852" s="1623"/>
      <c r="C3852" s="1130"/>
      <c r="D3852" s="1129"/>
      <c r="E3852" s="1129"/>
      <c r="F3852" s="1131"/>
      <c r="G3852" s="1132"/>
      <c r="H3852" s="1115"/>
      <c r="J3852" s="1557"/>
      <c r="K3852" s="1557"/>
      <c r="L3852" s="1557"/>
      <c r="M3852" s="1619"/>
    </row>
    <row r="3853" spans="2:13" s="947" customFormat="1" hidden="1">
      <c r="B3853" s="1615" t="s">
        <v>4065</v>
      </c>
      <c r="C3853" s="1112" t="s">
        <v>2787</v>
      </c>
      <c r="D3853" s="1129"/>
      <c r="E3853" s="1129"/>
      <c r="F3853" s="1131"/>
      <c r="G3853" s="1132"/>
      <c r="H3853" s="1115"/>
      <c r="J3853" s="1557"/>
      <c r="K3853" s="1557"/>
      <c r="L3853" s="1557"/>
      <c r="M3853" s="1619"/>
    </row>
    <row r="3854" spans="2:13" s="948" customFormat="1" ht="24.9" hidden="1" customHeight="1">
      <c r="B3854" s="1648" t="s">
        <v>1003</v>
      </c>
      <c r="C3854" s="1101" t="s">
        <v>1004</v>
      </c>
      <c r="D3854" s="1101" t="s">
        <v>1005</v>
      </c>
      <c r="E3854" s="1101" t="s">
        <v>1006</v>
      </c>
      <c r="F3854" s="1102" t="s">
        <v>1007</v>
      </c>
      <c r="G3854" s="1109" t="s">
        <v>2637</v>
      </c>
      <c r="H3854" s="1110" t="s">
        <v>2638</v>
      </c>
      <c r="J3854" s="1625"/>
      <c r="K3854" s="1625"/>
      <c r="L3854" s="1625"/>
      <c r="M3854" s="1626"/>
    </row>
    <row r="3855" spans="2:13" s="947" customFormat="1" hidden="1">
      <c r="B3855" s="1649" t="s">
        <v>671</v>
      </c>
      <c r="C3855" s="1332" t="s">
        <v>672</v>
      </c>
      <c r="D3855" s="1331"/>
      <c r="E3855" s="1331"/>
      <c r="F3855" s="1334"/>
      <c r="G3855" s="1104"/>
      <c r="H3855" s="1106"/>
      <c r="J3855" s="1557"/>
      <c r="K3855" s="1557"/>
      <c r="L3855" s="1557"/>
      <c r="M3855" s="1619"/>
    </row>
    <row r="3856" spans="2:13" s="947" customFormat="1" hidden="1">
      <c r="B3856" s="1649"/>
      <c r="C3856" s="1332" t="s">
        <v>673</v>
      </c>
      <c r="D3856" s="1331" t="s">
        <v>674</v>
      </c>
      <c r="E3856" s="1331" t="s">
        <v>675</v>
      </c>
      <c r="F3856" s="1334">
        <v>0.12</v>
      </c>
      <c r="G3856" s="1104">
        <f>DUB!$I$10</f>
        <v>150000</v>
      </c>
      <c r="H3856" s="1106">
        <f>G3856*F3856</f>
        <v>18000</v>
      </c>
      <c r="J3856" s="1557"/>
      <c r="K3856" s="1557"/>
      <c r="L3856" s="1557"/>
      <c r="M3856" s="1619"/>
    </row>
    <row r="3857" spans="2:13" s="947" customFormat="1" hidden="1">
      <c r="B3857" s="1649"/>
      <c r="C3857" s="1332" t="s">
        <v>816</v>
      </c>
      <c r="D3857" s="1331" t="s">
        <v>678</v>
      </c>
      <c r="E3857" s="1331" t="s">
        <v>675</v>
      </c>
      <c r="F3857" s="1334">
        <v>0.12</v>
      </c>
      <c r="G3857" s="1104">
        <f>DUB!$I$11</f>
        <v>187000</v>
      </c>
      <c r="H3857" s="1106">
        <f>G3857*F3857</f>
        <v>22440</v>
      </c>
      <c r="J3857" s="1557"/>
      <c r="K3857" s="1557"/>
      <c r="L3857" s="1557"/>
      <c r="M3857" s="1619"/>
    </row>
    <row r="3858" spans="2:13" s="947" customFormat="1" hidden="1">
      <c r="B3858" s="1649"/>
      <c r="C3858" s="1332" t="s">
        <v>751</v>
      </c>
      <c r="D3858" s="1331" t="s">
        <v>681</v>
      </c>
      <c r="E3858" s="1331" t="s">
        <v>675</v>
      </c>
      <c r="F3858" s="1334">
        <v>1.2E-2</v>
      </c>
      <c r="G3858" s="1104">
        <f>DUB!$I$13</f>
        <v>240000</v>
      </c>
      <c r="H3858" s="1106">
        <f>G3858*F3858</f>
        <v>2880</v>
      </c>
      <c r="J3858" s="1557"/>
      <c r="K3858" s="1557"/>
      <c r="L3858" s="1557"/>
      <c r="M3858" s="1619"/>
    </row>
    <row r="3859" spans="2:13" s="947" customFormat="1" hidden="1">
      <c r="B3859" s="1649"/>
      <c r="C3859" s="1332" t="s">
        <v>683</v>
      </c>
      <c r="D3859" s="1331" t="s">
        <v>684</v>
      </c>
      <c r="E3859" s="1331" t="s">
        <v>675</v>
      </c>
      <c r="F3859" s="1334">
        <v>6.0000000000000001E-3</v>
      </c>
      <c r="G3859" s="1104">
        <f>DUB!$I$12</f>
        <v>225000</v>
      </c>
      <c r="H3859" s="1106">
        <f>G3859*F3859</f>
        <v>1350</v>
      </c>
      <c r="J3859" s="1557"/>
      <c r="K3859" s="1557"/>
      <c r="L3859" s="1557"/>
      <c r="M3859" s="1619"/>
    </row>
    <row r="3860" spans="2:13" s="947" customFormat="1" hidden="1">
      <c r="B3860" s="1649"/>
      <c r="C3860" s="1332"/>
      <c r="D3860" s="1331"/>
      <c r="E3860" s="1331"/>
      <c r="F3860" s="2074" t="s">
        <v>685</v>
      </c>
      <c r="G3860" s="2074"/>
      <c r="H3860" s="1106">
        <f>SUM(H3856:H3859)</f>
        <v>44670</v>
      </c>
      <c r="J3860" s="1557"/>
      <c r="K3860" s="1557"/>
      <c r="L3860" s="1557"/>
      <c r="M3860" s="1619"/>
    </row>
    <row r="3861" spans="2:13" s="947" customFormat="1" hidden="1">
      <c r="B3861" s="1649" t="s">
        <v>686</v>
      </c>
      <c r="C3861" s="1332" t="s">
        <v>687</v>
      </c>
      <c r="D3861" s="1331"/>
      <c r="E3861" s="1331"/>
      <c r="F3861" s="1334"/>
      <c r="G3861" s="1104"/>
      <c r="H3861" s="1106"/>
      <c r="J3861" s="1557"/>
      <c r="K3861" s="1557"/>
      <c r="L3861" s="1557"/>
      <c r="M3861" s="1619"/>
    </row>
    <row r="3862" spans="2:13" s="947" customFormat="1" hidden="1">
      <c r="B3862" s="1649"/>
      <c r="C3862" s="1332" t="s">
        <v>1182</v>
      </c>
      <c r="D3862" s="1331"/>
      <c r="E3862" s="1331" t="s">
        <v>690</v>
      </c>
      <c r="F3862" s="1334">
        <v>5</v>
      </c>
      <c r="G3862" s="1104">
        <f>DUB!I180</f>
        <v>4014</v>
      </c>
      <c r="H3862" s="1106">
        <f>G3862*F3862</f>
        <v>20070</v>
      </c>
      <c r="J3862" s="1557"/>
      <c r="K3862" s="1557"/>
      <c r="L3862" s="1557"/>
      <c r="M3862" s="1619"/>
    </row>
    <row r="3863" spans="2:13" s="947" customFormat="1" hidden="1">
      <c r="B3863" s="1649"/>
      <c r="C3863" s="1332"/>
      <c r="D3863" s="1331"/>
      <c r="E3863" s="1331"/>
      <c r="F3863" s="2091" t="s">
        <v>702</v>
      </c>
      <c r="G3863" s="2091"/>
      <c r="H3863" s="1106">
        <f>SUM(H3862)</f>
        <v>20070</v>
      </c>
      <c r="J3863" s="1557"/>
      <c r="K3863" s="1557"/>
      <c r="L3863" s="1557"/>
      <c r="M3863" s="1619"/>
    </row>
    <row r="3864" spans="2:13" s="947" customFormat="1" hidden="1">
      <c r="B3864" s="1649" t="s">
        <v>703</v>
      </c>
      <c r="C3864" s="1332" t="s">
        <v>704</v>
      </c>
      <c r="D3864" s="1331"/>
      <c r="E3864" s="1331"/>
      <c r="F3864" s="1334"/>
      <c r="G3864" s="1104"/>
      <c r="H3864" s="1106"/>
      <c r="J3864" s="1557"/>
      <c r="K3864" s="1557"/>
      <c r="L3864" s="1557"/>
      <c r="M3864" s="1619"/>
    </row>
    <row r="3865" spans="2:13" s="947" customFormat="1" hidden="1">
      <c r="B3865" s="1649"/>
      <c r="C3865" s="1332" t="s">
        <v>4491</v>
      </c>
      <c r="D3865" s="1331"/>
      <c r="E3865" s="1331" t="s">
        <v>2647</v>
      </c>
      <c r="F3865" s="1334">
        <v>1</v>
      </c>
      <c r="G3865" s="1104">
        <f>DUB!$I$219</f>
        <v>24093</v>
      </c>
      <c r="H3865" s="1106">
        <f>G3865*F3865</f>
        <v>24093</v>
      </c>
      <c r="J3865" s="1557"/>
      <c r="K3865" s="1557"/>
      <c r="L3865" s="1557"/>
      <c r="M3865" s="1619"/>
    </row>
    <row r="3866" spans="2:13" s="947" customFormat="1" hidden="1">
      <c r="B3866" s="1649"/>
      <c r="C3866" s="1332"/>
      <c r="D3866" s="1331"/>
      <c r="E3866" s="1331"/>
      <c r="F3866" s="2091" t="s">
        <v>4428</v>
      </c>
      <c r="G3866" s="2091"/>
      <c r="H3866" s="1106">
        <f>H3865</f>
        <v>24093</v>
      </c>
      <c r="J3866" s="1557"/>
      <c r="K3866" s="1557"/>
      <c r="L3866" s="1557"/>
      <c r="M3866" s="1619"/>
    </row>
    <row r="3867" spans="2:13" s="949" customFormat="1" hidden="1">
      <c r="B3867" s="1649" t="s">
        <v>706</v>
      </c>
      <c r="C3867" s="2075" t="s">
        <v>707</v>
      </c>
      <c r="D3867" s="2075"/>
      <c r="E3867" s="2075"/>
      <c r="F3867" s="2075"/>
      <c r="G3867" s="2075"/>
      <c r="H3867" s="1107">
        <f>H3860+H3863+H3866</f>
        <v>88833</v>
      </c>
      <c r="J3867" s="1559"/>
      <c r="K3867" s="1559"/>
      <c r="L3867" s="1559"/>
      <c r="M3867" s="1614"/>
    </row>
    <row r="3868" spans="2:13" s="949" customFormat="1" hidden="1">
      <c r="B3868" s="1649" t="s">
        <v>708</v>
      </c>
      <c r="C3868" s="2076" t="s">
        <v>876</v>
      </c>
      <c r="D3868" s="2076"/>
      <c r="E3868" s="2076"/>
      <c r="F3868" s="2077" t="s">
        <v>710</v>
      </c>
      <c r="G3868" s="2077"/>
      <c r="H3868" s="1107">
        <f>H3867*0.15</f>
        <v>13324.949999999999</v>
      </c>
      <c r="J3868" s="1559"/>
      <c r="K3868" s="1559"/>
      <c r="L3868" s="1559"/>
      <c r="M3868" s="1614"/>
    </row>
    <row r="3869" spans="2:13" s="949" customFormat="1" hidden="1">
      <c r="B3869" s="1649" t="s">
        <v>711</v>
      </c>
      <c r="C3869" s="2078" t="s">
        <v>712</v>
      </c>
      <c r="D3869" s="2078"/>
      <c r="E3869" s="2078"/>
      <c r="F3869" s="2078"/>
      <c r="G3869" s="2078"/>
      <c r="H3869" s="1107">
        <f>ROUND(SUM(H3867:H3868),2)</f>
        <v>102157.95</v>
      </c>
      <c r="I3869" s="950">
        <f>SUM(H3867:H3868)</f>
        <v>102157.95</v>
      </c>
      <c r="J3869" s="1561"/>
      <c r="K3869" s="1561"/>
      <c r="L3869" s="1559"/>
      <c r="M3869" s="1614"/>
    </row>
    <row r="3870" spans="2:13" s="947" customFormat="1" hidden="1">
      <c r="B3870" s="1624"/>
      <c r="C3870" s="1096"/>
      <c r="D3870" s="1095"/>
      <c r="E3870" s="1095"/>
      <c r="F3870" s="1172"/>
      <c r="G3870" s="1173"/>
      <c r="H3870" s="1133"/>
      <c r="J3870" s="1557"/>
      <c r="K3870" s="1557"/>
      <c r="L3870" s="1557"/>
      <c r="M3870" s="1619"/>
    </row>
    <row r="3871" spans="2:13" s="947" customFormat="1" hidden="1">
      <c r="B3871" s="1613" t="s">
        <v>4066</v>
      </c>
      <c r="C3871" s="1232" t="s">
        <v>2786</v>
      </c>
      <c r="D3871" s="1095"/>
      <c r="E3871" s="1095"/>
      <c r="F3871" s="1172"/>
      <c r="G3871" s="1173"/>
      <c r="H3871" s="1133"/>
      <c r="J3871" s="1557"/>
      <c r="K3871" s="1557"/>
      <c r="L3871" s="1557"/>
      <c r="M3871" s="1619"/>
    </row>
    <row r="3872" spans="2:13" s="948" customFormat="1" ht="24.9" hidden="1" customHeight="1">
      <c r="B3872" s="1648" t="s">
        <v>1003</v>
      </c>
      <c r="C3872" s="1101" t="s">
        <v>1004</v>
      </c>
      <c r="D3872" s="1101" t="s">
        <v>1005</v>
      </c>
      <c r="E3872" s="1101" t="s">
        <v>1006</v>
      </c>
      <c r="F3872" s="1102" t="s">
        <v>1007</v>
      </c>
      <c r="G3872" s="1109" t="s">
        <v>2637</v>
      </c>
      <c r="H3872" s="1110" t="s">
        <v>2638</v>
      </c>
      <c r="J3872" s="1625"/>
      <c r="K3872" s="1625"/>
      <c r="L3872" s="1625"/>
      <c r="M3872" s="1626"/>
    </row>
    <row r="3873" spans="2:13" s="947" customFormat="1" hidden="1">
      <c r="B3873" s="1649" t="s">
        <v>671</v>
      </c>
      <c r="C3873" s="1332" t="s">
        <v>672</v>
      </c>
      <c r="D3873" s="1331"/>
      <c r="E3873" s="1331"/>
      <c r="F3873" s="1334"/>
      <c r="G3873" s="1104"/>
      <c r="H3873" s="1106"/>
      <c r="J3873" s="1557"/>
      <c r="K3873" s="1557"/>
      <c r="L3873" s="1557"/>
      <c r="M3873" s="1619"/>
    </row>
    <row r="3874" spans="2:13" s="947" customFormat="1" hidden="1">
      <c r="B3874" s="1649"/>
      <c r="C3874" s="1332" t="s">
        <v>673</v>
      </c>
      <c r="D3874" s="1331" t="s">
        <v>674</v>
      </c>
      <c r="E3874" s="1331" t="s">
        <v>675</v>
      </c>
      <c r="F3874" s="1334">
        <v>0.08</v>
      </c>
      <c r="G3874" s="1104">
        <f>DUB!$I$10</f>
        <v>150000</v>
      </c>
      <c r="H3874" s="1106">
        <f>G3874*F3874</f>
        <v>12000</v>
      </c>
      <c r="J3874" s="1557"/>
      <c r="K3874" s="1557"/>
      <c r="L3874" s="1557"/>
      <c r="M3874" s="1619"/>
    </row>
    <row r="3875" spans="2:13" s="947" customFormat="1" hidden="1">
      <c r="B3875" s="1649"/>
      <c r="C3875" s="1332" t="s">
        <v>816</v>
      </c>
      <c r="D3875" s="1331" t="s">
        <v>678</v>
      </c>
      <c r="E3875" s="1331" t="s">
        <v>675</v>
      </c>
      <c r="F3875" s="1334">
        <v>0.08</v>
      </c>
      <c r="G3875" s="1104">
        <f>DUB!$I$11</f>
        <v>187000</v>
      </c>
      <c r="H3875" s="1106">
        <f>G3875*F3875</f>
        <v>14960</v>
      </c>
      <c r="J3875" s="1557"/>
      <c r="K3875" s="1557"/>
      <c r="L3875" s="1557"/>
      <c r="M3875" s="1619"/>
    </row>
    <row r="3876" spans="2:13" s="947" customFormat="1" hidden="1">
      <c r="B3876" s="1649"/>
      <c r="C3876" s="1332" t="s">
        <v>751</v>
      </c>
      <c r="D3876" s="1331" t="s">
        <v>681</v>
      </c>
      <c r="E3876" s="1331" t="s">
        <v>675</v>
      </c>
      <c r="F3876" s="1334">
        <v>8.0000000000000002E-3</v>
      </c>
      <c r="G3876" s="1104">
        <f>DUB!$I$13</f>
        <v>240000</v>
      </c>
      <c r="H3876" s="1106">
        <f>G3876*F3876</f>
        <v>1920</v>
      </c>
      <c r="J3876" s="1557"/>
      <c r="K3876" s="1557"/>
      <c r="L3876" s="1557"/>
      <c r="M3876" s="1619"/>
    </row>
    <row r="3877" spans="2:13" s="947" customFormat="1" hidden="1">
      <c r="B3877" s="1649"/>
      <c r="C3877" s="1332" t="s">
        <v>683</v>
      </c>
      <c r="D3877" s="1331" t="s">
        <v>684</v>
      </c>
      <c r="E3877" s="1331" t="s">
        <v>675</v>
      </c>
      <c r="F3877" s="1334">
        <v>4.0000000000000001E-3</v>
      </c>
      <c r="G3877" s="1104">
        <f>DUB!$I$12</f>
        <v>225000</v>
      </c>
      <c r="H3877" s="1106">
        <f>G3877*F3877</f>
        <v>900</v>
      </c>
      <c r="J3877" s="1557"/>
      <c r="K3877" s="1557"/>
      <c r="L3877" s="1557"/>
      <c r="M3877" s="1619"/>
    </row>
    <row r="3878" spans="2:13" s="947" customFormat="1" hidden="1">
      <c r="B3878" s="1649"/>
      <c r="C3878" s="1332"/>
      <c r="D3878" s="1331"/>
      <c r="E3878" s="1331"/>
      <c r="F3878" s="2074" t="s">
        <v>685</v>
      </c>
      <c r="G3878" s="2074"/>
      <c r="H3878" s="1106">
        <f>SUM(H3874:H3877)</f>
        <v>29780</v>
      </c>
      <c r="J3878" s="1557"/>
      <c r="K3878" s="1557"/>
      <c r="L3878" s="1557"/>
      <c r="M3878" s="1619"/>
    </row>
    <row r="3879" spans="2:13" s="947" customFormat="1" hidden="1">
      <c r="B3879" s="1649" t="s">
        <v>686</v>
      </c>
      <c r="C3879" s="1332" t="s">
        <v>687</v>
      </c>
      <c r="D3879" s="1331"/>
      <c r="E3879" s="1331"/>
      <c r="F3879" s="1334"/>
      <c r="G3879" s="1104"/>
      <c r="H3879" s="1106"/>
      <c r="J3879" s="1557"/>
      <c r="K3879" s="1557"/>
      <c r="L3879" s="1557"/>
      <c r="M3879" s="1619"/>
    </row>
    <row r="3880" spans="2:13" s="947" customFormat="1" hidden="1">
      <c r="B3880" s="1649"/>
      <c r="C3880" s="1332" t="s">
        <v>1179</v>
      </c>
      <c r="D3880" s="1331"/>
      <c r="E3880" s="1331" t="s">
        <v>743</v>
      </c>
      <c r="F3880" s="1334">
        <v>1.76</v>
      </c>
      <c r="G3880" s="1104">
        <f>DUB!$I$214</f>
        <v>12500</v>
      </c>
      <c r="H3880" s="1106">
        <f>G3880*F3880</f>
        <v>22000</v>
      </c>
      <c r="J3880" s="1557"/>
      <c r="K3880" s="1557"/>
      <c r="L3880" s="1557"/>
      <c r="M3880" s="1619"/>
    </row>
    <row r="3881" spans="2:13" s="947" customFormat="1" hidden="1">
      <c r="B3881" s="1649"/>
      <c r="C3881" s="1332" t="s">
        <v>1158</v>
      </c>
      <c r="D3881" s="1331"/>
      <c r="E3881" s="1331" t="s">
        <v>690</v>
      </c>
      <c r="F3881" s="1334">
        <v>0.08</v>
      </c>
      <c r="G3881" s="1104">
        <f>DUB!$I$88</f>
        <v>20934</v>
      </c>
      <c r="H3881" s="1106">
        <f>G3881*F3881</f>
        <v>1674.72</v>
      </c>
      <c r="J3881" s="1557"/>
      <c r="K3881" s="1557"/>
      <c r="L3881" s="1557"/>
      <c r="M3881" s="1619"/>
    </row>
    <row r="3882" spans="2:13" s="947" customFormat="1" hidden="1">
      <c r="B3882" s="1649"/>
      <c r="C3882" s="1125"/>
      <c r="D3882" s="1333"/>
      <c r="E3882" s="1333"/>
      <c r="F3882" s="2074" t="s">
        <v>702</v>
      </c>
      <c r="G3882" s="2074"/>
      <c r="H3882" s="1106">
        <f>SUM(H3880:H3881)</f>
        <v>23674.720000000001</v>
      </c>
      <c r="J3882" s="1557"/>
      <c r="K3882" s="1557"/>
      <c r="L3882" s="1557"/>
      <c r="M3882" s="1619"/>
    </row>
    <row r="3883" spans="2:13" s="949" customFormat="1" hidden="1">
      <c r="B3883" s="1649" t="s">
        <v>703</v>
      </c>
      <c r="C3883" s="2075" t="s">
        <v>3764</v>
      </c>
      <c r="D3883" s="2075"/>
      <c r="E3883" s="2075"/>
      <c r="F3883" s="2075"/>
      <c r="G3883" s="2075"/>
      <c r="H3883" s="1107">
        <f>H3878+H3882</f>
        <v>53454.720000000001</v>
      </c>
      <c r="J3883" s="1559"/>
      <c r="K3883" s="1559"/>
      <c r="L3883" s="1559"/>
      <c r="M3883" s="1614"/>
    </row>
    <row r="3884" spans="2:13" s="949" customFormat="1" hidden="1">
      <c r="B3884" s="1649" t="s">
        <v>706</v>
      </c>
      <c r="C3884" s="2076" t="s">
        <v>876</v>
      </c>
      <c r="D3884" s="2076"/>
      <c r="E3884" s="2076"/>
      <c r="F3884" s="2077" t="s">
        <v>3873</v>
      </c>
      <c r="G3884" s="2077"/>
      <c r="H3884" s="1107">
        <f>H3883*0.15</f>
        <v>8018.2079999999996</v>
      </c>
      <c r="J3884" s="1559"/>
      <c r="K3884" s="1559"/>
      <c r="L3884" s="1559"/>
      <c r="M3884" s="1614"/>
    </row>
    <row r="3885" spans="2:13" s="949" customFormat="1" hidden="1">
      <c r="B3885" s="1649" t="s">
        <v>708</v>
      </c>
      <c r="C3885" s="2078" t="s">
        <v>3765</v>
      </c>
      <c r="D3885" s="2078"/>
      <c r="E3885" s="2078"/>
      <c r="F3885" s="2078"/>
      <c r="G3885" s="2078"/>
      <c r="H3885" s="1107">
        <f>ROUND(SUM(H3883:H3884),2)</f>
        <v>61472.93</v>
      </c>
      <c r="I3885" s="950">
        <f>SUM(H3883:H3884)</f>
        <v>61472.928</v>
      </c>
      <c r="J3885" s="1561"/>
      <c r="K3885" s="1561"/>
      <c r="L3885" s="1559"/>
      <c r="M3885" s="1614"/>
    </row>
    <row r="3886" spans="2:13" s="947" customFormat="1" hidden="1">
      <c r="B3886" s="1659"/>
      <c r="C3886" s="1144"/>
      <c r="D3886" s="1143"/>
      <c r="E3886" s="1143"/>
      <c r="F3886" s="1145"/>
      <c r="G3886" s="1146"/>
      <c r="H3886" s="1147"/>
      <c r="J3886" s="1557"/>
      <c r="K3886" s="1557"/>
      <c r="L3886" s="1557"/>
      <c r="M3886" s="1619"/>
    </row>
    <row r="3887" spans="2:13" s="947" customFormat="1" hidden="1">
      <c r="B3887" s="1613" t="s">
        <v>4067</v>
      </c>
      <c r="C3887" s="1112" t="s">
        <v>2785</v>
      </c>
      <c r="D3887" s="1129"/>
      <c r="E3887" s="1129"/>
      <c r="F3887" s="1131"/>
      <c r="G3887" s="1132"/>
      <c r="H3887" s="1115"/>
      <c r="J3887" s="1557"/>
      <c r="K3887" s="1557"/>
      <c r="L3887" s="1557"/>
      <c r="M3887" s="1619"/>
    </row>
    <row r="3888" spans="2:13" s="948" customFormat="1" ht="24.9" hidden="1" customHeight="1">
      <c r="B3888" s="1648" t="s">
        <v>1003</v>
      </c>
      <c r="C3888" s="1101" t="s">
        <v>1004</v>
      </c>
      <c r="D3888" s="1101" t="s">
        <v>1005</v>
      </c>
      <c r="E3888" s="1101" t="s">
        <v>1006</v>
      </c>
      <c r="F3888" s="1102" t="s">
        <v>1007</v>
      </c>
      <c r="G3888" s="1109" t="s">
        <v>2637</v>
      </c>
      <c r="H3888" s="1110" t="s">
        <v>2638</v>
      </c>
      <c r="J3888" s="1625"/>
      <c r="K3888" s="1625"/>
      <c r="L3888" s="1625"/>
      <c r="M3888" s="1626"/>
    </row>
    <row r="3889" spans="2:13" s="947" customFormat="1" hidden="1">
      <c r="B3889" s="1649" t="s">
        <v>671</v>
      </c>
      <c r="C3889" s="1332" t="s">
        <v>672</v>
      </c>
      <c r="D3889" s="1331"/>
      <c r="E3889" s="1331"/>
      <c r="F3889" s="1334"/>
      <c r="G3889" s="1104"/>
      <c r="H3889" s="1106"/>
      <c r="J3889" s="1557"/>
      <c r="K3889" s="1557"/>
      <c r="L3889" s="1557"/>
      <c r="M3889" s="1619"/>
    </row>
    <row r="3890" spans="2:13" s="947" customFormat="1" hidden="1">
      <c r="B3890" s="1649"/>
      <c r="C3890" s="1332" t="s">
        <v>673</v>
      </c>
      <c r="D3890" s="1331" t="s">
        <v>674</v>
      </c>
      <c r="E3890" s="1331" t="s">
        <v>675</v>
      </c>
      <c r="F3890" s="1334">
        <v>0.12</v>
      </c>
      <c r="G3890" s="1104">
        <f>DUB!$I$10</f>
        <v>150000</v>
      </c>
      <c r="H3890" s="1106">
        <f>G3890*F3890</f>
        <v>18000</v>
      </c>
      <c r="J3890" s="1557"/>
      <c r="K3890" s="1557"/>
      <c r="L3890" s="1557"/>
      <c r="M3890" s="1619"/>
    </row>
    <row r="3891" spans="2:13" s="947" customFormat="1" hidden="1">
      <c r="B3891" s="1649"/>
      <c r="C3891" s="1332" t="s">
        <v>816</v>
      </c>
      <c r="D3891" s="1331" t="s">
        <v>678</v>
      </c>
      <c r="E3891" s="1331" t="s">
        <v>675</v>
      </c>
      <c r="F3891" s="1334">
        <v>0.12</v>
      </c>
      <c r="G3891" s="1104">
        <f>DUB!$I$11</f>
        <v>187000</v>
      </c>
      <c r="H3891" s="1106">
        <f>G3891*F3891</f>
        <v>22440</v>
      </c>
      <c r="J3891" s="1557"/>
      <c r="K3891" s="1557"/>
      <c r="L3891" s="1557"/>
      <c r="M3891" s="1619"/>
    </row>
    <row r="3892" spans="2:13" s="947" customFormat="1" hidden="1">
      <c r="B3892" s="1649"/>
      <c r="C3892" s="1332" t="s">
        <v>751</v>
      </c>
      <c r="D3892" s="1331" t="s">
        <v>681</v>
      </c>
      <c r="E3892" s="1331" t="s">
        <v>675</v>
      </c>
      <c r="F3892" s="1334">
        <v>1.2E-2</v>
      </c>
      <c r="G3892" s="1104">
        <f>DUB!$I$13</f>
        <v>240000</v>
      </c>
      <c r="H3892" s="1106">
        <f>G3892*F3892</f>
        <v>2880</v>
      </c>
      <c r="J3892" s="1557"/>
      <c r="K3892" s="1557"/>
      <c r="L3892" s="1557"/>
      <c r="M3892" s="1619"/>
    </row>
    <row r="3893" spans="2:13" s="947" customFormat="1" hidden="1">
      <c r="B3893" s="1649"/>
      <c r="C3893" s="1332" t="s">
        <v>683</v>
      </c>
      <c r="D3893" s="1331" t="s">
        <v>684</v>
      </c>
      <c r="E3893" s="1331" t="s">
        <v>675</v>
      </c>
      <c r="F3893" s="1334">
        <v>6.0000000000000001E-3</v>
      </c>
      <c r="G3893" s="1104">
        <f>DUB!$I$12</f>
        <v>225000</v>
      </c>
      <c r="H3893" s="1106">
        <f>G3893*F3893</f>
        <v>1350</v>
      </c>
      <c r="J3893" s="1557"/>
      <c r="K3893" s="1557"/>
      <c r="L3893" s="1557"/>
      <c r="M3893" s="1619"/>
    </row>
    <row r="3894" spans="2:13" s="947" customFormat="1" hidden="1">
      <c r="B3894" s="1649"/>
      <c r="C3894" s="1332"/>
      <c r="D3894" s="1331"/>
      <c r="E3894" s="1331"/>
      <c r="F3894" s="2074" t="s">
        <v>685</v>
      </c>
      <c r="G3894" s="2074"/>
      <c r="H3894" s="1106">
        <f>SUM(H3890:H3893)</f>
        <v>44670</v>
      </c>
      <c r="J3894" s="1557"/>
      <c r="K3894" s="1557"/>
      <c r="L3894" s="1557"/>
      <c r="M3894" s="1619"/>
    </row>
    <row r="3895" spans="2:13" s="947" customFormat="1" hidden="1">
      <c r="B3895" s="1649" t="s">
        <v>686</v>
      </c>
      <c r="C3895" s="1332" t="s">
        <v>687</v>
      </c>
      <c r="D3895" s="1331"/>
      <c r="E3895" s="1331"/>
      <c r="F3895" s="1334"/>
      <c r="G3895" s="1104"/>
      <c r="H3895" s="1106"/>
      <c r="J3895" s="1557"/>
      <c r="K3895" s="1557"/>
      <c r="L3895" s="1557"/>
      <c r="M3895" s="1619"/>
    </row>
    <row r="3896" spans="2:13" s="947" customFormat="1" hidden="1">
      <c r="B3896" s="1649"/>
      <c r="C3896" s="1332" t="s">
        <v>1185</v>
      </c>
      <c r="D3896" s="1331"/>
      <c r="E3896" s="1331" t="s">
        <v>881</v>
      </c>
      <c r="F3896" s="1334">
        <v>3.0000000000000001E-3</v>
      </c>
      <c r="G3896" s="1104">
        <f>DUB!$I$83</f>
        <v>10710000</v>
      </c>
      <c r="H3896" s="1106">
        <f>G3896*F3896</f>
        <v>32130</v>
      </c>
      <c r="J3896" s="1557"/>
      <c r="K3896" s="1557"/>
      <c r="L3896" s="1557"/>
      <c r="M3896" s="1619"/>
    </row>
    <row r="3897" spans="2:13" s="947" customFormat="1" hidden="1">
      <c r="B3897" s="1649"/>
      <c r="C3897" s="1332" t="s">
        <v>1186</v>
      </c>
      <c r="D3897" s="1331"/>
      <c r="E3897" s="1331" t="s">
        <v>690</v>
      </c>
      <c r="F3897" s="1334">
        <v>0.05</v>
      </c>
      <c r="G3897" s="1104">
        <f>DUB!$I$129</f>
        <v>155400</v>
      </c>
      <c r="H3897" s="1106">
        <f>G3897*F3897</f>
        <v>7770</v>
      </c>
      <c r="J3897" s="1557"/>
      <c r="K3897" s="1557"/>
      <c r="L3897" s="1557"/>
      <c r="M3897" s="1619"/>
    </row>
    <row r="3898" spans="2:13" s="947" customFormat="1" hidden="1">
      <c r="B3898" s="1649"/>
      <c r="C3898" s="1125"/>
      <c r="D3898" s="1333"/>
      <c r="E3898" s="1333"/>
      <c r="F3898" s="2074" t="s">
        <v>702</v>
      </c>
      <c r="G3898" s="2074"/>
      <c r="H3898" s="1106">
        <f>SUM(H3896:H3897)</f>
        <v>39900</v>
      </c>
      <c r="J3898" s="1557"/>
      <c r="K3898" s="1557"/>
      <c r="L3898" s="1557"/>
      <c r="M3898" s="1619"/>
    </row>
    <row r="3899" spans="2:13" s="949" customFormat="1" hidden="1">
      <c r="B3899" s="1649" t="s">
        <v>703</v>
      </c>
      <c r="C3899" s="2075" t="s">
        <v>3764</v>
      </c>
      <c r="D3899" s="2075"/>
      <c r="E3899" s="2075"/>
      <c r="F3899" s="2075"/>
      <c r="G3899" s="2075"/>
      <c r="H3899" s="1107">
        <f>H3894+H3898</f>
        <v>84570</v>
      </c>
      <c r="J3899" s="1559"/>
      <c r="K3899" s="1559"/>
      <c r="L3899" s="1559"/>
      <c r="M3899" s="1614"/>
    </row>
    <row r="3900" spans="2:13" s="949" customFormat="1" hidden="1">
      <c r="B3900" s="1649" t="s">
        <v>706</v>
      </c>
      <c r="C3900" s="2076" t="s">
        <v>876</v>
      </c>
      <c r="D3900" s="2076"/>
      <c r="E3900" s="2076"/>
      <c r="F3900" s="2077" t="s">
        <v>3873</v>
      </c>
      <c r="G3900" s="2077"/>
      <c r="H3900" s="1107">
        <f>H3899*0.15</f>
        <v>12685.5</v>
      </c>
      <c r="J3900" s="1559"/>
      <c r="K3900" s="1559"/>
      <c r="L3900" s="1559"/>
      <c r="M3900" s="1614"/>
    </row>
    <row r="3901" spans="2:13" s="949" customFormat="1" hidden="1">
      <c r="B3901" s="1649" t="s">
        <v>708</v>
      </c>
      <c r="C3901" s="2078" t="s">
        <v>3765</v>
      </c>
      <c r="D3901" s="2078"/>
      <c r="E3901" s="2078"/>
      <c r="F3901" s="2078"/>
      <c r="G3901" s="2078"/>
      <c r="H3901" s="1107">
        <f>ROUND(SUM(H3899:H3900),2)</f>
        <v>97255.5</v>
      </c>
      <c r="I3901" s="950">
        <f>SUM(H3899:H3900)</f>
        <v>97255.5</v>
      </c>
      <c r="J3901" s="1561"/>
      <c r="K3901" s="1561"/>
      <c r="L3901" s="1559"/>
      <c r="M3901" s="1614"/>
    </row>
    <row r="3902" spans="2:13" s="947" customFormat="1" hidden="1">
      <c r="B3902" s="1623"/>
      <c r="C3902" s="1130"/>
      <c r="D3902" s="1129"/>
      <c r="E3902" s="1130"/>
      <c r="F3902" s="1131"/>
      <c r="G3902" s="1132"/>
      <c r="H3902" s="1115"/>
      <c r="J3902" s="1557"/>
      <c r="K3902" s="1557"/>
      <c r="L3902" s="1557"/>
      <c r="M3902" s="1619"/>
    </row>
    <row r="3903" spans="2:13" s="947" customFormat="1" hidden="1">
      <c r="B3903" s="1613" t="s">
        <v>4068</v>
      </c>
      <c r="C3903" s="1112" t="s">
        <v>3862</v>
      </c>
      <c r="D3903" s="1129"/>
      <c r="E3903" s="1129"/>
      <c r="F3903" s="1131"/>
      <c r="G3903" s="1132"/>
      <c r="H3903" s="1115"/>
      <c r="J3903" s="1557"/>
      <c r="K3903" s="1557"/>
      <c r="L3903" s="1557"/>
      <c r="M3903" s="1619"/>
    </row>
    <row r="3904" spans="2:13" s="948" customFormat="1" ht="24.9" hidden="1" customHeight="1">
      <c r="B3904" s="1648" t="s">
        <v>1003</v>
      </c>
      <c r="C3904" s="1101" t="s">
        <v>1004</v>
      </c>
      <c r="D3904" s="1101" t="s">
        <v>1005</v>
      </c>
      <c r="E3904" s="1101" t="s">
        <v>1006</v>
      </c>
      <c r="F3904" s="1102" t="s">
        <v>1007</v>
      </c>
      <c r="G3904" s="1109" t="s">
        <v>2637</v>
      </c>
      <c r="H3904" s="1110" t="s">
        <v>2638</v>
      </c>
      <c r="J3904" s="1625"/>
      <c r="K3904" s="1625"/>
      <c r="L3904" s="1625"/>
      <c r="M3904" s="1626"/>
    </row>
    <row r="3905" spans="2:13" s="947" customFormat="1" hidden="1">
      <c r="B3905" s="1649" t="s">
        <v>671</v>
      </c>
      <c r="C3905" s="1332" t="s">
        <v>672</v>
      </c>
      <c r="D3905" s="1331"/>
      <c r="E3905" s="1331"/>
      <c r="F3905" s="1334"/>
      <c r="G3905" s="1104"/>
      <c r="H3905" s="1106"/>
      <c r="J3905" s="1557"/>
      <c r="K3905" s="1557"/>
      <c r="L3905" s="1557"/>
      <c r="M3905" s="1619"/>
    </row>
    <row r="3906" spans="2:13" s="947" customFormat="1" hidden="1">
      <c r="B3906" s="1649"/>
      <c r="C3906" s="1332" t="s">
        <v>673</v>
      </c>
      <c r="D3906" s="1331" t="s">
        <v>674</v>
      </c>
      <c r="E3906" s="1331" t="s">
        <v>675</v>
      </c>
      <c r="F3906" s="1334">
        <v>0.25</v>
      </c>
      <c r="G3906" s="1104">
        <f>DUB!$I$10</f>
        <v>150000</v>
      </c>
      <c r="H3906" s="1106">
        <f>G3906*F3906</f>
        <v>37500</v>
      </c>
      <c r="J3906" s="1557"/>
      <c r="K3906" s="1557"/>
      <c r="L3906" s="1557"/>
      <c r="M3906" s="1619"/>
    </row>
    <row r="3907" spans="2:13" s="947" customFormat="1" hidden="1">
      <c r="B3907" s="1649"/>
      <c r="C3907" s="1332" t="s">
        <v>816</v>
      </c>
      <c r="D3907" s="1331" t="s">
        <v>678</v>
      </c>
      <c r="E3907" s="1331" t="s">
        <v>675</v>
      </c>
      <c r="F3907" s="1334">
        <v>0.35</v>
      </c>
      <c r="G3907" s="1104">
        <f>DUB!$I$11</f>
        <v>187000</v>
      </c>
      <c r="H3907" s="1106">
        <f>G3907*F3907</f>
        <v>65449.999999999993</v>
      </c>
      <c r="J3907" s="1557"/>
      <c r="K3907" s="1557"/>
      <c r="L3907" s="1557"/>
      <c r="M3907" s="1619"/>
    </row>
    <row r="3908" spans="2:13" s="947" customFormat="1" hidden="1">
      <c r="B3908" s="1649"/>
      <c r="C3908" s="1332" t="s">
        <v>751</v>
      </c>
      <c r="D3908" s="1331" t="s">
        <v>681</v>
      </c>
      <c r="E3908" s="1331" t="s">
        <v>675</v>
      </c>
      <c r="F3908" s="1334">
        <v>0.05</v>
      </c>
      <c r="G3908" s="1104">
        <f>DUB!$I$13</f>
        <v>240000</v>
      </c>
      <c r="H3908" s="1106">
        <f>G3908*F3908</f>
        <v>12000</v>
      </c>
      <c r="J3908" s="1557"/>
      <c r="K3908" s="1557"/>
      <c r="L3908" s="1557"/>
      <c r="M3908" s="1619"/>
    </row>
    <row r="3909" spans="2:13" s="947" customFormat="1" hidden="1">
      <c r="B3909" s="1649"/>
      <c r="C3909" s="1332" t="s">
        <v>683</v>
      </c>
      <c r="D3909" s="1331" t="s">
        <v>684</v>
      </c>
      <c r="E3909" s="1331" t="s">
        <v>675</v>
      </c>
      <c r="F3909" s="1334">
        <v>1.2999999999999999E-3</v>
      </c>
      <c r="G3909" s="1104">
        <f>DUB!$I$12</f>
        <v>225000</v>
      </c>
      <c r="H3909" s="1106">
        <f>G3909*F3909</f>
        <v>292.5</v>
      </c>
      <c r="J3909" s="1557"/>
      <c r="K3909" s="1557"/>
      <c r="L3909" s="1557"/>
      <c r="M3909" s="1619"/>
    </row>
    <row r="3910" spans="2:13" s="947" customFormat="1" hidden="1">
      <c r="B3910" s="1649"/>
      <c r="C3910" s="1332"/>
      <c r="D3910" s="1331"/>
      <c r="E3910" s="1331"/>
      <c r="F3910" s="2074" t="s">
        <v>685</v>
      </c>
      <c r="G3910" s="2074"/>
      <c r="H3910" s="1106">
        <f>SUM(H3906:H3909)</f>
        <v>115242.5</v>
      </c>
      <c r="J3910" s="1557"/>
      <c r="K3910" s="1557"/>
      <c r="L3910" s="1557"/>
      <c r="M3910" s="1619"/>
    </row>
    <row r="3911" spans="2:13" s="947" customFormat="1" hidden="1">
      <c r="B3911" s="1649" t="s">
        <v>686</v>
      </c>
      <c r="C3911" s="1332" t="s">
        <v>687</v>
      </c>
      <c r="D3911" s="1331"/>
      <c r="E3911" s="1331"/>
      <c r="F3911" s="1334"/>
      <c r="G3911" s="1104"/>
      <c r="H3911" s="1106"/>
      <c r="J3911" s="1557"/>
      <c r="K3911" s="1557"/>
      <c r="L3911" s="1557"/>
      <c r="M3911" s="1619"/>
    </row>
    <row r="3912" spans="2:13" s="947" customFormat="1" hidden="1">
      <c r="B3912" s="1649"/>
      <c r="C3912" s="1332" t="s">
        <v>3499</v>
      </c>
      <c r="D3912" s="1331"/>
      <c r="E3912" s="1331" t="s">
        <v>2647</v>
      </c>
      <c r="F3912" s="1334">
        <v>1.01</v>
      </c>
      <c r="G3912" s="1104">
        <f>DUB!$I$178*44</f>
        <v>75240</v>
      </c>
      <c r="H3912" s="1106">
        <f>G3912*F3912</f>
        <v>75992.399999999994</v>
      </c>
      <c r="J3912" s="1557"/>
      <c r="K3912" s="1557"/>
      <c r="L3912" s="1557"/>
      <c r="M3912" s="1619"/>
    </row>
    <row r="3913" spans="2:13" s="947" customFormat="1" hidden="1">
      <c r="B3913" s="1649"/>
      <c r="C3913" s="1332" t="s">
        <v>691</v>
      </c>
      <c r="D3913" s="1331"/>
      <c r="E3913" s="1331" t="s">
        <v>2646</v>
      </c>
      <c r="F3913" s="1334">
        <v>0.05</v>
      </c>
      <c r="G3913" s="1104">
        <f>DUB!$I$59</f>
        <v>208463</v>
      </c>
      <c r="H3913" s="1106">
        <f>G3913*F3913</f>
        <v>10423.150000000001</v>
      </c>
      <c r="J3913" s="1557"/>
      <c r="K3913" s="1557"/>
      <c r="L3913" s="1557"/>
      <c r="M3913" s="1619"/>
    </row>
    <row r="3914" spans="2:13" s="947" customFormat="1" hidden="1">
      <c r="B3914" s="1649"/>
      <c r="C3914" s="1125"/>
      <c r="D3914" s="1333"/>
      <c r="E3914" s="1333"/>
      <c r="F3914" s="2074" t="s">
        <v>702</v>
      </c>
      <c r="G3914" s="2074"/>
      <c r="H3914" s="1106">
        <f>SUM(H3912:H3913)</f>
        <v>86415.549999999988</v>
      </c>
      <c r="J3914" s="1557"/>
      <c r="K3914" s="1557"/>
      <c r="L3914" s="1557"/>
      <c r="M3914" s="1619"/>
    </row>
    <row r="3915" spans="2:13" s="949" customFormat="1" hidden="1">
      <c r="B3915" s="1649" t="s">
        <v>703</v>
      </c>
      <c r="C3915" s="2075" t="s">
        <v>3764</v>
      </c>
      <c r="D3915" s="2075"/>
      <c r="E3915" s="2075"/>
      <c r="F3915" s="2075"/>
      <c r="G3915" s="2075"/>
      <c r="H3915" s="1107">
        <f>H3910+H3914</f>
        <v>201658.05</v>
      </c>
      <c r="J3915" s="1559"/>
      <c r="K3915" s="1559"/>
      <c r="L3915" s="1559"/>
      <c r="M3915" s="1614"/>
    </row>
    <row r="3916" spans="2:13" s="949" customFormat="1" hidden="1">
      <c r="B3916" s="1649" t="s">
        <v>706</v>
      </c>
      <c r="C3916" s="2076" t="s">
        <v>876</v>
      </c>
      <c r="D3916" s="2076"/>
      <c r="E3916" s="2076"/>
      <c r="F3916" s="2077" t="s">
        <v>3873</v>
      </c>
      <c r="G3916" s="2077"/>
      <c r="H3916" s="1107">
        <f>H3915*0.15</f>
        <v>30248.707499999997</v>
      </c>
      <c r="J3916" s="1559"/>
      <c r="K3916" s="1559"/>
      <c r="L3916" s="1559"/>
      <c r="M3916" s="1614"/>
    </row>
    <row r="3917" spans="2:13" s="949" customFormat="1" hidden="1">
      <c r="B3917" s="1649" t="s">
        <v>708</v>
      </c>
      <c r="C3917" s="2078" t="s">
        <v>3765</v>
      </c>
      <c r="D3917" s="2078"/>
      <c r="E3917" s="2078"/>
      <c r="F3917" s="2078"/>
      <c r="G3917" s="2078"/>
      <c r="H3917" s="1107">
        <f>ROUND(SUM(H3915:H3916),2)</f>
        <v>231906.76</v>
      </c>
      <c r="I3917" s="950">
        <f>SUM(H3915:H3916)</f>
        <v>231906.75749999998</v>
      </c>
      <c r="J3917" s="1561"/>
      <c r="K3917" s="1561"/>
      <c r="L3917" s="1559"/>
      <c r="M3917" s="1614"/>
    </row>
    <row r="3918" spans="2:13" s="947" customFormat="1" hidden="1">
      <c r="B3918" s="1623"/>
      <c r="C3918" s="1130"/>
      <c r="D3918" s="1129"/>
      <c r="E3918" s="1130"/>
      <c r="F3918" s="1131"/>
      <c r="G3918" s="1132"/>
      <c r="H3918" s="1115"/>
      <c r="J3918" s="1557"/>
      <c r="K3918" s="1557"/>
      <c r="L3918" s="1557"/>
      <c r="M3918" s="1619"/>
    </row>
    <row r="3919" spans="2:13" s="947" customFormat="1" hidden="1">
      <c r="B3919" s="1613" t="s">
        <v>4069</v>
      </c>
      <c r="C3919" s="1112" t="s">
        <v>3863</v>
      </c>
      <c r="D3919" s="1129"/>
      <c r="E3919" s="1129"/>
      <c r="F3919" s="1131"/>
      <c r="G3919" s="1132"/>
      <c r="H3919" s="1115"/>
      <c r="J3919" s="1557"/>
      <c r="K3919" s="1557"/>
      <c r="L3919" s="1557"/>
      <c r="M3919" s="1619"/>
    </row>
    <row r="3920" spans="2:13" s="948" customFormat="1" ht="24.9" hidden="1" customHeight="1">
      <c r="B3920" s="1648" t="s">
        <v>1003</v>
      </c>
      <c r="C3920" s="1101" t="s">
        <v>1004</v>
      </c>
      <c r="D3920" s="1101" t="s">
        <v>1005</v>
      </c>
      <c r="E3920" s="1101" t="s">
        <v>1006</v>
      </c>
      <c r="F3920" s="1102" t="s">
        <v>1007</v>
      </c>
      <c r="G3920" s="1109" t="s">
        <v>2637</v>
      </c>
      <c r="H3920" s="1110" t="s">
        <v>2638</v>
      </c>
      <c r="J3920" s="1625"/>
      <c r="K3920" s="1625"/>
      <c r="L3920" s="1625"/>
      <c r="M3920" s="1626"/>
    </row>
    <row r="3921" spans="2:13" s="947" customFormat="1" hidden="1">
      <c r="B3921" s="1649" t="s">
        <v>671</v>
      </c>
      <c r="C3921" s="1332" t="s">
        <v>672</v>
      </c>
      <c r="D3921" s="1331"/>
      <c r="E3921" s="1331"/>
      <c r="F3921" s="1334"/>
      <c r="G3921" s="1104"/>
      <c r="H3921" s="1106"/>
      <c r="J3921" s="1557"/>
      <c r="K3921" s="1557"/>
      <c r="L3921" s="1557"/>
      <c r="M3921" s="1619"/>
    </row>
    <row r="3922" spans="2:13" s="947" customFormat="1" hidden="1">
      <c r="B3922" s="1649"/>
      <c r="C3922" s="1332" t="s">
        <v>673</v>
      </c>
      <c r="D3922" s="1331" t="s">
        <v>674</v>
      </c>
      <c r="E3922" s="1331" t="s">
        <v>675</v>
      </c>
      <c r="F3922" s="1334">
        <v>0.3</v>
      </c>
      <c r="G3922" s="1104">
        <f>DUB!$I$10</f>
        <v>150000</v>
      </c>
      <c r="H3922" s="1106">
        <f>G3922*F3922</f>
        <v>45000</v>
      </c>
      <c r="J3922" s="1557"/>
      <c r="K3922" s="1557"/>
      <c r="L3922" s="1557"/>
      <c r="M3922" s="1619"/>
    </row>
    <row r="3923" spans="2:13" s="947" customFormat="1" hidden="1">
      <c r="B3923" s="1649"/>
      <c r="C3923" s="1332" t="s">
        <v>816</v>
      </c>
      <c r="D3923" s="1331" t="s">
        <v>678</v>
      </c>
      <c r="E3923" s="1331" t="s">
        <v>675</v>
      </c>
      <c r="F3923" s="1334">
        <v>0.35</v>
      </c>
      <c r="G3923" s="1104">
        <f>DUB!$I$11</f>
        <v>187000</v>
      </c>
      <c r="H3923" s="1106">
        <f>G3923*F3923</f>
        <v>65449.999999999993</v>
      </c>
      <c r="J3923" s="1557"/>
      <c r="K3923" s="1557"/>
      <c r="L3923" s="1557"/>
      <c r="M3923" s="1619"/>
    </row>
    <row r="3924" spans="2:13" s="947" customFormat="1" hidden="1">
      <c r="B3924" s="1649"/>
      <c r="C3924" s="1332" t="s">
        <v>751</v>
      </c>
      <c r="D3924" s="1331" t="s">
        <v>681</v>
      </c>
      <c r="E3924" s="1331" t="s">
        <v>675</v>
      </c>
      <c r="F3924" s="1334">
        <v>0.05</v>
      </c>
      <c r="G3924" s="1104">
        <f>DUB!$I$13</f>
        <v>240000</v>
      </c>
      <c r="H3924" s="1106">
        <f>G3924*F3924</f>
        <v>12000</v>
      </c>
      <c r="J3924" s="1557"/>
      <c r="K3924" s="1557"/>
      <c r="L3924" s="1557"/>
      <c r="M3924" s="1619"/>
    </row>
    <row r="3925" spans="2:13" s="947" customFormat="1" hidden="1">
      <c r="B3925" s="1649"/>
      <c r="C3925" s="1332" t="s">
        <v>683</v>
      </c>
      <c r="D3925" s="1331" t="s">
        <v>684</v>
      </c>
      <c r="E3925" s="1331" t="s">
        <v>675</v>
      </c>
      <c r="F3925" s="1334">
        <v>1.2999999999999999E-3</v>
      </c>
      <c r="G3925" s="1104">
        <f>DUB!$I$12</f>
        <v>225000</v>
      </c>
      <c r="H3925" s="1106">
        <f>G3925*F3925</f>
        <v>292.5</v>
      </c>
      <c r="J3925" s="1557"/>
      <c r="K3925" s="1557"/>
      <c r="L3925" s="1557"/>
      <c r="M3925" s="1619"/>
    </row>
    <row r="3926" spans="2:13" s="947" customFormat="1" hidden="1">
      <c r="B3926" s="1649"/>
      <c r="C3926" s="1332"/>
      <c r="D3926" s="1331"/>
      <c r="E3926" s="1331"/>
      <c r="F3926" s="2074" t="s">
        <v>685</v>
      </c>
      <c r="G3926" s="2074"/>
      <c r="H3926" s="1106">
        <f>SUM(H3922:H3925)</f>
        <v>122742.5</v>
      </c>
      <c r="J3926" s="1557"/>
      <c r="K3926" s="1557"/>
      <c r="L3926" s="1557"/>
      <c r="M3926" s="1619"/>
    </row>
    <row r="3927" spans="2:13" s="947" customFormat="1" hidden="1">
      <c r="B3927" s="1649" t="s">
        <v>686</v>
      </c>
      <c r="C3927" s="1332" t="s">
        <v>687</v>
      </c>
      <c r="D3927" s="1331"/>
      <c r="E3927" s="1331"/>
      <c r="F3927" s="1334"/>
      <c r="G3927" s="1104"/>
      <c r="H3927" s="1106"/>
      <c r="J3927" s="1557"/>
      <c r="K3927" s="1557"/>
      <c r="L3927" s="1557"/>
      <c r="M3927" s="1619"/>
    </row>
    <row r="3928" spans="2:13" s="947" customFormat="1" hidden="1">
      <c r="B3928" s="1649"/>
      <c r="C3928" s="1332" t="s">
        <v>3500</v>
      </c>
      <c r="D3928" s="1331"/>
      <c r="E3928" s="1331" t="s">
        <v>2647</v>
      </c>
      <c r="F3928" s="1334">
        <v>1.01</v>
      </c>
      <c r="G3928" s="1104">
        <f>DUB!$I$179*44</f>
        <v>89496</v>
      </c>
      <c r="H3928" s="1106">
        <f>G3928*F3928</f>
        <v>90390.96</v>
      </c>
      <c r="J3928" s="1557"/>
      <c r="K3928" s="1557"/>
      <c r="L3928" s="1557"/>
      <c r="M3928" s="1619"/>
    </row>
    <row r="3929" spans="2:13" s="947" customFormat="1" hidden="1">
      <c r="B3929" s="1649"/>
      <c r="C3929" s="1332" t="s">
        <v>691</v>
      </c>
      <c r="D3929" s="1331"/>
      <c r="E3929" s="1331" t="s">
        <v>2646</v>
      </c>
      <c r="F3929" s="1334">
        <v>0.05</v>
      </c>
      <c r="G3929" s="1104">
        <f>DUB!$I$59</f>
        <v>208463</v>
      </c>
      <c r="H3929" s="1106">
        <f>G3929*F3929</f>
        <v>10423.150000000001</v>
      </c>
      <c r="J3929" s="1557"/>
      <c r="K3929" s="1557"/>
      <c r="L3929" s="1557"/>
      <c r="M3929" s="1619"/>
    </row>
    <row r="3930" spans="2:13" s="947" customFormat="1" hidden="1">
      <c r="B3930" s="1649"/>
      <c r="C3930" s="1125"/>
      <c r="D3930" s="1333"/>
      <c r="E3930" s="1333"/>
      <c r="F3930" s="2074" t="s">
        <v>702</v>
      </c>
      <c r="G3930" s="2074"/>
      <c r="H3930" s="1106">
        <f>SUM(H3928:H3929)</f>
        <v>100814.11000000002</v>
      </c>
      <c r="J3930" s="1557"/>
      <c r="K3930" s="1557"/>
      <c r="L3930" s="1557"/>
      <c r="M3930" s="1619"/>
    </row>
    <row r="3931" spans="2:13" s="949" customFormat="1" hidden="1">
      <c r="B3931" s="1649" t="s">
        <v>703</v>
      </c>
      <c r="C3931" s="2075" t="s">
        <v>3764</v>
      </c>
      <c r="D3931" s="2075"/>
      <c r="E3931" s="2075"/>
      <c r="F3931" s="2075"/>
      <c r="G3931" s="2075"/>
      <c r="H3931" s="1107">
        <f>H3926+H3930</f>
        <v>223556.61000000002</v>
      </c>
      <c r="J3931" s="1559"/>
      <c r="K3931" s="1559"/>
      <c r="L3931" s="1559"/>
      <c r="M3931" s="1614"/>
    </row>
    <row r="3932" spans="2:13" s="949" customFormat="1" hidden="1">
      <c r="B3932" s="1649" t="s">
        <v>706</v>
      </c>
      <c r="C3932" s="2076" t="s">
        <v>876</v>
      </c>
      <c r="D3932" s="2076"/>
      <c r="E3932" s="2076"/>
      <c r="F3932" s="2077" t="s">
        <v>3873</v>
      </c>
      <c r="G3932" s="2077"/>
      <c r="H3932" s="1107">
        <f>H3931*0.15</f>
        <v>33533.491500000004</v>
      </c>
      <c r="J3932" s="1559"/>
      <c r="K3932" s="1559"/>
      <c r="L3932" s="1559"/>
      <c r="M3932" s="1614"/>
    </row>
    <row r="3933" spans="2:13" s="949" customFormat="1" hidden="1">
      <c r="B3933" s="1722" t="s">
        <v>708</v>
      </c>
      <c r="C3933" s="2089" t="s">
        <v>3765</v>
      </c>
      <c r="D3933" s="2089"/>
      <c r="E3933" s="2089"/>
      <c r="F3933" s="2089"/>
      <c r="G3933" s="2089"/>
      <c r="H3933" s="1756">
        <f>ROUND(SUM(H3931:H3932),2)</f>
        <v>257090.1</v>
      </c>
      <c r="I3933" s="1790">
        <f>SUM(H3931:H3932)</f>
        <v>257090.10150000002</v>
      </c>
      <c r="J3933" s="1561"/>
      <c r="K3933" s="1561"/>
      <c r="L3933" s="1559"/>
      <c r="M3933" s="1614"/>
    </row>
    <row r="3934" spans="2:13" s="947" customFormat="1">
      <c r="B3934" s="1751"/>
      <c r="C3934" s="1752"/>
      <c r="D3934" s="1751"/>
      <c r="E3934" s="1752"/>
      <c r="F3934" s="1753"/>
      <c r="G3934" s="1754"/>
      <c r="H3934" s="1755"/>
      <c r="I3934" s="1782"/>
      <c r="J3934" s="1641"/>
      <c r="K3934" s="1641"/>
      <c r="L3934" s="1641"/>
      <c r="M3934" s="1747"/>
    </row>
    <row r="3935" spans="2:13" s="947" customFormat="1" hidden="1">
      <c r="B3935" s="1100" t="s">
        <v>4739</v>
      </c>
      <c r="C3935" s="1112" t="s">
        <v>4740</v>
      </c>
      <c r="D3935" s="1129"/>
      <c r="E3935" s="1129"/>
      <c r="F3935" s="1131"/>
      <c r="G3935" s="1132"/>
      <c r="H3935" s="1115"/>
      <c r="J3935" s="1557"/>
      <c r="K3935" s="1557"/>
      <c r="L3935" s="1557"/>
      <c r="M3935" s="1566"/>
    </row>
    <row r="3936" spans="2:13" s="947" customFormat="1" ht="24.9" hidden="1" customHeight="1">
      <c r="B3936" s="1748" t="s">
        <v>1003</v>
      </c>
      <c r="C3936" s="1101" t="s">
        <v>1004</v>
      </c>
      <c r="D3936" s="1101" t="s">
        <v>1005</v>
      </c>
      <c r="E3936" s="1101" t="s">
        <v>1006</v>
      </c>
      <c r="F3936" s="1102" t="s">
        <v>1007</v>
      </c>
      <c r="G3936" s="1109" t="s">
        <v>2637</v>
      </c>
      <c r="H3936" s="1110" t="s">
        <v>2638</v>
      </c>
      <c r="I3936" s="948"/>
      <c r="J3936" s="1625"/>
      <c r="K3936" s="1625"/>
      <c r="L3936" s="1557"/>
      <c r="M3936" s="1566"/>
    </row>
    <row r="3937" spans="2:13" s="947" customFormat="1" hidden="1">
      <c r="B3937" s="1543" t="s">
        <v>671</v>
      </c>
      <c r="C3937" s="1332" t="s">
        <v>672</v>
      </c>
      <c r="D3937" s="1331"/>
      <c r="E3937" s="1331"/>
      <c r="F3937" s="1334"/>
      <c r="G3937" s="1104"/>
      <c r="H3937" s="1106"/>
      <c r="J3937" s="1557"/>
      <c r="K3937" s="1557"/>
      <c r="L3937" s="1557"/>
      <c r="M3937" s="1566"/>
    </row>
    <row r="3938" spans="2:13" s="947" customFormat="1" hidden="1">
      <c r="B3938" s="1543"/>
      <c r="C3938" s="1332" t="s">
        <v>673</v>
      </c>
      <c r="D3938" s="1331" t="s">
        <v>674</v>
      </c>
      <c r="E3938" s="1331" t="s">
        <v>675</v>
      </c>
      <c r="F3938" s="1334">
        <v>0.7</v>
      </c>
      <c r="G3938" s="1104">
        <f>DUB!$I$10</f>
        <v>150000</v>
      </c>
      <c r="H3938" s="1106">
        <f>G3938*F3938</f>
        <v>105000</v>
      </c>
      <c r="J3938" s="1557"/>
      <c r="K3938" s="1557"/>
      <c r="L3938" s="1557"/>
      <c r="M3938" s="1566"/>
    </row>
    <row r="3939" spans="2:13" s="947" customFormat="1" hidden="1">
      <c r="B3939" s="1543"/>
      <c r="C3939" s="1332" t="s">
        <v>816</v>
      </c>
      <c r="D3939" s="1331" t="s">
        <v>678</v>
      </c>
      <c r="E3939" s="1331" t="s">
        <v>675</v>
      </c>
      <c r="F3939" s="1334">
        <v>0.35</v>
      </c>
      <c r="G3939" s="1104">
        <f>DUB!$I$11</f>
        <v>187000</v>
      </c>
      <c r="H3939" s="1106">
        <f>G3939*F3939</f>
        <v>65449.999999999993</v>
      </c>
      <c r="J3939" s="1557"/>
      <c r="K3939" s="1557"/>
      <c r="L3939" s="1557"/>
      <c r="M3939" s="1566"/>
    </row>
    <row r="3940" spans="2:13" s="947" customFormat="1" hidden="1">
      <c r="B3940" s="1543"/>
      <c r="C3940" s="1332" t="s">
        <v>751</v>
      </c>
      <c r="D3940" s="1331" t="s">
        <v>681</v>
      </c>
      <c r="E3940" s="1331" t="s">
        <v>675</v>
      </c>
      <c r="F3940" s="1334">
        <v>3.5000000000000003E-2</v>
      </c>
      <c r="G3940" s="1104">
        <f>DUB!$I$13</f>
        <v>240000</v>
      </c>
      <c r="H3940" s="1106">
        <f>G3940*F3940</f>
        <v>8400</v>
      </c>
      <c r="J3940" s="1557"/>
      <c r="K3940" s="1557"/>
      <c r="L3940" s="1557"/>
      <c r="M3940" s="1566"/>
    </row>
    <row r="3941" spans="2:13" s="947" customFormat="1" hidden="1">
      <c r="B3941" s="1543"/>
      <c r="C3941" s="1332" t="s">
        <v>683</v>
      </c>
      <c r="D3941" s="1331" t="s">
        <v>684</v>
      </c>
      <c r="E3941" s="1331" t="s">
        <v>675</v>
      </c>
      <c r="F3941" s="1334">
        <v>3.5000000000000003E-2</v>
      </c>
      <c r="G3941" s="1104">
        <f>DUB!$I$12</f>
        <v>225000</v>
      </c>
      <c r="H3941" s="1106">
        <f>G3941*F3941</f>
        <v>7875.0000000000009</v>
      </c>
      <c r="J3941" s="1557"/>
      <c r="K3941" s="1557"/>
      <c r="L3941" s="1557"/>
      <c r="M3941" s="1566"/>
    </row>
    <row r="3942" spans="2:13" s="947" customFormat="1" hidden="1">
      <c r="B3942" s="1543"/>
      <c r="C3942" s="1332"/>
      <c r="D3942" s="1331"/>
      <c r="E3942" s="1331"/>
      <c r="F3942" s="2074" t="s">
        <v>685</v>
      </c>
      <c r="G3942" s="2074"/>
      <c r="H3942" s="1106">
        <f>SUM(H3938:H3941)</f>
        <v>186725</v>
      </c>
      <c r="J3942" s="1557"/>
      <c r="K3942" s="1557"/>
      <c r="L3942" s="1557"/>
      <c r="M3942" s="1566"/>
    </row>
    <row r="3943" spans="2:13" s="947" customFormat="1" hidden="1">
      <c r="B3943" s="1543" t="s">
        <v>686</v>
      </c>
      <c r="C3943" s="1332" t="s">
        <v>687</v>
      </c>
      <c r="D3943" s="1331"/>
      <c r="E3943" s="1331"/>
      <c r="F3943" s="1334"/>
      <c r="G3943" s="1104"/>
      <c r="H3943" s="1106"/>
      <c r="J3943" s="1557"/>
      <c r="K3943" s="1557"/>
      <c r="L3943" s="1557"/>
      <c r="M3943" s="1566"/>
    </row>
    <row r="3944" spans="2:13" s="947" customFormat="1" hidden="1">
      <c r="B3944" s="1543"/>
      <c r="C3944" s="1332" t="s">
        <v>4741</v>
      </c>
      <c r="D3944" s="1331"/>
      <c r="E3944" s="1331" t="s">
        <v>2647</v>
      </c>
      <c r="F3944" s="1334">
        <v>1.1000000000000001</v>
      </c>
      <c r="G3944" s="1104">
        <f>DUB!I48</f>
        <v>251685</v>
      </c>
      <c r="H3944" s="1106">
        <f>G3944*F3944</f>
        <v>276853.5</v>
      </c>
      <c r="J3944" s="1557"/>
      <c r="K3944" s="1557"/>
      <c r="L3944" s="1557"/>
      <c r="M3944" s="1566"/>
    </row>
    <row r="3945" spans="2:13" s="947" customFormat="1" hidden="1">
      <c r="B3945" s="1543"/>
      <c r="C3945" s="1332" t="s">
        <v>818</v>
      </c>
      <c r="D3945" s="1331"/>
      <c r="E3945" s="1331" t="s">
        <v>690</v>
      </c>
      <c r="F3945" s="1334">
        <v>11.75</v>
      </c>
      <c r="G3945" s="1104">
        <f>DUB!$I$65</f>
        <v>1575</v>
      </c>
      <c r="H3945" s="1106">
        <f>G3945*F3945</f>
        <v>18506.25</v>
      </c>
      <c r="J3945" s="1557"/>
      <c r="K3945" s="1557"/>
      <c r="L3945" s="1557"/>
      <c r="M3945" s="1566"/>
    </row>
    <row r="3946" spans="2:13" s="947" customFormat="1" hidden="1">
      <c r="B3946" s="1543"/>
      <c r="C3946" s="1332" t="s">
        <v>808</v>
      </c>
      <c r="D3946" s="1331"/>
      <c r="E3946" s="1331" t="s">
        <v>881</v>
      </c>
      <c r="F3946" s="1334">
        <v>3.5000000000000003E-2</v>
      </c>
      <c r="G3946" s="1104">
        <f>DUB!$I$59</f>
        <v>208463</v>
      </c>
      <c r="H3946" s="1106">
        <f>G3946*F3946</f>
        <v>7296.2050000000008</v>
      </c>
      <c r="J3946" s="1557"/>
      <c r="K3946" s="1557"/>
      <c r="L3946" s="1557"/>
      <c r="M3946" s="1566"/>
    </row>
    <row r="3947" spans="2:13" s="947" customFormat="1" hidden="1">
      <c r="B3947" s="1543"/>
      <c r="C3947" s="1332"/>
      <c r="D3947" s="1331"/>
      <c r="E3947" s="1331"/>
      <c r="F3947" s="2090" t="s">
        <v>702</v>
      </c>
      <c r="G3947" s="2090"/>
      <c r="H3947" s="1106">
        <f>SUM(H3944:H3946)</f>
        <v>302655.95500000002</v>
      </c>
      <c r="J3947" s="1557"/>
      <c r="K3947" s="1557"/>
      <c r="L3947" s="1557"/>
      <c r="M3947" s="1566"/>
    </row>
    <row r="3948" spans="2:13" s="947" customFormat="1" hidden="1">
      <c r="B3948" s="1543" t="s">
        <v>703</v>
      </c>
      <c r="C3948" s="2089" t="s">
        <v>3764</v>
      </c>
      <c r="D3948" s="2089"/>
      <c r="E3948" s="2089"/>
      <c r="F3948" s="2089"/>
      <c r="G3948" s="2089"/>
      <c r="H3948" s="1107">
        <f>H3942+H3947</f>
        <v>489380.95500000002</v>
      </c>
      <c r="I3948" s="949"/>
      <c r="J3948" s="1559"/>
      <c r="K3948" s="1559"/>
      <c r="L3948" s="1557"/>
      <c r="M3948" s="1566"/>
    </row>
    <row r="3949" spans="2:13" s="947" customFormat="1" hidden="1">
      <c r="B3949" s="1543" t="s">
        <v>706</v>
      </c>
      <c r="C3949" s="2076" t="s">
        <v>876</v>
      </c>
      <c r="D3949" s="2076"/>
      <c r="E3949" s="2076"/>
      <c r="F3949" s="2077" t="s">
        <v>3873</v>
      </c>
      <c r="G3949" s="2077"/>
      <c r="H3949" s="1107">
        <f>H3948*0.15</f>
        <v>73407.143249999994</v>
      </c>
      <c r="I3949" s="949"/>
      <c r="J3949" s="1559"/>
      <c r="K3949" s="1559"/>
      <c r="L3949" s="1557"/>
      <c r="M3949" s="1566"/>
    </row>
    <row r="3950" spans="2:13" s="947" customFormat="1" hidden="1">
      <c r="B3950" s="1543" t="s">
        <v>708</v>
      </c>
      <c r="C3950" s="2078" t="s">
        <v>3765</v>
      </c>
      <c r="D3950" s="2078"/>
      <c r="E3950" s="2078"/>
      <c r="F3950" s="2078"/>
      <c r="G3950" s="2078"/>
      <c r="H3950" s="1107">
        <f>ROUND(SUM(H3948:H3949),2)</f>
        <v>562788.1</v>
      </c>
      <c r="I3950" s="950">
        <f>SUM(H3948:H3949)</f>
        <v>562788.09825000004</v>
      </c>
      <c r="J3950" s="1561"/>
      <c r="K3950" s="1561"/>
      <c r="L3950" s="1557"/>
      <c r="M3950" s="1566"/>
    </row>
    <row r="3951" spans="2:13" s="947" customFormat="1" hidden="1">
      <c r="B3951" s="1129"/>
      <c r="C3951" s="1130"/>
      <c r="D3951" s="1129"/>
      <c r="E3951" s="1130"/>
      <c r="F3951" s="1131"/>
      <c r="G3951" s="1132"/>
      <c r="H3951" s="1115"/>
      <c r="J3951" s="1557"/>
      <c r="K3951" s="1557"/>
      <c r="L3951" s="1557"/>
      <c r="M3951" s="1566"/>
    </row>
    <row r="3952" spans="2:13" s="947" customFormat="1" hidden="1">
      <c r="B3952" s="1100" t="s">
        <v>4742</v>
      </c>
      <c r="C3952" s="1112" t="s">
        <v>4743</v>
      </c>
      <c r="D3952" s="1129"/>
      <c r="E3952" s="1129"/>
      <c r="F3952" s="1131"/>
      <c r="G3952" s="1132"/>
      <c r="H3952" s="1115"/>
      <c r="J3952" s="1557"/>
      <c r="K3952" s="1557"/>
      <c r="L3952" s="1557"/>
      <c r="M3952" s="1566"/>
    </row>
    <row r="3953" spans="2:13" s="947" customFormat="1" ht="24.9" hidden="1" customHeight="1">
      <c r="B3953" s="1748" t="s">
        <v>1003</v>
      </c>
      <c r="C3953" s="1101" t="s">
        <v>1004</v>
      </c>
      <c r="D3953" s="1101" t="s">
        <v>1005</v>
      </c>
      <c r="E3953" s="1101" t="s">
        <v>1006</v>
      </c>
      <c r="F3953" s="1102" t="s">
        <v>1007</v>
      </c>
      <c r="G3953" s="1109" t="s">
        <v>2637</v>
      </c>
      <c r="H3953" s="1110" t="s">
        <v>2638</v>
      </c>
      <c r="I3953" s="948"/>
      <c r="J3953" s="1625"/>
      <c r="K3953" s="1625"/>
      <c r="L3953" s="1557"/>
      <c r="M3953" s="1566"/>
    </row>
    <row r="3954" spans="2:13" s="947" customFormat="1" hidden="1">
      <c r="B3954" s="1543" t="s">
        <v>671</v>
      </c>
      <c r="C3954" s="1332" t="s">
        <v>672</v>
      </c>
      <c r="D3954" s="1331"/>
      <c r="E3954" s="1331"/>
      <c r="F3954" s="1334"/>
      <c r="G3954" s="1104"/>
      <c r="H3954" s="1106"/>
      <c r="J3954" s="1557"/>
      <c r="K3954" s="1557"/>
      <c r="L3954" s="1557"/>
      <c r="M3954" s="1566"/>
    </row>
    <row r="3955" spans="2:13" s="947" customFormat="1" hidden="1">
      <c r="B3955" s="1543"/>
      <c r="C3955" s="1332" t="s">
        <v>673</v>
      </c>
      <c r="D3955" s="1331" t="s">
        <v>674</v>
      </c>
      <c r="E3955" s="1331" t="s">
        <v>675</v>
      </c>
      <c r="F3955" s="1334">
        <v>0.7</v>
      </c>
      <c r="G3955" s="1104">
        <f>DUB!$I$10</f>
        <v>150000</v>
      </c>
      <c r="H3955" s="1106">
        <f>G3955*F3955</f>
        <v>105000</v>
      </c>
      <c r="J3955" s="1557"/>
      <c r="K3955" s="1557"/>
      <c r="L3955" s="1557"/>
      <c r="M3955" s="1566"/>
    </row>
    <row r="3956" spans="2:13" s="947" customFormat="1" hidden="1">
      <c r="B3956" s="1543"/>
      <c r="C3956" s="1332" t="s">
        <v>816</v>
      </c>
      <c r="D3956" s="1331" t="s">
        <v>678</v>
      </c>
      <c r="E3956" s="1331" t="s">
        <v>675</v>
      </c>
      <c r="F3956" s="1334">
        <v>0.35</v>
      </c>
      <c r="G3956" s="1104">
        <f>DUB!$I$11</f>
        <v>187000</v>
      </c>
      <c r="H3956" s="1106">
        <f>G3956*F3956</f>
        <v>65449.999999999993</v>
      </c>
      <c r="J3956" s="1557"/>
      <c r="K3956" s="1557"/>
      <c r="L3956" s="1557"/>
      <c r="M3956" s="1566"/>
    </row>
    <row r="3957" spans="2:13" s="947" customFormat="1" hidden="1">
      <c r="B3957" s="1543"/>
      <c r="C3957" s="1332" t="s">
        <v>751</v>
      </c>
      <c r="D3957" s="1331" t="s">
        <v>681</v>
      </c>
      <c r="E3957" s="1331" t="s">
        <v>675</v>
      </c>
      <c r="F3957" s="1334">
        <v>3.5000000000000003E-2</v>
      </c>
      <c r="G3957" s="1104">
        <f>DUB!$I$13</f>
        <v>240000</v>
      </c>
      <c r="H3957" s="1106">
        <f>G3957*F3957</f>
        <v>8400</v>
      </c>
      <c r="J3957" s="1557"/>
      <c r="K3957" s="1557"/>
      <c r="L3957" s="1557"/>
      <c r="M3957" s="1566"/>
    </row>
    <row r="3958" spans="2:13" s="947" customFormat="1" hidden="1">
      <c r="B3958" s="1543"/>
      <c r="C3958" s="1332" t="s">
        <v>683</v>
      </c>
      <c r="D3958" s="1331" t="s">
        <v>684</v>
      </c>
      <c r="E3958" s="1331" t="s">
        <v>675</v>
      </c>
      <c r="F3958" s="1334">
        <v>3.5000000000000003E-2</v>
      </c>
      <c r="G3958" s="1104">
        <f>DUB!$I$12</f>
        <v>225000</v>
      </c>
      <c r="H3958" s="1106">
        <f>G3958*F3958</f>
        <v>7875.0000000000009</v>
      </c>
      <c r="J3958" s="1557"/>
      <c r="K3958" s="1557"/>
      <c r="L3958" s="1557"/>
      <c r="M3958" s="1566"/>
    </row>
    <row r="3959" spans="2:13" s="947" customFormat="1" hidden="1">
      <c r="B3959" s="1543"/>
      <c r="C3959" s="1332"/>
      <c r="D3959" s="1331"/>
      <c r="E3959" s="1331"/>
      <c r="F3959" s="2074" t="s">
        <v>685</v>
      </c>
      <c r="G3959" s="2074"/>
      <c r="H3959" s="1106">
        <f>SUM(H3955:H3958)</f>
        <v>186725</v>
      </c>
      <c r="J3959" s="1557"/>
      <c r="K3959" s="1557"/>
      <c r="L3959" s="1557"/>
      <c r="M3959" s="1566"/>
    </row>
    <row r="3960" spans="2:13" s="947" customFormat="1" hidden="1">
      <c r="B3960" s="1543" t="s">
        <v>686</v>
      </c>
      <c r="C3960" s="1332" t="s">
        <v>687</v>
      </c>
      <c r="D3960" s="1331"/>
      <c r="E3960" s="1331"/>
      <c r="F3960" s="1334"/>
      <c r="G3960" s="1104"/>
      <c r="H3960" s="1106"/>
      <c r="J3960" s="1557"/>
      <c r="K3960" s="1557"/>
      <c r="L3960" s="1557"/>
      <c r="M3960" s="1566"/>
    </row>
    <row r="3961" spans="2:13" s="947" customFormat="1" hidden="1">
      <c r="B3961" s="1543"/>
      <c r="C3961" s="1332" t="s">
        <v>4746</v>
      </c>
      <c r="D3961" s="1331"/>
      <c r="E3961" s="1331" t="s">
        <v>743</v>
      </c>
      <c r="F3961" s="1334">
        <v>11.87</v>
      </c>
      <c r="G3961" s="1104">
        <f>DUB!I76</f>
        <v>19116</v>
      </c>
      <c r="H3961" s="1106">
        <f>G3961*F3961</f>
        <v>226906.91999999998</v>
      </c>
      <c r="J3961" s="1557"/>
      <c r="K3961" s="1557"/>
      <c r="L3961" s="1557"/>
      <c r="M3961" s="1566"/>
    </row>
    <row r="3962" spans="2:13" s="947" customFormat="1" hidden="1">
      <c r="B3962" s="1543"/>
      <c r="C3962" s="1332" t="s">
        <v>738</v>
      </c>
      <c r="D3962" s="1331"/>
      <c r="E3962" s="1331" t="s">
        <v>690</v>
      </c>
      <c r="F3962" s="1334">
        <v>10</v>
      </c>
      <c r="G3962" s="1104">
        <f>DUB!$I$65</f>
        <v>1575</v>
      </c>
      <c r="H3962" s="1106">
        <f>G3962*F3962</f>
        <v>15750</v>
      </c>
      <c r="J3962" s="1557"/>
      <c r="K3962" s="1557"/>
      <c r="L3962" s="1557"/>
      <c r="M3962" s="1566"/>
    </row>
    <row r="3963" spans="2:13" s="947" customFormat="1" hidden="1">
      <c r="B3963" s="1543"/>
      <c r="C3963" s="1332" t="s">
        <v>739</v>
      </c>
      <c r="D3963" s="1331"/>
      <c r="E3963" s="1331" t="s">
        <v>881</v>
      </c>
      <c r="F3963" s="1334">
        <v>4.4999999999999998E-2</v>
      </c>
      <c r="G3963" s="1104">
        <f>DUB!$I$59</f>
        <v>208463</v>
      </c>
      <c r="H3963" s="1106">
        <f>G3963*F3963</f>
        <v>9380.8349999999991</v>
      </c>
      <c r="J3963" s="1557"/>
      <c r="K3963" s="1557"/>
      <c r="L3963" s="1557"/>
      <c r="M3963" s="1566"/>
    </row>
    <row r="3964" spans="2:13" s="947" customFormat="1" hidden="1">
      <c r="B3964" s="1543"/>
      <c r="C3964" s="1125"/>
      <c r="D3964" s="1333"/>
      <c r="E3964" s="1333"/>
      <c r="F3964" s="2074" t="s">
        <v>702</v>
      </c>
      <c r="G3964" s="2074"/>
      <c r="H3964" s="1106">
        <f>SUM(H3961:H3963)</f>
        <v>252037.75499999998</v>
      </c>
      <c r="J3964" s="1557"/>
      <c r="K3964" s="1557"/>
      <c r="L3964" s="1557"/>
      <c r="M3964" s="1566"/>
    </row>
    <row r="3965" spans="2:13" s="947" customFormat="1" hidden="1">
      <c r="B3965" s="1543" t="s">
        <v>703</v>
      </c>
      <c r="C3965" s="2075" t="s">
        <v>3764</v>
      </c>
      <c r="D3965" s="2075"/>
      <c r="E3965" s="2075"/>
      <c r="F3965" s="2075"/>
      <c r="G3965" s="2075"/>
      <c r="H3965" s="1107">
        <f>H3959+H3964</f>
        <v>438762.755</v>
      </c>
      <c r="I3965" s="949"/>
      <c r="J3965" s="1559"/>
      <c r="K3965" s="1559"/>
      <c r="L3965" s="1557"/>
      <c r="M3965" s="1566"/>
    </row>
    <row r="3966" spans="2:13" s="947" customFormat="1" hidden="1">
      <c r="B3966" s="1543" t="s">
        <v>706</v>
      </c>
      <c r="C3966" s="2076" t="s">
        <v>876</v>
      </c>
      <c r="D3966" s="2076"/>
      <c r="E3966" s="2076"/>
      <c r="F3966" s="2077" t="s">
        <v>3873</v>
      </c>
      <c r="G3966" s="2077"/>
      <c r="H3966" s="1107">
        <f>H3965*0.15</f>
        <v>65814.413249999998</v>
      </c>
      <c r="I3966" s="949"/>
      <c r="J3966" s="1559"/>
      <c r="K3966" s="1559"/>
      <c r="L3966" s="1557"/>
      <c r="M3966" s="1566"/>
    </row>
    <row r="3967" spans="2:13" s="947" customFormat="1" hidden="1">
      <c r="B3967" s="1543" t="s">
        <v>708</v>
      </c>
      <c r="C3967" s="2078" t="s">
        <v>3765</v>
      </c>
      <c r="D3967" s="2078"/>
      <c r="E3967" s="2078"/>
      <c r="F3967" s="2078"/>
      <c r="G3967" s="2078"/>
      <c r="H3967" s="1107">
        <f>ROUND(SUM(H3965:H3966),2)</f>
        <v>504577.17</v>
      </c>
      <c r="I3967" s="950">
        <f>SUM(H3965:H3966)</f>
        <v>504577.16824999999</v>
      </c>
      <c r="J3967" s="1561"/>
      <c r="K3967" s="1561"/>
      <c r="L3967" s="1557"/>
      <c r="M3967" s="1566"/>
    </row>
    <row r="3968" spans="2:13" s="947" customFormat="1" hidden="1">
      <c r="B3968" s="1129"/>
      <c r="C3968" s="1130"/>
      <c r="D3968" s="1129"/>
      <c r="E3968" s="1130"/>
      <c r="F3968" s="1131"/>
      <c r="G3968" s="1132"/>
      <c r="H3968" s="1115"/>
      <c r="J3968" s="1557"/>
      <c r="K3968" s="1557"/>
      <c r="L3968" s="1557"/>
      <c r="M3968" s="1566"/>
    </row>
    <row r="3969" spans="2:13" s="947" customFormat="1">
      <c r="B3969" s="1100" t="s">
        <v>3413</v>
      </c>
      <c r="C3969" s="1112" t="s">
        <v>3414</v>
      </c>
      <c r="D3969" s="1129"/>
      <c r="E3969" s="1129"/>
      <c r="F3969" s="1131"/>
      <c r="G3969" s="1132"/>
      <c r="H3969" s="1115"/>
      <c r="J3969" s="1557"/>
      <c r="K3969" s="1557"/>
      <c r="L3969" s="1557"/>
      <c r="M3969" s="1566"/>
    </row>
    <row r="3970" spans="2:13" s="948" customFormat="1" ht="24.9" customHeight="1">
      <c r="B3970" s="1101" t="s">
        <v>1003</v>
      </c>
      <c r="C3970" s="1101" t="s">
        <v>1004</v>
      </c>
      <c r="D3970" s="1101" t="s">
        <v>1005</v>
      </c>
      <c r="E3970" s="1101" t="s">
        <v>1006</v>
      </c>
      <c r="F3970" s="1102" t="s">
        <v>1007</v>
      </c>
      <c r="G3970" s="1109" t="s">
        <v>2637</v>
      </c>
      <c r="H3970" s="1110" t="s">
        <v>2638</v>
      </c>
      <c r="I3970" s="1840"/>
      <c r="J3970" s="1823" t="s">
        <v>5335</v>
      </c>
      <c r="K3970" s="1824" t="s">
        <v>5336</v>
      </c>
      <c r="L3970" s="1824" t="s">
        <v>5337</v>
      </c>
      <c r="M3970" s="1825" t="s">
        <v>5338</v>
      </c>
    </row>
    <row r="3971" spans="2:13" s="948" customFormat="1">
      <c r="B3971" s="1220" t="s">
        <v>671</v>
      </c>
      <c r="C3971" s="1125" t="s">
        <v>672</v>
      </c>
      <c r="D3971" s="1220"/>
      <c r="E3971" s="1221"/>
      <c r="F3971" s="1222"/>
      <c r="G3971" s="1223"/>
      <c r="H3971" s="1224"/>
      <c r="J3971" s="1597"/>
      <c r="K3971" s="1597"/>
      <c r="L3971" s="1597"/>
      <c r="M3971" s="1826"/>
    </row>
    <row r="3972" spans="2:13" s="948" customFormat="1">
      <c r="B3972" s="1101"/>
      <c r="C3972" s="1225" t="s">
        <v>3416</v>
      </c>
      <c r="D3972" s="1331"/>
      <c r="E3972" s="1226" t="s">
        <v>3418</v>
      </c>
      <c r="F3972" s="1227">
        <v>1</v>
      </c>
      <c r="G3972" s="1104">
        <v>220000</v>
      </c>
      <c r="H3972" s="1106">
        <f t="shared" ref="H3972" si="100">G3972*F3972</f>
        <v>220000</v>
      </c>
      <c r="J3972" s="1609" t="s">
        <v>5339</v>
      </c>
      <c r="K3972" s="1611">
        <v>1</v>
      </c>
      <c r="L3972" s="1608" t="s">
        <v>5340</v>
      </c>
      <c r="M3972" s="1827">
        <f>H3972*K3972</f>
        <v>220000</v>
      </c>
    </row>
    <row r="3973" spans="2:13" s="948" customFormat="1">
      <c r="B3973" s="1101"/>
      <c r="C3973" s="1225"/>
      <c r="D3973" s="1331"/>
      <c r="E3973" s="1226"/>
      <c r="F3973" s="2074" t="s">
        <v>685</v>
      </c>
      <c r="G3973" s="2074"/>
      <c r="H3973" s="1106">
        <f>SUM(H3972)</f>
        <v>220000</v>
      </c>
      <c r="J3973" s="1595"/>
      <c r="K3973" s="1595"/>
      <c r="L3973" s="1595"/>
      <c r="M3973" s="1106">
        <f>SUM(M3972)</f>
        <v>220000</v>
      </c>
    </row>
    <row r="3974" spans="2:13" s="948" customFormat="1">
      <c r="B3974" s="1101" t="s">
        <v>686</v>
      </c>
      <c r="C3974" s="1332" t="s">
        <v>687</v>
      </c>
      <c r="D3974" s="1331"/>
      <c r="E3974" s="1226"/>
      <c r="F3974" s="1227"/>
      <c r="G3974" s="1104"/>
      <c r="H3974" s="1106"/>
      <c r="J3974" s="1595"/>
      <c r="K3974" s="1595"/>
      <c r="L3974" s="1595"/>
      <c r="M3974" s="1847"/>
    </row>
    <row r="3975" spans="2:13" s="947" customFormat="1">
      <c r="B3975" s="1331"/>
      <c r="C3975" s="1225" t="s">
        <v>5237</v>
      </c>
      <c r="D3975" s="1331"/>
      <c r="E3975" s="1226" t="s">
        <v>3248</v>
      </c>
      <c r="F3975" s="1162">
        <v>6.6</v>
      </c>
      <c r="G3975" s="1104">
        <f>DUB!$I$144</f>
        <v>54621</v>
      </c>
      <c r="H3975" s="1106">
        <f t="shared" ref="H3975:H3982" si="101">G3975*F3975</f>
        <v>360498.6</v>
      </c>
      <c r="J3975" s="1642" t="s">
        <v>4925</v>
      </c>
      <c r="K3975" s="1611">
        <v>0.4904</v>
      </c>
      <c r="L3975" s="1607" t="s">
        <v>5343</v>
      </c>
      <c r="M3975" s="1827">
        <f t="shared" ref="M3975:M3979" si="102">H3975*K3975</f>
        <v>176788.51343999998</v>
      </c>
    </row>
    <row r="3976" spans="2:13" s="947" customFormat="1">
      <c r="B3976" s="1331"/>
      <c r="C3976" s="1225" t="s">
        <v>3415</v>
      </c>
      <c r="D3976" s="1331"/>
      <c r="E3976" s="1226" t="s">
        <v>690</v>
      </c>
      <c r="F3976" s="1227">
        <v>2.93</v>
      </c>
      <c r="G3976" s="1104">
        <f>DUB!$I$103</f>
        <v>15700</v>
      </c>
      <c r="H3976" s="1106">
        <f t="shared" si="101"/>
        <v>46001</v>
      </c>
      <c r="J3976" s="1642" t="s">
        <v>4925</v>
      </c>
      <c r="K3976" s="1611">
        <v>0.52800000000000002</v>
      </c>
      <c r="L3976" s="1607" t="s">
        <v>5343</v>
      </c>
      <c r="M3976" s="1827">
        <f t="shared" si="102"/>
        <v>24288.528000000002</v>
      </c>
    </row>
    <row r="3977" spans="2:13" s="947" customFormat="1">
      <c r="B3977" s="1331"/>
      <c r="C3977" s="1225" t="s">
        <v>2979</v>
      </c>
      <c r="D3977" s="1331"/>
      <c r="E3977" s="1226" t="s">
        <v>1264</v>
      </c>
      <c r="F3977" s="1227">
        <v>1.1000000000000001</v>
      </c>
      <c r="G3977" s="1104">
        <f>DUB!$I$145</f>
        <v>445500</v>
      </c>
      <c r="H3977" s="1106">
        <f t="shared" si="101"/>
        <v>490050.00000000006</v>
      </c>
      <c r="J3977" s="1642" t="s">
        <v>4925</v>
      </c>
      <c r="K3977" s="1611">
        <v>0.40439999999999998</v>
      </c>
      <c r="L3977" s="1607" t="s">
        <v>5343</v>
      </c>
      <c r="M3977" s="1827">
        <f t="shared" si="102"/>
        <v>198176.22</v>
      </c>
    </row>
    <row r="3978" spans="2:13" s="947" customFormat="1">
      <c r="B3978" s="1331"/>
      <c r="C3978" s="1225" t="s">
        <v>2980</v>
      </c>
      <c r="D3978" s="1331"/>
      <c r="E3978" s="1226" t="s">
        <v>1423</v>
      </c>
      <c r="F3978" s="1227">
        <v>3.5</v>
      </c>
      <c r="G3978" s="1104">
        <f>DUB!$I$146</f>
        <v>7281</v>
      </c>
      <c r="H3978" s="1106">
        <f t="shared" si="101"/>
        <v>25483.5</v>
      </c>
      <c r="J3978" s="1642" t="s">
        <v>4925</v>
      </c>
      <c r="K3978" s="1611">
        <v>0.33779999999999999</v>
      </c>
      <c r="L3978" s="1607" t="s">
        <v>5343</v>
      </c>
      <c r="M3978" s="1827">
        <f t="shared" si="102"/>
        <v>8608.3263000000006</v>
      </c>
    </row>
    <row r="3979" spans="2:13" s="947" customFormat="1">
      <c r="B3979" s="1331"/>
      <c r="C3979" s="1225" t="s">
        <v>2981</v>
      </c>
      <c r="D3979" s="1331"/>
      <c r="E3979" s="1226" t="s">
        <v>1423</v>
      </c>
      <c r="F3979" s="1227">
        <v>2.4</v>
      </c>
      <c r="G3979" s="1104">
        <f>DUB!$I$147</f>
        <v>10710</v>
      </c>
      <c r="H3979" s="1106">
        <f t="shared" si="101"/>
        <v>25704</v>
      </c>
      <c r="J3979" s="1642" t="s">
        <v>4925</v>
      </c>
      <c r="K3979" s="1611">
        <v>0.57120000000000004</v>
      </c>
      <c r="L3979" s="1607" t="s">
        <v>5343</v>
      </c>
      <c r="M3979" s="1827">
        <f t="shared" si="102"/>
        <v>14682.124800000001</v>
      </c>
    </row>
    <row r="3980" spans="2:13" s="947" customFormat="1">
      <c r="B3980" s="1331"/>
      <c r="C3980" s="1225"/>
      <c r="D3980" s="1331"/>
      <c r="E3980" s="1226"/>
      <c r="F3980" s="2091" t="s">
        <v>702</v>
      </c>
      <c r="G3980" s="2091"/>
      <c r="H3980" s="1106">
        <f>SUM(H3975:H3979)</f>
        <v>947737.10000000009</v>
      </c>
      <c r="J3980" s="1642"/>
      <c r="K3980" s="1611"/>
      <c r="L3980" s="1607"/>
      <c r="M3980" s="1106">
        <f>SUM(M3975:M3979)</f>
        <v>422543.71253999998</v>
      </c>
    </row>
    <row r="3981" spans="2:13" s="949" customFormat="1">
      <c r="B3981" s="1330" t="s">
        <v>703</v>
      </c>
      <c r="C3981" s="1332" t="s">
        <v>704</v>
      </c>
      <c r="D3981" s="1330"/>
      <c r="E3981" s="1228"/>
      <c r="F3981" s="1195"/>
      <c r="G3981" s="1159"/>
      <c r="H3981" s="1107"/>
      <c r="J3981" s="1600"/>
      <c r="K3981" s="1600"/>
      <c r="L3981" s="1600"/>
      <c r="M3981" s="1848"/>
    </row>
    <row r="3982" spans="2:13" s="947" customFormat="1">
      <c r="B3982" s="1331"/>
      <c r="C3982" s="1225" t="s">
        <v>3417</v>
      </c>
      <c r="D3982" s="1331"/>
      <c r="E3982" s="1226" t="s">
        <v>3418</v>
      </c>
      <c r="F3982" s="1227">
        <v>1</v>
      </c>
      <c r="G3982" s="1104">
        <v>25000</v>
      </c>
      <c r="H3982" s="1106">
        <f t="shared" si="101"/>
        <v>25000</v>
      </c>
      <c r="J3982" s="1642"/>
      <c r="K3982" s="1611"/>
      <c r="L3982" s="1607"/>
      <c r="M3982" s="1827">
        <f t="shared" ref="M3982" si="103">H3982*K3982</f>
        <v>0</v>
      </c>
    </row>
    <row r="3983" spans="2:13" s="947" customFormat="1">
      <c r="B3983" s="1531"/>
      <c r="C3983" s="1332"/>
      <c r="D3983" s="1331"/>
      <c r="E3983" s="1331"/>
      <c r="F3983" s="2091" t="s">
        <v>705</v>
      </c>
      <c r="G3983" s="2091"/>
      <c r="H3983" s="1106">
        <f>SUM(H3982)</f>
        <v>25000</v>
      </c>
      <c r="J3983" s="1597"/>
      <c r="K3983" s="1597"/>
      <c r="L3983" s="1597"/>
      <c r="M3983" s="1106">
        <f>SUM(M3982)</f>
        <v>0</v>
      </c>
    </row>
    <row r="3984" spans="2:13" s="949" customFormat="1">
      <c r="B3984" s="1330" t="s">
        <v>706</v>
      </c>
      <c r="C3984" s="2089" t="s">
        <v>707</v>
      </c>
      <c r="D3984" s="2089"/>
      <c r="E3984" s="2089"/>
      <c r="F3984" s="2089"/>
      <c r="G3984" s="2089"/>
      <c r="H3984" s="1107">
        <f>H3973+H3980+H3983</f>
        <v>1192737.1000000001</v>
      </c>
      <c r="J3984" s="1600"/>
      <c r="K3984" s="1633">
        <f>M3984/H3984</f>
        <v>0.53871361303341692</v>
      </c>
      <c r="L3984" s="1600"/>
      <c r="M3984" s="1107">
        <f>M3973+M3980+M3983</f>
        <v>642543.71253999998</v>
      </c>
    </row>
    <row r="3985" spans="2:13" s="949" customFormat="1">
      <c r="B3985" s="1330" t="s">
        <v>708</v>
      </c>
      <c r="C3985" s="2076" t="s">
        <v>876</v>
      </c>
      <c r="D3985" s="2076"/>
      <c r="E3985" s="2076"/>
      <c r="F3985" s="2077" t="s">
        <v>3873</v>
      </c>
      <c r="G3985" s="2077"/>
      <c r="H3985" s="1107">
        <f>H3984*0.15</f>
        <v>178910.565</v>
      </c>
      <c r="J3985" s="1600"/>
      <c r="K3985" s="1600"/>
      <c r="L3985" s="1600"/>
      <c r="M3985" s="1107">
        <f>M3984*0.15</f>
        <v>96381.556880999997</v>
      </c>
    </row>
    <row r="3986" spans="2:13" s="949" customFormat="1">
      <c r="B3986" s="1330" t="s">
        <v>711</v>
      </c>
      <c r="C3986" s="2078" t="s">
        <v>712</v>
      </c>
      <c r="D3986" s="2078"/>
      <c r="E3986" s="2078"/>
      <c r="F3986" s="2078"/>
      <c r="G3986" s="2078"/>
      <c r="H3986" s="1107">
        <f>ROUND(SUM(H3984:H3985),2)</f>
        <v>1371647.67</v>
      </c>
      <c r="I3986" s="1643">
        <f>SUM(H3984:H3985)</f>
        <v>1371647.665</v>
      </c>
      <c r="J3986" s="1636"/>
      <c r="K3986" s="1636"/>
      <c r="L3986" s="1637"/>
      <c r="M3986" s="1919">
        <f>ROUND(SUM(M3984:M3985),2)</f>
        <v>738925.27</v>
      </c>
    </row>
    <row r="3987" spans="2:13" s="947" customFormat="1">
      <c r="B3987" s="1129"/>
      <c r="C3987" s="1130"/>
      <c r="D3987" s="1129"/>
      <c r="E3987" s="1130"/>
      <c r="F3987" s="1131"/>
      <c r="G3987" s="1132"/>
      <c r="H3987" s="1115"/>
      <c r="J3987" s="1557"/>
      <c r="K3987" s="1557"/>
      <c r="L3987" s="1557"/>
      <c r="M3987" s="1566"/>
    </row>
    <row r="3988" spans="2:13" s="947" customFormat="1" hidden="1">
      <c r="B3988" s="1100" t="s">
        <v>3419</v>
      </c>
      <c r="C3988" s="1112" t="s">
        <v>3420</v>
      </c>
      <c r="D3988" s="1129"/>
      <c r="E3988" s="1129"/>
      <c r="F3988" s="1131"/>
      <c r="G3988" s="1132"/>
      <c r="H3988" s="1115"/>
      <c r="J3988" s="1557"/>
      <c r="K3988" s="1557"/>
      <c r="L3988" s="1557"/>
      <c r="M3988" s="1566"/>
    </row>
    <row r="3989" spans="2:13" s="948" customFormat="1" ht="24.9" hidden="1" customHeight="1">
      <c r="B3989" s="1748" t="s">
        <v>1003</v>
      </c>
      <c r="C3989" s="1101" t="s">
        <v>1004</v>
      </c>
      <c r="D3989" s="1101" t="s">
        <v>1005</v>
      </c>
      <c r="E3989" s="1101" t="s">
        <v>1006</v>
      </c>
      <c r="F3989" s="1102" t="s">
        <v>1007</v>
      </c>
      <c r="G3989" s="1109" t="s">
        <v>2637</v>
      </c>
      <c r="H3989" s="1110" t="s">
        <v>2638</v>
      </c>
      <c r="J3989" s="1625"/>
      <c r="K3989" s="1625"/>
      <c r="L3989" s="1625"/>
      <c r="M3989" s="1570"/>
    </row>
    <row r="3990" spans="2:13" s="948" customFormat="1" hidden="1">
      <c r="B3990" s="1791" t="s">
        <v>671</v>
      </c>
      <c r="C3990" s="1125" t="s">
        <v>672</v>
      </c>
      <c r="D3990" s="1101"/>
      <c r="E3990" s="1101"/>
      <c r="F3990" s="1102"/>
      <c r="G3990" s="1109"/>
      <c r="H3990" s="1110"/>
      <c r="J3990" s="1625"/>
      <c r="K3990" s="1625"/>
      <c r="L3990" s="1625"/>
      <c r="M3990" s="1570"/>
    </row>
    <row r="3991" spans="2:13" s="948" customFormat="1" hidden="1">
      <c r="B3991" s="1748"/>
      <c r="C3991" s="1225" t="s">
        <v>673</v>
      </c>
      <c r="D3991" s="1331" t="s">
        <v>674</v>
      </c>
      <c r="E3991" s="1226" t="s">
        <v>3423</v>
      </c>
      <c r="F3991" s="1227">
        <v>0.35</v>
      </c>
      <c r="G3991" s="1104">
        <f>DUB!$I$10</f>
        <v>150000</v>
      </c>
      <c r="H3991" s="1106">
        <f t="shared" ref="H3991:H3994" si="104">G3991*F3991</f>
        <v>52500</v>
      </c>
      <c r="J3991" s="1625"/>
      <c r="K3991" s="1625"/>
      <c r="L3991" s="1625"/>
      <c r="M3991" s="1570"/>
    </row>
    <row r="3992" spans="2:13" s="948" customFormat="1" hidden="1">
      <c r="B3992" s="1748"/>
      <c r="C3992" s="1225" t="s">
        <v>782</v>
      </c>
      <c r="D3992" s="1331" t="s">
        <v>678</v>
      </c>
      <c r="E3992" s="1226" t="s">
        <v>3423</v>
      </c>
      <c r="F3992" s="1227">
        <v>0.35</v>
      </c>
      <c r="G3992" s="1104">
        <f>DUB!$I$11</f>
        <v>187000</v>
      </c>
      <c r="H3992" s="1106">
        <f t="shared" si="104"/>
        <v>65449.999999999993</v>
      </c>
      <c r="J3992" s="1625"/>
      <c r="K3992" s="1625"/>
      <c r="L3992" s="1625"/>
      <c r="M3992" s="1570"/>
    </row>
    <row r="3993" spans="2:13" s="948" customFormat="1" hidden="1">
      <c r="B3993" s="1748"/>
      <c r="C3993" s="1702" t="s">
        <v>680</v>
      </c>
      <c r="D3993" s="1331" t="s">
        <v>681</v>
      </c>
      <c r="E3993" s="1703" t="s">
        <v>3423</v>
      </c>
      <c r="F3993" s="1704">
        <v>3.5000000000000003E-2</v>
      </c>
      <c r="G3993" s="1104">
        <f>DUB!$I$13</f>
        <v>240000</v>
      </c>
      <c r="H3993" s="1105">
        <f t="shared" si="104"/>
        <v>8400</v>
      </c>
      <c r="J3993" s="1625"/>
      <c r="K3993" s="1625"/>
      <c r="L3993" s="1625"/>
      <c r="M3993" s="1570"/>
    </row>
    <row r="3994" spans="2:13" s="948" customFormat="1" hidden="1">
      <c r="B3994" s="1748"/>
      <c r="C3994" s="1705" t="s">
        <v>683</v>
      </c>
      <c r="D3994" s="1331" t="s">
        <v>684</v>
      </c>
      <c r="E3994" s="1706" t="s">
        <v>3423</v>
      </c>
      <c r="F3994" s="1707">
        <v>3.5000000000000001E-3</v>
      </c>
      <c r="G3994" s="1104">
        <f>DUB!$I$12</f>
        <v>225000</v>
      </c>
      <c r="H3994" s="1106">
        <f t="shared" si="104"/>
        <v>787.5</v>
      </c>
      <c r="J3994" s="1625"/>
      <c r="K3994" s="1625"/>
      <c r="L3994" s="1625"/>
      <c r="M3994" s="1570"/>
    </row>
    <row r="3995" spans="2:13" s="948" customFormat="1" hidden="1">
      <c r="B3995" s="1748"/>
      <c r="C3995" s="1101"/>
      <c r="D3995" s="1101"/>
      <c r="E3995" s="1101"/>
      <c r="F3995" s="2074" t="s">
        <v>685</v>
      </c>
      <c r="G3995" s="2074"/>
      <c r="H3995" s="1229">
        <f>SUM(H3991:H3994)</f>
        <v>127137.5</v>
      </c>
      <c r="J3995" s="1625"/>
      <c r="K3995" s="1625"/>
      <c r="L3995" s="1625"/>
      <c r="M3995" s="1570"/>
    </row>
    <row r="3996" spans="2:13" s="948" customFormat="1" hidden="1">
      <c r="B3996" s="1748" t="s">
        <v>686</v>
      </c>
      <c r="C3996" s="1332" t="s">
        <v>687</v>
      </c>
      <c r="D3996" s="1101"/>
      <c r="E3996" s="1101"/>
      <c r="F3996" s="1102"/>
      <c r="G3996" s="1109"/>
      <c r="H3996" s="1110"/>
      <c r="J3996" s="1625"/>
      <c r="K3996" s="1625"/>
      <c r="L3996" s="1625"/>
      <c r="M3996" s="1570"/>
    </row>
    <row r="3997" spans="2:13" s="947" customFormat="1" hidden="1">
      <c r="B3997" s="1792"/>
      <c r="C3997" s="1225" t="s">
        <v>3421</v>
      </c>
      <c r="D3997" s="1331"/>
      <c r="E3997" s="1226" t="s">
        <v>1264</v>
      </c>
      <c r="F3997" s="1162">
        <v>1.1000000000000001</v>
      </c>
      <c r="G3997" s="1104">
        <f>DUB!$I$469</f>
        <v>80325</v>
      </c>
      <c r="H3997" s="1106">
        <f t="shared" ref="H3997:H3998" si="105">G3997*F3997</f>
        <v>88357.5</v>
      </c>
      <c r="J3997" s="1557"/>
      <c r="K3997" s="1557"/>
      <c r="L3997" s="1557"/>
      <c r="M3997" s="1566"/>
    </row>
    <row r="3998" spans="2:13" s="947" customFormat="1" hidden="1">
      <c r="B3998" s="1792"/>
      <c r="C3998" s="1225" t="s">
        <v>3422</v>
      </c>
      <c r="D3998" s="1331"/>
      <c r="E3998" s="1226" t="s">
        <v>773</v>
      </c>
      <c r="F3998" s="1227">
        <v>1.1000000000000001</v>
      </c>
      <c r="G3998" s="1104">
        <f>DUB!$I$470</f>
        <v>23562</v>
      </c>
      <c r="H3998" s="1106">
        <f t="shared" si="105"/>
        <v>25918.2</v>
      </c>
      <c r="J3998" s="1557"/>
      <c r="K3998" s="1557"/>
      <c r="L3998" s="1557"/>
      <c r="M3998" s="1566"/>
    </row>
    <row r="3999" spans="2:13" s="947" customFormat="1" hidden="1">
      <c r="B3999" s="1540"/>
      <c r="C3999" s="1332"/>
      <c r="D3999" s="1331"/>
      <c r="E3999" s="1331"/>
      <c r="F3999" s="2091" t="s">
        <v>702</v>
      </c>
      <c r="G3999" s="2091"/>
      <c r="H3999" s="1106">
        <f>SUM(H3997:H3998)</f>
        <v>114275.7</v>
      </c>
      <c r="J3999" s="1557"/>
      <c r="K3999" s="1557"/>
      <c r="L3999" s="1557"/>
      <c r="M3999" s="1566"/>
    </row>
    <row r="4000" spans="2:13" s="949" customFormat="1" hidden="1">
      <c r="B4000" s="1543" t="s">
        <v>703</v>
      </c>
      <c r="C4000" s="2089" t="s">
        <v>3764</v>
      </c>
      <c r="D4000" s="2089"/>
      <c r="E4000" s="2089"/>
      <c r="F4000" s="2089"/>
      <c r="G4000" s="2089"/>
      <c r="H4000" s="1107">
        <f>H3995+H3999</f>
        <v>241413.2</v>
      </c>
      <c r="J4000" s="1559"/>
      <c r="K4000" s="1559"/>
      <c r="L4000" s="1559"/>
      <c r="M4000" s="1635"/>
    </row>
    <row r="4001" spans="2:13" s="949" customFormat="1" hidden="1">
      <c r="B4001" s="1543" t="s">
        <v>706</v>
      </c>
      <c r="C4001" s="2076" t="s">
        <v>876</v>
      </c>
      <c r="D4001" s="2076"/>
      <c r="E4001" s="2076"/>
      <c r="F4001" s="2077" t="s">
        <v>3873</v>
      </c>
      <c r="G4001" s="2077"/>
      <c r="H4001" s="1107">
        <f>H4000*0.15</f>
        <v>36211.980000000003</v>
      </c>
      <c r="J4001" s="1559"/>
      <c r="K4001" s="1559"/>
      <c r="L4001" s="1559"/>
      <c r="M4001" s="1635"/>
    </row>
    <row r="4002" spans="2:13" s="949" customFormat="1" hidden="1">
      <c r="B4002" s="1543" t="s">
        <v>708</v>
      </c>
      <c r="C4002" s="2078" t="s">
        <v>3765</v>
      </c>
      <c r="D4002" s="2078"/>
      <c r="E4002" s="2078"/>
      <c r="F4002" s="2078"/>
      <c r="G4002" s="2078"/>
      <c r="H4002" s="1107">
        <f>ROUND(SUM(H4000:H4001),2)</f>
        <v>277625.18</v>
      </c>
      <c r="I4002" s="950">
        <f>SUM(H4000:H4001)</f>
        <v>277625.18</v>
      </c>
      <c r="J4002" s="1561"/>
      <c r="K4002" s="1561"/>
      <c r="L4002" s="1559"/>
      <c r="M4002" s="1635"/>
    </row>
    <row r="4003" spans="2:13" s="947" customFormat="1" hidden="1">
      <c r="B4003" s="1095"/>
      <c r="C4003" s="1096"/>
      <c r="D4003" s="1095"/>
      <c r="E4003" s="1095"/>
      <c r="F4003" s="1172"/>
      <c r="G4003" s="1173"/>
      <c r="H4003" s="1133"/>
      <c r="J4003" s="1557"/>
      <c r="K4003" s="1557"/>
      <c r="L4003" s="1557"/>
      <c r="M4003" s="1566"/>
    </row>
    <row r="4004" spans="2:13" s="947" customFormat="1" hidden="1">
      <c r="B4004" s="1100" t="s">
        <v>4429</v>
      </c>
      <c r="C4004" s="1112" t="s">
        <v>4430</v>
      </c>
      <c r="D4004" s="1129"/>
      <c r="E4004" s="1129"/>
      <c r="F4004" s="1131"/>
      <c r="G4004" s="1132"/>
      <c r="H4004" s="1115"/>
      <c r="J4004" s="1557"/>
      <c r="K4004" s="1557"/>
      <c r="L4004" s="1557"/>
      <c r="M4004" s="1566"/>
    </row>
    <row r="4005" spans="2:13" s="947" customFormat="1" ht="24.9" hidden="1" customHeight="1">
      <c r="B4005" s="1748" t="s">
        <v>1003</v>
      </c>
      <c r="C4005" s="1101" t="s">
        <v>1004</v>
      </c>
      <c r="D4005" s="1101" t="s">
        <v>1005</v>
      </c>
      <c r="E4005" s="1101" t="s">
        <v>1006</v>
      </c>
      <c r="F4005" s="1102" t="s">
        <v>1007</v>
      </c>
      <c r="G4005" s="1109" t="s">
        <v>2637</v>
      </c>
      <c r="H4005" s="1110" t="s">
        <v>2638</v>
      </c>
      <c r="J4005" s="1557"/>
      <c r="K4005" s="1557"/>
      <c r="L4005" s="1557"/>
      <c r="M4005" s="1566"/>
    </row>
    <row r="4006" spans="2:13" s="947" customFormat="1" hidden="1">
      <c r="B4006" s="1791" t="s">
        <v>671</v>
      </c>
      <c r="C4006" s="1125" t="s">
        <v>672</v>
      </c>
      <c r="D4006" s="1101"/>
      <c r="E4006" s="1101"/>
      <c r="F4006" s="1102"/>
      <c r="G4006" s="1109"/>
      <c r="H4006" s="1110"/>
      <c r="J4006" s="1557"/>
      <c r="K4006" s="1557"/>
      <c r="L4006" s="1557"/>
      <c r="M4006" s="1566"/>
    </row>
    <row r="4007" spans="2:13" s="947" customFormat="1" hidden="1">
      <c r="B4007" s="1748"/>
      <c r="C4007" s="1225" t="s">
        <v>673</v>
      </c>
      <c r="D4007" s="1331" t="s">
        <v>674</v>
      </c>
      <c r="E4007" s="1226" t="s">
        <v>3423</v>
      </c>
      <c r="F4007" s="1227">
        <v>0.35</v>
      </c>
      <c r="G4007" s="1104">
        <f>DUB!$I$10</f>
        <v>150000</v>
      </c>
      <c r="H4007" s="1106">
        <f t="shared" ref="H4007:H4010" si="106">G4007*F4007</f>
        <v>52500</v>
      </c>
      <c r="J4007" s="1557"/>
      <c r="K4007" s="1557"/>
      <c r="L4007" s="1557"/>
      <c r="M4007" s="1566"/>
    </row>
    <row r="4008" spans="2:13" s="947" customFormat="1" hidden="1">
      <c r="B4008" s="1748"/>
      <c r="C4008" s="1225" t="s">
        <v>782</v>
      </c>
      <c r="D4008" s="1331" t="s">
        <v>678</v>
      </c>
      <c r="E4008" s="1226" t="s">
        <v>3423</v>
      </c>
      <c r="F4008" s="1227">
        <v>0.35</v>
      </c>
      <c r="G4008" s="1104">
        <f>DUB!$I$11</f>
        <v>187000</v>
      </c>
      <c r="H4008" s="1106">
        <f t="shared" si="106"/>
        <v>65449.999999999993</v>
      </c>
      <c r="J4008" s="1557"/>
      <c r="K4008" s="1557"/>
      <c r="L4008" s="1557"/>
      <c r="M4008" s="1566"/>
    </row>
    <row r="4009" spans="2:13" s="947" customFormat="1" hidden="1">
      <c r="B4009" s="1748"/>
      <c r="C4009" s="1702" t="s">
        <v>680</v>
      </c>
      <c r="D4009" s="1331" t="s">
        <v>681</v>
      </c>
      <c r="E4009" s="1703" t="s">
        <v>3423</v>
      </c>
      <c r="F4009" s="1704">
        <v>3.5000000000000003E-2</v>
      </c>
      <c r="G4009" s="1104">
        <f>DUB!$I$13</f>
        <v>240000</v>
      </c>
      <c r="H4009" s="1105">
        <f t="shared" si="106"/>
        <v>8400</v>
      </c>
      <c r="J4009" s="1557"/>
      <c r="K4009" s="1557"/>
      <c r="L4009" s="1557"/>
      <c r="M4009" s="1566"/>
    </row>
    <row r="4010" spans="2:13" s="947" customFormat="1" hidden="1">
      <c r="B4010" s="1748"/>
      <c r="C4010" s="1705" t="s">
        <v>683</v>
      </c>
      <c r="D4010" s="1331" t="s">
        <v>684</v>
      </c>
      <c r="E4010" s="1706" t="s">
        <v>3423</v>
      </c>
      <c r="F4010" s="1707">
        <v>1.7999999999999999E-2</v>
      </c>
      <c r="G4010" s="1104">
        <f>DUB!$I$12</f>
        <v>225000</v>
      </c>
      <c r="H4010" s="1106">
        <f t="shared" si="106"/>
        <v>4049.9999999999995</v>
      </c>
      <c r="J4010" s="1557"/>
      <c r="K4010" s="1557"/>
      <c r="L4010" s="1557"/>
      <c r="M4010" s="1566"/>
    </row>
    <row r="4011" spans="2:13" s="947" customFormat="1" hidden="1">
      <c r="B4011" s="1748"/>
      <c r="C4011" s="1101"/>
      <c r="D4011" s="1101"/>
      <c r="E4011" s="1101"/>
      <c r="F4011" s="2074" t="s">
        <v>685</v>
      </c>
      <c r="G4011" s="2074"/>
      <c r="H4011" s="1229">
        <f>SUM(H4007:H4010)</f>
        <v>130400</v>
      </c>
      <c r="J4011" s="1557"/>
      <c r="K4011" s="1557"/>
      <c r="L4011" s="1557"/>
      <c r="M4011" s="1566"/>
    </row>
    <row r="4012" spans="2:13" s="947" customFormat="1" hidden="1">
      <c r="B4012" s="1748" t="s">
        <v>686</v>
      </c>
      <c r="C4012" s="1332" t="s">
        <v>687</v>
      </c>
      <c r="D4012" s="1101"/>
      <c r="E4012" s="1101"/>
      <c r="F4012" s="1102"/>
      <c r="G4012" s="1109"/>
      <c r="H4012" s="1110"/>
      <c r="J4012" s="1557"/>
      <c r="K4012" s="1557"/>
      <c r="L4012" s="1557"/>
      <c r="M4012" s="1566"/>
    </row>
    <row r="4013" spans="2:13" s="947" customFormat="1" hidden="1">
      <c r="B4013" s="1792"/>
      <c r="C4013" s="1225" t="s">
        <v>4431</v>
      </c>
      <c r="D4013" s="1331"/>
      <c r="E4013" s="1226" t="s">
        <v>2944</v>
      </c>
      <c r="F4013" s="1162">
        <f>3.63+0.5775</f>
        <v>4.2074999999999996</v>
      </c>
      <c r="G4013" s="1104">
        <f>DUB!$I$106</f>
        <v>32130</v>
      </c>
      <c r="H4013" s="1106">
        <f t="shared" ref="H4013:H4014" si="107">G4013*F4013</f>
        <v>135186.97499999998</v>
      </c>
      <c r="J4013" s="1557"/>
      <c r="K4013" s="1557"/>
      <c r="L4013" s="1557"/>
      <c r="M4013" s="1566"/>
    </row>
    <row r="4014" spans="2:13" s="947" customFormat="1" hidden="1">
      <c r="B4014" s="1792"/>
      <c r="C4014" s="1225" t="s">
        <v>4432</v>
      </c>
      <c r="D4014" s="1331"/>
      <c r="E4014" s="1226" t="s">
        <v>2647</v>
      </c>
      <c r="F4014" s="1162">
        <v>1.05</v>
      </c>
      <c r="G4014" s="1104">
        <f>DUB!$I$217</f>
        <v>728280</v>
      </c>
      <c r="H4014" s="1106">
        <f t="shared" si="107"/>
        <v>764694</v>
      </c>
      <c r="J4014" s="1557"/>
      <c r="K4014" s="1557"/>
      <c r="L4014" s="1557"/>
      <c r="M4014" s="1566"/>
    </row>
    <row r="4015" spans="2:13" s="947" customFormat="1" ht="27.6" hidden="1">
      <c r="B4015" s="1792"/>
      <c r="C4015" s="1225" t="s">
        <v>3340</v>
      </c>
      <c r="D4015" s="1331"/>
      <c r="E4015" s="1226" t="s">
        <v>3513</v>
      </c>
      <c r="F4015" s="1227" t="s">
        <v>1012</v>
      </c>
      <c r="G4015" s="1104">
        <f>$H$4013</f>
        <v>135186.97499999998</v>
      </c>
      <c r="H4015" s="1106">
        <f>$G$4015</f>
        <v>135186.97499999998</v>
      </c>
      <c r="J4015" s="1557"/>
      <c r="K4015" s="1557"/>
      <c r="L4015" s="1557"/>
      <c r="M4015" s="1566"/>
    </row>
    <row r="4016" spans="2:13" s="947" customFormat="1" hidden="1">
      <c r="B4016" s="1540"/>
      <c r="C4016" s="1332"/>
      <c r="D4016" s="1331"/>
      <c r="E4016" s="1331"/>
      <c r="F4016" s="2091" t="s">
        <v>702</v>
      </c>
      <c r="G4016" s="2091"/>
      <c r="H4016" s="1106">
        <f>SUM(H4013:H4015)</f>
        <v>1035067.95</v>
      </c>
      <c r="J4016" s="1557"/>
      <c r="K4016" s="1557"/>
      <c r="L4016" s="1557"/>
      <c r="M4016" s="1566"/>
    </row>
    <row r="4017" spans="2:13" s="947" customFormat="1" hidden="1">
      <c r="B4017" s="1543" t="s">
        <v>703</v>
      </c>
      <c r="C4017" s="2089" t="s">
        <v>3764</v>
      </c>
      <c r="D4017" s="2089"/>
      <c r="E4017" s="2089"/>
      <c r="F4017" s="2089"/>
      <c r="G4017" s="2089"/>
      <c r="H4017" s="1107">
        <f>H4011+H4016</f>
        <v>1165467.95</v>
      </c>
      <c r="J4017" s="1557"/>
      <c r="K4017" s="1557"/>
      <c r="L4017" s="1557"/>
      <c r="M4017" s="1566"/>
    </row>
    <row r="4018" spans="2:13" s="947" customFormat="1" hidden="1">
      <c r="B4018" s="1543" t="s">
        <v>706</v>
      </c>
      <c r="C4018" s="2076" t="s">
        <v>876</v>
      </c>
      <c r="D4018" s="2076"/>
      <c r="E4018" s="2076"/>
      <c r="F4018" s="2077" t="s">
        <v>3873</v>
      </c>
      <c r="G4018" s="2077"/>
      <c r="H4018" s="1107">
        <f>H4017*0.15</f>
        <v>174820.19249999998</v>
      </c>
      <c r="J4018" s="1557"/>
      <c r="K4018" s="1557"/>
      <c r="L4018" s="1557"/>
      <c r="M4018" s="1566"/>
    </row>
    <row r="4019" spans="2:13" s="947" customFormat="1" hidden="1">
      <c r="B4019" s="1543" t="s">
        <v>708</v>
      </c>
      <c r="C4019" s="2078" t="s">
        <v>3765</v>
      </c>
      <c r="D4019" s="2078"/>
      <c r="E4019" s="2078"/>
      <c r="F4019" s="2078"/>
      <c r="G4019" s="2078"/>
      <c r="H4019" s="1107">
        <f>ROUND(SUM(H4017:H4018),2)</f>
        <v>1340288.1399999999</v>
      </c>
      <c r="I4019" s="1003">
        <f>SUM(H4017:H4018)</f>
        <v>1340288.1424999998</v>
      </c>
      <c r="J4019" s="1561"/>
      <c r="K4019" s="1561"/>
      <c r="L4019" s="1557"/>
      <c r="M4019" s="1566"/>
    </row>
    <row r="4020" spans="2:13" s="947" customFormat="1" hidden="1">
      <c r="B4020" s="1095"/>
      <c r="C4020" s="1096"/>
      <c r="D4020" s="1095"/>
      <c r="E4020" s="1095"/>
      <c r="F4020" s="2154"/>
      <c r="G4020" s="2154"/>
      <c r="H4020" s="1133"/>
      <c r="J4020" s="1557"/>
      <c r="K4020" s="1557"/>
      <c r="L4020" s="1557"/>
      <c r="M4020" s="1566"/>
    </row>
    <row r="4021" spans="2:13" s="947" customFormat="1" hidden="1">
      <c r="B4021" s="1100" t="s">
        <v>4598</v>
      </c>
      <c r="C4021" s="1112" t="s">
        <v>4599</v>
      </c>
      <c r="D4021" s="1129"/>
      <c r="E4021" s="1129"/>
      <c r="F4021" s="1131"/>
      <c r="G4021" s="1132"/>
      <c r="H4021" s="1115"/>
      <c r="J4021" s="1557"/>
      <c r="K4021" s="1557"/>
      <c r="L4021" s="1557"/>
      <c r="M4021" s="1566"/>
    </row>
    <row r="4022" spans="2:13" s="947" customFormat="1" ht="24.9" hidden="1" customHeight="1">
      <c r="B4022" s="1748" t="s">
        <v>1003</v>
      </c>
      <c r="C4022" s="1101" t="s">
        <v>1004</v>
      </c>
      <c r="D4022" s="1101" t="s">
        <v>1005</v>
      </c>
      <c r="E4022" s="1101" t="s">
        <v>1006</v>
      </c>
      <c r="F4022" s="1102" t="s">
        <v>1007</v>
      </c>
      <c r="G4022" s="1109" t="s">
        <v>2637</v>
      </c>
      <c r="H4022" s="1110" t="s">
        <v>2638</v>
      </c>
      <c r="J4022" s="1557"/>
      <c r="K4022" s="1557"/>
      <c r="L4022" s="1557"/>
      <c r="M4022" s="1566"/>
    </row>
    <row r="4023" spans="2:13" s="947" customFormat="1" hidden="1">
      <c r="B4023" s="1791" t="s">
        <v>671</v>
      </c>
      <c r="C4023" s="1125" t="s">
        <v>672</v>
      </c>
      <c r="D4023" s="1101"/>
      <c r="E4023" s="1101"/>
      <c r="F4023" s="1102"/>
      <c r="G4023" s="1109"/>
      <c r="H4023" s="1110"/>
      <c r="J4023" s="1557"/>
      <c r="K4023" s="1557"/>
      <c r="L4023" s="1557"/>
      <c r="M4023" s="1566"/>
    </row>
    <row r="4024" spans="2:13" s="947" customFormat="1" hidden="1">
      <c r="B4024" s="1748"/>
      <c r="C4024" s="1225" t="s">
        <v>673</v>
      </c>
      <c r="D4024" s="1331" t="s">
        <v>674</v>
      </c>
      <c r="E4024" s="1226" t="s">
        <v>3423</v>
      </c>
      <c r="F4024" s="1227">
        <v>0.7</v>
      </c>
      <c r="G4024" s="1104">
        <f>DUB!$I$10</f>
        <v>150000</v>
      </c>
      <c r="H4024" s="1106">
        <f t="shared" ref="H4024:H4027" si="108">G4024*F4024</f>
        <v>105000</v>
      </c>
      <c r="J4024" s="1557"/>
      <c r="K4024" s="1557"/>
      <c r="L4024" s="1557"/>
      <c r="M4024" s="1566"/>
    </row>
    <row r="4025" spans="2:13" s="947" customFormat="1" hidden="1">
      <c r="B4025" s="1748"/>
      <c r="C4025" s="1225" t="s">
        <v>782</v>
      </c>
      <c r="D4025" s="1331" t="s">
        <v>678</v>
      </c>
      <c r="E4025" s="1226" t="s">
        <v>3423</v>
      </c>
      <c r="F4025" s="1227">
        <v>0.35</v>
      </c>
      <c r="G4025" s="1104">
        <f>DUB!$I$11</f>
        <v>187000</v>
      </c>
      <c r="H4025" s="1106">
        <f t="shared" si="108"/>
        <v>65449.999999999993</v>
      </c>
      <c r="J4025" s="1557"/>
      <c r="K4025" s="1557"/>
      <c r="L4025" s="1557"/>
      <c r="M4025" s="1566"/>
    </row>
    <row r="4026" spans="2:13" s="947" customFormat="1" hidden="1">
      <c r="B4026" s="1748"/>
      <c r="C4026" s="1702" t="s">
        <v>680</v>
      </c>
      <c r="D4026" s="1331" t="s">
        <v>681</v>
      </c>
      <c r="E4026" s="1703" t="s">
        <v>3423</v>
      </c>
      <c r="F4026" s="1704">
        <v>3.5000000000000003E-2</v>
      </c>
      <c r="G4026" s="1104">
        <f>DUB!$I$13</f>
        <v>240000</v>
      </c>
      <c r="H4026" s="1106">
        <f t="shared" si="108"/>
        <v>8400</v>
      </c>
      <c r="J4026" s="1557"/>
      <c r="K4026" s="1557"/>
      <c r="L4026" s="1557"/>
      <c r="M4026" s="1566"/>
    </row>
    <row r="4027" spans="2:13" s="947" customFormat="1" hidden="1">
      <c r="B4027" s="1748"/>
      <c r="C4027" s="1705" t="s">
        <v>683</v>
      </c>
      <c r="D4027" s="1331" t="s">
        <v>684</v>
      </c>
      <c r="E4027" s="1706" t="s">
        <v>3423</v>
      </c>
      <c r="F4027" s="1707">
        <v>3.5000000000000003E-2</v>
      </c>
      <c r="G4027" s="1104">
        <f>DUB!$I$12</f>
        <v>225000</v>
      </c>
      <c r="H4027" s="1106">
        <f t="shared" si="108"/>
        <v>7875.0000000000009</v>
      </c>
      <c r="J4027" s="1557"/>
      <c r="K4027" s="1557"/>
      <c r="L4027" s="1557"/>
      <c r="M4027" s="1566"/>
    </row>
    <row r="4028" spans="2:13" s="947" customFormat="1" hidden="1">
      <c r="B4028" s="1748"/>
      <c r="C4028" s="1101"/>
      <c r="D4028" s="1101"/>
      <c r="E4028" s="1101"/>
      <c r="F4028" s="2074" t="s">
        <v>685</v>
      </c>
      <c r="G4028" s="2074"/>
      <c r="H4028" s="1229">
        <f>SUM(H4024:H4027)</f>
        <v>186725</v>
      </c>
      <c r="J4028" s="1557"/>
      <c r="K4028" s="1557"/>
      <c r="L4028" s="1557"/>
      <c r="M4028" s="1566"/>
    </row>
    <row r="4029" spans="2:13" s="947" customFormat="1" hidden="1">
      <c r="B4029" s="1748" t="s">
        <v>686</v>
      </c>
      <c r="C4029" s="1332" t="s">
        <v>687</v>
      </c>
      <c r="D4029" s="1101"/>
      <c r="E4029" s="1101"/>
      <c r="F4029" s="1102"/>
      <c r="G4029" s="1109"/>
      <c r="H4029" s="1110"/>
      <c r="J4029" s="1557"/>
      <c r="K4029" s="1557"/>
      <c r="L4029" s="1557"/>
      <c r="M4029" s="1566"/>
    </row>
    <row r="4030" spans="2:13" s="947" customFormat="1" hidden="1">
      <c r="B4030" s="1792"/>
      <c r="C4030" s="1225" t="s">
        <v>4600</v>
      </c>
      <c r="D4030" s="1331"/>
      <c r="E4030" s="1226" t="s">
        <v>773</v>
      </c>
      <c r="F4030" s="1162">
        <v>16.670000000000002</v>
      </c>
      <c r="G4030" s="1104">
        <f>DUB!I791</f>
        <v>4387.5</v>
      </c>
      <c r="H4030" s="1106">
        <f t="shared" ref="H4030:H4032" si="109">G4030*F4030</f>
        <v>73139.625000000015</v>
      </c>
      <c r="J4030" s="1557"/>
      <c r="K4030" s="1557"/>
      <c r="L4030" s="1557"/>
      <c r="M4030" s="1566"/>
    </row>
    <row r="4031" spans="2:13" s="947" customFormat="1" hidden="1">
      <c r="B4031" s="1792"/>
      <c r="C4031" s="1225" t="s">
        <v>738</v>
      </c>
      <c r="D4031" s="1331"/>
      <c r="E4031" s="1226" t="s">
        <v>773</v>
      </c>
      <c r="F4031" s="1162">
        <v>0.1575</v>
      </c>
      <c r="G4031" s="1104">
        <f>G3798</f>
        <v>1575</v>
      </c>
      <c r="H4031" s="1106">
        <f t="shared" si="109"/>
        <v>248.0625</v>
      </c>
      <c r="J4031" s="1557"/>
      <c r="K4031" s="1557"/>
      <c r="L4031" s="1557"/>
      <c r="M4031" s="1566"/>
    </row>
    <row r="4032" spans="2:13" s="947" customFormat="1" hidden="1">
      <c r="B4032" s="1792"/>
      <c r="C4032" s="1225" t="s">
        <v>739</v>
      </c>
      <c r="D4032" s="1331"/>
      <c r="E4032" s="1226" t="s">
        <v>4601</v>
      </c>
      <c r="F4032" s="1227">
        <v>0.03</v>
      </c>
      <c r="G4032" s="1104">
        <f>G3799</f>
        <v>208463</v>
      </c>
      <c r="H4032" s="1106">
        <f t="shared" si="109"/>
        <v>6253.8899999999994</v>
      </c>
      <c r="J4032" s="1557"/>
      <c r="K4032" s="1557"/>
      <c r="L4032" s="1557"/>
      <c r="M4032" s="1566"/>
    </row>
    <row r="4033" spans="2:13" s="947" customFormat="1" hidden="1">
      <c r="B4033" s="1540"/>
      <c r="C4033" s="1332"/>
      <c r="D4033" s="1331"/>
      <c r="E4033" s="1331"/>
      <c r="F4033" s="2091" t="s">
        <v>702</v>
      </c>
      <c r="G4033" s="2091"/>
      <c r="H4033" s="1106">
        <f>SUM(H4030:H4032)</f>
        <v>79641.577500000014</v>
      </c>
      <c r="J4033" s="1557"/>
      <c r="K4033" s="1557"/>
      <c r="L4033" s="1557"/>
      <c r="M4033" s="1566"/>
    </row>
    <row r="4034" spans="2:13" s="947" customFormat="1" hidden="1">
      <c r="B4034" s="1543" t="s">
        <v>703</v>
      </c>
      <c r="C4034" s="2089" t="s">
        <v>3764</v>
      </c>
      <c r="D4034" s="2089"/>
      <c r="E4034" s="2089"/>
      <c r="F4034" s="2089"/>
      <c r="G4034" s="2089"/>
      <c r="H4034" s="1107">
        <f>H4028+H4033</f>
        <v>266366.57750000001</v>
      </c>
      <c r="J4034" s="1557"/>
      <c r="K4034" s="1557"/>
      <c r="L4034" s="1557"/>
      <c r="M4034" s="1566"/>
    </row>
    <row r="4035" spans="2:13" s="947" customFormat="1" hidden="1">
      <c r="B4035" s="1543" t="s">
        <v>706</v>
      </c>
      <c r="C4035" s="2076" t="s">
        <v>876</v>
      </c>
      <c r="D4035" s="2076"/>
      <c r="E4035" s="2076"/>
      <c r="F4035" s="2077" t="s">
        <v>3873</v>
      </c>
      <c r="G4035" s="2077"/>
      <c r="H4035" s="1107">
        <f>H4034*0.15</f>
        <v>39954.986624999998</v>
      </c>
      <c r="J4035" s="1557"/>
      <c r="K4035" s="1557"/>
      <c r="L4035" s="1557"/>
      <c r="M4035" s="1566"/>
    </row>
    <row r="4036" spans="2:13" s="947" customFormat="1" hidden="1">
      <c r="B4036" s="1543" t="s">
        <v>708</v>
      </c>
      <c r="C4036" s="2078" t="s">
        <v>3765</v>
      </c>
      <c r="D4036" s="2078"/>
      <c r="E4036" s="2078"/>
      <c r="F4036" s="2078"/>
      <c r="G4036" s="2078"/>
      <c r="H4036" s="1107">
        <f>ROUND(SUM(H4034:H4035),2)</f>
        <v>306321.56</v>
      </c>
      <c r="I4036" s="1003">
        <f>SUM(H4034:H4035)</f>
        <v>306321.56412500003</v>
      </c>
      <c r="J4036" s="1561"/>
      <c r="K4036" s="1561"/>
      <c r="L4036" s="1557"/>
      <c r="M4036" s="1566"/>
    </row>
    <row r="4037" spans="2:13" s="947" customFormat="1" hidden="1">
      <c r="B4037" s="1095"/>
      <c r="C4037" s="1096"/>
      <c r="D4037" s="1095"/>
      <c r="E4037" s="1095"/>
      <c r="F4037" s="1172"/>
      <c r="G4037" s="1230"/>
      <c r="H4037" s="1133"/>
      <c r="J4037" s="1557"/>
      <c r="K4037" s="1557"/>
      <c r="L4037" s="1557"/>
      <c r="M4037" s="1566"/>
    </row>
    <row r="4038" spans="2:13" s="947" customFormat="1" hidden="1">
      <c r="B4038" s="1100" t="s">
        <v>4782</v>
      </c>
      <c r="C4038" s="1112" t="s">
        <v>4785</v>
      </c>
      <c r="D4038" s="1129"/>
      <c r="E4038" s="1129"/>
      <c r="F4038" s="1131"/>
      <c r="G4038" s="1132"/>
      <c r="H4038" s="1115"/>
      <c r="J4038" s="1557"/>
      <c r="K4038" s="1557"/>
      <c r="L4038" s="1557"/>
      <c r="M4038" s="1566"/>
    </row>
    <row r="4039" spans="2:13" ht="24.9" hidden="1" customHeight="1">
      <c r="B4039" s="1748" t="s">
        <v>1003</v>
      </c>
      <c r="C4039" s="1101" t="s">
        <v>1004</v>
      </c>
      <c r="D4039" s="1101" t="s">
        <v>1005</v>
      </c>
      <c r="E4039" s="1101" t="s">
        <v>1006</v>
      </c>
      <c r="F4039" s="1102" t="s">
        <v>1007</v>
      </c>
      <c r="G4039" s="1109" t="s">
        <v>2637</v>
      </c>
      <c r="H4039" s="1110" t="s">
        <v>2638</v>
      </c>
      <c r="M4039" s="1566"/>
    </row>
    <row r="4040" spans="2:13" hidden="1">
      <c r="B4040" s="1791" t="s">
        <v>671</v>
      </c>
      <c r="C4040" s="1125" t="s">
        <v>672</v>
      </c>
      <c r="D4040" s="1101"/>
      <c r="E4040" s="1101"/>
      <c r="F4040" s="1102"/>
      <c r="G4040" s="1109"/>
      <c r="H4040" s="1110"/>
      <c r="M4040" s="1566"/>
    </row>
    <row r="4041" spans="2:13" hidden="1">
      <c r="B4041" s="1748"/>
      <c r="C4041" s="1225" t="s">
        <v>673</v>
      </c>
      <c r="D4041" s="1331" t="s">
        <v>674</v>
      </c>
      <c r="E4041" s="1226" t="s">
        <v>3423</v>
      </c>
      <c r="F4041" s="1227">
        <v>0.15</v>
      </c>
      <c r="G4041" s="1104">
        <f>DUB!$I$10</f>
        <v>150000</v>
      </c>
      <c r="H4041" s="1106">
        <f t="shared" ref="H4041:H4044" si="110">G4041*F4041</f>
        <v>22500</v>
      </c>
      <c r="M4041" s="1566"/>
    </row>
    <row r="4042" spans="2:13" hidden="1">
      <c r="B4042" s="1748"/>
      <c r="C4042" s="1225" t="s">
        <v>782</v>
      </c>
      <c r="D4042" s="1331" t="s">
        <v>678</v>
      </c>
      <c r="E4042" s="1226" t="s">
        <v>3423</v>
      </c>
      <c r="F4042" s="1227">
        <v>0.2</v>
      </c>
      <c r="G4042" s="1104">
        <f>DUB!$I$11</f>
        <v>187000</v>
      </c>
      <c r="H4042" s="1106">
        <f t="shared" si="110"/>
        <v>37400</v>
      </c>
      <c r="M4042" s="1566"/>
    </row>
    <row r="4043" spans="2:13" hidden="1">
      <c r="B4043" s="1748"/>
      <c r="C4043" s="1702" t="s">
        <v>680</v>
      </c>
      <c r="D4043" s="1331" t="s">
        <v>681</v>
      </c>
      <c r="E4043" s="1703" t="s">
        <v>3423</v>
      </c>
      <c r="F4043" s="1704">
        <v>0.02</v>
      </c>
      <c r="G4043" s="1104">
        <f>DUB!$I$13</f>
        <v>240000</v>
      </c>
      <c r="H4043" s="1106">
        <f t="shared" si="110"/>
        <v>4800</v>
      </c>
      <c r="M4043" s="1566"/>
    </row>
    <row r="4044" spans="2:13" hidden="1">
      <c r="B4044" s="1748"/>
      <c r="C4044" s="1705" t="s">
        <v>683</v>
      </c>
      <c r="D4044" s="1331" t="s">
        <v>684</v>
      </c>
      <c r="E4044" s="1706" t="s">
        <v>3423</v>
      </c>
      <c r="F4044" s="1707">
        <v>0.01</v>
      </c>
      <c r="G4044" s="1104">
        <f>DUB!$I$12</f>
        <v>225000</v>
      </c>
      <c r="H4044" s="1106">
        <f t="shared" si="110"/>
        <v>2250</v>
      </c>
      <c r="M4044" s="1566"/>
    </row>
    <row r="4045" spans="2:13" hidden="1">
      <c r="B4045" s="1748"/>
      <c r="C4045" s="1101"/>
      <c r="D4045" s="1101"/>
      <c r="E4045" s="1101"/>
      <c r="F4045" s="2074" t="s">
        <v>685</v>
      </c>
      <c r="G4045" s="2074"/>
      <c r="H4045" s="1229">
        <f>SUM(H4041:H4044)</f>
        <v>66950</v>
      </c>
      <c r="M4045" s="1566"/>
    </row>
    <row r="4046" spans="2:13" hidden="1">
      <c r="B4046" s="1748" t="s">
        <v>686</v>
      </c>
      <c r="C4046" s="1332" t="s">
        <v>687</v>
      </c>
      <c r="D4046" s="1101"/>
      <c r="E4046" s="1101"/>
      <c r="F4046" s="1102"/>
      <c r="G4046" s="1109"/>
      <c r="H4046" s="1110"/>
      <c r="M4046" s="1566"/>
    </row>
    <row r="4047" spans="2:13" hidden="1">
      <c r="B4047" s="1792"/>
      <c r="C4047" s="1225" t="s">
        <v>4783</v>
      </c>
      <c r="D4047" s="1331"/>
      <c r="E4047" s="1226" t="s">
        <v>1423</v>
      </c>
      <c r="F4047" s="1162">
        <v>1.66</v>
      </c>
      <c r="G4047" s="1104">
        <f>DUB!I201</f>
        <v>49500</v>
      </c>
      <c r="H4047" s="1106">
        <f t="shared" ref="H4047:H4049" si="111">G4047*F4047</f>
        <v>82170</v>
      </c>
      <c r="M4047" s="1566"/>
    </row>
    <row r="4048" spans="2:13" hidden="1">
      <c r="B4048" s="1792"/>
      <c r="C4048" s="1225" t="s">
        <v>4784</v>
      </c>
      <c r="D4048" s="1331"/>
      <c r="E4048" s="1226" t="s">
        <v>773</v>
      </c>
      <c r="F4048" s="1162">
        <v>4.8</v>
      </c>
      <c r="G4048" s="1104">
        <f>G4031</f>
        <v>1575</v>
      </c>
      <c r="H4048" s="1106">
        <f t="shared" si="111"/>
        <v>7560</v>
      </c>
      <c r="M4048" s="1566"/>
    </row>
    <row r="4049" spans="2:13" hidden="1">
      <c r="B4049" s="1792"/>
      <c r="C4049" s="1225" t="s">
        <v>831</v>
      </c>
      <c r="D4049" s="1331"/>
      <c r="E4049" s="1226" t="s">
        <v>4601</v>
      </c>
      <c r="F4049" s="1227">
        <v>8.0000000000000002E-3</v>
      </c>
      <c r="G4049" s="1104">
        <f>G4032</f>
        <v>208463</v>
      </c>
      <c r="H4049" s="1106">
        <f t="shared" si="111"/>
        <v>1667.704</v>
      </c>
      <c r="M4049" s="1566"/>
    </row>
    <row r="4050" spans="2:13" hidden="1">
      <c r="B4050" s="1540"/>
      <c r="C4050" s="1332"/>
      <c r="D4050" s="1331"/>
      <c r="E4050" s="1331"/>
      <c r="F4050" s="2091" t="s">
        <v>702</v>
      </c>
      <c r="G4050" s="2091"/>
      <c r="H4050" s="1106">
        <f>SUM(H4047:H4049)</f>
        <v>91397.703999999998</v>
      </c>
      <c r="M4050" s="1566"/>
    </row>
    <row r="4051" spans="2:13" hidden="1">
      <c r="B4051" s="1543" t="s">
        <v>703</v>
      </c>
      <c r="C4051" s="2089" t="s">
        <v>3764</v>
      </c>
      <c r="D4051" s="2089"/>
      <c r="E4051" s="2089"/>
      <c r="F4051" s="2089"/>
      <c r="G4051" s="2089"/>
      <c r="H4051" s="1107">
        <f>H4045+H4050</f>
        <v>158347.704</v>
      </c>
      <c r="M4051" s="1566"/>
    </row>
    <row r="4052" spans="2:13" hidden="1">
      <c r="B4052" s="1543" t="s">
        <v>706</v>
      </c>
      <c r="C4052" s="2076" t="s">
        <v>876</v>
      </c>
      <c r="D4052" s="2076"/>
      <c r="E4052" s="2076"/>
      <c r="F4052" s="2077" t="s">
        <v>3873</v>
      </c>
      <c r="G4052" s="2077"/>
      <c r="H4052" s="1107">
        <f>H4051*0.15</f>
        <v>23752.155599999998</v>
      </c>
      <c r="M4052" s="1566"/>
    </row>
    <row r="4053" spans="2:13" s="965" customFormat="1" hidden="1">
      <c r="B4053" s="1543" t="s">
        <v>708</v>
      </c>
      <c r="C4053" s="2078" t="s">
        <v>3765</v>
      </c>
      <c r="D4053" s="2078"/>
      <c r="E4053" s="2078"/>
      <c r="F4053" s="2078"/>
      <c r="G4053" s="2078"/>
      <c r="H4053" s="1107">
        <f>ROUND(SUM(H4051:H4052),2)</f>
        <v>182099.86</v>
      </c>
      <c r="I4053" s="964">
        <f>SUM(H4051:H4052)</f>
        <v>182099.8596</v>
      </c>
      <c r="J4053" s="1561"/>
      <c r="K4053" s="1561"/>
      <c r="L4053" s="1557"/>
      <c r="M4053" s="1566"/>
    </row>
    <row r="4054" spans="2:13" s="965" customFormat="1" hidden="1">
      <c r="B4054" s="1095"/>
      <c r="C4054" s="1096"/>
      <c r="D4054" s="1095"/>
      <c r="E4054" s="1095"/>
      <c r="F4054" s="1172"/>
      <c r="G4054" s="1230"/>
      <c r="H4054" s="1133"/>
      <c r="J4054" s="1557"/>
      <c r="K4054" s="1557"/>
      <c r="L4054" s="1557"/>
      <c r="M4054" s="1566"/>
    </row>
    <row r="4055" spans="2:13" s="965" customFormat="1" hidden="1">
      <c r="B4055" s="1100" t="s">
        <v>4786</v>
      </c>
      <c r="C4055" s="1112" t="s">
        <v>4789</v>
      </c>
      <c r="D4055" s="1129"/>
      <c r="E4055" s="1129"/>
      <c r="F4055" s="1131"/>
      <c r="G4055" s="1132"/>
      <c r="H4055" s="1115"/>
      <c r="J4055" s="1557"/>
      <c r="K4055" s="1557"/>
      <c r="L4055" s="1557"/>
      <c r="M4055" s="1566"/>
    </row>
    <row r="4056" spans="2:13" s="965" customFormat="1" hidden="1">
      <c r="B4056" s="1748" t="s">
        <v>1003</v>
      </c>
      <c r="C4056" s="1101" t="s">
        <v>1004</v>
      </c>
      <c r="D4056" s="1101" t="s">
        <v>1005</v>
      </c>
      <c r="E4056" s="1101" t="s">
        <v>1006</v>
      </c>
      <c r="F4056" s="1102" t="s">
        <v>1007</v>
      </c>
      <c r="G4056" s="1109" t="s">
        <v>2637</v>
      </c>
      <c r="H4056" s="1110" t="s">
        <v>2638</v>
      </c>
      <c r="J4056" s="1557"/>
      <c r="K4056" s="1557"/>
      <c r="L4056" s="1557"/>
      <c r="M4056" s="1566"/>
    </row>
    <row r="4057" spans="2:13" s="965" customFormat="1" hidden="1">
      <c r="B4057" s="1791" t="s">
        <v>671</v>
      </c>
      <c r="C4057" s="1125" t="s">
        <v>672</v>
      </c>
      <c r="D4057" s="1101"/>
      <c r="E4057" s="1101"/>
      <c r="F4057" s="1102"/>
      <c r="G4057" s="1109"/>
      <c r="H4057" s="1110"/>
      <c r="J4057" s="1557"/>
      <c r="K4057" s="1557"/>
      <c r="L4057" s="1557"/>
      <c r="M4057" s="1566"/>
    </row>
    <row r="4058" spans="2:13" s="965" customFormat="1" hidden="1">
      <c r="B4058" s="1748"/>
      <c r="C4058" s="1225" t="s">
        <v>673</v>
      </c>
      <c r="D4058" s="1331" t="s">
        <v>674</v>
      </c>
      <c r="E4058" s="1226" t="s">
        <v>3423</v>
      </c>
      <c r="F4058" s="1227">
        <v>0.55000000000000004</v>
      </c>
      <c r="G4058" s="1104">
        <f>DUB!$I$10</f>
        <v>150000</v>
      </c>
      <c r="H4058" s="1106">
        <f t="shared" ref="H4058:H4059" si="112">G4058*F4058</f>
        <v>82500</v>
      </c>
      <c r="J4058" s="1557"/>
      <c r="K4058" s="1557"/>
      <c r="L4058" s="1557"/>
      <c r="M4058" s="1566"/>
    </row>
    <row r="4059" spans="2:13" s="965" customFormat="1" hidden="1">
      <c r="B4059" s="1748"/>
      <c r="C4059" s="1705" t="s">
        <v>683</v>
      </c>
      <c r="D4059" s="1331" t="s">
        <v>684</v>
      </c>
      <c r="E4059" s="1706" t="s">
        <v>3423</v>
      </c>
      <c r="F4059" s="1707">
        <v>0.03</v>
      </c>
      <c r="G4059" s="1104">
        <f>DUB!$I$12</f>
        <v>225000</v>
      </c>
      <c r="H4059" s="1106">
        <f t="shared" si="112"/>
        <v>6750</v>
      </c>
      <c r="J4059" s="1557"/>
      <c r="K4059" s="1557"/>
      <c r="L4059" s="1557"/>
      <c r="M4059" s="1566"/>
    </row>
    <row r="4060" spans="2:13" s="965" customFormat="1" hidden="1">
      <c r="B4060" s="1748"/>
      <c r="C4060" s="1101"/>
      <c r="D4060" s="1101"/>
      <c r="E4060" s="1101"/>
      <c r="F4060" s="2074" t="s">
        <v>685</v>
      </c>
      <c r="G4060" s="2074"/>
      <c r="H4060" s="1229">
        <f>SUM(H4058:H4059)</f>
        <v>89250</v>
      </c>
      <c r="J4060" s="1557"/>
      <c r="K4060" s="1557"/>
      <c r="L4060" s="1557"/>
      <c r="M4060" s="1566"/>
    </row>
    <row r="4061" spans="2:13" s="965" customFormat="1" hidden="1">
      <c r="B4061" s="1748" t="s">
        <v>686</v>
      </c>
      <c r="C4061" s="1332" t="s">
        <v>687</v>
      </c>
      <c r="D4061" s="1101"/>
      <c r="E4061" s="1101"/>
      <c r="F4061" s="1102"/>
      <c r="G4061" s="1109"/>
      <c r="H4061" s="1110"/>
      <c r="J4061" s="1557"/>
      <c r="K4061" s="1557"/>
      <c r="L4061" s="1557"/>
      <c r="M4061" s="1566"/>
    </row>
    <row r="4062" spans="2:13" s="965" customFormat="1" hidden="1">
      <c r="B4062" s="1792"/>
      <c r="C4062" s="1225" t="s">
        <v>4787</v>
      </c>
      <c r="D4062" s="1331"/>
      <c r="E4062" s="1331" t="s">
        <v>2647</v>
      </c>
      <c r="F4062" s="1162">
        <v>1.1000000000000001</v>
      </c>
      <c r="G4062" s="1104">
        <f>DUB!I220</f>
        <v>249750</v>
      </c>
      <c r="H4062" s="1106">
        <f t="shared" ref="H4062:H4063" si="113">G4062*F4062</f>
        <v>274725</v>
      </c>
      <c r="J4062" s="1557"/>
      <c r="K4062" s="1557"/>
      <c r="L4062" s="1557"/>
      <c r="M4062" s="1566"/>
    </row>
    <row r="4063" spans="2:13" s="965" customFormat="1" hidden="1">
      <c r="B4063" s="1792"/>
      <c r="C4063" s="1225" t="s">
        <v>4788</v>
      </c>
      <c r="D4063" s="1331"/>
      <c r="E4063" s="1226" t="s">
        <v>1423</v>
      </c>
      <c r="F4063" s="1162">
        <v>4</v>
      </c>
      <c r="G4063" s="1104">
        <f>DUB!I296</f>
        <v>6795</v>
      </c>
      <c r="H4063" s="1106">
        <f t="shared" si="113"/>
        <v>27180</v>
      </c>
      <c r="J4063" s="1557"/>
      <c r="K4063" s="1557"/>
      <c r="L4063" s="1557"/>
      <c r="M4063" s="1566"/>
    </row>
    <row r="4064" spans="2:13" s="965" customFormat="1" hidden="1">
      <c r="B4064" s="1540"/>
      <c r="C4064" s="1332"/>
      <c r="D4064" s="1331"/>
      <c r="E4064" s="1331"/>
      <c r="F4064" s="2091" t="s">
        <v>702</v>
      </c>
      <c r="G4064" s="2091"/>
      <c r="H4064" s="1106">
        <f>SUM(H4062:H4063)</f>
        <v>301905</v>
      </c>
      <c r="J4064" s="1557"/>
      <c r="K4064" s="1557"/>
      <c r="L4064" s="1557"/>
      <c r="M4064" s="1566"/>
    </row>
    <row r="4065" spans="2:13" s="965" customFormat="1" hidden="1">
      <c r="B4065" s="1543" t="s">
        <v>703</v>
      </c>
      <c r="C4065" s="2089" t="s">
        <v>3764</v>
      </c>
      <c r="D4065" s="2089"/>
      <c r="E4065" s="2089"/>
      <c r="F4065" s="2089"/>
      <c r="G4065" s="2089"/>
      <c r="H4065" s="1107">
        <f>H4060+H4064</f>
        <v>391155</v>
      </c>
      <c r="J4065" s="1557"/>
      <c r="K4065" s="1557"/>
      <c r="L4065" s="1557"/>
      <c r="M4065" s="1566"/>
    </row>
    <row r="4066" spans="2:13" s="965" customFormat="1" hidden="1">
      <c r="B4066" s="1543" t="s">
        <v>706</v>
      </c>
      <c r="C4066" s="2076" t="s">
        <v>876</v>
      </c>
      <c r="D4066" s="2076"/>
      <c r="E4066" s="2076"/>
      <c r="F4066" s="2077" t="s">
        <v>3873</v>
      </c>
      <c r="G4066" s="2077"/>
      <c r="H4066" s="1107">
        <f>H4065*0.15</f>
        <v>58673.25</v>
      </c>
      <c r="J4066" s="1557"/>
      <c r="K4066" s="1557"/>
      <c r="L4066" s="1557"/>
      <c r="M4066" s="1566"/>
    </row>
    <row r="4067" spans="2:13" s="965" customFormat="1" hidden="1">
      <c r="B4067" s="1543" t="s">
        <v>708</v>
      </c>
      <c r="C4067" s="2078" t="s">
        <v>3765</v>
      </c>
      <c r="D4067" s="2078"/>
      <c r="E4067" s="2078"/>
      <c r="F4067" s="2078"/>
      <c r="G4067" s="2078"/>
      <c r="H4067" s="1107">
        <f>ROUND(SUM(H4065:H4066),2)</f>
        <v>449828.25</v>
      </c>
      <c r="I4067" s="964">
        <f>SUM(H4065:H4066)</f>
        <v>449828.25</v>
      </c>
      <c r="J4067" s="1561"/>
      <c r="K4067" s="1561"/>
      <c r="L4067" s="1557"/>
      <c r="M4067" s="1566"/>
    </row>
    <row r="4068" spans="2:13" s="965" customFormat="1" hidden="1">
      <c r="B4068" s="1095"/>
      <c r="C4068" s="1096"/>
      <c r="D4068" s="1095"/>
      <c r="E4068" s="1095"/>
      <c r="F4068" s="1172"/>
      <c r="G4068" s="1230"/>
      <c r="H4068" s="1133"/>
      <c r="J4068" s="1557"/>
      <c r="K4068" s="1557"/>
      <c r="L4068" s="1557"/>
      <c r="M4068" s="1566"/>
    </row>
    <row r="4069" spans="2:13" s="965" customFormat="1" hidden="1">
      <c r="B4069" s="1150" t="s">
        <v>4070</v>
      </c>
      <c r="C4069" s="1232" t="s">
        <v>2784</v>
      </c>
      <c r="D4069" s="1095"/>
      <c r="E4069" s="1095"/>
      <c r="F4069" s="1172"/>
      <c r="G4069" s="1173"/>
      <c r="H4069" s="1133"/>
      <c r="J4069" s="1557"/>
      <c r="K4069" s="1557"/>
      <c r="L4069" s="1557"/>
      <c r="M4069" s="1566"/>
    </row>
    <row r="4070" spans="2:13" s="965" customFormat="1" hidden="1">
      <c r="B4070" s="1100" t="s">
        <v>4071</v>
      </c>
      <c r="C4070" s="1232" t="s">
        <v>4433</v>
      </c>
      <c r="D4070" s="1095"/>
      <c r="E4070" s="1095"/>
      <c r="F4070" s="1172"/>
      <c r="G4070" s="1173"/>
      <c r="H4070" s="1133"/>
      <c r="J4070" s="1557"/>
      <c r="K4070" s="1557"/>
      <c r="L4070" s="1557"/>
      <c r="M4070" s="1566"/>
    </row>
    <row r="4071" spans="2:13" s="967" customFormat="1" ht="24.9" hidden="1" customHeight="1">
      <c r="B4071" s="1748" t="s">
        <v>1003</v>
      </c>
      <c r="C4071" s="1101" t="s">
        <v>1004</v>
      </c>
      <c r="D4071" s="1101" t="s">
        <v>1005</v>
      </c>
      <c r="E4071" s="1101" t="s">
        <v>1006</v>
      </c>
      <c r="F4071" s="1139" t="s">
        <v>1007</v>
      </c>
      <c r="G4071" s="1223" t="s">
        <v>2637</v>
      </c>
      <c r="H4071" s="1110" t="s">
        <v>2638</v>
      </c>
      <c r="J4071" s="1625"/>
      <c r="K4071" s="1625"/>
      <c r="L4071" s="1625"/>
      <c r="M4071" s="1570"/>
    </row>
    <row r="4072" spans="2:13" s="965" customFormat="1" hidden="1">
      <c r="B4072" s="1543" t="s">
        <v>671</v>
      </c>
      <c r="C4072" s="1332" t="s">
        <v>672</v>
      </c>
      <c r="D4072" s="1331"/>
      <c r="E4072" s="1331"/>
      <c r="F4072" s="1532"/>
      <c r="G4072" s="1698"/>
      <c r="H4072" s="1153"/>
      <c r="J4072" s="1557"/>
      <c r="K4072" s="1557"/>
      <c r="L4072" s="1557"/>
      <c r="M4072" s="1566"/>
    </row>
    <row r="4073" spans="2:13" s="965" customFormat="1" hidden="1">
      <c r="B4073" s="1543"/>
      <c r="C4073" s="1332" t="s">
        <v>673</v>
      </c>
      <c r="D4073" s="1331" t="s">
        <v>674</v>
      </c>
      <c r="E4073" s="1331" t="s">
        <v>675</v>
      </c>
      <c r="F4073" s="1532">
        <v>0.03</v>
      </c>
      <c r="G4073" s="1213">
        <f>DUB!$I$10</f>
        <v>150000</v>
      </c>
      <c r="H4073" s="1153">
        <f>G4073*F4073</f>
        <v>4500</v>
      </c>
      <c r="J4073" s="1557"/>
      <c r="K4073" s="1557"/>
      <c r="L4073" s="1557"/>
      <c r="M4073" s="1566"/>
    </row>
    <row r="4074" spans="2:13" s="965" customFormat="1" hidden="1">
      <c r="B4074" s="1543"/>
      <c r="C4074" s="1332" t="s">
        <v>871</v>
      </c>
      <c r="D4074" s="1331" t="s">
        <v>678</v>
      </c>
      <c r="E4074" s="1331" t="s">
        <v>675</v>
      </c>
      <c r="F4074" s="1532">
        <v>7.0000000000000007E-2</v>
      </c>
      <c r="G4074" s="1213">
        <f>DUB!$I$11</f>
        <v>187000</v>
      </c>
      <c r="H4074" s="1153">
        <f>G4074*F4074</f>
        <v>13090.000000000002</v>
      </c>
      <c r="J4074" s="1557"/>
      <c r="K4074" s="1557"/>
      <c r="L4074" s="1557"/>
      <c r="M4074" s="1566"/>
    </row>
    <row r="4075" spans="2:13" s="965" customFormat="1" hidden="1">
      <c r="B4075" s="1543"/>
      <c r="C4075" s="1332" t="s">
        <v>751</v>
      </c>
      <c r="D4075" s="1331" t="s">
        <v>681</v>
      </c>
      <c r="E4075" s="1331" t="s">
        <v>675</v>
      </c>
      <c r="F4075" s="1532">
        <v>7.0000000000000001E-3</v>
      </c>
      <c r="G4075" s="1213">
        <f>DUB!$I$13</f>
        <v>240000</v>
      </c>
      <c r="H4075" s="1153">
        <f>G4075*F4075</f>
        <v>1680</v>
      </c>
      <c r="J4075" s="1557"/>
      <c r="K4075" s="1557"/>
      <c r="L4075" s="1557"/>
      <c r="M4075" s="1566"/>
    </row>
    <row r="4076" spans="2:13" s="965" customFormat="1" hidden="1">
      <c r="B4076" s="1543"/>
      <c r="C4076" s="1332" t="s">
        <v>683</v>
      </c>
      <c r="D4076" s="1331" t="s">
        <v>684</v>
      </c>
      <c r="E4076" s="1331" t="s">
        <v>675</v>
      </c>
      <c r="F4076" s="1532">
        <v>4.0000000000000001E-3</v>
      </c>
      <c r="G4076" s="1213">
        <f>DUB!$I$12</f>
        <v>225000</v>
      </c>
      <c r="H4076" s="1153">
        <f>G4076*F4076</f>
        <v>900</v>
      </c>
      <c r="J4076" s="1557"/>
      <c r="K4076" s="1557"/>
      <c r="L4076" s="1557"/>
      <c r="M4076" s="1566"/>
    </row>
    <row r="4077" spans="2:13" s="965" customFormat="1" hidden="1">
      <c r="B4077" s="1543"/>
      <c r="C4077" s="1332"/>
      <c r="D4077" s="1331"/>
      <c r="E4077" s="1331"/>
      <c r="F4077" s="2080" t="s">
        <v>685</v>
      </c>
      <c r="G4077" s="2081"/>
      <c r="H4077" s="1153">
        <f>SUM(H4073:H4076)</f>
        <v>20170</v>
      </c>
      <c r="J4077" s="1557"/>
      <c r="K4077" s="1557"/>
      <c r="L4077" s="1557"/>
      <c r="M4077" s="1566"/>
    </row>
    <row r="4078" spans="2:13" s="965" customFormat="1" hidden="1">
      <c r="B4078" s="1543" t="s">
        <v>686</v>
      </c>
      <c r="C4078" s="1332" t="s">
        <v>687</v>
      </c>
      <c r="D4078" s="1331"/>
      <c r="E4078" s="1331"/>
      <c r="F4078" s="1532"/>
      <c r="G4078" s="1213"/>
      <c r="H4078" s="1153"/>
      <c r="J4078" s="1557"/>
      <c r="K4078" s="1557"/>
      <c r="L4078" s="1557"/>
      <c r="M4078" s="1566"/>
    </row>
    <row r="4079" spans="2:13" s="965" customFormat="1" hidden="1">
      <c r="B4079" s="1543"/>
      <c r="C4079" s="1332" t="s">
        <v>1187</v>
      </c>
      <c r="D4079" s="1331"/>
      <c r="E4079" s="1331" t="s">
        <v>2647</v>
      </c>
      <c r="F4079" s="1532">
        <v>1.1000000000000001</v>
      </c>
      <c r="G4079" s="1213">
        <f>DUB!$I$280</f>
        <v>18018</v>
      </c>
      <c r="H4079" s="1153">
        <f>G4079*F4079</f>
        <v>19819.800000000003</v>
      </c>
      <c r="J4079" s="1557"/>
      <c r="K4079" s="1557"/>
      <c r="L4079" s="1557"/>
      <c r="M4079" s="1566"/>
    </row>
    <row r="4080" spans="2:13" s="965" customFormat="1" hidden="1">
      <c r="B4080" s="1543"/>
      <c r="C4080" s="1332" t="s">
        <v>1188</v>
      </c>
      <c r="D4080" s="1331"/>
      <c r="E4080" s="1331" t="s">
        <v>773</v>
      </c>
      <c r="F4080" s="1532">
        <v>0.01</v>
      </c>
      <c r="G4080" s="1213">
        <f>DUB!$I$128</f>
        <v>20441.7</v>
      </c>
      <c r="H4080" s="1153">
        <f>G4080*F4080</f>
        <v>204.417</v>
      </c>
      <c r="J4080" s="1557"/>
      <c r="K4080" s="1557"/>
      <c r="L4080" s="1557"/>
      <c r="M4080" s="1566"/>
    </row>
    <row r="4081" spans="2:13" s="965" customFormat="1" hidden="1">
      <c r="B4081" s="1543"/>
      <c r="C4081" s="1332"/>
      <c r="D4081" s="1331"/>
      <c r="E4081" s="1331"/>
      <c r="F4081" s="2080" t="s">
        <v>702</v>
      </c>
      <c r="G4081" s="2081"/>
      <c r="H4081" s="1153">
        <f>SUM(H4079:H4080)</f>
        <v>20024.217000000004</v>
      </c>
      <c r="J4081" s="1557"/>
      <c r="K4081" s="1557"/>
      <c r="L4081" s="1557"/>
      <c r="M4081" s="1566"/>
    </row>
    <row r="4082" spans="2:13" s="966" customFormat="1" hidden="1">
      <c r="B4082" s="1543" t="s">
        <v>703</v>
      </c>
      <c r="C4082" s="1117" t="s">
        <v>3764</v>
      </c>
      <c r="D4082" s="1120"/>
      <c r="E4082" s="1120"/>
      <c r="F4082" s="1121"/>
      <c r="G4082" s="1214"/>
      <c r="H4082" s="1149">
        <f>H4077+H4081</f>
        <v>40194.217000000004</v>
      </c>
      <c r="J4082" s="1559"/>
      <c r="K4082" s="1559"/>
      <c r="L4082" s="1559"/>
      <c r="M4082" s="1635"/>
    </row>
    <row r="4083" spans="2:13" s="966" customFormat="1" hidden="1">
      <c r="B4083" s="1543" t="s">
        <v>706</v>
      </c>
      <c r="C4083" s="1123" t="s">
        <v>876</v>
      </c>
      <c r="D4083" s="1124"/>
      <c r="E4083" s="1154"/>
      <c r="F4083" s="1545" t="s">
        <v>3873</v>
      </c>
      <c r="G4083" s="1214"/>
      <c r="H4083" s="1107">
        <f>H4082*0.15</f>
        <v>6029.1325500000003</v>
      </c>
      <c r="J4083" s="1559"/>
      <c r="K4083" s="1559"/>
      <c r="L4083" s="1559"/>
      <c r="M4083" s="1635"/>
    </row>
    <row r="4084" spans="2:13" s="966" customFormat="1" hidden="1">
      <c r="B4084" s="1543" t="s">
        <v>708</v>
      </c>
      <c r="C4084" s="1117" t="s">
        <v>3765</v>
      </c>
      <c r="D4084" s="1120"/>
      <c r="E4084" s="1120"/>
      <c r="F4084" s="1121"/>
      <c r="G4084" s="1215"/>
      <c r="H4084" s="1107">
        <f>ROUND(SUM(H4082:H4083),2)</f>
        <v>46223.35</v>
      </c>
      <c r="I4084" s="964">
        <f>SUM(H4082:H4083)</f>
        <v>46223.349550000006</v>
      </c>
      <c r="J4084" s="1561"/>
      <c r="K4084" s="1561"/>
      <c r="L4084" s="1559"/>
      <c r="M4084" s="1635"/>
    </row>
    <row r="4085" spans="2:13" s="965" customFormat="1" hidden="1">
      <c r="B4085" s="1143"/>
      <c r="C4085" s="1144"/>
      <c r="D4085" s="1143"/>
      <c r="E4085" s="1143"/>
      <c r="F4085" s="1145"/>
      <c r="G4085" s="1132"/>
      <c r="H4085" s="1147"/>
      <c r="J4085" s="1557"/>
      <c r="K4085" s="1557"/>
      <c r="L4085" s="1557"/>
      <c r="M4085" s="1566"/>
    </row>
    <row r="4086" spans="2:13" s="965" customFormat="1" hidden="1">
      <c r="B4086" s="1150" t="s">
        <v>4072</v>
      </c>
      <c r="C4086" s="1112" t="s">
        <v>2783</v>
      </c>
      <c r="D4086" s="1095"/>
      <c r="E4086" s="1129"/>
      <c r="F4086" s="1131"/>
      <c r="G4086" s="1132"/>
      <c r="H4086" s="1115"/>
      <c r="J4086" s="1557"/>
      <c r="K4086" s="1557"/>
      <c r="L4086" s="1557"/>
      <c r="M4086" s="1566"/>
    </row>
    <row r="4087" spans="2:13" s="967" customFormat="1" ht="24.9" hidden="1" customHeight="1">
      <c r="B4087" s="1748" t="s">
        <v>1003</v>
      </c>
      <c r="C4087" s="1101" t="s">
        <v>1004</v>
      </c>
      <c r="D4087" s="1101" t="s">
        <v>1005</v>
      </c>
      <c r="E4087" s="1116" t="s">
        <v>1006</v>
      </c>
      <c r="F4087" s="1102" t="s">
        <v>1007</v>
      </c>
      <c r="G4087" s="1109" t="s">
        <v>2637</v>
      </c>
      <c r="H4087" s="1110" t="s">
        <v>2638</v>
      </c>
      <c r="J4087" s="1625"/>
      <c r="K4087" s="1625"/>
      <c r="L4087" s="1625"/>
      <c r="M4087" s="1570"/>
    </row>
    <row r="4088" spans="2:13" s="965" customFormat="1" hidden="1">
      <c r="B4088" s="1543" t="s">
        <v>671</v>
      </c>
      <c r="C4088" s="1332" t="s">
        <v>672</v>
      </c>
      <c r="D4088" s="1331"/>
      <c r="E4088" s="1539"/>
      <c r="F4088" s="1334"/>
      <c r="G4088" s="1104"/>
      <c r="H4088" s="1106"/>
      <c r="J4088" s="1557"/>
      <c r="K4088" s="1557"/>
      <c r="L4088" s="1557"/>
      <c r="M4088" s="1566"/>
    </row>
    <row r="4089" spans="2:13" s="965" customFormat="1" hidden="1">
      <c r="B4089" s="1543"/>
      <c r="C4089" s="1332" t="s">
        <v>673</v>
      </c>
      <c r="D4089" s="1331" t="s">
        <v>674</v>
      </c>
      <c r="E4089" s="1539" t="s">
        <v>675</v>
      </c>
      <c r="F4089" s="1334">
        <v>0.12</v>
      </c>
      <c r="G4089" s="1104">
        <f>DUB!$I$10</f>
        <v>150000</v>
      </c>
      <c r="H4089" s="1106">
        <f>G4089*F4089</f>
        <v>18000</v>
      </c>
      <c r="J4089" s="1557"/>
      <c r="K4089" s="1557"/>
      <c r="L4089" s="1557"/>
      <c r="M4089" s="1566"/>
    </row>
    <row r="4090" spans="2:13" s="965" customFormat="1" hidden="1">
      <c r="B4090" s="1543"/>
      <c r="C4090" s="1332" t="s">
        <v>871</v>
      </c>
      <c r="D4090" s="1331" t="s">
        <v>678</v>
      </c>
      <c r="E4090" s="1539" t="s">
        <v>675</v>
      </c>
      <c r="F4090" s="1334">
        <v>0.12</v>
      </c>
      <c r="G4090" s="1104">
        <f>DUB!$I$11</f>
        <v>187000</v>
      </c>
      <c r="H4090" s="1106">
        <f>G4090*F4090</f>
        <v>22440</v>
      </c>
      <c r="J4090" s="1557"/>
      <c r="K4090" s="1557"/>
      <c r="L4090" s="1557"/>
      <c r="M4090" s="1566"/>
    </row>
    <row r="4091" spans="2:13" s="965" customFormat="1" hidden="1">
      <c r="B4091" s="1543"/>
      <c r="C4091" s="1332" t="s">
        <v>751</v>
      </c>
      <c r="D4091" s="1331" t="s">
        <v>681</v>
      </c>
      <c r="E4091" s="1539" t="s">
        <v>675</v>
      </c>
      <c r="F4091" s="1334">
        <v>1.2E-2</v>
      </c>
      <c r="G4091" s="1104">
        <f>DUB!$I$13</f>
        <v>240000</v>
      </c>
      <c r="H4091" s="1106">
        <f>G4091*F4091</f>
        <v>2880</v>
      </c>
      <c r="J4091" s="1557"/>
      <c r="K4091" s="1557"/>
      <c r="L4091" s="1557"/>
      <c r="M4091" s="1566"/>
    </row>
    <row r="4092" spans="2:13" s="965" customFormat="1" hidden="1">
      <c r="B4092" s="1543"/>
      <c r="C4092" s="1332" t="s">
        <v>683</v>
      </c>
      <c r="D4092" s="1331" t="s">
        <v>684</v>
      </c>
      <c r="E4092" s="1539" t="s">
        <v>675</v>
      </c>
      <c r="F4092" s="1334">
        <v>6.0000000000000001E-3</v>
      </c>
      <c r="G4092" s="1104">
        <f>DUB!$I$12</f>
        <v>225000</v>
      </c>
      <c r="H4092" s="1106">
        <f>G4092*F4092</f>
        <v>1350</v>
      </c>
      <c r="J4092" s="1557"/>
      <c r="K4092" s="1557"/>
      <c r="L4092" s="1557"/>
      <c r="M4092" s="1566"/>
    </row>
    <row r="4093" spans="2:13" s="965" customFormat="1" hidden="1">
      <c r="B4093" s="1543"/>
      <c r="C4093" s="1332"/>
      <c r="D4093" s="1331"/>
      <c r="E4093" s="1539"/>
      <c r="F4093" s="2074" t="s">
        <v>685</v>
      </c>
      <c r="G4093" s="2074"/>
      <c r="H4093" s="1106">
        <f>SUM(H4089:H4092)</f>
        <v>44670</v>
      </c>
      <c r="J4093" s="1557"/>
      <c r="K4093" s="1557"/>
      <c r="L4093" s="1557"/>
      <c r="M4093" s="1566"/>
    </row>
    <row r="4094" spans="2:13" s="965" customFormat="1" hidden="1">
      <c r="B4094" s="1543" t="s">
        <v>686</v>
      </c>
      <c r="C4094" s="1332" t="s">
        <v>687</v>
      </c>
      <c r="D4094" s="1331"/>
      <c r="E4094" s="1539"/>
      <c r="F4094" s="1334"/>
      <c r="G4094" s="1104"/>
      <c r="H4094" s="1106"/>
      <c r="J4094" s="1557"/>
      <c r="K4094" s="1557"/>
      <c r="L4094" s="1557"/>
      <c r="M4094" s="1566"/>
    </row>
    <row r="4095" spans="2:13" s="965" customFormat="1" hidden="1">
      <c r="B4095" s="1543"/>
      <c r="C4095" s="1332" t="s">
        <v>1189</v>
      </c>
      <c r="D4095" s="1331"/>
      <c r="E4095" s="1539" t="s">
        <v>888</v>
      </c>
      <c r="F4095" s="1334">
        <v>12</v>
      </c>
      <c r="G4095" s="1104">
        <f>DUB!$I$303</f>
        <v>4014</v>
      </c>
      <c r="H4095" s="1106">
        <f>G4095*F4095</f>
        <v>48168</v>
      </c>
      <c r="J4095" s="1557"/>
      <c r="K4095" s="1557"/>
      <c r="L4095" s="1557"/>
      <c r="M4095" s="1566"/>
    </row>
    <row r="4096" spans="2:13" s="965" customFormat="1" hidden="1">
      <c r="B4096" s="1543"/>
      <c r="C4096" s="1332" t="s">
        <v>1188</v>
      </c>
      <c r="D4096" s="1331"/>
      <c r="E4096" s="1539" t="s">
        <v>773</v>
      </c>
      <c r="F4096" s="1334">
        <v>0.05</v>
      </c>
      <c r="G4096" s="1104">
        <f>DUB!$I$128</f>
        <v>20441.7</v>
      </c>
      <c r="H4096" s="1106">
        <f>G4096*F4096</f>
        <v>1022.085</v>
      </c>
      <c r="J4096" s="1557"/>
      <c r="K4096" s="1557"/>
      <c r="L4096" s="1557"/>
      <c r="M4096" s="1566"/>
    </row>
    <row r="4097" spans="2:13" s="965" customFormat="1" hidden="1">
      <c r="B4097" s="1543"/>
      <c r="C4097" s="1125"/>
      <c r="D4097" s="1333"/>
      <c r="E4097" s="1546"/>
      <c r="F4097" s="2074" t="s">
        <v>702</v>
      </c>
      <c r="G4097" s="2074"/>
      <c r="H4097" s="1106">
        <f>SUM(H4095:H4096)</f>
        <v>49190.084999999999</v>
      </c>
      <c r="J4097" s="1557"/>
      <c r="K4097" s="1557"/>
      <c r="L4097" s="1557"/>
      <c r="M4097" s="1566"/>
    </row>
    <row r="4098" spans="2:13" s="966" customFormat="1" hidden="1">
      <c r="B4098" s="1543" t="s">
        <v>703</v>
      </c>
      <c r="C4098" s="2075" t="s">
        <v>3764</v>
      </c>
      <c r="D4098" s="2075"/>
      <c r="E4098" s="2075"/>
      <c r="F4098" s="2075"/>
      <c r="G4098" s="2075"/>
      <c r="H4098" s="1107">
        <f>H4093+H4097</f>
        <v>93860.084999999992</v>
      </c>
      <c r="J4098" s="1559"/>
      <c r="K4098" s="1559"/>
      <c r="L4098" s="1559"/>
      <c r="M4098" s="1635"/>
    </row>
    <row r="4099" spans="2:13" s="966" customFormat="1" hidden="1">
      <c r="B4099" s="1543" t="s">
        <v>706</v>
      </c>
      <c r="C4099" s="2076" t="s">
        <v>876</v>
      </c>
      <c r="D4099" s="2076"/>
      <c r="E4099" s="2076"/>
      <c r="F4099" s="2077" t="s">
        <v>3873</v>
      </c>
      <c r="G4099" s="2077"/>
      <c r="H4099" s="1107">
        <f>H4098*0.15</f>
        <v>14079.012749999998</v>
      </c>
      <c r="J4099" s="1559"/>
      <c r="K4099" s="1559"/>
      <c r="L4099" s="1559"/>
      <c r="M4099" s="1635"/>
    </row>
    <row r="4100" spans="2:13" s="966" customFormat="1" hidden="1">
      <c r="B4100" s="1543" t="s">
        <v>708</v>
      </c>
      <c r="C4100" s="2078" t="s">
        <v>3765</v>
      </c>
      <c r="D4100" s="2078"/>
      <c r="E4100" s="2078"/>
      <c r="F4100" s="2078"/>
      <c r="G4100" s="2078"/>
      <c r="H4100" s="1107">
        <f>ROUND(SUM(H4098:H4099),2)</f>
        <v>107939.1</v>
      </c>
      <c r="I4100" s="968">
        <f>SUM(H4098:H4099)</f>
        <v>107939.09774999999</v>
      </c>
      <c r="J4100" s="1561"/>
      <c r="K4100" s="1561"/>
      <c r="L4100" s="1559"/>
      <c r="M4100" s="1635"/>
    </row>
    <row r="4101" spans="2:13" s="965" customFormat="1" hidden="1">
      <c r="B4101" s="1095"/>
      <c r="C4101" s="1096"/>
      <c r="D4101" s="1095"/>
      <c r="E4101" s="1095"/>
      <c r="F4101" s="1172"/>
      <c r="G4101" s="1173"/>
      <c r="H4101" s="1133"/>
      <c r="J4101" s="1557"/>
      <c r="K4101" s="1557"/>
      <c r="L4101" s="1557"/>
      <c r="M4101" s="1566"/>
    </row>
    <row r="4102" spans="2:13" s="965" customFormat="1" hidden="1">
      <c r="B4102" s="1100" t="s">
        <v>4073</v>
      </c>
      <c r="C4102" s="1232" t="s">
        <v>4434</v>
      </c>
      <c r="D4102" s="1095"/>
      <c r="E4102" s="1095"/>
      <c r="F4102" s="1172"/>
      <c r="G4102" s="1173"/>
      <c r="H4102" s="1133"/>
      <c r="J4102" s="1557"/>
      <c r="K4102" s="1557"/>
      <c r="L4102" s="1557"/>
      <c r="M4102" s="1566"/>
    </row>
    <row r="4103" spans="2:13" s="967" customFormat="1" ht="24.9" hidden="1" customHeight="1">
      <c r="B4103" s="1748" t="s">
        <v>1003</v>
      </c>
      <c r="C4103" s="1101" t="s">
        <v>1004</v>
      </c>
      <c r="D4103" s="1116" t="s">
        <v>1005</v>
      </c>
      <c r="E4103" s="1116" t="s">
        <v>1006</v>
      </c>
      <c r="F4103" s="1139" t="s">
        <v>1007</v>
      </c>
      <c r="G4103" s="1231" t="s">
        <v>2637</v>
      </c>
      <c r="H4103" s="1110" t="s">
        <v>2638</v>
      </c>
      <c r="J4103" s="1625"/>
      <c r="K4103" s="1625"/>
      <c r="L4103" s="1625"/>
      <c r="M4103" s="1570"/>
    </row>
    <row r="4104" spans="2:13" s="965" customFormat="1" hidden="1">
      <c r="B4104" s="1543" t="s">
        <v>671</v>
      </c>
      <c r="C4104" s="1332" t="s">
        <v>672</v>
      </c>
      <c r="D4104" s="1539"/>
      <c r="E4104" s="1539"/>
      <c r="F4104" s="1532"/>
      <c r="G4104" s="1708"/>
      <c r="H4104" s="1153"/>
      <c r="J4104" s="1557"/>
      <c r="K4104" s="1557"/>
      <c r="L4104" s="1557"/>
      <c r="M4104" s="1566"/>
    </row>
    <row r="4105" spans="2:13" s="965" customFormat="1" hidden="1">
      <c r="B4105" s="1543"/>
      <c r="C4105" s="1332" t="s">
        <v>673</v>
      </c>
      <c r="D4105" s="1539" t="s">
        <v>674</v>
      </c>
      <c r="E4105" s="1539" t="s">
        <v>675</v>
      </c>
      <c r="F4105" s="1532">
        <v>0.12</v>
      </c>
      <c r="G4105" s="1698">
        <f>DUB!$I$10</f>
        <v>150000</v>
      </c>
      <c r="H4105" s="1153">
        <f>G4105*F4105</f>
        <v>18000</v>
      </c>
      <c r="J4105" s="1557"/>
      <c r="K4105" s="1557"/>
      <c r="L4105" s="1557"/>
      <c r="M4105" s="1566"/>
    </row>
    <row r="4106" spans="2:13" s="965" customFormat="1" hidden="1">
      <c r="B4106" s="1543"/>
      <c r="C4106" s="1332" t="s">
        <v>871</v>
      </c>
      <c r="D4106" s="1539" t="s">
        <v>678</v>
      </c>
      <c r="E4106" s="1539" t="s">
        <v>675</v>
      </c>
      <c r="F4106" s="1532">
        <v>0.12</v>
      </c>
      <c r="G4106" s="1213">
        <f>DUB!$I$11</f>
        <v>187000</v>
      </c>
      <c r="H4106" s="1153">
        <f>G4106*F4106</f>
        <v>22440</v>
      </c>
      <c r="J4106" s="1557"/>
      <c r="K4106" s="1557"/>
      <c r="L4106" s="1557"/>
      <c r="M4106" s="1566"/>
    </row>
    <row r="4107" spans="2:13" s="965" customFormat="1" hidden="1">
      <c r="B4107" s="1543"/>
      <c r="C4107" s="1332" t="s">
        <v>751</v>
      </c>
      <c r="D4107" s="1539" t="s">
        <v>681</v>
      </c>
      <c r="E4107" s="1539" t="s">
        <v>675</v>
      </c>
      <c r="F4107" s="1532">
        <v>1.2E-2</v>
      </c>
      <c r="G4107" s="1213">
        <f>DUB!$I$13</f>
        <v>240000</v>
      </c>
      <c r="H4107" s="1153">
        <f>G4107*F4107</f>
        <v>2880</v>
      </c>
      <c r="J4107" s="1557"/>
      <c r="K4107" s="1557"/>
      <c r="L4107" s="1557"/>
      <c r="M4107" s="1566"/>
    </row>
    <row r="4108" spans="2:13" s="965" customFormat="1" hidden="1">
      <c r="B4108" s="1543"/>
      <c r="C4108" s="1332" t="s">
        <v>683</v>
      </c>
      <c r="D4108" s="1539" t="s">
        <v>684</v>
      </c>
      <c r="E4108" s="1539" t="s">
        <v>675</v>
      </c>
      <c r="F4108" s="1532">
        <v>6.0000000000000001E-3</v>
      </c>
      <c r="G4108" s="1213">
        <f>DUB!$I$12</f>
        <v>225000</v>
      </c>
      <c r="H4108" s="1153">
        <f>G4108*F4108</f>
        <v>1350</v>
      </c>
      <c r="J4108" s="1557"/>
      <c r="K4108" s="1557"/>
      <c r="L4108" s="1557"/>
      <c r="M4108" s="1566"/>
    </row>
    <row r="4109" spans="2:13" s="965" customFormat="1" hidden="1">
      <c r="B4109" s="1543"/>
      <c r="C4109" s="1332"/>
      <c r="D4109" s="1539"/>
      <c r="E4109" s="1539"/>
      <c r="F4109" s="2080" t="s">
        <v>685</v>
      </c>
      <c r="G4109" s="2081"/>
      <c r="H4109" s="1153">
        <f>SUM(H4105:H4108)</f>
        <v>44670</v>
      </c>
      <c r="J4109" s="1557"/>
      <c r="K4109" s="1557"/>
      <c r="L4109" s="1557"/>
      <c r="M4109" s="1566"/>
    </row>
    <row r="4110" spans="2:13" s="965" customFormat="1" hidden="1">
      <c r="B4110" s="1543" t="s">
        <v>686</v>
      </c>
      <c r="C4110" s="1332" t="s">
        <v>687</v>
      </c>
      <c r="D4110" s="1539"/>
      <c r="E4110" s="1539"/>
      <c r="F4110" s="1532"/>
      <c r="G4110" s="1213"/>
      <c r="H4110" s="1153"/>
      <c r="J4110" s="1557"/>
      <c r="K4110" s="1557"/>
      <c r="L4110" s="1557"/>
      <c r="M4110" s="1566"/>
    </row>
    <row r="4111" spans="2:13" s="965" customFormat="1" hidden="1">
      <c r="B4111" s="1543"/>
      <c r="C4111" s="1332" t="s">
        <v>1189</v>
      </c>
      <c r="D4111" s="1539"/>
      <c r="E4111" s="1539" t="s">
        <v>888</v>
      </c>
      <c r="F4111" s="1532">
        <v>5.8</v>
      </c>
      <c r="G4111" s="1213">
        <f>DUB!$I$302</f>
        <v>8028</v>
      </c>
      <c r="H4111" s="1153">
        <f>G4111*F4111</f>
        <v>46562.400000000001</v>
      </c>
      <c r="J4111" s="1557"/>
      <c r="K4111" s="1557"/>
      <c r="L4111" s="1557"/>
      <c r="M4111" s="1566"/>
    </row>
    <row r="4112" spans="2:13" s="965" customFormat="1" hidden="1">
      <c r="B4112" s="1543"/>
      <c r="C4112" s="1332" t="s">
        <v>1188</v>
      </c>
      <c r="D4112" s="1539"/>
      <c r="E4112" s="1539" t="s">
        <v>773</v>
      </c>
      <c r="F4112" s="1532">
        <v>0.05</v>
      </c>
      <c r="G4112" s="1213">
        <f>DUB!$I$128</f>
        <v>20441.7</v>
      </c>
      <c r="H4112" s="1153">
        <f>G4112*F4112</f>
        <v>1022.085</v>
      </c>
      <c r="J4112" s="1557"/>
      <c r="K4112" s="1557"/>
      <c r="L4112" s="1557"/>
      <c r="M4112" s="1566"/>
    </row>
    <row r="4113" spans="2:13" s="965" customFormat="1" hidden="1">
      <c r="B4113" s="1543"/>
      <c r="C4113" s="1332"/>
      <c r="D4113" s="1539"/>
      <c r="E4113" s="1539"/>
      <c r="F4113" s="2080" t="s">
        <v>702</v>
      </c>
      <c r="G4113" s="2081"/>
      <c r="H4113" s="1153">
        <f>SUM(H4111:H4112)</f>
        <v>47584.485000000001</v>
      </c>
      <c r="J4113" s="1557"/>
      <c r="K4113" s="1557"/>
      <c r="L4113" s="1557"/>
      <c r="M4113" s="1566"/>
    </row>
    <row r="4114" spans="2:13" s="966" customFormat="1" hidden="1">
      <c r="B4114" s="1543" t="s">
        <v>703</v>
      </c>
      <c r="C4114" s="1117" t="s">
        <v>3764</v>
      </c>
      <c r="D4114" s="1120"/>
      <c r="E4114" s="1120"/>
      <c r="F4114" s="1121"/>
      <c r="G4114" s="1214"/>
      <c r="H4114" s="1149">
        <f>H4109+H4113</f>
        <v>92254.485000000001</v>
      </c>
      <c r="J4114" s="1559"/>
      <c r="K4114" s="1559"/>
      <c r="L4114" s="1559"/>
      <c r="M4114" s="1635"/>
    </row>
    <row r="4115" spans="2:13" s="966" customFormat="1" hidden="1">
      <c r="B4115" s="1543" t="s">
        <v>706</v>
      </c>
      <c r="C4115" s="1123" t="s">
        <v>876</v>
      </c>
      <c r="D4115" s="1124"/>
      <c r="E4115" s="1154"/>
      <c r="F4115" s="1545" t="s">
        <v>3873</v>
      </c>
      <c r="G4115" s="1214"/>
      <c r="H4115" s="1107">
        <f>H4114*0.15</f>
        <v>13838.17275</v>
      </c>
      <c r="J4115" s="1559"/>
      <c r="K4115" s="1559"/>
      <c r="L4115" s="1559"/>
      <c r="M4115" s="1635"/>
    </row>
    <row r="4116" spans="2:13" s="966" customFormat="1" hidden="1">
      <c r="B4116" s="1543" t="s">
        <v>708</v>
      </c>
      <c r="C4116" s="1117" t="s">
        <v>3765</v>
      </c>
      <c r="D4116" s="1120"/>
      <c r="E4116" s="1120"/>
      <c r="F4116" s="1121"/>
      <c r="G4116" s="1215"/>
      <c r="H4116" s="1107">
        <f>ROUND(SUM(H4114:H4115),2)</f>
        <v>106092.66</v>
      </c>
      <c r="I4116" s="964">
        <f>SUM(H4114:H4115)</f>
        <v>106092.65775</v>
      </c>
      <c r="J4116" s="1561"/>
      <c r="K4116" s="1561"/>
      <c r="L4116" s="1559"/>
      <c r="M4116" s="1635"/>
    </row>
    <row r="4117" spans="2:13" s="965" customFormat="1" hidden="1">
      <c r="B4117" s="1143"/>
      <c r="C4117" s="1144"/>
      <c r="D4117" s="1143"/>
      <c r="E4117" s="1143"/>
      <c r="F4117" s="1145"/>
      <c r="G4117" s="1132"/>
      <c r="H4117" s="1147"/>
      <c r="J4117" s="1557"/>
      <c r="K4117" s="1557"/>
      <c r="L4117" s="1557"/>
      <c r="M4117" s="1566"/>
    </row>
    <row r="4118" spans="2:13" s="965" customFormat="1">
      <c r="B4118" s="1100" t="s">
        <v>4074</v>
      </c>
      <c r="C4118" s="1112" t="s">
        <v>5307</v>
      </c>
      <c r="D4118" s="1129"/>
      <c r="E4118" s="1129"/>
      <c r="F4118" s="1131"/>
      <c r="G4118" s="1132"/>
      <c r="H4118" s="1115"/>
      <c r="J4118" s="1557"/>
      <c r="K4118" s="1557"/>
      <c r="L4118" s="1557"/>
      <c r="M4118" s="1566"/>
    </row>
    <row r="4119" spans="2:13" s="967" customFormat="1" ht="24.9" customHeight="1">
      <c r="B4119" s="1101" t="s">
        <v>1003</v>
      </c>
      <c r="C4119" s="1116" t="s">
        <v>1004</v>
      </c>
      <c r="D4119" s="1116" t="s">
        <v>1005</v>
      </c>
      <c r="E4119" s="1116" t="s">
        <v>1006</v>
      </c>
      <c r="F4119" s="1139" t="s">
        <v>1007</v>
      </c>
      <c r="G4119" s="1223" t="s">
        <v>2637</v>
      </c>
      <c r="H4119" s="1110" t="s">
        <v>2638</v>
      </c>
      <c r="I4119" s="1846"/>
      <c r="J4119" s="1823" t="s">
        <v>5335</v>
      </c>
      <c r="K4119" s="1824" t="s">
        <v>5336</v>
      </c>
      <c r="L4119" s="1824" t="s">
        <v>5337</v>
      </c>
      <c r="M4119" s="1825" t="s">
        <v>5338</v>
      </c>
    </row>
    <row r="4120" spans="2:13" s="965" customFormat="1">
      <c r="B4120" s="1330" t="s">
        <v>671</v>
      </c>
      <c r="C4120" s="1118" t="s">
        <v>672</v>
      </c>
      <c r="D4120" s="1539"/>
      <c r="E4120" s="1539"/>
      <c r="F4120" s="1532"/>
      <c r="G4120" s="1698"/>
      <c r="H4120" s="1153"/>
      <c r="J4120" s="1597"/>
      <c r="K4120" s="1597"/>
      <c r="L4120" s="1597"/>
      <c r="M4120" s="1826"/>
    </row>
    <row r="4121" spans="2:13" s="965" customFormat="1">
      <c r="B4121" s="1330"/>
      <c r="C4121" s="1118" t="s">
        <v>673</v>
      </c>
      <c r="D4121" s="1539" t="s">
        <v>674</v>
      </c>
      <c r="E4121" s="1539" t="s">
        <v>675</v>
      </c>
      <c r="F4121" s="1532">
        <v>0.5</v>
      </c>
      <c r="G4121" s="1213">
        <f>DUB!$I$10</f>
        <v>150000</v>
      </c>
      <c r="H4121" s="1153">
        <f>G4121*F4121</f>
        <v>75000</v>
      </c>
      <c r="J4121" s="1609" t="s">
        <v>5339</v>
      </c>
      <c r="K4121" s="1611">
        <v>1</v>
      </c>
      <c r="L4121" s="1608" t="s">
        <v>5340</v>
      </c>
      <c r="M4121" s="1827">
        <f>H4121*K4121</f>
        <v>75000</v>
      </c>
    </row>
    <row r="4122" spans="2:13" s="965" customFormat="1">
      <c r="B4122" s="1330"/>
      <c r="C4122" s="1118" t="s">
        <v>871</v>
      </c>
      <c r="D4122" s="1539" t="s">
        <v>678</v>
      </c>
      <c r="E4122" s="1539" t="s">
        <v>675</v>
      </c>
      <c r="F4122" s="1532">
        <v>0.5</v>
      </c>
      <c r="G4122" s="1213">
        <f>DUB!$I$11</f>
        <v>187000</v>
      </c>
      <c r="H4122" s="1153">
        <f>G4122*F4122</f>
        <v>93500</v>
      </c>
      <c r="J4122" s="1609" t="s">
        <v>5339</v>
      </c>
      <c r="K4122" s="1611">
        <v>1</v>
      </c>
      <c r="L4122" s="1608" t="s">
        <v>5340</v>
      </c>
      <c r="M4122" s="1827">
        <f t="shared" ref="M4122" si="114">H4122*K4122</f>
        <v>93500</v>
      </c>
    </row>
    <row r="4123" spans="2:13" s="965" customFormat="1">
      <c r="B4123" s="1330"/>
      <c r="C4123" s="1118" t="s">
        <v>751</v>
      </c>
      <c r="D4123" s="1539" t="s">
        <v>681</v>
      </c>
      <c r="E4123" s="1539" t="s">
        <v>675</v>
      </c>
      <c r="F4123" s="1532">
        <v>0.05</v>
      </c>
      <c r="G4123" s="1213">
        <f>DUB!$I$13</f>
        <v>240000</v>
      </c>
      <c r="H4123" s="1153">
        <f>G4123*F4123</f>
        <v>12000</v>
      </c>
      <c r="J4123" s="1609" t="s">
        <v>5339</v>
      </c>
      <c r="K4123" s="1611">
        <v>1</v>
      </c>
      <c r="L4123" s="1608" t="s">
        <v>5340</v>
      </c>
      <c r="M4123" s="1827">
        <f>H4123*K4123</f>
        <v>12000</v>
      </c>
    </row>
    <row r="4124" spans="2:13" s="965" customFormat="1">
      <c r="B4124" s="1330"/>
      <c r="C4124" s="1118" t="s">
        <v>683</v>
      </c>
      <c r="D4124" s="1539" t="s">
        <v>684</v>
      </c>
      <c r="E4124" s="1539" t="s">
        <v>675</v>
      </c>
      <c r="F4124" s="1532">
        <v>5.0000000000000001E-3</v>
      </c>
      <c r="G4124" s="1213">
        <f>DUB!$I$12</f>
        <v>225000</v>
      </c>
      <c r="H4124" s="1153">
        <f>G4124*F4124</f>
        <v>1125</v>
      </c>
      <c r="J4124" s="1609" t="s">
        <v>5339</v>
      </c>
      <c r="K4124" s="1611">
        <v>1</v>
      </c>
      <c r="L4124" s="1608" t="s">
        <v>5340</v>
      </c>
      <c r="M4124" s="1827">
        <f t="shared" ref="M4124" si="115">H4124*K4124</f>
        <v>1125</v>
      </c>
    </row>
    <row r="4125" spans="2:13" s="965" customFormat="1">
      <c r="B4125" s="1330"/>
      <c r="C4125" s="1118"/>
      <c r="D4125" s="1539"/>
      <c r="E4125" s="1539"/>
      <c r="F4125" s="2080" t="s">
        <v>685</v>
      </c>
      <c r="G4125" s="2081"/>
      <c r="H4125" s="1153">
        <f>SUM(H4121:H4124)</f>
        <v>181625</v>
      </c>
      <c r="J4125" s="1597"/>
      <c r="K4125" s="1597"/>
      <c r="L4125" s="1597"/>
      <c r="M4125" s="1107">
        <f>SUM(M4121:M4124)</f>
        <v>181625</v>
      </c>
    </row>
    <row r="4126" spans="2:13" s="965" customFormat="1">
      <c r="B4126" s="1330" t="s">
        <v>686</v>
      </c>
      <c r="C4126" s="1118" t="s">
        <v>687</v>
      </c>
      <c r="D4126" s="1539"/>
      <c r="E4126" s="1539"/>
      <c r="F4126" s="1532"/>
      <c r="G4126" s="1213"/>
      <c r="H4126" s="1153"/>
      <c r="J4126" s="1597"/>
      <c r="K4126" s="1597"/>
      <c r="L4126" s="1597"/>
      <c r="M4126" s="1826"/>
    </row>
    <row r="4127" spans="2:13" s="965" customFormat="1">
      <c r="B4127" s="1330"/>
      <c r="C4127" s="1118" t="s">
        <v>1189</v>
      </c>
      <c r="D4127" s="1539"/>
      <c r="E4127" s="1539" t="s">
        <v>888</v>
      </c>
      <c r="F4127" s="1532">
        <v>1.5</v>
      </c>
      <c r="G4127" s="1213">
        <f>DUB!$I$301</f>
        <v>32130</v>
      </c>
      <c r="H4127" s="1153">
        <f>G4127*F4127</f>
        <v>48195</v>
      </c>
      <c r="J4127" s="1634" t="s">
        <v>4925</v>
      </c>
      <c r="K4127" s="1611">
        <v>0.51400000000000001</v>
      </c>
      <c r="L4127" s="1607" t="s">
        <v>5343</v>
      </c>
      <c r="M4127" s="1827">
        <f>H4127*K4127</f>
        <v>24772.23</v>
      </c>
    </row>
    <row r="4128" spans="2:13" s="965" customFormat="1">
      <c r="B4128" s="1330"/>
      <c r="C4128" s="1118" t="s">
        <v>5296</v>
      </c>
      <c r="D4128" s="1539"/>
      <c r="E4128" s="1539" t="s">
        <v>853</v>
      </c>
      <c r="F4128" s="1532">
        <v>3.6</v>
      </c>
      <c r="G4128" s="1213">
        <f>DUB!I293</f>
        <v>26775</v>
      </c>
      <c r="H4128" s="1153">
        <f t="shared" ref="H4128:H4129" si="116">G4128*F4128</f>
        <v>96390</v>
      </c>
      <c r="J4128" s="1634" t="s">
        <v>4925</v>
      </c>
      <c r="K4128" s="1611">
        <v>0.51990000000000003</v>
      </c>
      <c r="L4128" s="1607" t="s">
        <v>5343</v>
      </c>
      <c r="M4128" s="1827">
        <f>H4128*K4128</f>
        <v>50113.161</v>
      </c>
    </row>
    <row r="4129" spans="2:13" s="965" customFormat="1">
      <c r="B4129" s="1330"/>
      <c r="C4129" s="1118" t="s">
        <v>5297</v>
      </c>
      <c r="D4129" s="1539"/>
      <c r="E4129" s="1539" t="s">
        <v>773</v>
      </c>
      <c r="F4129" s="1532">
        <v>0.15</v>
      </c>
      <c r="G4129" s="1213">
        <f>DUB!I108</f>
        <v>29497.5</v>
      </c>
      <c r="H4129" s="1153">
        <f t="shared" si="116"/>
        <v>4424.625</v>
      </c>
      <c r="J4129" s="1642" t="s">
        <v>4925</v>
      </c>
      <c r="K4129" s="1611">
        <v>0.59850000000000003</v>
      </c>
      <c r="L4129" s="1607" t="s">
        <v>5343</v>
      </c>
      <c r="M4129" s="1827">
        <f t="shared" ref="M4129:M4130" si="117">H4129*K4129</f>
        <v>2648.1380625000002</v>
      </c>
    </row>
    <row r="4130" spans="2:13" s="965" customFormat="1">
      <c r="B4130" s="1330"/>
      <c r="C4130" s="1118" t="s">
        <v>3557</v>
      </c>
      <c r="D4130" s="1539"/>
      <c r="E4130" s="1539" t="s">
        <v>1423</v>
      </c>
      <c r="F4130" s="1532">
        <v>1.05</v>
      </c>
      <c r="G4130" s="1213">
        <f>DUB!I131</f>
        <v>531</v>
      </c>
      <c r="H4130" s="1153">
        <f>G4130*F4130</f>
        <v>557.55000000000007</v>
      </c>
      <c r="J4130" s="1642" t="s">
        <v>4925</v>
      </c>
      <c r="K4130" s="1611">
        <v>0.60250000000000004</v>
      </c>
      <c r="L4130" s="1607" t="s">
        <v>5343</v>
      </c>
      <c r="M4130" s="1827">
        <f t="shared" si="117"/>
        <v>335.92387500000007</v>
      </c>
    </row>
    <row r="4131" spans="2:13" s="965" customFormat="1">
      <c r="B4131" s="1330"/>
      <c r="C4131" s="1118"/>
      <c r="D4131" s="1539"/>
      <c r="E4131" s="1539"/>
      <c r="F4131" s="2080" t="s">
        <v>702</v>
      </c>
      <c r="G4131" s="2081"/>
      <c r="H4131" s="1153">
        <f>SUM(H4127:H4130)</f>
        <v>149567.17499999999</v>
      </c>
      <c r="J4131" s="1597"/>
      <c r="K4131" s="1597"/>
      <c r="L4131" s="1597"/>
      <c r="M4131" s="1106">
        <f>SUM(M4127:M4130)</f>
        <v>77869.452937499998</v>
      </c>
    </row>
    <row r="4132" spans="2:13" s="966" customFormat="1">
      <c r="B4132" s="1330" t="s">
        <v>703</v>
      </c>
      <c r="C4132" s="1117" t="s">
        <v>3764</v>
      </c>
      <c r="D4132" s="1120"/>
      <c r="E4132" s="1120"/>
      <c r="F4132" s="1121"/>
      <c r="G4132" s="1214"/>
      <c r="H4132" s="1149">
        <f>H4125+H4131</f>
        <v>331192.17499999999</v>
      </c>
      <c r="J4132" s="1600"/>
      <c r="K4132" s="1633">
        <f>M4132/H4132</f>
        <v>0.78351625589433083</v>
      </c>
      <c r="L4132" s="1600"/>
      <c r="M4132" s="1107">
        <f>M4125+M4131</f>
        <v>259494.4529375</v>
      </c>
    </row>
    <row r="4133" spans="2:13" s="966" customFormat="1">
      <c r="B4133" s="1330" t="s">
        <v>706</v>
      </c>
      <c r="C4133" s="1123" t="s">
        <v>876</v>
      </c>
      <c r="D4133" s="1124"/>
      <c r="E4133" s="1124"/>
      <c r="F4133" s="1545" t="s">
        <v>3873</v>
      </c>
      <c r="G4133" s="1214"/>
      <c r="H4133" s="1107">
        <f>H4132*0.15</f>
        <v>49678.826249999998</v>
      </c>
      <c r="J4133" s="1600"/>
      <c r="K4133" s="1600"/>
      <c r="L4133" s="1600"/>
      <c r="M4133" s="1107">
        <f>M4132*0.15</f>
        <v>38924.167940624997</v>
      </c>
    </row>
    <row r="4134" spans="2:13" s="966" customFormat="1">
      <c r="B4134" s="1330" t="s">
        <v>708</v>
      </c>
      <c r="C4134" s="1117" t="s">
        <v>3765</v>
      </c>
      <c r="D4134" s="1120"/>
      <c r="E4134" s="1120"/>
      <c r="F4134" s="1121"/>
      <c r="G4134" s="1214"/>
      <c r="H4134" s="1107">
        <f>ROUND(SUM(H4132:H4133),2)</f>
        <v>380871</v>
      </c>
      <c r="I4134" s="964">
        <f>SUM(H4132:H4133)</f>
        <v>380871.00124999997</v>
      </c>
      <c r="J4134" s="1636"/>
      <c r="K4134" s="1636"/>
      <c r="L4134" s="1637"/>
      <c r="M4134" s="1107">
        <f>ROUND(SUM(M4132:M4133),2)</f>
        <v>298418.62</v>
      </c>
    </row>
    <row r="4135" spans="2:13" s="965" customFormat="1">
      <c r="B4135" s="1095"/>
      <c r="C4135" s="1096"/>
      <c r="D4135" s="1095"/>
      <c r="E4135" s="1095"/>
      <c r="F4135" s="1172"/>
      <c r="G4135" s="1173"/>
      <c r="H4135" s="1133"/>
      <c r="J4135" s="1557"/>
      <c r="K4135" s="1557"/>
      <c r="L4135" s="1557"/>
      <c r="M4135" s="1566"/>
    </row>
    <row r="4136" spans="2:13" s="965" customFormat="1" hidden="1">
      <c r="B4136" s="1100" t="s">
        <v>4075</v>
      </c>
      <c r="C4136" s="1232" t="s">
        <v>4435</v>
      </c>
      <c r="D4136" s="1095"/>
      <c r="E4136" s="1095"/>
      <c r="F4136" s="1172"/>
      <c r="G4136" s="1173"/>
      <c r="H4136" s="1133"/>
      <c r="J4136" s="1557"/>
      <c r="K4136" s="1557"/>
      <c r="L4136" s="1557"/>
      <c r="M4136" s="1566"/>
    </row>
    <row r="4137" spans="2:13" s="967" customFormat="1" ht="24.9" hidden="1" customHeight="1">
      <c r="B4137" s="1748" t="s">
        <v>1003</v>
      </c>
      <c r="C4137" s="1116" t="s">
        <v>1004</v>
      </c>
      <c r="D4137" s="1116" t="s">
        <v>1005</v>
      </c>
      <c r="E4137" s="1116" t="s">
        <v>1006</v>
      </c>
      <c r="F4137" s="1102" t="s">
        <v>1007</v>
      </c>
      <c r="G4137" s="1223" t="s">
        <v>2637</v>
      </c>
      <c r="H4137" s="1110" t="s">
        <v>2638</v>
      </c>
      <c r="J4137" s="1625"/>
      <c r="K4137" s="1625"/>
      <c r="L4137" s="1625"/>
      <c r="M4137" s="1570"/>
    </row>
    <row r="4138" spans="2:13" s="965" customFormat="1" hidden="1">
      <c r="B4138" s="1543" t="s">
        <v>671</v>
      </c>
      <c r="C4138" s="1118" t="s">
        <v>672</v>
      </c>
      <c r="D4138" s="1539"/>
      <c r="E4138" s="1539"/>
      <c r="F4138" s="1532"/>
      <c r="G4138" s="1698"/>
      <c r="H4138" s="1153"/>
      <c r="J4138" s="1557"/>
      <c r="K4138" s="1557"/>
      <c r="L4138" s="1557"/>
      <c r="M4138" s="1566"/>
    </row>
    <row r="4139" spans="2:13" s="965" customFormat="1" hidden="1">
      <c r="B4139" s="1543"/>
      <c r="C4139" s="1118" t="s">
        <v>673</v>
      </c>
      <c r="D4139" s="1539" t="s">
        <v>674</v>
      </c>
      <c r="E4139" s="1539" t="s">
        <v>675</v>
      </c>
      <c r="F4139" s="1532">
        <v>0.1</v>
      </c>
      <c r="G4139" s="1213">
        <f>DUB!$I$10</f>
        <v>150000</v>
      </c>
      <c r="H4139" s="1153">
        <f>G4139*F4139</f>
        <v>15000</v>
      </c>
      <c r="J4139" s="1557"/>
      <c r="K4139" s="1557"/>
      <c r="L4139" s="1557"/>
      <c r="M4139" s="1566"/>
    </row>
    <row r="4140" spans="2:13" s="965" customFormat="1" hidden="1">
      <c r="B4140" s="1543"/>
      <c r="C4140" s="1118" t="s">
        <v>871</v>
      </c>
      <c r="D4140" s="1539" t="s">
        <v>678</v>
      </c>
      <c r="E4140" s="1539" t="s">
        <v>675</v>
      </c>
      <c r="F4140" s="1532">
        <v>0.1</v>
      </c>
      <c r="G4140" s="1213">
        <f>DUB!$I$11</f>
        <v>187000</v>
      </c>
      <c r="H4140" s="1153">
        <f>G4140*F4140</f>
        <v>18700</v>
      </c>
      <c r="J4140" s="1557"/>
      <c r="K4140" s="1557"/>
      <c r="L4140" s="1557"/>
      <c r="M4140" s="1566"/>
    </row>
    <row r="4141" spans="2:13" s="965" customFormat="1" hidden="1">
      <c r="B4141" s="1543"/>
      <c r="C4141" s="1118" t="s">
        <v>751</v>
      </c>
      <c r="D4141" s="1539" t="s">
        <v>681</v>
      </c>
      <c r="E4141" s="1539" t="s">
        <v>675</v>
      </c>
      <c r="F4141" s="1532">
        <v>0.01</v>
      </c>
      <c r="G4141" s="1213">
        <f>DUB!$I$13</f>
        <v>240000</v>
      </c>
      <c r="H4141" s="1153">
        <f>G4141*F4141</f>
        <v>2400</v>
      </c>
      <c r="J4141" s="1557"/>
      <c r="K4141" s="1557"/>
      <c r="L4141" s="1557"/>
      <c r="M4141" s="1566"/>
    </row>
    <row r="4142" spans="2:13" s="965" customFormat="1" hidden="1">
      <c r="B4142" s="1543"/>
      <c r="C4142" s="1118" t="s">
        <v>683</v>
      </c>
      <c r="D4142" s="1539" t="s">
        <v>684</v>
      </c>
      <c r="E4142" s="1539" t="s">
        <v>675</v>
      </c>
      <c r="F4142" s="1532">
        <v>5.0000000000000001E-3</v>
      </c>
      <c r="G4142" s="1213">
        <f>DUB!$I$12</f>
        <v>225000</v>
      </c>
      <c r="H4142" s="1153">
        <f>G4142*F4142</f>
        <v>1125</v>
      </c>
      <c r="J4142" s="1557"/>
      <c r="K4142" s="1557"/>
      <c r="L4142" s="1557"/>
      <c r="M4142" s="1566"/>
    </row>
    <row r="4143" spans="2:13" s="965" customFormat="1" hidden="1">
      <c r="B4143" s="1543"/>
      <c r="C4143" s="1118"/>
      <c r="D4143" s="1539"/>
      <c r="E4143" s="1539"/>
      <c r="F4143" s="2080" t="s">
        <v>685</v>
      </c>
      <c r="G4143" s="2081"/>
      <c r="H4143" s="1153">
        <f>SUM(H4139:H4142)</f>
        <v>37225</v>
      </c>
      <c r="J4143" s="1557"/>
      <c r="K4143" s="1557"/>
      <c r="L4143" s="1557"/>
      <c r="M4143" s="1566"/>
    </row>
    <row r="4144" spans="2:13" s="965" customFormat="1" hidden="1">
      <c r="B4144" s="1543" t="s">
        <v>686</v>
      </c>
      <c r="C4144" s="1118" t="s">
        <v>687</v>
      </c>
      <c r="D4144" s="1539"/>
      <c r="E4144" s="1539"/>
      <c r="F4144" s="1532"/>
      <c r="G4144" s="1213"/>
      <c r="H4144" s="1153"/>
      <c r="J4144" s="1557"/>
      <c r="K4144" s="1557"/>
      <c r="L4144" s="1557"/>
      <c r="M4144" s="1566"/>
    </row>
    <row r="4145" spans="2:13" s="965" customFormat="1" hidden="1">
      <c r="B4145" s="1543"/>
      <c r="C4145" s="1118" t="s">
        <v>1191</v>
      </c>
      <c r="D4145" s="1539"/>
      <c r="E4145" s="1539" t="s">
        <v>888</v>
      </c>
      <c r="F4145" s="1532">
        <v>0.375</v>
      </c>
      <c r="G4145" s="1213">
        <f>DUB!$I$92</f>
        <v>76464</v>
      </c>
      <c r="H4145" s="1153">
        <f>G4145*F4145</f>
        <v>28674</v>
      </c>
      <c r="J4145" s="1557"/>
      <c r="K4145" s="1557"/>
      <c r="L4145" s="1557"/>
      <c r="M4145" s="1566"/>
    </row>
    <row r="4146" spans="2:13" s="965" customFormat="1" hidden="1">
      <c r="B4146" s="1543"/>
      <c r="C4146" s="1118" t="s">
        <v>1188</v>
      </c>
      <c r="D4146" s="1539"/>
      <c r="E4146" s="1539" t="s">
        <v>773</v>
      </c>
      <c r="F4146" s="1532">
        <v>0.03</v>
      </c>
      <c r="G4146" s="1213">
        <f>DUB!$I$128</f>
        <v>20441.7</v>
      </c>
      <c r="H4146" s="1153">
        <f>G4146*F4146</f>
        <v>613.25099999999998</v>
      </c>
      <c r="J4146" s="1557"/>
      <c r="K4146" s="1557"/>
      <c r="L4146" s="1557"/>
      <c r="M4146" s="1566"/>
    </row>
    <row r="4147" spans="2:13" s="965" customFormat="1" hidden="1">
      <c r="B4147" s="1543"/>
      <c r="C4147" s="1118"/>
      <c r="D4147" s="1539"/>
      <c r="E4147" s="1539"/>
      <c r="F4147" s="2080" t="s">
        <v>702</v>
      </c>
      <c r="G4147" s="2081"/>
      <c r="H4147" s="1153">
        <f>SUM(H4145:H4146)</f>
        <v>29287.251</v>
      </c>
      <c r="J4147" s="1557"/>
      <c r="K4147" s="1557"/>
      <c r="L4147" s="1557"/>
      <c r="M4147" s="1566"/>
    </row>
    <row r="4148" spans="2:13" s="966" customFormat="1" hidden="1">
      <c r="B4148" s="1543" t="s">
        <v>703</v>
      </c>
      <c r="C4148" s="1117" t="s">
        <v>3764</v>
      </c>
      <c r="D4148" s="1120"/>
      <c r="E4148" s="1120"/>
      <c r="F4148" s="1121"/>
      <c r="G4148" s="1214"/>
      <c r="H4148" s="1149">
        <f>H4143+H4147</f>
        <v>66512.251000000004</v>
      </c>
      <c r="J4148" s="1559"/>
      <c r="K4148" s="1559"/>
      <c r="L4148" s="1559"/>
      <c r="M4148" s="1635"/>
    </row>
    <row r="4149" spans="2:13" s="966" customFormat="1" hidden="1">
      <c r="B4149" s="1543" t="s">
        <v>706</v>
      </c>
      <c r="C4149" s="1123" t="s">
        <v>876</v>
      </c>
      <c r="D4149" s="1124"/>
      <c r="E4149" s="1124"/>
      <c r="F4149" s="1545" t="s">
        <v>3873</v>
      </c>
      <c r="G4149" s="1214"/>
      <c r="H4149" s="1107">
        <f>H4148*0.15</f>
        <v>9976.8376499999995</v>
      </c>
      <c r="J4149" s="1559"/>
      <c r="K4149" s="1559"/>
      <c r="L4149" s="1559"/>
      <c r="M4149" s="1635"/>
    </row>
    <row r="4150" spans="2:13" s="966" customFormat="1" hidden="1">
      <c r="B4150" s="1543" t="s">
        <v>708</v>
      </c>
      <c r="C4150" s="1117" t="s">
        <v>3765</v>
      </c>
      <c r="D4150" s="1120"/>
      <c r="E4150" s="1120"/>
      <c r="F4150" s="1121"/>
      <c r="G4150" s="1215"/>
      <c r="H4150" s="1107">
        <f>ROUND(SUM(H4148:H4149),2)</f>
        <v>76489.09</v>
      </c>
      <c r="I4150" s="964">
        <f>SUM(H4148:H4149)</f>
        <v>76489.088650000005</v>
      </c>
      <c r="J4150" s="1561"/>
      <c r="K4150" s="1561"/>
      <c r="L4150" s="1559"/>
      <c r="M4150" s="1635"/>
    </row>
    <row r="4151" spans="2:13" s="965" customFormat="1" hidden="1">
      <c r="B4151" s="1143"/>
      <c r="C4151" s="1130"/>
      <c r="D4151" s="1129"/>
      <c r="E4151" s="1129"/>
      <c r="F4151" s="1131"/>
      <c r="G4151" s="1132"/>
      <c r="H4151" s="1147"/>
      <c r="J4151" s="1557"/>
      <c r="K4151" s="1557"/>
      <c r="L4151" s="1557"/>
      <c r="M4151" s="1566"/>
    </row>
    <row r="4152" spans="2:13" s="965" customFormat="1" hidden="1">
      <c r="B4152" s="1100" t="s">
        <v>4076</v>
      </c>
      <c r="C4152" s="1112" t="s">
        <v>4794</v>
      </c>
      <c r="D4152" s="1129"/>
      <c r="E4152" s="1129"/>
      <c r="F4152" s="1131"/>
      <c r="G4152" s="1132"/>
      <c r="H4152" s="1115"/>
      <c r="J4152" s="1557"/>
      <c r="K4152" s="1557"/>
      <c r="L4152" s="1557"/>
      <c r="M4152" s="1566"/>
    </row>
    <row r="4153" spans="2:13" s="967" customFormat="1" ht="24.9" hidden="1" customHeight="1">
      <c r="B4153" s="1748" t="s">
        <v>1003</v>
      </c>
      <c r="C4153" s="1101" t="s">
        <v>1004</v>
      </c>
      <c r="D4153" s="1116" t="s">
        <v>1005</v>
      </c>
      <c r="E4153" s="1116" t="s">
        <v>1006</v>
      </c>
      <c r="F4153" s="1139" t="s">
        <v>1007</v>
      </c>
      <c r="G4153" s="1109" t="s">
        <v>2637</v>
      </c>
      <c r="H4153" s="1110" t="s">
        <v>2638</v>
      </c>
      <c r="J4153" s="1625"/>
      <c r="K4153" s="1625"/>
      <c r="L4153" s="1625"/>
      <c r="M4153" s="1570"/>
    </row>
    <row r="4154" spans="2:13" s="965" customFormat="1" hidden="1">
      <c r="B4154" s="1543" t="s">
        <v>671</v>
      </c>
      <c r="C4154" s="1332" t="s">
        <v>672</v>
      </c>
      <c r="D4154" s="1539"/>
      <c r="E4154" s="1539"/>
      <c r="F4154" s="1532"/>
      <c r="G4154" s="1104"/>
      <c r="H4154" s="1106"/>
      <c r="J4154" s="1557"/>
      <c r="K4154" s="1557"/>
      <c r="L4154" s="1557"/>
      <c r="M4154" s="1566"/>
    </row>
    <row r="4155" spans="2:13" s="965" customFormat="1" hidden="1">
      <c r="B4155" s="1543"/>
      <c r="C4155" s="1332" t="s">
        <v>673</v>
      </c>
      <c r="D4155" s="1539" t="s">
        <v>674</v>
      </c>
      <c r="E4155" s="1539" t="s">
        <v>675</v>
      </c>
      <c r="F4155" s="1532">
        <v>0.8</v>
      </c>
      <c r="G4155" s="1104">
        <f>DUB!$I$10</f>
        <v>150000</v>
      </c>
      <c r="H4155" s="1106">
        <f>G4155*F4155</f>
        <v>120000</v>
      </c>
      <c r="J4155" s="1557"/>
      <c r="K4155" s="1557"/>
      <c r="L4155" s="1557"/>
      <c r="M4155" s="1566"/>
    </row>
    <row r="4156" spans="2:13" s="965" customFormat="1" hidden="1">
      <c r="B4156" s="1543"/>
      <c r="C4156" s="1332" t="s">
        <v>871</v>
      </c>
      <c r="D4156" s="1539" t="s">
        <v>678</v>
      </c>
      <c r="E4156" s="1539" t="s">
        <v>675</v>
      </c>
      <c r="F4156" s="1532">
        <v>0.8</v>
      </c>
      <c r="G4156" s="1104">
        <f>DUB!$I$11</f>
        <v>187000</v>
      </c>
      <c r="H4156" s="1106">
        <f>G4156*F4156</f>
        <v>149600</v>
      </c>
      <c r="J4156" s="1557"/>
      <c r="K4156" s="1557"/>
      <c r="L4156" s="1557"/>
      <c r="M4156" s="1566"/>
    </row>
    <row r="4157" spans="2:13" s="965" customFormat="1" hidden="1">
      <c r="B4157" s="1543"/>
      <c r="C4157" s="1332" t="s">
        <v>751</v>
      </c>
      <c r="D4157" s="1539" t="s">
        <v>681</v>
      </c>
      <c r="E4157" s="1539" t="s">
        <v>675</v>
      </c>
      <c r="F4157" s="1532">
        <v>0.08</v>
      </c>
      <c r="G4157" s="1104">
        <f>DUB!$I$13</f>
        <v>240000</v>
      </c>
      <c r="H4157" s="1106">
        <f>G4157*F4157</f>
        <v>19200</v>
      </c>
      <c r="J4157" s="1557"/>
      <c r="K4157" s="1557"/>
      <c r="L4157" s="1557"/>
      <c r="M4157" s="1566"/>
    </row>
    <row r="4158" spans="2:13" s="965" customFormat="1" hidden="1">
      <c r="B4158" s="1543"/>
      <c r="C4158" s="1332" t="s">
        <v>683</v>
      </c>
      <c r="D4158" s="1539" t="s">
        <v>684</v>
      </c>
      <c r="E4158" s="1539" t="s">
        <v>675</v>
      </c>
      <c r="F4158" s="1532">
        <v>0.04</v>
      </c>
      <c r="G4158" s="1104">
        <f>DUB!$I$12</f>
        <v>225000</v>
      </c>
      <c r="H4158" s="1106">
        <f>G4158*F4158</f>
        <v>9000</v>
      </c>
      <c r="J4158" s="1557"/>
      <c r="K4158" s="1557"/>
      <c r="L4158" s="1557"/>
      <c r="M4158" s="1566"/>
    </row>
    <row r="4159" spans="2:13" s="965" customFormat="1" hidden="1">
      <c r="B4159" s="1543"/>
      <c r="C4159" s="1332"/>
      <c r="D4159" s="1539"/>
      <c r="E4159" s="1539"/>
      <c r="F4159" s="2080" t="s">
        <v>685</v>
      </c>
      <c r="G4159" s="2081"/>
      <c r="H4159" s="1106">
        <f>SUM(H4155:H4158)</f>
        <v>297800</v>
      </c>
      <c r="J4159" s="1557"/>
      <c r="K4159" s="1557"/>
      <c r="L4159" s="1557"/>
      <c r="M4159" s="1566"/>
    </row>
    <row r="4160" spans="2:13" s="965" customFormat="1" hidden="1">
      <c r="B4160" s="1543" t="s">
        <v>686</v>
      </c>
      <c r="C4160" s="1332" t="s">
        <v>687</v>
      </c>
      <c r="D4160" s="1539"/>
      <c r="E4160" s="1539"/>
      <c r="F4160" s="1532"/>
      <c r="G4160" s="1104"/>
      <c r="H4160" s="1106"/>
      <c r="J4160" s="1557"/>
      <c r="K4160" s="1557"/>
      <c r="L4160" s="1557"/>
      <c r="M4160" s="1566"/>
    </row>
    <row r="4161" spans="2:13" s="965" customFormat="1" hidden="1">
      <c r="B4161" s="1543"/>
      <c r="C4161" s="1332" t="s">
        <v>1192</v>
      </c>
      <c r="D4161" s="1539"/>
      <c r="E4161" s="1539" t="s">
        <v>2646</v>
      </c>
      <c r="F4161" s="1532">
        <v>1.4999999999999999E-2</v>
      </c>
      <c r="G4161" s="1104">
        <f>DUB!$I$85</f>
        <v>6250000</v>
      </c>
      <c r="H4161" s="1106">
        <f>G4161*F4161</f>
        <v>93750</v>
      </c>
      <c r="J4161" s="1557"/>
      <c r="K4161" s="1557"/>
      <c r="L4161" s="1557"/>
      <c r="M4161" s="1566"/>
    </row>
    <row r="4162" spans="2:13" s="965" customFormat="1" hidden="1">
      <c r="B4162" s="1543"/>
      <c r="C4162" s="1332" t="s">
        <v>1188</v>
      </c>
      <c r="D4162" s="1540"/>
      <c r="E4162" s="1539" t="s">
        <v>773</v>
      </c>
      <c r="F4162" s="1532">
        <v>0.01</v>
      </c>
      <c r="G4162" s="1213">
        <f>DUB!$I$128</f>
        <v>20441.7</v>
      </c>
      <c r="H4162" s="1106">
        <f>G4162*F4162</f>
        <v>204.417</v>
      </c>
      <c r="J4162" s="1557"/>
      <c r="K4162" s="1557"/>
      <c r="L4162" s="1557"/>
      <c r="M4162" s="1566"/>
    </row>
    <row r="4163" spans="2:13" s="965" customFormat="1" hidden="1">
      <c r="B4163" s="1543"/>
      <c r="C4163" s="1332"/>
      <c r="D4163" s="1540"/>
      <c r="E4163" s="1539"/>
      <c r="F4163" s="2080" t="s">
        <v>702</v>
      </c>
      <c r="G4163" s="2081"/>
      <c r="H4163" s="1106">
        <f>SUM(H4161:H4162)</f>
        <v>93954.417000000001</v>
      </c>
      <c r="J4163" s="1557"/>
      <c r="K4163" s="1557"/>
      <c r="L4163" s="1557"/>
      <c r="M4163" s="1566"/>
    </row>
    <row r="4164" spans="2:13" s="966" customFormat="1" hidden="1">
      <c r="B4164" s="1543" t="s">
        <v>703</v>
      </c>
      <c r="C4164" s="1117" t="s">
        <v>3764</v>
      </c>
      <c r="D4164" s="1120"/>
      <c r="E4164" s="1120"/>
      <c r="F4164" s="1121"/>
      <c r="G4164" s="1141"/>
      <c r="H4164" s="1107">
        <f>H4159+H4163</f>
        <v>391754.41700000002</v>
      </c>
      <c r="J4164" s="1559"/>
      <c r="K4164" s="1559"/>
      <c r="L4164" s="1559"/>
      <c r="M4164" s="1635"/>
    </row>
    <row r="4165" spans="2:13" s="966" customFormat="1" hidden="1">
      <c r="B4165" s="1543" t="s">
        <v>706</v>
      </c>
      <c r="C4165" s="2076" t="s">
        <v>876</v>
      </c>
      <c r="D4165" s="2076"/>
      <c r="E4165" s="2076"/>
      <c r="F4165" s="2077" t="s">
        <v>3873</v>
      </c>
      <c r="G4165" s="2077"/>
      <c r="H4165" s="1107">
        <f>H4164*0.15</f>
        <v>58763.162550000001</v>
      </c>
      <c r="J4165" s="1559"/>
      <c r="K4165" s="1559"/>
      <c r="L4165" s="1559"/>
      <c r="M4165" s="1635"/>
    </row>
    <row r="4166" spans="2:13" s="966" customFormat="1" hidden="1">
      <c r="B4166" s="1543" t="s">
        <v>708</v>
      </c>
      <c r="C4166" s="2078" t="s">
        <v>3765</v>
      </c>
      <c r="D4166" s="2078"/>
      <c r="E4166" s="2078"/>
      <c r="F4166" s="2078"/>
      <c r="G4166" s="2078"/>
      <c r="H4166" s="1107">
        <f>ROUND(SUM(H4164:H4165),2)</f>
        <v>450517.58</v>
      </c>
      <c r="I4166" s="968">
        <f>SUM(H4164:H4165)</f>
        <v>450517.57955000002</v>
      </c>
      <c r="J4166" s="1561"/>
      <c r="K4166" s="1561"/>
      <c r="L4166" s="1559"/>
      <c r="M4166" s="1635"/>
    </row>
    <row r="4167" spans="2:13" s="965" customFormat="1" hidden="1">
      <c r="B4167" s="1095"/>
      <c r="C4167" s="1096"/>
      <c r="D4167" s="1095"/>
      <c r="E4167" s="1095"/>
      <c r="F4167" s="1172"/>
      <c r="G4167" s="1173"/>
      <c r="H4167" s="1133"/>
      <c r="J4167" s="1557"/>
      <c r="K4167" s="1557"/>
      <c r="L4167" s="1557"/>
      <c r="M4167" s="1566"/>
    </row>
    <row r="4168" spans="2:13" s="965" customFormat="1" hidden="1">
      <c r="B4168" s="1100" t="s">
        <v>4077</v>
      </c>
      <c r="C4168" s="1232" t="s">
        <v>4383</v>
      </c>
      <c r="D4168" s="1095"/>
      <c r="E4168" s="1095"/>
      <c r="F4168" s="1172"/>
      <c r="G4168" s="1173"/>
      <c r="H4168" s="1133"/>
      <c r="J4168" s="1557"/>
      <c r="K4168" s="1557"/>
      <c r="L4168" s="1557"/>
      <c r="M4168" s="1566"/>
    </row>
    <row r="4169" spans="2:13" s="967" customFormat="1" ht="24.9" hidden="1" customHeight="1">
      <c r="B4169" s="1748" t="s">
        <v>1003</v>
      </c>
      <c r="C4169" s="1101" t="s">
        <v>1004</v>
      </c>
      <c r="D4169" s="1101" t="s">
        <v>1005</v>
      </c>
      <c r="E4169" s="1101" t="s">
        <v>1006</v>
      </c>
      <c r="F4169" s="1102" t="s">
        <v>1007</v>
      </c>
      <c r="G4169" s="1109" t="s">
        <v>2637</v>
      </c>
      <c r="H4169" s="1110" t="s">
        <v>2638</v>
      </c>
      <c r="J4169" s="1625"/>
      <c r="K4169" s="1625"/>
      <c r="L4169" s="1625"/>
      <c r="M4169" s="1570"/>
    </row>
    <row r="4170" spans="2:13" s="965" customFormat="1" hidden="1">
      <c r="B4170" s="1543" t="s">
        <v>671</v>
      </c>
      <c r="C4170" s="1332" t="s">
        <v>672</v>
      </c>
      <c r="D4170" s="1331"/>
      <c r="E4170" s="1331"/>
      <c r="F4170" s="1334"/>
      <c r="G4170" s="1104"/>
      <c r="H4170" s="1106"/>
      <c r="J4170" s="1557"/>
      <c r="K4170" s="1557"/>
      <c r="L4170" s="1557"/>
      <c r="M4170" s="1566"/>
    </row>
    <row r="4171" spans="2:13" s="965" customFormat="1" hidden="1">
      <c r="B4171" s="1543"/>
      <c r="C4171" s="1332" t="s">
        <v>673</v>
      </c>
      <c r="D4171" s="1331" t="s">
        <v>674</v>
      </c>
      <c r="E4171" s="1331" t="s">
        <v>675</v>
      </c>
      <c r="F4171" s="1334">
        <v>0.1</v>
      </c>
      <c r="G4171" s="1104">
        <f>DUB!$I$10</f>
        <v>150000</v>
      </c>
      <c r="H4171" s="1106">
        <f>G4171*F4171</f>
        <v>15000</v>
      </c>
      <c r="J4171" s="1557"/>
      <c r="K4171" s="1557"/>
      <c r="L4171" s="1557"/>
      <c r="M4171" s="1566"/>
    </row>
    <row r="4172" spans="2:13" s="965" customFormat="1" hidden="1">
      <c r="B4172" s="1543"/>
      <c r="C4172" s="1332" t="s">
        <v>871</v>
      </c>
      <c r="D4172" s="1331" t="s">
        <v>678</v>
      </c>
      <c r="E4172" s="1331" t="s">
        <v>675</v>
      </c>
      <c r="F4172" s="1334">
        <v>0.05</v>
      </c>
      <c r="G4172" s="1104">
        <f>DUB!$I$11</f>
        <v>187000</v>
      </c>
      <c r="H4172" s="1106">
        <f>G4172*F4172</f>
        <v>9350</v>
      </c>
      <c r="J4172" s="1557"/>
      <c r="K4172" s="1557"/>
      <c r="L4172" s="1557"/>
      <c r="M4172" s="1566"/>
    </row>
    <row r="4173" spans="2:13" s="965" customFormat="1" hidden="1">
      <c r="B4173" s="1543"/>
      <c r="C4173" s="1332" t="s">
        <v>751</v>
      </c>
      <c r="D4173" s="1331" t="s">
        <v>681</v>
      </c>
      <c r="E4173" s="1331" t="s">
        <v>675</v>
      </c>
      <c r="F4173" s="1334">
        <v>5.0000000000000001E-3</v>
      </c>
      <c r="G4173" s="1104">
        <f>DUB!$I$13</f>
        <v>240000</v>
      </c>
      <c r="H4173" s="1106">
        <f>G4173*F4173</f>
        <v>1200</v>
      </c>
      <c r="J4173" s="1557"/>
      <c r="K4173" s="1557"/>
      <c r="L4173" s="1557"/>
      <c r="M4173" s="1566"/>
    </row>
    <row r="4174" spans="2:13" s="965" customFormat="1" hidden="1">
      <c r="B4174" s="1543"/>
      <c r="C4174" s="1332" t="s">
        <v>683</v>
      </c>
      <c r="D4174" s="1331" t="s">
        <v>684</v>
      </c>
      <c r="E4174" s="1331" t="s">
        <v>675</v>
      </c>
      <c r="F4174" s="1334">
        <v>5.0000000000000001E-3</v>
      </c>
      <c r="G4174" s="1104">
        <f>DUB!$I$12</f>
        <v>225000</v>
      </c>
      <c r="H4174" s="1106">
        <f>G4174*F4174</f>
        <v>1125</v>
      </c>
      <c r="J4174" s="1557"/>
      <c r="K4174" s="1557"/>
      <c r="L4174" s="1557"/>
      <c r="M4174" s="1566"/>
    </row>
    <row r="4175" spans="2:13" s="965" customFormat="1" hidden="1">
      <c r="B4175" s="1543"/>
      <c r="C4175" s="1332"/>
      <c r="D4175" s="1331"/>
      <c r="E4175" s="1331"/>
      <c r="F4175" s="2074" t="s">
        <v>685</v>
      </c>
      <c r="G4175" s="2074"/>
      <c r="H4175" s="1106">
        <f>SUM(H4171:H4174)</f>
        <v>26675</v>
      </c>
      <c r="J4175" s="1557"/>
      <c r="K4175" s="1557"/>
      <c r="L4175" s="1557"/>
      <c r="M4175" s="1566"/>
    </row>
    <row r="4176" spans="2:13" s="965" customFormat="1" hidden="1">
      <c r="B4176" s="1543" t="s">
        <v>686</v>
      </c>
      <c r="C4176" s="1332" t="s">
        <v>687</v>
      </c>
      <c r="D4176" s="1331"/>
      <c r="E4176" s="1331"/>
      <c r="F4176" s="1334"/>
      <c r="G4176" s="1104"/>
      <c r="H4176" s="1106"/>
      <c r="J4176" s="1557"/>
      <c r="K4176" s="1557"/>
      <c r="L4176" s="1557"/>
      <c r="M4176" s="1566"/>
    </row>
    <row r="4177" spans="2:13" s="965" customFormat="1" hidden="1">
      <c r="B4177" s="1543"/>
      <c r="C4177" s="1332" t="s">
        <v>1193</v>
      </c>
      <c r="D4177" s="1331"/>
      <c r="E4177" s="1331" t="s">
        <v>888</v>
      </c>
      <c r="F4177" s="1334">
        <v>0.36399999999999999</v>
      </c>
      <c r="G4177" s="1104">
        <f>DUB!$I$281</f>
        <v>77373</v>
      </c>
      <c r="H4177" s="1106">
        <f>G4177*F4177</f>
        <v>28163.772000000001</v>
      </c>
      <c r="J4177" s="1557"/>
      <c r="K4177" s="1557"/>
      <c r="L4177" s="1557"/>
      <c r="M4177" s="1566"/>
    </row>
    <row r="4178" spans="2:13" s="965" customFormat="1" hidden="1">
      <c r="B4178" s="1543"/>
      <c r="C4178" s="1332" t="s">
        <v>1194</v>
      </c>
      <c r="D4178" s="1331"/>
      <c r="E4178" s="1331" t="s">
        <v>773</v>
      </c>
      <c r="F4178" s="1334">
        <v>0.11</v>
      </c>
      <c r="G4178" s="1104">
        <f>DUB!$I$129</f>
        <v>155400</v>
      </c>
      <c r="H4178" s="1106">
        <f>G4178*F4178</f>
        <v>17094</v>
      </c>
      <c r="J4178" s="1557"/>
      <c r="K4178" s="1557"/>
      <c r="L4178" s="1557"/>
      <c r="M4178" s="1566"/>
    </row>
    <row r="4179" spans="2:13" s="965" customFormat="1" hidden="1">
      <c r="B4179" s="1543"/>
      <c r="C4179" s="1332"/>
      <c r="D4179" s="1331"/>
      <c r="E4179" s="1331"/>
      <c r="F4179" s="2090" t="s">
        <v>702</v>
      </c>
      <c r="G4179" s="2090"/>
      <c r="H4179" s="1106">
        <f>SUM(H4177:H4178)</f>
        <v>45257.771999999997</v>
      </c>
      <c r="J4179" s="1557"/>
      <c r="K4179" s="1557"/>
      <c r="L4179" s="1557"/>
      <c r="M4179" s="1566"/>
    </row>
    <row r="4180" spans="2:13" s="966" customFormat="1" hidden="1">
      <c r="B4180" s="1543" t="s">
        <v>703</v>
      </c>
      <c r="C4180" s="2089" t="s">
        <v>3764</v>
      </c>
      <c r="D4180" s="2089"/>
      <c r="E4180" s="2089"/>
      <c r="F4180" s="2089"/>
      <c r="G4180" s="2089"/>
      <c r="H4180" s="1107">
        <f>H4175+H4179</f>
        <v>71932.771999999997</v>
      </c>
      <c r="J4180" s="1559"/>
      <c r="K4180" s="1559"/>
      <c r="L4180" s="1559"/>
      <c r="M4180" s="1635"/>
    </row>
    <row r="4181" spans="2:13" s="966" customFormat="1" hidden="1">
      <c r="B4181" s="1543" t="s">
        <v>706</v>
      </c>
      <c r="C4181" s="2076" t="s">
        <v>876</v>
      </c>
      <c r="D4181" s="2076"/>
      <c r="E4181" s="2076"/>
      <c r="F4181" s="2077" t="s">
        <v>3873</v>
      </c>
      <c r="G4181" s="2077"/>
      <c r="H4181" s="1107">
        <f>H4180*0.15</f>
        <v>10789.915799999999</v>
      </c>
      <c r="J4181" s="1559"/>
      <c r="K4181" s="1559"/>
      <c r="L4181" s="1559"/>
      <c r="M4181" s="1635"/>
    </row>
    <row r="4182" spans="2:13" s="966" customFormat="1" hidden="1">
      <c r="B4182" s="1543" t="s">
        <v>708</v>
      </c>
      <c r="C4182" s="2078" t="s">
        <v>3765</v>
      </c>
      <c r="D4182" s="2078"/>
      <c r="E4182" s="2078"/>
      <c r="F4182" s="2078"/>
      <c r="G4182" s="2078"/>
      <c r="H4182" s="1107">
        <f>ROUND(SUM(H4180:H4181),2)</f>
        <v>82722.69</v>
      </c>
      <c r="I4182" s="968">
        <f>SUM(H4180:H4181)</f>
        <v>82722.6878</v>
      </c>
      <c r="J4182" s="1561"/>
      <c r="K4182" s="1561"/>
      <c r="L4182" s="1559"/>
      <c r="M4182" s="1635"/>
    </row>
    <row r="4183" spans="2:13" s="965" customFormat="1" hidden="1">
      <c r="B4183" s="1129"/>
      <c r="C4183" s="1130"/>
      <c r="D4183" s="1129"/>
      <c r="E4183" s="1130"/>
      <c r="F4183" s="1131"/>
      <c r="G4183" s="1132"/>
      <c r="H4183" s="1133"/>
      <c r="I4183" s="969"/>
      <c r="J4183" s="1562"/>
      <c r="K4183" s="1562"/>
      <c r="L4183" s="1557"/>
      <c r="M4183" s="1566"/>
    </row>
    <row r="4184" spans="2:13" s="965" customFormat="1" hidden="1">
      <c r="B4184" s="1100" t="s">
        <v>4381</v>
      </c>
      <c r="C4184" s="1232" t="s">
        <v>4382</v>
      </c>
      <c r="D4184" s="1095"/>
      <c r="E4184" s="1095"/>
      <c r="F4184" s="1172"/>
      <c r="G4184" s="1173"/>
      <c r="H4184" s="1133"/>
      <c r="J4184" s="1557"/>
      <c r="K4184" s="1557"/>
      <c r="L4184" s="1557"/>
      <c r="M4184" s="1566"/>
    </row>
    <row r="4185" spans="2:13" s="967" customFormat="1" ht="24.9" hidden="1" customHeight="1">
      <c r="B4185" s="1748" t="s">
        <v>1003</v>
      </c>
      <c r="C4185" s="1101" t="s">
        <v>1004</v>
      </c>
      <c r="D4185" s="1101" t="s">
        <v>1005</v>
      </c>
      <c r="E4185" s="1101" t="s">
        <v>1006</v>
      </c>
      <c r="F4185" s="1102" t="s">
        <v>1007</v>
      </c>
      <c r="G4185" s="1109" t="s">
        <v>2637</v>
      </c>
      <c r="H4185" s="1110" t="s">
        <v>2638</v>
      </c>
      <c r="J4185" s="1625"/>
      <c r="K4185" s="1625"/>
      <c r="L4185" s="1625"/>
      <c r="M4185" s="1570"/>
    </row>
    <row r="4186" spans="2:13" s="965" customFormat="1" hidden="1">
      <c r="B4186" s="1543" t="s">
        <v>671</v>
      </c>
      <c r="C4186" s="1332" t="s">
        <v>672</v>
      </c>
      <c r="D4186" s="1331"/>
      <c r="E4186" s="1331"/>
      <c r="F4186" s="1334"/>
      <c r="G4186" s="1104"/>
      <c r="H4186" s="1106"/>
      <c r="J4186" s="1557"/>
      <c r="K4186" s="1557"/>
      <c r="L4186" s="1557"/>
      <c r="M4186" s="1566"/>
    </row>
    <row r="4187" spans="2:13" s="965" customFormat="1" hidden="1">
      <c r="B4187" s="1543"/>
      <c r="C4187" s="1332" t="s">
        <v>673</v>
      </c>
      <c r="D4187" s="1331" t="s">
        <v>674</v>
      </c>
      <c r="E4187" s="1331" t="s">
        <v>675</v>
      </c>
      <c r="F4187" s="1334">
        <v>0.1</v>
      </c>
      <c r="G4187" s="1104">
        <f>DUB!$I$10</f>
        <v>150000</v>
      </c>
      <c r="H4187" s="1106">
        <f>G4187*F4187</f>
        <v>15000</v>
      </c>
      <c r="J4187" s="1557"/>
      <c r="K4187" s="1557"/>
      <c r="L4187" s="1557"/>
      <c r="M4187" s="1566"/>
    </row>
    <row r="4188" spans="2:13" s="965" customFormat="1" hidden="1">
      <c r="B4188" s="1543"/>
      <c r="C4188" s="1332" t="s">
        <v>871</v>
      </c>
      <c r="D4188" s="1331" t="s">
        <v>678</v>
      </c>
      <c r="E4188" s="1331" t="s">
        <v>675</v>
      </c>
      <c r="F4188" s="1334">
        <v>0.05</v>
      </c>
      <c r="G4188" s="1104">
        <f>DUB!$I$11</f>
        <v>187000</v>
      </c>
      <c r="H4188" s="1106">
        <f>G4188*F4188</f>
        <v>9350</v>
      </c>
      <c r="J4188" s="1557"/>
      <c r="K4188" s="1557"/>
      <c r="L4188" s="1557"/>
      <c r="M4188" s="1566"/>
    </row>
    <row r="4189" spans="2:13" s="965" customFormat="1" hidden="1">
      <c r="B4189" s="1543"/>
      <c r="C4189" s="1332" t="s">
        <v>751</v>
      </c>
      <c r="D4189" s="1331" t="s">
        <v>681</v>
      </c>
      <c r="E4189" s="1331" t="s">
        <v>675</v>
      </c>
      <c r="F4189" s="1334">
        <v>5.0000000000000001E-3</v>
      </c>
      <c r="G4189" s="1104">
        <f>DUB!$I$13</f>
        <v>240000</v>
      </c>
      <c r="H4189" s="1106">
        <f>G4189*F4189</f>
        <v>1200</v>
      </c>
      <c r="J4189" s="1557"/>
      <c r="K4189" s="1557"/>
      <c r="L4189" s="1557"/>
      <c r="M4189" s="1566"/>
    </row>
    <row r="4190" spans="2:13" s="965" customFormat="1" hidden="1">
      <c r="B4190" s="1543"/>
      <c r="C4190" s="1332" t="s">
        <v>683</v>
      </c>
      <c r="D4190" s="1331" t="s">
        <v>684</v>
      </c>
      <c r="E4190" s="1331" t="s">
        <v>675</v>
      </c>
      <c r="F4190" s="1334">
        <v>5.0000000000000001E-3</v>
      </c>
      <c r="G4190" s="1104">
        <f>DUB!$I$12</f>
        <v>225000</v>
      </c>
      <c r="H4190" s="1106">
        <f>G4190*F4190</f>
        <v>1125</v>
      </c>
      <c r="J4190" s="1557"/>
      <c r="K4190" s="1557"/>
      <c r="L4190" s="1557"/>
      <c r="M4190" s="1566"/>
    </row>
    <row r="4191" spans="2:13" s="965" customFormat="1" hidden="1">
      <c r="B4191" s="1543"/>
      <c r="C4191" s="1332"/>
      <c r="D4191" s="1331"/>
      <c r="E4191" s="1331"/>
      <c r="F4191" s="2074" t="s">
        <v>685</v>
      </c>
      <c r="G4191" s="2074"/>
      <c r="H4191" s="1106">
        <f>SUM(H4187:H4190)</f>
        <v>26675</v>
      </c>
      <c r="J4191" s="1557"/>
      <c r="K4191" s="1557"/>
      <c r="L4191" s="1557"/>
      <c r="M4191" s="1566"/>
    </row>
    <row r="4192" spans="2:13" s="965" customFormat="1" hidden="1">
      <c r="B4192" s="1543" t="s">
        <v>686</v>
      </c>
      <c r="C4192" s="1332" t="s">
        <v>687</v>
      </c>
      <c r="D4192" s="1331"/>
      <c r="E4192" s="1331"/>
      <c r="F4192" s="1334"/>
      <c r="G4192" s="1104"/>
      <c r="H4192" s="1106"/>
      <c r="J4192" s="1557"/>
      <c r="K4192" s="1557"/>
      <c r="L4192" s="1557"/>
      <c r="M4192" s="1566"/>
    </row>
    <row r="4193" spans="2:13" s="965" customFormat="1" hidden="1">
      <c r="B4193" s="1543"/>
      <c r="C4193" s="1332" t="s">
        <v>3424</v>
      </c>
      <c r="D4193" s="1331"/>
      <c r="E4193" s="1331" t="s">
        <v>888</v>
      </c>
      <c r="F4193" s="1334">
        <v>0.36399999999999999</v>
      </c>
      <c r="G4193" s="1104">
        <f>DUB!$I$304</f>
        <v>109242</v>
      </c>
      <c r="H4193" s="1106">
        <f>G4193*F4193</f>
        <v>39764.087999999996</v>
      </c>
      <c r="J4193" s="1557"/>
      <c r="K4193" s="1557"/>
      <c r="L4193" s="1557"/>
      <c r="M4193" s="1566"/>
    </row>
    <row r="4194" spans="2:13" s="965" customFormat="1" hidden="1">
      <c r="B4194" s="1543"/>
      <c r="C4194" s="1332" t="s">
        <v>1194</v>
      </c>
      <c r="D4194" s="1331"/>
      <c r="E4194" s="1331" t="s">
        <v>773</v>
      </c>
      <c r="F4194" s="1334">
        <v>0.11</v>
      </c>
      <c r="G4194" s="1104">
        <f>DUB!$I$129</f>
        <v>155400</v>
      </c>
      <c r="H4194" s="1106">
        <f>G4194*F4194</f>
        <v>17094</v>
      </c>
      <c r="J4194" s="1557"/>
      <c r="K4194" s="1557"/>
      <c r="L4194" s="1557"/>
      <c r="M4194" s="1566"/>
    </row>
    <row r="4195" spans="2:13" s="965" customFormat="1" hidden="1">
      <c r="B4195" s="1543"/>
      <c r="C4195" s="1125"/>
      <c r="D4195" s="1333"/>
      <c r="E4195" s="1333"/>
      <c r="F4195" s="2074" t="s">
        <v>702</v>
      </c>
      <c r="G4195" s="2074"/>
      <c r="H4195" s="1106">
        <f>SUM(H4193:H4194)</f>
        <v>56858.087999999996</v>
      </c>
      <c r="J4195" s="1557"/>
      <c r="K4195" s="1557"/>
      <c r="L4195" s="1557"/>
      <c r="M4195" s="1566"/>
    </row>
    <row r="4196" spans="2:13" s="966" customFormat="1" hidden="1">
      <c r="B4196" s="1543" t="s">
        <v>703</v>
      </c>
      <c r="C4196" s="2075" t="s">
        <v>3764</v>
      </c>
      <c r="D4196" s="2075"/>
      <c r="E4196" s="2075"/>
      <c r="F4196" s="2075"/>
      <c r="G4196" s="2075"/>
      <c r="H4196" s="1107">
        <f>H4191+H4195</f>
        <v>83533.087999999989</v>
      </c>
      <c r="J4196" s="1559"/>
      <c r="K4196" s="1559"/>
      <c r="L4196" s="1559"/>
      <c r="M4196" s="1635"/>
    </row>
    <row r="4197" spans="2:13" s="966" customFormat="1" hidden="1">
      <c r="B4197" s="1543" t="s">
        <v>706</v>
      </c>
      <c r="C4197" s="2076" t="s">
        <v>876</v>
      </c>
      <c r="D4197" s="2076"/>
      <c r="E4197" s="2076"/>
      <c r="F4197" s="2077" t="s">
        <v>3873</v>
      </c>
      <c r="G4197" s="2077"/>
      <c r="H4197" s="1107">
        <f>H4196*0.15</f>
        <v>12529.963199999998</v>
      </c>
      <c r="J4197" s="1559"/>
      <c r="K4197" s="1559"/>
      <c r="L4197" s="1559"/>
      <c r="M4197" s="1635"/>
    </row>
    <row r="4198" spans="2:13" s="966" customFormat="1" hidden="1">
      <c r="B4198" s="1543" t="s">
        <v>708</v>
      </c>
      <c r="C4198" s="2078" t="s">
        <v>3765</v>
      </c>
      <c r="D4198" s="2078"/>
      <c r="E4198" s="2078"/>
      <c r="F4198" s="2078"/>
      <c r="G4198" s="2078"/>
      <c r="H4198" s="1107">
        <f>ROUND(SUM(H4196:H4197),2)</f>
        <v>96063.05</v>
      </c>
      <c r="I4198" s="968">
        <f>SUM(H4196:H4197)</f>
        <v>96063.051199999987</v>
      </c>
      <c r="J4198" s="1561"/>
      <c r="K4198" s="1561"/>
      <c r="L4198" s="1559"/>
      <c r="M4198" s="1635"/>
    </row>
    <row r="4199" spans="2:13" s="965" customFormat="1" hidden="1">
      <c r="B4199" s="1129"/>
      <c r="C4199" s="1130"/>
      <c r="D4199" s="1129"/>
      <c r="E4199" s="1130"/>
      <c r="F4199" s="1131"/>
      <c r="G4199" s="1132"/>
      <c r="H4199" s="1133"/>
      <c r="I4199" s="969"/>
      <c r="J4199" s="1562"/>
      <c r="K4199" s="1562"/>
      <c r="L4199" s="1557"/>
      <c r="M4199" s="1566"/>
    </row>
    <row r="4200" spans="2:13" s="965" customFormat="1" hidden="1">
      <c r="B4200" s="1129"/>
      <c r="C4200" s="1130"/>
      <c r="D4200" s="1129"/>
      <c r="E4200" s="1130"/>
      <c r="F4200" s="1131"/>
      <c r="G4200" s="1132"/>
      <c r="H4200" s="1133"/>
      <c r="I4200" s="969"/>
      <c r="J4200" s="1562"/>
      <c r="K4200" s="1562"/>
      <c r="L4200" s="1557"/>
      <c r="M4200" s="1566"/>
    </row>
    <row r="4201" spans="2:13">
      <c r="B4201" s="1100" t="s">
        <v>4078</v>
      </c>
      <c r="C4201" s="1232" t="s">
        <v>4386</v>
      </c>
      <c r="F4201" s="1172"/>
      <c r="G4201" s="1173"/>
      <c r="H4201" s="1133"/>
      <c r="I4201" s="526"/>
      <c r="J4201" s="1562"/>
      <c r="K4201" s="1562"/>
      <c r="M4201" s="1566"/>
    </row>
    <row r="4202" spans="2:13" ht="24.9" customHeight="1">
      <c r="B4202" s="1101" t="s">
        <v>1003</v>
      </c>
      <c r="C4202" s="1101" t="s">
        <v>1004</v>
      </c>
      <c r="D4202" s="1101" t="s">
        <v>1005</v>
      </c>
      <c r="E4202" s="1101" t="s">
        <v>1006</v>
      </c>
      <c r="F4202" s="1102" t="s">
        <v>1007</v>
      </c>
      <c r="G4202" s="1109" t="s">
        <v>2637</v>
      </c>
      <c r="H4202" s="1110" t="s">
        <v>2638</v>
      </c>
      <c r="I4202" s="1845"/>
      <c r="J4202" s="1823" t="s">
        <v>5335</v>
      </c>
      <c r="K4202" s="1824" t="s">
        <v>5336</v>
      </c>
      <c r="L4202" s="1824" t="s">
        <v>5337</v>
      </c>
      <c r="M4202" s="1825" t="s">
        <v>5338</v>
      </c>
    </row>
    <row r="4203" spans="2:13">
      <c r="B4203" s="1330" t="s">
        <v>671</v>
      </c>
      <c r="C4203" s="1332" t="s">
        <v>672</v>
      </c>
      <c r="D4203" s="1331"/>
      <c r="E4203" s="1331"/>
      <c r="F4203" s="1334"/>
      <c r="G4203" s="1104"/>
      <c r="H4203" s="1106"/>
      <c r="I4203" s="526"/>
      <c r="J4203" s="1597"/>
      <c r="K4203" s="1597"/>
      <c r="L4203" s="1597"/>
      <c r="M4203" s="1826"/>
    </row>
    <row r="4204" spans="2:13">
      <c r="B4204" s="1330"/>
      <c r="C4204" s="1332" t="s">
        <v>673</v>
      </c>
      <c r="D4204" s="1331" t="s">
        <v>674</v>
      </c>
      <c r="E4204" s="1331" t="s">
        <v>675</v>
      </c>
      <c r="F4204" s="1334">
        <v>0.1</v>
      </c>
      <c r="G4204" s="1104">
        <f>DUB!$I$10</f>
        <v>150000</v>
      </c>
      <c r="H4204" s="1106">
        <f>G4204*F4204</f>
        <v>15000</v>
      </c>
      <c r="I4204" s="526"/>
      <c r="J4204" s="1609" t="s">
        <v>5339</v>
      </c>
      <c r="K4204" s="1611">
        <v>1</v>
      </c>
      <c r="L4204" s="1608" t="s">
        <v>5340</v>
      </c>
      <c r="M4204" s="1827">
        <f>H4204*K4204</f>
        <v>15000</v>
      </c>
    </row>
    <row r="4205" spans="2:13">
      <c r="B4205" s="1330"/>
      <c r="C4205" s="1332" t="s">
        <v>4387</v>
      </c>
      <c r="D4205" s="1331" t="s">
        <v>678</v>
      </c>
      <c r="E4205" s="1331" t="s">
        <v>675</v>
      </c>
      <c r="F4205" s="1334">
        <v>0.05</v>
      </c>
      <c r="G4205" s="1104">
        <f>DUB!$I$11</f>
        <v>187000</v>
      </c>
      <c r="H4205" s="1106">
        <f>G4205*F4205</f>
        <v>9350</v>
      </c>
      <c r="I4205" s="526"/>
      <c r="J4205" s="1609" t="s">
        <v>5339</v>
      </c>
      <c r="K4205" s="1611">
        <v>1</v>
      </c>
      <c r="L4205" s="1608" t="s">
        <v>5340</v>
      </c>
      <c r="M4205" s="1827">
        <f t="shared" ref="M4205" si="118">H4205*K4205</f>
        <v>9350</v>
      </c>
    </row>
    <row r="4206" spans="2:13">
      <c r="B4206" s="1330"/>
      <c r="C4206" s="1332" t="s">
        <v>751</v>
      </c>
      <c r="D4206" s="1331" t="s">
        <v>681</v>
      </c>
      <c r="E4206" s="1331" t="s">
        <v>675</v>
      </c>
      <c r="F4206" s="1334">
        <v>5.0000000000000001E-3</v>
      </c>
      <c r="G4206" s="1104">
        <f>DUB!$I$13</f>
        <v>240000</v>
      </c>
      <c r="H4206" s="1106">
        <f>G4206*F4206</f>
        <v>1200</v>
      </c>
      <c r="I4206" s="526"/>
      <c r="J4206" s="1609" t="s">
        <v>5339</v>
      </c>
      <c r="K4206" s="1611">
        <v>1</v>
      </c>
      <c r="L4206" s="1608" t="s">
        <v>5340</v>
      </c>
      <c r="M4206" s="1827">
        <f>H4206*K4206</f>
        <v>1200</v>
      </c>
    </row>
    <row r="4207" spans="2:13">
      <c r="B4207" s="1330"/>
      <c r="C4207" s="1332" t="s">
        <v>683</v>
      </c>
      <c r="D4207" s="1331" t="s">
        <v>684</v>
      </c>
      <c r="E4207" s="1331" t="s">
        <v>675</v>
      </c>
      <c r="F4207" s="1334">
        <v>5.0000000000000001E-3</v>
      </c>
      <c r="G4207" s="1104">
        <f>DUB!$I$12</f>
        <v>225000</v>
      </c>
      <c r="H4207" s="1106">
        <f>G4207*F4207</f>
        <v>1125</v>
      </c>
      <c r="I4207" s="526"/>
      <c r="J4207" s="1609" t="s">
        <v>5339</v>
      </c>
      <c r="K4207" s="1611">
        <v>1</v>
      </c>
      <c r="L4207" s="1608" t="s">
        <v>5340</v>
      </c>
      <c r="M4207" s="1827">
        <f t="shared" ref="M4207" si="119">H4207*K4207</f>
        <v>1125</v>
      </c>
    </row>
    <row r="4208" spans="2:13">
      <c r="B4208" s="1330"/>
      <c r="C4208" s="1332"/>
      <c r="D4208" s="1331"/>
      <c r="E4208" s="1331"/>
      <c r="F4208" s="2074" t="s">
        <v>685</v>
      </c>
      <c r="G4208" s="2074"/>
      <c r="H4208" s="1106">
        <f>SUM(H4204:H4207)</f>
        <v>26675</v>
      </c>
      <c r="I4208" s="526"/>
      <c r="J4208" s="1597"/>
      <c r="K4208" s="1597"/>
      <c r="L4208" s="1597"/>
      <c r="M4208" s="1107">
        <f>SUM(M4204:M4207)</f>
        <v>26675</v>
      </c>
    </row>
    <row r="4209" spans="2:13">
      <c r="B4209" s="1330" t="s">
        <v>686</v>
      </c>
      <c r="C4209" s="1332" t="s">
        <v>687</v>
      </c>
      <c r="D4209" s="1331"/>
      <c r="E4209" s="1331"/>
      <c r="F4209" s="1334"/>
      <c r="G4209" s="1104"/>
      <c r="H4209" s="1106"/>
      <c r="I4209" s="526"/>
      <c r="J4209" s="1634"/>
      <c r="K4209" s="1611"/>
      <c r="L4209" s="1607"/>
      <c r="M4209" s="1827"/>
    </row>
    <row r="4210" spans="2:13">
      <c r="B4210" s="1330"/>
      <c r="C4210" s="1332" t="s">
        <v>4384</v>
      </c>
      <c r="D4210" s="1331"/>
      <c r="E4210" s="1331" t="s">
        <v>2647</v>
      </c>
      <c r="F4210" s="1334">
        <v>1.05</v>
      </c>
      <c r="G4210" s="1104">
        <f>DUB!$I$284</f>
        <v>134946</v>
      </c>
      <c r="H4210" s="1106">
        <f>G4210*F4210</f>
        <v>141693.30000000002</v>
      </c>
      <c r="I4210" s="526"/>
      <c r="J4210" s="1642" t="s">
        <v>4925</v>
      </c>
      <c r="K4210" s="1611">
        <v>0.5071</v>
      </c>
      <c r="L4210" s="1607" t="s">
        <v>5343</v>
      </c>
      <c r="M4210" s="1827">
        <f t="shared" ref="M4210:M4211" si="120">H4210*K4210</f>
        <v>71852.672430000006</v>
      </c>
    </row>
    <row r="4211" spans="2:13">
      <c r="B4211" s="1330"/>
      <c r="C4211" s="1332" t="s">
        <v>1194</v>
      </c>
      <c r="D4211" s="1331"/>
      <c r="E4211" s="1331" t="s">
        <v>773</v>
      </c>
      <c r="F4211" s="1334">
        <v>0.11</v>
      </c>
      <c r="G4211" s="1104">
        <f>DUB!$I$129</f>
        <v>155400</v>
      </c>
      <c r="H4211" s="1106">
        <f>G4211*F4211</f>
        <v>17094</v>
      </c>
      <c r="I4211" s="526"/>
      <c r="J4211" s="1642" t="s">
        <v>4925</v>
      </c>
      <c r="K4211" s="1611">
        <v>0.60250000000000004</v>
      </c>
      <c r="L4211" s="1607" t="s">
        <v>5343</v>
      </c>
      <c r="M4211" s="1827">
        <f t="shared" si="120"/>
        <v>10299.135</v>
      </c>
    </row>
    <row r="4212" spans="2:13">
      <c r="B4212" s="1330"/>
      <c r="C4212" s="1125"/>
      <c r="D4212" s="1333"/>
      <c r="E4212" s="1333"/>
      <c r="F4212" s="2074" t="s">
        <v>702</v>
      </c>
      <c r="G4212" s="2074"/>
      <c r="H4212" s="1106">
        <f>SUM(H4210:H4211)</f>
        <v>158787.30000000002</v>
      </c>
      <c r="I4212" s="526"/>
      <c r="J4212" s="1597"/>
      <c r="K4212" s="1597"/>
      <c r="L4212" s="1597"/>
      <c r="M4212" s="1106">
        <f>SUM(M4210:M4211)</f>
        <v>82151.807430000001</v>
      </c>
    </row>
    <row r="4213" spans="2:13">
      <c r="B4213" s="1330" t="s">
        <v>703</v>
      </c>
      <c r="C4213" s="2075" t="s">
        <v>3764</v>
      </c>
      <c r="D4213" s="2075"/>
      <c r="E4213" s="2075"/>
      <c r="F4213" s="2075"/>
      <c r="G4213" s="2075"/>
      <c r="H4213" s="1107">
        <f>H4208+H4212</f>
        <v>185462.30000000002</v>
      </c>
      <c r="I4213" s="526"/>
      <c r="J4213" s="1600"/>
      <c r="K4213" s="1633">
        <f>M4213/H4213</f>
        <v>0.58678668079712148</v>
      </c>
      <c r="L4213" s="1600"/>
      <c r="M4213" s="1107">
        <f>M4208+M4212</f>
        <v>108826.80743</v>
      </c>
    </row>
    <row r="4214" spans="2:13">
      <c r="B4214" s="1330" t="s">
        <v>706</v>
      </c>
      <c r="C4214" s="2076" t="s">
        <v>876</v>
      </c>
      <c r="D4214" s="2076"/>
      <c r="E4214" s="2076"/>
      <c r="F4214" s="2077" t="s">
        <v>3873</v>
      </c>
      <c r="G4214" s="2077"/>
      <c r="H4214" s="1107">
        <f>H4213*0.15</f>
        <v>27819.345000000001</v>
      </c>
      <c r="I4214" s="526"/>
      <c r="J4214" s="1600"/>
      <c r="K4214" s="1600"/>
      <c r="L4214" s="1600"/>
      <c r="M4214" s="1107">
        <f>M4213*0.15</f>
        <v>16324.021114499999</v>
      </c>
    </row>
    <row r="4215" spans="2:13">
      <c r="B4215" s="1330" t="s">
        <v>708</v>
      </c>
      <c r="C4215" s="2078" t="s">
        <v>3765</v>
      </c>
      <c r="D4215" s="2078"/>
      <c r="E4215" s="2078"/>
      <c r="F4215" s="2078"/>
      <c r="G4215" s="2078"/>
      <c r="H4215" s="1107">
        <f>ROUND(SUM(H4213:H4214),2)</f>
        <v>213281.65</v>
      </c>
      <c r="I4215" s="506">
        <f>SUM(H4213:H4214)</f>
        <v>213281.64500000002</v>
      </c>
      <c r="J4215" s="1636"/>
      <c r="K4215" s="1636"/>
      <c r="L4215" s="1637"/>
      <c r="M4215" s="1107">
        <f>ROUND(SUM(M4213:M4214),2)</f>
        <v>125150.83</v>
      </c>
    </row>
    <row r="4216" spans="2:13">
      <c r="B4216" s="1129"/>
      <c r="C4216" s="1130"/>
      <c r="D4216" s="1129"/>
      <c r="E4216" s="1130"/>
      <c r="F4216" s="1131"/>
      <c r="G4216" s="1132"/>
      <c r="H4216" s="1133"/>
      <c r="I4216" s="526"/>
      <c r="J4216" s="1562"/>
      <c r="K4216" s="1562"/>
      <c r="M4216" s="1566"/>
    </row>
    <row r="4217" spans="2:13" hidden="1">
      <c r="B4217" s="1100" t="s">
        <v>4079</v>
      </c>
      <c r="C4217" s="1232" t="s">
        <v>4385</v>
      </c>
      <c r="F4217" s="1172"/>
      <c r="G4217" s="1173"/>
      <c r="H4217" s="1133"/>
      <c r="I4217" s="526"/>
      <c r="J4217" s="1562"/>
      <c r="K4217" s="1562"/>
      <c r="M4217" s="1566"/>
    </row>
    <row r="4218" spans="2:13" ht="24.9" hidden="1" customHeight="1">
      <c r="B4218" s="1748" t="s">
        <v>1003</v>
      </c>
      <c r="C4218" s="1101" t="s">
        <v>1004</v>
      </c>
      <c r="D4218" s="1101" t="s">
        <v>1005</v>
      </c>
      <c r="E4218" s="1101" t="s">
        <v>1006</v>
      </c>
      <c r="F4218" s="1102" t="s">
        <v>1007</v>
      </c>
      <c r="G4218" s="1109" t="s">
        <v>2637</v>
      </c>
      <c r="H4218" s="1110" t="s">
        <v>2638</v>
      </c>
      <c r="I4218" s="526"/>
      <c r="J4218" s="1562"/>
      <c r="K4218" s="1562"/>
      <c r="M4218" s="1566"/>
    </row>
    <row r="4219" spans="2:13" hidden="1">
      <c r="B4219" s="1543" t="s">
        <v>671</v>
      </c>
      <c r="C4219" s="1332" t="s">
        <v>672</v>
      </c>
      <c r="D4219" s="1331"/>
      <c r="E4219" s="1331"/>
      <c r="F4219" s="1334"/>
      <c r="G4219" s="1104"/>
      <c r="H4219" s="1106"/>
      <c r="I4219" s="526"/>
      <c r="J4219" s="1562"/>
      <c r="K4219" s="1562"/>
      <c r="M4219" s="1566"/>
    </row>
    <row r="4220" spans="2:13" hidden="1">
      <c r="B4220" s="1543"/>
      <c r="C4220" s="1332" t="s">
        <v>673</v>
      </c>
      <c r="D4220" s="1331" t="s">
        <v>674</v>
      </c>
      <c r="E4220" s="1331" t="s">
        <v>675</v>
      </c>
      <c r="F4220" s="1334">
        <v>0.1</v>
      </c>
      <c r="G4220" s="1104">
        <f>DUB!$I$10</f>
        <v>150000</v>
      </c>
      <c r="H4220" s="1106">
        <f>G4220*F4220</f>
        <v>15000</v>
      </c>
      <c r="I4220" s="526"/>
      <c r="J4220" s="1562"/>
      <c r="K4220" s="1562"/>
      <c r="M4220" s="1566"/>
    </row>
    <row r="4221" spans="2:13" hidden="1">
      <c r="B4221" s="1543"/>
      <c r="C4221" s="1332" t="s">
        <v>4387</v>
      </c>
      <c r="D4221" s="1331" t="s">
        <v>678</v>
      </c>
      <c r="E4221" s="1331" t="s">
        <v>675</v>
      </c>
      <c r="F4221" s="1334">
        <v>0.05</v>
      </c>
      <c r="G4221" s="1104">
        <f>DUB!$I$11</f>
        <v>187000</v>
      </c>
      <c r="H4221" s="1106">
        <f>G4221*F4221</f>
        <v>9350</v>
      </c>
      <c r="I4221" s="526"/>
      <c r="J4221" s="1562"/>
      <c r="K4221" s="1562"/>
      <c r="M4221" s="1566"/>
    </row>
    <row r="4222" spans="2:13" hidden="1">
      <c r="B4222" s="1543"/>
      <c r="C4222" s="1332" t="s">
        <v>751</v>
      </c>
      <c r="D4222" s="1331" t="s">
        <v>681</v>
      </c>
      <c r="E4222" s="1331" t="s">
        <v>675</v>
      </c>
      <c r="F4222" s="1334">
        <v>5.0000000000000001E-3</v>
      </c>
      <c r="G4222" s="1104">
        <f>DUB!$I$13</f>
        <v>240000</v>
      </c>
      <c r="H4222" s="1106">
        <f>G4222*F4222</f>
        <v>1200</v>
      </c>
      <c r="I4222" s="526"/>
      <c r="J4222" s="1562"/>
      <c r="K4222" s="1562"/>
      <c r="M4222" s="1566"/>
    </row>
    <row r="4223" spans="2:13" hidden="1">
      <c r="B4223" s="1543"/>
      <c r="C4223" s="1332" t="s">
        <v>683</v>
      </c>
      <c r="D4223" s="1331" t="s">
        <v>684</v>
      </c>
      <c r="E4223" s="1331" t="s">
        <v>675</v>
      </c>
      <c r="F4223" s="1334">
        <v>5.0000000000000001E-3</v>
      </c>
      <c r="G4223" s="1104">
        <f>DUB!$I$12</f>
        <v>225000</v>
      </c>
      <c r="H4223" s="1106">
        <f>G4223*F4223</f>
        <v>1125</v>
      </c>
      <c r="I4223" s="526"/>
      <c r="J4223" s="1562"/>
      <c r="K4223" s="1562"/>
      <c r="M4223" s="1566"/>
    </row>
    <row r="4224" spans="2:13" hidden="1">
      <c r="B4224" s="1543"/>
      <c r="C4224" s="1332"/>
      <c r="D4224" s="1331"/>
      <c r="E4224" s="1331"/>
      <c r="F4224" s="2074" t="s">
        <v>685</v>
      </c>
      <c r="G4224" s="2074"/>
      <c r="H4224" s="1106">
        <f>SUM(H4220:H4223)</f>
        <v>26675</v>
      </c>
      <c r="I4224" s="526"/>
      <c r="J4224" s="1562"/>
      <c r="K4224" s="1562"/>
      <c r="M4224" s="1566"/>
    </row>
    <row r="4225" spans="2:13" hidden="1">
      <c r="B4225" s="1543" t="s">
        <v>686</v>
      </c>
      <c r="C4225" s="1332" t="s">
        <v>687</v>
      </c>
      <c r="D4225" s="1331"/>
      <c r="E4225" s="1331"/>
      <c r="F4225" s="1334"/>
      <c r="G4225" s="1104"/>
      <c r="H4225" s="1106"/>
      <c r="I4225" s="526"/>
      <c r="J4225" s="1562"/>
      <c r="K4225" s="1562"/>
      <c r="M4225" s="1566"/>
    </row>
    <row r="4226" spans="2:13" hidden="1">
      <c r="B4226" s="1543"/>
      <c r="C4226" s="1332" t="s">
        <v>4384</v>
      </c>
      <c r="D4226" s="1331"/>
      <c r="E4226" s="1331" t="s">
        <v>2647</v>
      </c>
      <c r="F4226" s="1334">
        <v>1.5</v>
      </c>
      <c r="G4226" s="1104">
        <f>DUB!$I$284</f>
        <v>134946</v>
      </c>
      <c r="H4226" s="1106">
        <f>G4226*F4226</f>
        <v>202419</v>
      </c>
      <c r="I4226" s="526"/>
      <c r="J4226" s="1562"/>
      <c r="K4226" s="1562"/>
      <c r="M4226" s="1566"/>
    </row>
    <row r="4227" spans="2:13" hidden="1">
      <c r="B4227" s="1543"/>
      <c r="C4227" s="1332" t="s">
        <v>1194</v>
      </c>
      <c r="D4227" s="1331"/>
      <c r="E4227" s="1331" t="s">
        <v>773</v>
      </c>
      <c r="F4227" s="1334">
        <v>0.11</v>
      </c>
      <c r="G4227" s="1104">
        <f>DUB!$I$129</f>
        <v>155400</v>
      </c>
      <c r="H4227" s="1106">
        <f>G4227*F4227</f>
        <v>17094</v>
      </c>
      <c r="I4227" s="526"/>
      <c r="J4227" s="1562"/>
      <c r="K4227" s="1562"/>
      <c r="M4227" s="1566"/>
    </row>
    <row r="4228" spans="2:13" hidden="1">
      <c r="B4228" s="1543"/>
      <c r="C4228" s="1125"/>
      <c r="D4228" s="1333"/>
      <c r="E4228" s="1333"/>
      <c r="F4228" s="2074" t="s">
        <v>702</v>
      </c>
      <c r="G4228" s="2074"/>
      <c r="H4228" s="1106">
        <f>SUM(H4226:H4227)</f>
        <v>219513</v>
      </c>
      <c r="I4228" s="526"/>
      <c r="J4228" s="1562"/>
      <c r="K4228" s="1562"/>
      <c r="M4228" s="1566"/>
    </row>
    <row r="4229" spans="2:13" hidden="1">
      <c r="B4229" s="1543" t="s">
        <v>703</v>
      </c>
      <c r="C4229" s="2075" t="s">
        <v>3764</v>
      </c>
      <c r="D4229" s="2075"/>
      <c r="E4229" s="2075"/>
      <c r="F4229" s="2075"/>
      <c r="G4229" s="2075"/>
      <c r="H4229" s="1107">
        <f>H4224+H4228</f>
        <v>246188</v>
      </c>
      <c r="I4229" s="526"/>
      <c r="J4229" s="1562"/>
      <c r="K4229" s="1562"/>
      <c r="M4229" s="1566"/>
    </row>
    <row r="4230" spans="2:13" hidden="1">
      <c r="B4230" s="1543" t="s">
        <v>706</v>
      </c>
      <c r="C4230" s="2076" t="s">
        <v>876</v>
      </c>
      <c r="D4230" s="2076"/>
      <c r="E4230" s="2076"/>
      <c r="F4230" s="2077" t="s">
        <v>3873</v>
      </c>
      <c r="G4230" s="2077"/>
      <c r="H4230" s="1107">
        <f>H4229*0.15</f>
        <v>36928.199999999997</v>
      </c>
      <c r="I4230" s="526"/>
      <c r="J4230" s="1562"/>
      <c r="K4230" s="1562"/>
      <c r="M4230" s="1566"/>
    </row>
    <row r="4231" spans="2:13" hidden="1">
      <c r="B4231" s="1543" t="s">
        <v>708</v>
      </c>
      <c r="C4231" s="2078" t="s">
        <v>3765</v>
      </c>
      <c r="D4231" s="2078"/>
      <c r="E4231" s="2078"/>
      <c r="F4231" s="2078"/>
      <c r="G4231" s="2078"/>
      <c r="H4231" s="1107">
        <f>ROUND(SUM(H4229:H4230),2)</f>
        <v>283116.2</v>
      </c>
      <c r="I4231" s="506">
        <f>SUM(H4229:H4230)</f>
        <v>283116.2</v>
      </c>
      <c r="J4231" s="1561"/>
      <c r="K4231" s="1561"/>
      <c r="M4231" s="1566"/>
    </row>
    <row r="4232" spans="2:13" hidden="1">
      <c r="B4232" s="1129"/>
      <c r="C4232" s="1130"/>
      <c r="D4232" s="1129"/>
      <c r="E4232" s="1130"/>
      <c r="F4232" s="1131"/>
      <c r="G4232" s="1132"/>
      <c r="H4232" s="1133"/>
      <c r="I4232" s="526"/>
      <c r="J4232" s="1562"/>
      <c r="K4232" s="1562"/>
      <c r="M4232" s="1566"/>
    </row>
    <row r="4233" spans="2:13" hidden="1">
      <c r="B4233" s="1100" t="s">
        <v>4080</v>
      </c>
      <c r="C4233" s="1112" t="s">
        <v>4436</v>
      </c>
      <c r="D4233" s="1129"/>
      <c r="E4233" s="1129"/>
      <c r="F4233" s="1131"/>
      <c r="G4233" s="1132"/>
      <c r="H4233" s="1115"/>
      <c r="M4233" s="1566"/>
    </row>
    <row r="4234" spans="2:13" s="507" customFormat="1" ht="24.9" hidden="1" customHeight="1">
      <c r="B4234" s="1748" t="s">
        <v>1003</v>
      </c>
      <c r="C4234" s="1101" t="s">
        <v>1004</v>
      </c>
      <c r="D4234" s="1116" t="s">
        <v>1005</v>
      </c>
      <c r="E4234" s="1116" t="s">
        <v>1006</v>
      </c>
      <c r="F4234" s="1102" t="s">
        <v>1007</v>
      </c>
      <c r="G4234" s="1109" t="s">
        <v>2637</v>
      </c>
      <c r="H4234" s="1110" t="s">
        <v>2638</v>
      </c>
      <c r="J4234" s="1625"/>
      <c r="K4234" s="1625"/>
      <c r="L4234" s="1625"/>
      <c r="M4234" s="1570"/>
    </row>
    <row r="4235" spans="2:13" hidden="1">
      <c r="B4235" s="1543" t="s">
        <v>671</v>
      </c>
      <c r="C4235" s="1332" t="s">
        <v>672</v>
      </c>
      <c r="D4235" s="1539"/>
      <c r="E4235" s="1539"/>
      <c r="F4235" s="1334"/>
      <c r="G4235" s="1104"/>
      <c r="H4235" s="1106"/>
      <c r="M4235" s="1566"/>
    </row>
    <row r="4236" spans="2:13" hidden="1">
      <c r="B4236" s="1543"/>
      <c r="C4236" s="1332" t="s">
        <v>673</v>
      </c>
      <c r="D4236" s="1539" t="s">
        <v>674</v>
      </c>
      <c r="E4236" s="1539" t="s">
        <v>675</v>
      </c>
      <c r="F4236" s="1334">
        <v>0.5</v>
      </c>
      <c r="G4236" s="1104">
        <f>DUB!$I$10</f>
        <v>150000</v>
      </c>
      <c r="H4236" s="1106">
        <f>G4236*F4236</f>
        <v>75000</v>
      </c>
      <c r="M4236" s="1566"/>
    </row>
    <row r="4237" spans="2:13" hidden="1">
      <c r="B4237" s="1543"/>
      <c r="C4237" s="1332" t="s">
        <v>855</v>
      </c>
      <c r="D4237" s="1539" t="s">
        <v>678</v>
      </c>
      <c r="E4237" s="1539" t="s">
        <v>675</v>
      </c>
      <c r="F4237" s="1334">
        <v>0.5</v>
      </c>
      <c r="G4237" s="1104">
        <f>DUB!$I$11</f>
        <v>187000</v>
      </c>
      <c r="H4237" s="1106">
        <f>G4237*F4237</f>
        <v>93500</v>
      </c>
      <c r="M4237" s="1566"/>
    </row>
    <row r="4238" spans="2:13" hidden="1">
      <c r="B4238" s="1543"/>
      <c r="C4238" s="1332" t="s">
        <v>751</v>
      </c>
      <c r="D4238" s="1539" t="s">
        <v>681</v>
      </c>
      <c r="E4238" s="1539" t="s">
        <v>675</v>
      </c>
      <c r="F4238" s="1334">
        <v>0.05</v>
      </c>
      <c r="G4238" s="1104">
        <f>DUB!$I$13</f>
        <v>240000</v>
      </c>
      <c r="H4238" s="1106">
        <f>G4238*F4238</f>
        <v>12000</v>
      </c>
      <c r="M4238" s="1566"/>
    </row>
    <row r="4239" spans="2:13" hidden="1">
      <c r="B4239" s="1543"/>
      <c r="C4239" s="1332" t="s">
        <v>683</v>
      </c>
      <c r="D4239" s="1539" t="s">
        <v>684</v>
      </c>
      <c r="E4239" s="1539" t="s">
        <v>675</v>
      </c>
      <c r="F4239" s="1334">
        <v>2.5000000000000001E-2</v>
      </c>
      <c r="G4239" s="1104">
        <f>DUB!$I$12</f>
        <v>225000</v>
      </c>
      <c r="H4239" s="1106">
        <f>G4239*F4239</f>
        <v>5625</v>
      </c>
      <c r="M4239" s="1566"/>
    </row>
    <row r="4240" spans="2:13" hidden="1">
      <c r="B4240" s="1543"/>
      <c r="C4240" s="1332"/>
      <c r="D4240" s="1539"/>
      <c r="E4240" s="1539"/>
      <c r="F4240" s="2080" t="s">
        <v>685</v>
      </c>
      <c r="G4240" s="2081"/>
      <c r="H4240" s="1106">
        <f>SUM(H4236:H4239)</f>
        <v>186125</v>
      </c>
      <c r="M4240" s="1566"/>
    </row>
    <row r="4241" spans="2:13" hidden="1">
      <c r="B4241" s="1543" t="s">
        <v>686</v>
      </c>
      <c r="C4241" s="1332" t="s">
        <v>687</v>
      </c>
      <c r="D4241" s="1539"/>
      <c r="E4241" s="1539"/>
      <c r="F4241" s="1334"/>
      <c r="G4241" s="1104"/>
      <c r="H4241" s="1106"/>
      <c r="M4241" s="1566"/>
    </row>
    <row r="4242" spans="2:13" hidden="1">
      <c r="B4242" s="1543"/>
      <c r="C4242" s="1332" t="s">
        <v>1196</v>
      </c>
      <c r="D4242" s="1539"/>
      <c r="E4242" s="1539" t="s">
        <v>853</v>
      </c>
      <c r="F4242" s="1334">
        <v>3.6</v>
      </c>
      <c r="G4242" s="1104">
        <f>DUB!$I$293</f>
        <v>26775</v>
      </c>
      <c r="H4242" s="1106">
        <f>G4242*F4242</f>
        <v>96390</v>
      </c>
      <c r="M4242" s="1566"/>
    </row>
    <row r="4243" spans="2:13" hidden="1">
      <c r="B4243" s="1543"/>
      <c r="C4243" s="1332" t="s">
        <v>1197</v>
      </c>
      <c r="D4243" s="1539"/>
      <c r="E4243" s="1539" t="s">
        <v>773</v>
      </c>
      <c r="F4243" s="1334">
        <v>0.15</v>
      </c>
      <c r="G4243" s="1104">
        <f>DUB!$I$297</f>
        <v>7704</v>
      </c>
      <c r="H4243" s="1106">
        <f>G4243*F4243</f>
        <v>1155.5999999999999</v>
      </c>
      <c r="M4243" s="1566"/>
    </row>
    <row r="4244" spans="2:13" hidden="1">
      <c r="B4244" s="1543"/>
      <c r="C4244" s="1332" t="s">
        <v>1198</v>
      </c>
      <c r="D4244" s="1539"/>
      <c r="E4244" s="1539" t="s">
        <v>866</v>
      </c>
      <c r="F4244" s="1334">
        <v>1.05</v>
      </c>
      <c r="G4244" s="1104">
        <f>DUB!$I$299</f>
        <v>3105</v>
      </c>
      <c r="H4244" s="1106">
        <f>G4244*F4244</f>
        <v>3260.25</v>
      </c>
      <c r="M4244" s="1566"/>
    </row>
    <row r="4245" spans="2:13" hidden="1">
      <c r="B4245" s="1543"/>
      <c r="C4245" s="1332" t="s">
        <v>1199</v>
      </c>
      <c r="D4245" s="1539"/>
      <c r="E4245" s="1539" t="s">
        <v>888</v>
      </c>
      <c r="F4245" s="1334">
        <v>1.5</v>
      </c>
      <c r="G4245" s="1104">
        <f>DUB!$I$301</f>
        <v>32130</v>
      </c>
      <c r="H4245" s="1106">
        <f>G4245*F4245</f>
        <v>48195</v>
      </c>
      <c r="M4245" s="1566"/>
    </row>
    <row r="4246" spans="2:13" hidden="1">
      <c r="B4246" s="1543"/>
      <c r="C4246" s="1332"/>
      <c r="D4246" s="1540"/>
      <c r="E4246" s="1540"/>
      <c r="F4246" s="2080" t="s">
        <v>702</v>
      </c>
      <c r="G4246" s="2081"/>
      <c r="H4246" s="1106">
        <f>SUM(H4242:H4245)</f>
        <v>149000.85</v>
      </c>
      <c r="M4246" s="1566"/>
    </row>
    <row r="4247" spans="2:13" s="496" customFormat="1" hidden="1">
      <c r="B4247" s="1543" t="s">
        <v>703</v>
      </c>
      <c r="C4247" s="2089" t="s">
        <v>3764</v>
      </c>
      <c r="D4247" s="2089"/>
      <c r="E4247" s="2089"/>
      <c r="F4247" s="2089"/>
      <c r="G4247" s="2089"/>
      <c r="H4247" s="1107">
        <f>H4240+H4246</f>
        <v>335125.84999999998</v>
      </c>
      <c r="J4247" s="1559"/>
      <c r="K4247" s="1559"/>
      <c r="L4247" s="1559"/>
      <c r="M4247" s="1635"/>
    </row>
    <row r="4248" spans="2:13" s="496" customFormat="1" hidden="1">
      <c r="B4248" s="1543" t="s">
        <v>706</v>
      </c>
      <c r="C4248" s="2076" t="s">
        <v>876</v>
      </c>
      <c r="D4248" s="2076"/>
      <c r="E4248" s="2076"/>
      <c r="F4248" s="2077" t="s">
        <v>3873</v>
      </c>
      <c r="G4248" s="2077"/>
      <c r="H4248" s="1107">
        <f>H4247*0.15</f>
        <v>50268.877499999995</v>
      </c>
      <c r="J4248" s="1559"/>
      <c r="K4248" s="1559"/>
      <c r="L4248" s="1559"/>
      <c r="M4248" s="1635"/>
    </row>
    <row r="4249" spans="2:13" s="496" customFormat="1" hidden="1">
      <c r="B4249" s="1543" t="s">
        <v>708</v>
      </c>
      <c r="C4249" s="2078" t="s">
        <v>3765</v>
      </c>
      <c r="D4249" s="2078"/>
      <c r="E4249" s="2078"/>
      <c r="F4249" s="2078"/>
      <c r="G4249" s="2078"/>
      <c r="H4249" s="1107">
        <f>ROUND(SUM(H4247:H4248),2)</f>
        <v>385394.73</v>
      </c>
      <c r="I4249" s="506">
        <f>H4247+H4248</f>
        <v>385394.72749999998</v>
      </c>
      <c r="J4249" s="1561"/>
      <c r="K4249" s="1561"/>
      <c r="L4249" s="1559"/>
      <c r="M4249" s="1635"/>
    </row>
    <row r="4250" spans="2:13" hidden="1">
      <c r="F4250" s="1172"/>
      <c r="G4250" s="1173"/>
      <c r="H4250" s="1133"/>
      <c r="M4250" s="1566"/>
    </row>
    <row r="4251" spans="2:13" hidden="1">
      <c r="B4251" s="1100" t="s">
        <v>4081</v>
      </c>
      <c r="C4251" s="1232" t="s">
        <v>2782</v>
      </c>
      <c r="F4251" s="1172"/>
      <c r="G4251" s="1173"/>
      <c r="H4251" s="1133"/>
      <c r="M4251" s="1566"/>
    </row>
    <row r="4252" spans="2:13" s="507" customFormat="1" ht="24.9" hidden="1" customHeight="1">
      <c r="B4252" s="1748" t="s">
        <v>1003</v>
      </c>
      <c r="C4252" s="1101" t="s">
        <v>1004</v>
      </c>
      <c r="D4252" s="1101" t="s">
        <v>1005</v>
      </c>
      <c r="E4252" s="1101" t="s">
        <v>1006</v>
      </c>
      <c r="F4252" s="1102" t="s">
        <v>1007</v>
      </c>
      <c r="G4252" s="1109" t="s">
        <v>2637</v>
      </c>
      <c r="H4252" s="1110" t="s">
        <v>2638</v>
      </c>
      <c r="J4252" s="1625"/>
      <c r="K4252" s="1625"/>
      <c r="L4252" s="1625"/>
      <c r="M4252" s="1570"/>
    </row>
    <row r="4253" spans="2:13" hidden="1">
      <c r="B4253" s="1543" t="s">
        <v>671</v>
      </c>
      <c r="C4253" s="1332" t="s">
        <v>672</v>
      </c>
      <c r="D4253" s="1331"/>
      <c r="E4253" s="1331"/>
      <c r="F4253" s="1334"/>
      <c r="G4253" s="1104"/>
      <c r="H4253" s="1106"/>
      <c r="M4253" s="1566"/>
    </row>
    <row r="4254" spans="2:13" hidden="1">
      <c r="B4254" s="1543"/>
      <c r="C4254" s="1332" t="s">
        <v>673</v>
      </c>
      <c r="D4254" s="1331" t="s">
        <v>674</v>
      </c>
      <c r="E4254" s="1331" t="s">
        <v>675</v>
      </c>
      <c r="F4254" s="1334">
        <v>0.05</v>
      </c>
      <c r="G4254" s="1104">
        <f>DUB!$I$10</f>
        <v>150000</v>
      </c>
      <c r="H4254" s="1106">
        <f>G4254*F4254</f>
        <v>7500</v>
      </c>
      <c r="M4254" s="1566"/>
    </row>
    <row r="4255" spans="2:13" hidden="1">
      <c r="B4255" s="1543"/>
      <c r="C4255" s="1332" t="s">
        <v>677</v>
      </c>
      <c r="D4255" s="1331" t="s">
        <v>678</v>
      </c>
      <c r="E4255" s="1331" t="s">
        <v>675</v>
      </c>
      <c r="F4255" s="1334">
        <v>0.05</v>
      </c>
      <c r="G4255" s="1104">
        <f>DUB!$I$11</f>
        <v>187000</v>
      </c>
      <c r="H4255" s="1106">
        <f>G4255*F4255</f>
        <v>9350</v>
      </c>
      <c r="M4255" s="1566"/>
    </row>
    <row r="4256" spans="2:13" hidden="1">
      <c r="B4256" s="1543"/>
      <c r="C4256" s="1332" t="s">
        <v>751</v>
      </c>
      <c r="D4256" s="1331" t="s">
        <v>681</v>
      </c>
      <c r="E4256" s="1331" t="s">
        <v>675</v>
      </c>
      <c r="F4256" s="1334">
        <v>5.0000000000000001E-3</v>
      </c>
      <c r="G4256" s="1104">
        <f>DUB!$I$13</f>
        <v>240000</v>
      </c>
      <c r="H4256" s="1106">
        <f>G4256*F4256</f>
        <v>1200</v>
      </c>
      <c r="M4256" s="1566"/>
    </row>
    <row r="4257" spans="2:13" hidden="1">
      <c r="B4257" s="1543"/>
      <c r="C4257" s="1332" t="s">
        <v>683</v>
      </c>
      <c r="D4257" s="1331" t="s">
        <v>684</v>
      </c>
      <c r="E4257" s="1331" t="s">
        <v>675</v>
      </c>
      <c r="F4257" s="1334">
        <v>3.0000000000000001E-3</v>
      </c>
      <c r="G4257" s="1104">
        <f>DUB!$I$12</f>
        <v>225000</v>
      </c>
      <c r="H4257" s="1106">
        <f>G4257*F4257</f>
        <v>675</v>
      </c>
      <c r="M4257" s="1566"/>
    </row>
    <row r="4258" spans="2:13" hidden="1">
      <c r="B4258" s="1543"/>
      <c r="C4258" s="1332"/>
      <c r="D4258" s="1331"/>
      <c r="E4258" s="1331"/>
      <c r="F4258" s="2091" t="s">
        <v>685</v>
      </c>
      <c r="G4258" s="2091"/>
      <c r="H4258" s="1106">
        <f>SUM(H4254:H4257)</f>
        <v>18725</v>
      </c>
      <c r="M4258" s="1566"/>
    </row>
    <row r="4259" spans="2:13" hidden="1">
      <c r="B4259" s="1543" t="s">
        <v>686</v>
      </c>
      <c r="C4259" s="1332" t="s">
        <v>687</v>
      </c>
      <c r="D4259" s="1331"/>
      <c r="E4259" s="1331"/>
      <c r="F4259" s="1334"/>
      <c r="G4259" s="1104"/>
      <c r="H4259" s="1106"/>
      <c r="M4259" s="1566"/>
    </row>
    <row r="4260" spans="2:13" hidden="1">
      <c r="B4260" s="1543"/>
      <c r="C4260" s="1332" t="s">
        <v>1200</v>
      </c>
      <c r="D4260" s="1331"/>
      <c r="E4260" s="1331" t="s">
        <v>853</v>
      </c>
      <c r="F4260" s="1334">
        <v>1.05</v>
      </c>
      <c r="G4260" s="1104">
        <f>DUB!$I$81</f>
        <v>5004</v>
      </c>
      <c r="H4260" s="1106">
        <f>G4260*F4260</f>
        <v>5254.2</v>
      </c>
      <c r="M4260" s="1566"/>
    </row>
    <row r="4261" spans="2:13" hidden="1">
      <c r="B4261" s="1543"/>
      <c r="C4261" s="1332" t="s">
        <v>1201</v>
      </c>
      <c r="D4261" s="1331"/>
      <c r="E4261" s="1331" t="s">
        <v>773</v>
      </c>
      <c r="F4261" s="1334">
        <v>0.01</v>
      </c>
      <c r="G4261" s="1104">
        <f>DUB!$I$128</f>
        <v>20441.7</v>
      </c>
      <c r="H4261" s="1106">
        <f>G4261*F4261</f>
        <v>204.417</v>
      </c>
      <c r="M4261" s="1566"/>
    </row>
    <row r="4262" spans="2:13" hidden="1">
      <c r="B4262" s="1543"/>
      <c r="C4262" s="1332"/>
      <c r="D4262" s="1331"/>
      <c r="E4262" s="1331"/>
      <c r="F4262" s="2091" t="s">
        <v>702</v>
      </c>
      <c r="G4262" s="2091"/>
      <c r="H4262" s="1106">
        <f>SUM(H4260:H4261)</f>
        <v>5458.6170000000002</v>
      </c>
      <c r="M4262" s="1566"/>
    </row>
    <row r="4263" spans="2:13" s="496" customFormat="1" hidden="1">
      <c r="B4263" s="1543" t="s">
        <v>703</v>
      </c>
      <c r="C4263" s="2075" t="s">
        <v>3764</v>
      </c>
      <c r="D4263" s="2075"/>
      <c r="E4263" s="2075"/>
      <c r="F4263" s="2075"/>
      <c r="G4263" s="2075"/>
      <c r="H4263" s="1107">
        <f>H4258+H4262</f>
        <v>24183.616999999998</v>
      </c>
      <c r="J4263" s="1559"/>
      <c r="K4263" s="1559"/>
      <c r="L4263" s="1559"/>
      <c r="M4263" s="1635"/>
    </row>
    <row r="4264" spans="2:13" s="496" customFormat="1" hidden="1">
      <c r="B4264" s="1543" t="s">
        <v>706</v>
      </c>
      <c r="C4264" s="2076" t="s">
        <v>876</v>
      </c>
      <c r="D4264" s="2076"/>
      <c r="E4264" s="2076"/>
      <c r="F4264" s="2077" t="s">
        <v>3873</v>
      </c>
      <c r="G4264" s="2077"/>
      <c r="H4264" s="1107">
        <f>H4263*0.15</f>
        <v>3627.5425499999997</v>
      </c>
      <c r="J4264" s="1559"/>
      <c r="K4264" s="1559"/>
      <c r="L4264" s="1559"/>
      <c r="M4264" s="1635"/>
    </row>
    <row r="4265" spans="2:13" s="496" customFormat="1" hidden="1">
      <c r="B4265" s="1543" t="s">
        <v>708</v>
      </c>
      <c r="C4265" s="2075" t="s">
        <v>3765</v>
      </c>
      <c r="D4265" s="2075"/>
      <c r="E4265" s="2075"/>
      <c r="F4265" s="2075"/>
      <c r="G4265" s="2075"/>
      <c r="H4265" s="1107">
        <f>ROUND(SUM(H4263:H4264),2)</f>
        <v>27811.16</v>
      </c>
      <c r="I4265" s="506">
        <f>SUM(H4263:H4264)</f>
        <v>27811.159549999997</v>
      </c>
      <c r="J4265" s="1561"/>
      <c r="K4265" s="1561"/>
      <c r="L4265" s="1559"/>
      <c r="M4265" s="1635"/>
    </row>
    <row r="4266" spans="2:13" hidden="1">
      <c r="F4266" s="1172"/>
      <c r="G4266" s="1173"/>
      <c r="H4266" s="1133"/>
      <c r="M4266" s="1566"/>
    </row>
    <row r="4267" spans="2:13" hidden="1">
      <c r="B4267" s="1100" t="s">
        <v>4388</v>
      </c>
      <c r="C4267" s="1232" t="s">
        <v>4437</v>
      </c>
      <c r="F4267" s="1172"/>
      <c r="G4267" s="1173"/>
      <c r="H4267" s="1133"/>
      <c r="M4267" s="1566"/>
    </row>
    <row r="4268" spans="2:13" ht="24.9" hidden="1" customHeight="1">
      <c r="B4268" s="1748" t="s">
        <v>1003</v>
      </c>
      <c r="C4268" s="1101" t="s">
        <v>1004</v>
      </c>
      <c r="D4268" s="1101" t="s">
        <v>1005</v>
      </c>
      <c r="E4268" s="1101" t="s">
        <v>1006</v>
      </c>
      <c r="F4268" s="1102" t="s">
        <v>1007</v>
      </c>
      <c r="G4268" s="1109" t="s">
        <v>2637</v>
      </c>
      <c r="H4268" s="1110" t="s">
        <v>2638</v>
      </c>
      <c r="M4268" s="1566"/>
    </row>
    <row r="4269" spans="2:13" hidden="1">
      <c r="B4269" s="1543" t="s">
        <v>671</v>
      </c>
      <c r="C4269" s="1332" t="s">
        <v>672</v>
      </c>
      <c r="D4269" s="1331"/>
      <c r="E4269" s="1331"/>
      <c r="F4269" s="1334"/>
      <c r="G4269" s="1104"/>
      <c r="H4269" s="1106"/>
      <c r="M4269" s="1566"/>
    </row>
    <row r="4270" spans="2:13" hidden="1">
      <c r="B4270" s="1543"/>
      <c r="C4270" s="1332" t="s">
        <v>673</v>
      </c>
      <c r="D4270" s="1331" t="s">
        <v>674</v>
      </c>
      <c r="E4270" s="1331" t="s">
        <v>675</v>
      </c>
      <c r="F4270" s="1334">
        <v>0.05</v>
      </c>
      <c r="G4270" s="1104">
        <f>DUB!$I$10</f>
        <v>150000</v>
      </c>
      <c r="H4270" s="1106">
        <f>G4270*F4270</f>
        <v>7500</v>
      </c>
      <c r="M4270" s="1566"/>
    </row>
    <row r="4271" spans="2:13" hidden="1">
      <c r="B4271" s="1543"/>
      <c r="C4271" s="1332" t="s">
        <v>871</v>
      </c>
      <c r="D4271" s="1331" t="s">
        <v>678</v>
      </c>
      <c r="E4271" s="1331" t="s">
        <v>675</v>
      </c>
      <c r="F4271" s="1334">
        <v>0.05</v>
      </c>
      <c r="G4271" s="1104">
        <f>DUB!$I$11</f>
        <v>187000</v>
      </c>
      <c r="H4271" s="1106">
        <f>G4271*F4271</f>
        <v>9350</v>
      </c>
      <c r="M4271" s="1566"/>
    </row>
    <row r="4272" spans="2:13" hidden="1">
      <c r="B4272" s="1543"/>
      <c r="C4272" s="1332" t="s">
        <v>751</v>
      </c>
      <c r="D4272" s="1331" t="s">
        <v>681</v>
      </c>
      <c r="E4272" s="1331" t="s">
        <v>675</v>
      </c>
      <c r="F4272" s="1334">
        <v>5.0000000000000001E-3</v>
      </c>
      <c r="G4272" s="1104">
        <f>DUB!$I$13</f>
        <v>240000</v>
      </c>
      <c r="H4272" s="1106">
        <f>G4272*F4272</f>
        <v>1200</v>
      </c>
      <c r="M4272" s="1566"/>
    </row>
    <row r="4273" spans="2:13" hidden="1">
      <c r="B4273" s="1543"/>
      <c r="C4273" s="1332" t="s">
        <v>683</v>
      </c>
      <c r="D4273" s="1331" t="s">
        <v>684</v>
      </c>
      <c r="E4273" s="1331" t="s">
        <v>675</v>
      </c>
      <c r="F4273" s="1334">
        <v>3.0000000000000001E-3</v>
      </c>
      <c r="G4273" s="1104">
        <f>DUB!$I$12</f>
        <v>225000</v>
      </c>
      <c r="H4273" s="1106">
        <f>G4273*F4273</f>
        <v>675</v>
      </c>
      <c r="M4273" s="1566"/>
    </row>
    <row r="4274" spans="2:13" hidden="1">
      <c r="B4274" s="1543"/>
      <c r="C4274" s="1332"/>
      <c r="D4274" s="1331"/>
      <c r="E4274" s="1331"/>
      <c r="F4274" s="2074" t="s">
        <v>685</v>
      </c>
      <c r="G4274" s="2074"/>
      <c r="H4274" s="1106">
        <f>SUM(H4270:H4273)</f>
        <v>18725</v>
      </c>
      <c r="M4274" s="1566"/>
    </row>
    <row r="4275" spans="2:13" hidden="1">
      <c r="B4275" s="1543" t="s">
        <v>686</v>
      </c>
      <c r="C4275" s="1332" t="s">
        <v>687</v>
      </c>
      <c r="D4275" s="1331"/>
      <c r="E4275" s="1331"/>
      <c r="F4275" s="1334"/>
      <c r="G4275" s="1104"/>
      <c r="H4275" s="1106"/>
      <c r="M4275" s="1566"/>
    </row>
    <row r="4276" spans="2:13" hidden="1">
      <c r="B4276" s="1543"/>
      <c r="C4276" s="1332" t="s">
        <v>4389</v>
      </c>
      <c r="D4276" s="1331"/>
      <c r="E4276" s="1331" t="s">
        <v>853</v>
      </c>
      <c r="F4276" s="1334">
        <v>1.05</v>
      </c>
      <c r="G4276" s="1104">
        <f>DUB!$I$285</f>
        <v>13014</v>
      </c>
      <c r="H4276" s="1106">
        <f>G4276*F4276</f>
        <v>13664.7</v>
      </c>
      <c r="M4276" s="1566"/>
    </row>
    <row r="4277" spans="2:13" hidden="1">
      <c r="B4277" s="1543"/>
      <c r="C4277" s="1332" t="s">
        <v>3505</v>
      </c>
      <c r="D4277" s="1331"/>
      <c r="E4277" s="1331" t="s">
        <v>773</v>
      </c>
      <c r="F4277" s="1334">
        <v>0.15</v>
      </c>
      <c r="G4277" s="1104">
        <f>DUB!$I$320</f>
        <v>17667</v>
      </c>
      <c r="H4277" s="1106">
        <f>G4277*F4277</f>
        <v>2650.0499999999997</v>
      </c>
      <c r="M4277" s="1566"/>
    </row>
    <row r="4278" spans="2:13" hidden="1">
      <c r="B4278" s="1543"/>
      <c r="C4278" s="1125"/>
      <c r="D4278" s="1333"/>
      <c r="E4278" s="1333"/>
      <c r="F4278" s="2074" t="s">
        <v>702</v>
      </c>
      <c r="G4278" s="2074"/>
      <c r="H4278" s="1106">
        <f>SUM(H4276:H4277)</f>
        <v>16314.75</v>
      </c>
      <c r="M4278" s="1566"/>
    </row>
    <row r="4279" spans="2:13" hidden="1">
      <c r="B4279" s="1543" t="s">
        <v>703</v>
      </c>
      <c r="C4279" s="2075" t="s">
        <v>3764</v>
      </c>
      <c r="D4279" s="2075"/>
      <c r="E4279" s="2075"/>
      <c r="F4279" s="2075"/>
      <c r="G4279" s="2075"/>
      <c r="H4279" s="1107">
        <f>H4274+H4278</f>
        <v>35039.75</v>
      </c>
      <c r="M4279" s="1566"/>
    </row>
    <row r="4280" spans="2:13" hidden="1">
      <c r="B4280" s="1543" t="s">
        <v>706</v>
      </c>
      <c r="C4280" s="2076" t="s">
        <v>876</v>
      </c>
      <c r="D4280" s="2076"/>
      <c r="E4280" s="2076"/>
      <c r="F4280" s="2077" t="s">
        <v>3873</v>
      </c>
      <c r="G4280" s="2077"/>
      <c r="H4280" s="1107">
        <f>H4279*0.15</f>
        <v>5255.9624999999996</v>
      </c>
      <c r="M4280" s="1566"/>
    </row>
    <row r="4281" spans="2:13" hidden="1">
      <c r="B4281" s="1543" t="s">
        <v>708</v>
      </c>
      <c r="C4281" s="2078" t="s">
        <v>3765</v>
      </c>
      <c r="D4281" s="2078"/>
      <c r="E4281" s="2078"/>
      <c r="F4281" s="2078"/>
      <c r="G4281" s="2078"/>
      <c r="H4281" s="1107">
        <f>ROUND(SUM(H4279:H4280),2)</f>
        <v>40295.71</v>
      </c>
      <c r="I4281" s="506">
        <f>SUM(H4279:H4280)</f>
        <v>40295.712500000001</v>
      </c>
      <c r="J4281" s="1561"/>
      <c r="K4281" s="1561"/>
      <c r="M4281" s="1566"/>
    </row>
    <row r="4282" spans="2:13" hidden="1">
      <c r="F4282" s="1172"/>
      <c r="G4282" s="1173"/>
      <c r="H4282" s="1133"/>
      <c r="M4282" s="1566"/>
    </row>
    <row r="4283" spans="2:13" hidden="1">
      <c r="B4283" s="1100" t="s">
        <v>4390</v>
      </c>
      <c r="C4283" s="1232" t="s">
        <v>4438</v>
      </c>
      <c r="F4283" s="1172"/>
      <c r="G4283" s="1173"/>
      <c r="H4283" s="1133"/>
      <c r="M4283" s="1566"/>
    </row>
    <row r="4284" spans="2:13" ht="24.9" hidden="1" customHeight="1">
      <c r="B4284" s="1748" t="s">
        <v>1003</v>
      </c>
      <c r="C4284" s="1101" t="s">
        <v>1004</v>
      </c>
      <c r="D4284" s="1101" t="s">
        <v>1005</v>
      </c>
      <c r="E4284" s="1101" t="s">
        <v>1006</v>
      </c>
      <c r="F4284" s="1102" t="s">
        <v>1007</v>
      </c>
      <c r="G4284" s="1109" t="s">
        <v>2637</v>
      </c>
      <c r="H4284" s="1110" t="s">
        <v>2638</v>
      </c>
      <c r="M4284" s="1566"/>
    </row>
    <row r="4285" spans="2:13" hidden="1">
      <c r="B4285" s="1543" t="s">
        <v>671</v>
      </c>
      <c r="C4285" s="1332" t="s">
        <v>672</v>
      </c>
      <c r="D4285" s="1331"/>
      <c r="E4285" s="1331"/>
      <c r="F4285" s="1334"/>
      <c r="G4285" s="1104"/>
      <c r="H4285" s="1106"/>
      <c r="M4285" s="1566"/>
    </row>
    <row r="4286" spans="2:13" hidden="1">
      <c r="B4286" s="1543"/>
      <c r="C4286" s="1332" t="s">
        <v>673</v>
      </c>
      <c r="D4286" s="1331" t="s">
        <v>674</v>
      </c>
      <c r="E4286" s="1331" t="s">
        <v>675</v>
      </c>
      <c r="F4286" s="1334">
        <v>0.05</v>
      </c>
      <c r="G4286" s="1104">
        <f>DUB!$I$10</f>
        <v>150000</v>
      </c>
      <c r="H4286" s="1106">
        <f>G4286*F4286</f>
        <v>7500</v>
      </c>
      <c r="M4286" s="1566"/>
    </row>
    <row r="4287" spans="2:13" hidden="1">
      <c r="B4287" s="1543"/>
      <c r="C4287" s="1332" t="s">
        <v>871</v>
      </c>
      <c r="D4287" s="1331" t="s">
        <v>678</v>
      </c>
      <c r="E4287" s="1331" t="s">
        <v>675</v>
      </c>
      <c r="F4287" s="1334">
        <v>0.05</v>
      </c>
      <c r="G4287" s="1104">
        <f>DUB!$I$11</f>
        <v>187000</v>
      </c>
      <c r="H4287" s="1106">
        <f>G4287*F4287</f>
        <v>9350</v>
      </c>
      <c r="M4287" s="1566"/>
    </row>
    <row r="4288" spans="2:13" hidden="1">
      <c r="B4288" s="1543"/>
      <c r="C4288" s="1332" t="s">
        <v>751</v>
      </c>
      <c r="D4288" s="1331" t="s">
        <v>681</v>
      </c>
      <c r="E4288" s="1331" t="s">
        <v>675</v>
      </c>
      <c r="F4288" s="1334">
        <v>5.0000000000000001E-3</v>
      </c>
      <c r="G4288" s="1104">
        <f>DUB!$I$13</f>
        <v>240000</v>
      </c>
      <c r="H4288" s="1106">
        <f>G4288*F4288</f>
        <v>1200</v>
      </c>
      <c r="M4288" s="1566"/>
    </row>
    <row r="4289" spans="2:13" hidden="1">
      <c r="B4289" s="1543"/>
      <c r="C4289" s="1332" t="s">
        <v>683</v>
      </c>
      <c r="D4289" s="1331" t="s">
        <v>684</v>
      </c>
      <c r="E4289" s="1331" t="s">
        <v>675</v>
      </c>
      <c r="F4289" s="1334">
        <v>3.0000000000000001E-3</v>
      </c>
      <c r="G4289" s="1104">
        <f>DUB!$I$12</f>
        <v>225000</v>
      </c>
      <c r="H4289" s="1106">
        <f>G4289*F4289</f>
        <v>675</v>
      </c>
      <c r="M4289" s="1566"/>
    </row>
    <row r="4290" spans="2:13" hidden="1">
      <c r="B4290" s="1543"/>
      <c r="C4290" s="1332"/>
      <c r="D4290" s="1331"/>
      <c r="E4290" s="1331"/>
      <c r="F4290" s="2074" t="s">
        <v>685</v>
      </c>
      <c r="G4290" s="2074"/>
      <c r="H4290" s="1106">
        <f>SUM(H4286:H4289)</f>
        <v>18725</v>
      </c>
      <c r="M4290" s="1566"/>
    </row>
    <row r="4291" spans="2:13" hidden="1">
      <c r="B4291" s="1543" t="s">
        <v>686</v>
      </c>
      <c r="C4291" s="1332" t="s">
        <v>687</v>
      </c>
      <c r="D4291" s="1331"/>
      <c r="E4291" s="1331"/>
      <c r="F4291" s="1334"/>
      <c r="G4291" s="1104"/>
      <c r="H4291" s="1106"/>
      <c r="M4291" s="1566"/>
    </row>
    <row r="4292" spans="2:13" hidden="1">
      <c r="B4292" s="1543"/>
      <c r="C4292" s="1332" t="s">
        <v>3504</v>
      </c>
      <c r="D4292" s="1331"/>
      <c r="E4292" s="1331" t="s">
        <v>853</v>
      </c>
      <c r="F4292" s="1334">
        <v>1.05</v>
      </c>
      <c r="G4292" s="1104">
        <f>DUB!$I$286</f>
        <v>10917</v>
      </c>
      <c r="H4292" s="1106">
        <f>G4292*F4292</f>
        <v>11462.85</v>
      </c>
      <c r="M4292" s="1566"/>
    </row>
    <row r="4293" spans="2:13" hidden="1">
      <c r="B4293" s="1543"/>
      <c r="C4293" s="1332" t="s">
        <v>3505</v>
      </c>
      <c r="D4293" s="1331"/>
      <c r="E4293" s="1331" t="s">
        <v>773</v>
      </c>
      <c r="F4293" s="1334">
        <v>0.15</v>
      </c>
      <c r="G4293" s="1104">
        <f>DUB!$I$320</f>
        <v>17667</v>
      </c>
      <c r="H4293" s="1106">
        <f>G4293*F4293</f>
        <v>2650.0499999999997</v>
      </c>
      <c r="M4293" s="1566"/>
    </row>
    <row r="4294" spans="2:13" hidden="1">
      <c r="B4294" s="1543"/>
      <c r="C4294" s="1125"/>
      <c r="D4294" s="1333"/>
      <c r="E4294" s="1333"/>
      <c r="F4294" s="2074" t="s">
        <v>702</v>
      </c>
      <c r="G4294" s="2074"/>
      <c r="H4294" s="1106">
        <f>SUM(H4292:H4293)</f>
        <v>14112.9</v>
      </c>
      <c r="M4294" s="1566"/>
    </row>
    <row r="4295" spans="2:13" hidden="1">
      <c r="B4295" s="1543" t="s">
        <v>703</v>
      </c>
      <c r="C4295" s="2075" t="s">
        <v>3764</v>
      </c>
      <c r="D4295" s="2075"/>
      <c r="E4295" s="2075"/>
      <c r="F4295" s="2075"/>
      <c r="G4295" s="2075"/>
      <c r="H4295" s="1107">
        <f>H4290+H4294</f>
        <v>32837.9</v>
      </c>
      <c r="M4295" s="1566"/>
    </row>
    <row r="4296" spans="2:13" hidden="1">
      <c r="B4296" s="1543" t="s">
        <v>706</v>
      </c>
      <c r="C4296" s="2076" t="s">
        <v>876</v>
      </c>
      <c r="D4296" s="2076"/>
      <c r="E4296" s="2076"/>
      <c r="F4296" s="2077" t="s">
        <v>3873</v>
      </c>
      <c r="G4296" s="2077"/>
      <c r="H4296" s="1107">
        <f>H4295*0.15</f>
        <v>4925.6850000000004</v>
      </c>
      <c r="M4296" s="1566"/>
    </row>
    <row r="4297" spans="2:13" hidden="1">
      <c r="B4297" s="1543" t="s">
        <v>708</v>
      </c>
      <c r="C4297" s="2078" t="s">
        <v>3765</v>
      </c>
      <c r="D4297" s="2078"/>
      <c r="E4297" s="2078"/>
      <c r="F4297" s="2078"/>
      <c r="G4297" s="2078"/>
      <c r="H4297" s="1107">
        <f>ROUND(SUM(H4295:H4296),2)</f>
        <v>37763.589999999997</v>
      </c>
      <c r="I4297" s="506">
        <f>SUM(H4295:H4296)</f>
        <v>37763.584999999999</v>
      </c>
      <c r="J4297" s="1561"/>
      <c r="K4297" s="1561"/>
      <c r="M4297" s="1566"/>
    </row>
    <row r="4298" spans="2:13" hidden="1">
      <c r="F4298" s="1172"/>
      <c r="G4298" s="1173"/>
      <c r="H4298" s="1133"/>
      <c r="M4298" s="1566"/>
    </row>
    <row r="4299" spans="2:13" hidden="1">
      <c r="B4299" s="1100" t="s">
        <v>4391</v>
      </c>
      <c r="C4299" s="1232" t="s">
        <v>4439</v>
      </c>
      <c r="F4299" s="1172"/>
      <c r="G4299" s="1173"/>
      <c r="H4299" s="1133"/>
      <c r="M4299" s="1566"/>
    </row>
    <row r="4300" spans="2:13" ht="24.9" hidden="1" customHeight="1">
      <c r="B4300" s="1748" t="s">
        <v>1003</v>
      </c>
      <c r="C4300" s="1101" t="s">
        <v>1004</v>
      </c>
      <c r="D4300" s="1101" t="s">
        <v>1005</v>
      </c>
      <c r="E4300" s="1101" t="s">
        <v>1006</v>
      </c>
      <c r="F4300" s="1102" t="s">
        <v>1007</v>
      </c>
      <c r="G4300" s="1109" t="s">
        <v>2637</v>
      </c>
      <c r="H4300" s="1110" t="s">
        <v>2638</v>
      </c>
      <c r="M4300" s="1566"/>
    </row>
    <row r="4301" spans="2:13" hidden="1">
      <c r="B4301" s="1543" t="s">
        <v>671</v>
      </c>
      <c r="C4301" s="1332" t="s">
        <v>672</v>
      </c>
      <c r="D4301" s="1331"/>
      <c r="E4301" s="1331"/>
      <c r="F4301" s="1334"/>
      <c r="G4301" s="1104"/>
      <c r="H4301" s="1106"/>
      <c r="M4301" s="1566"/>
    </row>
    <row r="4302" spans="2:13" hidden="1">
      <c r="B4302" s="1543"/>
      <c r="C4302" s="1332" t="s">
        <v>673</v>
      </c>
      <c r="D4302" s="1331" t="s">
        <v>674</v>
      </c>
      <c r="E4302" s="1331" t="s">
        <v>675</v>
      </c>
      <c r="F4302" s="1334">
        <v>0.05</v>
      </c>
      <c r="G4302" s="1104">
        <f>DUB!$I$10</f>
        <v>150000</v>
      </c>
      <c r="H4302" s="1106">
        <f>G4302*F4302</f>
        <v>7500</v>
      </c>
      <c r="M4302" s="1566"/>
    </row>
    <row r="4303" spans="2:13" hidden="1">
      <c r="B4303" s="1543"/>
      <c r="C4303" s="1332" t="s">
        <v>871</v>
      </c>
      <c r="D4303" s="1331" t="s">
        <v>678</v>
      </c>
      <c r="E4303" s="1331" t="s">
        <v>675</v>
      </c>
      <c r="F4303" s="1334">
        <v>0.05</v>
      </c>
      <c r="G4303" s="1104">
        <f>DUB!$I$11</f>
        <v>187000</v>
      </c>
      <c r="H4303" s="1106">
        <f>G4303*F4303</f>
        <v>9350</v>
      </c>
      <c r="M4303" s="1566"/>
    </row>
    <row r="4304" spans="2:13" hidden="1">
      <c r="B4304" s="1543"/>
      <c r="C4304" s="1332" t="s">
        <v>751</v>
      </c>
      <c r="D4304" s="1331" t="s">
        <v>681</v>
      </c>
      <c r="E4304" s="1331" t="s">
        <v>675</v>
      </c>
      <c r="F4304" s="1334">
        <v>5.0000000000000001E-3</v>
      </c>
      <c r="G4304" s="1104">
        <f>DUB!$I$13</f>
        <v>240000</v>
      </c>
      <c r="H4304" s="1106">
        <f>G4304*F4304</f>
        <v>1200</v>
      </c>
      <c r="M4304" s="1566"/>
    </row>
    <row r="4305" spans="2:13" hidden="1">
      <c r="B4305" s="1543"/>
      <c r="C4305" s="1332" t="s">
        <v>683</v>
      </c>
      <c r="D4305" s="1331" t="s">
        <v>684</v>
      </c>
      <c r="E4305" s="1331" t="s">
        <v>675</v>
      </c>
      <c r="F4305" s="1334">
        <v>3.0000000000000001E-3</v>
      </c>
      <c r="G4305" s="1104">
        <f>DUB!$I$12</f>
        <v>225000</v>
      </c>
      <c r="H4305" s="1106">
        <f>G4305*F4305</f>
        <v>675</v>
      </c>
      <c r="M4305" s="1566"/>
    </row>
    <row r="4306" spans="2:13" hidden="1">
      <c r="B4306" s="1543"/>
      <c r="C4306" s="1332"/>
      <c r="D4306" s="1331"/>
      <c r="E4306" s="1331"/>
      <c r="F4306" s="2074" t="s">
        <v>685</v>
      </c>
      <c r="G4306" s="2074"/>
      <c r="H4306" s="1106">
        <f>SUM(H4302:H4305)</f>
        <v>18725</v>
      </c>
      <c r="M4306" s="1566"/>
    </row>
    <row r="4307" spans="2:13" hidden="1">
      <c r="B4307" s="1543" t="s">
        <v>686</v>
      </c>
      <c r="C4307" s="1332" t="s">
        <v>687</v>
      </c>
      <c r="D4307" s="1331"/>
      <c r="E4307" s="1331"/>
      <c r="F4307" s="1334"/>
      <c r="G4307" s="1104"/>
      <c r="H4307" s="1106"/>
      <c r="M4307" s="1566"/>
    </row>
    <row r="4308" spans="2:13" hidden="1">
      <c r="B4308" s="1543"/>
      <c r="C4308" s="1332" t="s">
        <v>4392</v>
      </c>
      <c r="D4308" s="1331"/>
      <c r="E4308" s="1331" t="s">
        <v>853</v>
      </c>
      <c r="F4308" s="1334">
        <v>1.05</v>
      </c>
      <c r="G4308" s="1104">
        <f>DUB!$I$287</f>
        <v>7506</v>
      </c>
      <c r="H4308" s="1106">
        <f>G4308*F4308</f>
        <v>7881.3</v>
      </c>
      <c r="M4308" s="1566"/>
    </row>
    <row r="4309" spans="2:13" hidden="1">
      <c r="B4309" s="1543"/>
      <c r="C4309" s="1332" t="s">
        <v>3505</v>
      </c>
      <c r="D4309" s="1331"/>
      <c r="E4309" s="1331" t="s">
        <v>773</v>
      </c>
      <c r="F4309" s="1334">
        <v>0.15</v>
      </c>
      <c r="G4309" s="1104">
        <f>DUB!$I$320</f>
        <v>17667</v>
      </c>
      <c r="H4309" s="1106">
        <f>G4309*F4309</f>
        <v>2650.0499999999997</v>
      </c>
      <c r="M4309" s="1566"/>
    </row>
    <row r="4310" spans="2:13" hidden="1">
      <c r="B4310" s="1543"/>
      <c r="C4310" s="1125"/>
      <c r="D4310" s="1333"/>
      <c r="E4310" s="1333"/>
      <c r="F4310" s="2074" t="s">
        <v>702</v>
      </c>
      <c r="G4310" s="2074"/>
      <c r="H4310" s="1106">
        <f>SUM(H4308:H4309)</f>
        <v>10531.35</v>
      </c>
      <c r="M4310" s="1566"/>
    </row>
    <row r="4311" spans="2:13" hidden="1">
      <c r="B4311" s="1543" t="s">
        <v>703</v>
      </c>
      <c r="C4311" s="2075" t="s">
        <v>3764</v>
      </c>
      <c r="D4311" s="2075"/>
      <c r="E4311" s="2075"/>
      <c r="F4311" s="2075"/>
      <c r="G4311" s="2075"/>
      <c r="H4311" s="1107">
        <f>H4306+H4310</f>
        <v>29256.35</v>
      </c>
      <c r="M4311" s="1566"/>
    </row>
    <row r="4312" spans="2:13" hidden="1">
      <c r="B4312" s="1543" t="s">
        <v>706</v>
      </c>
      <c r="C4312" s="2076" t="s">
        <v>876</v>
      </c>
      <c r="D4312" s="2076"/>
      <c r="E4312" s="2076"/>
      <c r="F4312" s="2077" t="s">
        <v>3873</v>
      </c>
      <c r="G4312" s="2077"/>
      <c r="H4312" s="1107">
        <f>H4311*0.15</f>
        <v>4388.4524999999994</v>
      </c>
      <c r="M4312" s="1566"/>
    </row>
    <row r="4313" spans="2:13" hidden="1">
      <c r="B4313" s="1543" t="s">
        <v>708</v>
      </c>
      <c r="C4313" s="2078" t="s">
        <v>3765</v>
      </c>
      <c r="D4313" s="2078"/>
      <c r="E4313" s="2078"/>
      <c r="F4313" s="2078"/>
      <c r="G4313" s="2078"/>
      <c r="H4313" s="1107">
        <f>ROUND(SUM(H4311:H4312),2)</f>
        <v>33644.800000000003</v>
      </c>
      <c r="I4313" s="506">
        <f>SUM(H4311:H4312)</f>
        <v>33644.802499999998</v>
      </c>
      <c r="J4313" s="1561"/>
      <c r="K4313" s="1561"/>
      <c r="M4313" s="1566"/>
    </row>
    <row r="4314" spans="2:13" hidden="1">
      <c r="F4314" s="1172"/>
      <c r="G4314" s="1173"/>
      <c r="H4314" s="1133"/>
      <c r="M4314" s="1566"/>
    </row>
    <row r="4315" spans="2:13" hidden="1">
      <c r="B4315" s="1100" t="s">
        <v>4393</v>
      </c>
      <c r="C4315" s="1232" t="s">
        <v>4440</v>
      </c>
      <c r="F4315" s="1172"/>
      <c r="G4315" s="1173"/>
      <c r="H4315" s="1133"/>
      <c r="M4315" s="1566"/>
    </row>
    <row r="4316" spans="2:13" ht="24.9" hidden="1" customHeight="1">
      <c r="B4316" s="1748" t="s">
        <v>1003</v>
      </c>
      <c r="C4316" s="1101" t="s">
        <v>1004</v>
      </c>
      <c r="D4316" s="1101" t="s">
        <v>1005</v>
      </c>
      <c r="E4316" s="1101" t="s">
        <v>1006</v>
      </c>
      <c r="F4316" s="1102" t="s">
        <v>1007</v>
      </c>
      <c r="G4316" s="1109" t="s">
        <v>2637</v>
      </c>
      <c r="H4316" s="1110" t="s">
        <v>2638</v>
      </c>
      <c r="M4316" s="1566"/>
    </row>
    <row r="4317" spans="2:13" hidden="1">
      <c r="B4317" s="1543" t="s">
        <v>671</v>
      </c>
      <c r="C4317" s="1332" t="s">
        <v>672</v>
      </c>
      <c r="D4317" s="1331"/>
      <c r="E4317" s="1331"/>
      <c r="F4317" s="1334"/>
      <c r="G4317" s="1104"/>
      <c r="H4317" s="1106"/>
      <c r="M4317" s="1566"/>
    </row>
    <row r="4318" spans="2:13" hidden="1">
      <c r="B4318" s="1543"/>
      <c r="C4318" s="1332" t="s">
        <v>673</v>
      </c>
      <c r="D4318" s="1331" t="s">
        <v>674</v>
      </c>
      <c r="E4318" s="1331" t="s">
        <v>675</v>
      </c>
      <c r="F4318" s="1334">
        <v>0.05</v>
      </c>
      <c r="G4318" s="1104">
        <f>DUB!$I$10</f>
        <v>150000</v>
      </c>
      <c r="H4318" s="1106">
        <f>G4318*F4318</f>
        <v>7500</v>
      </c>
      <c r="M4318" s="1566"/>
    </row>
    <row r="4319" spans="2:13" hidden="1">
      <c r="B4319" s="1543"/>
      <c r="C4319" s="1332" t="s">
        <v>871</v>
      </c>
      <c r="D4319" s="1331" t="s">
        <v>678</v>
      </c>
      <c r="E4319" s="1331" t="s">
        <v>675</v>
      </c>
      <c r="F4319" s="1334">
        <v>0.05</v>
      </c>
      <c r="G4319" s="1104">
        <f>DUB!$I$11</f>
        <v>187000</v>
      </c>
      <c r="H4319" s="1106">
        <f>G4319*F4319</f>
        <v>9350</v>
      </c>
      <c r="M4319" s="1566"/>
    </row>
    <row r="4320" spans="2:13" hidden="1">
      <c r="B4320" s="1543"/>
      <c r="C4320" s="1332" t="s">
        <v>751</v>
      </c>
      <c r="D4320" s="1331" t="s">
        <v>681</v>
      </c>
      <c r="E4320" s="1331" t="s">
        <v>675</v>
      </c>
      <c r="F4320" s="1334">
        <v>5.0000000000000001E-3</v>
      </c>
      <c r="G4320" s="1104">
        <f>DUB!$I$13</f>
        <v>240000</v>
      </c>
      <c r="H4320" s="1106">
        <f>G4320*F4320</f>
        <v>1200</v>
      </c>
      <c r="M4320" s="1566"/>
    </row>
    <row r="4321" spans="2:13" hidden="1">
      <c r="B4321" s="1543"/>
      <c r="C4321" s="1332" t="s">
        <v>683</v>
      </c>
      <c r="D4321" s="1331" t="s">
        <v>684</v>
      </c>
      <c r="E4321" s="1331" t="s">
        <v>675</v>
      </c>
      <c r="F4321" s="1334">
        <v>3.0000000000000001E-3</v>
      </c>
      <c r="G4321" s="1104">
        <f>DUB!$I$12</f>
        <v>225000</v>
      </c>
      <c r="H4321" s="1106">
        <f>G4321*F4321</f>
        <v>675</v>
      </c>
      <c r="M4321" s="1566"/>
    </row>
    <row r="4322" spans="2:13" hidden="1">
      <c r="B4322" s="1543"/>
      <c r="C4322" s="1332"/>
      <c r="D4322" s="1331"/>
      <c r="E4322" s="1331"/>
      <c r="F4322" s="2074" t="s">
        <v>685</v>
      </c>
      <c r="G4322" s="2074"/>
      <c r="H4322" s="1106">
        <f>SUM(H4318:H4321)</f>
        <v>18725</v>
      </c>
      <c r="M4322" s="1566"/>
    </row>
    <row r="4323" spans="2:13" hidden="1">
      <c r="B4323" s="1543" t="s">
        <v>686</v>
      </c>
      <c r="C4323" s="1332" t="s">
        <v>687</v>
      </c>
      <c r="D4323" s="1331"/>
      <c r="E4323" s="1331"/>
      <c r="F4323" s="1334"/>
      <c r="G4323" s="1104"/>
      <c r="H4323" s="1106"/>
      <c r="M4323" s="1566"/>
    </row>
    <row r="4324" spans="2:13" hidden="1">
      <c r="B4324" s="1543"/>
      <c r="C4324" s="1332" t="s">
        <v>4394</v>
      </c>
      <c r="D4324" s="1331"/>
      <c r="E4324" s="1331" t="s">
        <v>853</v>
      </c>
      <c r="F4324" s="1334">
        <v>1.05</v>
      </c>
      <c r="G4324" s="1104">
        <f>DUB!$I$288</f>
        <v>5454</v>
      </c>
      <c r="H4324" s="1106">
        <f>G4324*F4324</f>
        <v>5726.7</v>
      </c>
      <c r="M4324" s="1566"/>
    </row>
    <row r="4325" spans="2:13" hidden="1">
      <c r="B4325" s="1543"/>
      <c r="C4325" s="1332" t="s">
        <v>3505</v>
      </c>
      <c r="D4325" s="1331"/>
      <c r="E4325" s="1331" t="s">
        <v>773</v>
      </c>
      <c r="F4325" s="1334">
        <v>0.15</v>
      </c>
      <c r="G4325" s="1104">
        <f>DUB!$I$320</f>
        <v>17667</v>
      </c>
      <c r="H4325" s="1106">
        <f>G4325*F4325</f>
        <v>2650.0499999999997</v>
      </c>
      <c r="M4325" s="1566"/>
    </row>
    <row r="4326" spans="2:13" hidden="1">
      <c r="B4326" s="1543"/>
      <c r="C4326" s="1125"/>
      <c r="D4326" s="1333"/>
      <c r="E4326" s="1333"/>
      <c r="F4326" s="2074" t="s">
        <v>702</v>
      </c>
      <c r="G4326" s="2074"/>
      <c r="H4326" s="1106">
        <f>SUM(H4324:H4325)</f>
        <v>8376.75</v>
      </c>
      <c r="M4326" s="1566"/>
    </row>
    <row r="4327" spans="2:13" hidden="1">
      <c r="B4327" s="1543" t="s">
        <v>703</v>
      </c>
      <c r="C4327" s="2075" t="s">
        <v>3764</v>
      </c>
      <c r="D4327" s="2075"/>
      <c r="E4327" s="2075"/>
      <c r="F4327" s="2075"/>
      <c r="G4327" s="2075"/>
      <c r="H4327" s="1107">
        <f>H4322+H4326</f>
        <v>27101.75</v>
      </c>
      <c r="M4327" s="1566"/>
    </row>
    <row r="4328" spans="2:13" hidden="1">
      <c r="B4328" s="1543" t="s">
        <v>706</v>
      </c>
      <c r="C4328" s="2076" t="s">
        <v>876</v>
      </c>
      <c r="D4328" s="2076"/>
      <c r="E4328" s="2076"/>
      <c r="F4328" s="2077" t="s">
        <v>3873</v>
      </c>
      <c r="G4328" s="2077"/>
      <c r="H4328" s="1107">
        <f>H4327*0.15</f>
        <v>4065.2624999999998</v>
      </c>
      <c r="M4328" s="1566"/>
    </row>
    <row r="4329" spans="2:13" hidden="1">
      <c r="B4329" s="1543" t="s">
        <v>708</v>
      </c>
      <c r="C4329" s="2078" t="s">
        <v>3765</v>
      </c>
      <c r="D4329" s="2078"/>
      <c r="E4329" s="2078"/>
      <c r="F4329" s="2078"/>
      <c r="G4329" s="2078"/>
      <c r="H4329" s="1107">
        <f>ROUND(SUM(H4327:H4328),2)</f>
        <v>31167.01</v>
      </c>
      <c r="I4329" s="506">
        <f>SUM(H4327:H4328)</f>
        <v>31167.012500000001</v>
      </c>
      <c r="J4329" s="1561"/>
      <c r="K4329" s="1561"/>
      <c r="M4329" s="1566"/>
    </row>
    <row r="4330" spans="2:13" hidden="1">
      <c r="F4330" s="1172"/>
      <c r="G4330" s="1173"/>
      <c r="H4330" s="1133"/>
      <c r="M4330" s="1566"/>
    </row>
    <row r="4331" spans="2:13">
      <c r="B4331" s="1100" t="s">
        <v>4395</v>
      </c>
      <c r="C4331" s="1232" t="s">
        <v>4441</v>
      </c>
      <c r="F4331" s="1172"/>
      <c r="G4331" s="1173"/>
      <c r="H4331" s="1133"/>
      <c r="M4331" s="1566"/>
    </row>
    <row r="4332" spans="2:13" ht="24.9" customHeight="1">
      <c r="B4332" s="1101" t="s">
        <v>1003</v>
      </c>
      <c r="C4332" s="1101" t="s">
        <v>1004</v>
      </c>
      <c r="D4332" s="1101" t="s">
        <v>1005</v>
      </c>
      <c r="E4332" s="1101" t="s">
        <v>1006</v>
      </c>
      <c r="F4332" s="1102" t="s">
        <v>1007</v>
      </c>
      <c r="G4332" s="1109" t="s">
        <v>2637</v>
      </c>
      <c r="H4332" s="1110" t="s">
        <v>2638</v>
      </c>
      <c r="I4332" s="1822"/>
      <c r="J4332" s="1823" t="s">
        <v>5335</v>
      </c>
      <c r="K4332" s="1824" t="s">
        <v>5336</v>
      </c>
      <c r="L4332" s="1824" t="s">
        <v>5337</v>
      </c>
      <c r="M4332" s="1825" t="s">
        <v>5338</v>
      </c>
    </row>
    <row r="4333" spans="2:13">
      <c r="B4333" s="1330" t="s">
        <v>671</v>
      </c>
      <c r="C4333" s="1332" t="s">
        <v>672</v>
      </c>
      <c r="D4333" s="1331"/>
      <c r="E4333" s="1331"/>
      <c r="F4333" s="1334"/>
      <c r="G4333" s="1104"/>
      <c r="H4333" s="1106"/>
      <c r="J4333" s="1597"/>
      <c r="K4333" s="1597"/>
      <c r="L4333" s="1597"/>
      <c r="M4333" s="1826"/>
    </row>
    <row r="4334" spans="2:13">
      <c r="B4334" s="1330"/>
      <c r="C4334" s="1332" t="s">
        <v>673</v>
      </c>
      <c r="D4334" s="1331" t="s">
        <v>674</v>
      </c>
      <c r="E4334" s="1331" t="s">
        <v>675</v>
      </c>
      <c r="F4334" s="1334">
        <v>0.05</v>
      </c>
      <c r="G4334" s="1104">
        <f>DUB!$I$10</f>
        <v>150000</v>
      </c>
      <c r="H4334" s="1106">
        <f>G4334*F4334</f>
        <v>7500</v>
      </c>
      <c r="J4334" s="1609" t="s">
        <v>5339</v>
      </c>
      <c r="K4334" s="1611">
        <v>1</v>
      </c>
      <c r="L4334" s="1608" t="s">
        <v>5340</v>
      </c>
      <c r="M4334" s="1827">
        <f>H4334*K4334</f>
        <v>7500</v>
      </c>
    </row>
    <row r="4335" spans="2:13">
      <c r="B4335" s="1330"/>
      <c r="C4335" s="1332" t="s">
        <v>4387</v>
      </c>
      <c r="D4335" s="1331" t="s">
        <v>678</v>
      </c>
      <c r="E4335" s="1331" t="s">
        <v>675</v>
      </c>
      <c r="F4335" s="1334">
        <v>0.05</v>
      </c>
      <c r="G4335" s="1104">
        <f>DUB!$I$11</f>
        <v>187000</v>
      </c>
      <c r="H4335" s="1106">
        <f>G4335*F4335</f>
        <v>9350</v>
      </c>
      <c r="J4335" s="1609" t="s">
        <v>5339</v>
      </c>
      <c r="K4335" s="1611">
        <v>1</v>
      </c>
      <c r="L4335" s="1608" t="s">
        <v>5340</v>
      </c>
      <c r="M4335" s="1827">
        <f t="shared" ref="M4335" si="121">H4335*K4335</f>
        <v>9350</v>
      </c>
    </row>
    <row r="4336" spans="2:13">
      <c r="B4336" s="1330"/>
      <c r="C4336" s="1332" t="s">
        <v>751</v>
      </c>
      <c r="D4336" s="1331" t="s">
        <v>681</v>
      </c>
      <c r="E4336" s="1331" t="s">
        <v>675</v>
      </c>
      <c r="F4336" s="1334">
        <v>5.0000000000000001E-3</v>
      </c>
      <c r="G4336" s="1104">
        <f>DUB!$I$13</f>
        <v>240000</v>
      </c>
      <c r="H4336" s="1106">
        <f>G4336*F4336</f>
        <v>1200</v>
      </c>
      <c r="J4336" s="1609" t="s">
        <v>5339</v>
      </c>
      <c r="K4336" s="1611">
        <v>1</v>
      </c>
      <c r="L4336" s="1608" t="s">
        <v>5340</v>
      </c>
      <c r="M4336" s="1827">
        <f>H4336*K4336</f>
        <v>1200</v>
      </c>
    </row>
    <row r="4337" spans="2:13">
      <c r="B4337" s="1330"/>
      <c r="C4337" s="1332" t="s">
        <v>683</v>
      </c>
      <c r="D4337" s="1331" t="s">
        <v>684</v>
      </c>
      <c r="E4337" s="1331" t="s">
        <v>675</v>
      </c>
      <c r="F4337" s="1334">
        <v>3.0000000000000001E-3</v>
      </c>
      <c r="G4337" s="1104">
        <f>DUB!$I$12</f>
        <v>225000</v>
      </c>
      <c r="H4337" s="1106">
        <f>G4337*F4337</f>
        <v>675</v>
      </c>
      <c r="J4337" s="1609" t="s">
        <v>5339</v>
      </c>
      <c r="K4337" s="1611">
        <v>1</v>
      </c>
      <c r="L4337" s="1608" t="s">
        <v>5340</v>
      </c>
      <c r="M4337" s="1827">
        <f t="shared" ref="M4337" si="122">H4337*K4337</f>
        <v>675</v>
      </c>
    </row>
    <row r="4338" spans="2:13">
      <c r="B4338" s="1330"/>
      <c r="C4338" s="1332"/>
      <c r="D4338" s="1331"/>
      <c r="E4338" s="1331"/>
      <c r="F4338" s="2074" t="s">
        <v>685</v>
      </c>
      <c r="G4338" s="2074"/>
      <c r="H4338" s="1106">
        <f>SUM(H4334:H4337)</f>
        <v>18725</v>
      </c>
      <c r="J4338" s="1597"/>
      <c r="K4338" s="1597"/>
      <c r="L4338" s="1597"/>
      <c r="M4338" s="1107">
        <f>SUM(M4334:M4337)</f>
        <v>18725</v>
      </c>
    </row>
    <row r="4339" spans="2:13">
      <c r="B4339" s="1330" t="s">
        <v>686</v>
      </c>
      <c r="C4339" s="1332" t="s">
        <v>687</v>
      </c>
      <c r="D4339" s="1331"/>
      <c r="E4339" s="1331"/>
      <c r="F4339" s="1334"/>
      <c r="G4339" s="1104"/>
      <c r="H4339" s="1106"/>
      <c r="J4339" s="1634"/>
      <c r="K4339" s="1611"/>
      <c r="L4339" s="1607"/>
      <c r="M4339" s="1827"/>
    </row>
    <row r="4340" spans="2:13">
      <c r="B4340" s="1330"/>
      <c r="C4340" s="1332" t="s">
        <v>4396</v>
      </c>
      <c r="D4340" s="1331"/>
      <c r="E4340" s="1331" t="s">
        <v>853</v>
      </c>
      <c r="F4340" s="1334">
        <v>1.05</v>
      </c>
      <c r="G4340" s="1104">
        <f>DUB!$I$289</f>
        <v>18738</v>
      </c>
      <c r="H4340" s="1106">
        <f>G4340*F4340</f>
        <v>19674.900000000001</v>
      </c>
      <c r="J4340" s="1642" t="s">
        <v>4925</v>
      </c>
      <c r="K4340" s="1611">
        <v>0.90239999999999998</v>
      </c>
      <c r="L4340" s="1607" t="s">
        <v>5343</v>
      </c>
      <c r="M4340" s="1827">
        <f t="shared" ref="M4340:M4341" si="123">H4340*K4340</f>
        <v>17754.62976</v>
      </c>
    </row>
    <row r="4341" spans="2:13">
      <c r="B4341" s="1330"/>
      <c r="C4341" s="1332" t="s">
        <v>3417</v>
      </c>
      <c r="D4341" s="1331"/>
      <c r="E4341" s="1331" t="s">
        <v>3513</v>
      </c>
      <c r="F4341" s="1334">
        <v>1</v>
      </c>
      <c r="G4341" s="1104">
        <v>1000</v>
      </c>
      <c r="H4341" s="1106">
        <f>G4341*F4341</f>
        <v>1000</v>
      </c>
      <c r="J4341" s="1642"/>
      <c r="K4341" s="1611"/>
      <c r="L4341" s="1607"/>
      <c r="M4341" s="1827">
        <f t="shared" si="123"/>
        <v>0</v>
      </c>
    </row>
    <row r="4342" spans="2:13">
      <c r="B4342" s="1330"/>
      <c r="C4342" s="1125"/>
      <c r="D4342" s="1333"/>
      <c r="E4342" s="1333"/>
      <c r="F4342" s="2074" t="s">
        <v>702</v>
      </c>
      <c r="G4342" s="2074"/>
      <c r="H4342" s="1106">
        <f>SUM(H4340:H4341)</f>
        <v>20674.900000000001</v>
      </c>
      <c r="J4342" s="1597"/>
      <c r="K4342" s="1597"/>
      <c r="L4342" s="1597"/>
      <c r="M4342" s="1106">
        <f>SUM(M4340:M4341)</f>
        <v>17754.62976</v>
      </c>
    </row>
    <row r="4343" spans="2:13">
      <c r="B4343" s="1330" t="s">
        <v>703</v>
      </c>
      <c r="C4343" s="2075" t="s">
        <v>3764</v>
      </c>
      <c r="D4343" s="2075"/>
      <c r="E4343" s="2075"/>
      <c r="F4343" s="2075"/>
      <c r="G4343" s="2075"/>
      <c r="H4343" s="1107">
        <f>H4338+H4342</f>
        <v>39399.9</v>
      </c>
      <c r="J4343" s="1600"/>
      <c r="K4343" s="1633">
        <f>M4343/H4343</f>
        <v>0.92588127787126351</v>
      </c>
      <c r="L4343" s="1600"/>
      <c r="M4343" s="1107">
        <f>M4338+M4342</f>
        <v>36479.629759999996</v>
      </c>
    </row>
    <row r="4344" spans="2:13">
      <c r="B4344" s="1330" t="s">
        <v>706</v>
      </c>
      <c r="C4344" s="2076" t="s">
        <v>876</v>
      </c>
      <c r="D4344" s="2076"/>
      <c r="E4344" s="2076"/>
      <c r="F4344" s="2077" t="s">
        <v>3873</v>
      </c>
      <c r="G4344" s="2077"/>
      <c r="H4344" s="1107">
        <f>H4343*0.15</f>
        <v>5909.9849999999997</v>
      </c>
      <c r="J4344" s="1600"/>
      <c r="K4344" s="1600"/>
      <c r="L4344" s="1600"/>
      <c r="M4344" s="1107">
        <f>M4343*0.15</f>
        <v>5471.9444639999992</v>
      </c>
    </row>
    <row r="4345" spans="2:13">
      <c r="B4345" s="1330" t="s">
        <v>708</v>
      </c>
      <c r="C4345" s="2078" t="s">
        <v>3765</v>
      </c>
      <c r="D4345" s="2078"/>
      <c r="E4345" s="2078"/>
      <c r="F4345" s="2078"/>
      <c r="G4345" s="2078"/>
      <c r="H4345" s="1107">
        <f>ROUND(SUM(H4343:H4344),2)</f>
        <v>45309.89</v>
      </c>
      <c r="I4345" s="506">
        <f>SUM(H4343:H4344)</f>
        <v>45309.885000000002</v>
      </c>
      <c r="J4345" s="1636"/>
      <c r="K4345" s="1636"/>
      <c r="L4345" s="1637"/>
      <c r="M4345" s="1107">
        <f>ROUND(SUM(M4343:M4344),2)</f>
        <v>41951.57</v>
      </c>
    </row>
    <row r="4346" spans="2:13">
      <c r="F4346" s="1172"/>
      <c r="G4346" s="1173"/>
      <c r="H4346" s="1133"/>
      <c r="M4346" s="1566"/>
    </row>
    <row r="4347" spans="2:13">
      <c r="B4347" s="1100" t="s">
        <v>4082</v>
      </c>
      <c r="C4347" s="1232" t="s">
        <v>2781</v>
      </c>
      <c r="F4347" s="1172"/>
      <c r="G4347" s="1173"/>
      <c r="H4347" s="1133"/>
      <c r="M4347" s="1566"/>
    </row>
    <row r="4348" spans="2:13" hidden="1">
      <c r="B4348" s="1100" t="s">
        <v>4083</v>
      </c>
      <c r="C4348" s="1112" t="s">
        <v>2780</v>
      </c>
      <c r="D4348" s="1129"/>
      <c r="E4348" s="1129"/>
      <c r="F4348" s="1131"/>
      <c r="G4348" s="1132"/>
      <c r="H4348" s="1115"/>
      <c r="M4348" s="1566"/>
    </row>
    <row r="4349" spans="2:13" s="507" customFormat="1" ht="24.9" hidden="1" customHeight="1">
      <c r="B4349" s="1748" t="s">
        <v>1003</v>
      </c>
      <c r="C4349" s="1101" t="s">
        <v>1004</v>
      </c>
      <c r="D4349" s="1101" t="s">
        <v>1005</v>
      </c>
      <c r="E4349" s="1101" t="s">
        <v>1006</v>
      </c>
      <c r="F4349" s="1102" t="s">
        <v>1007</v>
      </c>
      <c r="G4349" s="1109" t="s">
        <v>2637</v>
      </c>
      <c r="H4349" s="1110" t="s">
        <v>2638</v>
      </c>
      <c r="J4349" s="1625"/>
      <c r="K4349" s="1625"/>
      <c r="L4349" s="1625"/>
      <c r="M4349" s="1570"/>
    </row>
    <row r="4350" spans="2:13" hidden="1">
      <c r="B4350" s="1543" t="s">
        <v>671</v>
      </c>
      <c r="C4350" s="1332" t="s">
        <v>672</v>
      </c>
      <c r="D4350" s="1331"/>
      <c r="E4350" s="1331"/>
      <c r="F4350" s="1334"/>
      <c r="G4350" s="1104"/>
      <c r="H4350" s="1106"/>
      <c r="M4350" s="1566"/>
    </row>
    <row r="4351" spans="2:13" hidden="1">
      <c r="B4351" s="1543"/>
      <c r="C4351" s="1332" t="s">
        <v>673</v>
      </c>
      <c r="D4351" s="1331" t="s">
        <v>674</v>
      </c>
      <c r="E4351" s="1331" t="s">
        <v>675</v>
      </c>
      <c r="F4351" s="1334">
        <v>0.14000000000000001</v>
      </c>
      <c r="G4351" s="1104">
        <f>DUB!$I$10</f>
        <v>150000</v>
      </c>
      <c r="H4351" s="1106">
        <f>G4351*F4351</f>
        <v>21000.000000000004</v>
      </c>
      <c r="M4351" s="1566"/>
    </row>
    <row r="4352" spans="2:13" hidden="1">
      <c r="B4352" s="1543"/>
      <c r="C4352" s="1332" t="s">
        <v>677</v>
      </c>
      <c r="D4352" s="1331" t="s">
        <v>678</v>
      </c>
      <c r="E4352" s="1331" t="s">
        <v>675</v>
      </c>
      <c r="F4352" s="1334">
        <v>6.7000000000000004E-2</v>
      </c>
      <c r="G4352" s="1104">
        <f>DUB!$I$11</f>
        <v>187000</v>
      </c>
      <c r="H4352" s="1106">
        <f>G4352*F4352</f>
        <v>12529</v>
      </c>
      <c r="M4352" s="1566"/>
    </row>
    <row r="4353" spans="2:13" hidden="1">
      <c r="B4353" s="1543"/>
      <c r="C4353" s="1332" t="s">
        <v>751</v>
      </c>
      <c r="D4353" s="1331" t="s">
        <v>681</v>
      </c>
      <c r="E4353" s="1331" t="s">
        <v>675</v>
      </c>
      <c r="F4353" s="1334">
        <v>7.0000000000000001E-3</v>
      </c>
      <c r="G4353" s="1104">
        <f>DUB!$I$13</f>
        <v>240000</v>
      </c>
      <c r="H4353" s="1106">
        <f>G4353*F4353</f>
        <v>1680</v>
      </c>
      <c r="M4353" s="1566"/>
    </row>
    <row r="4354" spans="2:13" hidden="1">
      <c r="B4354" s="1543"/>
      <c r="C4354" s="1332" t="s">
        <v>683</v>
      </c>
      <c r="D4354" s="1331" t="s">
        <v>684</v>
      </c>
      <c r="E4354" s="1331" t="s">
        <v>675</v>
      </c>
      <c r="F4354" s="1334">
        <v>7.0000000000000001E-3</v>
      </c>
      <c r="G4354" s="1104">
        <f>DUB!$I$12</f>
        <v>225000</v>
      </c>
      <c r="H4354" s="1106">
        <f>G4354*F4354</f>
        <v>1575</v>
      </c>
      <c r="M4354" s="1566"/>
    </row>
    <row r="4355" spans="2:13" hidden="1">
      <c r="B4355" s="1543"/>
      <c r="C4355" s="1332"/>
      <c r="D4355" s="1331"/>
      <c r="E4355" s="1331"/>
      <c r="F4355" s="2074" t="s">
        <v>685</v>
      </c>
      <c r="G4355" s="2074"/>
      <c r="H4355" s="1106">
        <f>SUM(H4351:H4354)</f>
        <v>36784</v>
      </c>
      <c r="M4355" s="1566"/>
    </row>
    <row r="4356" spans="2:13" hidden="1">
      <c r="B4356" s="1543" t="s">
        <v>686</v>
      </c>
      <c r="C4356" s="1332" t="s">
        <v>687</v>
      </c>
      <c r="D4356" s="1331"/>
      <c r="E4356" s="1331"/>
      <c r="F4356" s="1334"/>
      <c r="G4356" s="1104"/>
      <c r="H4356" s="1106"/>
      <c r="M4356" s="1566"/>
    </row>
    <row r="4357" spans="2:13" hidden="1">
      <c r="B4357" s="1543"/>
      <c r="C4357" s="1332" t="s">
        <v>1214</v>
      </c>
      <c r="D4357" s="1331"/>
      <c r="E4357" s="1331" t="s">
        <v>715</v>
      </c>
      <c r="F4357" s="1334">
        <v>0.6</v>
      </c>
      <c r="G4357" s="1104">
        <f>DUB!$I$243</f>
        <v>57348</v>
      </c>
      <c r="H4357" s="1106">
        <f>G4357*F4357</f>
        <v>34408.799999999996</v>
      </c>
      <c r="M4357" s="1566"/>
    </row>
    <row r="4358" spans="2:13" hidden="1">
      <c r="B4358" s="1543"/>
      <c r="C4358" s="1332" t="s">
        <v>1215</v>
      </c>
      <c r="D4358" s="1331"/>
      <c r="E4358" s="1331" t="s">
        <v>690</v>
      </c>
      <c r="F4358" s="1334">
        <v>0.05</v>
      </c>
      <c r="G4358" s="1104">
        <f>DUB!$I$128</f>
        <v>20441.7</v>
      </c>
      <c r="H4358" s="1106">
        <f>G4358*F4358</f>
        <v>1022.085</v>
      </c>
      <c r="M4358" s="1566"/>
    </row>
    <row r="4359" spans="2:13" hidden="1">
      <c r="B4359" s="1543"/>
      <c r="C4359" s="1125"/>
      <c r="D4359" s="1333"/>
      <c r="E4359" s="1333"/>
      <c r="F4359" s="2074" t="s">
        <v>702</v>
      </c>
      <c r="G4359" s="2074"/>
      <c r="H4359" s="1106">
        <f>SUM(H4357:H4358)</f>
        <v>35430.884999999995</v>
      </c>
      <c r="M4359" s="1566"/>
    </row>
    <row r="4360" spans="2:13" s="496" customFormat="1" hidden="1">
      <c r="B4360" s="1543" t="s">
        <v>703</v>
      </c>
      <c r="C4360" s="2075" t="s">
        <v>3764</v>
      </c>
      <c r="D4360" s="2075"/>
      <c r="E4360" s="2075"/>
      <c r="F4360" s="2075"/>
      <c r="G4360" s="2075"/>
      <c r="H4360" s="1107">
        <f>H4355+H4359</f>
        <v>72214.884999999995</v>
      </c>
      <c r="J4360" s="1559"/>
      <c r="K4360" s="1559"/>
      <c r="L4360" s="1559"/>
      <c r="M4360" s="1635"/>
    </row>
    <row r="4361" spans="2:13" s="496" customFormat="1" hidden="1">
      <c r="B4361" s="1543" t="s">
        <v>706</v>
      </c>
      <c r="C4361" s="2076" t="s">
        <v>876</v>
      </c>
      <c r="D4361" s="2076"/>
      <c r="E4361" s="2076"/>
      <c r="F4361" s="2077" t="s">
        <v>3873</v>
      </c>
      <c r="G4361" s="2077"/>
      <c r="H4361" s="1107">
        <f>H4360*0.15</f>
        <v>10832.232749999999</v>
      </c>
      <c r="J4361" s="1559"/>
      <c r="K4361" s="1559"/>
      <c r="L4361" s="1559"/>
      <c r="M4361" s="1635"/>
    </row>
    <row r="4362" spans="2:13" s="496" customFormat="1" hidden="1">
      <c r="B4362" s="1543" t="s">
        <v>708</v>
      </c>
      <c r="C4362" s="2078" t="s">
        <v>3765</v>
      </c>
      <c r="D4362" s="2078"/>
      <c r="E4362" s="2078"/>
      <c r="F4362" s="2078"/>
      <c r="G4362" s="2078"/>
      <c r="H4362" s="1107">
        <f>ROUND(SUM(H4360:H4361),2)</f>
        <v>83047.12</v>
      </c>
      <c r="I4362" s="506">
        <f>SUM(H4360:H4361)</f>
        <v>83047.11774999999</v>
      </c>
      <c r="J4362" s="1561"/>
      <c r="K4362" s="1561"/>
      <c r="L4362" s="1559"/>
      <c r="M4362" s="1635"/>
    </row>
    <row r="4363" spans="2:13" hidden="1">
      <c r="F4363" s="1172"/>
      <c r="G4363" s="1173"/>
      <c r="H4363" s="1133"/>
      <c r="M4363" s="1566"/>
    </row>
    <row r="4364" spans="2:13" hidden="1">
      <c r="B4364" s="1100" t="s">
        <v>4084</v>
      </c>
      <c r="C4364" s="1232" t="s">
        <v>2779</v>
      </c>
      <c r="F4364" s="1172"/>
      <c r="G4364" s="1173"/>
      <c r="H4364" s="1133"/>
      <c r="M4364" s="1566"/>
    </row>
    <row r="4365" spans="2:13" s="507" customFormat="1" ht="24.9" hidden="1" customHeight="1">
      <c r="B4365" s="1748" t="s">
        <v>1003</v>
      </c>
      <c r="C4365" s="1101" t="s">
        <v>1004</v>
      </c>
      <c r="D4365" s="1101" t="s">
        <v>1005</v>
      </c>
      <c r="E4365" s="1101" t="s">
        <v>1006</v>
      </c>
      <c r="F4365" s="1102" t="s">
        <v>1007</v>
      </c>
      <c r="G4365" s="1109" t="s">
        <v>2637</v>
      </c>
      <c r="H4365" s="1110" t="s">
        <v>2638</v>
      </c>
      <c r="J4365" s="1625"/>
      <c r="K4365" s="1625"/>
      <c r="L4365" s="1625"/>
      <c r="M4365" s="1570"/>
    </row>
    <row r="4366" spans="2:13" hidden="1">
      <c r="B4366" s="1543" t="s">
        <v>671</v>
      </c>
      <c r="C4366" s="1332" t="s">
        <v>672</v>
      </c>
      <c r="D4366" s="1331"/>
      <c r="E4366" s="1331"/>
      <c r="F4366" s="1334"/>
      <c r="G4366" s="1104"/>
      <c r="H4366" s="1106"/>
      <c r="M4366" s="1566"/>
    </row>
    <row r="4367" spans="2:13" hidden="1">
      <c r="B4367" s="1543"/>
      <c r="C4367" s="1332" t="s">
        <v>673</v>
      </c>
      <c r="D4367" s="1331" t="s">
        <v>674</v>
      </c>
      <c r="E4367" s="1331" t="s">
        <v>675</v>
      </c>
      <c r="F4367" s="1334">
        <v>0.14000000000000001</v>
      </c>
      <c r="G4367" s="1104">
        <f>DUB!$I$10</f>
        <v>150000</v>
      </c>
      <c r="H4367" s="1106">
        <f>G4367*F4367</f>
        <v>21000.000000000004</v>
      </c>
      <c r="M4367" s="1566"/>
    </row>
    <row r="4368" spans="2:13" hidden="1">
      <c r="B4368" s="1543"/>
      <c r="C4368" s="1332" t="s">
        <v>677</v>
      </c>
      <c r="D4368" s="1331" t="s">
        <v>678</v>
      </c>
      <c r="E4368" s="1331" t="s">
        <v>675</v>
      </c>
      <c r="F4368" s="1334">
        <v>7.0000000000000007E-2</v>
      </c>
      <c r="G4368" s="1104">
        <f>DUB!$I$11</f>
        <v>187000</v>
      </c>
      <c r="H4368" s="1106">
        <f>G4368*F4368</f>
        <v>13090.000000000002</v>
      </c>
      <c r="M4368" s="1566"/>
    </row>
    <row r="4369" spans="2:13" hidden="1">
      <c r="B4369" s="1543"/>
      <c r="C4369" s="1332" t="s">
        <v>751</v>
      </c>
      <c r="D4369" s="1331" t="s">
        <v>681</v>
      </c>
      <c r="E4369" s="1331" t="s">
        <v>675</v>
      </c>
      <c r="F4369" s="1334">
        <v>7.0000000000000001E-3</v>
      </c>
      <c r="G4369" s="1104">
        <f>DUB!$I$13</f>
        <v>240000</v>
      </c>
      <c r="H4369" s="1106">
        <f>G4369*F4369</f>
        <v>1680</v>
      </c>
      <c r="M4369" s="1566"/>
    </row>
    <row r="4370" spans="2:13" hidden="1">
      <c r="B4370" s="1543"/>
      <c r="C4370" s="1332" t="s">
        <v>683</v>
      </c>
      <c r="D4370" s="1331" t="s">
        <v>684</v>
      </c>
      <c r="E4370" s="1331" t="s">
        <v>675</v>
      </c>
      <c r="F4370" s="1334">
        <v>7.0000000000000001E-3</v>
      </c>
      <c r="G4370" s="1104">
        <f>DUB!$I$12</f>
        <v>225000</v>
      </c>
      <c r="H4370" s="1106">
        <f>G4370*F4370</f>
        <v>1575</v>
      </c>
      <c r="M4370" s="1566"/>
    </row>
    <row r="4371" spans="2:13" hidden="1">
      <c r="B4371" s="1543"/>
      <c r="C4371" s="1332"/>
      <c r="D4371" s="1331"/>
      <c r="E4371" s="1331"/>
      <c r="F4371" s="2074" t="s">
        <v>685</v>
      </c>
      <c r="G4371" s="2074"/>
      <c r="H4371" s="1106">
        <f>SUM(H4367:H4370)</f>
        <v>37345.000000000007</v>
      </c>
      <c r="M4371" s="1566"/>
    </row>
    <row r="4372" spans="2:13" hidden="1">
      <c r="B4372" s="1543" t="s">
        <v>686</v>
      </c>
      <c r="C4372" s="1332" t="s">
        <v>687</v>
      </c>
      <c r="D4372" s="1331"/>
      <c r="E4372" s="1331"/>
      <c r="F4372" s="1334"/>
      <c r="G4372" s="1104"/>
      <c r="H4372" s="1106"/>
      <c r="M4372" s="1566"/>
    </row>
    <row r="4373" spans="2:13" hidden="1">
      <c r="B4373" s="1543"/>
      <c r="C4373" s="1332" t="s">
        <v>3365</v>
      </c>
      <c r="D4373" s="1331"/>
      <c r="E4373" s="1331" t="s">
        <v>715</v>
      </c>
      <c r="F4373" s="1334">
        <v>0.6</v>
      </c>
      <c r="G4373" s="1104">
        <f>DUB!$I$240</f>
        <v>37368</v>
      </c>
      <c r="H4373" s="1106">
        <f>G4373*F4373</f>
        <v>22420.799999999999</v>
      </c>
      <c r="M4373" s="1566"/>
    </row>
    <row r="4374" spans="2:13" hidden="1">
      <c r="B4374" s="1543"/>
      <c r="C4374" s="1332" t="s">
        <v>1217</v>
      </c>
      <c r="D4374" s="1331"/>
      <c r="E4374" s="1331" t="s">
        <v>690</v>
      </c>
      <c r="F4374" s="1334">
        <v>0.12</v>
      </c>
      <c r="G4374" s="1104">
        <f>DUB!$I$132</f>
        <v>38592</v>
      </c>
      <c r="H4374" s="1106">
        <f>G4374*F4374</f>
        <v>4631.04</v>
      </c>
      <c r="M4374" s="1566"/>
    </row>
    <row r="4375" spans="2:13" hidden="1">
      <c r="B4375" s="1543"/>
      <c r="C4375" s="1125"/>
      <c r="D4375" s="1333"/>
      <c r="E4375" s="1333"/>
      <c r="F4375" s="2074" t="s">
        <v>702</v>
      </c>
      <c r="G4375" s="2074"/>
      <c r="H4375" s="1106">
        <f>SUM(H4373:H4374)</f>
        <v>27051.84</v>
      </c>
      <c r="M4375" s="1566"/>
    </row>
    <row r="4376" spans="2:13" s="496" customFormat="1" hidden="1">
      <c r="B4376" s="1543" t="s">
        <v>703</v>
      </c>
      <c r="C4376" s="2075" t="s">
        <v>3764</v>
      </c>
      <c r="D4376" s="2075"/>
      <c r="E4376" s="2075"/>
      <c r="F4376" s="2075"/>
      <c r="G4376" s="2075"/>
      <c r="H4376" s="1107">
        <f>H4371+H4375</f>
        <v>64396.840000000011</v>
      </c>
      <c r="J4376" s="1559"/>
      <c r="K4376" s="1559"/>
      <c r="L4376" s="1559"/>
      <c r="M4376" s="1635"/>
    </row>
    <row r="4377" spans="2:13" s="496" customFormat="1" hidden="1">
      <c r="B4377" s="1543" t="s">
        <v>706</v>
      </c>
      <c r="C4377" s="2076" t="s">
        <v>876</v>
      </c>
      <c r="D4377" s="2076"/>
      <c r="E4377" s="2076"/>
      <c r="F4377" s="2077" t="s">
        <v>3873</v>
      </c>
      <c r="G4377" s="2077"/>
      <c r="H4377" s="1107">
        <f>H4376*0.15</f>
        <v>9659.5260000000017</v>
      </c>
      <c r="J4377" s="1559"/>
      <c r="K4377" s="1559"/>
      <c r="L4377" s="1559"/>
      <c r="M4377" s="1635"/>
    </row>
    <row r="4378" spans="2:13" s="496" customFormat="1" hidden="1">
      <c r="B4378" s="1543" t="s">
        <v>708</v>
      </c>
      <c r="C4378" s="2078" t="s">
        <v>3765</v>
      </c>
      <c r="D4378" s="2078"/>
      <c r="E4378" s="2078"/>
      <c r="F4378" s="2078"/>
      <c r="G4378" s="2078"/>
      <c r="H4378" s="1107">
        <f>ROUND(SUM(H4376:H4377),2)</f>
        <v>74056.37</v>
      </c>
      <c r="I4378" s="506">
        <f>SUM(H4376:H4377)</f>
        <v>74056.366000000009</v>
      </c>
      <c r="J4378" s="1561"/>
      <c r="K4378" s="1561"/>
      <c r="L4378" s="1559"/>
      <c r="M4378" s="1635"/>
    </row>
    <row r="4379" spans="2:13" hidden="1">
      <c r="B4379" s="1143"/>
      <c r="C4379" s="1144"/>
      <c r="D4379" s="1143"/>
      <c r="E4379" s="1143"/>
      <c r="F4379" s="1145"/>
      <c r="G4379" s="1146"/>
      <c r="H4379" s="1147"/>
      <c r="M4379" s="1566"/>
    </row>
    <row r="4380" spans="2:13" hidden="1">
      <c r="B4380" s="1100" t="s">
        <v>4085</v>
      </c>
      <c r="C4380" s="1112" t="s">
        <v>2778</v>
      </c>
      <c r="D4380" s="1129"/>
      <c r="E4380" s="1129"/>
      <c r="F4380" s="1131"/>
      <c r="G4380" s="1132"/>
      <c r="H4380" s="1115"/>
      <c r="M4380" s="1566"/>
    </row>
    <row r="4381" spans="2:13" s="507" customFormat="1" ht="24.9" hidden="1" customHeight="1">
      <c r="B4381" s="1748" t="s">
        <v>1003</v>
      </c>
      <c r="C4381" s="1101" t="s">
        <v>1004</v>
      </c>
      <c r="D4381" s="1101" t="s">
        <v>1005</v>
      </c>
      <c r="E4381" s="1101" t="s">
        <v>1006</v>
      </c>
      <c r="F4381" s="1102" t="s">
        <v>1007</v>
      </c>
      <c r="G4381" s="1109" t="s">
        <v>2637</v>
      </c>
      <c r="H4381" s="1110" t="s">
        <v>2638</v>
      </c>
      <c r="J4381" s="1625"/>
      <c r="K4381" s="1625"/>
      <c r="L4381" s="1625"/>
      <c r="M4381" s="1570"/>
    </row>
    <row r="4382" spans="2:13" hidden="1">
      <c r="B4382" s="1543" t="s">
        <v>671</v>
      </c>
      <c r="C4382" s="1332" t="s">
        <v>672</v>
      </c>
      <c r="D4382" s="1331"/>
      <c r="E4382" s="1331"/>
      <c r="F4382" s="1334"/>
      <c r="G4382" s="1104"/>
      <c r="H4382" s="1106"/>
      <c r="M4382" s="1566"/>
    </row>
    <row r="4383" spans="2:13" hidden="1">
      <c r="B4383" s="1543"/>
      <c r="C4383" s="1332" t="s">
        <v>673</v>
      </c>
      <c r="D4383" s="1331" t="s">
        <v>674</v>
      </c>
      <c r="E4383" s="1331" t="s">
        <v>675</v>
      </c>
      <c r="F4383" s="1334">
        <v>8.4000000000000005E-2</v>
      </c>
      <c r="G4383" s="1104">
        <f>DUB!$I$10</f>
        <v>150000</v>
      </c>
      <c r="H4383" s="1106">
        <f>G4383*F4383</f>
        <v>12600</v>
      </c>
      <c r="M4383" s="1566"/>
    </row>
    <row r="4384" spans="2:13" hidden="1">
      <c r="B4384" s="1543"/>
      <c r="C4384" s="1332" t="s">
        <v>677</v>
      </c>
      <c r="D4384" s="1331" t="s">
        <v>678</v>
      </c>
      <c r="E4384" s="1331" t="s">
        <v>675</v>
      </c>
      <c r="F4384" s="1334">
        <v>0.125</v>
      </c>
      <c r="G4384" s="1104">
        <f>DUB!$I$11</f>
        <v>187000</v>
      </c>
      <c r="H4384" s="1106">
        <f>G4384*F4384</f>
        <v>23375</v>
      </c>
      <c r="M4384" s="1566"/>
    </row>
    <row r="4385" spans="2:13" hidden="1">
      <c r="B4385" s="1543"/>
      <c r="C4385" s="1332" t="s">
        <v>751</v>
      </c>
      <c r="D4385" s="1331" t="s">
        <v>681</v>
      </c>
      <c r="E4385" s="1331" t="s">
        <v>675</v>
      </c>
      <c r="F4385" s="1334">
        <v>1.2999999999999999E-2</v>
      </c>
      <c r="G4385" s="1104">
        <f>DUB!$I$13</f>
        <v>240000</v>
      </c>
      <c r="H4385" s="1106">
        <f>G4385*F4385</f>
        <v>3120</v>
      </c>
      <c r="M4385" s="1566"/>
    </row>
    <row r="4386" spans="2:13" hidden="1">
      <c r="B4386" s="1543"/>
      <c r="C4386" s="1332" t="s">
        <v>683</v>
      </c>
      <c r="D4386" s="1331" t="s">
        <v>684</v>
      </c>
      <c r="E4386" s="1331" t="s">
        <v>675</v>
      </c>
      <c r="F4386" s="1334">
        <v>4.0000000000000001E-3</v>
      </c>
      <c r="G4386" s="1104">
        <f>DUB!$I$12</f>
        <v>225000</v>
      </c>
      <c r="H4386" s="1106">
        <f>G4386*F4386</f>
        <v>900</v>
      </c>
      <c r="M4386" s="1566"/>
    </row>
    <row r="4387" spans="2:13" hidden="1">
      <c r="B4387" s="1543"/>
      <c r="C4387" s="1332"/>
      <c r="D4387" s="1331"/>
      <c r="E4387" s="1331"/>
      <c r="F4387" s="2074" t="s">
        <v>685</v>
      </c>
      <c r="G4387" s="2074"/>
      <c r="H4387" s="1106">
        <f>SUM(H4383:H4386)</f>
        <v>39995</v>
      </c>
      <c r="M4387" s="1566"/>
    </row>
    <row r="4388" spans="2:13" hidden="1">
      <c r="B4388" s="1543" t="s">
        <v>686</v>
      </c>
      <c r="C4388" s="1332" t="s">
        <v>687</v>
      </c>
      <c r="D4388" s="1331"/>
      <c r="E4388" s="1331"/>
      <c r="F4388" s="1334"/>
      <c r="G4388" s="1104"/>
      <c r="H4388" s="1106"/>
      <c r="M4388" s="1566"/>
    </row>
    <row r="4389" spans="2:13" hidden="1">
      <c r="B4389" s="1543"/>
      <c r="C4389" s="1332" t="s">
        <v>1227</v>
      </c>
      <c r="D4389" s="1331"/>
      <c r="E4389" s="1331" t="s">
        <v>715</v>
      </c>
      <c r="F4389" s="1334">
        <v>1.1000000000000001</v>
      </c>
      <c r="G4389" s="1104">
        <f>DUB!$I$249</f>
        <v>35343</v>
      </c>
      <c r="H4389" s="1106">
        <f>G4389*F4389</f>
        <v>38877.300000000003</v>
      </c>
      <c r="M4389" s="1566"/>
    </row>
    <row r="4390" spans="2:13" hidden="1">
      <c r="B4390" s="1543"/>
      <c r="C4390" s="1332" t="s">
        <v>2655</v>
      </c>
      <c r="D4390" s="1331"/>
      <c r="E4390" s="1331" t="s">
        <v>743</v>
      </c>
      <c r="F4390" s="1334">
        <v>6</v>
      </c>
      <c r="G4390" s="1104">
        <f>DUB!$I$131</f>
        <v>531</v>
      </c>
      <c r="H4390" s="1106">
        <f>G4390*F4390</f>
        <v>3186</v>
      </c>
      <c r="M4390" s="1566"/>
    </row>
    <row r="4391" spans="2:13" hidden="1">
      <c r="B4391" s="1543"/>
      <c r="C4391" s="1332"/>
      <c r="D4391" s="1331"/>
      <c r="E4391" s="1331"/>
      <c r="F4391" s="2090" t="s">
        <v>702</v>
      </c>
      <c r="G4391" s="2090"/>
      <c r="H4391" s="1106">
        <f>SUM(H4389:H4390)</f>
        <v>42063.3</v>
      </c>
      <c r="M4391" s="1566"/>
    </row>
    <row r="4392" spans="2:13" s="496" customFormat="1" hidden="1">
      <c r="B4392" s="1543" t="s">
        <v>703</v>
      </c>
      <c r="C4392" s="2089" t="s">
        <v>3764</v>
      </c>
      <c r="D4392" s="2089"/>
      <c r="E4392" s="2089"/>
      <c r="F4392" s="2089"/>
      <c r="G4392" s="2089"/>
      <c r="H4392" s="1107">
        <f>H4387+H4391</f>
        <v>82058.3</v>
      </c>
      <c r="J4392" s="1559"/>
      <c r="K4392" s="1559"/>
      <c r="L4392" s="1559"/>
      <c r="M4392" s="1635"/>
    </row>
    <row r="4393" spans="2:13" s="496" customFormat="1" hidden="1">
      <c r="B4393" s="1543" t="s">
        <v>706</v>
      </c>
      <c r="C4393" s="2076" t="s">
        <v>876</v>
      </c>
      <c r="D4393" s="2076"/>
      <c r="E4393" s="2076"/>
      <c r="F4393" s="2077" t="s">
        <v>3873</v>
      </c>
      <c r="G4393" s="2077"/>
      <c r="H4393" s="1107">
        <f>H4392*0.15</f>
        <v>12308.745000000001</v>
      </c>
      <c r="J4393" s="1559"/>
      <c r="K4393" s="1559"/>
      <c r="L4393" s="1559"/>
      <c r="M4393" s="1635"/>
    </row>
    <row r="4394" spans="2:13" s="496" customFormat="1" hidden="1">
      <c r="B4394" s="1543" t="s">
        <v>708</v>
      </c>
      <c r="C4394" s="2078" t="s">
        <v>3765</v>
      </c>
      <c r="D4394" s="2078"/>
      <c r="E4394" s="2078"/>
      <c r="F4394" s="2078"/>
      <c r="G4394" s="2078"/>
      <c r="H4394" s="1107">
        <f>ROUND(SUM(H4392:H4393),2)</f>
        <v>94367.05</v>
      </c>
      <c r="I4394" s="506">
        <f>SUM(H4392:H4393)</f>
        <v>94367.044999999998</v>
      </c>
      <c r="J4394" s="1561"/>
      <c r="K4394" s="1561"/>
      <c r="L4394" s="1559"/>
      <c r="M4394" s="1635"/>
    </row>
    <row r="4395" spans="2:13" hidden="1">
      <c r="F4395" s="1172"/>
      <c r="G4395" s="1173"/>
      <c r="H4395" s="1133"/>
      <c r="M4395" s="1566"/>
    </row>
    <row r="4396" spans="2:13" hidden="1">
      <c r="B4396" s="1150" t="s">
        <v>4086</v>
      </c>
      <c r="C4396" s="1112" t="s">
        <v>2777</v>
      </c>
      <c r="D4396" s="1129"/>
      <c r="E4396" s="1129"/>
      <c r="F4396" s="1131"/>
      <c r="G4396" s="1132"/>
      <c r="H4396" s="1115"/>
      <c r="M4396" s="1566"/>
    </row>
    <row r="4397" spans="2:13" s="507" customFormat="1" ht="24.9" hidden="1" customHeight="1">
      <c r="B4397" s="1748" t="s">
        <v>1003</v>
      </c>
      <c r="C4397" s="1101" t="s">
        <v>1004</v>
      </c>
      <c r="D4397" s="1101" t="s">
        <v>1005</v>
      </c>
      <c r="E4397" s="1101" t="s">
        <v>1006</v>
      </c>
      <c r="F4397" s="1102" t="s">
        <v>1007</v>
      </c>
      <c r="G4397" s="1109" t="s">
        <v>2637</v>
      </c>
      <c r="H4397" s="1110" t="s">
        <v>2638</v>
      </c>
      <c r="J4397" s="1625"/>
      <c r="K4397" s="1625"/>
      <c r="L4397" s="1625"/>
      <c r="M4397" s="1570"/>
    </row>
    <row r="4398" spans="2:13" hidden="1">
      <c r="B4398" s="1543" t="s">
        <v>671</v>
      </c>
      <c r="C4398" s="1332" t="s">
        <v>672</v>
      </c>
      <c r="D4398" s="1331"/>
      <c r="E4398" s="1331"/>
      <c r="F4398" s="1334"/>
      <c r="G4398" s="1104"/>
      <c r="H4398" s="1106"/>
      <c r="M4398" s="1566"/>
    </row>
    <row r="4399" spans="2:13" hidden="1">
      <c r="B4399" s="1543"/>
      <c r="C4399" s="1332" t="s">
        <v>673</v>
      </c>
      <c r="D4399" s="1331" t="s">
        <v>674</v>
      </c>
      <c r="E4399" s="1331" t="s">
        <v>675</v>
      </c>
      <c r="F4399" s="1334">
        <v>8.4000000000000005E-2</v>
      </c>
      <c r="G4399" s="1104">
        <f>DUB!$I$10</f>
        <v>150000</v>
      </c>
      <c r="H4399" s="1106">
        <f>G4399*F4399</f>
        <v>12600</v>
      </c>
      <c r="M4399" s="1566"/>
    </row>
    <row r="4400" spans="2:13" hidden="1">
      <c r="B4400" s="1543"/>
      <c r="C4400" s="1332" t="s">
        <v>677</v>
      </c>
      <c r="D4400" s="1331" t="s">
        <v>678</v>
      </c>
      <c r="E4400" s="1331" t="s">
        <v>675</v>
      </c>
      <c r="F4400" s="1334">
        <v>0.125</v>
      </c>
      <c r="G4400" s="1104">
        <f>DUB!$I$11</f>
        <v>187000</v>
      </c>
      <c r="H4400" s="1106">
        <f>G4400*F4400</f>
        <v>23375</v>
      </c>
      <c r="M4400" s="1566"/>
    </row>
    <row r="4401" spans="2:13" hidden="1">
      <c r="B4401" s="1543"/>
      <c r="C4401" s="1332" t="s">
        <v>751</v>
      </c>
      <c r="D4401" s="1331" t="s">
        <v>681</v>
      </c>
      <c r="E4401" s="1331" t="s">
        <v>675</v>
      </c>
      <c r="F4401" s="1334">
        <v>1.2999999999999999E-2</v>
      </c>
      <c r="G4401" s="1104">
        <f>DUB!$I$13</f>
        <v>240000</v>
      </c>
      <c r="H4401" s="1106">
        <f>G4401*F4401</f>
        <v>3120</v>
      </c>
      <c r="M4401" s="1566"/>
    </row>
    <row r="4402" spans="2:13" hidden="1">
      <c r="B4402" s="1543"/>
      <c r="C4402" s="1332" t="s">
        <v>683</v>
      </c>
      <c r="D4402" s="1331" t="s">
        <v>684</v>
      </c>
      <c r="E4402" s="1331" t="s">
        <v>675</v>
      </c>
      <c r="F4402" s="1334">
        <v>4.0000000000000001E-3</v>
      </c>
      <c r="G4402" s="1104">
        <f>DUB!$I$12</f>
        <v>225000</v>
      </c>
      <c r="H4402" s="1106">
        <f>G4402*F4402</f>
        <v>900</v>
      </c>
      <c r="M4402" s="1566"/>
    </row>
    <row r="4403" spans="2:13" hidden="1">
      <c r="B4403" s="1543"/>
      <c r="C4403" s="1332"/>
      <c r="D4403" s="1331"/>
      <c r="E4403" s="1331"/>
      <c r="F4403" s="2074" t="s">
        <v>685</v>
      </c>
      <c r="G4403" s="2074"/>
      <c r="H4403" s="1106">
        <f>SUM(H4399:H4402)</f>
        <v>39995</v>
      </c>
      <c r="M4403" s="1566"/>
    </row>
    <row r="4404" spans="2:13" hidden="1">
      <c r="B4404" s="1543" t="s">
        <v>686</v>
      </c>
      <c r="C4404" s="1332" t="s">
        <v>687</v>
      </c>
      <c r="D4404" s="1331"/>
      <c r="E4404" s="1331"/>
      <c r="F4404" s="1334"/>
      <c r="G4404" s="1104"/>
      <c r="H4404" s="1106"/>
      <c r="M4404" s="1566"/>
    </row>
    <row r="4405" spans="2:13" hidden="1">
      <c r="B4405" s="1543"/>
      <c r="C4405" s="1332" t="s">
        <v>1233</v>
      </c>
      <c r="D4405" s="1331"/>
      <c r="E4405" s="1331" t="s">
        <v>715</v>
      </c>
      <c r="F4405" s="1334">
        <v>1.1000000000000001</v>
      </c>
      <c r="G4405" s="1104">
        <f>DUB!$I$250</f>
        <v>28215</v>
      </c>
      <c r="H4405" s="1106">
        <f>G4405*F4405</f>
        <v>31036.500000000004</v>
      </c>
      <c r="M4405" s="1566"/>
    </row>
    <row r="4406" spans="2:13" hidden="1">
      <c r="B4406" s="1543"/>
      <c r="C4406" s="1332" t="s">
        <v>2655</v>
      </c>
      <c r="D4406" s="1331"/>
      <c r="E4406" s="1331" t="s">
        <v>743</v>
      </c>
      <c r="F4406" s="1334">
        <v>6</v>
      </c>
      <c r="G4406" s="1104">
        <f>DUB!$I$131</f>
        <v>531</v>
      </c>
      <c r="H4406" s="1106">
        <f>G4406*F4406</f>
        <v>3186</v>
      </c>
      <c r="M4406" s="1566"/>
    </row>
    <row r="4407" spans="2:13" hidden="1">
      <c r="B4407" s="1543"/>
      <c r="C4407" s="1125"/>
      <c r="D4407" s="1333"/>
      <c r="E4407" s="1333"/>
      <c r="F4407" s="2074" t="s">
        <v>702</v>
      </c>
      <c r="G4407" s="2074"/>
      <c r="H4407" s="1106">
        <f>SUM(H4405:H4406)</f>
        <v>34222.5</v>
      </c>
      <c r="M4407" s="1566"/>
    </row>
    <row r="4408" spans="2:13" s="496" customFormat="1" hidden="1">
      <c r="B4408" s="1543" t="s">
        <v>703</v>
      </c>
      <c r="C4408" s="2075" t="s">
        <v>3764</v>
      </c>
      <c r="D4408" s="2075"/>
      <c r="E4408" s="2075"/>
      <c r="F4408" s="2075"/>
      <c r="G4408" s="2075"/>
      <c r="H4408" s="1107">
        <f>H4403+H4407</f>
        <v>74217.5</v>
      </c>
      <c r="J4408" s="1559"/>
      <c r="K4408" s="1559"/>
      <c r="L4408" s="1559"/>
      <c r="M4408" s="1635"/>
    </row>
    <row r="4409" spans="2:13" s="496" customFormat="1" hidden="1">
      <c r="B4409" s="1543" t="s">
        <v>706</v>
      </c>
      <c r="C4409" s="2076" t="s">
        <v>876</v>
      </c>
      <c r="D4409" s="2076"/>
      <c r="E4409" s="2076"/>
      <c r="F4409" s="2077" t="s">
        <v>3873</v>
      </c>
      <c r="G4409" s="2077"/>
      <c r="H4409" s="1107">
        <f>H4408*0.15</f>
        <v>11132.625</v>
      </c>
      <c r="J4409" s="1559"/>
      <c r="K4409" s="1559"/>
      <c r="L4409" s="1559"/>
      <c r="M4409" s="1635"/>
    </row>
    <row r="4410" spans="2:13" s="496" customFormat="1" hidden="1">
      <c r="B4410" s="1543" t="s">
        <v>708</v>
      </c>
      <c r="C4410" s="2078" t="s">
        <v>3765</v>
      </c>
      <c r="D4410" s="2078"/>
      <c r="E4410" s="2078"/>
      <c r="F4410" s="2078"/>
      <c r="G4410" s="2078"/>
      <c r="H4410" s="1107">
        <f>ROUND(SUM(H4408:H4409),2)</f>
        <v>85350.13</v>
      </c>
      <c r="I4410" s="506">
        <f>SUM(H4408:H4409)</f>
        <v>85350.125</v>
      </c>
      <c r="J4410" s="1561"/>
      <c r="K4410" s="1561"/>
      <c r="L4410" s="1559"/>
      <c r="M4410" s="1635"/>
    </row>
    <row r="4411" spans="2:13" hidden="1">
      <c r="F4411" s="1172"/>
      <c r="G4411" s="1173"/>
      <c r="H4411" s="1133"/>
      <c r="M4411" s="1566"/>
    </row>
    <row r="4412" spans="2:13" hidden="1">
      <c r="B4412" s="1100" t="s">
        <v>4087</v>
      </c>
      <c r="C4412" s="1232" t="s">
        <v>2776</v>
      </c>
      <c r="F4412" s="1172"/>
      <c r="G4412" s="1173"/>
      <c r="H4412" s="1133"/>
      <c r="M4412" s="1566"/>
    </row>
    <row r="4413" spans="2:13" s="507" customFormat="1" ht="24.9" hidden="1" customHeight="1">
      <c r="B4413" s="1748" t="s">
        <v>1003</v>
      </c>
      <c r="C4413" s="1101" t="s">
        <v>1004</v>
      </c>
      <c r="D4413" s="1101" t="s">
        <v>1005</v>
      </c>
      <c r="E4413" s="1101" t="s">
        <v>1006</v>
      </c>
      <c r="F4413" s="1102" t="s">
        <v>1007</v>
      </c>
      <c r="G4413" s="1109" t="s">
        <v>2637</v>
      </c>
      <c r="H4413" s="1110" t="s">
        <v>2638</v>
      </c>
      <c r="J4413" s="1625"/>
      <c r="K4413" s="1625"/>
      <c r="L4413" s="1625"/>
      <c r="M4413" s="1570"/>
    </row>
    <row r="4414" spans="2:13" hidden="1">
      <c r="B4414" s="1543" t="s">
        <v>671</v>
      </c>
      <c r="C4414" s="1332" t="s">
        <v>672</v>
      </c>
      <c r="D4414" s="1331"/>
      <c r="E4414" s="1331"/>
      <c r="F4414" s="1334"/>
      <c r="G4414" s="1104"/>
      <c r="H4414" s="1106"/>
      <c r="M4414" s="1566"/>
    </row>
    <row r="4415" spans="2:13" hidden="1">
      <c r="B4415" s="1543"/>
      <c r="C4415" s="1332" t="s">
        <v>673</v>
      </c>
      <c r="D4415" s="1331" t="s">
        <v>674</v>
      </c>
      <c r="E4415" s="1331" t="s">
        <v>675</v>
      </c>
      <c r="F4415" s="1334">
        <v>0.2</v>
      </c>
      <c r="G4415" s="1104">
        <f>DUB!$I$10</f>
        <v>150000</v>
      </c>
      <c r="H4415" s="1106">
        <f>G4415*F4415</f>
        <v>30000</v>
      </c>
      <c r="M4415" s="1566"/>
    </row>
    <row r="4416" spans="2:13" hidden="1">
      <c r="B4416" s="1543"/>
      <c r="C4416" s="1332" t="s">
        <v>677</v>
      </c>
      <c r="D4416" s="1331" t="s">
        <v>678</v>
      </c>
      <c r="E4416" s="1331" t="s">
        <v>675</v>
      </c>
      <c r="F4416" s="1334">
        <v>0.1</v>
      </c>
      <c r="G4416" s="1104">
        <f>DUB!$I$11</f>
        <v>187000</v>
      </c>
      <c r="H4416" s="1106">
        <f>G4416*F4416</f>
        <v>18700</v>
      </c>
      <c r="M4416" s="1566"/>
    </row>
    <row r="4417" spans="2:13" hidden="1">
      <c r="B4417" s="1543"/>
      <c r="C4417" s="1332" t="s">
        <v>751</v>
      </c>
      <c r="D4417" s="1331" t="s">
        <v>681</v>
      </c>
      <c r="E4417" s="1331" t="s">
        <v>675</v>
      </c>
      <c r="F4417" s="1334">
        <v>0.01</v>
      </c>
      <c r="G4417" s="1104">
        <f>DUB!$I$13</f>
        <v>240000</v>
      </c>
      <c r="H4417" s="1106">
        <f>G4417*F4417</f>
        <v>2400</v>
      </c>
      <c r="M4417" s="1566"/>
    </row>
    <row r="4418" spans="2:13" hidden="1">
      <c r="B4418" s="1543"/>
      <c r="C4418" s="1332" t="s">
        <v>683</v>
      </c>
      <c r="D4418" s="1331" t="s">
        <v>684</v>
      </c>
      <c r="E4418" s="1331" t="s">
        <v>675</v>
      </c>
      <c r="F4418" s="1334">
        <v>0.01</v>
      </c>
      <c r="G4418" s="1104">
        <f>DUB!$I$12</f>
        <v>225000</v>
      </c>
      <c r="H4418" s="1106">
        <f>G4418*F4418</f>
        <v>2250</v>
      </c>
      <c r="M4418" s="1566"/>
    </row>
    <row r="4419" spans="2:13" hidden="1">
      <c r="B4419" s="1543"/>
      <c r="C4419" s="1332"/>
      <c r="D4419" s="1331"/>
      <c r="E4419" s="1331"/>
      <c r="F4419" s="2074" t="s">
        <v>685</v>
      </c>
      <c r="G4419" s="2074"/>
      <c r="H4419" s="1106">
        <f>SUM(H4415:H4418)</f>
        <v>53350</v>
      </c>
      <c r="M4419" s="1566"/>
    </row>
    <row r="4420" spans="2:13" hidden="1">
      <c r="B4420" s="1543" t="s">
        <v>686</v>
      </c>
      <c r="C4420" s="1332" t="s">
        <v>687</v>
      </c>
      <c r="D4420" s="1331"/>
      <c r="E4420" s="1331"/>
      <c r="F4420" s="1334"/>
      <c r="G4420" s="1104"/>
      <c r="H4420" s="1106"/>
      <c r="M4420" s="1566"/>
    </row>
    <row r="4421" spans="2:13" hidden="1">
      <c r="B4421" s="1543"/>
      <c r="C4421" s="1332" t="s">
        <v>1235</v>
      </c>
      <c r="D4421" s="1331"/>
      <c r="E4421" s="1331" t="s">
        <v>743</v>
      </c>
      <c r="F4421" s="1334">
        <v>11</v>
      </c>
      <c r="G4421" s="1104">
        <f>DUB!$I$246</f>
        <v>7335</v>
      </c>
      <c r="H4421" s="1106">
        <f>G4421*F4421</f>
        <v>80685</v>
      </c>
      <c r="M4421" s="1566"/>
    </row>
    <row r="4422" spans="2:13" hidden="1">
      <c r="B4422" s="1543"/>
      <c r="C4422" s="1332" t="s">
        <v>1237</v>
      </c>
      <c r="D4422" s="1331"/>
      <c r="E4422" s="1331" t="s">
        <v>690</v>
      </c>
      <c r="F4422" s="1334">
        <v>0.03</v>
      </c>
      <c r="G4422" s="1104">
        <f>DUB!I$128</f>
        <v>20441.7</v>
      </c>
      <c r="H4422" s="1106">
        <f>G4422*F4422</f>
        <v>613.25099999999998</v>
      </c>
      <c r="M4422" s="1566"/>
    </row>
    <row r="4423" spans="2:13" hidden="1">
      <c r="B4423" s="1543"/>
      <c r="C4423" s="1125"/>
      <c r="D4423" s="1333"/>
      <c r="E4423" s="1333"/>
      <c r="F4423" s="2074" t="s">
        <v>702</v>
      </c>
      <c r="G4423" s="2074"/>
      <c r="H4423" s="1106">
        <f>SUM(H4421:H4422)</f>
        <v>81298.251000000004</v>
      </c>
      <c r="M4423" s="1566"/>
    </row>
    <row r="4424" spans="2:13" s="496" customFormat="1" hidden="1">
      <c r="B4424" s="1543" t="s">
        <v>703</v>
      </c>
      <c r="C4424" s="2075" t="s">
        <v>3764</v>
      </c>
      <c r="D4424" s="2075"/>
      <c r="E4424" s="2075"/>
      <c r="F4424" s="2075"/>
      <c r="G4424" s="2075"/>
      <c r="H4424" s="1107">
        <f>H4419+H4423</f>
        <v>134648.25099999999</v>
      </c>
      <c r="J4424" s="1559"/>
      <c r="K4424" s="1559"/>
      <c r="L4424" s="1559"/>
      <c r="M4424" s="1635"/>
    </row>
    <row r="4425" spans="2:13" s="496" customFormat="1" hidden="1">
      <c r="B4425" s="1543" t="s">
        <v>706</v>
      </c>
      <c r="C4425" s="2076" t="s">
        <v>876</v>
      </c>
      <c r="D4425" s="2076"/>
      <c r="E4425" s="2076"/>
      <c r="F4425" s="2077" t="s">
        <v>3873</v>
      </c>
      <c r="G4425" s="2077"/>
      <c r="H4425" s="1107">
        <f>H4424*0.15</f>
        <v>20197.237649999999</v>
      </c>
      <c r="J4425" s="1559"/>
      <c r="K4425" s="1559"/>
      <c r="L4425" s="1559"/>
      <c r="M4425" s="1635"/>
    </row>
    <row r="4426" spans="2:13" s="496" customFormat="1" hidden="1">
      <c r="B4426" s="1543" t="s">
        <v>708</v>
      </c>
      <c r="C4426" s="2078" t="s">
        <v>3765</v>
      </c>
      <c r="D4426" s="2078"/>
      <c r="E4426" s="2078"/>
      <c r="F4426" s="2078"/>
      <c r="G4426" s="2078"/>
      <c r="H4426" s="1107">
        <f>ROUND(SUM(H4424:H4425),2)</f>
        <v>154845.49</v>
      </c>
      <c r="I4426" s="506">
        <f>SUM(H4424:H4425)</f>
        <v>154845.48864999998</v>
      </c>
      <c r="J4426" s="1561"/>
      <c r="K4426" s="1561"/>
      <c r="L4426" s="1559"/>
      <c r="M4426" s="1635"/>
    </row>
    <row r="4427" spans="2:13" hidden="1">
      <c r="B4427" s="1129"/>
      <c r="C4427" s="1130"/>
      <c r="D4427" s="1129"/>
      <c r="E4427" s="1130"/>
      <c r="F4427" s="1131"/>
      <c r="G4427" s="1132"/>
      <c r="H4427" s="1133"/>
      <c r="I4427" s="526"/>
      <c r="J4427" s="1562"/>
      <c r="K4427" s="1562"/>
      <c r="M4427" s="1566"/>
    </row>
    <row r="4428" spans="2:13" hidden="1">
      <c r="B4428" s="1100" t="s">
        <v>4088</v>
      </c>
      <c r="C4428" s="1232" t="s">
        <v>3366</v>
      </c>
      <c r="F4428" s="1172"/>
      <c r="G4428" s="1173"/>
      <c r="H4428" s="1133"/>
      <c r="M4428" s="1566"/>
    </row>
    <row r="4429" spans="2:13" s="507" customFormat="1" ht="24.9" hidden="1" customHeight="1">
      <c r="B4429" s="1748" t="s">
        <v>1003</v>
      </c>
      <c r="C4429" s="1101" t="s">
        <v>1004</v>
      </c>
      <c r="D4429" s="1101" t="s">
        <v>1005</v>
      </c>
      <c r="E4429" s="1101" t="s">
        <v>1006</v>
      </c>
      <c r="F4429" s="1102" t="s">
        <v>1007</v>
      </c>
      <c r="G4429" s="1109" t="s">
        <v>2637</v>
      </c>
      <c r="H4429" s="1233" t="s">
        <v>2638</v>
      </c>
      <c r="J4429" s="1625"/>
      <c r="K4429" s="1625"/>
      <c r="L4429" s="1625"/>
      <c r="M4429" s="1570"/>
    </row>
    <row r="4430" spans="2:13" hidden="1">
      <c r="B4430" s="1543" t="s">
        <v>671</v>
      </c>
      <c r="C4430" s="1332" t="s">
        <v>672</v>
      </c>
      <c r="D4430" s="1331"/>
      <c r="E4430" s="1331"/>
      <c r="F4430" s="1334"/>
      <c r="G4430" s="1104"/>
      <c r="H4430" s="1106"/>
      <c r="M4430" s="1566"/>
    </row>
    <row r="4431" spans="2:13" hidden="1">
      <c r="B4431" s="1543"/>
      <c r="C4431" s="1332" t="s">
        <v>673</v>
      </c>
      <c r="D4431" s="1331" t="s">
        <v>674</v>
      </c>
      <c r="E4431" s="1331" t="s">
        <v>675</v>
      </c>
      <c r="F4431" s="1334">
        <v>0.2</v>
      </c>
      <c r="G4431" s="1104">
        <f>DUB!$I$10</f>
        <v>150000</v>
      </c>
      <c r="H4431" s="1106">
        <f>G4431*F4431</f>
        <v>30000</v>
      </c>
      <c r="M4431" s="1566"/>
    </row>
    <row r="4432" spans="2:13" hidden="1">
      <c r="B4432" s="1543"/>
      <c r="C4432" s="1332" t="s">
        <v>677</v>
      </c>
      <c r="D4432" s="1331" t="s">
        <v>678</v>
      </c>
      <c r="E4432" s="1331" t="s">
        <v>675</v>
      </c>
      <c r="F4432" s="1334">
        <v>0.1</v>
      </c>
      <c r="G4432" s="1104">
        <f>DUB!$I$11</f>
        <v>187000</v>
      </c>
      <c r="H4432" s="1106">
        <f>G4432*F4432</f>
        <v>18700</v>
      </c>
      <c r="M4432" s="1566"/>
    </row>
    <row r="4433" spans="2:13" hidden="1">
      <c r="B4433" s="1543"/>
      <c r="C4433" s="1332" t="s">
        <v>751</v>
      </c>
      <c r="D4433" s="1331" t="s">
        <v>681</v>
      </c>
      <c r="E4433" s="1331" t="s">
        <v>675</v>
      </c>
      <c r="F4433" s="1334">
        <v>0.01</v>
      </c>
      <c r="G4433" s="1104">
        <f>DUB!$I$13</f>
        <v>240000</v>
      </c>
      <c r="H4433" s="1106">
        <f>G4433*F4433</f>
        <v>2400</v>
      </c>
      <c r="M4433" s="1566"/>
    </row>
    <row r="4434" spans="2:13" hidden="1">
      <c r="B4434" s="1543"/>
      <c r="C4434" s="1332" t="s">
        <v>683</v>
      </c>
      <c r="D4434" s="1331" t="s">
        <v>684</v>
      </c>
      <c r="E4434" s="1331" t="s">
        <v>675</v>
      </c>
      <c r="F4434" s="1334">
        <v>0.01</v>
      </c>
      <c r="G4434" s="1104">
        <f>DUB!$I$12</f>
        <v>225000</v>
      </c>
      <c r="H4434" s="1106">
        <f>G4434*F4434</f>
        <v>2250</v>
      </c>
      <c r="M4434" s="1566"/>
    </row>
    <row r="4435" spans="2:13" hidden="1">
      <c r="B4435" s="1543"/>
      <c r="C4435" s="1332"/>
      <c r="D4435" s="1331"/>
      <c r="E4435" s="1331"/>
      <c r="F4435" s="2074" t="s">
        <v>685</v>
      </c>
      <c r="G4435" s="2074"/>
      <c r="H4435" s="1106">
        <f>SUM(H4431:H4434)</f>
        <v>53350</v>
      </c>
      <c r="M4435" s="1566"/>
    </row>
    <row r="4436" spans="2:13" hidden="1">
      <c r="B4436" s="1543" t="s">
        <v>686</v>
      </c>
      <c r="C4436" s="1332" t="s">
        <v>687</v>
      </c>
      <c r="D4436" s="1331"/>
      <c r="E4436" s="1331"/>
      <c r="F4436" s="1334"/>
      <c r="G4436" s="1104"/>
      <c r="H4436" s="1106"/>
      <c r="M4436" s="1566"/>
    </row>
    <row r="4437" spans="2:13" hidden="1">
      <c r="B4437" s="1543"/>
      <c r="C4437" s="1332" t="s">
        <v>3031</v>
      </c>
      <c r="D4437" s="1331"/>
      <c r="E4437" s="1331" t="s">
        <v>743</v>
      </c>
      <c r="F4437" s="1334">
        <v>14</v>
      </c>
      <c r="G4437" s="1104">
        <f>DUB!I245</f>
        <v>16965</v>
      </c>
      <c r="H4437" s="1106">
        <f>G4437*F4437</f>
        <v>237510</v>
      </c>
      <c r="M4437" s="1566"/>
    </row>
    <row r="4438" spans="2:13" hidden="1">
      <c r="B4438" s="1543"/>
      <c r="C4438" s="1332" t="s">
        <v>1237</v>
      </c>
      <c r="D4438" s="1331"/>
      <c r="E4438" s="1331" t="s">
        <v>690</v>
      </c>
      <c r="F4438" s="1334">
        <v>0.03</v>
      </c>
      <c r="G4438" s="1104">
        <f>DUB!$I$128</f>
        <v>20441.7</v>
      </c>
      <c r="H4438" s="1106">
        <f>G4438*F4438</f>
        <v>613.25099999999998</v>
      </c>
      <c r="M4438" s="1566"/>
    </row>
    <row r="4439" spans="2:13" hidden="1">
      <c r="B4439" s="1543"/>
      <c r="C4439" s="1125"/>
      <c r="D4439" s="1333"/>
      <c r="E4439" s="1333"/>
      <c r="F4439" s="2074" t="s">
        <v>702</v>
      </c>
      <c r="G4439" s="2074"/>
      <c r="H4439" s="1106">
        <f>SUM(H4437:H4438)</f>
        <v>238123.25099999999</v>
      </c>
      <c r="M4439" s="1566"/>
    </row>
    <row r="4440" spans="2:13" s="496" customFormat="1" hidden="1">
      <c r="B4440" s="1543" t="s">
        <v>703</v>
      </c>
      <c r="C4440" s="2075" t="s">
        <v>3764</v>
      </c>
      <c r="D4440" s="2075"/>
      <c r="E4440" s="2075"/>
      <c r="F4440" s="2075"/>
      <c r="G4440" s="2075"/>
      <c r="H4440" s="1107">
        <f>H4435+H4439</f>
        <v>291473.25099999999</v>
      </c>
      <c r="J4440" s="1559"/>
      <c r="K4440" s="1559"/>
      <c r="L4440" s="1559"/>
      <c r="M4440" s="1635"/>
    </row>
    <row r="4441" spans="2:13" s="496" customFormat="1" hidden="1">
      <c r="B4441" s="1543" t="s">
        <v>706</v>
      </c>
      <c r="C4441" s="2076" t="s">
        <v>876</v>
      </c>
      <c r="D4441" s="2076"/>
      <c r="E4441" s="2076"/>
      <c r="F4441" s="2077" t="s">
        <v>3873</v>
      </c>
      <c r="G4441" s="2077"/>
      <c r="H4441" s="1107">
        <f>H4440*0.15</f>
        <v>43720.987649999995</v>
      </c>
      <c r="J4441" s="1559"/>
      <c r="K4441" s="1559"/>
      <c r="L4441" s="1559"/>
      <c r="M4441" s="1635"/>
    </row>
    <row r="4442" spans="2:13" s="496" customFormat="1" hidden="1">
      <c r="B4442" s="1543" t="s">
        <v>708</v>
      </c>
      <c r="C4442" s="2078" t="s">
        <v>3765</v>
      </c>
      <c r="D4442" s="2078"/>
      <c r="E4442" s="2078"/>
      <c r="F4442" s="2078"/>
      <c r="G4442" s="2078"/>
      <c r="H4442" s="1107">
        <f>ROUND(SUM(H4440:H4441),2)</f>
        <v>335194.23999999999</v>
      </c>
      <c r="I4442" s="506">
        <f>SUM(H4440:H4441)</f>
        <v>335194.23864999996</v>
      </c>
      <c r="J4442" s="1561"/>
      <c r="K4442" s="1561"/>
      <c r="L4442" s="1559"/>
      <c r="M4442" s="1635"/>
    </row>
    <row r="4443" spans="2:13" hidden="1">
      <c r="B4443" s="1143"/>
      <c r="C4443" s="1144"/>
      <c r="D4443" s="1143"/>
      <c r="E4443" s="1143"/>
      <c r="F4443" s="1145"/>
      <c r="G4443" s="1146"/>
      <c r="H4443" s="1147"/>
      <c r="M4443" s="1566"/>
    </row>
    <row r="4444" spans="2:13">
      <c r="B4444" s="1100" t="s">
        <v>4089</v>
      </c>
      <c r="C4444" s="1112" t="s">
        <v>5308</v>
      </c>
      <c r="D4444" s="1129"/>
      <c r="E4444" s="1129"/>
      <c r="F4444" s="1131"/>
      <c r="G4444" s="1132"/>
      <c r="H4444" s="1115"/>
      <c r="M4444" s="1566"/>
    </row>
    <row r="4445" spans="2:13" s="507" customFormat="1" ht="24.9" customHeight="1">
      <c r="B4445" s="1101" t="s">
        <v>1003</v>
      </c>
      <c r="C4445" s="1101" t="s">
        <v>1004</v>
      </c>
      <c r="D4445" s="1101" t="s">
        <v>1005</v>
      </c>
      <c r="E4445" s="1101" t="s">
        <v>1006</v>
      </c>
      <c r="F4445" s="1102" t="s">
        <v>1007</v>
      </c>
      <c r="G4445" s="1109" t="s">
        <v>2637</v>
      </c>
      <c r="H4445" s="1110" t="s">
        <v>2638</v>
      </c>
      <c r="I4445" s="1834"/>
      <c r="J4445" s="1823" t="s">
        <v>5335</v>
      </c>
      <c r="K4445" s="1824" t="s">
        <v>5336</v>
      </c>
      <c r="L4445" s="1824" t="s">
        <v>5337</v>
      </c>
      <c r="M4445" s="1825" t="s">
        <v>5338</v>
      </c>
    </row>
    <row r="4446" spans="2:13">
      <c r="B4446" s="1330" t="s">
        <v>671</v>
      </c>
      <c r="C4446" s="1332" t="s">
        <v>672</v>
      </c>
      <c r="D4446" s="1331"/>
      <c r="E4446" s="1331"/>
      <c r="F4446" s="1334"/>
      <c r="G4446" s="1104"/>
      <c r="H4446" s="1106"/>
      <c r="J4446" s="1597"/>
      <c r="K4446" s="1597"/>
      <c r="L4446" s="1597"/>
      <c r="M4446" s="1826"/>
    </row>
    <row r="4447" spans="2:13">
      <c r="B4447" s="1330"/>
      <c r="C4447" s="1332" t="s">
        <v>673</v>
      </c>
      <c r="D4447" s="1331" t="s">
        <v>674</v>
      </c>
      <c r="E4447" s="1331" t="s">
        <v>675</v>
      </c>
      <c r="F4447" s="1334">
        <v>0.2</v>
      </c>
      <c r="G4447" s="1104">
        <f>DUB!$I$10</f>
        <v>150000</v>
      </c>
      <c r="H4447" s="1106">
        <f>G4447*F4447</f>
        <v>30000</v>
      </c>
      <c r="J4447" s="1609" t="s">
        <v>5339</v>
      </c>
      <c r="K4447" s="1611">
        <v>1</v>
      </c>
      <c r="L4447" s="1608" t="s">
        <v>5340</v>
      </c>
      <c r="M4447" s="1827">
        <f>H4447*K4447</f>
        <v>30000</v>
      </c>
    </row>
    <row r="4448" spans="2:13">
      <c r="B4448" s="1330"/>
      <c r="C4448" s="1332" t="s">
        <v>677</v>
      </c>
      <c r="D4448" s="1331" t="s">
        <v>678</v>
      </c>
      <c r="E4448" s="1331" t="s">
        <v>675</v>
      </c>
      <c r="F4448" s="1334">
        <v>0.3</v>
      </c>
      <c r="G4448" s="1104">
        <f>DUB!$I$11</f>
        <v>187000</v>
      </c>
      <c r="H4448" s="1106">
        <f>G4448*F4448</f>
        <v>56100</v>
      </c>
      <c r="J4448" s="1609" t="s">
        <v>5339</v>
      </c>
      <c r="K4448" s="1611">
        <v>1</v>
      </c>
      <c r="L4448" s="1608" t="s">
        <v>5340</v>
      </c>
      <c r="M4448" s="1827">
        <f t="shared" ref="M4448" si="124">H4448*K4448</f>
        <v>56100</v>
      </c>
    </row>
    <row r="4449" spans="2:13">
      <c r="B4449" s="1330"/>
      <c r="C4449" s="1332" t="s">
        <v>751</v>
      </c>
      <c r="D4449" s="1331" t="s">
        <v>681</v>
      </c>
      <c r="E4449" s="1331" t="s">
        <v>675</v>
      </c>
      <c r="F4449" s="1334">
        <v>3.0000000000000001E-3</v>
      </c>
      <c r="G4449" s="1104">
        <f>DUB!$I$13</f>
        <v>240000</v>
      </c>
      <c r="H4449" s="1106">
        <f>G4449*F4449</f>
        <v>720</v>
      </c>
      <c r="J4449" s="1609" t="s">
        <v>5339</v>
      </c>
      <c r="K4449" s="1611">
        <v>1</v>
      </c>
      <c r="L4449" s="1608" t="s">
        <v>5340</v>
      </c>
      <c r="M4449" s="1827">
        <f>H4449*K4449</f>
        <v>720</v>
      </c>
    </row>
    <row r="4450" spans="2:13">
      <c r="B4450" s="1330"/>
      <c r="C4450" s="1332" t="s">
        <v>683</v>
      </c>
      <c r="D4450" s="1331" t="s">
        <v>684</v>
      </c>
      <c r="E4450" s="1331" t="s">
        <v>675</v>
      </c>
      <c r="F4450" s="1334">
        <v>0.01</v>
      </c>
      <c r="G4450" s="1104">
        <f>DUB!$I$12</f>
        <v>225000</v>
      </c>
      <c r="H4450" s="1106">
        <f>G4450*F4450</f>
        <v>2250</v>
      </c>
      <c r="J4450" s="1609" t="s">
        <v>5339</v>
      </c>
      <c r="K4450" s="1611">
        <v>1</v>
      </c>
      <c r="L4450" s="1608" t="s">
        <v>5340</v>
      </c>
      <c r="M4450" s="1827">
        <f t="shared" ref="M4450" si="125">H4450*K4450</f>
        <v>2250</v>
      </c>
    </row>
    <row r="4451" spans="2:13">
      <c r="B4451" s="1330"/>
      <c r="C4451" s="1332"/>
      <c r="D4451" s="1331"/>
      <c r="E4451" s="1331"/>
      <c r="F4451" s="2074" t="s">
        <v>685</v>
      </c>
      <c r="G4451" s="2074"/>
      <c r="H4451" s="1106">
        <f>SUM(H4447:H4450)</f>
        <v>89070</v>
      </c>
      <c r="J4451" s="1597"/>
      <c r="K4451" s="1597"/>
      <c r="L4451" s="1597"/>
      <c r="M4451" s="1107">
        <f>SUM(M4447:M4450)</f>
        <v>89070</v>
      </c>
    </row>
    <row r="4452" spans="2:13">
      <c r="B4452" s="1330" t="s">
        <v>686</v>
      </c>
      <c r="C4452" s="1332" t="s">
        <v>687</v>
      </c>
      <c r="D4452" s="1331"/>
      <c r="E4452" s="1331"/>
      <c r="F4452" s="1334"/>
      <c r="G4452" s="1104"/>
      <c r="H4452" s="1106"/>
      <c r="J4452" s="1634"/>
      <c r="K4452" s="1611"/>
      <c r="L4452" s="1607"/>
      <c r="M4452" s="1827"/>
    </row>
    <row r="4453" spans="2:13">
      <c r="B4453" s="1330"/>
      <c r="C4453" s="1332" t="s">
        <v>5270</v>
      </c>
      <c r="D4453" s="1331"/>
      <c r="E4453" s="1331" t="s">
        <v>888</v>
      </c>
      <c r="F4453" s="1334">
        <v>1</v>
      </c>
      <c r="G4453" s="1104">
        <f>DUB!$I$267</f>
        <v>208000</v>
      </c>
      <c r="H4453" s="1106">
        <f>G4453*F4453</f>
        <v>208000</v>
      </c>
      <c r="J4453" s="1642" t="s">
        <v>4925</v>
      </c>
      <c r="K4453" s="1611">
        <v>0.2339</v>
      </c>
      <c r="L4453" s="1607" t="s">
        <v>5343</v>
      </c>
      <c r="M4453" s="1827">
        <f t="shared" ref="M4453:M4454" si="126">H4453*K4453</f>
        <v>48651.199999999997</v>
      </c>
    </row>
    <row r="4454" spans="2:13">
      <c r="B4454" s="1330"/>
      <c r="C4454" s="1332" t="str">
        <f>DUB!C129</f>
        <v>Paku sekrup Speede screw 65mm</v>
      </c>
      <c r="D4454" s="1331"/>
      <c r="E4454" s="1331" t="s">
        <v>690</v>
      </c>
      <c r="F4454" s="1334">
        <v>0.03</v>
      </c>
      <c r="G4454" s="1104">
        <f>DUB!I129</f>
        <v>155400</v>
      </c>
      <c r="H4454" s="1106">
        <f>G4454*F4454</f>
        <v>4662</v>
      </c>
      <c r="J4454" s="1642" t="s">
        <v>4925</v>
      </c>
      <c r="K4454" s="1611">
        <v>0.60250000000000004</v>
      </c>
      <c r="L4454" s="1607" t="s">
        <v>5343</v>
      </c>
      <c r="M4454" s="1827">
        <f t="shared" si="126"/>
        <v>2808.855</v>
      </c>
    </row>
    <row r="4455" spans="2:13">
      <c r="B4455" s="1330"/>
      <c r="C4455" s="1125"/>
      <c r="D4455" s="1333"/>
      <c r="E4455" s="1333"/>
      <c r="F4455" s="2074" t="s">
        <v>702</v>
      </c>
      <c r="G4455" s="2074"/>
      <c r="H4455" s="1106">
        <f>SUM(H4453:H4454)</f>
        <v>212662</v>
      </c>
      <c r="J4455" s="1597"/>
      <c r="K4455" s="1597"/>
      <c r="L4455" s="1597"/>
      <c r="M4455" s="1106">
        <f>SUM(M4453:M4454)</f>
        <v>51460.055</v>
      </c>
    </row>
    <row r="4456" spans="2:13" s="496" customFormat="1">
      <c r="B4456" s="1330" t="s">
        <v>703</v>
      </c>
      <c r="C4456" s="2075" t="s">
        <v>3764</v>
      </c>
      <c r="D4456" s="2075"/>
      <c r="E4456" s="2075"/>
      <c r="F4456" s="2075"/>
      <c r="G4456" s="2075"/>
      <c r="H4456" s="1107">
        <f>H4451+H4455</f>
        <v>301732</v>
      </c>
      <c r="J4456" s="1600"/>
      <c r="K4456" s="1633">
        <f>M4456/H4456</f>
        <v>0.46574461774024628</v>
      </c>
      <c r="L4456" s="1600"/>
      <c r="M4456" s="1107">
        <f>M4451+M4455</f>
        <v>140530.05499999999</v>
      </c>
    </row>
    <row r="4457" spans="2:13" s="496" customFormat="1">
      <c r="B4457" s="1330" t="s">
        <v>706</v>
      </c>
      <c r="C4457" s="2076" t="s">
        <v>876</v>
      </c>
      <c r="D4457" s="2076"/>
      <c r="E4457" s="2076"/>
      <c r="F4457" s="2077" t="s">
        <v>3873</v>
      </c>
      <c r="G4457" s="2077"/>
      <c r="H4457" s="1107">
        <f>H4456*0.15</f>
        <v>45259.799999999996</v>
      </c>
      <c r="J4457" s="1600"/>
      <c r="K4457" s="1600"/>
      <c r="L4457" s="1600"/>
      <c r="M4457" s="1107">
        <f>M4456*0.15</f>
        <v>21079.508249999999</v>
      </c>
    </row>
    <row r="4458" spans="2:13" s="496" customFormat="1">
      <c r="B4458" s="1330" t="s">
        <v>708</v>
      </c>
      <c r="C4458" s="2078" t="s">
        <v>3765</v>
      </c>
      <c r="D4458" s="2078"/>
      <c r="E4458" s="2078"/>
      <c r="F4458" s="2078"/>
      <c r="G4458" s="2078"/>
      <c r="H4458" s="1107">
        <f>ROUND(SUM(H4456:H4457),2)</f>
        <v>346991.8</v>
      </c>
      <c r="I4458" s="506">
        <f>SUM(H4456:H4457)</f>
        <v>346991.8</v>
      </c>
      <c r="J4458" s="1636"/>
      <c r="K4458" s="1636"/>
      <c r="L4458" s="1637"/>
      <c r="M4458" s="1919">
        <f>ROUND(SUM(M4456:M4457),2)</f>
        <v>161609.56</v>
      </c>
    </row>
    <row r="4459" spans="2:13">
      <c r="B4459" s="1129"/>
      <c r="C4459" s="1130"/>
      <c r="D4459" s="1129"/>
      <c r="E4459" s="1130"/>
      <c r="F4459" s="1131"/>
      <c r="G4459" s="1132"/>
      <c r="H4459" s="1133"/>
      <c r="I4459" s="526"/>
      <c r="J4459" s="1562"/>
      <c r="K4459" s="1562"/>
      <c r="M4459" s="1566"/>
    </row>
    <row r="4460" spans="2:13" hidden="1">
      <c r="B4460" s="1100" t="s">
        <v>4090</v>
      </c>
      <c r="C4460" s="1112" t="s">
        <v>3427</v>
      </c>
      <c r="D4460" s="1129"/>
      <c r="E4460" s="1129"/>
      <c r="F4460" s="1131"/>
      <c r="G4460" s="1132"/>
      <c r="H4460" s="1115"/>
      <c r="M4460" s="1566"/>
    </row>
    <row r="4461" spans="2:13" s="507" customFormat="1" ht="24.9" hidden="1" customHeight="1">
      <c r="B4461" s="1748" t="s">
        <v>1003</v>
      </c>
      <c r="C4461" s="1101" t="s">
        <v>1004</v>
      </c>
      <c r="D4461" s="1101" t="s">
        <v>1005</v>
      </c>
      <c r="E4461" s="1101" t="s">
        <v>1006</v>
      </c>
      <c r="F4461" s="1102" t="s">
        <v>1007</v>
      </c>
      <c r="G4461" s="1109" t="s">
        <v>2637</v>
      </c>
      <c r="H4461" s="1110" t="s">
        <v>2638</v>
      </c>
      <c r="J4461" s="1625"/>
      <c r="K4461" s="1625"/>
      <c r="L4461" s="1625"/>
      <c r="M4461" s="1570"/>
    </row>
    <row r="4462" spans="2:13" hidden="1">
      <c r="B4462" s="1543" t="s">
        <v>671</v>
      </c>
      <c r="C4462" s="1332" t="s">
        <v>672</v>
      </c>
      <c r="D4462" s="1331"/>
      <c r="E4462" s="1331"/>
      <c r="F4462" s="1334"/>
      <c r="G4462" s="1104"/>
      <c r="H4462" s="1106"/>
      <c r="M4462" s="1566"/>
    </row>
    <row r="4463" spans="2:13" hidden="1">
      <c r="B4463" s="1543"/>
      <c r="C4463" s="1332" t="s">
        <v>673</v>
      </c>
      <c r="D4463" s="1331" t="s">
        <v>674</v>
      </c>
      <c r="E4463" s="1331" t="s">
        <v>675</v>
      </c>
      <c r="F4463" s="1334">
        <v>0.2</v>
      </c>
      <c r="G4463" s="1104">
        <f>DUB!$I$10</f>
        <v>150000</v>
      </c>
      <c r="H4463" s="1106">
        <f>G4463*F4463</f>
        <v>30000</v>
      </c>
      <c r="M4463" s="1566"/>
    </row>
    <row r="4464" spans="2:13" hidden="1">
      <c r="B4464" s="1543"/>
      <c r="C4464" s="1332" t="s">
        <v>677</v>
      </c>
      <c r="D4464" s="1331" t="s">
        <v>678</v>
      </c>
      <c r="E4464" s="1331" t="s">
        <v>675</v>
      </c>
      <c r="F4464" s="1334">
        <v>0.3</v>
      </c>
      <c r="G4464" s="1104">
        <f>DUB!$I$11</f>
        <v>187000</v>
      </c>
      <c r="H4464" s="1106">
        <f>G4464*F4464</f>
        <v>56100</v>
      </c>
      <c r="M4464" s="1566"/>
    </row>
    <row r="4465" spans="2:13" hidden="1">
      <c r="B4465" s="1543"/>
      <c r="C4465" s="1332" t="s">
        <v>751</v>
      </c>
      <c r="D4465" s="1331" t="s">
        <v>681</v>
      </c>
      <c r="E4465" s="1331" t="s">
        <v>675</v>
      </c>
      <c r="F4465" s="1334">
        <v>3.0000000000000001E-3</v>
      </c>
      <c r="G4465" s="1104">
        <f>DUB!$I$13</f>
        <v>240000</v>
      </c>
      <c r="H4465" s="1106">
        <f>G4465*F4465</f>
        <v>720</v>
      </c>
      <c r="M4465" s="1566"/>
    </row>
    <row r="4466" spans="2:13" hidden="1">
      <c r="B4466" s="1543"/>
      <c r="C4466" s="1332" t="s">
        <v>683</v>
      </c>
      <c r="D4466" s="1331" t="s">
        <v>684</v>
      </c>
      <c r="E4466" s="1331" t="s">
        <v>675</v>
      </c>
      <c r="F4466" s="1334">
        <v>0.01</v>
      </c>
      <c r="G4466" s="1104">
        <f>DUB!$I$12</f>
        <v>225000</v>
      </c>
      <c r="H4466" s="1106">
        <f>G4466*F4466</f>
        <v>2250</v>
      </c>
      <c r="M4466" s="1566"/>
    </row>
    <row r="4467" spans="2:13" hidden="1">
      <c r="B4467" s="1543"/>
      <c r="C4467" s="1332"/>
      <c r="D4467" s="1331"/>
      <c r="E4467" s="1331"/>
      <c r="F4467" s="2074" t="s">
        <v>685</v>
      </c>
      <c r="G4467" s="2074"/>
      <c r="H4467" s="1106">
        <f>SUM(H4463:H4466)</f>
        <v>89070</v>
      </c>
      <c r="M4467" s="1566"/>
    </row>
    <row r="4468" spans="2:13" hidden="1">
      <c r="B4468" s="1543" t="s">
        <v>686</v>
      </c>
      <c r="C4468" s="1332" t="s">
        <v>687</v>
      </c>
      <c r="D4468" s="1331"/>
      <c r="E4468" s="1331"/>
      <c r="F4468" s="1334"/>
      <c r="G4468" s="1104"/>
      <c r="H4468" s="1106"/>
      <c r="M4468" s="1566"/>
    </row>
    <row r="4469" spans="2:13" hidden="1">
      <c r="B4469" s="1543"/>
      <c r="C4469" s="1332" t="s">
        <v>3428</v>
      </c>
      <c r="D4469" s="1331"/>
      <c r="E4469" s="1331" t="s">
        <v>743</v>
      </c>
      <c r="F4469" s="1334">
        <v>0.64900000000000002</v>
      </c>
      <c r="G4469" s="1104">
        <f>DUB!$I$268</f>
        <v>197064</v>
      </c>
      <c r="H4469" s="1106">
        <f>G4469*F4469</f>
        <v>127894.53600000001</v>
      </c>
      <c r="M4469" s="1566"/>
    </row>
    <row r="4470" spans="2:13" hidden="1">
      <c r="B4470" s="1543"/>
      <c r="C4470" s="1148" t="s">
        <v>3567</v>
      </c>
      <c r="D4470" s="1331"/>
      <c r="E4470" s="1331" t="s">
        <v>690</v>
      </c>
      <c r="F4470" s="1334">
        <v>0.03</v>
      </c>
      <c r="G4470" s="1104">
        <f>DUB!$I$132</f>
        <v>38592</v>
      </c>
      <c r="H4470" s="1106">
        <f>G4470*F4470</f>
        <v>1157.76</v>
      </c>
      <c r="M4470" s="1566"/>
    </row>
    <row r="4471" spans="2:13" hidden="1">
      <c r="B4471" s="1543"/>
      <c r="C4471" s="1125"/>
      <c r="D4471" s="1333"/>
      <c r="E4471" s="1333"/>
      <c r="F4471" s="2074" t="s">
        <v>702</v>
      </c>
      <c r="G4471" s="2074"/>
      <c r="H4471" s="1106">
        <f>SUM(H4469:H4470)</f>
        <v>129052.296</v>
      </c>
      <c r="M4471" s="1566"/>
    </row>
    <row r="4472" spans="2:13" s="496" customFormat="1" hidden="1">
      <c r="B4472" s="1543" t="s">
        <v>703</v>
      </c>
      <c r="C4472" s="2075" t="s">
        <v>3764</v>
      </c>
      <c r="D4472" s="2075"/>
      <c r="E4472" s="2075"/>
      <c r="F4472" s="2075"/>
      <c r="G4472" s="2075"/>
      <c r="H4472" s="1107">
        <f>H4467+H4471</f>
        <v>218122.296</v>
      </c>
      <c r="J4472" s="1559"/>
      <c r="K4472" s="1559"/>
      <c r="L4472" s="1559"/>
      <c r="M4472" s="1635"/>
    </row>
    <row r="4473" spans="2:13" s="496" customFormat="1" hidden="1">
      <c r="B4473" s="1543" t="s">
        <v>706</v>
      </c>
      <c r="C4473" s="2076" t="s">
        <v>876</v>
      </c>
      <c r="D4473" s="2076"/>
      <c r="E4473" s="2076"/>
      <c r="F4473" s="2077" t="s">
        <v>3873</v>
      </c>
      <c r="G4473" s="2077"/>
      <c r="H4473" s="1107">
        <f>H4472*0.15</f>
        <v>32718.344399999998</v>
      </c>
      <c r="J4473" s="1559"/>
      <c r="K4473" s="1559"/>
      <c r="L4473" s="1559"/>
      <c r="M4473" s="1635"/>
    </row>
    <row r="4474" spans="2:13" s="496" customFormat="1" hidden="1">
      <c r="B4474" s="1543" t="s">
        <v>708</v>
      </c>
      <c r="C4474" s="2078" t="s">
        <v>3765</v>
      </c>
      <c r="D4474" s="2078"/>
      <c r="E4474" s="2078"/>
      <c r="F4474" s="2078"/>
      <c r="G4474" s="2078"/>
      <c r="H4474" s="1107">
        <f>ROUND(SUM(H4472:H4473),2)</f>
        <v>250840.64</v>
      </c>
      <c r="I4474" s="506">
        <f>SUM(H4472:H4473)</f>
        <v>250840.6404</v>
      </c>
      <c r="J4474" s="1561"/>
      <c r="K4474" s="1561"/>
      <c r="L4474" s="1559"/>
      <c r="M4474" s="1635"/>
    </row>
    <row r="4475" spans="2:13" hidden="1">
      <c r="F4475" s="1172"/>
      <c r="G4475" s="1173"/>
      <c r="H4475" s="1133"/>
      <c r="M4475" s="1566"/>
    </row>
    <row r="4476" spans="2:13" hidden="1">
      <c r="B4476" s="1100" t="s">
        <v>4091</v>
      </c>
      <c r="C4476" s="1232" t="s">
        <v>2775</v>
      </c>
      <c r="F4476" s="1172"/>
      <c r="G4476" s="1173"/>
      <c r="H4476" s="1133"/>
      <c r="M4476" s="1566"/>
    </row>
    <row r="4477" spans="2:13" s="507" customFormat="1" ht="24.9" hidden="1" customHeight="1">
      <c r="B4477" s="1748" t="s">
        <v>1003</v>
      </c>
      <c r="C4477" s="1101" t="s">
        <v>1004</v>
      </c>
      <c r="D4477" s="1101" t="s">
        <v>1005</v>
      </c>
      <c r="E4477" s="1101" t="s">
        <v>1006</v>
      </c>
      <c r="F4477" s="1102" t="s">
        <v>1007</v>
      </c>
      <c r="G4477" s="1109" t="s">
        <v>2637</v>
      </c>
      <c r="H4477" s="1110" t="s">
        <v>2638</v>
      </c>
      <c r="J4477" s="1625"/>
      <c r="K4477" s="1625"/>
      <c r="L4477" s="1625"/>
      <c r="M4477" s="1570"/>
    </row>
    <row r="4478" spans="2:13" hidden="1">
      <c r="B4478" s="1543" t="s">
        <v>671</v>
      </c>
      <c r="C4478" s="1332" t="s">
        <v>672</v>
      </c>
      <c r="D4478" s="1331"/>
      <c r="E4478" s="1331"/>
      <c r="F4478" s="1334"/>
      <c r="G4478" s="1104"/>
      <c r="H4478" s="1106"/>
      <c r="M4478" s="1566"/>
    </row>
    <row r="4479" spans="2:13" hidden="1">
      <c r="B4479" s="1543"/>
      <c r="C4479" s="1332" t="s">
        <v>673</v>
      </c>
      <c r="D4479" s="1331" t="s">
        <v>674</v>
      </c>
      <c r="E4479" s="1331" t="s">
        <v>675</v>
      </c>
      <c r="F4479" s="1334">
        <v>0.2</v>
      </c>
      <c r="G4479" s="1104">
        <f>DUB!$I$10</f>
        <v>150000</v>
      </c>
      <c r="H4479" s="1106">
        <f>G4479*F4479</f>
        <v>30000</v>
      </c>
      <c r="M4479" s="1566"/>
    </row>
    <row r="4480" spans="2:13" hidden="1">
      <c r="B4480" s="1543"/>
      <c r="C4480" s="1332" t="s">
        <v>677</v>
      </c>
      <c r="D4480" s="1331" t="s">
        <v>678</v>
      </c>
      <c r="E4480" s="1331" t="s">
        <v>675</v>
      </c>
      <c r="F4480" s="1334">
        <v>0.1</v>
      </c>
      <c r="G4480" s="1104">
        <f>DUB!$I$11</f>
        <v>187000</v>
      </c>
      <c r="H4480" s="1106">
        <f>G4480*F4480</f>
        <v>18700</v>
      </c>
      <c r="M4480" s="1566"/>
    </row>
    <row r="4481" spans="2:13" hidden="1">
      <c r="B4481" s="1543"/>
      <c r="C4481" s="1332" t="s">
        <v>751</v>
      </c>
      <c r="D4481" s="1331" t="s">
        <v>681</v>
      </c>
      <c r="E4481" s="1331" t="s">
        <v>675</v>
      </c>
      <c r="F4481" s="1334">
        <v>0.01</v>
      </c>
      <c r="G4481" s="1104">
        <f>DUB!$I$13</f>
        <v>240000</v>
      </c>
      <c r="H4481" s="1106">
        <f>G4481*F4481</f>
        <v>2400</v>
      </c>
      <c r="M4481" s="1566"/>
    </row>
    <row r="4482" spans="2:13" hidden="1">
      <c r="B4482" s="1543"/>
      <c r="C4482" s="1332" t="s">
        <v>683</v>
      </c>
      <c r="D4482" s="1331" t="s">
        <v>684</v>
      </c>
      <c r="E4482" s="1331" t="s">
        <v>675</v>
      </c>
      <c r="F4482" s="1334">
        <v>1E-3</v>
      </c>
      <c r="G4482" s="1104">
        <f>DUB!$I$12</f>
        <v>225000</v>
      </c>
      <c r="H4482" s="1106">
        <f>G4482*F4482</f>
        <v>225</v>
      </c>
      <c r="M4482" s="1566"/>
    </row>
    <row r="4483" spans="2:13" hidden="1">
      <c r="B4483" s="1543"/>
      <c r="C4483" s="1332"/>
      <c r="D4483" s="1331"/>
      <c r="E4483" s="1331"/>
      <c r="F4483" s="2074" t="s">
        <v>685</v>
      </c>
      <c r="G4483" s="2074"/>
      <c r="H4483" s="1106">
        <f>SUM(H4479:H4482)</f>
        <v>51325</v>
      </c>
      <c r="M4483" s="1566"/>
    </row>
    <row r="4484" spans="2:13" hidden="1">
      <c r="B4484" s="1543" t="s">
        <v>686</v>
      </c>
      <c r="C4484" s="1332" t="s">
        <v>687</v>
      </c>
      <c r="D4484" s="1331"/>
      <c r="E4484" s="1331"/>
      <c r="F4484" s="1334"/>
      <c r="G4484" s="1104"/>
      <c r="H4484" s="1106"/>
      <c r="M4484" s="1566"/>
    </row>
    <row r="4485" spans="2:13" hidden="1">
      <c r="B4485" s="1543"/>
      <c r="C4485" s="1332" t="s">
        <v>1242</v>
      </c>
      <c r="D4485" s="1331"/>
      <c r="E4485" s="1331" t="s">
        <v>743</v>
      </c>
      <c r="F4485" s="1334">
        <v>1.02</v>
      </c>
      <c r="G4485" s="1104">
        <f>DUB!$I$244</f>
        <v>87822</v>
      </c>
      <c r="H4485" s="1106">
        <f>G4485*F4485</f>
        <v>89578.44</v>
      </c>
      <c r="M4485" s="1566"/>
    </row>
    <row r="4486" spans="2:13" hidden="1">
      <c r="B4486" s="1543"/>
      <c r="C4486" s="1148" t="s">
        <v>3567</v>
      </c>
      <c r="D4486" s="1331"/>
      <c r="E4486" s="1331" t="s">
        <v>690</v>
      </c>
      <c r="F4486" s="1334">
        <v>0.2</v>
      </c>
      <c r="G4486" s="1104">
        <f>DUB!$I$132</f>
        <v>38592</v>
      </c>
      <c r="H4486" s="1106">
        <f>G4486*F4486</f>
        <v>7718.4000000000005</v>
      </c>
      <c r="M4486" s="1566"/>
    </row>
    <row r="4487" spans="2:13" hidden="1">
      <c r="B4487" s="1543"/>
      <c r="C4487" s="1125"/>
      <c r="D4487" s="1333"/>
      <c r="E4487" s="1333"/>
      <c r="F4487" s="2074" t="s">
        <v>702</v>
      </c>
      <c r="G4487" s="2074"/>
      <c r="H4487" s="1106">
        <f>SUM(H4485:H4486)</f>
        <v>97296.84</v>
      </c>
      <c r="M4487" s="1566"/>
    </row>
    <row r="4488" spans="2:13" s="496" customFormat="1" hidden="1">
      <c r="B4488" s="1543" t="s">
        <v>703</v>
      </c>
      <c r="C4488" s="2075" t="s">
        <v>3764</v>
      </c>
      <c r="D4488" s="2075"/>
      <c r="E4488" s="2075"/>
      <c r="F4488" s="2075"/>
      <c r="G4488" s="2075"/>
      <c r="H4488" s="1107">
        <f>H4483+H4487</f>
        <v>148621.84</v>
      </c>
      <c r="J4488" s="1559"/>
      <c r="K4488" s="1559"/>
      <c r="L4488" s="1559"/>
      <c r="M4488" s="1635"/>
    </row>
    <row r="4489" spans="2:13" s="496" customFormat="1" hidden="1">
      <c r="B4489" s="1543" t="s">
        <v>706</v>
      </c>
      <c r="C4489" s="2076" t="s">
        <v>876</v>
      </c>
      <c r="D4489" s="2076"/>
      <c r="E4489" s="2076"/>
      <c r="F4489" s="2077" t="s">
        <v>3873</v>
      </c>
      <c r="G4489" s="2077"/>
      <c r="H4489" s="1107">
        <f>H4488*0.15</f>
        <v>22293.275999999998</v>
      </c>
      <c r="J4489" s="1559"/>
      <c r="K4489" s="1559"/>
      <c r="L4489" s="1559"/>
      <c r="M4489" s="1635"/>
    </row>
    <row r="4490" spans="2:13" s="496" customFormat="1" hidden="1">
      <c r="B4490" s="1543" t="s">
        <v>708</v>
      </c>
      <c r="C4490" s="2078" t="s">
        <v>3765</v>
      </c>
      <c r="D4490" s="2078"/>
      <c r="E4490" s="2078"/>
      <c r="F4490" s="2078"/>
      <c r="G4490" s="2078"/>
      <c r="H4490" s="1107">
        <f>ROUND(SUM(H4488:H4489),2)</f>
        <v>170915.12</v>
      </c>
      <c r="I4490" s="506">
        <f>SUM(H4488:H4489)</f>
        <v>170915.11599999998</v>
      </c>
      <c r="J4490" s="1561"/>
      <c r="K4490" s="1561"/>
      <c r="L4490" s="1559"/>
      <c r="M4490" s="1635"/>
    </row>
    <row r="4491" spans="2:13" hidden="1">
      <c r="B4491" s="1143"/>
      <c r="C4491" s="1144"/>
      <c r="D4491" s="1143"/>
      <c r="E4491" s="1143"/>
      <c r="F4491" s="1145"/>
      <c r="G4491" s="1146"/>
      <c r="H4491" s="1147"/>
      <c r="M4491" s="1566"/>
    </row>
    <row r="4492" spans="2:13" s="531" customFormat="1" hidden="1">
      <c r="B4492" s="1100" t="s">
        <v>4092</v>
      </c>
      <c r="C4492" s="1709" t="s">
        <v>3537</v>
      </c>
      <c r="D4492" s="1710"/>
      <c r="E4492" s="1710"/>
      <c r="F4492" s="1172"/>
      <c r="G4492" s="1173"/>
      <c r="H4492" s="1711"/>
      <c r="J4492" s="1712"/>
      <c r="K4492" s="1712"/>
      <c r="L4492" s="1712"/>
      <c r="M4492" s="1566"/>
    </row>
    <row r="4493" spans="2:13" s="532" customFormat="1" ht="24.9" hidden="1" customHeight="1">
      <c r="B4493" s="1793" t="s">
        <v>1003</v>
      </c>
      <c r="C4493" s="1234" t="s">
        <v>1004</v>
      </c>
      <c r="D4493" s="1234" t="s">
        <v>1005</v>
      </c>
      <c r="E4493" s="1234" t="s">
        <v>1006</v>
      </c>
      <c r="F4493" s="1102" t="s">
        <v>1007</v>
      </c>
      <c r="G4493" s="1109" t="s">
        <v>2637</v>
      </c>
      <c r="H4493" s="1235" t="s">
        <v>2638</v>
      </c>
      <c r="J4493" s="1713"/>
      <c r="K4493" s="1713"/>
      <c r="L4493" s="1713"/>
      <c r="M4493" s="1570"/>
    </row>
    <row r="4494" spans="2:13" s="531" customFormat="1" hidden="1">
      <c r="B4494" s="1794" t="s">
        <v>671</v>
      </c>
      <c r="C4494" s="1148" t="s">
        <v>672</v>
      </c>
      <c r="D4494" s="1542"/>
      <c r="E4494" s="1542"/>
      <c r="F4494" s="1334"/>
      <c r="G4494" s="1104"/>
      <c r="H4494" s="1236"/>
      <c r="J4494" s="1712"/>
      <c r="K4494" s="1712"/>
      <c r="L4494" s="1712"/>
      <c r="M4494" s="1566"/>
    </row>
    <row r="4495" spans="2:13" s="531" customFormat="1" hidden="1">
      <c r="B4495" s="1794"/>
      <c r="C4495" s="1148" t="s">
        <v>673</v>
      </c>
      <c r="D4495" s="1542" t="s">
        <v>674</v>
      </c>
      <c r="E4495" s="1542" t="s">
        <v>675</v>
      </c>
      <c r="F4495" s="1334">
        <v>0.2</v>
      </c>
      <c r="G4495" s="1104">
        <f>DUB!$I$10</f>
        <v>150000</v>
      </c>
      <c r="H4495" s="1236">
        <f>G4495*F4495</f>
        <v>30000</v>
      </c>
      <c r="J4495" s="1712"/>
      <c r="K4495" s="1712"/>
      <c r="L4495" s="1712"/>
      <c r="M4495" s="1566"/>
    </row>
    <row r="4496" spans="2:13" s="531" customFormat="1" hidden="1">
      <c r="B4496" s="1794"/>
      <c r="C4496" s="1148" t="s">
        <v>677</v>
      </c>
      <c r="D4496" s="1542" t="s">
        <v>678</v>
      </c>
      <c r="E4496" s="1542" t="s">
        <v>675</v>
      </c>
      <c r="F4496" s="1334">
        <v>0.1</v>
      </c>
      <c r="G4496" s="1104">
        <f>DUB!$I$11</f>
        <v>187000</v>
      </c>
      <c r="H4496" s="1236">
        <f>G4496*F4496</f>
        <v>18700</v>
      </c>
      <c r="J4496" s="1712"/>
      <c r="K4496" s="1712"/>
      <c r="L4496" s="1712"/>
      <c r="M4496" s="1566"/>
    </row>
    <row r="4497" spans="2:13" s="531" customFormat="1" hidden="1">
      <c r="B4497" s="1794"/>
      <c r="C4497" s="1148" t="s">
        <v>751</v>
      </c>
      <c r="D4497" s="1542" t="s">
        <v>681</v>
      </c>
      <c r="E4497" s="1542" t="s">
        <v>675</v>
      </c>
      <c r="F4497" s="1334">
        <v>0.01</v>
      </c>
      <c r="G4497" s="1104">
        <f>DUB!$I$13</f>
        <v>240000</v>
      </c>
      <c r="H4497" s="1236">
        <f>G4497*F4497</f>
        <v>2400</v>
      </c>
      <c r="J4497" s="1712"/>
      <c r="K4497" s="1712"/>
      <c r="L4497" s="1712"/>
      <c r="M4497" s="1566"/>
    </row>
    <row r="4498" spans="2:13" s="531" customFormat="1" hidden="1">
      <c r="B4498" s="1794"/>
      <c r="C4498" s="1148" t="s">
        <v>683</v>
      </c>
      <c r="D4498" s="1542" t="s">
        <v>684</v>
      </c>
      <c r="E4498" s="1542" t="s">
        <v>675</v>
      </c>
      <c r="F4498" s="1334">
        <v>1E-3</v>
      </c>
      <c r="G4498" s="1104">
        <f>DUB!$I$12</f>
        <v>225000</v>
      </c>
      <c r="H4498" s="1236">
        <f>G4498*F4498</f>
        <v>225</v>
      </c>
      <c r="J4498" s="1712"/>
      <c r="K4498" s="1712"/>
      <c r="L4498" s="1712"/>
      <c r="M4498" s="1566"/>
    </row>
    <row r="4499" spans="2:13" s="531" customFormat="1" hidden="1">
      <c r="B4499" s="1794"/>
      <c r="C4499" s="1148"/>
      <c r="D4499" s="1542"/>
      <c r="E4499" s="1542"/>
      <c r="F4499" s="2152" t="s">
        <v>685</v>
      </c>
      <c r="G4499" s="2152"/>
      <c r="H4499" s="1236">
        <f>SUM(H4495:H4498)</f>
        <v>51325</v>
      </c>
      <c r="J4499" s="1712"/>
      <c r="K4499" s="1712"/>
      <c r="L4499" s="1712"/>
      <c r="M4499" s="1566"/>
    </row>
    <row r="4500" spans="2:13" s="531" customFormat="1" hidden="1">
      <c r="B4500" s="1794" t="s">
        <v>686</v>
      </c>
      <c r="C4500" s="1148" t="s">
        <v>687</v>
      </c>
      <c r="D4500" s="1542"/>
      <c r="E4500" s="1542"/>
      <c r="F4500" s="1334"/>
      <c r="G4500" s="1104"/>
      <c r="H4500" s="1236"/>
      <c r="J4500" s="1712"/>
      <c r="K4500" s="1712"/>
      <c r="L4500" s="1712"/>
      <c r="M4500" s="1566"/>
    </row>
    <row r="4501" spans="2:13" s="531" customFormat="1" hidden="1">
      <c r="B4501" s="1794"/>
      <c r="C4501" s="1148" t="s">
        <v>3538</v>
      </c>
      <c r="D4501" s="1542"/>
      <c r="E4501" s="1542" t="s">
        <v>3041</v>
      </c>
      <c r="F4501" s="1334">
        <v>5.04</v>
      </c>
      <c r="G4501" s="1104">
        <f>DUB!$I$241</f>
        <v>12285</v>
      </c>
      <c r="H4501" s="1236">
        <f>G4501*F4501</f>
        <v>61916.4</v>
      </c>
      <c r="J4501" s="1712"/>
      <c r="K4501" s="1712"/>
      <c r="L4501" s="1712"/>
      <c r="M4501" s="1566"/>
    </row>
    <row r="4502" spans="2:13" s="531" customFormat="1" hidden="1">
      <c r="B4502" s="1794"/>
      <c r="C4502" s="1148" t="s">
        <v>3567</v>
      </c>
      <c r="D4502" s="1542"/>
      <c r="E4502" s="1542" t="s">
        <v>690</v>
      </c>
      <c r="F4502" s="1334">
        <v>0.2</v>
      </c>
      <c r="G4502" s="1104">
        <f>DUB!$I$132</f>
        <v>38592</v>
      </c>
      <c r="H4502" s="1236">
        <f>G4502*F4502</f>
        <v>7718.4000000000005</v>
      </c>
      <c r="J4502" s="1712"/>
      <c r="K4502" s="1712"/>
      <c r="L4502" s="1712"/>
      <c r="M4502" s="1566"/>
    </row>
    <row r="4503" spans="2:13" s="531" customFormat="1" hidden="1">
      <c r="B4503" s="1794"/>
      <c r="C4503" s="1237"/>
      <c r="D4503" s="1238"/>
      <c r="E4503" s="1238"/>
      <c r="F4503" s="2152" t="s">
        <v>702</v>
      </c>
      <c r="G4503" s="2152"/>
      <c r="H4503" s="1236">
        <f>SUM(H4501:H4502)</f>
        <v>69634.8</v>
      </c>
      <c r="J4503" s="1712"/>
      <c r="K4503" s="1712"/>
      <c r="L4503" s="1712"/>
      <c r="M4503" s="1566"/>
    </row>
    <row r="4504" spans="2:13" s="530" customFormat="1" hidden="1">
      <c r="B4504" s="1794" t="s">
        <v>703</v>
      </c>
      <c r="C4504" s="2123" t="s">
        <v>3764</v>
      </c>
      <c r="D4504" s="2123"/>
      <c r="E4504" s="2123"/>
      <c r="F4504" s="2123"/>
      <c r="G4504" s="2123"/>
      <c r="H4504" s="1239">
        <f>H4499+H4503</f>
        <v>120959.8</v>
      </c>
      <c r="J4504" s="1714"/>
      <c r="K4504" s="1714"/>
      <c r="L4504" s="1714"/>
      <c r="M4504" s="1635"/>
    </row>
    <row r="4505" spans="2:13" s="530" customFormat="1" hidden="1">
      <c r="B4505" s="1794" t="s">
        <v>706</v>
      </c>
      <c r="C4505" s="2124" t="s">
        <v>876</v>
      </c>
      <c r="D4505" s="2124"/>
      <c r="E4505" s="2124"/>
      <c r="F4505" s="2125" t="s">
        <v>3873</v>
      </c>
      <c r="G4505" s="2125"/>
      <c r="H4505" s="1107">
        <f>H4504*0.15</f>
        <v>18143.97</v>
      </c>
      <c r="J4505" s="1714"/>
      <c r="K4505" s="1714"/>
      <c r="L4505" s="1714"/>
      <c r="M4505" s="1635"/>
    </row>
    <row r="4506" spans="2:13" s="530" customFormat="1" hidden="1">
      <c r="B4506" s="1794" t="s">
        <v>708</v>
      </c>
      <c r="C4506" s="2150" t="s">
        <v>3765</v>
      </c>
      <c r="D4506" s="2150"/>
      <c r="E4506" s="2150"/>
      <c r="F4506" s="2150"/>
      <c r="G4506" s="2150"/>
      <c r="H4506" s="1107">
        <f>ROUND(SUM(H4504:H4505),2)</f>
        <v>139103.76999999999</v>
      </c>
      <c r="I4506" s="533">
        <f>SUM(H4504:H4505)</f>
        <v>139103.77000000002</v>
      </c>
      <c r="J4506" s="1568"/>
      <c r="K4506" s="1568"/>
      <c r="L4506" s="1714"/>
      <c r="M4506" s="1635"/>
    </row>
    <row r="4507" spans="2:13" s="531" customFormat="1" hidden="1">
      <c r="B4507" s="1240"/>
      <c r="C4507" s="1241"/>
      <c r="D4507" s="1240"/>
      <c r="E4507" s="1241"/>
      <c r="F4507" s="1131"/>
      <c r="G4507" s="1132"/>
      <c r="H4507" s="1242"/>
      <c r="I4507" s="534"/>
      <c r="J4507" s="1569"/>
      <c r="K4507" s="1569"/>
      <c r="L4507" s="1712"/>
      <c r="M4507" s="1566"/>
    </row>
    <row r="4508" spans="2:13" hidden="1">
      <c r="B4508" s="1150" t="s">
        <v>4093</v>
      </c>
      <c r="C4508" s="1112" t="s">
        <v>2774</v>
      </c>
      <c r="D4508" s="1129"/>
      <c r="E4508" s="1129"/>
      <c r="F4508" s="1131"/>
      <c r="G4508" s="1132"/>
      <c r="H4508" s="1115"/>
      <c r="M4508" s="1566"/>
    </row>
    <row r="4509" spans="2:13" s="507" customFormat="1" ht="24.9" hidden="1" customHeight="1">
      <c r="B4509" s="1748" t="s">
        <v>1003</v>
      </c>
      <c r="C4509" s="1101" t="s">
        <v>1004</v>
      </c>
      <c r="D4509" s="1101" t="s">
        <v>1005</v>
      </c>
      <c r="E4509" s="1101" t="s">
        <v>1006</v>
      </c>
      <c r="F4509" s="1102" t="s">
        <v>1007</v>
      </c>
      <c r="G4509" s="1109" t="s">
        <v>2637</v>
      </c>
      <c r="H4509" s="1110" t="s">
        <v>2638</v>
      </c>
      <c r="J4509" s="1625"/>
      <c r="K4509" s="1625"/>
      <c r="L4509" s="1625"/>
      <c r="M4509" s="1570"/>
    </row>
    <row r="4510" spans="2:13" hidden="1">
      <c r="B4510" s="1543" t="s">
        <v>671</v>
      </c>
      <c r="C4510" s="1332" t="s">
        <v>672</v>
      </c>
      <c r="D4510" s="1331"/>
      <c r="E4510" s="1331"/>
      <c r="F4510" s="1334"/>
      <c r="G4510" s="1104"/>
      <c r="H4510" s="1106"/>
      <c r="M4510" s="1566"/>
    </row>
    <row r="4511" spans="2:13" hidden="1">
      <c r="B4511" s="1543"/>
      <c r="C4511" s="1332" t="s">
        <v>673</v>
      </c>
      <c r="D4511" s="1331" t="s">
        <v>674</v>
      </c>
      <c r="E4511" s="1331" t="s">
        <v>675</v>
      </c>
      <c r="F4511" s="1334">
        <v>0.16600000000000001</v>
      </c>
      <c r="G4511" s="1104">
        <f>DUB!$I$10</f>
        <v>150000</v>
      </c>
      <c r="H4511" s="1106">
        <f>G4511*F4511</f>
        <v>24900</v>
      </c>
      <c r="M4511" s="1566"/>
    </row>
    <row r="4512" spans="2:13" hidden="1">
      <c r="B4512" s="1543"/>
      <c r="C4512" s="1332" t="s">
        <v>677</v>
      </c>
      <c r="D4512" s="1331" t="s">
        <v>678</v>
      </c>
      <c r="E4512" s="1331" t="s">
        <v>675</v>
      </c>
      <c r="F4512" s="1334">
        <v>0.25</v>
      </c>
      <c r="G4512" s="1104">
        <f>DUB!$I$11</f>
        <v>187000</v>
      </c>
      <c r="H4512" s="1106">
        <f>G4512*F4512</f>
        <v>46750</v>
      </c>
      <c r="M4512" s="1566"/>
    </row>
    <row r="4513" spans="2:13" hidden="1">
      <c r="B4513" s="1543"/>
      <c r="C4513" s="1332" t="s">
        <v>751</v>
      </c>
      <c r="D4513" s="1331" t="s">
        <v>681</v>
      </c>
      <c r="E4513" s="1331" t="s">
        <v>675</v>
      </c>
      <c r="F4513" s="1334">
        <v>2.5000000000000001E-2</v>
      </c>
      <c r="G4513" s="1104">
        <f>DUB!$I$13</f>
        <v>240000</v>
      </c>
      <c r="H4513" s="1106">
        <f>G4513*F4513</f>
        <v>6000</v>
      </c>
      <c r="M4513" s="1566"/>
    </row>
    <row r="4514" spans="2:13" hidden="1">
      <c r="B4514" s="1543"/>
      <c r="C4514" s="1332" t="s">
        <v>683</v>
      </c>
      <c r="D4514" s="1331" t="s">
        <v>684</v>
      </c>
      <c r="E4514" s="1331" t="s">
        <v>675</v>
      </c>
      <c r="F4514" s="1334">
        <v>8.0000000000000002E-3</v>
      </c>
      <c r="G4514" s="1104">
        <f>DUB!$I$12</f>
        <v>225000</v>
      </c>
      <c r="H4514" s="1106">
        <f>G4514*F4514</f>
        <v>1800</v>
      </c>
      <c r="M4514" s="1566"/>
    </row>
    <row r="4515" spans="2:13" hidden="1">
      <c r="B4515" s="1543"/>
      <c r="C4515" s="1332"/>
      <c r="D4515" s="1331"/>
      <c r="E4515" s="1331"/>
      <c r="F4515" s="2074" t="s">
        <v>685</v>
      </c>
      <c r="G4515" s="2074"/>
      <c r="H4515" s="1106">
        <f>SUM(H4511:H4514)</f>
        <v>79450</v>
      </c>
      <c r="M4515" s="1566"/>
    </row>
    <row r="4516" spans="2:13" hidden="1">
      <c r="B4516" s="1543" t="s">
        <v>686</v>
      </c>
      <c r="C4516" s="1332" t="s">
        <v>687</v>
      </c>
      <c r="D4516" s="1331"/>
      <c r="E4516" s="1331"/>
      <c r="F4516" s="1334"/>
      <c r="G4516" s="1104"/>
      <c r="H4516" s="1106"/>
      <c r="M4516" s="1566"/>
    </row>
    <row r="4517" spans="2:13" hidden="1">
      <c r="B4517" s="1543"/>
      <c r="C4517" s="1332" t="s">
        <v>1244</v>
      </c>
      <c r="D4517" s="1331"/>
      <c r="E4517" s="1331" t="s">
        <v>743</v>
      </c>
      <c r="F4517" s="1334">
        <v>30</v>
      </c>
      <c r="G4517" s="1104">
        <f>DUB!$I$274</f>
        <v>5355</v>
      </c>
      <c r="H4517" s="1106">
        <f>G4517*F4517</f>
        <v>160650</v>
      </c>
      <c r="M4517" s="1566"/>
    </row>
    <row r="4518" spans="2:13" hidden="1">
      <c r="B4518" s="1543"/>
      <c r="C4518" s="1332" t="s">
        <v>1215</v>
      </c>
      <c r="D4518" s="1331"/>
      <c r="E4518" s="1331" t="s">
        <v>690</v>
      </c>
      <c r="F4518" s="1334">
        <v>0.2</v>
      </c>
      <c r="G4518" s="1104">
        <f>DUB!$I$128</f>
        <v>20441.7</v>
      </c>
      <c r="H4518" s="1106">
        <f>G4518*F4518</f>
        <v>4088.34</v>
      </c>
      <c r="M4518" s="1566"/>
    </row>
    <row r="4519" spans="2:13" hidden="1">
      <c r="B4519" s="1543"/>
      <c r="C4519" s="1332"/>
      <c r="D4519" s="1331"/>
      <c r="E4519" s="1331"/>
      <c r="F4519" s="2090" t="s">
        <v>702</v>
      </c>
      <c r="G4519" s="2090"/>
      <c r="H4519" s="1106">
        <f>SUM(H4517:H4518)</f>
        <v>164738.34</v>
      </c>
      <c r="M4519" s="1566"/>
    </row>
    <row r="4520" spans="2:13" s="496" customFormat="1" hidden="1">
      <c r="B4520" s="1543" t="s">
        <v>703</v>
      </c>
      <c r="C4520" s="2089" t="s">
        <v>3764</v>
      </c>
      <c r="D4520" s="2089"/>
      <c r="E4520" s="2089"/>
      <c r="F4520" s="2089"/>
      <c r="G4520" s="2089"/>
      <c r="H4520" s="1107">
        <f>H4515+H4519</f>
        <v>244188.34</v>
      </c>
      <c r="J4520" s="1559"/>
      <c r="K4520" s="1559"/>
      <c r="L4520" s="1559"/>
      <c r="M4520" s="1635"/>
    </row>
    <row r="4521" spans="2:13" s="496" customFormat="1" hidden="1">
      <c r="B4521" s="1543" t="s">
        <v>706</v>
      </c>
      <c r="C4521" s="2076" t="s">
        <v>876</v>
      </c>
      <c r="D4521" s="2076"/>
      <c r="E4521" s="2076"/>
      <c r="F4521" s="2077" t="s">
        <v>3873</v>
      </c>
      <c r="G4521" s="2077"/>
      <c r="H4521" s="1107">
        <f>H4520*0.15</f>
        <v>36628.250999999997</v>
      </c>
      <c r="J4521" s="1559"/>
      <c r="K4521" s="1559"/>
      <c r="L4521" s="1559"/>
      <c r="M4521" s="1635"/>
    </row>
    <row r="4522" spans="2:13" s="496" customFormat="1" hidden="1">
      <c r="B4522" s="1543" t="s">
        <v>708</v>
      </c>
      <c r="C4522" s="2078" t="s">
        <v>3765</v>
      </c>
      <c r="D4522" s="2078"/>
      <c r="E4522" s="2078"/>
      <c r="F4522" s="2078"/>
      <c r="G4522" s="2078"/>
      <c r="H4522" s="1107">
        <f>ROUND(SUM(H4520:H4521),2)</f>
        <v>280816.59000000003</v>
      </c>
      <c r="I4522" s="506">
        <f>SUM(H4520:H4521)</f>
        <v>280816.59100000001</v>
      </c>
      <c r="J4522" s="1561"/>
      <c r="K4522" s="1561"/>
      <c r="L4522" s="1559"/>
      <c r="M4522" s="1635"/>
    </row>
    <row r="4523" spans="2:13" hidden="1">
      <c r="F4523" s="1172"/>
      <c r="G4523" s="1173"/>
      <c r="H4523" s="1133"/>
      <c r="M4523" s="1566"/>
    </row>
    <row r="4524" spans="2:13" hidden="1">
      <c r="B4524" s="1100" t="s">
        <v>4094</v>
      </c>
      <c r="C4524" s="1232" t="s">
        <v>2773</v>
      </c>
      <c r="F4524" s="1172"/>
      <c r="G4524" s="1173"/>
      <c r="H4524" s="1133"/>
      <c r="M4524" s="1566"/>
    </row>
    <row r="4525" spans="2:13" s="507" customFormat="1" ht="24.9" hidden="1" customHeight="1">
      <c r="B4525" s="1748" t="s">
        <v>1003</v>
      </c>
      <c r="C4525" s="1101" t="s">
        <v>1004</v>
      </c>
      <c r="D4525" s="1101" t="s">
        <v>1005</v>
      </c>
      <c r="E4525" s="1101" t="s">
        <v>1006</v>
      </c>
      <c r="F4525" s="1102" t="s">
        <v>1007</v>
      </c>
      <c r="G4525" s="1109" t="s">
        <v>2637</v>
      </c>
      <c r="H4525" s="1110" t="s">
        <v>2638</v>
      </c>
      <c r="J4525" s="1625"/>
      <c r="K4525" s="1625"/>
      <c r="L4525" s="1625"/>
      <c r="M4525" s="1570"/>
    </row>
    <row r="4526" spans="2:13" hidden="1">
      <c r="B4526" s="1543" t="s">
        <v>671</v>
      </c>
      <c r="C4526" s="1332" t="s">
        <v>672</v>
      </c>
      <c r="D4526" s="1331"/>
      <c r="E4526" s="1331"/>
      <c r="F4526" s="1334"/>
      <c r="G4526" s="1104"/>
      <c r="H4526" s="1106"/>
      <c r="M4526" s="1566"/>
    </row>
    <row r="4527" spans="2:13" hidden="1">
      <c r="B4527" s="1543"/>
      <c r="C4527" s="1332" t="s">
        <v>673</v>
      </c>
      <c r="D4527" s="1331" t="s">
        <v>674</v>
      </c>
      <c r="E4527" s="1331" t="s">
        <v>675</v>
      </c>
      <c r="F4527" s="1334">
        <v>0.4</v>
      </c>
      <c r="G4527" s="1104">
        <f>DUB!$I$10</f>
        <v>150000</v>
      </c>
      <c r="H4527" s="1106">
        <f>G4527*F4527</f>
        <v>60000</v>
      </c>
      <c r="M4527" s="1566"/>
    </row>
    <row r="4528" spans="2:13" hidden="1">
      <c r="B4528" s="1543"/>
      <c r="C4528" s="1332" t="s">
        <v>677</v>
      </c>
      <c r="D4528" s="1331" t="s">
        <v>678</v>
      </c>
      <c r="E4528" s="1331" t="s">
        <v>675</v>
      </c>
      <c r="F4528" s="1334">
        <v>0.2</v>
      </c>
      <c r="G4528" s="1104">
        <f>DUB!$I$11</f>
        <v>187000</v>
      </c>
      <c r="H4528" s="1106">
        <f>G4528*F4528</f>
        <v>37400</v>
      </c>
      <c r="M4528" s="1566"/>
    </row>
    <row r="4529" spans="2:13" hidden="1">
      <c r="B4529" s="1543"/>
      <c r="C4529" s="1332" t="s">
        <v>751</v>
      </c>
      <c r="D4529" s="1331" t="s">
        <v>681</v>
      </c>
      <c r="E4529" s="1331" t="s">
        <v>675</v>
      </c>
      <c r="F4529" s="1334">
        <v>0.02</v>
      </c>
      <c r="G4529" s="1104">
        <f>DUB!$I$13</f>
        <v>240000</v>
      </c>
      <c r="H4529" s="1106">
        <f>G4529*F4529</f>
        <v>4800</v>
      </c>
      <c r="M4529" s="1566"/>
    </row>
    <row r="4530" spans="2:13" hidden="1">
      <c r="B4530" s="1543"/>
      <c r="C4530" s="1332" t="s">
        <v>683</v>
      </c>
      <c r="D4530" s="1331" t="s">
        <v>684</v>
      </c>
      <c r="E4530" s="1331" t="s">
        <v>675</v>
      </c>
      <c r="F4530" s="1334">
        <v>0.02</v>
      </c>
      <c r="G4530" s="1104">
        <f>DUB!$I$12</f>
        <v>225000</v>
      </c>
      <c r="H4530" s="1106">
        <f>G4530*F4530</f>
        <v>4500</v>
      </c>
      <c r="M4530" s="1566"/>
    </row>
    <row r="4531" spans="2:13" hidden="1">
      <c r="B4531" s="1543"/>
      <c r="C4531" s="1332"/>
      <c r="D4531" s="1331"/>
      <c r="E4531" s="1331"/>
      <c r="F4531" s="2074" t="s">
        <v>685</v>
      </c>
      <c r="G4531" s="2074"/>
      <c r="H4531" s="1106">
        <f>SUM(H4527:H4530)</f>
        <v>106700</v>
      </c>
      <c r="M4531" s="1566"/>
    </row>
    <row r="4532" spans="2:13" hidden="1">
      <c r="B4532" s="1543" t="s">
        <v>686</v>
      </c>
      <c r="C4532" s="1332" t="s">
        <v>687</v>
      </c>
      <c r="D4532" s="1331"/>
      <c r="E4532" s="1331"/>
      <c r="F4532" s="1334"/>
      <c r="G4532" s="1104"/>
      <c r="H4532" s="1106"/>
      <c r="M4532" s="1566"/>
    </row>
    <row r="4533" spans="2:13" hidden="1">
      <c r="B4533" s="1543"/>
      <c r="C4533" s="1332" t="s">
        <v>1246</v>
      </c>
      <c r="D4533" s="1331"/>
      <c r="E4533" s="1331" t="s">
        <v>743</v>
      </c>
      <c r="F4533" s="1334">
        <v>3.5</v>
      </c>
      <c r="G4533" s="1104">
        <f>DUB!$I$247</f>
        <v>10917</v>
      </c>
      <c r="H4533" s="1106">
        <f>G4533*F4533</f>
        <v>38209.5</v>
      </c>
      <c r="M4533" s="1566"/>
    </row>
    <row r="4534" spans="2:13" hidden="1">
      <c r="B4534" s="1543"/>
      <c r="C4534" s="1332" t="s">
        <v>1215</v>
      </c>
      <c r="D4534" s="1331"/>
      <c r="E4534" s="1331" t="s">
        <v>690</v>
      </c>
      <c r="F4534" s="1334">
        <v>0.05</v>
      </c>
      <c r="G4534" s="1104">
        <f>DUB!$I$128</f>
        <v>20441.7</v>
      </c>
      <c r="H4534" s="1106">
        <f>G4534*F4534</f>
        <v>1022.085</v>
      </c>
      <c r="M4534" s="1566"/>
    </row>
    <row r="4535" spans="2:13" hidden="1">
      <c r="B4535" s="1543"/>
      <c r="C4535" s="1332" t="s">
        <v>790</v>
      </c>
      <c r="D4535" s="1331"/>
      <c r="E4535" s="1331" t="s">
        <v>690</v>
      </c>
      <c r="F4535" s="1334">
        <v>10.8</v>
      </c>
      <c r="G4535" s="1104">
        <f>DUB!$I$65</f>
        <v>1575</v>
      </c>
      <c r="H4535" s="1106">
        <f>G4535*F4535</f>
        <v>17010</v>
      </c>
      <c r="M4535" s="1566"/>
    </row>
    <row r="4536" spans="2:13" hidden="1">
      <c r="B4536" s="1543"/>
      <c r="C4536" s="1332" t="s">
        <v>739</v>
      </c>
      <c r="D4536" s="1331"/>
      <c r="E4536" s="1331" t="s">
        <v>881</v>
      </c>
      <c r="F4536" s="1334">
        <v>3.2000000000000001E-2</v>
      </c>
      <c r="G4536" s="1104">
        <f>DUB!$I$59</f>
        <v>208463</v>
      </c>
      <c r="H4536" s="1106">
        <f>G4536*F4536</f>
        <v>6670.8159999999998</v>
      </c>
      <c r="M4536" s="1566"/>
    </row>
    <row r="4537" spans="2:13" hidden="1">
      <c r="B4537" s="1543"/>
      <c r="C4537" s="1332" t="s">
        <v>1100</v>
      </c>
      <c r="D4537" s="1331"/>
      <c r="E4537" s="1331" t="s">
        <v>690</v>
      </c>
      <c r="F4537" s="1334">
        <v>1</v>
      </c>
      <c r="G4537" s="1104">
        <f>DUB!$I$63</f>
        <v>2750</v>
      </c>
      <c r="H4537" s="1106">
        <f>G4537*F4537</f>
        <v>2750</v>
      </c>
      <c r="M4537" s="1566"/>
    </row>
    <row r="4538" spans="2:13" hidden="1">
      <c r="B4538" s="1543"/>
      <c r="C4538" s="1125"/>
      <c r="D4538" s="1333"/>
      <c r="E4538" s="1333"/>
      <c r="F4538" s="2074" t="s">
        <v>702</v>
      </c>
      <c r="G4538" s="2074"/>
      <c r="H4538" s="1106">
        <f>SUM(H4533:H4537)</f>
        <v>65662.400999999998</v>
      </c>
      <c r="M4538" s="1566"/>
    </row>
    <row r="4539" spans="2:13" s="496" customFormat="1" hidden="1">
      <c r="B4539" s="1543" t="s">
        <v>703</v>
      </c>
      <c r="C4539" s="2075" t="s">
        <v>3764</v>
      </c>
      <c r="D4539" s="2075"/>
      <c r="E4539" s="2075"/>
      <c r="F4539" s="2075"/>
      <c r="G4539" s="2075"/>
      <c r="H4539" s="1107">
        <f>H4531+H4538</f>
        <v>172362.40100000001</v>
      </c>
      <c r="J4539" s="1559"/>
      <c r="K4539" s="1559"/>
      <c r="L4539" s="1559"/>
      <c r="M4539" s="1635"/>
    </row>
    <row r="4540" spans="2:13" s="496" customFormat="1" hidden="1">
      <c r="B4540" s="1543" t="s">
        <v>706</v>
      </c>
      <c r="C4540" s="2076" t="s">
        <v>876</v>
      </c>
      <c r="D4540" s="2076"/>
      <c r="E4540" s="2076"/>
      <c r="F4540" s="2077" t="s">
        <v>3873</v>
      </c>
      <c r="G4540" s="2077"/>
      <c r="H4540" s="1107">
        <f>H4539*0.15</f>
        <v>25854.36015</v>
      </c>
      <c r="J4540" s="1559"/>
      <c r="K4540" s="1559"/>
      <c r="L4540" s="1559"/>
      <c r="M4540" s="1635"/>
    </row>
    <row r="4541" spans="2:13" s="496" customFormat="1" hidden="1">
      <c r="B4541" s="1543" t="s">
        <v>708</v>
      </c>
      <c r="C4541" s="2078" t="s">
        <v>3765</v>
      </c>
      <c r="D4541" s="2078"/>
      <c r="E4541" s="2078"/>
      <c r="F4541" s="2078"/>
      <c r="G4541" s="2078"/>
      <c r="H4541" s="1107">
        <f>ROUND(SUM(H4539:H4540),2)</f>
        <v>198216.76</v>
      </c>
      <c r="I4541" s="506">
        <f>SUM(H4539:H4540)</f>
        <v>198216.76115000001</v>
      </c>
      <c r="J4541" s="1561"/>
      <c r="K4541" s="1561"/>
      <c r="L4541" s="1559"/>
      <c r="M4541" s="1635"/>
    </row>
    <row r="4542" spans="2:13" hidden="1">
      <c r="B4542" s="1143"/>
      <c r="C4542" s="1144"/>
      <c r="D4542" s="1143"/>
      <c r="E4542" s="1143"/>
      <c r="F4542" s="1145"/>
      <c r="G4542" s="1146"/>
      <c r="H4542" s="1147"/>
      <c r="M4542" s="1566"/>
    </row>
    <row r="4543" spans="2:13" hidden="1">
      <c r="B4543" s="1100" t="s">
        <v>4870</v>
      </c>
      <c r="C4543" s="1232" t="s">
        <v>4871</v>
      </c>
      <c r="F4543" s="1172"/>
      <c r="G4543" s="1173"/>
      <c r="H4543" s="1133"/>
      <c r="M4543" s="1566"/>
    </row>
    <row r="4544" spans="2:13" ht="25.5" hidden="1" customHeight="1">
      <c r="B4544" s="1748" t="s">
        <v>1003</v>
      </c>
      <c r="C4544" s="1101" t="s">
        <v>1004</v>
      </c>
      <c r="D4544" s="1101" t="s">
        <v>1005</v>
      </c>
      <c r="E4544" s="1101" t="s">
        <v>1006</v>
      </c>
      <c r="F4544" s="1102" t="s">
        <v>1007</v>
      </c>
      <c r="G4544" s="1109" t="s">
        <v>2637</v>
      </c>
      <c r="H4544" s="1110" t="s">
        <v>2638</v>
      </c>
      <c r="I4544" s="507"/>
      <c r="J4544" s="1625"/>
      <c r="K4544" s="1625"/>
      <c r="M4544" s="1566"/>
    </row>
    <row r="4545" spans="2:13" hidden="1">
      <c r="B4545" s="1543" t="s">
        <v>671</v>
      </c>
      <c r="C4545" s="1332" t="s">
        <v>672</v>
      </c>
      <c r="D4545" s="1331"/>
      <c r="E4545" s="1331"/>
      <c r="F4545" s="1334"/>
      <c r="G4545" s="1104"/>
      <c r="H4545" s="1106"/>
      <c r="M4545" s="1566"/>
    </row>
    <row r="4546" spans="2:13" hidden="1">
      <c r="B4546" s="1543"/>
      <c r="C4546" s="1332" t="s">
        <v>673</v>
      </c>
      <c r="D4546" s="1331" t="s">
        <v>674</v>
      </c>
      <c r="E4546" s="1331" t="s">
        <v>675</v>
      </c>
      <c r="F4546" s="1334">
        <v>0.4</v>
      </c>
      <c r="G4546" s="1104">
        <f>DUB!$I$10</f>
        <v>150000</v>
      </c>
      <c r="H4546" s="1106">
        <f>G4546*F4546</f>
        <v>60000</v>
      </c>
      <c r="M4546" s="1566"/>
    </row>
    <row r="4547" spans="2:13" hidden="1">
      <c r="B4547" s="1543"/>
      <c r="C4547" s="1332" t="s">
        <v>677</v>
      </c>
      <c r="D4547" s="1331" t="s">
        <v>678</v>
      </c>
      <c r="E4547" s="1331" t="s">
        <v>675</v>
      </c>
      <c r="F4547" s="1334">
        <v>0.2</v>
      </c>
      <c r="G4547" s="1104">
        <f>DUB!$I$11</f>
        <v>187000</v>
      </c>
      <c r="H4547" s="1106">
        <f>G4547*F4547</f>
        <v>37400</v>
      </c>
      <c r="M4547" s="1566"/>
    </row>
    <row r="4548" spans="2:13" hidden="1">
      <c r="B4548" s="1543"/>
      <c r="C4548" s="1332" t="s">
        <v>751</v>
      </c>
      <c r="D4548" s="1331" t="s">
        <v>681</v>
      </c>
      <c r="E4548" s="1331" t="s">
        <v>675</v>
      </c>
      <c r="F4548" s="1334">
        <v>0.02</v>
      </c>
      <c r="G4548" s="1104">
        <f>DUB!$I$13</f>
        <v>240000</v>
      </c>
      <c r="H4548" s="1106">
        <f>G4548*F4548</f>
        <v>4800</v>
      </c>
      <c r="M4548" s="1566"/>
    </row>
    <row r="4549" spans="2:13" hidden="1">
      <c r="B4549" s="1543"/>
      <c r="C4549" s="1332" t="s">
        <v>683</v>
      </c>
      <c r="D4549" s="1331" t="s">
        <v>684</v>
      </c>
      <c r="E4549" s="1331" t="s">
        <v>675</v>
      </c>
      <c r="F4549" s="1334">
        <v>0.02</v>
      </c>
      <c r="G4549" s="1104">
        <f>DUB!$I$12</f>
        <v>225000</v>
      </c>
      <c r="H4549" s="1106">
        <f>G4549*F4549</f>
        <v>4500</v>
      </c>
      <c r="M4549" s="1566"/>
    </row>
    <row r="4550" spans="2:13" hidden="1">
      <c r="B4550" s="1543"/>
      <c r="C4550" s="1332"/>
      <c r="D4550" s="1331"/>
      <c r="E4550" s="1331"/>
      <c r="F4550" s="2074" t="s">
        <v>685</v>
      </c>
      <c r="G4550" s="2074"/>
      <c r="H4550" s="1106">
        <f>SUM(H4546:H4549)</f>
        <v>106700</v>
      </c>
      <c r="M4550" s="1566"/>
    </row>
    <row r="4551" spans="2:13" hidden="1">
      <c r="B4551" s="1543" t="s">
        <v>686</v>
      </c>
      <c r="C4551" s="1332" t="s">
        <v>687</v>
      </c>
      <c r="D4551" s="1331"/>
      <c r="E4551" s="1331"/>
      <c r="F4551" s="1334"/>
      <c r="G4551" s="1104"/>
      <c r="H4551" s="1106"/>
      <c r="M4551" s="1566"/>
    </row>
    <row r="4552" spans="2:13" hidden="1">
      <c r="B4552" s="1543"/>
      <c r="C4552" s="1332" t="s">
        <v>1246</v>
      </c>
      <c r="D4552" s="1331"/>
      <c r="E4552" s="1331" t="s">
        <v>743</v>
      </c>
      <c r="F4552" s="1334">
        <v>5</v>
      </c>
      <c r="G4552" s="1104">
        <f>DUB!$I$247</f>
        <v>10917</v>
      </c>
      <c r="H4552" s="1106">
        <f>G4552*F4552</f>
        <v>54585</v>
      </c>
      <c r="M4552" s="1566"/>
    </row>
    <row r="4553" spans="2:13" hidden="1">
      <c r="B4553" s="1543"/>
      <c r="C4553" s="1332" t="s">
        <v>1215</v>
      </c>
      <c r="D4553" s="1331"/>
      <c r="E4553" s="1331" t="s">
        <v>690</v>
      </c>
      <c r="F4553" s="1334">
        <v>0.05</v>
      </c>
      <c r="G4553" s="1104">
        <f>DUB!$I$128</f>
        <v>20441.7</v>
      </c>
      <c r="H4553" s="1106">
        <f>G4553*F4553</f>
        <v>1022.085</v>
      </c>
      <c r="M4553" s="1566"/>
    </row>
    <row r="4554" spans="2:13" hidden="1">
      <c r="B4554" s="1543"/>
      <c r="C4554" s="1332" t="s">
        <v>790</v>
      </c>
      <c r="D4554" s="1331"/>
      <c r="E4554" s="1331" t="s">
        <v>690</v>
      </c>
      <c r="F4554" s="1334">
        <v>8</v>
      </c>
      <c r="G4554" s="1104">
        <f>DUB!$I$65</f>
        <v>1575</v>
      </c>
      <c r="H4554" s="1106">
        <f>G4554*F4554</f>
        <v>12600</v>
      </c>
      <c r="M4554" s="1566"/>
    </row>
    <row r="4555" spans="2:13" hidden="1">
      <c r="B4555" s="1543"/>
      <c r="C4555" s="1332" t="s">
        <v>739</v>
      </c>
      <c r="D4555" s="1331"/>
      <c r="E4555" s="1331" t="s">
        <v>881</v>
      </c>
      <c r="F4555" s="1334">
        <v>3.2000000000000001E-2</v>
      </c>
      <c r="G4555" s="1104">
        <f>DUB!$I$59</f>
        <v>208463</v>
      </c>
      <c r="H4555" s="1106">
        <f>G4555*F4555</f>
        <v>6670.8159999999998</v>
      </c>
      <c r="M4555" s="1566"/>
    </row>
    <row r="4556" spans="2:13" hidden="1">
      <c r="B4556" s="1543"/>
      <c r="C4556" s="1125"/>
      <c r="D4556" s="1333"/>
      <c r="E4556" s="1333"/>
      <c r="F4556" s="2074" t="s">
        <v>702</v>
      </c>
      <c r="G4556" s="2074"/>
      <c r="H4556" s="1106">
        <f>SUM(H4552:H4555)</f>
        <v>74877.900999999998</v>
      </c>
      <c r="M4556" s="1566"/>
    </row>
    <row r="4557" spans="2:13" hidden="1">
      <c r="B4557" s="1543" t="s">
        <v>703</v>
      </c>
      <c r="C4557" s="2075" t="s">
        <v>3764</v>
      </c>
      <c r="D4557" s="2075"/>
      <c r="E4557" s="2075"/>
      <c r="F4557" s="2075"/>
      <c r="G4557" s="2075"/>
      <c r="H4557" s="1107">
        <f>H4550+H4556</f>
        <v>181577.90100000001</v>
      </c>
      <c r="I4557" s="496"/>
      <c r="J4557" s="1559"/>
      <c r="K4557" s="1559"/>
      <c r="M4557" s="1566"/>
    </row>
    <row r="4558" spans="2:13" hidden="1">
      <c r="B4558" s="1543" t="s">
        <v>706</v>
      </c>
      <c r="C4558" s="2076" t="s">
        <v>876</v>
      </c>
      <c r="D4558" s="2076"/>
      <c r="E4558" s="2076"/>
      <c r="F4558" s="2077" t="s">
        <v>3873</v>
      </c>
      <c r="G4558" s="2077"/>
      <c r="H4558" s="1107">
        <f>H4557*0.15</f>
        <v>27236.685150000001</v>
      </c>
      <c r="I4558" s="496"/>
      <c r="J4558" s="1559"/>
      <c r="K4558" s="1559"/>
      <c r="M4558" s="1566"/>
    </row>
    <row r="4559" spans="2:13" hidden="1">
      <c r="B4559" s="1543" t="s">
        <v>708</v>
      </c>
      <c r="C4559" s="2078" t="s">
        <v>3765</v>
      </c>
      <c r="D4559" s="2078"/>
      <c r="E4559" s="2078"/>
      <c r="F4559" s="2078"/>
      <c r="G4559" s="2078"/>
      <c r="H4559" s="1107">
        <f>ROUND(SUM(H4557:H4558),2)</f>
        <v>208814.59</v>
      </c>
      <c r="I4559" s="506">
        <f>SUM(H4557:H4558)</f>
        <v>208814.58615000002</v>
      </c>
      <c r="J4559" s="1561"/>
      <c r="K4559" s="1561"/>
      <c r="M4559" s="1566"/>
    </row>
    <row r="4560" spans="2:13" hidden="1">
      <c r="B4560" s="1129"/>
      <c r="C4560" s="1130"/>
      <c r="D4560" s="1129"/>
      <c r="E4560" s="1129"/>
      <c r="F4560" s="1131"/>
      <c r="G4560" s="1132"/>
      <c r="H4560" s="1115"/>
      <c r="M4560" s="1566"/>
    </row>
    <row r="4561" spans="2:13" hidden="1">
      <c r="B4561" s="1100" t="s">
        <v>4095</v>
      </c>
      <c r="C4561" s="1112" t="s">
        <v>2772</v>
      </c>
      <c r="D4561" s="1129"/>
      <c r="E4561" s="1129"/>
      <c r="F4561" s="1131"/>
      <c r="G4561" s="1132"/>
      <c r="H4561" s="1115"/>
      <c r="M4561" s="1566"/>
    </row>
    <row r="4562" spans="2:13" s="507" customFormat="1" ht="24.9" hidden="1" customHeight="1">
      <c r="B4562" s="1748" t="s">
        <v>1003</v>
      </c>
      <c r="C4562" s="1101" t="s">
        <v>1004</v>
      </c>
      <c r="D4562" s="1101" t="s">
        <v>1005</v>
      </c>
      <c r="E4562" s="1101" t="s">
        <v>1006</v>
      </c>
      <c r="F4562" s="1102" t="s">
        <v>1007</v>
      </c>
      <c r="G4562" s="1109" t="s">
        <v>2637</v>
      </c>
      <c r="H4562" s="1110" t="s">
        <v>2638</v>
      </c>
      <c r="J4562" s="1625"/>
      <c r="K4562" s="1625"/>
      <c r="L4562" s="1625"/>
      <c r="M4562" s="1570"/>
    </row>
    <row r="4563" spans="2:13" hidden="1">
      <c r="B4563" s="1543" t="s">
        <v>671</v>
      </c>
      <c r="C4563" s="1332" t="s">
        <v>672</v>
      </c>
      <c r="D4563" s="1331"/>
      <c r="E4563" s="1331"/>
      <c r="F4563" s="1334"/>
      <c r="G4563" s="1104"/>
      <c r="H4563" s="1106"/>
      <c r="M4563" s="1566"/>
    </row>
    <row r="4564" spans="2:13" hidden="1">
      <c r="B4564" s="1543"/>
      <c r="C4564" s="1332" t="s">
        <v>673</v>
      </c>
      <c r="D4564" s="1331" t="s">
        <v>674</v>
      </c>
      <c r="E4564" s="1331" t="s">
        <v>675</v>
      </c>
      <c r="F4564" s="1334">
        <v>0.125</v>
      </c>
      <c r="G4564" s="1104">
        <f>DUB!$I$10</f>
        <v>150000</v>
      </c>
      <c r="H4564" s="1106">
        <f>G4564*F4564</f>
        <v>18750</v>
      </c>
      <c r="M4564" s="1566"/>
    </row>
    <row r="4565" spans="2:13" hidden="1">
      <c r="B4565" s="1543"/>
      <c r="C4565" s="1332" t="s">
        <v>677</v>
      </c>
      <c r="D4565" s="1331" t="s">
        <v>678</v>
      </c>
      <c r="E4565" s="1331" t="s">
        <v>675</v>
      </c>
      <c r="F4565" s="1334">
        <v>0.25</v>
      </c>
      <c r="G4565" s="1104">
        <f>DUB!$I$11</f>
        <v>187000</v>
      </c>
      <c r="H4565" s="1106">
        <f>G4565*F4565</f>
        <v>46750</v>
      </c>
      <c r="M4565" s="1566"/>
    </row>
    <row r="4566" spans="2:13" hidden="1">
      <c r="B4566" s="1543"/>
      <c r="C4566" s="1332" t="s">
        <v>751</v>
      </c>
      <c r="D4566" s="1331" t="s">
        <v>681</v>
      </c>
      <c r="E4566" s="1331" t="s">
        <v>675</v>
      </c>
      <c r="F4566" s="1334">
        <v>2.5000000000000001E-2</v>
      </c>
      <c r="G4566" s="1104">
        <f>DUB!$I$13</f>
        <v>240000</v>
      </c>
      <c r="H4566" s="1106">
        <f>G4566*F4566</f>
        <v>6000</v>
      </c>
      <c r="M4566" s="1566"/>
    </row>
    <row r="4567" spans="2:13" hidden="1">
      <c r="B4567" s="1543"/>
      <c r="C4567" s="1332" t="s">
        <v>683</v>
      </c>
      <c r="D4567" s="1331" t="s">
        <v>684</v>
      </c>
      <c r="E4567" s="1331" t="s">
        <v>675</v>
      </c>
      <c r="F4567" s="1334">
        <v>6.0000000000000001E-3</v>
      </c>
      <c r="G4567" s="1104">
        <f>DUB!$I$12</f>
        <v>225000</v>
      </c>
      <c r="H4567" s="1106">
        <f>G4567*F4567</f>
        <v>1350</v>
      </c>
      <c r="M4567" s="1566"/>
    </row>
    <row r="4568" spans="2:13" hidden="1">
      <c r="B4568" s="1543"/>
      <c r="C4568" s="1332"/>
      <c r="D4568" s="1331"/>
      <c r="E4568" s="1331"/>
      <c r="F4568" s="2074" t="s">
        <v>685</v>
      </c>
      <c r="G4568" s="2074"/>
      <c r="H4568" s="1106">
        <f>SUM(H4564:H4567)</f>
        <v>72850</v>
      </c>
      <c r="M4568" s="1566"/>
    </row>
    <row r="4569" spans="2:13" hidden="1">
      <c r="B4569" s="1543" t="s">
        <v>686</v>
      </c>
      <c r="C4569" s="1332" t="s">
        <v>687</v>
      </c>
      <c r="D4569" s="1331"/>
      <c r="E4569" s="1331"/>
      <c r="F4569" s="1334"/>
      <c r="G4569" s="1104"/>
      <c r="H4569" s="1106"/>
      <c r="M4569" s="1566"/>
    </row>
    <row r="4570" spans="2:13" hidden="1">
      <c r="B4570" s="1543"/>
      <c r="C4570" s="1332" t="s">
        <v>1249</v>
      </c>
      <c r="D4570" s="1331"/>
      <c r="E4570" s="1331" t="s">
        <v>743</v>
      </c>
      <c r="F4570" s="1334">
        <v>1</v>
      </c>
      <c r="G4570" s="1104">
        <f>DUB!$I$269</f>
        <v>79254</v>
      </c>
      <c r="H4570" s="1106">
        <f>G4570*F4570</f>
        <v>79254</v>
      </c>
      <c r="M4570" s="1566"/>
    </row>
    <row r="4571" spans="2:13" hidden="1">
      <c r="B4571" s="1543"/>
      <c r="C4571" s="1332" t="s">
        <v>1215</v>
      </c>
      <c r="D4571" s="1331"/>
      <c r="E4571" s="1331" t="s">
        <v>690</v>
      </c>
      <c r="F4571" s="1334">
        <v>0.05</v>
      </c>
      <c r="G4571" s="1104">
        <f>DUB!$I$128</f>
        <v>20441.7</v>
      </c>
      <c r="H4571" s="1106">
        <f>G4571*F4571</f>
        <v>1022.085</v>
      </c>
      <c r="M4571" s="1566"/>
    </row>
    <row r="4572" spans="2:13" hidden="1">
      <c r="B4572" s="1543"/>
      <c r="C4572" s="1125"/>
      <c r="D4572" s="1333"/>
      <c r="E4572" s="1333"/>
      <c r="F4572" s="2074" t="s">
        <v>702</v>
      </c>
      <c r="G4572" s="2074"/>
      <c r="H4572" s="1106">
        <f>SUM(H4570:H4571)</f>
        <v>80276.085000000006</v>
      </c>
      <c r="M4572" s="1566"/>
    </row>
    <row r="4573" spans="2:13" s="496" customFormat="1" hidden="1">
      <c r="B4573" s="1543" t="s">
        <v>703</v>
      </c>
      <c r="C4573" s="2075" t="s">
        <v>3764</v>
      </c>
      <c r="D4573" s="2075"/>
      <c r="E4573" s="2075"/>
      <c r="F4573" s="2075"/>
      <c r="G4573" s="2075"/>
      <c r="H4573" s="1107">
        <f>H4568+H4572</f>
        <v>153126.08500000002</v>
      </c>
      <c r="J4573" s="1559"/>
      <c r="K4573" s="1559"/>
      <c r="L4573" s="1559"/>
      <c r="M4573" s="1635"/>
    </row>
    <row r="4574" spans="2:13" s="496" customFormat="1" hidden="1">
      <c r="B4574" s="1543" t="s">
        <v>706</v>
      </c>
      <c r="C4574" s="2076" t="s">
        <v>876</v>
      </c>
      <c r="D4574" s="2076"/>
      <c r="E4574" s="2076"/>
      <c r="F4574" s="2077" t="s">
        <v>3873</v>
      </c>
      <c r="G4574" s="2077"/>
      <c r="H4574" s="1107">
        <f>H4573*0.15</f>
        <v>22968.912750000003</v>
      </c>
      <c r="J4574" s="1559"/>
      <c r="K4574" s="1559"/>
      <c r="L4574" s="1559"/>
      <c r="M4574" s="1635"/>
    </row>
    <row r="4575" spans="2:13" s="496" customFormat="1" hidden="1">
      <c r="B4575" s="1543" t="s">
        <v>708</v>
      </c>
      <c r="C4575" s="2078" t="s">
        <v>3765</v>
      </c>
      <c r="D4575" s="2078"/>
      <c r="E4575" s="2078"/>
      <c r="F4575" s="2078"/>
      <c r="G4575" s="2078"/>
      <c r="H4575" s="1107">
        <f>ROUND(SUM(H4573:H4574),2)</f>
        <v>176095</v>
      </c>
      <c r="I4575" s="506">
        <f>SUM(H4573:H4574)</f>
        <v>176094.99775000004</v>
      </c>
      <c r="J4575" s="1561"/>
      <c r="K4575" s="1561"/>
      <c r="L4575" s="1559"/>
      <c r="M4575" s="1635"/>
    </row>
    <row r="4576" spans="2:13" hidden="1">
      <c r="F4576" s="1172"/>
      <c r="G4576" s="1173"/>
      <c r="H4576" s="1133"/>
      <c r="M4576" s="1566"/>
    </row>
    <row r="4577" spans="2:13" hidden="1">
      <c r="B4577" s="1150" t="s">
        <v>4096</v>
      </c>
      <c r="C4577" s="1232" t="s">
        <v>2771</v>
      </c>
      <c r="F4577" s="1172"/>
      <c r="G4577" s="1173"/>
      <c r="H4577" s="1133"/>
      <c r="M4577" s="1566"/>
    </row>
    <row r="4578" spans="2:13" s="507" customFormat="1" ht="24.9" hidden="1" customHeight="1">
      <c r="B4578" s="1748" t="s">
        <v>1003</v>
      </c>
      <c r="C4578" s="1101" t="s">
        <v>1004</v>
      </c>
      <c r="D4578" s="1101" t="s">
        <v>1005</v>
      </c>
      <c r="E4578" s="1101" t="s">
        <v>1006</v>
      </c>
      <c r="F4578" s="1102" t="s">
        <v>1007</v>
      </c>
      <c r="G4578" s="1109" t="s">
        <v>2637</v>
      </c>
      <c r="H4578" s="1110" t="s">
        <v>2638</v>
      </c>
      <c r="J4578" s="1625"/>
      <c r="K4578" s="1625"/>
      <c r="L4578" s="1625"/>
      <c r="M4578" s="1570"/>
    </row>
    <row r="4579" spans="2:13" hidden="1">
      <c r="B4579" s="1543" t="s">
        <v>671</v>
      </c>
      <c r="C4579" s="1332" t="s">
        <v>672</v>
      </c>
      <c r="D4579" s="1331"/>
      <c r="E4579" s="1331"/>
      <c r="F4579" s="1334"/>
      <c r="G4579" s="1104"/>
      <c r="H4579" s="1106"/>
      <c r="M4579" s="1566"/>
    </row>
    <row r="4580" spans="2:13" hidden="1">
      <c r="B4580" s="1543"/>
      <c r="C4580" s="1332" t="s">
        <v>673</v>
      </c>
      <c r="D4580" s="1331" t="s">
        <v>674</v>
      </c>
      <c r="E4580" s="1331" t="s">
        <v>675</v>
      </c>
      <c r="F4580" s="1334">
        <v>0.25</v>
      </c>
      <c r="G4580" s="1104">
        <f>DUB!$I$10</f>
        <v>150000</v>
      </c>
      <c r="H4580" s="1106">
        <f>G4580*F4580</f>
        <v>37500</v>
      </c>
      <c r="M4580" s="1566"/>
    </row>
    <row r="4581" spans="2:13" hidden="1">
      <c r="B4581" s="1543"/>
      <c r="C4581" s="1332" t="s">
        <v>677</v>
      </c>
      <c r="D4581" s="1331" t="s">
        <v>678</v>
      </c>
      <c r="E4581" s="1331" t="s">
        <v>675</v>
      </c>
      <c r="F4581" s="1334">
        <v>0.15</v>
      </c>
      <c r="G4581" s="1104">
        <f>DUB!$I$11</f>
        <v>187000</v>
      </c>
      <c r="H4581" s="1106">
        <f>G4581*F4581</f>
        <v>28050</v>
      </c>
      <c r="M4581" s="1566"/>
    </row>
    <row r="4582" spans="2:13" hidden="1">
      <c r="B4582" s="1543"/>
      <c r="C4582" s="1332" t="s">
        <v>751</v>
      </c>
      <c r="D4582" s="1331" t="s">
        <v>681</v>
      </c>
      <c r="E4582" s="1331" t="s">
        <v>675</v>
      </c>
      <c r="F4582" s="1334">
        <v>1.4999999999999999E-2</v>
      </c>
      <c r="G4582" s="1104">
        <f>DUB!$I$13</f>
        <v>240000</v>
      </c>
      <c r="H4582" s="1106">
        <f>G4582*F4582</f>
        <v>3600</v>
      </c>
      <c r="M4582" s="1566"/>
    </row>
    <row r="4583" spans="2:13" hidden="1">
      <c r="B4583" s="1543"/>
      <c r="C4583" s="1332" t="s">
        <v>683</v>
      </c>
      <c r="D4583" s="1331" t="s">
        <v>684</v>
      </c>
      <c r="E4583" s="1331" t="s">
        <v>675</v>
      </c>
      <c r="F4583" s="1334">
        <v>1.2999999999999999E-2</v>
      </c>
      <c r="G4583" s="1104">
        <f>DUB!$I$12</f>
        <v>225000</v>
      </c>
      <c r="H4583" s="1106">
        <f>G4583*F4583</f>
        <v>2925</v>
      </c>
      <c r="M4583" s="1566"/>
    </row>
    <row r="4584" spans="2:13" hidden="1">
      <c r="B4584" s="1543"/>
      <c r="C4584" s="1332"/>
      <c r="D4584" s="1331"/>
      <c r="E4584" s="1331"/>
      <c r="F4584" s="2074" t="s">
        <v>685</v>
      </c>
      <c r="G4584" s="2074"/>
      <c r="H4584" s="1106">
        <f>SUM(H4580:H4583)</f>
        <v>72075</v>
      </c>
      <c r="M4584" s="1566"/>
    </row>
    <row r="4585" spans="2:13" hidden="1">
      <c r="B4585" s="1543" t="s">
        <v>686</v>
      </c>
      <c r="C4585" s="1332" t="s">
        <v>687</v>
      </c>
      <c r="D4585" s="1331"/>
      <c r="E4585" s="1331"/>
      <c r="F4585" s="1334"/>
      <c r="G4585" s="1104"/>
      <c r="H4585" s="1106"/>
      <c r="M4585" s="1566"/>
    </row>
    <row r="4586" spans="2:13" hidden="1">
      <c r="B4586" s="1543"/>
      <c r="C4586" s="1332" t="s">
        <v>1252</v>
      </c>
      <c r="D4586" s="1331"/>
      <c r="E4586" s="1331" t="s">
        <v>743</v>
      </c>
      <c r="F4586" s="1334">
        <v>1.1000000000000001</v>
      </c>
      <c r="G4586" s="1104">
        <f>DUB!$I$248</f>
        <v>47124</v>
      </c>
      <c r="H4586" s="1106">
        <f>G4586*F4586</f>
        <v>51836.4</v>
      </c>
      <c r="M4586" s="1566"/>
    </row>
    <row r="4587" spans="2:13" hidden="1">
      <c r="B4587" s="1543"/>
      <c r="C4587" s="1148" t="s">
        <v>3567</v>
      </c>
      <c r="D4587" s="1331"/>
      <c r="E4587" s="1331" t="s">
        <v>690</v>
      </c>
      <c r="F4587" s="1334">
        <v>0.05</v>
      </c>
      <c r="G4587" s="1104">
        <f>DUB!$I$132</f>
        <v>38592</v>
      </c>
      <c r="H4587" s="1106">
        <f>G4587*F4587</f>
        <v>1929.6000000000001</v>
      </c>
      <c r="M4587" s="1566"/>
    </row>
    <row r="4588" spans="2:13" hidden="1">
      <c r="B4588" s="1543"/>
      <c r="C4588" s="1125"/>
      <c r="D4588" s="1333"/>
      <c r="E4588" s="1333"/>
      <c r="F4588" s="2074" t="s">
        <v>702</v>
      </c>
      <c r="G4588" s="2074"/>
      <c r="H4588" s="1106">
        <f>SUM(H4586:H4587)</f>
        <v>53766</v>
      </c>
      <c r="M4588" s="1566"/>
    </row>
    <row r="4589" spans="2:13" s="496" customFormat="1" hidden="1">
      <c r="B4589" s="1543" t="s">
        <v>703</v>
      </c>
      <c r="C4589" s="2075" t="s">
        <v>3764</v>
      </c>
      <c r="D4589" s="2075"/>
      <c r="E4589" s="2075"/>
      <c r="F4589" s="2075"/>
      <c r="G4589" s="2075"/>
      <c r="H4589" s="1107">
        <f>H4584+H4588</f>
        <v>125841</v>
      </c>
      <c r="J4589" s="1559"/>
      <c r="K4589" s="1559"/>
      <c r="L4589" s="1559"/>
      <c r="M4589" s="1635"/>
    </row>
    <row r="4590" spans="2:13" s="496" customFormat="1" hidden="1">
      <c r="B4590" s="1543" t="s">
        <v>706</v>
      </c>
      <c r="C4590" s="2076" t="s">
        <v>876</v>
      </c>
      <c r="D4590" s="2076"/>
      <c r="E4590" s="2076"/>
      <c r="F4590" s="2077" t="s">
        <v>3873</v>
      </c>
      <c r="G4590" s="2077"/>
      <c r="H4590" s="1107">
        <f>H4589*0.15</f>
        <v>18876.149999999998</v>
      </c>
      <c r="J4590" s="1559"/>
      <c r="K4590" s="1559"/>
      <c r="L4590" s="1559"/>
      <c r="M4590" s="1635"/>
    </row>
    <row r="4591" spans="2:13" s="496" customFormat="1" hidden="1">
      <c r="B4591" s="1543" t="s">
        <v>708</v>
      </c>
      <c r="C4591" s="2078" t="s">
        <v>3765</v>
      </c>
      <c r="D4591" s="2078"/>
      <c r="E4591" s="2078"/>
      <c r="F4591" s="2078"/>
      <c r="G4591" s="2078"/>
      <c r="H4591" s="1107">
        <f>ROUND(SUM(H4589:H4590),2)</f>
        <v>144717.15</v>
      </c>
      <c r="I4591" s="506">
        <f>SUM(H4589:H4590)</f>
        <v>144717.15</v>
      </c>
      <c r="J4591" s="1561"/>
      <c r="K4591" s="1561"/>
      <c r="L4591" s="1559"/>
      <c r="M4591" s="1635"/>
    </row>
    <row r="4592" spans="2:13" hidden="1">
      <c r="B4592" s="1143"/>
      <c r="C4592" s="1144"/>
      <c r="D4592" s="1143"/>
      <c r="E4592" s="1143"/>
      <c r="F4592" s="1145"/>
      <c r="G4592" s="1146"/>
      <c r="H4592" s="1147"/>
      <c r="M4592" s="1566"/>
    </row>
    <row r="4593" spans="2:13" s="531" customFormat="1" hidden="1">
      <c r="B4593" s="1150" t="s">
        <v>4097</v>
      </c>
      <c r="C4593" s="1709" t="s">
        <v>3539</v>
      </c>
      <c r="D4593" s="1710"/>
      <c r="E4593" s="1710"/>
      <c r="F4593" s="1172"/>
      <c r="G4593" s="1173"/>
      <c r="H4593" s="1711"/>
      <c r="J4593" s="1712"/>
      <c r="K4593" s="1712"/>
      <c r="L4593" s="1712"/>
      <c r="M4593" s="1566"/>
    </row>
    <row r="4594" spans="2:13" s="532" customFormat="1" ht="24.9" hidden="1" customHeight="1">
      <c r="B4594" s="1793" t="s">
        <v>1003</v>
      </c>
      <c r="C4594" s="1234" t="s">
        <v>1004</v>
      </c>
      <c r="D4594" s="1234" t="s">
        <v>1005</v>
      </c>
      <c r="E4594" s="1234" t="s">
        <v>1006</v>
      </c>
      <c r="F4594" s="1102" t="s">
        <v>1007</v>
      </c>
      <c r="G4594" s="1109" t="s">
        <v>2637</v>
      </c>
      <c r="H4594" s="1235" t="s">
        <v>2638</v>
      </c>
      <c r="J4594" s="1713"/>
      <c r="K4594" s="1713"/>
      <c r="L4594" s="1713"/>
      <c r="M4594" s="1570"/>
    </row>
    <row r="4595" spans="2:13" s="531" customFormat="1" hidden="1">
      <c r="B4595" s="1794" t="s">
        <v>671</v>
      </c>
      <c r="C4595" s="1148" t="s">
        <v>672</v>
      </c>
      <c r="D4595" s="1542"/>
      <c r="E4595" s="1542"/>
      <c r="F4595" s="1334"/>
      <c r="G4595" s="1104"/>
      <c r="H4595" s="1236"/>
      <c r="J4595" s="1712"/>
      <c r="K4595" s="1712"/>
      <c r="L4595" s="1712"/>
      <c r="M4595" s="1566"/>
    </row>
    <row r="4596" spans="2:13" s="531" customFormat="1" hidden="1">
      <c r="B4596" s="1794"/>
      <c r="C4596" s="1148" t="s">
        <v>673</v>
      </c>
      <c r="D4596" s="1542" t="s">
        <v>674</v>
      </c>
      <c r="E4596" s="1542" t="s">
        <v>675</v>
      </c>
      <c r="F4596" s="1334">
        <v>0.25</v>
      </c>
      <c r="G4596" s="1104">
        <f>'[94]UPAD-BAHAN-ALAT'!$I$12</f>
        <v>96000</v>
      </c>
      <c r="H4596" s="1236">
        <f>G4596*F4596</f>
        <v>24000</v>
      </c>
      <c r="J4596" s="1712"/>
      <c r="K4596" s="1712"/>
      <c r="L4596" s="1712"/>
      <c r="M4596" s="1566"/>
    </row>
    <row r="4597" spans="2:13" s="531" customFormat="1" hidden="1">
      <c r="B4597" s="1794"/>
      <c r="C4597" s="1148" t="s">
        <v>677</v>
      </c>
      <c r="D4597" s="1542" t="s">
        <v>678</v>
      </c>
      <c r="E4597" s="1542" t="s">
        <v>675</v>
      </c>
      <c r="F4597" s="1334">
        <v>0.15</v>
      </c>
      <c r="G4597" s="1104">
        <f>'[94]UPAD-BAHAN-ALAT'!$I$13</f>
        <v>115000</v>
      </c>
      <c r="H4597" s="1236">
        <f>G4597*F4597</f>
        <v>17250</v>
      </c>
      <c r="J4597" s="1712"/>
      <c r="K4597" s="1712"/>
      <c r="L4597" s="1712"/>
      <c r="M4597" s="1566"/>
    </row>
    <row r="4598" spans="2:13" s="531" customFormat="1" hidden="1">
      <c r="B4598" s="1794"/>
      <c r="C4598" s="1148" t="s">
        <v>751</v>
      </c>
      <c r="D4598" s="1542" t="s">
        <v>681</v>
      </c>
      <c r="E4598" s="1542" t="s">
        <v>675</v>
      </c>
      <c r="F4598" s="1334">
        <v>1.4999999999999999E-2</v>
      </c>
      <c r="G4598" s="1104">
        <f>'[94]UPAD-BAHAN-ALAT'!$I$15</f>
        <v>127500</v>
      </c>
      <c r="H4598" s="1236">
        <f>G4598*F4598</f>
        <v>1912.5</v>
      </c>
      <c r="J4598" s="1712"/>
      <c r="K4598" s="1712"/>
      <c r="L4598" s="1712"/>
      <c r="M4598" s="1566"/>
    </row>
    <row r="4599" spans="2:13" s="531" customFormat="1" hidden="1">
      <c r="B4599" s="1794"/>
      <c r="C4599" s="1148" t="s">
        <v>683</v>
      </c>
      <c r="D4599" s="1542" t="s">
        <v>684</v>
      </c>
      <c r="E4599" s="1542" t="s">
        <v>675</v>
      </c>
      <c r="F4599" s="1334">
        <v>1.2999999999999999E-2</v>
      </c>
      <c r="G4599" s="1104">
        <f>'[94]UPAD-BAHAN-ALAT'!$I$14</f>
        <v>115000</v>
      </c>
      <c r="H4599" s="1236">
        <f>G4599*F4599</f>
        <v>1495</v>
      </c>
      <c r="J4599" s="1712"/>
      <c r="K4599" s="1712"/>
      <c r="L4599" s="1712"/>
      <c r="M4599" s="1566"/>
    </row>
    <row r="4600" spans="2:13" s="531" customFormat="1" hidden="1">
      <c r="B4600" s="1794"/>
      <c r="C4600" s="1148"/>
      <c r="D4600" s="1542"/>
      <c r="E4600" s="1542"/>
      <c r="F4600" s="2152" t="s">
        <v>685</v>
      </c>
      <c r="G4600" s="2152"/>
      <c r="H4600" s="1236">
        <f>SUM(H4596:H4599)</f>
        <v>44657.5</v>
      </c>
      <c r="J4600" s="1712"/>
      <c r="K4600" s="1712"/>
      <c r="L4600" s="1712"/>
      <c r="M4600" s="1566"/>
    </row>
    <row r="4601" spans="2:13" s="531" customFormat="1" hidden="1">
      <c r="B4601" s="1794" t="s">
        <v>686</v>
      </c>
      <c r="C4601" s="1148" t="s">
        <v>687</v>
      </c>
      <c r="D4601" s="1542"/>
      <c r="E4601" s="1542"/>
      <c r="F4601" s="1334"/>
      <c r="G4601" s="1104"/>
      <c r="H4601" s="1236"/>
      <c r="J4601" s="1712"/>
      <c r="K4601" s="1712"/>
      <c r="L4601" s="1712"/>
      <c r="M4601" s="1566"/>
    </row>
    <row r="4602" spans="2:13" s="531" customFormat="1" hidden="1">
      <c r="B4602" s="1794"/>
      <c r="C4602" s="1148" t="s">
        <v>3540</v>
      </c>
      <c r="D4602" s="1542"/>
      <c r="E4602" s="1542" t="s">
        <v>743</v>
      </c>
      <c r="F4602" s="1334">
        <v>1.1000000000000001</v>
      </c>
      <c r="G4602" s="1104">
        <f>DUB!$I$250</f>
        <v>28215</v>
      </c>
      <c r="H4602" s="1236">
        <f>G4602*F4602</f>
        <v>31036.500000000004</v>
      </c>
      <c r="J4602" s="1712"/>
      <c r="K4602" s="1712"/>
      <c r="L4602" s="1712"/>
      <c r="M4602" s="1566"/>
    </row>
    <row r="4603" spans="2:13" s="531" customFormat="1" hidden="1">
      <c r="B4603" s="1794"/>
      <c r="C4603" s="1148" t="s">
        <v>3567</v>
      </c>
      <c r="D4603" s="1542"/>
      <c r="E4603" s="1542" t="s">
        <v>690</v>
      </c>
      <c r="F4603" s="1334">
        <v>0.05</v>
      </c>
      <c r="G4603" s="1104">
        <f>DUB!$I$132</f>
        <v>38592</v>
      </c>
      <c r="H4603" s="1236">
        <f>G4603*F4603</f>
        <v>1929.6000000000001</v>
      </c>
      <c r="J4603" s="1712"/>
      <c r="K4603" s="1712"/>
      <c r="L4603" s="1712"/>
      <c r="M4603" s="1566"/>
    </row>
    <row r="4604" spans="2:13" s="531" customFormat="1" hidden="1">
      <c r="B4604" s="1794"/>
      <c r="C4604" s="1237"/>
      <c r="D4604" s="1238"/>
      <c r="E4604" s="1238"/>
      <c r="F4604" s="2152" t="s">
        <v>702</v>
      </c>
      <c r="G4604" s="2152"/>
      <c r="H4604" s="1236">
        <f>SUM(H4602:H4603)</f>
        <v>32966.100000000006</v>
      </c>
      <c r="J4604" s="1712"/>
      <c r="K4604" s="1712"/>
      <c r="L4604" s="1712"/>
      <c r="M4604" s="1566"/>
    </row>
    <row r="4605" spans="2:13" s="530" customFormat="1" hidden="1">
      <c r="B4605" s="1794" t="s">
        <v>703</v>
      </c>
      <c r="C4605" s="2123" t="s">
        <v>3764</v>
      </c>
      <c r="D4605" s="2123"/>
      <c r="E4605" s="2123"/>
      <c r="F4605" s="2123"/>
      <c r="G4605" s="2123"/>
      <c r="H4605" s="1239">
        <f>H4600+H4604</f>
        <v>77623.600000000006</v>
      </c>
      <c r="J4605" s="1714"/>
      <c r="K4605" s="1714"/>
      <c r="L4605" s="1714"/>
      <c r="M4605" s="1635"/>
    </row>
    <row r="4606" spans="2:13" s="530" customFormat="1" hidden="1">
      <c r="B4606" s="1794" t="s">
        <v>706</v>
      </c>
      <c r="C4606" s="2124" t="s">
        <v>876</v>
      </c>
      <c r="D4606" s="2124"/>
      <c r="E4606" s="2124"/>
      <c r="F4606" s="2125" t="s">
        <v>3873</v>
      </c>
      <c r="G4606" s="2125"/>
      <c r="H4606" s="1107">
        <f>H4605*0.15</f>
        <v>11643.54</v>
      </c>
      <c r="J4606" s="1714"/>
      <c r="K4606" s="1714"/>
      <c r="L4606" s="1714"/>
      <c r="M4606" s="1635"/>
    </row>
    <row r="4607" spans="2:13" s="530" customFormat="1" hidden="1">
      <c r="B4607" s="1794" t="s">
        <v>708</v>
      </c>
      <c r="C4607" s="2150" t="s">
        <v>3765</v>
      </c>
      <c r="D4607" s="2150"/>
      <c r="E4607" s="2150"/>
      <c r="F4607" s="2150"/>
      <c r="G4607" s="2150"/>
      <c r="H4607" s="1107">
        <f>ROUND(SUM(H4605:H4606),2)</f>
        <v>89267.14</v>
      </c>
      <c r="I4607" s="533">
        <f>SUM(H4605:H4606)</f>
        <v>89267.140000000014</v>
      </c>
      <c r="J4607" s="1568"/>
      <c r="K4607" s="1568"/>
      <c r="L4607" s="1714"/>
      <c r="M4607" s="1635"/>
    </row>
    <row r="4608" spans="2:13" s="531" customFormat="1" hidden="1">
      <c r="B4608" s="1240"/>
      <c r="C4608" s="1241"/>
      <c r="D4608" s="1240"/>
      <c r="E4608" s="1241"/>
      <c r="F4608" s="1131"/>
      <c r="G4608" s="1132"/>
      <c r="H4608" s="1242"/>
      <c r="I4608" s="534"/>
      <c r="J4608" s="1569"/>
      <c r="K4608" s="1569"/>
      <c r="L4608" s="1712"/>
      <c r="M4608" s="1566"/>
    </row>
    <row r="4609" spans="2:13" hidden="1">
      <c r="B4609" s="1150" t="s">
        <v>4098</v>
      </c>
      <c r="C4609" s="1112" t="s">
        <v>2770</v>
      </c>
      <c r="E4609" s="1129"/>
      <c r="F4609" s="1131"/>
      <c r="G4609" s="1132"/>
      <c r="H4609" s="1115"/>
      <c r="M4609" s="1566"/>
    </row>
    <row r="4610" spans="2:13" s="507" customFormat="1" ht="24.9" hidden="1" customHeight="1">
      <c r="B4610" s="1748" t="s">
        <v>1003</v>
      </c>
      <c r="C4610" s="1101" t="s">
        <v>1004</v>
      </c>
      <c r="D4610" s="1101" t="s">
        <v>1005</v>
      </c>
      <c r="E4610" s="1101" t="s">
        <v>1006</v>
      </c>
      <c r="F4610" s="1102" t="s">
        <v>1007</v>
      </c>
      <c r="G4610" s="1109" t="s">
        <v>2637</v>
      </c>
      <c r="H4610" s="1110" t="s">
        <v>2638</v>
      </c>
      <c r="J4610" s="1625"/>
      <c r="K4610" s="1625"/>
      <c r="L4610" s="1625"/>
      <c r="M4610" s="1570"/>
    </row>
    <row r="4611" spans="2:13" hidden="1">
      <c r="B4611" s="1543" t="s">
        <v>671</v>
      </c>
      <c r="C4611" s="1332" t="s">
        <v>672</v>
      </c>
      <c r="D4611" s="1331"/>
      <c r="E4611" s="1331"/>
      <c r="F4611" s="1334"/>
      <c r="G4611" s="1104"/>
      <c r="H4611" s="1106"/>
      <c r="M4611" s="1566"/>
    </row>
    <row r="4612" spans="2:13" hidden="1">
      <c r="B4612" s="1543"/>
      <c r="C4612" s="1332" t="s">
        <v>673</v>
      </c>
      <c r="D4612" s="1331" t="s">
        <v>674</v>
      </c>
      <c r="E4612" s="1331" t="s">
        <v>675</v>
      </c>
      <c r="F4612" s="1334">
        <v>0.125</v>
      </c>
      <c r="G4612" s="1104">
        <f>DUB!$I$10</f>
        <v>150000</v>
      </c>
      <c r="H4612" s="1106">
        <f>G4612*F4612</f>
        <v>18750</v>
      </c>
      <c r="M4612" s="1566"/>
    </row>
    <row r="4613" spans="2:13" hidden="1">
      <c r="B4613" s="1543"/>
      <c r="C4613" s="1332" t="s">
        <v>677</v>
      </c>
      <c r="D4613" s="1331" t="s">
        <v>678</v>
      </c>
      <c r="E4613" s="1331" t="s">
        <v>675</v>
      </c>
      <c r="F4613" s="1334">
        <v>0.25</v>
      </c>
      <c r="G4613" s="1104">
        <f>DUB!$I$11</f>
        <v>187000</v>
      </c>
      <c r="H4613" s="1106">
        <f>G4613*F4613</f>
        <v>46750</v>
      </c>
      <c r="M4613" s="1566"/>
    </row>
    <row r="4614" spans="2:13" hidden="1">
      <c r="B4614" s="1543"/>
      <c r="C4614" s="1332" t="s">
        <v>751</v>
      </c>
      <c r="D4614" s="1331" t="s">
        <v>681</v>
      </c>
      <c r="E4614" s="1331" t="s">
        <v>675</v>
      </c>
      <c r="F4614" s="1334">
        <v>2.5000000000000001E-2</v>
      </c>
      <c r="G4614" s="1104">
        <f>DUB!$I$13</f>
        <v>240000</v>
      </c>
      <c r="H4614" s="1106">
        <f>G4614*F4614</f>
        <v>6000</v>
      </c>
      <c r="M4614" s="1566"/>
    </row>
    <row r="4615" spans="2:13" hidden="1">
      <c r="B4615" s="1543"/>
      <c r="C4615" s="1332" t="s">
        <v>683</v>
      </c>
      <c r="D4615" s="1331" t="s">
        <v>684</v>
      </c>
      <c r="E4615" s="1331" t="s">
        <v>675</v>
      </c>
      <c r="F4615" s="1334">
        <v>6.0000000000000001E-3</v>
      </c>
      <c r="G4615" s="1104">
        <f>DUB!$I$12</f>
        <v>225000</v>
      </c>
      <c r="H4615" s="1106">
        <f>G4615*F4615</f>
        <v>1350</v>
      </c>
      <c r="M4615" s="1566"/>
    </row>
    <row r="4616" spans="2:13" hidden="1">
      <c r="B4616" s="1543"/>
      <c r="C4616" s="1332"/>
      <c r="D4616" s="1331"/>
      <c r="E4616" s="1331"/>
      <c r="F4616" s="2074" t="s">
        <v>685</v>
      </c>
      <c r="G4616" s="2074"/>
      <c r="H4616" s="1106">
        <f>SUM(H4612:H4615)</f>
        <v>72850</v>
      </c>
      <c r="M4616" s="1566"/>
    </row>
    <row r="4617" spans="2:13" hidden="1">
      <c r="B4617" s="1543" t="s">
        <v>686</v>
      </c>
      <c r="C4617" s="1332" t="s">
        <v>687</v>
      </c>
      <c r="D4617" s="1331"/>
      <c r="E4617" s="1331"/>
      <c r="F4617" s="1334"/>
      <c r="G4617" s="1104"/>
      <c r="H4617" s="1106"/>
      <c r="M4617" s="1566"/>
    </row>
    <row r="4618" spans="2:13" hidden="1">
      <c r="B4618" s="1543"/>
      <c r="C4618" s="1332" t="s">
        <v>1253</v>
      </c>
      <c r="D4618" s="1331"/>
      <c r="E4618" s="1331" t="s">
        <v>715</v>
      </c>
      <c r="F4618" s="1334">
        <v>0.4</v>
      </c>
      <c r="G4618" s="1104">
        <f>DUB!$I$262</f>
        <v>98316</v>
      </c>
      <c r="H4618" s="1106">
        <f>G4618*F4618</f>
        <v>39326.400000000001</v>
      </c>
      <c r="M4618" s="1566"/>
    </row>
    <row r="4619" spans="2:13" hidden="1">
      <c r="B4619" s="1543"/>
      <c r="C4619" s="1332" t="s">
        <v>1215</v>
      </c>
      <c r="D4619" s="1331"/>
      <c r="E4619" s="1331" t="s">
        <v>690</v>
      </c>
      <c r="F4619" s="1334">
        <v>0.05</v>
      </c>
      <c r="G4619" s="1104">
        <f>DUB!$I$128</f>
        <v>20441.7</v>
      </c>
      <c r="H4619" s="1106">
        <f>G4619*F4619</f>
        <v>1022.085</v>
      </c>
      <c r="M4619" s="1566"/>
    </row>
    <row r="4620" spans="2:13" hidden="1">
      <c r="B4620" s="1543"/>
      <c r="C4620" s="1332" t="s">
        <v>1237</v>
      </c>
      <c r="D4620" s="1331"/>
      <c r="E4620" s="1331" t="s">
        <v>690</v>
      </c>
      <c r="F4620" s="1334">
        <v>0.05</v>
      </c>
      <c r="G4620" s="1104">
        <f>DUB!$I$128</f>
        <v>20441.7</v>
      </c>
      <c r="H4620" s="1106">
        <f>G4620*F4620</f>
        <v>1022.085</v>
      </c>
      <c r="M4620" s="1566"/>
    </row>
    <row r="4621" spans="2:13" hidden="1">
      <c r="B4621" s="1543"/>
      <c r="C4621" s="1125"/>
      <c r="D4621" s="1333"/>
      <c r="E4621" s="1333"/>
      <c r="F4621" s="2074" t="s">
        <v>702</v>
      </c>
      <c r="G4621" s="2074"/>
      <c r="H4621" s="1106">
        <f>SUM(H4618:H4620)</f>
        <v>41370.57</v>
      </c>
      <c r="M4621" s="1566"/>
    </row>
    <row r="4622" spans="2:13" s="496" customFormat="1" hidden="1">
      <c r="B4622" s="1543" t="s">
        <v>703</v>
      </c>
      <c r="C4622" s="2075" t="s">
        <v>3764</v>
      </c>
      <c r="D4622" s="2075"/>
      <c r="E4622" s="2075"/>
      <c r="F4622" s="2075"/>
      <c r="G4622" s="2075"/>
      <c r="H4622" s="1107">
        <f>H4616+H4621</f>
        <v>114220.57</v>
      </c>
      <c r="J4622" s="1559"/>
      <c r="K4622" s="1559"/>
      <c r="L4622" s="1559"/>
      <c r="M4622" s="1635"/>
    </row>
    <row r="4623" spans="2:13" s="496" customFormat="1" hidden="1">
      <c r="B4623" s="1543" t="s">
        <v>706</v>
      </c>
      <c r="C4623" s="2076" t="s">
        <v>876</v>
      </c>
      <c r="D4623" s="2076"/>
      <c r="E4623" s="2076"/>
      <c r="F4623" s="2077" t="s">
        <v>3873</v>
      </c>
      <c r="G4623" s="2077"/>
      <c r="H4623" s="1107">
        <f>H4622*0.15</f>
        <v>17133.085500000001</v>
      </c>
      <c r="J4623" s="1559"/>
      <c r="K4623" s="1559"/>
      <c r="L4623" s="1559"/>
      <c r="M4623" s="1635"/>
    </row>
    <row r="4624" spans="2:13" s="496" customFormat="1" hidden="1">
      <c r="B4624" s="1543" t="s">
        <v>708</v>
      </c>
      <c r="C4624" s="2078" t="s">
        <v>3765</v>
      </c>
      <c r="D4624" s="2078"/>
      <c r="E4624" s="2078"/>
      <c r="F4624" s="2078"/>
      <c r="G4624" s="2078"/>
      <c r="H4624" s="1107">
        <f>ROUND(SUM(H4622:H4623),2)</f>
        <v>131353.66</v>
      </c>
      <c r="I4624" s="506">
        <f>SUM(H4622:H4623)</f>
        <v>131353.65549999999</v>
      </c>
      <c r="J4624" s="1561"/>
      <c r="K4624" s="1561"/>
      <c r="L4624" s="1559"/>
      <c r="M4624" s="1635"/>
    </row>
    <row r="4625" spans="2:13" hidden="1">
      <c r="F4625" s="1172"/>
      <c r="G4625" s="1173"/>
      <c r="H4625" s="1133"/>
      <c r="M4625" s="1566"/>
    </row>
    <row r="4626" spans="2:13" hidden="1">
      <c r="B4626" s="1100" t="s">
        <v>4099</v>
      </c>
      <c r="C4626" s="1232" t="s">
        <v>2769</v>
      </c>
      <c r="F4626" s="1172"/>
      <c r="G4626" s="1173"/>
      <c r="H4626" s="1133"/>
      <c r="M4626" s="1566"/>
    </row>
    <row r="4627" spans="2:13" s="507" customFormat="1" ht="24.9" hidden="1" customHeight="1">
      <c r="B4627" s="1748" t="s">
        <v>1003</v>
      </c>
      <c r="C4627" s="1101" t="s">
        <v>1004</v>
      </c>
      <c r="D4627" s="1101" t="s">
        <v>1005</v>
      </c>
      <c r="E4627" s="1101" t="s">
        <v>1006</v>
      </c>
      <c r="F4627" s="1102" t="s">
        <v>1007</v>
      </c>
      <c r="G4627" s="1109" t="s">
        <v>2637</v>
      </c>
      <c r="H4627" s="1110" t="s">
        <v>2638</v>
      </c>
      <c r="J4627" s="1625"/>
      <c r="K4627" s="1625"/>
      <c r="L4627" s="1625"/>
      <c r="M4627" s="1570"/>
    </row>
    <row r="4628" spans="2:13" hidden="1">
      <c r="B4628" s="1543" t="s">
        <v>671</v>
      </c>
      <c r="C4628" s="1332" t="s">
        <v>672</v>
      </c>
      <c r="D4628" s="1331"/>
      <c r="E4628" s="1331"/>
      <c r="F4628" s="1334"/>
      <c r="G4628" s="1104"/>
      <c r="H4628" s="1106"/>
      <c r="M4628" s="1566"/>
    </row>
    <row r="4629" spans="2:13" hidden="1">
      <c r="B4629" s="1543"/>
      <c r="C4629" s="1332" t="s">
        <v>673</v>
      </c>
      <c r="D4629" s="1331" t="s">
        <v>674</v>
      </c>
      <c r="E4629" s="1331" t="s">
        <v>675</v>
      </c>
      <c r="F4629" s="1334">
        <v>0.12</v>
      </c>
      <c r="G4629" s="1104">
        <f>DUB!$I$10</f>
        <v>150000</v>
      </c>
      <c r="H4629" s="1106">
        <f>G4629*F4629</f>
        <v>18000</v>
      </c>
      <c r="M4629" s="1566"/>
    </row>
    <row r="4630" spans="2:13" hidden="1">
      <c r="B4630" s="1543"/>
      <c r="C4630" s="1332" t="s">
        <v>677</v>
      </c>
      <c r="D4630" s="1331" t="s">
        <v>678</v>
      </c>
      <c r="E4630" s="1331" t="s">
        <v>675</v>
      </c>
      <c r="F4630" s="1334">
        <v>0.06</v>
      </c>
      <c r="G4630" s="1104">
        <f>DUB!$I$11</f>
        <v>187000</v>
      </c>
      <c r="H4630" s="1106">
        <f>G4630*F4630</f>
        <v>11220</v>
      </c>
      <c r="M4630" s="1566"/>
    </row>
    <row r="4631" spans="2:13" hidden="1">
      <c r="B4631" s="1543"/>
      <c r="C4631" s="1332" t="s">
        <v>751</v>
      </c>
      <c r="D4631" s="1331" t="s">
        <v>681</v>
      </c>
      <c r="E4631" s="1331" t="s">
        <v>675</v>
      </c>
      <c r="F4631" s="1334">
        <v>6.0000000000000001E-3</v>
      </c>
      <c r="G4631" s="1104">
        <f>DUB!$I$13</f>
        <v>240000</v>
      </c>
      <c r="H4631" s="1106">
        <f>G4631*F4631</f>
        <v>1440</v>
      </c>
      <c r="M4631" s="1566"/>
    </row>
    <row r="4632" spans="2:13" hidden="1">
      <c r="B4632" s="1543"/>
      <c r="C4632" s="1332" t="s">
        <v>683</v>
      </c>
      <c r="D4632" s="1331" t="s">
        <v>684</v>
      </c>
      <c r="E4632" s="1331" t="s">
        <v>675</v>
      </c>
      <c r="F4632" s="1334">
        <v>6.0000000000000001E-3</v>
      </c>
      <c r="G4632" s="1104">
        <f>DUB!$I$12</f>
        <v>225000</v>
      </c>
      <c r="H4632" s="1106">
        <f>G4632*F4632</f>
        <v>1350</v>
      </c>
      <c r="M4632" s="1566"/>
    </row>
    <row r="4633" spans="2:13" hidden="1">
      <c r="B4633" s="1543"/>
      <c r="C4633" s="1332"/>
      <c r="D4633" s="1331"/>
      <c r="E4633" s="1331"/>
      <c r="F4633" s="2074" t="s">
        <v>685</v>
      </c>
      <c r="G4633" s="2074"/>
      <c r="H4633" s="1106">
        <f>SUM(H4629:H4632)</f>
        <v>32010</v>
      </c>
      <c r="M4633" s="1566"/>
    </row>
    <row r="4634" spans="2:13" hidden="1">
      <c r="B4634" s="1543" t="s">
        <v>686</v>
      </c>
      <c r="C4634" s="1332" t="s">
        <v>687</v>
      </c>
      <c r="D4634" s="1331"/>
      <c r="E4634" s="1331"/>
      <c r="F4634" s="1334"/>
      <c r="G4634" s="1104"/>
      <c r="H4634" s="1106"/>
      <c r="M4634" s="1566"/>
    </row>
    <row r="4635" spans="2:13" hidden="1">
      <c r="B4635" s="1543"/>
      <c r="C4635" s="1332" t="s">
        <v>1255</v>
      </c>
      <c r="D4635" s="1331"/>
      <c r="E4635" s="1331" t="s">
        <v>715</v>
      </c>
      <c r="F4635" s="1334">
        <v>0.7</v>
      </c>
      <c r="G4635" s="1104">
        <f>DUB!$I$260</f>
        <v>69615</v>
      </c>
      <c r="H4635" s="1106">
        <f>G4635*F4635</f>
        <v>48730.5</v>
      </c>
      <c r="M4635" s="1566"/>
    </row>
    <row r="4636" spans="2:13" hidden="1">
      <c r="B4636" s="1543"/>
      <c r="C4636" s="1332" t="s">
        <v>3567</v>
      </c>
      <c r="D4636" s="1331"/>
      <c r="E4636" s="1331" t="s">
        <v>690</v>
      </c>
      <c r="F4636" s="1334">
        <v>0.02</v>
      </c>
      <c r="G4636" s="1104">
        <f>DUB!$I$132</f>
        <v>38592</v>
      </c>
      <c r="H4636" s="1106">
        <f>G4636*F4636</f>
        <v>771.84</v>
      </c>
      <c r="M4636" s="1566"/>
    </row>
    <row r="4637" spans="2:13" hidden="1">
      <c r="B4637" s="1543"/>
      <c r="C4637" s="1332"/>
      <c r="D4637" s="1331"/>
      <c r="E4637" s="1331"/>
      <c r="F4637" s="2090" t="s">
        <v>702</v>
      </c>
      <c r="G4637" s="2090"/>
      <c r="H4637" s="1106">
        <f>SUM(H4635:H4636)</f>
        <v>49502.34</v>
      </c>
      <c r="M4637" s="1566"/>
    </row>
    <row r="4638" spans="2:13" s="496" customFormat="1" hidden="1">
      <c r="B4638" s="1543" t="s">
        <v>703</v>
      </c>
      <c r="C4638" s="2089" t="s">
        <v>3764</v>
      </c>
      <c r="D4638" s="2089"/>
      <c r="E4638" s="2089"/>
      <c r="F4638" s="2089"/>
      <c r="G4638" s="2089"/>
      <c r="H4638" s="1107">
        <f>H4633+H4637</f>
        <v>81512.34</v>
      </c>
      <c r="J4638" s="1559"/>
      <c r="K4638" s="1559"/>
      <c r="L4638" s="1559"/>
      <c r="M4638" s="1635"/>
    </row>
    <row r="4639" spans="2:13" s="496" customFormat="1" hidden="1">
      <c r="B4639" s="1543" t="s">
        <v>706</v>
      </c>
      <c r="C4639" s="2076" t="s">
        <v>876</v>
      </c>
      <c r="D4639" s="2076"/>
      <c r="E4639" s="2076"/>
      <c r="F4639" s="2077" t="s">
        <v>3873</v>
      </c>
      <c r="G4639" s="2077"/>
      <c r="H4639" s="1107">
        <f>H4638*0.15</f>
        <v>12226.850999999999</v>
      </c>
      <c r="J4639" s="1559"/>
      <c r="K4639" s="1559"/>
      <c r="L4639" s="1559"/>
      <c r="M4639" s="1635"/>
    </row>
    <row r="4640" spans="2:13" s="496" customFormat="1" hidden="1">
      <c r="B4640" s="1543" t="s">
        <v>708</v>
      </c>
      <c r="C4640" s="2078" t="s">
        <v>3765</v>
      </c>
      <c r="D4640" s="2078"/>
      <c r="E4640" s="2078"/>
      <c r="F4640" s="2078"/>
      <c r="G4640" s="2078"/>
      <c r="H4640" s="1107">
        <f>ROUND(SUM(H4638:H4639),2)</f>
        <v>93739.19</v>
      </c>
      <c r="I4640" s="506">
        <f>SUM(H4638:H4639)</f>
        <v>93739.190999999992</v>
      </c>
      <c r="J4640" s="1561"/>
      <c r="K4640" s="1561"/>
      <c r="L4640" s="1559"/>
      <c r="M4640" s="1635"/>
    </row>
    <row r="4641" spans="2:13" hidden="1">
      <c r="B4641" s="1143"/>
      <c r="C4641" s="1144"/>
      <c r="D4641" s="1143"/>
      <c r="E4641" s="1143"/>
      <c r="F4641" s="1145"/>
      <c r="G4641" s="1146"/>
      <c r="H4641" s="1147"/>
      <c r="M4641" s="1566"/>
    </row>
    <row r="4642" spans="2:13" hidden="1">
      <c r="B4642" s="1100" t="s">
        <v>4100</v>
      </c>
      <c r="C4642" s="1112" t="s">
        <v>2768</v>
      </c>
      <c r="D4642" s="1129"/>
      <c r="E4642" s="1129"/>
      <c r="F4642" s="1131"/>
      <c r="G4642" s="1132"/>
      <c r="H4642" s="1115"/>
      <c r="M4642" s="1566"/>
    </row>
    <row r="4643" spans="2:13" s="507" customFormat="1" ht="24.9" hidden="1" customHeight="1">
      <c r="B4643" s="1748" t="s">
        <v>1003</v>
      </c>
      <c r="C4643" s="1101" t="s">
        <v>1004</v>
      </c>
      <c r="D4643" s="1101" t="s">
        <v>1005</v>
      </c>
      <c r="E4643" s="1101" t="s">
        <v>1006</v>
      </c>
      <c r="F4643" s="1102" t="s">
        <v>1007</v>
      </c>
      <c r="G4643" s="1109" t="s">
        <v>2637</v>
      </c>
      <c r="H4643" s="1110" t="s">
        <v>2638</v>
      </c>
      <c r="J4643" s="1625"/>
      <c r="K4643" s="1625"/>
      <c r="L4643" s="1625"/>
      <c r="M4643" s="1570"/>
    </row>
    <row r="4644" spans="2:13" hidden="1">
      <c r="B4644" s="1543" t="s">
        <v>671</v>
      </c>
      <c r="C4644" s="1332" t="s">
        <v>672</v>
      </c>
      <c r="D4644" s="1331"/>
      <c r="E4644" s="1331"/>
      <c r="F4644" s="1334"/>
      <c r="G4644" s="1104"/>
      <c r="H4644" s="1106"/>
      <c r="M4644" s="1566"/>
    </row>
    <row r="4645" spans="2:13" hidden="1">
      <c r="B4645" s="1543"/>
      <c r="C4645" s="1332" t="s">
        <v>673</v>
      </c>
      <c r="D4645" s="1331" t="s">
        <v>674</v>
      </c>
      <c r="E4645" s="1331" t="s">
        <v>675</v>
      </c>
      <c r="F4645" s="1334">
        <v>0.15</v>
      </c>
      <c r="G4645" s="1104">
        <f>DUB!$I$10</f>
        <v>150000</v>
      </c>
      <c r="H4645" s="1106">
        <f>G4645*F4645</f>
        <v>22500</v>
      </c>
      <c r="M4645" s="1566"/>
    </row>
    <row r="4646" spans="2:13" hidden="1">
      <c r="B4646" s="1543"/>
      <c r="C4646" s="1332" t="s">
        <v>677</v>
      </c>
      <c r="D4646" s="1331" t="s">
        <v>678</v>
      </c>
      <c r="E4646" s="1331" t="s">
        <v>675</v>
      </c>
      <c r="F4646" s="1334">
        <v>7.0000000000000007E-2</v>
      </c>
      <c r="G4646" s="1104">
        <f>DUB!$I$11</f>
        <v>187000</v>
      </c>
      <c r="H4646" s="1106">
        <f>G4646*F4646</f>
        <v>13090.000000000002</v>
      </c>
      <c r="M4646" s="1566"/>
    </row>
    <row r="4647" spans="2:13" hidden="1">
      <c r="B4647" s="1543"/>
      <c r="C4647" s="1332" t="s">
        <v>751</v>
      </c>
      <c r="D4647" s="1331" t="s">
        <v>681</v>
      </c>
      <c r="E4647" s="1331" t="s">
        <v>675</v>
      </c>
      <c r="F4647" s="1334">
        <v>7.0000000000000001E-3</v>
      </c>
      <c r="G4647" s="1104">
        <f>DUB!$I$13</f>
        <v>240000</v>
      </c>
      <c r="H4647" s="1106">
        <f>G4647*F4647</f>
        <v>1680</v>
      </c>
      <c r="M4647" s="1566"/>
    </row>
    <row r="4648" spans="2:13" hidden="1">
      <c r="B4648" s="1543"/>
      <c r="C4648" s="1332" t="s">
        <v>683</v>
      </c>
      <c r="D4648" s="1331" t="s">
        <v>684</v>
      </c>
      <c r="E4648" s="1331" t="s">
        <v>675</v>
      </c>
      <c r="F4648" s="1334">
        <v>6.0000000000000001E-3</v>
      </c>
      <c r="G4648" s="1104">
        <f>DUB!$I$12</f>
        <v>225000</v>
      </c>
      <c r="H4648" s="1106">
        <f>G4648*F4648</f>
        <v>1350</v>
      </c>
      <c r="M4648" s="1566"/>
    </row>
    <row r="4649" spans="2:13" hidden="1">
      <c r="B4649" s="1543"/>
      <c r="C4649" s="1332"/>
      <c r="D4649" s="1331"/>
      <c r="E4649" s="1331"/>
      <c r="F4649" s="2074" t="s">
        <v>685</v>
      </c>
      <c r="G4649" s="2074"/>
      <c r="H4649" s="1106">
        <f>SUM(H4645:H4648)</f>
        <v>38620</v>
      </c>
      <c r="M4649" s="1566"/>
    </row>
    <row r="4650" spans="2:13" hidden="1">
      <c r="B4650" s="1543" t="s">
        <v>686</v>
      </c>
      <c r="C4650" s="1332" t="s">
        <v>687</v>
      </c>
      <c r="D4650" s="1331"/>
      <c r="E4650" s="1331"/>
      <c r="F4650" s="1334"/>
      <c r="G4650" s="1104"/>
      <c r="H4650" s="1106"/>
      <c r="M4650" s="1566"/>
    </row>
    <row r="4651" spans="2:13" hidden="1">
      <c r="B4651" s="1543"/>
      <c r="C4651" s="1332" t="s">
        <v>1257</v>
      </c>
      <c r="D4651" s="1331"/>
      <c r="E4651" s="1331" t="s">
        <v>715</v>
      </c>
      <c r="F4651" s="1334">
        <v>0.3</v>
      </c>
      <c r="G4651" s="1104">
        <f>DUB!$I$262</f>
        <v>98316</v>
      </c>
      <c r="H4651" s="1106">
        <f>G4651*F4651</f>
        <v>29494.799999999999</v>
      </c>
      <c r="M4651" s="1566"/>
    </row>
    <row r="4652" spans="2:13" hidden="1">
      <c r="B4652" s="1543"/>
      <c r="C4652" s="1332" t="s">
        <v>3567</v>
      </c>
      <c r="D4652" s="1331"/>
      <c r="E4652" s="1331" t="s">
        <v>690</v>
      </c>
      <c r="F4652" s="1334">
        <v>0.04</v>
      </c>
      <c r="G4652" s="1104">
        <f>DUB!$I$132</f>
        <v>38592</v>
      </c>
      <c r="H4652" s="1106">
        <f>G4652*F4652</f>
        <v>1543.68</v>
      </c>
      <c r="M4652" s="1566"/>
    </row>
    <row r="4653" spans="2:13" hidden="1">
      <c r="B4653" s="1543"/>
      <c r="C4653" s="1125"/>
      <c r="D4653" s="1333"/>
      <c r="E4653" s="1333"/>
      <c r="F4653" s="2074" t="s">
        <v>702</v>
      </c>
      <c r="G4653" s="2074"/>
      <c r="H4653" s="1106">
        <f>SUM(H4651:H4652)</f>
        <v>31038.48</v>
      </c>
      <c r="M4653" s="1566"/>
    </row>
    <row r="4654" spans="2:13" s="496" customFormat="1" hidden="1">
      <c r="B4654" s="1543" t="s">
        <v>703</v>
      </c>
      <c r="C4654" s="2075" t="s">
        <v>3764</v>
      </c>
      <c r="D4654" s="2075"/>
      <c r="E4654" s="2075"/>
      <c r="F4654" s="2075"/>
      <c r="G4654" s="2075"/>
      <c r="H4654" s="1107">
        <f>H4649+H4653</f>
        <v>69658.48</v>
      </c>
      <c r="J4654" s="1559"/>
      <c r="K4654" s="1559"/>
      <c r="L4654" s="1559"/>
      <c r="M4654" s="1635"/>
    </row>
    <row r="4655" spans="2:13" s="496" customFormat="1" hidden="1">
      <c r="B4655" s="1543" t="s">
        <v>706</v>
      </c>
      <c r="C4655" s="2076" t="s">
        <v>876</v>
      </c>
      <c r="D4655" s="2076"/>
      <c r="E4655" s="2076"/>
      <c r="F4655" s="2077" t="s">
        <v>3873</v>
      </c>
      <c r="G4655" s="2077"/>
      <c r="H4655" s="1107">
        <f>H4654*0.15</f>
        <v>10448.771999999999</v>
      </c>
      <c r="J4655" s="1559"/>
      <c r="K4655" s="1559"/>
      <c r="L4655" s="1559"/>
      <c r="M4655" s="1635"/>
    </row>
    <row r="4656" spans="2:13" s="496" customFormat="1" hidden="1">
      <c r="B4656" s="1543" t="s">
        <v>708</v>
      </c>
      <c r="C4656" s="2078" t="s">
        <v>3765</v>
      </c>
      <c r="D4656" s="2078"/>
      <c r="E4656" s="2078"/>
      <c r="F4656" s="2078"/>
      <c r="G4656" s="2078"/>
      <c r="H4656" s="1107">
        <f>ROUND(SUM(H4654:H4655),2)</f>
        <v>80107.25</v>
      </c>
      <c r="I4656" s="506">
        <f>SUM(H4654:H4655)</f>
        <v>80107.251999999993</v>
      </c>
      <c r="J4656" s="1561"/>
      <c r="K4656" s="1561"/>
      <c r="L4656" s="1559"/>
      <c r="M4656" s="1635"/>
    </row>
    <row r="4657" spans="2:13" hidden="1">
      <c r="B4657" s="1129"/>
      <c r="C4657" s="1130"/>
      <c r="D4657" s="1129"/>
      <c r="E4657" s="1130"/>
      <c r="F4657" s="1131"/>
      <c r="G4657" s="1132"/>
      <c r="H4657" s="1133"/>
      <c r="I4657" s="526"/>
      <c r="J4657" s="1562"/>
      <c r="K4657" s="1562"/>
      <c r="M4657" s="1566"/>
    </row>
    <row r="4658" spans="2:13" hidden="1">
      <c r="B4658" s="1100" t="s">
        <v>4101</v>
      </c>
      <c r="C4658" s="1232" t="s">
        <v>2767</v>
      </c>
      <c r="F4658" s="1172"/>
      <c r="G4658" s="1173"/>
      <c r="H4658" s="1133"/>
      <c r="M4658" s="1566"/>
    </row>
    <row r="4659" spans="2:13" s="507" customFormat="1" ht="24.9" hidden="1" customHeight="1">
      <c r="B4659" s="1748" t="s">
        <v>1003</v>
      </c>
      <c r="C4659" s="1101" t="s">
        <v>1004</v>
      </c>
      <c r="D4659" s="1101" t="s">
        <v>1005</v>
      </c>
      <c r="E4659" s="1101" t="s">
        <v>1006</v>
      </c>
      <c r="F4659" s="1102" t="s">
        <v>1007</v>
      </c>
      <c r="G4659" s="1109" t="s">
        <v>2637</v>
      </c>
      <c r="H4659" s="1110" t="s">
        <v>2638</v>
      </c>
      <c r="J4659" s="1625"/>
      <c r="K4659" s="1625"/>
      <c r="L4659" s="1625"/>
      <c r="M4659" s="1570"/>
    </row>
    <row r="4660" spans="2:13" hidden="1">
      <c r="B4660" s="1543" t="s">
        <v>671</v>
      </c>
      <c r="C4660" s="1332" t="s">
        <v>672</v>
      </c>
      <c r="D4660" s="1331"/>
      <c r="E4660" s="1331"/>
      <c r="F4660" s="1334"/>
      <c r="G4660" s="1104"/>
      <c r="H4660" s="1106"/>
      <c r="M4660" s="1566"/>
    </row>
    <row r="4661" spans="2:13" hidden="1">
      <c r="B4661" s="1543"/>
      <c r="C4661" s="1332" t="s">
        <v>673</v>
      </c>
      <c r="D4661" s="1331" t="s">
        <v>674</v>
      </c>
      <c r="E4661" s="1331" t="s">
        <v>675</v>
      </c>
      <c r="F4661" s="1334">
        <v>0.15</v>
      </c>
      <c r="G4661" s="1104">
        <f>DUB!$I$10</f>
        <v>150000</v>
      </c>
      <c r="H4661" s="1106">
        <f>G4661*F4661</f>
        <v>22500</v>
      </c>
      <c r="M4661" s="1566"/>
    </row>
    <row r="4662" spans="2:13" hidden="1">
      <c r="B4662" s="1543"/>
      <c r="C4662" s="1332" t="s">
        <v>677</v>
      </c>
      <c r="D4662" s="1331" t="s">
        <v>678</v>
      </c>
      <c r="E4662" s="1331" t="s">
        <v>675</v>
      </c>
      <c r="F4662" s="1334">
        <v>0.75</v>
      </c>
      <c r="G4662" s="1104">
        <f>DUB!$I$11</f>
        <v>187000</v>
      </c>
      <c r="H4662" s="1106">
        <f>G4662*F4662</f>
        <v>140250</v>
      </c>
      <c r="M4662" s="1566"/>
    </row>
    <row r="4663" spans="2:13" hidden="1">
      <c r="B4663" s="1543"/>
      <c r="C4663" s="1332" t="s">
        <v>751</v>
      </c>
      <c r="D4663" s="1331" t="s">
        <v>681</v>
      </c>
      <c r="E4663" s="1331" t="s">
        <v>675</v>
      </c>
      <c r="F4663" s="1334">
        <v>0.08</v>
      </c>
      <c r="G4663" s="1104">
        <f>DUB!$I$13</f>
        <v>240000</v>
      </c>
      <c r="H4663" s="1106">
        <f>G4663*F4663</f>
        <v>19200</v>
      </c>
      <c r="M4663" s="1566"/>
    </row>
    <row r="4664" spans="2:13" hidden="1">
      <c r="B4664" s="1543"/>
      <c r="C4664" s="1332" t="s">
        <v>683</v>
      </c>
      <c r="D4664" s="1331" t="s">
        <v>684</v>
      </c>
      <c r="E4664" s="1331" t="s">
        <v>675</v>
      </c>
      <c r="F4664" s="1334">
        <v>6.0000000000000001E-3</v>
      </c>
      <c r="G4664" s="1104">
        <f>DUB!$I$12</f>
        <v>225000</v>
      </c>
      <c r="H4664" s="1106">
        <f>G4664*F4664</f>
        <v>1350</v>
      </c>
      <c r="M4664" s="1566"/>
    </row>
    <row r="4665" spans="2:13" hidden="1">
      <c r="B4665" s="1543"/>
      <c r="C4665" s="1332"/>
      <c r="D4665" s="1331"/>
      <c r="E4665" s="1331"/>
      <c r="F4665" s="2074" t="s">
        <v>685</v>
      </c>
      <c r="G4665" s="2074"/>
      <c r="H4665" s="1106">
        <f>SUM(H4661:H4664)</f>
        <v>183300</v>
      </c>
      <c r="M4665" s="1566"/>
    </row>
    <row r="4666" spans="2:13" hidden="1">
      <c r="B4666" s="1543" t="s">
        <v>686</v>
      </c>
      <c r="C4666" s="1332" t="s">
        <v>687</v>
      </c>
      <c r="D4666" s="1331"/>
      <c r="E4666" s="1331"/>
      <c r="F4666" s="1334"/>
      <c r="G4666" s="1104"/>
      <c r="H4666" s="1106"/>
      <c r="M4666" s="1566"/>
    </row>
    <row r="4667" spans="2:13" hidden="1">
      <c r="B4667" s="1543"/>
      <c r="C4667" s="1332" t="s">
        <v>2656</v>
      </c>
      <c r="D4667" s="1331"/>
      <c r="E4667" s="1331" t="s">
        <v>715</v>
      </c>
      <c r="F4667" s="1334">
        <v>1.05</v>
      </c>
      <c r="G4667" s="1104">
        <f>DUB!$I$241</f>
        <v>12285</v>
      </c>
      <c r="H4667" s="1106">
        <f>G4667*F4667</f>
        <v>12899.25</v>
      </c>
      <c r="M4667" s="1566"/>
    </row>
    <row r="4668" spans="2:13" hidden="1">
      <c r="B4668" s="1543"/>
      <c r="C4668" s="1332" t="s">
        <v>1260</v>
      </c>
      <c r="D4668" s="1331"/>
      <c r="E4668" s="1331" t="s">
        <v>690</v>
      </c>
      <c r="F4668" s="1334">
        <v>0.02</v>
      </c>
      <c r="G4668" s="1104">
        <f>DUB!$I$132</f>
        <v>38592</v>
      </c>
      <c r="H4668" s="1106">
        <f>G4668*F4668</f>
        <v>771.84</v>
      </c>
      <c r="M4668" s="1566"/>
    </row>
    <row r="4669" spans="2:13" hidden="1">
      <c r="B4669" s="1543"/>
      <c r="C4669" s="1125"/>
      <c r="D4669" s="1333"/>
      <c r="E4669" s="1333"/>
      <c r="F4669" s="2074" t="s">
        <v>702</v>
      </c>
      <c r="G4669" s="2074"/>
      <c r="H4669" s="1106">
        <f>SUM(H4667:H4668)</f>
        <v>13671.09</v>
      </c>
      <c r="M4669" s="1566"/>
    </row>
    <row r="4670" spans="2:13" s="496" customFormat="1" hidden="1">
      <c r="B4670" s="1543" t="s">
        <v>703</v>
      </c>
      <c r="C4670" s="2075" t="s">
        <v>3764</v>
      </c>
      <c r="D4670" s="2075"/>
      <c r="E4670" s="2075"/>
      <c r="F4670" s="2075"/>
      <c r="G4670" s="2075"/>
      <c r="H4670" s="1107">
        <f>H4665+H4669</f>
        <v>196971.09</v>
      </c>
      <c r="J4670" s="1559"/>
      <c r="K4670" s="1559"/>
      <c r="L4670" s="1559"/>
      <c r="M4670" s="1635"/>
    </row>
    <row r="4671" spans="2:13" s="496" customFormat="1" hidden="1">
      <c r="B4671" s="1543" t="s">
        <v>706</v>
      </c>
      <c r="C4671" s="2076" t="s">
        <v>876</v>
      </c>
      <c r="D4671" s="2076"/>
      <c r="E4671" s="2076"/>
      <c r="F4671" s="2077" t="s">
        <v>3873</v>
      </c>
      <c r="G4671" s="2077"/>
      <c r="H4671" s="1107">
        <f>H4670*0.15</f>
        <v>29545.663499999999</v>
      </c>
      <c r="J4671" s="1559"/>
      <c r="K4671" s="1559"/>
      <c r="L4671" s="1559"/>
      <c r="M4671" s="1635"/>
    </row>
    <row r="4672" spans="2:13" s="496" customFormat="1" hidden="1">
      <c r="B4672" s="1543" t="s">
        <v>708</v>
      </c>
      <c r="C4672" s="2078" t="s">
        <v>3765</v>
      </c>
      <c r="D4672" s="2078"/>
      <c r="E4672" s="2078"/>
      <c r="F4672" s="2078"/>
      <c r="G4672" s="2078"/>
      <c r="H4672" s="1107">
        <f>ROUND(SUM(H4670:H4671),2)</f>
        <v>226516.75</v>
      </c>
      <c r="J4672" s="1559"/>
      <c r="K4672" s="1559"/>
      <c r="L4672" s="1559"/>
      <c r="M4672" s="1635"/>
    </row>
    <row r="4673" spans="2:13" hidden="1">
      <c r="B4673" s="1143"/>
      <c r="C4673" s="1144"/>
      <c r="D4673" s="1143"/>
      <c r="E4673" s="1143"/>
      <c r="F4673" s="1145"/>
      <c r="G4673" s="1146"/>
      <c r="H4673" s="1147"/>
      <c r="M4673" s="1566"/>
    </row>
    <row r="4674" spans="2:13" hidden="1">
      <c r="B4674" s="1100" t="s">
        <v>4102</v>
      </c>
      <c r="C4674" s="1112" t="s">
        <v>2766</v>
      </c>
      <c r="D4674" s="1129"/>
      <c r="E4674" s="1129"/>
      <c r="F4674" s="1131"/>
      <c r="G4674" s="1132"/>
      <c r="H4674" s="1115"/>
      <c r="M4674" s="1566"/>
    </row>
    <row r="4675" spans="2:13" s="507" customFormat="1" ht="24.9" hidden="1" customHeight="1">
      <c r="B4675" s="1748" t="s">
        <v>1003</v>
      </c>
      <c r="C4675" s="1101" t="s">
        <v>1004</v>
      </c>
      <c r="D4675" s="1101" t="s">
        <v>1005</v>
      </c>
      <c r="E4675" s="1101" t="s">
        <v>1006</v>
      </c>
      <c r="F4675" s="1102" t="s">
        <v>1007</v>
      </c>
      <c r="G4675" s="1109" t="s">
        <v>2637</v>
      </c>
      <c r="H4675" s="1110" t="s">
        <v>2638</v>
      </c>
      <c r="J4675" s="1625"/>
      <c r="K4675" s="1625"/>
      <c r="L4675" s="1625"/>
      <c r="M4675" s="1570"/>
    </row>
    <row r="4676" spans="2:13" hidden="1">
      <c r="B4676" s="1543" t="s">
        <v>671</v>
      </c>
      <c r="C4676" s="1332" t="s">
        <v>672</v>
      </c>
      <c r="D4676" s="1331"/>
      <c r="E4676" s="1331"/>
      <c r="F4676" s="1334"/>
      <c r="G4676" s="1104"/>
      <c r="H4676" s="1106"/>
      <c r="M4676" s="1566"/>
    </row>
    <row r="4677" spans="2:13" hidden="1">
      <c r="B4677" s="1543"/>
      <c r="C4677" s="1332" t="s">
        <v>673</v>
      </c>
      <c r="D4677" s="1331" t="s">
        <v>674</v>
      </c>
      <c r="E4677" s="1331" t="s">
        <v>675</v>
      </c>
      <c r="F4677" s="1334">
        <v>0.1</v>
      </c>
      <c r="G4677" s="1104">
        <f>DUB!$I$10</f>
        <v>150000</v>
      </c>
      <c r="H4677" s="1106">
        <f>G4677*F4677</f>
        <v>15000</v>
      </c>
      <c r="M4677" s="1566"/>
    </row>
    <row r="4678" spans="2:13" hidden="1">
      <c r="B4678" s="1543"/>
      <c r="C4678" s="1332" t="s">
        <v>677</v>
      </c>
      <c r="D4678" s="1331" t="s">
        <v>678</v>
      </c>
      <c r="E4678" s="1331" t="s">
        <v>675</v>
      </c>
      <c r="F4678" s="1334">
        <v>1</v>
      </c>
      <c r="G4678" s="1104">
        <f>DUB!$I$11</f>
        <v>187000</v>
      </c>
      <c r="H4678" s="1106">
        <f>G4678*F4678</f>
        <v>187000</v>
      </c>
      <c r="M4678" s="1566"/>
    </row>
    <row r="4679" spans="2:13" hidden="1">
      <c r="B4679" s="1543"/>
      <c r="C4679" s="1332" t="s">
        <v>751</v>
      </c>
      <c r="D4679" s="1331" t="s">
        <v>681</v>
      </c>
      <c r="E4679" s="1331" t="s">
        <v>675</v>
      </c>
      <c r="F4679" s="1334">
        <v>0.1</v>
      </c>
      <c r="G4679" s="1104">
        <f>DUB!$I$13</f>
        <v>240000</v>
      </c>
      <c r="H4679" s="1106">
        <f>G4679*F4679</f>
        <v>24000</v>
      </c>
      <c r="M4679" s="1566"/>
    </row>
    <row r="4680" spans="2:13" hidden="1">
      <c r="B4680" s="1543"/>
      <c r="C4680" s="1332" t="s">
        <v>683</v>
      </c>
      <c r="D4680" s="1331" t="s">
        <v>684</v>
      </c>
      <c r="E4680" s="1331" t="s">
        <v>675</v>
      </c>
      <c r="F4680" s="1334">
        <v>0.05</v>
      </c>
      <c r="G4680" s="1104">
        <f>DUB!$I$12</f>
        <v>225000</v>
      </c>
      <c r="H4680" s="1106">
        <f>G4680*F4680</f>
        <v>11250</v>
      </c>
      <c r="M4680" s="1566"/>
    </row>
    <row r="4681" spans="2:13" hidden="1">
      <c r="B4681" s="1543"/>
      <c r="C4681" s="1332"/>
      <c r="D4681" s="1331"/>
      <c r="E4681" s="1331"/>
      <c r="F4681" s="2074" t="s">
        <v>685</v>
      </c>
      <c r="G4681" s="2074"/>
      <c r="H4681" s="1106">
        <f>SUM(H4677:H4680)</f>
        <v>237250</v>
      </c>
      <c r="M4681" s="1566"/>
    </row>
    <row r="4682" spans="2:13" hidden="1">
      <c r="B4682" s="1543" t="s">
        <v>686</v>
      </c>
      <c r="C4682" s="1332" t="s">
        <v>687</v>
      </c>
      <c r="D4682" s="1331"/>
      <c r="E4682" s="1331"/>
      <c r="F4682" s="1334"/>
      <c r="G4682" s="1104"/>
      <c r="H4682" s="1106"/>
      <c r="M4682" s="1566"/>
    </row>
    <row r="4683" spans="2:13" hidden="1">
      <c r="B4683" s="1543"/>
      <c r="C4683" s="1332" t="s">
        <v>1262</v>
      </c>
      <c r="D4683" s="1331"/>
      <c r="E4683" s="1331" t="s">
        <v>743</v>
      </c>
      <c r="F4683" s="1334">
        <v>1.2</v>
      </c>
      <c r="G4683" s="1104">
        <f>DUB!$I$249</f>
        <v>35343</v>
      </c>
      <c r="H4683" s="1106">
        <f>G4683*F4683</f>
        <v>42411.6</v>
      </c>
      <c r="M4683" s="1566"/>
    </row>
    <row r="4684" spans="2:13" hidden="1">
      <c r="B4684" s="1543"/>
      <c r="C4684" s="1332" t="s">
        <v>1260</v>
      </c>
      <c r="D4684" s="1331"/>
      <c r="E4684" s="1331" t="s">
        <v>690</v>
      </c>
      <c r="F4684" s="1334">
        <v>0.04</v>
      </c>
      <c r="G4684" s="1104">
        <f>DUB!$I$132</f>
        <v>38592</v>
      </c>
      <c r="H4684" s="1106">
        <f>G4684*F4684</f>
        <v>1543.68</v>
      </c>
      <c r="M4684" s="1566"/>
    </row>
    <row r="4685" spans="2:13" hidden="1">
      <c r="B4685" s="1543"/>
      <c r="C4685" s="1125"/>
      <c r="D4685" s="1333"/>
      <c r="E4685" s="1333"/>
      <c r="F4685" s="2074" t="s">
        <v>702</v>
      </c>
      <c r="G4685" s="2074"/>
      <c r="H4685" s="1106">
        <f>SUM(H4683:H4684)</f>
        <v>43955.28</v>
      </c>
      <c r="M4685" s="1566"/>
    </row>
    <row r="4686" spans="2:13" s="496" customFormat="1" hidden="1">
      <c r="B4686" s="1543" t="s">
        <v>703</v>
      </c>
      <c r="C4686" s="2075" t="s">
        <v>3764</v>
      </c>
      <c r="D4686" s="2075"/>
      <c r="E4686" s="2075"/>
      <c r="F4686" s="2075"/>
      <c r="G4686" s="2075"/>
      <c r="H4686" s="1107">
        <f>H4681+H4685</f>
        <v>281205.28000000003</v>
      </c>
      <c r="J4686" s="1559"/>
      <c r="K4686" s="1559"/>
      <c r="L4686" s="1559"/>
      <c r="M4686" s="1635"/>
    </row>
    <row r="4687" spans="2:13" s="496" customFormat="1" hidden="1">
      <c r="B4687" s="1543" t="s">
        <v>706</v>
      </c>
      <c r="C4687" s="2076" t="s">
        <v>876</v>
      </c>
      <c r="D4687" s="2076"/>
      <c r="E4687" s="2076"/>
      <c r="F4687" s="2077" t="s">
        <v>3873</v>
      </c>
      <c r="G4687" s="2077"/>
      <c r="H4687" s="1107">
        <f>H4686*0.15</f>
        <v>42180.792000000001</v>
      </c>
      <c r="J4687" s="1559"/>
      <c r="K4687" s="1559"/>
      <c r="L4687" s="1559"/>
      <c r="M4687" s="1635"/>
    </row>
    <row r="4688" spans="2:13" s="496" customFormat="1" hidden="1">
      <c r="B4688" s="1543" t="s">
        <v>708</v>
      </c>
      <c r="C4688" s="2078" t="s">
        <v>3765</v>
      </c>
      <c r="D4688" s="2078"/>
      <c r="E4688" s="2078"/>
      <c r="F4688" s="2078"/>
      <c r="G4688" s="2078"/>
      <c r="H4688" s="1107">
        <f>ROUND(SUM(H4686:H4687),2)</f>
        <v>323386.07</v>
      </c>
      <c r="J4688" s="1559"/>
      <c r="K4688" s="1559"/>
      <c r="L4688" s="1559"/>
      <c r="M4688" s="1635"/>
    </row>
    <row r="4689" spans="2:13" hidden="1">
      <c r="F4689" s="1172"/>
      <c r="G4689" s="1173"/>
      <c r="H4689" s="1133"/>
      <c r="M4689" s="1566"/>
    </row>
    <row r="4690" spans="2:13" hidden="1">
      <c r="B4690" s="1150" t="s">
        <v>4103</v>
      </c>
      <c r="C4690" s="1232" t="s">
        <v>4347</v>
      </c>
      <c r="F4690" s="1172"/>
      <c r="G4690" s="1173"/>
      <c r="H4690" s="1133"/>
      <c r="M4690" s="1566"/>
    </row>
    <row r="4691" spans="2:13" s="507" customFormat="1" ht="24.9" hidden="1" customHeight="1">
      <c r="B4691" s="1748" t="s">
        <v>1003</v>
      </c>
      <c r="C4691" s="1116" t="s">
        <v>1004</v>
      </c>
      <c r="D4691" s="1101" t="s">
        <v>1005</v>
      </c>
      <c r="E4691" s="1116" t="s">
        <v>1006</v>
      </c>
      <c r="F4691" s="1139" t="s">
        <v>1007</v>
      </c>
      <c r="G4691" s="1103" t="s">
        <v>2637</v>
      </c>
      <c r="H4691" s="1135" t="s">
        <v>2638</v>
      </c>
      <c r="J4691" s="1625"/>
      <c r="K4691" s="1625"/>
      <c r="L4691" s="1625"/>
      <c r="M4691" s="1570"/>
    </row>
    <row r="4692" spans="2:13" hidden="1">
      <c r="B4692" s="1543" t="s">
        <v>671</v>
      </c>
      <c r="C4692" s="1118" t="s">
        <v>672</v>
      </c>
      <c r="D4692" s="1331"/>
      <c r="E4692" s="1539"/>
      <c r="F4692" s="1532"/>
      <c r="G4692" s="1136"/>
      <c r="H4692" s="1137"/>
      <c r="M4692" s="1566"/>
    </row>
    <row r="4693" spans="2:13" hidden="1">
      <c r="B4693" s="1543"/>
      <c r="C4693" s="1118" t="s">
        <v>673</v>
      </c>
      <c r="D4693" s="1331" t="s">
        <v>674</v>
      </c>
      <c r="E4693" s="1539" t="s">
        <v>675</v>
      </c>
      <c r="F4693" s="1532">
        <v>0.15</v>
      </c>
      <c r="G4693" s="1104">
        <f>DUB!$I$10</f>
        <v>150000</v>
      </c>
      <c r="H4693" s="1106">
        <f>G4693*F4693</f>
        <v>22500</v>
      </c>
      <c r="M4693" s="1566"/>
    </row>
    <row r="4694" spans="2:13" hidden="1">
      <c r="B4694" s="1543"/>
      <c r="C4694" s="1118" t="s">
        <v>677</v>
      </c>
      <c r="D4694" s="1331" t="s">
        <v>678</v>
      </c>
      <c r="E4694" s="1539" t="s">
        <v>675</v>
      </c>
      <c r="F4694" s="1532">
        <v>0.05</v>
      </c>
      <c r="G4694" s="1104">
        <f>DUB!$I$11</f>
        <v>187000</v>
      </c>
      <c r="H4694" s="1106">
        <f>G4694*F4694</f>
        <v>9350</v>
      </c>
      <c r="M4694" s="1566"/>
    </row>
    <row r="4695" spans="2:13" hidden="1">
      <c r="B4695" s="1543"/>
      <c r="C4695" s="1118" t="s">
        <v>751</v>
      </c>
      <c r="D4695" s="1331" t="s">
        <v>681</v>
      </c>
      <c r="E4695" s="1539" t="s">
        <v>675</v>
      </c>
      <c r="F4695" s="1532">
        <v>5.0000000000000001E-3</v>
      </c>
      <c r="G4695" s="1104">
        <f>DUB!$I$13</f>
        <v>240000</v>
      </c>
      <c r="H4695" s="1106">
        <f>G4695*F4695</f>
        <v>1200</v>
      </c>
      <c r="M4695" s="1566"/>
    </row>
    <row r="4696" spans="2:13" hidden="1">
      <c r="B4696" s="1543"/>
      <c r="C4696" s="1118" t="s">
        <v>683</v>
      </c>
      <c r="D4696" s="1331" t="s">
        <v>684</v>
      </c>
      <c r="E4696" s="1539" t="s">
        <v>675</v>
      </c>
      <c r="F4696" s="1532">
        <v>8.0000000000000002E-3</v>
      </c>
      <c r="G4696" s="1104">
        <f>DUB!$I$12</f>
        <v>225000</v>
      </c>
      <c r="H4696" s="1106">
        <f>G4696*F4696</f>
        <v>1800</v>
      </c>
      <c r="M4696" s="1566"/>
    </row>
    <row r="4697" spans="2:13" hidden="1">
      <c r="B4697" s="1543"/>
      <c r="C4697" s="1118"/>
      <c r="D4697" s="1331"/>
      <c r="E4697" s="1539"/>
      <c r="F4697" s="2080" t="s">
        <v>685</v>
      </c>
      <c r="G4697" s="2081"/>
      <c r="H4697" s="1137">
        <f>SUM(H4693:H4696)</f>
        <v>34850</v>
      </c>
      <c r="M4697" s="1566"/>
    </row>
    <row r="4698" spans="2:13" hidden="1">
      <c r="B4698" s="1543" t="s">
        <v>686</v>
      </c>
      <c r="C4698" s="1118" t="s">
        <v>687</v>
      </c>
      <c r="D4698" s="1331"/>
      <c r="E4698" s="1539"/>
      <c r="F4698" s="1532"/>
      <c r="G4698" s="1136"/>
      <c r="H4698" s="1137"/>
      <c r="M4698" s="1566"/>
    </row>
    <row r="4699" spans="2:13" hidden="1">
      <c r="B4699" s="1543"/>
      <c r="C4699" s="1118" t="s">
        <v>1263</v>
      </c>
      <c r="D4699" s="1331"/>
      <c r="E4699" s="1539" t="s">
        <v>1264</v>
      </c>
      <c r="F4699" s="1532">
        <v>1.05</v>
      </c>
      <c r="G4699" s="1136">
        <f>DUB!$I$264</f>
        <v>51060</v>
      </c>
      <c r="H4699" s="1106">
        <f>G4699*F4699</f>
        <v>53613</v>
      </c>
      <c r="M4699" s="1566"/>
    </row>
    <row r="4700" spans="2:13" hidden="1">
      <c r="B4700" s="1543"/>
      <c r="C4700" s="1118"/>
      <c r="D4700" s="1331"/>
      <c r="E4700" s="1539"/>
      <c r="F4700" s="2080" t="s">
        <v>702</v>
      </c>
      <c r="G4700" s="2081"/>
      <c r="H4700" s="1137">
        <f>SUM(H4699)</f>
        <v>53613</v>
      </c>
      <c r="M4700" s="1566"/>
    </row>
    <row r="4701" spans="2:13" s="496" customFormat="1" hidden="1">
      <c r="B4701" s="1543" t="s">
        <v>703</v>
      </c>
      <c r="C4701" s="1117" t="s">
        <v>3764</v>
      </c>
      <c r="D4701" s="1120"/>
      <c r="E4701" s="1120"/>
      <c r="F4701" s="1121"/>
      <c r="G4701" s="1122"/>
      <c r="H4701" s="1203">
        <f>H4697+H4700</f>
        <v>88463</v>
      </c>
      <c r="J4701" s="1559"/>
      <c r="K4701" s="1559"/>
      <c r="L4701" s="1559"/>
      <c r="M4701" s="1635"/>
    </row>
    <row r="4702" spans="2:13" s="496" customFormat="1" hidden="1">
      <c r="B4702" s="1543" t="s">
        <v>706</v>
      </c>
      <c r="C4702" s="1123" t="s">
        <v>876</v>
      </c>
      <c r="D4702" s="1124"/>
      <c r="E4702" s="1124"/>
      <c r="F4702" s="1545" t="s">
        <v>3873</v>
      </c>
      <c r="G4702" s="1122"/>
      <c r="H4702" s="1107">
        <f>H4701*0.15</f>
        <v>13269.449999999999</v>
      </c>
      <c r="J4702" s="1559"/>
      <c r="K4702" s="1559"/>
      <c r="L4702" s="1559"/>
      <c r="M4702" s="1635"/>
    </row>
    <row r="4703" spans="2:13" s="496" customFormat="1" hidden="1">
      <c r="B4703" s="1543" t="s">
        <v>708</v>
      </c>
      <c r="C4703" s="1117" t="s">
        <v>3765</v>
      </c>
      <c r="D4703" s="1120"/>
      <c r="E4703" s="1120"/>
      <c r="F4703" s="1121"/>
      <c r="G4703" s="1122"/>
      <c r="H4703" s="1107">
        <f>ROUND(SUM(H4701:H4702),2)</f>
        <v>101732.45</v>
      </c>
      <c r="I4703" s="524">
        <f>SUM(H4701:H4702)</f>
        <v>101732.45</v>
      </c>
      <c r="J4703" s="1561"/>
      <c r="K4703" s="1561"/>
      <c r="L4703" s="1559"/>
      <c r="M4703" s="1635"/>
    </row>
    <row r="4704" spans="2:13">
      <c r="F4704" s="1172"/>
      <c r="G4704" s="1173"/>
      <c r="H4704" s="1133"/>
      <c r="M4704" s="1566"/>
    </row>
    <row r="4705" spans="2:13" s="947" customFormat="1">
      <c r="B4705" s="1100" t="s">
        <v>4104</v>
      </c>
      <c r="C4705" s="1112" t="s">
        <v>2765</v>
      </c>
      <c r="D4705" s="1129"/>
      <c r="E4705" s="1129"/>
      <c r="F4705" s="1131"/>
      <c r="G4705" s="1132"/>
      <c r="H4705" s="1115"/>
      <c r="J4705" s="1557"/>
      <c r="K4705" s="1557"/>
      <c r="L4705" s="1557"/>
      <c r="M4705" s="1566"/>
    </row>
    <row r="4706" spans="2:13" s="947" customFormat="1" ht="21" hidden="1" customHeight="1">
      <c r="B4706" s="1100" t="s">
        <v>4105</v>
      </c>
      <c r="C4706" s="1112" t="s">
        <v>3429</v>
      </c>
      <c r="D4706" s="1129"/>
      <c r="E4706" s="1129"/>
      <c r="F4706" s="1131"/>
      <c r="G4706" s="1132"/>
      <c r="H4706" s="1115"/>
      <c r="J4706" s="1557"/>
      <c r="K4706" s="1557"/>
      <c r="L4706" s="1557"/>
      <c r="M4706" s="1566"/>
    </row>
    <row r="4707" spans="2:13" s="948" customFormat="1" ht="24.9" hidden="1" customHeight="1">
      <c r="B4707" s="1748" t="s">
        <v>1003</v>
      </c>
      <c r="C4707" s="1101" t="s">
        <v>1004</v>
      </c>
      <c r="D4707" s="1116" t="s">
        <v>1005</v>
      </c>
      <c r="E4707" s="1116" t="s">
        <v>1006</v>
      </c>
      <c r="F4707" s="1139" t="s">
        <v>1007</v>
      </c>
      <c r="G4707" s="1103" t="s">
        <v>2637</v>
      </c>
      <c r="H4707" s="1110" t="s">
        <v>2638</v>
      </c>
      <c r="J4707" s="1625"/>
      <c r="K4707" s="1625"/>
      <c r="L4707" s="1625"/>
      <c r="M4707" s="1570"/>
    </row>
    <row r="4708" spans="2:13" s="947" customFormat="1" hidden="1">
      <c r="B4708" s="1543" t="s">
        <v>671</v>
      </c>
      <c r="C4708" s="1332" t="s">
        <v>672</v>
      </c>
      <c r="D4708" s="1539"/>
      <c r="E4708" s="1539"/>
      <c r="F4708" s="1532"/>
      <c r="G4708" s="1136"/>
      <c r="H4708" s="1106"/>
      <c r="J4708" s="1557"/>
      <c r="K4708" s="1557"/>
      <c r="L4708" s="1557"/>
      <c r="M4708" s="1566"/>
    </row>
    <row r="4709" spans="2:13" s="947" customFormat="1" hidden="1">
      <c r="B4709" s="1543"/>
      <c r="C4709" s="1332" t="s">
        <v>673</v>
      </c>
      <c r="D4709" s="1331" t="s">
        <v>674</v>
      </c>
      <c r="E4709" s="1539" t="s">
        <v>675</v>
      </c>
      <c r="F4709" s="1532">
        <v>7</v>
      </c>
      <c r="G4709" s="1104">
        <f>DUB!$I$10</f>
        <v>150000</v>
      </c>
      <c r="H4709" s="1106">
        <f>G4709*F4709</f>
        <v>1050000</v>
      </c>
      <c r="J4709" s="1557"/>
      <c r="K4709" s="1557"/>
      <c r="L4709" s="1557"/>
      <c r="M4709" s="1566"/>
    </row>
    <row r="4710" spans="2:13" s="947" customFormat="1" hidden="1">
      <c r="B4710" s="1543"/>
      <c r="C4710" s="1332" t="s">
        <v>871</v>
      </c>
      <c r="D4710" s="1331" t="s">
        <v>678</v>
      </c>
      <c r="E4710" s="1539" t="s">
        <v>675</v>
      </c>
      <c r="F4710" s="1532">
        <v>21</v>
      </c>
      <c r="G4710" s="1104">
        <f>DUB!$I$11</f>
        <v>187000</v>
      </c>
      <c r="H4710" s="1106">
        <f>G4710*F4710</f>
        <v>3927000</v>
      </c>
      <c r="J4710" s="1557"/>
      <c r="K4710" s="1557"/>
      <c r="L4710" s="1557"/>
      <c r="M4710" s="1566"/>
    </row>
    <row r="4711" spans="2:13" s="947" customFormat="1" hidden="1">
      <c r="B4711" s="1543"/>
      <c r="C4711" s="1332" t="s">
        <v>751</v>
      </c>
      <c r="D4711" s="1331" t="s">
        <v>681</v>
      </c>
      <c r="E4711" s="1539" t="s">
        <v>675</v>
      </c>
      <c r="F4711" s="1532">
        <v>2.1</v>
      </c>
      <c r="G4711" s="1104">
        <f>DUB!$I$13</f>
        <v>240000</v>
      </c>
      <c r="H4711" s="1106">
        <f>G4711*F4711</f>
        <v>504000</v>
      </c>
      <c r="J4711" s="1557"/>
      <c r="K4711" s="1557"/>
      <c r="L4711" s="1557"/>
      <c r="M4711" s="1566"/>
    </row>
    <row r="4712" spans="2:13" s="947" customFormat="1" hidden="1">
      <c r="B4712" s="1543"/>
      <c r="C4712" s="1332" t="s">
        <v>683</v>
      </c>
      <c r="D4712" s="1331" t="s">
        <v>684</v>
      </c>
      <c r="E4712" s="1539" t="s">
        <v>675</v>
      </c>
      <c r="F4712" s="1532">
        <v>0.35</v>
      </c>
      <c r="G4712" s="1104">
        <f>DUB!$I$12</f>
        <v>225000</v>
      </c>
      <c r="H4712" s="1106">
        <f>G4712*F4712</f>
        <v>78750</v>
      </c>
      <c r="J4712" s="1557"/>
      <c r="K4712" s="1557"/>
      <c r="L4712" s="1557"/>
      <c r="M4712" s="1566"/>
    </row>
    <row r="4713" spans="2:13" s="947" customFormat="1" hidden="1">
      <c r="B4713" s="1543"/>
      <c r="C4713" s="1332"/>
      <c r="D4713" s="1539"/>
      <c r="E4713" s="1539"/>
      <c r="F4713" s="2080" t="s">
        <v>685</v>
      </c>
      <c r="G4713" s="2081"/>
      <c r="H4713" s="1106">
        <f>SUM(H4709:H4712)</f>
        <v>5559750</v>
      </c>
      <c r="J4713" s="1557"/>
      <c r="K4713" s="1557"/>
      <c r="L4713" s="1557"/>
      <c r="M4713" s="1566"/>
    </row>
    <row r="4714" spans="2:13" s="947" customFormat="1" hidden="1">
      <c r="B4714" s="1543" t="s">
        <v>686</v>
      </c>
      <c r="C4714" s="1332" t="s">
        <v>687</v>
      </c>
      <c r="D4714" s="1539"/>
      <c r="E4714" s="1539"/>
      <c r="F4714" s="1532"/>
      <c r="G4714" s="1136"/>
      <c r="H4714" s="1106"/>
      <c r="J4714" s="1557"/>
      <c r="K4714" s="1557"/>
      <c r="L4714" s="1557"/>
      <c r="M4714" s="1566"/>
    </row>
    <row r="4715" spans="2:13" s="947" customFormat="1" hidden="1">
      <c r="B4715" s="1543"/>
      <c r="C4715" s="1332" t="s">
        <v>3430</v>
      </c>
      <c r="D4715" s="1539"/>
      <c r="E4715" s="1539" t="s">
        <v>2646</v>
      </c>
      <c r="F4715" s="1532">
        <v>1.1000000000000001</v>
      </c>
      <c r="G4715" s="1136">
        <f>DUB!$I$83</f>
        <v>10710000</v>
      </c>
      <c r="H4715" s="1106">
        <f>G4715*F4715</f>
        <v>11781000.000000002</v>
      </c>
      <c r="J4715" s="1557"/>
      <c r="K4715" s="1557"/>
      <c r="L4715" s="1557"/>
      <c r="M4715" s="1566"/>
    </row>
    <row r="4716" spans="2:13" s="947" customFormat="1" hidden="1">
      <c r="B4716" s="1543"/>
      <c r="C4716" s="1332" t="s">
        <v>1267</v>
      </c>
      <c r="D4716" s="1539"/>
      <c r="E4716" s="1539" t="s">
        <v>690</v>
      </c>
      <c r="F4716" s="1532">
        <v>1.25</v>
      </c>
      <c r="G4716" s="1104">
        <f>DUB!$I$128</f>
        <v>20441.7</v>
      </c>
      <c r="H4716" s="1106">
        <f>G4716*F4716</f>
        <v>25552.125</v>
      </c>
      <c r="J4716" s="1557"/>
      <c r="K4716" s="1557"/>
      <c r="L4716" s="1557"/>
      <c r="M4716" s="1566"/>
    </row>
    <row r="4717" spans="2:13" s="947" customFormat="1" hidden="1">
      <c r="B4717" s="1543"/>
      <c r="C4717" s="1332" t="s">
        <v>1268</v>
      </c>
      <c r="D4717" s="1539"/>
      <c r="E4717" s="1539" t="s">
        <v>690</v>
      </c>
      <c r="F4717" s="1532">
        <v>1</v>
      </c>
      <c r="G4717" s="1136">
        <f>DUB!$I$87</f>
        <v>16380</v>
      </c>
      <c r="H4717" s="1106">
        <f>G4717*F4717</f>
        <v>16380</v>
      </c>
      <c r="J4717" s="1557"/>
      <c r="K4717" s="1557"/>
      <c r="L4717" s="1557"/>
      <c r="M4717" s="1566"/>
    </row>
    <row r="4718" spans="2:13" s="947" customFormat="1" hidden="1">
      <c r="B4718" s="1543"/>
      <c r="C4718" s="1332"/>
      <c r="D4718" s="1539"/>
      <c r="E4718" s="1539"/>
      <c r="F4718" s="2080" t="s">
        <v>702</v>
      </c>
      <c r="G4718" s="2081"/>
      <c r="H4718" s="1106">
        <f>SUM(H4715:H4717)</f>
        <v>11822932.125000002</v>
      </c>
      <c r="J4718" s="1557"/>
      <c r="K4718" s="1557"/>
      <c r="L4718" s="1557"/>
      <c r="M4718" s="1566"/>
    </row>
    <row r="4719" spans="2:13" s="949" customFormat="1" hidden="1">
      <c r="B4719" s="1543" t="s">
        <v>703</v>
      </c>
      <c r="C4719" s="1117" t="s">
        <v>3764</v>
      </c>
      <c r="D4719" s="1120"/>
      <c r="E4719" s="1120"/>
      <c r="F4719" s="1121"/>
      <c r="G4719" s="1122"/>
      <c r="H4719" s="1107">
        <f>H4713+H4718</f>
        <v>17382682.125</v>
      </c>
      <c r="J4719" s="1559"/>
      <c r="K4719" s="1559"/>
      <c r="L4719" s="1559"/>
      <c r="M4719" s="1635"/>
    </row>
    <row r="4720" spans="2:13" s="949" customFormat="1" hidden="1">
      <c r="B4720" s="1543" t="s">
        <v>706</v>
      </c>
      <c r="C4720" s="1123" t="s">
        <v>876</v>
      </c>
      <c r="D4720" s="1124"/>
      <c r="E4720" s="1124"/>
      <c r="F4720" s="1545" t="s">
        <v>3873</v>
      </c>
      <c r="G4720" s="1122"/>
      <c r="H4720" s="1107">
        <f>H4719*0.15</f>
        <v>2607402.3187500001</v>
      </c>
      <c r="J4720" s="1559"/>
      <c r="K4720" s="1559"/>
      <c r="L4720" s="1559"/>
      <c r="M4720" s="1635"/>
    </row>
    <row r="4721" spans="2:13" s="949" customFormat="1" hidden="1">
      <c r="B4721" s="1543" t="s">
        <v>708</v>
      </c>
      <c r="C4721" s="2078" t="s">
        <v>3765</v>
      </c>
      <c r="D4721" s="2078"/>
      <c r="E4721" s="2078"/>
      <c r="F4721" s="2078"/>
      <c r="G4721" s="2078"/>
      <c r="H4721" s="1107">
        <f>ROUND(SUM(H4719:H4720),2)</f>
        <v>19990084.440000001</v>
      </c>
      <c r="I4721" s="950">
        <f>SUM(H4719:H4720)</f>
        <v>19990084.443750001</v>
      </c>
      <c r="J4721" s="1561"/>
      <c r="K4721" s="1561"/>
      <c r="L4721" s="1651"/>
      <c r="M4721" s="1635"/>
    </row>
    <row r="4722" spans="2:13" s="947" customFormat="1" hidden="1">
      <c r="B4722" s="1095"/>
      <c r="C4722" s="1096"/>
      <c r="D4722" s="1095"/>
      <c r="E4722" s="1095"/>
      <c r="F4722" s="1172"/>
      <c r="G4722" s="1173"/>
      <c r="H4722" s="1133"/>
      <c r="J4722" s="1557"/>
      <c r="K4722" s="1557"/>
      <c r="L4722" s="1557"/>
      <c r="M4722" s="1566"/>
    </row>
    <row r="4723" spans="2:13" s="947" customFormat="1" hidden="1">
      <c r="B4723" s="1100" t="s">
        <v>4106</v>
      </c>
      <c r="C4723" s="1232" t="s">
        <v>4442</v>
      </c>
      <c r="D4723" s="1095"/>
      <c r="E4723" s="1095"/>
      <c r="F4723" s="1172"/>
      <c r="G4723" s="1173"/>
      <c r="H4723" s="1133"/>
      <c r="J4723" s="1557"/>
      <c r="K4723" s="1557"/>
      <c r="L4723" s="1557"/>
      <c r="M4723" s="1566"/>
    </row>
    <row r="4724" spans="2:13" s="948" customFormat="1" ht="24.9" hidden="1" customHeight="1">
      <c r="B4724" s="1748" t="s">
        <v>1003</v>
      </c>
      <c r="C4724" s="1116" t="s">
        <v>1004</v>
      </c>
      <c r="D4724" s="1116" t="s">
        <v>1005</v>
      </c>
      <c r="E4724" s="1116" t="s">
        <v>1006</v>
      </c>
      <c r="F4724" s="1139" t="s">
        <v>1007</v>
      </c>
      <c r="G4724" s="1103" t="s">
        <v>2637</v>
      </c>
      <c r="H4724" s="1110" t="s">
        <v>2638</v>
      </c>
      <c r="J4724" s="1625"/>
      <c r="K4724" s="1625"/>
      <c r="L4724" s="1625"/>
      <c r="M4724" s="1570"/>
    </row>
    <row r="4725" spans="2:13" s="947" customFormat="1" hidden="1">
      <c r="B4725" s="1543" t="s">
        <v>671</v>
      </c>
      <c r="C4725" s="1118" t="s">
        <v>672</v>
      </c>
      <c r="D4725" s="1539"/>
      <c r="E4725" s="1539"/>
      <c r="F4725" s="1532"/>
      <c r="G4725" s="1136"/>
      <c r="H4725" s="1106"/>
      <c r="J4725" s="1557"/>
      <c r="K4725" s="1557"/>
      <c r="L4725" s="1557"/>
      <c r="M4725" s="1566"/>
    </row>
    <row r="4726" spans="2:13" s="947" customFormat="1" hidden="1">
      <c r="B4726" s="1543"/>
      <c r="C4726" s="1118" t="s">
        <v>673</v>
      </c>
      <c r="D4726" s="1331" t="s">
        <v>674</v>
      </c>
      <c r="E4726" s="1539" t="s">
        <v>675</v>
      </c>
      <c r="F4726" s="1532">
        <v>6</v>
      </c>
      <c r="G4726" s="1104">
        <f>DUB!$I$10</f>
        <v>150000</v>
      </c>
      <c r="H4726" s="1106">
        <f>G4726*F4726</f>
        <v>900000</v>
      </c>
      <c r="J4726" s="1557"/>
      <c r="K4726" s="1557"/>
      <c r="L4726" s="1557"/>
      <c r="M4726" s="1566"/>
    </row>
    <row r="4727" spans="2:13" s="947" customFormat="1" hidden="1">
      <c r="B4727" s="1543"/>
      <c r="C4727" s="1118" t="s">
        <v>871</v>
      </c>
      <c r="D4727" s="1331" t="s">
        <v>678</v>
      </c>
      <c r="E4727" s="1539" t="s">
        <v>675</v>
      </c>
      <c r="F4727" s="1532">
        <v>18</v>
      </c>
      <c r="G4727" s="1104">
        <f>DUB!$I$11</f>
        <v>187000</v>
      </c>
      <c r="H4727" s="1106">
        <f>G4727*F4727</f>
        <v>3366000</v>
      </c>
      <c r="J4727" s="1557"/>
      <c r="K4727" s="1557"/>
      <c r="L4727" s="1557"/>
      <c r="M4727" s="1566"/>
    </row>
    <row r="4728" spans="2:13" s="947" customFormat="1" hidden="1">
      <c r="B4728" s="1543"/>
      <c r="C4728" s="1118" t="s">
        <v>751</v>
      </c>
      <c r="D4728" s="1331" t="s">
        <v>681</v>
      </c>
      <c r="E4728" s="1539" t="s">
        <v>675</v>
      </c>
      <c r="F4728" s="1532">
        <v>1.8</v>
      </c>
      <c r="G4728" s="1104">
        <f>DUB!$I$13</f>
        <v>240000</v>
      </c>
      <c r="H4728" s="1106">
        <f>G4728*F4728</f>
        <v>432000</v>
      </c>
      <c r="J4728" s="1557"/>
      <c r="K4728" s="1557"/>
      <c r="L4728" s="1557"/>
      <c r="M4728" s="1566"/>
    </row>
    <row r="4729" spans="2:13" s="947" customFormat="1" hidden="1">
      <c r="B4729" s="1543"/>
      <c r="C4729" s="1118" t="s">
        <v>683</v>
      </c>
      <c r="D4729" s="1331" t="s">
        <v>684</v>
      </c>
      <c r="E4729" s="1539" t="s">
        <v>675</v>
      </c>
      <c r="F4729" s="1532">
        <v>0.3</v>
      </c>
      <c r="G4729" s="1104">
        <f>DUB!$I$12</f>
        <v>225000</v>
      </c>
      <c r="H4729" s="1106">
        <f>G4729*F4729</f>
        <v>67500</v>
      </c>
      <c r="J4729" s="1557"/>
      <c r="K4729" s="1557"/>
      <c r="L4729" s="1557"/>
      <c r="M4729" s="1566"/>
    </row>
    <row r="4730" spans="2:13" s="947" customFormat="1" hidden="1">
      <c r="B4730" s="1543"/>
      <c r="C4730" s="1118"/>
      <c r="D4730" s="1539"/>
      <c r="E4730" s="1539"/>
      <c r="F4730" s="2080" t="s">
        <v>685</v>
      </c>
      <c r="G4730" s="2081"/>
      <c r="H4730" s="1106">
        <f>SUM(H4726:H4729)</f>
        <v>4765500</v>
      </c>
      <c r="J4730" s="1557"/>
      <c r="K4730" s="1557"/>
      <c r="L4730" s="1557"/>
      <c r="M4730" s="1566"/>
    </row>
    <row r="4731" spans="2:13" s="947" customFormat="1" hidden="1">
      <c r="B4731" s="1543" t="s">
        <v>686</v>
      </c>
      <c r="C4731" s="1118" t="s">
        <v>687</v>
      </c>
      <c r="D4731" s="1539"/>
      <c r="E4731" s="1539"/>
      <c r="F4731" s="1532"/>
      <c r="G4731" s="1136"/>
      <c r="H4731" s="1106"/>
      <c r="J4731" s="1557"/>
      <c r="K4731" s="1557"/>
      <c r="L4731" s="1557"/>
      <c r="M4731" s="1566"/>
    </row>
    <row r="4732" spans="2:13" s="947" customFormat="1" hidden="1">
      <c r="B4732" s="1543"/>
      <c r="C4732" s="1118" t="s">
        <v>1266</v>
      </c>
      <c r="D4732" s="1539"/>
      <c r="E4732" s="1539" t="s">
        <v>2646</v>
      </c>
      <c r="F4732" s="1532">
        <v>1.2</v>
      </c>
      <c r="G4732" s="1136">
        <f>DUB!$I$84</f>
        <v>6961500</v>
      </c>
      <c r="H4732" s="1106">
        <f>G4732*F4732</f>
        <v>8353800</v>
      </c>
      <c r="J4732" s="1557"/>
      <c r="K4732" s="1557"/>
      <c r="L4732" s="1557"/>
      <c r="M4732" s="1566"/>
    </row>
    <row r="4733" spans="2:13" s="947" customFormat="1" hidden="1">
      <c r="B4733" s="1543"/>
      <c r="C4733" s="1118" t="s">
        <v>1267</v>
      </c>
      <c r="D4733" s="1539"/>
      <c r="E4733" s="1539" t="s">
        <v>690</v>
      </c>
      <c r="F4733" s="1532">
        <v>1.25</v>
      </c>
      <c r="G4733" s="1104">
        <f>DUB!$I$128</f>
        <v>20441.7</v>
      </c>
      <c r="H4733" s="1106">
        <f>G4733*F4733</f>
        <v>25552.125</v>
      </c>
      <c r="J4733" s="1557"/>
      <c r="K4733" s="1557"/>
      <c r="L4733" s="1557"/>
      <c r="M4733" s="1566"/>
    </row>
    <row r="4734" spans="2:13" s="947" customFormat="1" hidden="1">
      <c r="B4734" s="1543"/>
      <c r="C4734" s="1118" t="s">
        <v>1268</v>
      </c>
      <c r="D4734" s="1539"/>
      <c r="E4734" s="1539" t="s">
        <v>690</v>
      </c>
      <c r="F4734" s="1532">
        <v>1</v>
      </c>
      <c r="G4734" s="1136">
        <f>DUB!$I$87</f>
        <v>16380</v>
      </c>
      <c r="H4734" s="1106">
        <f>G4734*F4734</f>
        <v>16380</v>
      </c>
      <c r="J4734" s="1557"/>
      <c r="K4734" s="1557"/>
      <c r="L4734" s="1557"/>
      <c r="M4734" s="1566"/>
    </row>
    <row r="4735" spans="2:13" s="947" customFormat="1" hidden="1">
      <c r="B4735" s="1543"/>
      <c r="C4735" s="1118"/>
      <c r="D4735" s="1539"/>
      <c r="E4735" s="1539"/>
      <c r="F4735" s="2080" t="s">
        <v>702</v>
      </c>
      <c r="G4735" s="2081"/>
      <c r="H4735" s="1106">
        <f>SUM(H4732:H4734)</f>
        <v>8395732.125</v>
      </c>
      <c r="J4735" s="1557"/>
      <c r="K4735" s="1557"/>
      <c r="L4735" s="1557"/>
      <c r="M4735" s="1566"/>
    </row>
    <row r="4736" spans="2:13" s="949" customFormat="1" hidden="1">
      <c r="B4736" s="1543" t="s">
        <v>703</v>
      </c>
      <c r="C4736" s="1117" t="s">
        <v>3764</v>
      </c>
      <c r="D4736" s="1120"/>
      <c r="E4736" s="1120"/>
      <c r="F4736" s="1121"/>
      <c r="G4736" s="1122"/>
      <c r="H4736" s="1107">
        <f>H4730+H4735</f>
        <v>13161232.125</v>
      </c>
      <c r="J4736" s="1559"/>
      <c r="K4736" s="1559"/>
      <c r="L4736" s="1559"/>
      <c r="M4736" s="1635"/>
    </row>
    <row r="4737" spans="2:13" s="949" customFormat="1" hidden="1">
      <c r="B4737" s="1543" t="s">
        <v>706</v>
      </c>
      <c r="C4737" s="1123" t="s">
        <v>876</v>
      </c>
      <c r="D4737" s="1124"/>
      <c r="E4737" s="1124"/>
      <c r="F4737" s="1545" t="s">
        <v>3873</v>
      </c>
      <c r="G4737" s="1122"/>
      <c r="H4737" s="1107">
        <f>H4736*0.15</f>
        <v>1974184.8187499999</v>
      </c>
      <c r="J4737" s="1559"/>
      <c r="K4737" s="1559"/>
      <c r="L4737" s="1559"/>
      <c r="M4737" s="1635"/>
    </row>
    <row r="4738" spans="2:13" s="949" customFormat="1" hidden="1">
      <c r="B4738" s="1543" t="s">
        <v>708</v>
      </c>
      <c r="C4738" s="1117" t="s">
        <v>3765</v>
      </c>
      <c r="D4738" s="1120"/>
      <c r="E4738" s="1120"/>
      <c r="F4738" s="1121"/>
      <c r="G4738" s="1122"/>
      <c r="H4738" s="1107">
        <f>ROUND(SUM(H4736:H4737),2)</f>
        <v>15135416.939999999</v>
      </c>
      <c r="I4738" s="950">
        <f>SUM(H4736:H4737)</f>
        <v>15135416.94375</v>
      </c>
      <c r="J4738" s="1561"/>
      <c r="K4738" s="1561"/>
      <c r="L4738" s="1559"/>
      <c r="M4738" s="1635"/>
    </row>
    <row r="4739" spans="2:13" s="947" customFormat="1" hidden="1">
      <c r="B4739" s="1143"/>
      <c r="C4739" s="1144"/>
      <c r="D4739" s="1143"/>
      <c r="E4739" s="1143"/>
      <c r="F4739" s="1145"/>
      <c r="G4739" s="1146"/>
      <c r="H4739" s="1147"/>
      <c r="J4739" s="1557"/>
      <c r="K4739" s="1557"/>
      <c r="L4739" s="1557"/>
      <c r="M4739" s="1566"/>
    </row>
    <row r="4740" spans="2:13" s="947" customFormat="1" hidden="1">
      <c r="B4740" s="1150" t="s">
        <v>4107</v>
      </c>
      <c r="C4740" s="1112" t="s">
        <v>3431</v>
      </c>
      <c r="D4740" s="1129"/>
      <c r="E4740" s="1129"/>
      <c r="F4740" s="1131"/>
      <c r="G4740" s="1132"/>
      <c r="H4740" s="1115"/>
      <c r="J4740" s="1557"/>
      <c r="K4740" s="1557"/>
      <c r="L4740" s="1557"/>
      <c r="M4740" s="1566"/>
    </row>
    <row r="4741" spans="2:13" s="948" customFormat="1" ht="24.9" hidden="1" customHeight="1">
      <c r="B4741" s="1748" t="s">
        <v>1003</v>
      </c>
      <c r="C4741" s="1101" t="s">
        <v>1004</v>
      </c>
      <c r="D4741" s="1116" t="s">
        <v>1005</v>
      </c>
      <c r="E4741" s="1116" t="s">
        <v>1006</v>
      </c>
      <c r="F4741" s="1139" t="s">
        <v>1007</v>
      </c>
      <c r="G4741" s="1103" t="s">
        <v>2637</v>
      </c>
      <c r="H4741" s="1135" t="s">
        <v>2638</v>
      </c>
      <c r="J4741" s="1625"/>
      <c r="K4741" s="1625"/>
      <c r="L4741" s="1625"/>
      <c r="M4741" s="1570"/>
    </row>
    <row r="4742" spans="2:13" s="947" customFormat="1" hidden="1">
      <c r="B4742" s="1543" t="s">
        <v>671</v>
      </c>
      <c r="C4742" s="1332" t="s">
        <v>672</v>
      </c>
      <c r="D4742" s="1539"/>
      <c r="E4742" s="1539"/>
      <c r="F4742" s="1532"/>
      <c r="G4742" s="1152"/>
      <c r="H4742" s="1153"/>
      <c r="J4742" s="1557"/>
      <c r="K4742" s="1557"/>
      <c r="L4742" s="1557"/>
      <c r="M4742" s="1566"/>
    </row>
    <row r="4743" spans="2:13" s="947" customFormat="1" hidden="1">
      <c r="B4743" s="1543"/>
      <c r="C4743" s="1332" t="s">
        <v>673</v>
      </c>
      <c r="D4743" s="1331" t="s">
        <v>674</v>
      </c>
      <c r="E4743" s="1539" t="s">
        <v>675</v>
      </c>
      <c r="F4743" s="1532">
        <v>0.35</v>
      </c>
      <c r="G4743" s="1152">
        <f>DUB!$I$10</f>
        <v>150000</v>
      </c>
      <c r="H4743" s="1106">
        <f>G4743*F4743</f>
        <v>52500</v>
      </c>
      <c r="J4743" s="1557"/>
      <c r="K4743" s="1557"/>
      <c r="L4743" s="1557"/>
      <c r="M4743" s="1566"/>
    </row>
    <row r="4744" spans="2:13" s="947" customFormat="1" hidden="1">
      <c r="B4744" s="1543"/>
      <c r="C4744" s="1332" t="s">
        <v>871</v>
      </c>
      <c r="D4744" s="1331" t="s">
        <v>678</v>
      </c>
      <c r="E4744" s="1539" t="s">
        <v>675</v>
      </c>
      <c r="F4744" s="1532">
        <v>1.05</v>
      </c>
      <c r="G4744" s="1152">
        <f>DUB!$I$11</f>
        <v>187000</v>
      </c>
      <c r="H4744" s="1106">
        <f>G4744*F4744</f>
        <v>196350</v>
      </c>
      <c r="J4744" s="1557"/>
      <c r="K4744" s="1557"/>
      <c r="L4744" s="1557"/>
      <c r="M4744" s="1566"/>
    </row>
    <row r="4745" spans="2:13" s="947" customFormat="1" hidden="1">
      <c r="B4745" s="1543"/>
      <c r="C4745" s="1332" t="s">
        <v>751</v>
      </c>
      <c r="D4745" s="1331" t="s">
        <v>681</v>
      </c>
      <c r="E4745" s="1539" t="s">
        <v>675</v>
      </c>
      <c r="F4745" s="1532">
        <v>0.105</v>
      </c>
      <c r="G4745" s="1152">
        <f>DUB!$I$13</f>
        <v>240000</v>
      </c>
      <c r="H4745" s="1106">
        <f>G4745*F4745</f>
        <v>25200</v>
      </c>
      <c r="J4745" s="1557"/>
      <c r="K4745" s="1557"/>
      <c r="L4745" s="1557"/>
      <c r="M4745" s="1566"/>
    </row>
    <row r="4746" spans="2:13" s="947" customFormat="1" hidden="1">
      <c r="B4746" s="1543"/>
      <c r="C4746" s="1332" t="s">
        <v>683</v>
      </c>
      <c r="D4746" s="1331" t="s">
        <v>684</v>
      </c>
      <c r="E4746" s="1539" t="s">
        <v>675</v>
      </c>
      <c r="F4746" s="1532">
        <v>1.7999999999999999E-2</v>
      </c>
      <c r="G4746" s="1152">
        <f>DUB!$I$12</f>
        <v>225000</v>
      </c>
      <c r="H4746" s="1106">
        <f>G4746*F4746</f>
        <v>4049.9999999999995</v>
      </c>
      <c r="J4746" s="1557"/>
      <c r="K4746" s="1557"/>
      <c r="L4746" s="1557"/>
      <c r="M4746" s="1566"/>
    </row>
    <row r="4747" spans="2:13" s="947" customFormat="1" hidden="1">
      <c r="B4747" s="1543"/>
      <c r="C4747" s="1332"/>
      <c r="D4747" s="1539"/>
      <c r="E4747" s="1539"/>
      <c r="F4747" s="2080" t="s">
        <v>685</v>
      </c>
      <c r="G4747" s="2081"/>
      <c r="H4747" s="1153">
        <f>SUM(H4743:H4746)</f>
        <v>278100</v>
      </c>
      <c r="J4747" s="1557"/>
      <c r="K4747" s="1557"/>
      <c r="L4747" s="1557"/>
      <c r="M4747" s="1566"/>
    </row>
    <row r="4748" spans="2:13" s="947" customFormat="1" hidden="1">
      <c r="B4748" s="1543" t="s">
        <v>686</v>
      </c>
      <c r="C4748" s="1332" t="s">
        <v>687</v>
      </c>
      <c r="D4748" s="1540"/>
      <c r="E4748" s="1539"/>
      <c r="F4748" s="1532"/>
      <c r="G4748" s="1152"/>
      <c r="H4748" s="1153"/>
      <c r="J4748" s="1557"/>
      <c r="K4748" s="1557"/>
      <c r="L4748" s="1557"/>
      <c r="M4748" s="1566"/>
    </row>
    <row r="4749" spans="2:13" s="947" customFormat="1" hidden="1">
      <c r="B4749" s="1543"/>
      <c r="C4749" s="1332" t="s">
        <v>1270</v>
      </c>
      <c r="D4749" s="1540"/>
      <c r="E4749" s="1539" t="s">
        <v>2646</v>
      </c>
      <c r="F4749" s="1532">
        <v>0.04</v>
      </c>
      <c r="G4749" s="1152">
        <f>DUB!$I$84</f>
        <v>6961500</v>
      </c>
      <c r="H4749" s="1106">
        <f>G4749*F4749</f>
        <v>278460</v>
      </c>
      <c r="J4749" s="1557"/>
      <c r="K4749" s="1557"/>
      <c r="L4749" s="1557"/>
      <c r="M4749" s="1566"/>
    </row>
    <row r="4750" spans="2:13" s="947" customFormat="1" hidden="1">
      <c r="B4750" s="1543"/>
      <c r="C4750" s="1332" t="s">
        <v>1272</v>
      </c>
      <c r="D4750" s="1540"/>
      <c r="E4750" s="1539" t="s">
        <v>690</v>
      </c>
      <c r="F4750" s="1532">
        <v>0.05</v>
      </c>
      <c r="G4750" s="1152">
        <f>DUB!$I$128</f>
        <v>20441.7</v>
      </c>
      <c r="H4750" s="1106">
        <f>G4750*F4750</f>
        <v>1022.085</v>
      </c>
      <c r="J4750" s="1557"/>
      <c r="K4750" s="1557"/>
      <c r="L4750" s="1557"/>
      <c r="M4750" s="1566"/>
    </row>
    <row r="4751" spans="2:13" s="947" customFormat="1" hidden="1">
      <c r="B4751" s="1543"/>
      <c r="C4751" s="1332"/>
      <c r="D4751" s="1540"/>
      <c r="E4751" s="1539"/>
      <c r="F4751" s="2080" t="s">
        <v>702</v>
      </c>
      <c r="G4751" s="2081"/>
      <c r="H4751" s="1153">
        <f>SUM(H4749:H4750)</f>
        <v>279482.08500000002</v>
      </c>
      <c r="J4751" s="1557"/>
      <c r="K4751" s="1557"/>
      <c r="L4751" s="1557"/>
      <c r="M4751" s="1566"/>
    </row>
    <row r="4752" spans="2:13" s="949" customFormat="1" hidden="1">
      <c r="B4752" s="1543" t="s">
        <v>706</v>
      </c>
      <c r="C4752" s="1117" t="s">
        <v>3764</v>
      </c>
      <c r="D4752" s="1120"/>
      <c r="E4752" s="1120"/>
      <c r="F4752" s="1121"/>
      <c r="G4752" s="1160"/>
      <c r="H4752" s="1149">
        <f>H4747+H4751</f>
        <v>557582.08499999996</v>
      </c>
      <c r="J4752" s="1559"/>
      <c r="K4752" s="1559"/>
      <c r="L4752" s="1559"/>
      <c r="M4752" s="1635"/>
    </row>
    <row r="4753" spans="2:13" s="949" customFormat="1" hidden="1">
      <c r="B4753" s="1543" t="s">
        <v>708</v>
      </c>
      <c r="C4753" s="1123" t="s">
        <v>876</v>
      </c>
      <c r="D4753" s="1124"/>
      <c r="E4753" s="1124"/>
      <c r="F4753" s="1545" t="s">
        <v>3873</v>
      </c>
      <c r="G4753" s="1160"/>
      <c r="H4753" s="1107">
        <f>H4752*0.15</f>
        <v>83637.312749999997</v>
      </c>
      <c r="J4753" s="1559"/>
      <c r="K4753" s="1559"/>
      <c r="L4753" s="1559"/>
      <c r="M4753" s="1635"/>
    </row>
    <row r="4754" spans="2:13" s="949" customFormat="1" hidden="1">
      <c r="B4754" s="1543" t="s">
        <v>711</v>
      </c>
      <c r="C4754" s="1117" t="s">
        <v>3765</v>
      </c>
      <c r="D4754" s="1120"/>
      <c r="E4754" s="1120"/>
      <c r="F4754" s="1121"/>
      <c r="G4754" s="1402"/>
      <c r="H4754" s="1107">
        <f>ROUND(SUM(H4752:H4753),2)</f>
        <v>641219.4</v>
      </c>
      <c r="I4754" s="1003">
        <f>SUM(H4752:H4753)</f>
        <v>641219.39775</v>
      </c>
      <c r="J4754" s="1561"/>
      <c r="K4754" s="1561"/>
      <c r="L4754" s="1559"/>
      <c r="M4754" s="1635"/>
    </row>
    <row r="4755" spans="2:13" s="947" customFormat="1" hidden="1">
      <c r="B4755" s="1095"/>
      <c r="C4755" s="1096"/>
      <c r="D4755" s="1095"/>
      <c r="E4755" s="1095"/>
      <c r="F4755" s="1172"/>
      <c r="G4755" s="1173"/>
      <c r="H4755" s="1133"/>
      <c r="J4755" s="1557"/>
      <c r="K4755" s="1557"/>
      <c r="L4755" s="1557"/>
      <c r="M4755" s="1566"/>
    </row>
    <row r="4756" spans="2:13" s="947" customFormat="1" hidden="1">
      <c r="B4756" s="1100" t="s">
        <v>4108</v>
      </c>
      <c r="C4756" s="1232" t="s">
        <v>2764</v>
      </c>
      <c r="D4756" s="1095"/>
      <c r="E4756" s="1095"/>
      <c r="F4756" s="1172"/>
      <c r="G4756" s="1173"/>
      <c r="H4756" s="1133"/>
      <c r="J4756" s="1557"/>
      <c r="K4756" s="1557"/>
      <c r="L4756" s="1557"/>
      <c r="M4756" s="1566"/>
    </row>
    <row r="4757" spans="2:13" s="948" customFormat="1" ht="24.9" hidden="1" customHeight="1">
      <c r="B4757" s="1748" t="s">
        <v>1003</v>
      </c>
      <c r="C4757" s="1101" t="s">
        <v>1004</v>
      </c>
      <c r="D4757" s="1101" t="s">
        <v>1005</v>
      </c>
      <c r="E4757" s="1101" t="s">
        <v>1006</v>
      </c>
      <c r="F4757" s="1102" t="s">
        <v>1007</v>
      </c>
      <c r="G4757" s="1109" t="s">
        <v>2637</v>
      </c>
      <c r="H4757" s="1110" t="s">
        <v>2638</v>
      </c>
      <c r="J4757" s="1625"/>
      <c r="K4757" s="1625"/>
      <c r="L4757" s="1625"/>
      <c r="M4757" s="1570"/>
    </row>
    <row r="4758" spans="2:13" s="947" customFormat="1" hidden="1">
      <c r="B4758" s="1543" t="s">
        <v>671</v>
      </c>
      <c r="C4758" s="1332" t="s">
        <v>672</v>
      </c>
      <c r="D4758" s="1331"/>
      <c r="E4758" s="1331"/>
      <c r="F4758" s="1334"/>
      <c r="G4758" s="1104"/>
      <c r="H4758" s="1106"/>
      <c r="J4758" s="1557"/>
      <c r="K4758" s="1557"/>
      <c r="L4758" s="1557"/>
      <c r="M4758" s="1566"/>
    </row>
    <row r="4759" spans="2:13" s="947" customFormat="1" hidden="1">
      <c r="B4759" s="1543"/>
      <c r="C4759" s="1332" t="s">
        <v>673</v>
      </c>
      <c r="D4759" s="1331" t="s">
        <v>674</v>
      </c>
      <c r="E4759" s="1331" t="s">
        <v>675</v>
      </c>
      <c r="F4759" s="1334">
        <v>0.35</v>
      </c>
      <c r="G4759" s="1104">
        <f>DUB!$I$10</f>
        <v>150000</v>
      </c>
      <c r="H4759" s="1106">
        <f>G4759*F4759</f>
        <v>52500</v>
      </c>
      <c r="J4759" s="1557"/>
      <c r="K4759" s="1557"/>
      <c r="L4759" s="1557"/>
      <c r="M4759" s="1566"/>
    </row>
    <row r="4760" spans="2:13" s="947" customFormat="1" hidden="1">
      <c r="B4760" s="1543"/>
      <c r="C4760" s="1332" t="s">
        <v>871</v>
      </c>
      <c r="D4760" s="1331" t="s">
        <v>678</v>
      </c>
      <c r="E4760" s="1331" t="s">
        <v>675</v>
      </c>
      <c r="F4760" s="1334">
        <v>1.05</v>
      </c>
      <c r="G4760" s="1104">
        <f>DUB!$I$11</f>
        <v>187000</v>
      </c>
      <c r="H4760" s="1106">
        <f>G4760*F4760</f>
        <v>196350</v>
      </c>
      <c r="J4760" s="1557"/>
      <c r="K4760" s="1557"/>
      <c r="L4760" s="1557"/>
      <c r="M4760" s="1566"/>
    </row>
    <row r="4761" spans="2:13" s="947" customFormat="1" hidden="1">
      <c r="B4761" s="1543"/>
      <c r="C4761" s="1332" t="s">
        <v>751</v>
      </c>
      <c r="D4761" s="1331" t="s">
        <v>681</v>
      </c>
      <c r="E4761" s="1331" t="s">
        <v>675</v>
      </c>
      <c r="F4761" s="1334">
        <v>0.105</v>
      </c>
      <c r="G4761" s="1104">
        <f>DUB!$I$13</f>
        <v>240000</v>
      </c>
      <c r="H4761" s="1106">
        <f>G4761*F4761</f>
        <v>25200</v>
      </c>
      <c r="J4761" s="1557"/>
      <c r="K4761" s="1557"/>
      <c r="L4761" s="1557"/>
      <c r="M4761" s="1566"/>
    </row>
    <row r="4762" spans="2:13" s="947" customFormat="1" hidden="1">
      <c r="B4762" s="1543"/>
      <c r="C4762" s="1332" t="s">
        <v>683</v>
      </c>
      <c r="D4762" s="1331" t="s">
        <v>684</v>
      </c>
      <c r="E4762" s="1331" t="s">
        <v>675</v>
      </c>
      <c r="F4762" s="1334">
        <v>1.7999999999999999E-2</v>
      </c>
      <c r="G4762" s="1104">
        <f>DUB!$I$12</f>
        <v>225000</v>
      </c>
      <c r="H4762" s="1106">
        <f>G4762*F4762</f>
        <v>4049.9999999999995</v>
      </c>
      <c r="J4762" s="1557"/>
      <c r="K4762" s="1557"/>
      <c r="L4762" s="1557"/>
      <c r="M4762" s="1566"/>
    </row>
    <row r="4763" spans="2:13" s="947" customFormat="1" hidden="1">
      <c r="B4763" s="1543"/>
      <c r="C4763" s="1332"/>
      <c r="D4763" s="1331"/>
      <c r="E4763" s="1331"/>
      <c r="F4763" s="2074" t="s">
        <v>685</v>
      </c>
      <c r="G4763" s="2074"/>
      <c r="H4763" s="1106">
        <f>SUM(H4759:H4762)</f>
        <v>278100</v>
      </c>
      <c r="J4763" s="1557"/>
      <c r="K4763" s="1557"/>
      <c r="L4763" s="1557"/>
      <c r="M4763" s="1566"/>
    </row>
    <row r="4764" spans="2:13" s="947" customFormat="1" hidden="1">
      <c r="B4764" s="1543" t="s">
        <v>686</v>
      </c>
      <c r="C4764" s="1332" t="s">
        <v>687</v>
      </c>
      <c r="D4764" s="1331"/>
      <c r="E4764" s="1331"/>
      <c r="F4764" s="1334"/>
      <c r="G4764" s="1104"/>
      <c r="H4764" s="1106"/>
      <c r="J4764" s="1557"/>
      <c r="K4764" s="1557"/>
      <c r="L4764" s="1557"/>
      <c r="M4764" s="1566"/>
    </row>
    <row r="4765" spans="2:13" s="947" customFormat="1" hidden="1">
      <c r="B4765" s="1543"/>
      <c r="C4765" s="1332" t="s">
        <v>1270</v>
      </c>
      <c r="D4765" s="1331"/>
      <c r="E4765" s="1331" t="s">
        <v>2646</v>
      </c>
      <c r="F4765" s="1334">
        <v>0.04</v>
      </c>
      <c r="G4765" s="1152">
        <f>DUB!$I$85</f>
        <v>6250000</v>
      </c>
      <c r="H4765" s="1106">
        <f>G4765*F4765</f>
        <v>250000</v>
      </c>
      <c r="J4765" s="1557"/>
      <c r="K4765" s="1557"/>
      <c r="L4765" s="1557"/>
      <c r="M4765" s="1566"/>
    </row>
    <row r="4766" spans="2:13" s="947" customFormat="1" hidden="1">
      <c r="B4766" s="1543"/>
      <c r="C4766" s="1332" t="s">
        <v>1272</v>
      </c>
      <c r="D4766" s="1331"/>
      <c r="E4766" s="1331" t="s">
        <v>690</v>
      </c>
      <c r="F4766" s="1334">
        <v>0.05</v>
      </c>
      <c r="G4766" s="1152">
        <f>DUB!$I$128</f>
        <v>20441.7</v>
      </c>
      <c r="H4766" s="1106">
        <f>G4766*F4766</f>
        <v>1022.085</v>
      </c>
      <c r="J4766" s="1557"/>
      <c r="K4766" s="1557"/>
      <c r="L4766" s="1557"/>
      <c r="M4766" s="1566"/>
    </row>
    <row r="4767" spans="2:13" s="947" customFormat="1" hidden="1">
      <c r="B4767" s="1543"/>
      <c r="C4767" s="1332"/>
      <c r="D4767" s="1331"/>
      <c r="E4767" s="1331"/>
      <c r="F4767" s="2115" t="s">
        <v>702</v>
      </c>
      <c r="G4767" s="2116"/>
      <c r="H4767" s="1106">
        <f>SUM(H4765:H4766)</f>
        <v>251022.08499999999</v>
      </c>
      <c r="J4767" s="1557"/>
      <c r="K4767" s="1557"/>
      <c r="L4767" s="1557"/>
      <c r="M4767" s="1566"/>
    </row>
    <row r="4768" spans="2:13" s="949" customFormat="1" hidden="1">
      <c r="B4768" s="1543" t="s">
        <v>703</v>
      </c>
      <c r="C4768" s="2089" t="s">
        <v>3764</v>
      </c>
      <c r="D4768" s="2089"/>
      <c r="E4768" s="2089"/>
      <c r="F4768" s="2089"/>
      <c r="G4768" s="2089"/>
      <c r="H4768" s="1107">
        <f>H4763+H4767</f>
        <v>529122.08499999996</v>
      </c>
      <c r="J4768" s="1559"/>
      <c r="K4768" s="1559"/>
      <c r="L4768" s="1559"/>
      <c r="M4768" s="1635"/>
    </row>
    <row r="4769" spans="2:13" s="949" customFormat="1" hidden="1">
      <c r="B4769" s="1543" t="s">
        <v>706</v>
      </c>
      <c r="C4769" s="2076" t="s">
        <v>876</v>
      </c>
      <c r="D4769" s="2076"/>
      <c r="E4769" s="2076"/>
      <c r="F4769" s="2077" t="s">
        <v>3873</v>
      </c>
      <c r="G4769" s="2077"/>
      <c r="H4769" s="1107">
        <f>H4768*0.15</f>
        <v>79368.312749999997</v>
      </c>
      <c r="J4769" s="1559"/>
      <c r="K4769" s="1559"/>
      <c r="L4769" s="1559"/>
      <c r="M4769" s="1635"/>
    </row>
    <row r="4770" spans="2:13" s="949" customFormat="1" hidden="1">
      <c r="B4770" s="1543" t="s">
        <v>708</v>
      </c>
      <c r="C4770" s="2078" t="s">
        <v>3765</v>
      </c>
      <c r="D4770" s="2078"/>
      <c r="E4770" s="2078"/>
      <c r="F4770" s="2078"/>
      <c r="G4770" s="2078"/>
      <c r="H4770" s="1107">
        <f>ROUND(SUM(H4768:H4769),2)</f>
        <v>608490.4</v>
      </c>
      <c r="I4770" s="950">
        <f>SUM(H4768:H4769)</f>
        <v>608490.39775</v>
      </c>
      <c r="J4770" s="1561"/>
      <c r="K4770" s="1561"/>
      <c r="L4770" s="1559"/>
      <c r="M4770" s="1635"/>
    </row>
    <row r="4771" spans="2:13" s="947" customFormat="1" hidden="1">
      <c r="B4771" s="1143"/>
      <c r="C4771" s="1144"/>
      <c r="D4771" s="1143"/>
      <c r="E4771" s="1143"/>
      <c r="F4771" s="1145"/>
      <c r="G4771" s="1146"/>
      <c r="H4771" s="1147"/>
      <c r="J4771" s="1557"/>
      <c r="K4771" s="1557"/>
      <c r="L4771" s="1557"/>
      <c r="M4771" s="1566"/>
    </row>
    <row r="4772" spans="2:13" s="947" customFormat="1" hidden="1">
      <c r="B4772" s="1100" t="s">
        <v>4109</v>
      </c>
      <c r="C4772" s="1112" t="s">
        <v>3432</v>
      </c>
      <c r="D4772" s="1129"/>
      <c r="E4772" s="1129"/>
      <c r="F4772" s="1131"/>
      <c r="G4772" s="1132"/>
      <c r="H4772" s="1115"/>
      <c r="J4772" s="1557"/>
      <c r="K4772" s="1557"/>
      <c r="L4772" s="1557"/>
      <c r="M4772" s="1566"/>
    </row>
    <row r="4773" spans="2:13" s="948" customFormat="1" ht="24.9" hidden="1" customHeight="1">
      <c r="B4773" s="1748" t="s">
        <v>1003</v>
      </c>
      <c r="C4773" s="1101" t="s">
        <v>1004</v>
      </c>
      <c r="D4773" s="1101" t="s">
        <v>1005</v>
      </c>
      <c r="E4773" s="1101" t="s">
        <v>1006</v>
      </c>
      <c r="F4773" s="1102" t="s">
        <v>1007</v>
      </c>
      <c r="G4773" s="1109" t="s">
        <v>2637</v>
      </c>
      <c r="H4773" s="1110" t="s">
        <v>2638</v>
      </c>
      <c r="J4773" s="1625"/>
      <c r="K4773" s="1625"/>
      <c r="L4773" s="1625"/>
      <c r="M4773" s="1570"/>
    </row>
    <row r="4774" spans="2:13" s="947" customFormat="1" hidden="1">
      <c r="B4774" s="1543" t="s">
        <v>671</v>
      </c>
      <c r="C4774" s="1332" t="s">
        <v>672</v>
      </c>
      <c r="D4774" s="1331"/>
      <c r="E4774" s="1331"/>
      <c r="F4774" s="1334"/>
      <c r="G4774" s="1104"/>
      <c r="H4774" s="1106"/>
      <c r="J4774" s="1557"/>
      <c r="K4774" s="1557"/>
      <c r="L4774" s="1557"/>
      <c r="M4774" s="1566"/>
    </row>
    <row r="4775" spans="2:13" s="947" customFormat="1" hidden="1">
      <c r="B4775" s="1543"/>
      <c r="C4775" s="1332" t="s">
        <v>673</v>
      </c>
      <c r="D4775" s="1331" t="s">
        <v>674</v>
      </c>
      <c r="E4775" s="1331" t="s">
        <v>675</v>
      </c>
      <c r="F4775" s="1334">
        <v>1</v>
      </c>
      <c r="G4775" s="1104">
        <f>DUB!$I$10</f>
        <v>150000</v>
      </c>
      <c r="H4775" s="1106">
        <f>G4775*F4775</f>
        <v>150000</v>
      </c>
      <c r="J4775" s="1557"/>
      <c r="K4775" s="1557"/>
      <c r="L4775" s="1557"/>
      <c r="M4775" s="1566"/>
    </row>
    <row r="4776" spans="2:13" s="947" customFormat="1" hidden="1">
      <c r="B4776" s="1543"/>
      <c r="C4776" s="1332" t="s">
        <v>871</v>
      </c>
      <c r="D4776" s="1331" t="s">
        <v>678</v>
      </c>
      <c r="E4776" s="1331" t="s">
        <v>675</v>
      </c>
      <c r="F4776" s="1334">
        <v>3</v>
      </c>
      <c r="G4776" s="1104">
        <f>DUB!$I$11</f>
        <v>187000</v>
      </c>
      <c r="H4776" s="1106">
        <f>G4776*F4776</f>
        <v>561000</v>
      </c>
      <c r="J4776" s="1557"/>
      <c r="K4776" s="1557"/>
      <c r="L4776" s="1557"/>
      <c r="M4776" s="1566"/>
    </row>
    <row r="4777" spans="2:13" s="947" customFormat="1" hidden="1">
      <c r="B4777" s="1543"/>
      <c r="C4777" s="1332" t="s">
        <v>751</v>
      </c>
      <c r="D4777" s="1331" t="s">
        <v>681</v>
      </c>
      <c r="E4777" s="1331" t="s">
        <v>675</v>
      </c>
      <c r="F4777" s="1334">
        <v>0.3</v>
      </c>
      <c r="G4777" s="1104">
        <f>DUB!$I$13</f>
        <v>240000</v>
      </c>
      <c r="H4777" s="1106">
        <f>G4777*F4777</f>
        <v>72000</v>
      </c>
      <c r="J4777" s="1557"/>
      <c r="K4777" s="1557"/>
      <c r="L4777" s="1557"/>
      <c r="M4777" s="1566"/>
    </row>
    <row r="4778" spans="2:13" s="947" customFormat="1" hidden="1">
      <c r="B4778" s="1543"/>
      <c r="C4778" s="1332" t="s">
        <v>683</v>
      </c>
      <c r="D4778" s="1331" t="s">
        <v>684</v>
      </c>
      <c r="E4778" s="1331" t="s">
        <v>675</v>
      </c>
      <c r="F4778" s="1334">
        <v>0.05</v>
      </c>
      <c r="G4778" s="1104">
        <f>DUB!$I$12</f>
        <v>225000</v>
      </c>
      <c r="H4778" s="1106">
        <f>G4778*F4778</f>
        <v>11250</v>
      </c>
      <c r="J4778" s="1557"/>
      <c r="K4778" s="1557"/>
      <c r="L4778" s="1557"/>
      <c r="M4778" s="1566"/>
    </row>
    <row r="4779" spans="2:13" s="947" customFormat="1" hidden="1">
      <c r="B4779" s="1543"/>
      <c r="C4779" s="1332"/>
      <c r="D4779" s="1331"/>
      <c r="E4779" s="1331"/>
      <c r="F4779" s="2074" t="s">
        <v>685</v>
      </c>
      <c r="G4779" s="2074"/>
      <c r="H4779" s="1106">
        <f>SUM(H4775:H4778)</f>
        <v>794250</v>
      </c>
      <c r="J4779" s="1557"/>
      <c r="K4779" s="1557"/>
      <c r="L4779" s="1557"/>
      <c r="M4779" s="1566"/>
    </row>
    <row r="4780" spans="2:13" s="947" customFormat="1" hidden="1">
      <c r="B4780" s="1543" t="s">
        <v>686</v>
      </c>
      <c r="C4780" s="1332" t="s">
        <v>687</v>
      </c>
      <c r="D4780" s="1331"/>
      <c r="E4780" s="1331"/>
      <c r="F4780" s="1334"/>
      <c r="G4780" s="1104"/>
      <c r="H4780" s="1106"/>
      <c r="J4780" s="1557"/>
      <c r="K4780" s="1557"/>
      <c r="L4780" s="1557"/>
      <c r="M4780" s="1566"/>
    </row>
    <row r="4781" spans="2:13" s="947" customFormat="1" hidden="1">
      <c r="B4781" s="1543"/>
      <c r="C4781" s="1332" t="s">
        <v>1270</v>
      </c>
      <c r="D4781" s="1331"/>
      <c r="E4781" s="1331" t="s">
        <v>2646</v>
      </c>
      <c r="F4781" s="1334">
        <v>0.04</v>
      </c>
      <c r="G4781" s="1152">
        <f>DUB!$I$84</f>
        <v>6961500</v>
      </c>
      <c r="H4781" s="1106">
        <f>G4781*F4781</f>
        <v>278460</v>
      </c>
      <c r="J4781" s="1557"/>
      <c r="K4781" s="1557"/>
      <c r="L4781" s="1557"/>
      <c r="M4781" s="1566"/>
    </row>
    <row r="4782" spans="2:13" s="947" customFormat="1" hidden="1">
      <c r="B4782" s="1543"/>
      <c r="C4782" s="1332" t="s">
        <v>1268</v>
      </c>
      <c r="D4782" s="1331"/>
      <c r="E4782" s="1331" t="s">
        <v>690</v>
      </c>
      <c r="F4782" s="1334">
        <v>0.5</v>
      </c>
      <c r="G4782" s="1136">
        <f>DUB!$I$87</f>
        <v>16380</v>
      </c>
      <c r="H4782" s="1106">
        <f>G4782*F4782</f>
        <v>8190</v>
      </c>
      <c r="J4782" s="1557"/>
      <c r="K4782" s="1557"/>
      <c r="L4782" s="1557"/>
      <c r="M4782" s="1566"/>
    </row>
    <row r="4783" spans="2:13" s="947" customFormat="1" hidden="1">
      <c r="B4783" s="1543"/>
      <c r="C4783" s="1125"/>
      <c r="D4783" s="1333"/>
      <c r="E4783" s="1333"/>
      <c r="F4783" s="2074" t="s">
        <v>702</v>
      </c>
      <c r="G4783" s="2074"/>
      <c r="H4783" s="1106">
        <f>SUM(H4781:H4782)</f>
        <v>286650</v>
      </c>
      <c r="J4783" s="1557"/>
      <c r="K4783" s="1557"/>
      <c r="L4783" s="1557"/>
      <c r="M4783" s="1566"/>
    </row>
    <row r="4784" spans="2:13" s="949" customFormat="1" hidden="1">
      <c r="B4784" s="1543" t="s">
        <v>703</v>
      </c>
      <c r="C4784" s="2075" t="s">
        <v>3764</v>
      </c>
      <c r="D4784" s="2075"/>
      <c r="E4784" s="2075"/>
      <c r="F4784" s="2075"/>
      <c r="G4784" s="2075"/>
      <c r="H4784" s="1107">
        <f>H4779+H4783</f>
        <v>1080900</v>
      </c>
      <c r="J4784" s="1559"/>
      <c r="K4784" s="1559"/>
      <c r="L4784" s="1559"/>
      <c r="M4784" s="1635"/>
    </row>
    <row r="4785" spans="2:13" s="949" customFormat="1" hidden="1">
      <c r="B4785" s="1543" t="s">
        <v>706</v>
      </c>
      <c r="C4785" s="2076" t="s">
        <v>876</v>
      </c>
      <c r="D4785" s="2076"/>
      <c r="E4785" s="2076"/>
      <c r="F4785" s="2077" t="s">
        <v>3873</v>
      </c>
      <c r="G4785" s="2077"/>
      <c r="H4785" s="1107">
        <f>H4784*0.15</f>
        <v>162135</v>
      </c>
      <c r="J4785" s="1559"/>
      <c r="K4785" s="1559"/>
      <c r="L4785" s="1559"/>
      <c r="M4785" s="1635"/>
    </row>
    <row r="4786" spans="2:13" s="949" customFormat="1" hidden="1">
      <c r="B4786" s="1543" t="s">
        <v>708</v>
      </c>
      <c r="C4786" s="2078" t="s">
        <v>3765</v>
      </c>
      <c r="D4786" s="2078"/>
      <c r="E4786" s="2078"/>
      <c r="F4786" s="2078"/>
      <c r="G4786" s="2078"/>
      <c r="H4786" s="1107">
        <f>ROUND(SUM(H4784:H4785),2)</f>
        <v>1243035</v>
      </c>
      <c r="I4786" s="950">
        <f>SUM(H4784:H4785)</f>
        <v>1243035</v>
      </c>
      <c r="J4786" s="1561"/>
      <c r="K4786" s="1561"/>
      <c r="L4786" s="1559"/>
      <c r="M4786" s="1635"/>
    </row>
    <row r="4787" spans="2:13" s="947" customFormat="1" hidden="1">
      <c r="B4787" s="1095"/>
      <c r="C4787" s="1096"/>
      <c r="D4787" s="1095"/>
      <c r="E4787" s="1095"/>
      <c r="F4787" s="1172"/>
      <c r="G4787" s="1173"/>
      <c r="H4787" s="1133"/>
      <c r="J4787" s="1557"/>
      <c r="K4787" s="1557"/>
      <c r="L4787" s="1557"/>
      <c r="M4787" s="1566"/>
    </row>
    <row r="4788" spans="2:13" s="947" customFormat="1" hidden="1">
      <c r="B4788" s="1100" t="s">
        <v>4110</v>
      </c>
      <c r="C4788" s="1232" t="s">
        <v>3433</v>
      </c>
      <c r="D4788" s="1095"/>
      <c r="E4788" s="1095"/>
      <c r="F4788" s="1172"/>
      <c r="G4788" s="1173"/>
      <c r="H4788" s="1133"/>
      <c r="J4788" s="1557"/>
      <c r="K4788" s="1557"/>
      <c r="L4788" s="1557"/>
      <c r="M4788" s="1566"/>
    </row>
    <row r="4789" spans="2:13" s="948" customFormat="1" ht="24.9" hidden="1" customHeight="1">
      <c r="B4789" s="1748" t="s">
        <v>1003</v>
      </c>
      <c r="C4789" s="1101" t="s">
        <v>1004</v>
      </c>
      <c r="D4789" s="1101" t="s">
        <v>1005</v>
      </c>
      <c r="E4789" s="1101" t="s">
        <v>1006</v>
      </c>
      <c r="F4789" s="1102" t="s">
        <v>1007</v>
      </c>
      <c r="G4789" s="1109" t="s">
        <v>2637</v>
      </c>
      <c r="H4789" s="1110" t="s">
        <v>2638</v>
      </c>
      <c r="J4789" s="1625"/>
      <c r="K4789" s="1625"/>
      <c r="L4789" s="1625"/>
      <c r="M4789" s="1570"/>
    </row>
    <row r="4790" spans="2:13" s="947" customFormat="1" hidden="1">
      <c r="B4790" s="1543" t="s">
        <v>671</v>
      </c>
      <c r="C4790" s="1332" t="s">
        <v>672</v>
      </c>
      <c r="D4790" s="1331"/>
      <c r="E4790" s="1331"/>
      <c r="F4790" s="1334"/>
      <c r="G4790" s="1104"/>
      <c r="H4790" s="1106"/>
      <c r="J4790" s="1557"/>
      <c r="K4790" s="1557"/>
      <c r="L4790" s="1557"/>
      <c r="M4790" s="1566"/>
    </row>
    <row r="4791" spans="2:13" s="947" customFormat="1" hidden="1">
      <c r="B4791" s="1543"/>
      <c r="C4791" s="1332" t="s">
        <v>673</v>
      </c>
      <c r="D4791" s="1331" t="s">
        <v>674</v>
      </c>
      <c r="E4791" s="1331" t="s">
        <v>675</v>
      </c>
      <c r="F4791" s="1334">
        <v>0.8</v>
      </c>
      <c r="G4791" s="1104">
        <f>DUB!$I$10</f>
        <v>150000</v>
      </c>
      <c r="H4791" s="1106">
        <f>G4791*F4791</f>
        <v>120000</v>
      </c>
      <c r="J4791" s="1557"/>
      <c r="K4791" s="1557"/>
      <c r="L4791" s="1557"/>
      <c r="M4791" s="1566"/>
    </row>
    <row r="4792" spans="2:13" s="947" customFormat="1" hidden="1">
      <c r="B4792" s="1543"/>
      <c r="C4792" s="1332" t="s">
        <v>871</v>
      </c>
      <c r="D4792" s="1331" t="s">
        <v>678</v>
      </c>
      <c r="E4792" s="1331" t="s">
        <v>675</v>
      </c>
      <c r="F4792" s="1334">
        <v>2.4</v>
      </c>
      <c r="G4792" s="1104">
        <f>DUB!$I$11</f>
        <v>187000</v>
      </c>
      <c r="H4792" s="1106">
        <f>G4792*F4792</f>
        <v>448800</v>
      </c>
      <c r="J4792" s="1557"/>
      <c r="K4792" s="1557"/>
      <c r="L4792" s="1557"/>
      <c r="M4792" s="1566"/>
    </row>
    <row r="4793" spans="2:13" s="947" customFormat="1" hidden="1">
      <c r="B4793" s="1543"/>
      <c r="C4793" s="1332" t="s">
        <v>751</v>
      </c>
      <c r="D4793" s="1331" t="s">
        <v>681</v>
      </c>
      <c r="E4793" s="1331" t="s">
        <v>675</v>
      </c>
      <c r="F4793" s="1334">
        <v>0.24</v>
      </c>
      <c r="G4793" s="1104">
        <f>DUB!$I$13</f>
        <v>240000</v>
      </c>
      <c r="H4793" s="1106">
        <f>G4793*F4793</f>
        <v>57600</v>
      </c>
      <c r="J4793" s="1557"/>
      <c r="K4793" s="1557"/>
      <c r="L4793" s="1557"/>
      <c r="M4793" s="1566"/>
    </row>
    <row r="4794" spans="2:13" s="947" customFormat="1" hidden="1">
      <c r="B4794" s="1543"/>
      <c r="C4794" s="1332" t="s">
        <v>683</v>
      </c>
      <c r="D4794" s="1331" t="s">
        <v>684</v>
      </c>
      <c r="E4794" s="1331" t="s">
        <v>675</v>
      </c>
      <c r="F4794" s="1334">
        <v>0.04</v>
      </c>
      <c r="G4794" s="1104">
        <f>DUB!$I$12</f>
        <v>225000</v>
      </c>
      <c r="H4794" s="1106">
        <f>G4794*F4794</f>
        <v>9000</v>
      </c>
      <c r="J4794" s="1557"/>
      <c r="K4794" s="1557"/>
      <c r="L4794" s="1557"/>
      <c r="M4794" s="1566"/>
    </row>
    <row r="4795" spans="2:13" s="947" customFormat="1" hidden="1">
      <c r="B4795" s="1543"/>
      <c r="C4795" s="1332"/>
      <c r="D4795" s="1331"/>
      <c r="E4795" s="1331"/>
      <c r="F4795" s="2074" t="s">
        <v>685</v>
      </c>
      <c r="G4795" s="2074"/>
      <c r="H4795" s="1106">
        <f>SUM(H4791:H4794)</f>
        <v>635400</v>
      </c>
      <c r="J4795" s="1557"/>
      <c r="K4795" s="1557"/>
      <c r="L4795" s="1557"/>
      <c r="M4795" s="1566"/>
    </row>
    <row r="4796" spans="2:13" s="947" customFormat="1" hidden="1">
      <c r="B4796" s="1543" t="s">
        <v>686</v>
      </c>
      <c r="C4796" s="1332" t="s">
        <v>687</v>
      </c>
      <c r="D4796" s="1331"/>
      <c r="E4796" s="1331"/>
      <c r="F4796" s="1334"/>
      <c r="G4796" s="1104"/>
      <c r="H4796" s="1106"/>
      <c r="J4796" s="1557"/>
      <c r="K4796" s="1557"/>
      <c r="L4796" s="1557"/>
      <c r="M4796" s="1566"/>
    </row>
    <row r="4797" spans="2:13" s="947" customFormat="1" hidden="1">
      <c r="B4797" s="1543"/>
      <c r="C4797" s="1332" t="s">
        <v>1270</v>
      </c>
      <c r="D4797" s="1331"/>
      <c r="E4797" s="1331" t="s">
        <v>2646</v>
      </c>
      <c r="F4797" s="1334">
        <v>2.4E-2</v>
      </c>
      <c r="G4797" s="1152">
        <f>DUB!$I$84</f>
        <v>6961500</v>
      </c>
      <c r="H4797" s="1106">
        <f>G4797*F4797</f>
        <v>167076</v>
      </c>
      <c r="J4797" s="1557"/>
      <c r="K4797" s="1557"/>
      <c r="L4797" s="1557"/>
      <c r="M4797" s="1566"/>
    </row>
    <row r="4798" spans="2:13" s="947" customFormat="1" hidden="1">
      <c r="B4798" s="1543"/>
      <c r="C4798" s="1332" t="s">
        <v>1268</v>
      </c>
      <c r="D4798" s="1331"/>
      <c r="E4798" s="1331" t="s">
        <v>690</v>
      </c>
      <c r="F4798" s="1334">
        <v>0.3</v>
      </c>
      <c r="G4798" s="1136">
        <f>DUB!$I$87</f>
        <v>16380</v>
      </c>
      <c r="H4798" s="1106">
        <f>G4798*F4798</f>
        <v>4914</v>
      </c>
      <c r="J4798" s="1557"/>
      <c r="K4798" s="1557"/>
      <c r="L4798" s="1557"/>
      <c r="M4798" s="1566"/>
    </row>
    <row r="4799" spans="2:13" s="947" customFormat="1" hidden="1">
      <c r="B4799" s="1543"/>
      <c r="C4799" s="1125"/>
      <c r="D4799" s="1333"/>
      <c r="E4799" s="1333"/>
      <c r="F4799" s="2074" t="s">
        <v>702</v>
      </c>
      <c r="G4799" s="2074"/>
      <c r="H4799" s="1106">
        <f>SUM(H4797:H4798)</f>
        <v>171990</v>
      </c>
      <c r="J4799" s="1557"/>
      <c r="K4799" s="1557"/>
      <c r="L4799" s="1557"/>
      <c r="M4799" s="1566"/>
    </row>
    <row r="4800" spans="2:13" s="949" customFormat="1" hidden="1">
      <c r="B4800" s="1543" t="s">
        <v>703</v>
      </c>
      <c r="C4800" s="2075" t="s">
        <v>3764</v>
      </c>
      <c r="D4800" s="2075"/>
      <c r="E4800" s="2075"/>
      <c r="F4800" s="2075"/>
      <c r="G4800" s="2075"/>
      <c r="H4800" s="1107">
        <f>H4795+H4799</f>
        <v>807390</v>
      </c>
      <c r="J4800" s="1559"/>
      <c r="K4800" s="1559"/>
      <c r="L4800" s="1559"/>
      <c r="M4800" s="1635"/>
    </row>
    <row r="4801" spans="2:13" s="949" customFormat="1" hidden="1">
      <c r="B4801" s="1543" t="s">
        <v>706</v>
      </c>
      <c r="C4801" s="2076" t="s">
        <v>876</v>
      </c>
      <c r="D4801" s="2076"/>
      <c r="E4801" s="2076"/>
      <c r="F4801" s="2077" t="s">
        <v>3873</v>
      </c>
      <c r="G4801" s="2077"/>
      <c r="H4801" s="1107">
        <f>H4800*0.15</f>
        <v>121108.5</v>
      </c>
      <c r="J4801" s="1559"/>
      <c r="K4801" s="1559"/>
      <c r="L4801" s="1559"/>
      <c r="M4801" s="1635"/>
    </row>
    <row r="4802" spans="2:13" s="949" customFormat="1" hidden="1">
      <c r="B4802" s="1543" t="s">
        <v>708</v>
      </c>
      <c r="C4802" s="2078" t="s">
        <v>3765</v>
      </c>
      <c r="D4802" s="2078"/>
      <c r="E4802" s="2078"/>
      <c r="F4802" s="2078"/>
      <c r="G4802" s="2078"/>
      <c r="H4802" s="1107">
        <f>ROUND(SUM(H4800:H4801),2)</f>
        <v>928498.5</v>
      </c>
      <c r="I4802" s="950">
        <f>SUM(H4800:H4801)</f>
        <v>928498.5</v>
      </c>
      <c r="J4802" s="1561"/>
      <c r="K4802" s="1561"/>
      <c r="L4802" s="1559"/>
      <c r="M4802" s="1635"/>
    </row>
    <row r="4803" spans="2:13" s="947" customFormat="1" hidden="1">
      <c r="B4803" s="1143"/>
      <c r="C4803" s="1144"/>
      <c r="D4803" s="1143"/>
      <c r="E4803" s="1143"/>
      <c r="F4803" s="1145"/>
      <c r="G4803" s="1146"/>
      <c r="H4803" s="1147"/>
      <c r="J4803" s="1557"/>
      <c r="K4803" s="1557"/>
      <c r="L4803" s="1557"/>
      <c r="M4803" s="1566"/>
    </row>
    <row r="4804" spans="2:13" s="947" customFormat="1" hidden="1">
      <c r="B4804" s="1100" t="s">
        <v>4111</v>
      </c>
      <c r="C4804" s="1112" t="s">
        <v>3434</v>
      </c>
      <c r="D4804" s="1129"/>
      <c r="E4804" s="1129"/>
      <c r="F4804" s="1131"/>
      <c r="G4804" s="1132"/>
      <c r="H4804" s="1115"/>
      <c r="J4804" s="1557"/>
      <c r="K4804" s="1557"/>
      <c r="L4804" s="1557"/>
      <c r="M4804" s="1566"/>
    </row>
    <row r="4805" spans="2:13" s="948" customFormat="1" ht="24.9" hidden="1" customHeight="1">
      <c r="B4805" s="1748" t="s">
        <v>1003</v>
      </c>
      <c r="C4805" s="1101" t="s">
        <v>1004</v>
      </c>
      <c r="D4805" s="1101" t="s">
        <v>1005</v>
      </c>
      <c r="E4805" s="1101" t="s">
        <v>1006</v>
      </c>
      <c r="F4805" s="1102" t="s">
        <v>1007</v>
      </c>
      <c r="G4805" s="1109" t="s">
        <v>2637</v>
      </c>
      <c r="H4805" s="1110" t="s">
        <v>2638</v>
      </c>
      <c r="J4805" s="1625"/>
      <c r="K4805" s="1625"/>
      <c r="L4805" s="1625"/>
      <c r="M4805" s="1570"/>
    </row>
    <row r="4806" spans="2:13" s="947" customFormat="1" hidden="1">
      <c r="B4806" s="1543" t="s">
        <v>671</v>
      </c>
      <c r="C4806" s="1332" t="s">
        <v>672</v>
      </c>
      <c r="D4806" s="1331"/>
      <c r="E4806" s="1331"/>
      <c r="F4806" s="1334"/>
      <c r="G4806" s="1104"/>
      <c r="H4806" s="1106"/>
      <c r="J4806" s="1557"/>
      <c r="K4806" s="1557"/>
      <c r="L4806" s="1557"/>
      <c r="M4806" s="1566"/>
    </row>
    <row r="4807" spans="2:13" s="947" customFormat="1" hidden="1">
      <c r="B4807" s="1543"/>
      <c r="C4807" s="1332" t="s">
        <v>673</v>
      </c>
      <c r="D4807" s="1331" t="s">
        <v>674</v>
      </c>
      <c r="E4807" s="1331" t="s">
        <v>675</v>
      </c>
      <c r="F4807" s="1334">
        <v>1</v>
      </c>
      <c r="G4807" s="1104">
        <f>DUB!$I$10</f>
        <v>150000</v>
      </c>
      <c r="H4807" s="1106">
        <f>G4807*F4807</f>
        <v>150000</v>
      </c>
      <c r="J4807" s="1557"/>
      <c r="K4807" s="1557"/>
      <c r="L4807" s="1557"/>
      <c r="M4807" s="1566"/>
    </row>
    <row r="4808" spans="2:13" s="947" customFormat="1" hidden="1">
      <c r="B4808" s="1543"/>
      <c r="C4808" s="1332" t="s">
        <v>871</v>
      </c>
      <c r="D4808" s="1331" t="s">
        <v>678</v>
      </c>
      <c r="E4808" s="1331" t="s">
        <v>675</v>
      </c>
      <c r="F4808" s="1334">
        <v>3</v>
      </c>
      <c r="G4808" s="1104">
        <f>DUB!$I$11</f>
        <v>187000</v>
      </c>
      <c r="H4808" s="1106">
        <f>G4808*F4808</f>
        <v>561000</v>
      </c>
      <c r="J4808" s="1557"/>
      <c r="K4808" s="1557"/>
      <c r="L4808" s="1557"/>
      <c r="M4808" s="1566"/>
    </row>
    <row r="4809" spans="2:13" s="947" customFormat="1" hidden="1">
      <c r="B4809" s="1543"/>
      <c r="C4809" s="1332" t="s">
        <v>751</v>
      </c>
      <c r="D4809" s="1331" t="s">
        <v>681</v>
      </c>
      <c r="E4809" s="1331" t="s">
        <v>675</v>
      </c>
      <c r="F4809" s="1334">
        <v>0.3</v>
      </c>
      <c r="G4809" s="1104">
        <f>DUB!$I$13</f>
        <v>240000</v>
      </c>
      <c r="H4809" s="1106">
        <f>G4809*F4809</f>
        <v>72000</v>
      </c>
      <c r="J4809" s="1557"/>
      <c r="K4809" s="1557"/>
      <c r="L4809" s="1557"/>
      <c r="M4809" s="1566"/>
    </row>
    <row r="4810" spans="2:13" s="947" customFormat="1" hidden="1">
      <c r="B4810" s="1543"/>
      <c r="C4810" s="1332" t="s">
        <v>683</v>
      </c>
      <c r="D4810" s="1331" t="s">
        <v>684</v>
      </c>
      <c r="E4810" s="1331" t="s">
        <v>675</v>
      </c>
      <c r="F4810" s="1334">
        <v>0.05</v>
      </c>
      <c r="G4810" s="1104">
        <f>DUB!$I$12</f>
        <v>225000</v>
      </c>
      <c r="H4810" s="1106">
        <f>G4810*F4810</f>
        <v>11250</v>
      </c>
      <c r="J4810" s="1557"/>
      <c r="K4810" s="1557"/>
      <c r="L4810" s="1557"/>
      <c r="M4810" s="1566"/>
    </row>
    <row r="4811" spans="2:13" s="947" customFormat="1" hidden="1">
      <c r="B4811" s="1543"/>
      <c r="C4811" s="1332"/>
      <c r="D4811" s="1331"/>
      <c r="E4811" s="1331"/>
      <c r="F4811" s="2074" t="s">
        <v>685</v>
      </c>
      <c r="G4811" s="2074"/>
      <c r="H4811" s="1106">
        <f>SUM(H4807:H4810)</f>
        <v>794250</v>
      </c>
      <c r="J4811" s="1557"/>
      <c r="K4811" s="1557"/>
      <c r="L4811" s="1557"/>
      <c r="M4811" s="1566"/>
    </row>
    <row r="4812" spans="2:13" s="947" customFormat="1" hidden="1">
      <c r="B4812" s="1543" t="s">
        <v>686</v>
      </c>
      <c r="C4812" s="1332" t="s">
        <v>687</v>
      </c>
      <c r="D4812" s="1331"/>
      <c r="E4812" s="1331"/>
      <c r="F4812" s="1334"/>
      <c r="G4812" s="1104"/>
      <c r="H4812" s="1106"/>
      <c r="J4812" s="1557"/>
      <c r="K4812" s="1557"/>
      <c r="L4812" s="1557"/>
      <c r="M4812" s="1566"/>
    </row>
    <row r="4813" spans="2:13" s="947" customFormat="1" hidden="1">
      <c r="B4813" s="1543"/>
      <c r="C4813" s="1332" t="s">
        <v>1270</v>
      </c>
      <c r="D4813" s="1331"/>
      <c r="E4813" s="1331" t="s">
        <v>2646</v>
      </c>
      <c r="F4813" s="1334">
        <v>6.4000000000000001E-2</v>
      </c>
      <c r="G4813" s="1152">
        <f>DUB!$I$84</f>
        <v>6961500</v>
      </c>
      <c r="H4813" s="1106">
        <f>G4813*F4813</f>
        <v>445536</v>
      </c>
      <c r="J4813" s="1557"/>
      <c r="K4813" s="1557"/>
      <c r="L4813" s="1557"/>
      <c r="M4813" s="1566"/>
    </row>
    <row r="4814" spans="2:13" s="947" customFormat="1" hidden="1">
      <c r="B4814" s="1543"/>
      <c r="C4814" s="1332" t="s">
        <v>1268</v>
      </c>
      <c r="D4814" s="1331"/>
      <c r="E4814" s="1331" t="s">
        <v>690</v>
      </c>
      <c r="F4814" s="1334">
        <v>0.5</v>
      </c>
      <c r="G4814" s="1136">
        <f>DUB!$I$87</f>
        <v>16380</v>
      </c>
      <c r="H4814" s="1106">
        <f>G4814*F4814</f>
        <v>8190</v>
      </c>
      <c r="J4814" s="1557"/>
      <c r="K4814" s="1557"/>
      <c r="L4814" s="1557"/>
      <c r="M4814" s="1566"/>
    </row>
    <row r="4815" spans="2:13" s="947" customFormat="1" hidden="1">
      <c r="B4815" s="1543"/>
      <c r="C4815" s="1332"/>
      <c r="D4815" s="1331"/>
      <c r="E4815" s="1331"/>
      <c r="F4815" s="2091" t="s">
        <v>702</v>
      </c>
      <c r="G4815" s="2091"/>
      <c r="H4815" s="1106">
        <f>SUM(H4813:H4814)</f>
        <v>453726</v>
      </c>
      <c r="J4815" s="1557"/>
      <c r="K4815" s="1557"/>
      <c r="L4815" s="1557"/>
      <c r="M4815" s="1566"/>
    </row>
    <row r="4816" spans="2:13" s="949" customFormat="1" hidden="1">
      <c r="B4816" s="1543" t="s">
        <v>703</v>
      </c>
      <c r="C4816" s="2075" t="s">
        <v>3764</v>
      </c>
      <c r="D4816" s="2075"/>
      <c r="E4816" s="2075"/>
      <c r="F4816" s="2075"/>
      <c r="G4816" s="2075"/>
      <c r="H4816" s="1107">
        <f>H4811+H4815</f>
        <v>1247976</v>
      </c>
      <c r="J4816" s="1559"/>
      <c r="K4816" s="1559"/>
      <c r="L4816" s="1559"/>
      <c r="M4816" s="1635"/>
    </row>
    <row r="4817" spans="2:13" s="949" customFormat="1" hidden="1">
      <c r="B4817" s="1543" t="s">
        <v>706</v>
      </c>
      <c r="C4817" s="2076" t="s">
        <v>876</v>
      </c>
      <c r="D4817" s="2076"/>
      <c r="E4817" s="2076"/>
      <c r="F4817" s="2077" t="s">
        <v>3873</v>
      </c>
      <c r="G4817" s="2077"/>
      <c r="H4817" s="1107">
        <f>H4816*0.15</f>
        <v>187196.4</v>
      </c>
      <c r="J4817" s="1559"/>
      <c r="K4817" s="1559"/>
      <c r="L4817" s="1559"/>
      <c r="M4817" s="1635"/>
    </row>
    <row r="4818" spans="2:13" s="949" customFormat="1" hidden="1">
      <c r="B4818" s="1543" t="s">
        <v>708</v>
      </c>
      <c r="C4818" s="2075" t="s">
        <v>3765</v>
      </c>
      <c r="D4818" s="2075"/>
      <c r="E4818" s="2075"/>
      <c r="F4818" s="2075"/>
      <c r="G4818" s="2075"/>
      <c r="H4818" s="1107">
        <f>ROUND(SUM(H4816:H4817),2)</f>
        <v>1435172.4</v>
      </c>
      <c r="I4818" s="950">
        <f>SUM(H4816:H4817)</f>
        <v>1435172.4</v>
      </c>
      <c r="J4818" s="1561"/>
      <c r="K4818" s="1561"/>
      <c r="L4818" s="1559"/>
      <c r="M4818" s="1635"/>
    </row>
    <row r="4819" spans="2:13" s="947" customFormat="1" hidden="1">
      <c r="B4819" s="1095"/>
      <c r="C4819" s="1096"/>
      <c r="D4819" s="1095"/>
      <c r="E4819" s="1095"/>
      <c r="F4819" s="1172"/>
      <c r="G4819" s="1173"/>
      <c r="H4819" s="1133"/>
      <c r="J4819" s="1557"/>
      <c r="K4819" s="1557"/>
      <c r="L4819" s="1557"/>
      <c r="M4819" s="1566"/>
    </row>
    <row r="4820" spans="2:13" s="947" customFormat="1" hidden="1">
      <c r="B4820" s="1150" t="s">
        <v>4112</v>
      </c>
      <c r="C4820" s="1232" t="s">
        <v>2763</v>
      </c>
      <c r="D4820" s="1095"/>
      <c r="E4820" s="1095"/>
      <c r="F4820" s="1172"/>
      <c r="G4820" s="1173"/>
      <c r="H4820" s="1133"/>
      <c r="J4820" s="1557"/>
      <c r="K4820" s="1557"/>
      <c r="L4820" s="1557"/>
      <c r="M4820" s="1566"/>
    </row>
    <row r="4821" spans="2:13" s="948" customFormat="1" ht="24.9" hidden="1" customHeight="1">
      <c r="B4821" s="1748" t="s">
        <v>1003</v>
      </c>
      <c r="C4821" s="1116" t="s">
        <v>1004</v>
      </c>
      <c r="D4821" s="1116" t="s">
        <v>1005</v>
      </c>
      <c r="E4821" s="1116" t="s">
        <v>1006</v>
      </c>
      <c r="F4821" s="1139" t="s">
        <v>1007</v>
      </c>
      <c r="G4821" s="1103" t="s">
        <v>2637</v>
      </c>
      <c r="H4821" s="1110" t="s">
        <v>2638</v>
      </c>
      <c r="J4821" s="1625"/>
      <c r="K4821" s="1625"/>
      <c r="L4821" s="1625"/>
      <c r="M4821" s="1570"/>
    </row>
    <row r="4822" spans="2:13" s="947" customFormat="1" hidden="1">
      <c r="B4822" s="1543" t="s">
        <v>671</v>
      </c>
      <c r="C4822" s="1118" t="s">
        <v>672</v>
      </c>
      <c r="D4822" s="1539"/>
      <c r="E4822" s="1539"/>
      <c r="F4822" s="1532"/>
      <c r="G4822" s="1136"/>
      <c r="H4822" s="1106"/>
      <c r="J4822" s="1557"/>
      <c r="K4822" s="1557"/>
      <c r="L4822" s="1557"/>
      <c r="M4822" s="1566"/>
    </row>
    <row r="4823" spans="2:13" s="947" customFormat="1" hidden="1">
      <c r="B4823" s="1543"/>
      <c r="C4823" s="1118" t="s">
        <v>673</v>
      </c>
      <c r="D4823" s="1331" t="s">
        <v>674</v>
      </c>
      <c r="E4823" s="1539" t="s">
        <v>675</v>
      </c>
      <c r="F4823" s="1532">
        <v>0.7</v>
      </c>
      <c r="G4823" s="1104">
        <f>DUB!$I$10</f>
        <v>150000</v>
      </c>
      <c r="H4823" s="1106">
        <f>G4823*F4823</f>
        <v>105000</v>
      </c>
      <c r="J4823" s="1557"/>
      <c r="K4823" s="1557"/>
      <c r="L4823" s="1557"/>
      <c r="M4823" s="1566"/>
    </row>
    <row r="4824" spans="2:13" s="947" customFormat="1" hidden="1">
      <c r="B4824" s="1543"/>
      <c r="C4824" s="1118" t="s">
        <v>871</v>
      </c>
      <c r="D4824" s="1331" t="s">
        <v>678</v>
      </c>
      <c r="E4824" s="1539" t="s">
        <v>675</v>
      </c>
      <c r="F4824" s="1532">
        <v>2.1</v>
      </c>
      <c r="G4824" s="1104">
        <f>DUB!$I$11</f>
        <v>187000</v>
      </c>
      <c r="H4824" s="1106">
        <f>G4824*F4824</f>
        <v>392700</v>
      </c>
      <c r="J4824" s="1557"/>
      <c r="K4824" s="1557"/>
      <c r="L4824" s="1557"/>
      <c r="M4824" s="1566"/>
    </row>
    <row r="4825" spans="2:13" s="947" customFormat="1" hidden="1">
      <c r="B4825" s="1543"/>
      <c r="C4825" s="1118" t="s">
        <v>751</v>
      </c>
      <c r="D4825" s="1331" t="s">
        <v>681</v>
      </c>
      <c r="E4825" s="1539" t="s">
        <v>675</v>
      </c>
      <c r="F4825" s="1532">
        <v>0.21</v>
      </c>
      <c r="G4825" s="1104">
        <f>DUB!$I$13</f>
        <v>240000</v>
      </c>
      <c r="H4825" s="1106">
        <f>G4825*F4825</f>
        <v>50400</v>
      </c>
      <c r="J4825" s="1557"/>
      <c r="K4825" s="1557"/>
      <c r="L4825" s="1557"/>
      <c r="M4825" s="1566"/>
    </row>
    <row r="4826" spans="2:13" s="947" customFormat="1" hidden="1">
      <c r="B4826" s="1543"/>
      <c r="C4826" s="1118" t="s">
        <v>683</v>
      </c>
      <c r="D4826" s="1331" t="s">
        <v>684</v>
      </c>
      <c r="E4826" s="1539" t="s">
        <v>675</v>
      </c>
      <c r="F4826" s="1532">
        <v>3.5000000000000003E-2</v>
      </c>
      <c r="G4826" s="1104">
        <f>DUB!$I$12</f>
        <v>225000</v>
      </c>
      <c r="H4826" s="1106">
        <f>G4826*F4826</f>
        <v>7875.0000000000009</v>
      </c>
      <c r="J4826" s="1557"/>
      <c r="K4826" s="1557"/>
      <c r="L4826" s="1557"/>
      <c r="M4826" s="1566"/>
    </row>
    <row r="4827" spans="2:13" s="947" customFormat="1" hidden="1">
      <c r="B4827" s="1543"/>
      <c r="C4827" s="1118"/>
      <c r="D4827" s="1539"/>
      <c r="E4827" s="1539"/>
      <c r="F4827" s="2080" t="s">
        <v>685</v>
      </c>
      <c r="G4827" s="2081"/>
      <c r="H4827" s="1106">
        <f>SUM(H4823:H4826)</f>
        <v>555975</v>
      </c>
      <c r="J4827" s="1557"/>
      <c r="K4827" s="1557"/>
      <c r="L4827" s="1557"/>
      <c r="M4827" s="1566"/>
    </row>
    <row r="4828" spans="2:13" s="947" customFormat="1" hidden="1">
      <c r="B4828" s="1543" t="s">
        <v>686</v>
      </c>
      <c r="C4828" s="1118" t="s">
        <v>687</v>
      </c>
      <c r="D4828" s="1539"/>
      <c r="E4828" s="1539"/>
      <c r="F4828" s="1532"/>
      <c r="G4828" s="1136"/>
      <c r="H4828" s="1106"/>
      <c r="J4828" s="1557"/>
      <c r="K4828" s="1557"/>
      <c r="L4828" s="1557"/>
      <c r="M4828" s="1566"/>
    </row>
    <row r="4829" spans="2:13" s="947" customFormat="1" hidden="1">
      <c r="B4829" s="1543"/>
      <c r="C4829" s="1118" t="s">
        <v>1270</v>
      </c>
      <c r="D4829" s="1539"/>
      <c r="E4829" s="1539" t="s">
        <v>2646</v>
      </c>
      <c r="F4829" s="1532">
        <v>2.5000000000000001E-2</v>
      </c>
      <c r="G4829" s="1152">
        <f>DUB!$I$84</f>
        <v>6961500</v>
      </c>
      <c r="H4829" s="1106">
        <f>G4829*F4829</f>
        <v>174037.5</v>
      </c>
      <c r="J4829" s="1557"/>
      <c r="K4829" s="1557"/>
      <c r="L4829" s="1557"/>
      <c r="M4829" s="1566"/>
    </row>
    <row r="4830" spans="2:13" s="947" customFormat="1" hidden="1">
      <c r="B4830" s="1543"/>
      <c r="C4830" s="1118" t="s">
        <v>2654</v>
      </c>
      <c r="D4830" s="1539"/>
      <c r="E4830" s="1539" t="s">
        <v>773</v>
      </c>
      <c r="F4830" s="1532">
        <v>0.03</v>
      </c>
      <c r="G4830" s="1104">
        <f>DUB!$I$128</f>
        <v>20441.7</v>
      </c>
      <c r="H4830" s="1106">
        <f>G4830*F4830</f>
        <v>613.25099999999998</v>
      </c>
      <c r="J4830" s="1557"/>
      <c r="K4830" s="1557"/>
      <c r="L4830" s="1557"/>
      <c r="M4830" s="1566"/>
    </row>
    <row r="4831" spans="2:13" s="947" customFormat="1" hidden="1">
      <c r="B4831" s="1543"/>
      <c r="C4831" s="1118" t="s">
        <v>1268</v>
      </c>
      <c r="D4831" s="1539"/>
      <c r="E4831" s="1539" t="s">
        <v>773</v>
      </c>
      <c r="F4831" s="1532">
        <v>0.5</v>
      </c>
      <c r="G4831" s="1136">
        <f>DUB!$I$87</f>
        <v>16380</v>
      </c>
      <c r="H4831" s="1106">
        <f>G4831*F4831</f>
        <v>8190</v>
      </c>
      <c r="J4831" s="1557"/>
      <c r="K4831" s="1557"/>
      <c r="L4831" s="1557"/>
      <c r="M4831" s="1566"/>
    </row>
    <row r="4832" spans="2:13" s="947" customFormat="1" hidden="1">
      <c r="B4832" s="1543"/>
      <c r="C4832" s="1243" t="s">
        <v>5304</v>
      </c>
      <c r="D4832" s="1539"/>
      <c r="E4832" s="1539" t="s">
        <v>888</v>
      </c>
      <c r="F4832" s="1532">
        <v>1</v>
      </c>
      <c r="G4832" s="1136">
        <f>DUB!$I$92</f>
        <v>76464</v>
      </c>
      <c r="H4832" s="1106">
        <f>G4832*F4832</f>
        <v>76464</v>
      </c>
      <c r="J4832" s="1557"/>
      <c r="K4832" s="1557"/>
      <c r="L4832" s="1557"/>
      <c r="M4832" s="1566"/>
    </row>
    <row r="4833" spans="2:13" s="947" customFormat="1" hidden="1">
      <c r="B4833" s="1543"/>
      <c r="C4833" s="1118"/>
      <c r="D4833" s="1539"/>
      <c r="E4833" s="1539"/>
      <c r="F4833" s="2080" t="s">
        <v>702</v>
      </c>
      <c r="G4833" s="2081"/>
      <c r="H4833" s="1106">
        <f>SUM(H4829:H4832)</f>
        <v>259304.75099999999</v>
      </c>
      <c r="J4833" s="1557"/>
      <c r="K4833" s="1557"/>
      <c r="L4833" s="1557"/>
      <c r="M4833" s="1566"/>
    </row>
    <row r="4834" spans="2:13" s="949" customFormat="1" hidden="1">
      <c r="B4834" s="1543" t="s">
        <v>703</v>
      </c>
      <c r="C4834" s="1117" t="s">
        <v>3764</v>
      </c>
      <c r="D4834" s="1120"/>
      <c r="E4834" s="1120"/>
      <c r="F4834" s="1121"/>
      <c r="G4834" s="1122"/>
      <c r="H4834" s="1107">
        <f>H4827+H4833</f>
        <v>815279.75099999993</v>
      </c>
      <c r="J4834" s="1559"/>
      <c r="K4834" s="1559"/>
      <c r="L4834" s="1559"/>
      <c r="M4834" s="1635"/>
    </row>
    <row r="4835" spans="2:13" s="949" customFormat="1" hidden="1">
      <c r="B4835" s="1543" t="s">
        <v>706</v>
      </c>
      <c r="C4835" s="1123" t="s">
        <v>876</v>
      </c>
      <c r="D4835" s="1124"/>
      <c r="E4835" s="1124"/>
      <c r="F4835" s="1545" t="s">
        <v>3873</v>
      </c>
      <c r="G4835" s="1122"/>
      <c r="H4835" s="1107">
        <f>H4834*0.15</f>
        <v>122291.96264999999</v>
      </c>
      <c r="J4835" s="1559"/>
      <c r="K4835" s="1559"/>
      <c r="L4835" s="1559"/>
      <c r="M4835" s="1635"/>
    </row>
    <row r="4836" spans="2:13" s="949" customFormat="1" hidden="1">
      <c r="B4836" s="1543" t="s">
        <v>708</v>
      </c>
      <c r="C4836" s="1117" t="s">
        <v>3765</v>
      </c>
      <c r="D4836" s="1120"/>
      <c r="E4836" s="1120"/>
      <c r="F4836" s="1121"/>
      <c r="G4836" s="1122"/>
      <c r="H4836" s="1107">
        <f>ROUND(SUM(H4834:H4835),2)</f>
        <v>937571.71</v>
      </c>
      <c r="I4836" s="950">
        <f>SUM(H4834:H4835)</f>
        <v>937571.71364999993</v>
      </c>
      <c r="J4836" s="1561"/>
      <c r="K4836" s="1561"/>
      <c r="L4836" s="1559"/>
      <c r="M4836" s="1635"/>
    </row>
    <row r="4837" spans="2:13" s="947" customFormat="1" hidden="1">
      <c r="B4837" s="1143"/>
      <c r="C4837" s="1144"/>
      <c r="D4837" s="1143"/>
      <c r="E4837" s="1143"/>
      <c r="F4837" s="1145"/>
      <c r="G4837" s="1146"/>
      <c r="H4837" s="1147"/>
      <c r="J4837" s="1557"/>
      <c r="K4837" s="1557"/>
      <c r="L4837" s="1557"/>
      <c r="M4837" s="1566"/>
    </row>
    <row r="4838" spans="2:13" s="947" customFormat="1" hidden="1">
      <c r="B4838" s="1100" t="s">
        <v>4113</v>
      </c>
      <c r="C4838" s="1112" t="s">
        <v>3435</v>
      </c>
      <c r="D4838" s="1129"/>
      <c r="E4838" s="1129"/>
      <c r="F4838" s="1131"/>
      <c r="G4838" s="1132"/>
      <c r="H4838" s="1115"/>
      <c r="J4838" s="1557"/>
      <c r="K4838" s="1557"/>
      <c r="L4838" s="1557"/>
      <c r="M4838" s="1566"/>
    </row>
    <row r="4839" spans="2:13" s="948" customFormat="1" ht="24.9" hidden="1" customHeight="1">
      <c r="B4839" s="1749" t="s">
        <v>1003</v>
      </c>
      <c r="C4839" s="1101" t="s">
        <v>1004</v>
      </c>
      <c r="D4839" s="1116" t="s">
        <v>1005</v>
      </c>
      <c r="E4839" s="1116" t="s">
        <v>1006</v>
      </c>
      <c r="F4839" s="1139" t="s">
        <v>1007</v>
      </c>
      <c r="G4839" s="1103" t="s">
        <v>2637</v>
      </c>
      <c r="H4839" s="1110" t="s">
        <v>2638</v>
      </c>
      <c r="J4839" s="1625"/>
      <c r="K4839" s="1625"/>
      <c r="L4839" s="1625"/>
      <c r="M4839" s="1570"/>
    </row>
    <row r="4840" spans="2:13" s="947" customFormat="1" hidden="1">
      <c r="B4840" s="1120" t="s">
        <v>671</v>
      </c>
      <c r="C4840" s="1332" t="s">
        <v>672</v>
      </c>
      <c r="D4840" s="1539"/>
      <c r="E4840" s="1539"/>
      <c r="F4840" s="1532"/>
      <c r="G4840" s="1152"/>
      <c r="H4840" s="1153"/>
      <c r="J4840" s="1557"/>
      <c r="K4840" s="1557"/>
      <c r="L4840" s="1557"/>
      <c r="M4840" s="1566"/>
    </row>
    <row r="4841" spans="2:13" s="947" customFormat="1" hidden="1">
      <c r="B4841" s="1120"/>
      <c r="C4841" s="1332" t="s">
        <v>673</v>
      </c>
      <c r="D4841" s="1331" t="s">
        <v>674</v>
      </c>
      <c r="E4841" s="1539" t="s">
        <v>675</v>
      </c>
      <c r="F4841" s="1532">
        <v>0.8</v>
      </c>
      <c r="G4841" s="1104">
        <f>DUB!$I$10</f>
        <v>150000</v>
      </c>
      <c r="H4841" s="1106">
        <f>G4841*F4841</f>
        <v>120000</v>
      </c>
      <c r="J4841" s="1557"/>
      <c r="K4841" s="1557"/>
      <c r="L4841" s="1557"/>
      <c r="M4841" s="1566"/>
    </row>
    <row r="4842" spans="2:13" s="947" customFormat="1" hidden="1">
      <c r="B4842" s="1120"/>
      <c r="C4842" s="1332" t="s">
        <v>871</v>
      </c>
      <c r="D4842" s="1331" t="s">
        <v>678</v>
      </c>
      <c r="E4842" s="1539" t="s">
        <v>675</v>
      </c>
      <c r="F4842" s="1532">
        <v>2.4</v>
      </c>
      <c r="G4842" s="1104">
        <f>DUB!$I$11</f>
        <v>187000</v>
      </c>
      <c r="H4842" s="1106">
        <f>G4842*F4842</f>
        <v>448800</v>
      </c>
      <c r="J4842" s="1557"/>
      <c r="K4842" s="1557"/>
      <c r="L4842" s="1557"/>
      <c r="M4842" s="1566"/>
    </row>
    <row r="4843" spans="2:13" s="947" customFormat="1" hidden="1">
      <c r="B4843" s="1120"/>
      <c r="C4843" s="1332" t="s">
        <v>751</v>
      </c>
      <c r="D4843" s="1331" t="s">
        <v>681</v>
      </c>
      <c r="E4843" s="1539" t="s">
        <v>675</v>
      </c>
      <c r="F4843" s="1532">
        <v>0.24</v>
      </c>
      <c r="G4843" s="1104">
        <f>DUB!$I$13</f>
        <v>240000</v>
      </c>
      <c r="H4843" s="1106">
        <f>G4843*F4843</f>
        <v>57600</v>
      </c>
      <c r="J4843" s="1557"/>
      <c r="K4843" s="1557"/>
      <c r="L4843" s="1557"/>
      <c r="M4843" s="1566"/>
    </row>
    <row r="4844" spans="2:13" s="947" customFormat="1" hidden="1">
      <c r="B4844" s="1120"/>
      <c r="C4844" s="1332" t="s">
        <v>683</v>
      </c>
      <c r="D4844" s="1331" t="s">
        <v>684</v>
      </c>
      <c r="E4844" s="1539" t="s">
        <v>675</v>
      </c>
      <c r="F4844" s="1532">
        <v>0.04</v>
      </c>
      <c r="G4844" s="1104">
        <f>DUB!$I$12</f>
        <v>225000</v>
      </c>
      <c r="H4844" s="1106">
        <f>G4844*F4844</f>
        <v>9000</v>
      </c>
      <c r="J4844" s="1557"/>
      <c r="K4844" s="1557"/>
      <c r="L4844" s="1557"/>
      <c r="M4844" s="1566"/>
    </row>
    <row r="4845" spans="2:13" s="947" customFormat="1" hidden="1">
      <c r="B4845" s="1120"/>
      <c r="C4845" s="1332"/>
      <c r="D4845" s="1539"/>
      <c r="E4845" s="1539"/>
      <c r="F4845" s="2080" t="s">
        <v>685</v>
      </c>
      <c r="G4845" s="2081"/>
      <c r="H4845" s="1153">
        <f>SUM(H4841:H4844)</f>
        <v>635400</v>
      </c>
      <c r="J4845" s="1557"/>
      <c r="K4845" s="1557"/>
      <c r="L4845" s="1557"/>
      <c r="M4845" s="1566"/>
    </row>
    <row r="4846" spans="2:13" s="947" customFormat="1" hidden="1">
      <c r="B4846" s="1120" t="s">
        <v>686</v>
      </c>
      <c r="C4846" s="1332" t="s">
        <v>687</v>
      </c>
      <c r="D4846" s="1540"/>
      <c r="E4846" s="1539"/>
      <c r="F4846" s="1532"/>
      <c r="G4846" s="1152"/>
      <c r="H4846" s="1153"/>
      <c r="J4846" s="1557"/>
      <c r="K4846" s="1557"/>
      <c r="L4846" s="1557"/>
      <c r="M4846" s="1566"/>
    </row>
    <row r="4847" spans="2:13" s="947" customFormat="1" hidden="1">
      <c r="B4847" s="1120"/>
      <c r="C4847" s="1332" t="s">
        <v>1270</v>
      </c>
      <c r="D4847" s="1540"/>
      <c r="E4847" s="1539" t="s">
        <v>2646</v>
      </c>
      <c r="F4847" s="1532">
        <v>2.5600000000000001E-2</v>
      </c>
      <c r="G4847" s="1152">
        <f>DUB!$I$84</f>
        <v>6961500</v>
      </c>
      <c r="H4847" s="1106">
        <f>G4847*F4847</f>
        <v>178214.39999999999</v>
      </c>
      <c r="J4847" s="1557"/>
      <c r="K4847" s="1557"/>
      <c r="L4847" s="1557"/>
      <c r="M4847" s="1566"/>
    </row>
    <row r="4848" spans="2:13" s="947" customFormat="1" hidden="1">
      <c r="B4848" s="1120"/>
      <c r="C4848" s="1126" t="s">
        <v>2654</v>
      </c>
      <c r="D4848" s="1540"/>
      <c r="E4848" s="1539" t="s">
        <v>773</v>
      </c>
      <c r="F4848" s="1532">
        <v>0.03</v>
      </c>
      <c r="G4848" s="1104">
        <f>DUB!$I$128</f>
        <v>20441.7</v>
      </c>
      <c r="H4848" s="1106">
        <f>G4848*F4848</f>
        <v>613.25099999999998</v>
      </c>
      <c r="J4848" s="1557"/>
      <c r="K4848" s="1557"/>
      <c r="L4848" s="1557"/>
      <c r="M4848" s="1566"/>
    </row>
    <row r="4849" spans="2:13" s="947" customFormat="1" hidden="1">
      <c r="B4849" s="1254"/>
      <c r="C4849" s="1332" t="s">
        <v>1268</v>
      </c>
      <c r="D4849" s="1540"/>
      <c r="E4849" s="1539" t="s">
        <v>773</v>
      </c>
      <c r="F4849" s="1532">
        <v>0.5</v>
      </c>
      <c r="G4849" s="1136">
        <f>DUB!$I$87</f>
        <v>16380</v>
      </c>
      <c r="H4849" s="1106">
        <f>G4849*F4849</f>
        <v>8190</v>
      </c>
      <c r="J4849" s="1557"/>
      <c r="K4849" s="1557"/>
      <c r="L4849" s="1557"/>
      <c r="M4849" s="1566"/>
    </row>
    <row r="4850" spans="2:13" s="947" customFormat="1" hidden="1">
      <c r="B4850" s="1254"/>
      <c r="C4850" s="1403" t="s">
        <v>5305</v>
      </c>
      <c r="D4850" s="1540"/>
      <c r="E4850" s="1183" t="s">
        <v>888</v>
      </c>
      <c r="F4850" s="1184">
        <v>1</v>
      </c>
      <c r="G4850" s="1136">
        <f>DUB!$I$92</f>
        <v>76464</v>
      </c>
      <c r="H4850" s="1106">
        <f>G4850*F4850</f>
        <v>76464</v>
      </c>
      <c r="J4850" s="1557"/>
      <c r="K4850" s="1557"/>
      <c r="L4850" s="1557"/>
      <c r="M4850" s="1566"/>
    </row>
    <row r="4851" spans="2:13" s="947" customFormat="1" hidden="1">
      <c r="B4851" s="1254"/>
      <c r="C4851" s="1332"/>
      <c r="D4851" s="1540"/>
      <c r="E4851" s="1539"/>
      <c r="F4851" s="2080" t="s">
        <v>702</v>
      </c>
      <c r="G4851" s="2081"/>
      <c r="H4851" s="1153">
        <f>SUM(H4847:H4850)</f>
        <v>263481.65099999995</v>
      </c>
      <c r="J4851" s="1557"/>
      <c r="K4851" s="1557"/>
      <c r="L4851" s="1557"/>
      <c r="M4851" s="1566"/>
    </row>
    <row r="4852" spans="2:13" s="949" customFormat="1" hidden="1">
      <c r="B4852" s="1120" t="s">
        <v>703</v>
      </c>
      <c r="C4852" s="1117" t="s">
        <v>3764</v>
      </c>
      <c r="D4852" s="1120"/>
      <c r="E4852" s="1120"/>
      <c r="F4852" s="1121"/>
      <c r="G4852" s="1160"/>
      <c r="H4852" s="1149">
        <f>H4845+H4851</f>
        <v>898881.65099999995</v>
      </c>
      <c r="J4852" s="1559"/>
      <c r="K4852" s="1559"/>
      <c r="L4852" s="1559"/>
      <c r="M4852" s="1635"/>
    </row>
    <row r="4853" spans="2:13" s="949" customFormat="1" hidden="1">
      <c r="B4853" s="1120" t="s">
        <v>706</v>
      </c>
      <c r="C4853" s="1123" t="s">
        <v>876</v>
      </c>
      <c r="D4853" s="1124"/>
      <c r="E4853" s="1154"/>
      <c r="F4853" s="1545" t="s">
        <v>3873</v>
      </c>
      <c r="G4853" s="1160"/>
      <c r="H4853" s="1107">
        <f>H4852*0.15</f>
        <v>134832.24764999998</v>
      </c>
      <c r="J4853" s="1559"/>
      <c r="K4853" s="1559"/>
      <c r="L4853" s="1559"/>
      <c r="M4853" s="1635"/>
    </row>
    <row r="4854" spans="2:13" s="949" customFormat="1" hidden="1">
      <c r="B4854" s="1120" t="s">
        <v>708</v>
      </c>
      <c r="C4854" s="1117" t="s">
        <v>3765</v>
      </c>
      <c r="D4854" s="1120"/>
      <c r="E4854" s="1120"/>
      <c r="F4854" s="1121"/>
      <c r="G4854" s="1160"/>
      <c r="H4854" s="1107">
        <f>ROUND(SUM(H4852:H4853),2)</f>
        <v>1033713.9</v>
      </c>
      <c r="I4854" s="1003">
        <f>SUM(H4852:H4853)</f>
        <v>1033713.8986499999</v>
      </c>
      <c r="J4854" s="1561"/>
      <c r="K4854" s="1561"/>
      <c r="L4854" s="1559"/>
      <c r="M4854" s="1635"/>
    </row>
    <row r="4855" spans="2:13" s="947" customFormat="1" hidden="1">
      <c r="B4855" s="1095"/>
      <c r="C4855" s="1096"/>
      <c r="D4855" s="1095"/>
      <c r="E4855" s="1095"/>
      <c r="F4855" s="1172"/>
      <c r="G4855" s="1173"/>
      <c r="H4855" s="1133"/>
      <c r="J4855" s="1557"/>
      <c r="K4855" s="1557"/>
      <c r="L4855" s="1557"/>
      <c r="M4855" s="1566"/>
    </row>
    <row r="4856" spans="2:13" s="947" customFormat="1" hidden="1">
      <c r="B4856" s="1100" t="s">
        <v>4114</v>
      </c>
      <c r="C4856" s="1232" t="s">
        <v>3436</v>
      </c>
      <c r="D4856" s="1095"/>
      <c r="E4856" s="1095"/>
      <c r="F4856" s="1172"/>
      <c r="G4856" s="1173"/>
      <c r="H4856" s="1133"/>
      <c r="J4856" s="1557"/>
      <c r="K4856" s="1557"/>
      <c r="L4856" s="1557"/>
      <c r="M4856" s="1566"/>
    </row>
    <row r="4857" spans="2:13" s="948" customFormat="1" ht="24.9" hidden="1" customHeight="1">
      <c r="B4857" s="1748" t="s">
        <v>1003</v>
      </c>
      <c r="C4857" s="1101" t="s">
        <v>1004</v>
      </c>
      <c r="D4857" s="1101" t="s">
        <v>1005</v>
      </c>
      <c r="E4857" s="1101" t="s">
        <v>1006</v>
      </c>
      <c r="F4857" s="1102" t="s">
        <v>1007</v>
      </c>
      <c r="G4857" s="1109" t="s">
        <v>2637</v>
      </c>
      <c r="H4857" s="1110" t="s">
        <v>2638</v>
      </c>
      <c r="J4857" s="1625"/>
      <c r="K4857" s="1625"/>
      <c r="L4857" s="1625"/>
      <c r="M4857" s="1570"/>
    </row>
    <row r="4858" spans="2:13" s="947" customFormat="1" hidden="1">
      <c r="B4858" s="1543" t="s">
        <v>671</v>
      </c>
      <c r="C4858" s="1332" t="s">
        <v>672</v>
      </c>
      <c r="D4858" s="1331"/>
      <c r="E4858" s="1331"/>
      <c r="F4858" s="1334"/>
      <c r="G4858" s="1104"/>
      <c r="H4858" s="1106"/>
      <c r="J4858" s="1557"/>
      <c r="K4858" s="1557"/>
      <c r="L4858" s="1557"/>
      <c r="M4858" s="1566"/>
    </row>
    <row r="4859" spans="2:13" s="947" customFormat="1" hidden="1">
      <c r="B4859" s="1543"/>
      <c r="C4859" s="1332" t="s">
        <v>673</v>
      </c>
      <c r="D4859" s="1331" t="s">
        <v>674</v>
      </c>
      <c r="E4859" s="1331" t="s">
        <v>675</v>
      </c>
      <c r="F4859" s="1334">
        <v>0.67</v>
      </c>
      <c r="G4859" s="1104">
        <f>DUB!$I$10</f>
        <v>150000</v>
      </c>
      <c r="H4859" s="1106">
        <f>G4859*F4859</f>
        <v>100500</v>
      </c>
      <c r="J4859" s="1557"/>
      <c r="K4859" s="1557"/>
      <c r="L4859" s="1557"/>
      <c r="M4859" s="1566"/>
    </row>
    <row r="4860" spans="2:13" s="947" customFormat="1" hidden="1">
      <c r="B4860" s="1543"/>
      <c r="C4860" s="1332" t="s">
        <v>871</v>
      </c>
      <c r="D4860" s="1331" t="s">
        <v>678</v>
      </c>
      <c r="E4860" s="1331" t="s">
        <v>675</v>
      </c>
      <c r="F4860" s="1334">
        <v>2</v>
      </c>
      <c r="G4860" s="1104">
        <f>DUB!$I$11</f>
        <v>187000</v>
      </c>
      <c r="H4860" s="1106">
        <f>G4860*F4860</f>
        <v>374000</v>
      </c>
      <c r="J4860" s="1557"/>
      <c r="K4860" s="1557"/>
      <c r="L4860" s="1557"/>
      <c r="M4860" s="1566"/>
    </row>
    <row r="4861" spans="2:13" s="947" customFormat="1" hidden="1">
      <c r="B4861" s="1543"/>
      <c r="C4861" s="1332" t="s">
        <v>751</v>
      </c>
      <c r="D4861" s="1331" t="s">
        <v>681</v>
      </c>
      <c r="E4861" s="1331" t="s">
        <v>675</v>
      </c>
      <c r="F4861" s="1334">
        <v>0.2</v>
      </c>
      <c r="G4861" s="1104">
        <f>DUB!$I$13</f>
        <v>240000</v>
      </c>
      <c r="H4861" s="1106">
        <f>G4861*F4861</f>
        <v>48000</v>
      </c>
      <c r="J4861" s="1557"/>
      <c r="K4861" s="1557"/>
      <c r="L4861" s="1557"/>
      <c r="M4861" s="1566"/>
    </row>
    <row r="4862" spans="2:13" s="947" customFormat="1" hidden="1">
      <c r="B4862" s="1543"/>
      <c r="C4862" s="1332" t="s">
        <v>683</v>
      </c>
      <c r="D4862" s="1331" t="s">
        <v>684</v>
      </c>
      <c r="E4862" s="1331" t="s">
        <v>675</v>
      </c>
      <c r="F4862" s="1334">
        <v>0.33500000000000002</v>
      </c>
      <c r="G4862" s="1104">
        <f>DUB!$I$12</f>
        <v>225000</v>
      </c>
      <c r="H4862" s="1106">
        <f>G4862*F4862</f>
        <v>75375</v>
      </c>
      <c r="J4862" s="1557"/>
      <c r="K4862" s="1557"/>
      <c r="L4862" s="1557"/>
      <c r="M4862" s="1566"/>
    </row>
    <row r="4863" spans="2:13" s="947" customFormat="1" hidden="1">
      <c r="B4863" s="1543"/>
      <c r="C4863" s="1332"/>
      <c r="D4863" s="1331"/>
      <c r="E4863" s="1331"/>
      <c r="F4863" s="2074" t="s">
        <v>685</v>
      </c>
      <c r="G4863" s="2074"/>
      <c r="H4863" s="1106">
        <f>SUM(H4859:H4862)</f>
        <v>597875</v>
      </c>
      <c r="J4863" s="1557"/>
      <c r="K4863" s="1557"/>
      <c r="L4863" s="1557"/>
      <c r="M4863" s="1566"/>
    </row>
    <row r="4864" spans="2:13" s="947" customFormat="1" hidden="1">
      <c r="B4864" s="1543" t="s">
        <v>686</v>
      </c>
      <c r="C4864" s="1332" t="s">
        <v>687</v>
      </c>
      <c r="D4864" s="1331"/>
      <c r="E4864" s="1331"/>
      <c r="F4864" s="1334"/>
      <c r="G4864" s="1104"/>
      <c r="H4864" s="1106"/>
      <c r="J4864" s="1557"/>
      <c r="K4864" s="1557"/>
      <c r="L4864" s="1557"/>
      <c r="M4864" s="1566"/>
    </row>
    <row r="4865" spans="2:13" s="947" customFormat="1" hidden="1">
      <c r="B4865" s="1543"/>
      <c r="C4865" s="1332" t="s">
        <v>1270</v>
      </c>
      <c r="D4865" s="1331"/>
      <c r="E4865" s="1331" t="s">
        <v>2646</v>
      </c>
      <c r="F4865" s="1334">
        <v>0.06</v>
      </c>
      <c r="G4865" s="1152">
        <f>DUB!$I$84</f>
        <v>6961500</v>
      </c>
      <c r="H4865" s="1106">
        <f>G4865*F4865</f>
        <v>417690</v>
      </c>
      <c r="J4865" s="1557"/>
      <c r="K4865" s="1557"/>
      <c r="L4865" s="1557"/>
      <c r="M4865" s="1566"/>
    </row>
    <row r="4866" spans="2:13" s="947" customFormat="1" hidden="1">
      <c r="B4866" s="1543"/>
      <c r="C4866" s="1332" t="s">
        <v>2657</v>
      </c>
      <c r="D4866" s="1331"/>
      <c r="E4866" s="1331" t="s">
        <v>773</v>
      </c>
      <c r="F4866" s="1334">
        <v>0.15</v>
      </c>
      <c r="G4866" s="1104">
        <f>DUB!$I$128</f>
        <v>20441.7</v>
      </c>
      <c r="H4866" s="1106">
        <f>G4866*F4866</f>
        <v>3066.2550000000001</v>
      </c>
      <c r="J4866" s="1557"/>
      <c r="K4866" s="1557"/>
      <c r="L4866" s="1557"/>
      <c r="M4866" s="1566"/>
    </row>
    <row r="4867" spans="2:13" s="947" customFormat="1" hidden="1">
      <c r="B4867" s="1543"/>
      <c r="C4867" s="1125"/>
      <c r="D4867" s="1333"/>
      <c r="E4867" s="1333"/>
      <c r="F4867" s="2074" t="s">
        <v>702</v>
      </c>
      <c r="G4867" s="2074"/>
      <c r="H4867" s="1106">
        <f>SUM(H4865:H4866)</f>
        <v>420756.255</v>
      </c>
      <c r="J4867" s="1557"/>
      <c r="K4867" s="1557"/>
      <c r="L4867" s="1557"/>
      <c r="M4867" s="1566"/>
    </row>
    <row r="4868" spans="2:13" s="949" customFormat="1" hidden="1">
      <c r="B4868" s="1543" t="s">
        <v>703</v>
      </c>
      <c r="C4868" s="2075" t="s">
        <v>3764</v>
      </c>
      <c r="D4868" s="2075"/>
      <c r="E4868" s="2075"/>
      <c r="F4868" s="2075"/>
      <c r="G4868" s="2075"/>
      <c r="H4868" s="1107">
        <f>H4863+H4867</f>
        <v>1018631.255</v>
      </c>
      <c r="J4868" s="1559"/>
      <c r="K4868" s="1559"/>
      <c r="L4868" s="1559"/>
      <c r="M4868" s="1635"/>
    </row>
    <row r="4869" spans="2:13" s="949" customFormat="1" hidden="1">
      <c r="B4869" s="1543" t="s">
        <v>706</v>
      </c>
      <c r="C4869" s="2076" t="s">
        <v>876</v>
      </c>
      <c r="D4869" s="2076"/>
      <c r="E4869" s="2076"/>
      <c r="F4869" s="2077" t="s">
        <v>3873</v>
      </c>
      <c r="G4869" s="2077"/>
      <c r="H4869" s="1107">
        <f>H4868*0.15</f>
        <v>152794.68825000001</v>
      </c>
      <c r="J4869" s="1559"/>
      <c r="K4869" s="1559"/>
      <c r="L4869" s="1559"/>
      <c r="M4869" s="1635"/>
    </row>
    <row r="4870" spans="2:13" s="949" customFormat="1" hidden="1">
      <c r="B4870" s="1543" t="s">
        <v>708</v>
      </c>
      <c r="C4870" s="2078" t="s">
        <v>3765</v>
      </c>
      <c r="D4870" s="2078"/>
      <c r="E4870" s="2078"/>
      <c r="F4870" s="2078"/>
      <c r="G4870" s="2078"/>
      <c r="H4870" s="1107">
        <f>ROUND(SUM(H4868:H4869),2)</f>
        <v>1171425.94</v>
      </c>
      <c r="I4870" s="950">
        <f>SUM(H4868:H4869)</f>
        <v>1171425.94325</v>
      </c>
      <c r="J4870" s="1561"/>
      <c r="K4870" s="1561"/>
      <c r="L4870" s="1559"/>
      <c r="M4870" s="1635"/>
    </row>
    <row r="4871" spans="2:13" s="947" customFormat="1" hidden="1">
      <c r="B4871" s="1143"/>
      <c r="C4871" s="1144"/>
      <c r="D4871" s="1143"/>
      <c r="E4871" s="1143"/>
      <c r="F4871" s="1145"/>
      <c r="G4871" s="1146"/>
      <c r="H4871" s="1147"/>
      <c r="J4871" s="1557"/>
      <c r="K4871" s="1557"/>
      <c r="L4871" s="1557"/>
      <c r="M4871" s="1566"/>
    </row>
    <row r="4872" spans="2:13" s="947" customFormat="1" hidden="1">
      <c r="B4872" s="1150" t="s">
        <v>4115</v>
      </c>
      <c r="C4872" s="1112" t="s">
        <v>4470</v>
      </c>
      <c r="D4872" s="1129"/>
      <c r="E4872" s="1129"/>
      <c r="F4872" s="1131"/>
      <c r="G4872" s="1132"/>
      <c r="H4872" s="1115"/>
      <c r="J4872" s="1557"/>
      <c r="K4872" s="1557"/>
      <c r="L4872" s="1557"/>
      <c r="M4872" s="1566"/>
    </row>
    <row r="4873" spans="2:13" s="948" customFormat="1" ht="24.9" hidden="1" customHeight="1">
      <c r="B4873" s="1748" t="s">
        <v>1003</v>
      </c>
      <c r="C4873" s="1116" t="s">
        <v>1004</v>
      </c>
      <c r="D4873" s="1116" t="s">
        <v>1005</v>
      </c>
      <c r="E4873" s="1101" t="s">
        <v>1006</v>
      </c>
      <c r="F4873" s="1102" t="s">
        <v>1007</v>
      </c>
      <c r="G4873" s="1109" t="s">
        <v>2637</v>
      </c>
      <c r="H4873" s="1110" t="s">
        <v>2638</v>
      </c>
      <c r="J4873" s="1625"/>
      <c r="K4873" s="1625"/>
      <c r="L4873" s="1625"/>
      <c r="M4873" s="1570"/>
    </row>
    <row r="4874" spans="2:13" s="947" customFormat="1" hidden="1">
      <c r="B4874" s="1543" t="s">
        <v>671</v>
      </c>
      <c r="C4874" s="1118" t="s">
        <v>672</v>
      </c>
      <c r="D4874" s="1539"/>
      <c r="E4874" s="1331"/>
      <c r="F4874" s="1334"/>
      <c r="G4874" s="1104"/>
      <c r="H4874" s="1106"/>
      <c r="J4874" s="1557"/>
      <c r="K4874" s="1557"/>
      <c r="L4874" s="1557"/>
      <c r="M4874" s="1566"/>
    </row>
    <row r="4875" spans="2:13" s="947" customFormat="1" hidden="1">
      <c r="B4875" s="1543"/>
      <c r="C4875" s="1118" t="s">
        <v>673</v>
      </c>
      <c r="D4875" s="1331" t="s">
        <v>674</v>
      </c>
      <c r="E4875" s="1331" t="s">
        <v>675</v>
      </c>
      <c r="F4875" s="1334">
        <v>0.8</v>
      </c>
      <c r="G4875" s="1104">
        <f>DUB!$I$10</f>
        <v>150000</v>
      </c>
      <c r="H4875" s="1106">
        <f>G4875*F4875</f>
        <v>120000</v>
      </c>
      <c r="J4875" s="1557"/>
      <c r="K4875" s="1557"/>
      <c r="L4875" s="1557"/>
      <c r="M4875" s="1566"/>
    </row>
    <row r="4876" spans="2:13" s="947" customFormat="1" hidden="1">
      <c r="B4876" s="1543"/>
      <c r="C4876" s="1118" t="s">
        <v>871</v>
      </c>
      <c r="D4876" s="1331" t="s">
        <v>678</v>
      </c>
      <c r="E4876" s="1331" t="s">
        <v>675</v>
      </c>
      <c r="F4876" s="1334">
        <v>2.4</v>
      </c>
      <c r="G4876" s="1104">
        <f>DUB!$I$11</f>
        <v>187000</v>
      </c>
      <c r="H4876" s="1106">
        <f>G4876*F4876</f>
        <v>448800</v>
      </c>
      <c r="J4876" s="1557"/>
      <c r="K4876" s="1557"/>
      <c r="L4876" s="1557"/>
      <c r="M4876" s="1566"/>
    </row>
    <row r="4877" spans="2:13" s="947" customFormat="1" hidden="1">
      <c r="B4877" s="1543"/>
      <c r="C4877" s="1118" t="s">
        <v>751</v>
      </c>
      <c r="D4877" s="1331" t="s">
        <v>681</v>
      </c>
      <c r="E4877" s="1331" t="s">
        <v>675</v>
      </c>
      <c r="F4877" s="1334">
        <v>0.24</v>
      </c>
      <c r="G4877" s="1104">
        <f>DUB!$I$13</f>
        <v>240000</v>
      </c>
      <c r="H4877" s="1106">
        <f>G4877*F4877</f>
        <v>57600</v>
      </c>
      <c r="J4877" s="1557"/>
      <c r="K4877" s="1557"/>
      <c r="L4877" s="1557"/>
      <c r="M4877" s="1566"/>
    </row>
    <row r="4878" spans="2:13" s="947" customFormat="1" hidden="1">
      <c r="B4878" s="1543"/>
      <c r="C4878" s="1118" t="s">
        <v>683</v>
      </c>
      <c r="D4878" s="1331" t="s">
        <v>684</v>
      </c>
      <c r="E4878" s="1331" t="s">
        <v>675</v>
      </c>
      <c r="F4878" s="1334">
        <v>0.04</v>
      </c>
      <c r="G4878" s="1104">
        <f>DUB!$I$12</f>
        <v>225000</v>
      </c>
      <c r="H4878" s="1106">
        <f>G4878*F4878</f>
        <v>9000</v>
      </c>
      <c r="J4878" s="1557"/>
      <c r="K4878" s="1557"/>
      <c r="L4878" s="1557"/>
      <c r="M4878" s="1566"/>
    </row>
    <row r="4879" spans="2:13" s="947" customFormat="1" hidden="1">
      <c r="B4879" s="1543"/>
      <c r="C4879" s="1118"/>
      <c r="D4879" s="1180"/>
      <c r="E4879" s="1331"/>
      <c r="F4879" s="2080" t="s">
        <v>685</v>
      </c>
      <c r="G4879" s="2081"/>
      <c r="H4879" s="1106">
        <f>SUM(H4875:H4878)</f>
        <v>635400</v>
      </c>
      <c r="J4879" s="1557"/>
      <c r="K4879" s="1557"/>
      <c r="L4879" s="1557"/>
      <c r="M4879" s="1566"/>
    </row>
    <row r="4880" spans="2:13" s="947" customFormat="1" hidden="1">
      <c r="B4880" s="1543" t="s">
        <v>686</v>
      </c>
      <c r="C4880" s="1118" t="s">
        <v>687</v>
      </c>
      <c r="D4880" s="1182"/>
      <c r="E4880" s="1331"/>
      <c r="F4880" s="1334"/>
      <c r="G4880" s="1104"/>
      <c r="H4880" s="1106"/>
      <c r="J4880" s="1557"/>
      <c r="K4880" s="1557"/>
      <c r="L4880" s="1557"/>
      <c r="M4880" s="1566"/>
    </row>
    <row r="4881" spans="2:13" s="947" customFormat="1" hidden="1">
      <c r="B4881" s="1543"/>
      <c r="C4881" s="1118" t="s">
        <v>1270</v>
      </c>
      <c r="D4881" s="1182"/>
      <c r="E4881" s="1331" t="s">
        <v>2646</v>
      </c>
      <c r="F4881" s="1334">
        <v>2.5000000000000001E-2</v>
      </c>
      <c r="G4881" s="1104">
        <f>DUB!$I$83</f>
        <v>10710000</v>
      </c>
      <c r="H4881" s="1106">
        <f>G4881*F4881</f>
        <v>267750</v>
      </c>
      <c r="J4881" s="1557"/>
      <c r="K4881" s="1557"/>
      <c r="L4881" s="1557"/>
      <c r="M4881" s="1566"/>
    </row>
    <row r="4882" spans="2:13" s="947" customFormat="1" hidden="1">
      <c r="B4882" s="1543"/>
      <c r="C4882" s="1118" t="s">
        <v>2657</v>
      </c>
      <c r="D4882" s="1182"/>
      <c r="E4882" s="1331" t="s">
        <v>773</v>
      </c>
      <c r="F4882" s="1334">
        <v>0.03</v>
      </c>
      <c r="G4882" s="1104">
        <f>DUB!$I$128</f>
        <v>20441.7</v>
      </c>
      <c r="H4882" s="1106">
        <f>G4882*F4882</f>
        <v>613.25099999999998</v>
      </c>
      <c r="J4882" s="1557"/>
      <c r="K4882" s="1557"/>
      <c r="L4882" s="1557"/>
      <c r="M4882" s="1566"/>
    </row>
    <row r="4883" spans="2:13" s="947" customFormat="1" hidden="1">
      <c r="B4883" s="1543"/>
      <c r="C4883" s="1118" t="s">
        <v>1268</v>
      </c>
      <c r="D4883" s="1182"/>
      <c r="E4883" s="1331" t="s">
        <v>773</v>
      </c>
      <c r="F4883" s="1334">
        <v>0.3</v>
      </c>
      <c r="G4883" s="1136">
        <f>DUB!$I$87</f>
        <v>16380</v>
      </c>
      <c r="H4883" s="1106">
        <f>G4883*F4883</f>
        <v>4914</v>
      </c>
      <c r="J4883" s="1557"/>
      <c r="K4883" s="1557"/>
      <c r="L4883" s="1557"/>
      <c r="M4883" s="1566"/>
    </row>
    <row r="4884" spans="2:13" s="947" customFormat="1" hidden="1">
      <c r="B4884" s="1543"/>
      <c r="C4884" s="1119" t="s">
        <v>3367</v>
      </c>
      <c r="D4884" s="1182"/>
      <c r="E4884" s="1187" t="s">
        <v>888</v>
      </c>
      <c r="F4884" s="1179">
        <v>1</v>
      </c>
      <c r="G4884" s="1136">
        <f>DUB!$I$92</f>
        <v>76464</v>
      </c>
      <c r="H4884" s="1106">
        <f>G4884*F4884</f>
        <v>76464</v>
      </c>
      <c r="J4884" s="1557"/>
      <c r="K4884" s="1557"/>
      <c r="L4884" s="1557"/>
      <c r="M4884" s="1566"/>
    </row>
    <row r="4885" spans="2:13" s="947" customFormat="1" hidden="1">
      <c r="B4885" s="1540"/>
      <c r="C4885" s="1118"/>
      <c r="D4885" s="1180"/>
      <c r="E4885" s="1182"/>
      <c r="F4885" s="2080" t="s">
        <v>702</v>
      </c>
      <c r="G4885" s="2081"/>
      <c r="H4885" s="1106">
        <f>SUM(H4881:H4884)</f>
        <v>349741.25099999999</v>
      </c>
      <c r="J4885" s="1557"/>
      <c r="K4885" s="1557"/>
      <c r="L4885" s="1557"/>
      <c r="M4885" s="1566"/>
    </row>
    <row r="4886" spans="2:13" s="949" customFormat="1" hidden="1">
      <c r="B4886" s="1543" t="s">
        <v>703</v>
      </c>
      <c r="C4886" s="1117" t="s">
        <v>3764</v>
      </c>
      <c r="D4886" s="1185"/>
      <c r="E4886" s="1185"/>
      <c r="F4886" s="1404"/>
      <c r="G4886" s="1141"/>
      <c r="H4886" s="1107">
        <f>H4879+H4885</f>
        <v>985141.25099999993</v>
      </c>
      <c r="J4886" s="1559"/>
      <c r="K4886" s="1559"/>
      <c r="L4886" s="1559"/>
      <c r="M4886" s="1635"/>
    </row>
    <row r="4887" spans="2:13" s="949" customFormat="1" hidden="1">
      <c r="B4887" s="1543" t="s">
        <v>706</v>
      </c>
      <c r="C4887" s="1123" t="s">
        <v>876</v>
      </c>
      <c r="D4887" s="1186"/>
      <c r="E4887" s="1186"/>
      <c r="F4887" s="1404" t="s">
        <v>3873</v>
      </c>
      <c r="G4887" s="1141"/>
      <c r="H4887" s="1107">
        <f>H4886*0.15</f>
        <v>147771.18764999998</v>
      </c>
      <c r="J4887" s="1559"/>
      <c r="K4887" s="1559"/>
      <c r="L4887" s="1559"/>
      <c r="M4887" s="1635"/>
    </row>
    <row r="4888" spans="2:13" s="949" customFormat="1" hidden="1">
      <c r="B4888" s="1543" t="s">
        <v>708</v>
      </c>
      <c r="C4888" s="1117" t="s">
        <v>3765</v>
      </c>
      <c r="D4888" s="1185"/>
      <c r="E4888" s="1185"/>
      <c r="F4888" s="1404"/>
      <c r="G4888" s="1141"/>
      <c r="H4888" s="1107">
        <f>ROUND(SUM(H4886:H4887),2)</f>
        <v>1132912.44</v>
      </c>
      <c r="I4888" s="950">
        <f>SUM(H4886:H4887)</f>
        <v>1132912.4386499999</v>
      </c>
      <c r="J4888" s="1561"/>
      <c r="K4888" s="1561"/>
      <c r="L4888" s="1559"/>
      <c r="M4888" s="1635"/>
    </row>
    <row r="4889" spans="2:13" s="947" customFormat="1" hidden="1">
      <c r="B4889" s="1095"/>
      <c r="C4889" s="1096"/>
      <c r="D4889" s="1095"/>
      <c r="E4889" s="1095"/>
      <c r="F4889" s="1172"/>
      <c r="G4889" s="1173"/>
      <c r="H4889" s="1133"/>
      <c r="J4889" s="1557"/>
      <c r="K4889" s="1557"/>
      <c r="L4889" s="1557"/>
      <c r="M4889" s="1566"/>
    </row>
    <row r="4890" spans="2:13" s="947" customFormat="1" hidden="1">
      <c r="B4890" s="1100" t="s">
        <v>4116</v>
      </c>
      <c r="C4890" s="1232" t="s">
        <v>4521</v>
      </c>
      <c r="D4890" s="1095"/>
      <c r="E4890" s="1095"/>
      <c r="F4890" s="1172"/>
      <c r="G4890" s="1173"/>
      <c r="H4890" s="1133"/>
      <c r="J4890" s="1557"/>
      <c r="K4890" s="1557"/>
      <c r="L4890" s="1557"/>
      <c r="M4890" s="1566"/>
    </row>
    <row r="4891" spans="2:13" s="948" customFormat="1" ht="24.9" hidden="1" customHeight="1">
      <c r="B4891" s="1748" t="s">
        <v>1003</v>
      </c>
      <c r="C4891" s="1116" t="s">
        <v>1004</v>
      </c>
      <c r="D4891" s="1116" t="s">
        <v>1005</v>
      </c>
      <c r="E4891" s="1116" t="s">
        <v>1006</v>
      </c>
      <c r="F4891" s="1139" t="s">
        <v>1007</v>
      </c>
      <c r="G4891" s="1103" t="s">
        <v>2637</v>
      </c>
      <c r="H4891" s="1110" t="s">
        <v>2638</v>
      </c>
      <c r="J4891" s="1625"/>
      <c r="K4891" s="1625"/>
      <c r="L4891" s="1625"/>
      <c r="M4891" s="1570"/>
    </row>
    <row r="4892" spans="2:13" s="947" customFormat="1" hidden="1">
      <c r="B4892" s="1543" t="s">
        <v>671</v>
      </c>
      <c r="C4892" s="1118" t="s">
        <v>672</v>
      </c>
      <c r="D4892" s="1539"/>
      <c r="E4892" s="1539"/>
      <c r="F4892" s="1532"/>
      <c r="G4892" s="1136"/>
      <c r="H4892" s="1106"/>
      <c r="J4892" s="1557"/>
      <c r="K4892" s="1557"/>
      <c r="L4892" s="1557"/>
      <c r="M4892" s="1566"/>
    </row>
    <row r="4893" spans="2:13" s="947" customFormat="1" hidden="1">
      <c r="B4893" s="1543"/>
      <c r="C4893" s="1118" t="s">
        <v>673</v>
      </c>
      <c r="D4893" s="1331" t="s">
        <v>674</v>
      </c>
      <c r="E4893" s="1539" t="s">
        <v>675</v>
      </c>
      <c r="F4893" s="1532">
        <v>0.85</v>
      </c>
      <c r="G4893" s="1104">
        <f>DUB!$I$10</f>
        <v>150000</v>
      </c>
      <c r="H4893" s="1106">
        <f>G4893*F4893</f>
        <v>127500</v>
      </c>
      <c r="J4893" s="1557"/>
      <c r="K4893" s="1557"/>
      <c r="L4893" s="1557"/>
      <c r="M4893" s="1566"/>
    </row>
    <row r="4894" spans="2:13" s="947" customFormat="1" hidden="1">
      <c r="B4894" s="1543"/>
      <c r="C4894" s="1118" t="s">
        <v>871</v>
      </c>
      <c r="D4894" s="1331" t="s">
        <v>678</v>
      </c>
      <c r="E4894" s="1539" t="s">
        <v>675</v>
      </c>
      <c r="F4894" s="1532">
        <v>2.5499999999999998</v>
      </c>
      <c r="G4894" s="1104">
        <f>DUB!$I$11</f>
        <v>187000</v>
      </c>
      <c r="H4894" s="1106">
        <f>G4894*F4894</f>
        <v>476849.99999999994</v>
      </c>
      <c r="J4894" s="1557"/>
      <c r="K4894" s="1557"/>
      <c r="L4894" s="1557"/>
      <c r="M4894" s="1566"/>
    </row>
    <row r="4895" spans="2:13" s="947" customFormat="1" hidden="1">
      <c r="B4895" s="1543"/>
      <c r="C4895" s="1118" t="s">
        <v>751</v>
      </c>
      <c r="D4895" s="1331" t="s">
        <v>681</v>
      </c>
      <c r="E4895" s="1539" t="s">
        <v>675</v>
      </c>
      <c r="F4895" s="1532">
        <v>0.255</v>
      </c>
      <c r="G4895" s="1104">
        <f>DUB!$I$13</f>
        <v>240000</v>
      </c>
      <c r="H4895" s="1106">
        <f>G4895*F4895</f>
        <v>61200</v>
      </c>
      <c r="J4895" s="1557"/>
      <c r="K4895" s="1557"/>
      <c r="L4895" s="1557"/>
      <c r="M4895" s="1566"/>
    </row>
    <row r="4896" spans="2:13" s="947" customFormat="1" hidden="1">
      <c r="B4896" s="1543"/>
      <c r="C4896" s="1118" t="s">
        <v>683</v>
      </c>
      <c r="D4896" s="1331" t="s">
        <v>684</v>
      </c>
      <c r="E4896" s="1539" t="s">
        <v>675</v>
      </c>
      <c r="F4896" s="1532">
        <v>4.2999999999999997E-2</v>
      </c>
      <c r="G4896" s="1104">
        <f>DUB!$I$12</f>
        <v>225000</v>
      </c>
      <c r="H4896" s="1106">
        <f>G4896*F4896</f>
        <v>9675</v>
      </c>
      <c r="J4896" s="1557"/>
      <c r="K4896" s="1557"/>
      <c r="L4896" s="1557"/>
      <c r="M4896" s="1566"/>
    </row>
    <row r="4897" spans="2:13" s="947" customFormat="1" hidden="1">
      <c r="B4897" s="1543"/>
      <c r="C4897" s="1118"/>
      <c r="D4897" s="1539"/>
      <c r="E4897" s="1539"/>
      <c r="F4897" s="2080" t="s">
        <v>685</v>
      </c>
      <c r="G4897" s="2081"/>
      <c r="H4897" s="1106">
        <f>SUM(H4893:H4896)</f>
        <v>675225</v>
      </c>
      <c r="J4897" s="1557"/>
      <c r="K4897" s="1557"/>
      <c r="L4897" s="1557"/>
      <c r="M4897" s="1566"/>
    </row>
    <row r="4898" spans="2:13" s="947" customFormat="1" hidden="1">
      <c r="B4898" s="1543" t="s">
        <v>686</v>
      </c>
      <c r="C4898" s="1118" t="s">
        <v>687</v>
      </c>
      <c r="D4898" s="1539"/>
      <c r="E4898" s="1539"/>
      <c r="F4898" s="1532"/>
      <c r="G4898" s="1136"/>
      <c r="H4898" s="1106"/>
      <c r="J4898" s="1557"/>
      <c r="K4898" s="1557"/>
      <c r="L4898" s="1557"/>
      <c r="M4898" s="1566"/>
    </row>
    <row r="4899" spans="2:13" s="947" customFormat="1" hidden="1">
      <c r="B4899" s="1543"/>
      <c r="C4899" s="1118" t="s">
        <v>1270</v>
      </c>
      <c r="D4899" s="1539"/>
      <c r="E4899" s="1539" t="s">
        <v>2646</v>
      </c>
      <c r="F4899" s="1532">
        <v>2.5000000000000001E-2</v>
      </c>
      <c r="G4899" s="1136">
        <f>DUB!$I$84</f>
        <v>6961500</v>
      </c>
      <c r="H4899" s="1106">
        <f>G4899*F4899</f>
        <v>174037.5</v>
      </c>
      <c r="J4899" s="1557"/>
      <c r="K4899" s="1557"/>
      <c r="L4899" s="1557"/>
      <c r="M4899" s="1566"/>
    </row>
    <row r="4900" spans="2:13" s="947" customFormat="1" hidden="1">
      <c r="B4900" s="1543"/>
      <c r="C4900" s="1118" t="s">
        <v>2657</v>
      </c>
      <c r="D4900" s="1539"/>
      <c r="E4900" s="1539" t="s">
        <v>773</v>
      </c>
      <c r="F4900" s="1532">
        <v>0.03</v>
      </c>
      <c r="G4900" s="1104">
        <f>DUB!$I$128</f>
        <v>20441.7</v>
      </c>
      <c r="H4900" s="1106">
        <f>G4900*F4900</f>
        <v>613.25099999999998</v>
      </c>
      <c r="J4900" s="1557"/>
      <c r="K4900" s="1557"/>
      <c r="L4900" s="1557"/>
      <c r="M4900" s="1566"/>
    </row>
    <row r="4901" spans="2:13" s="947" customFormat="1" hidden="1">
      <c r="B4901" s="1543"/>
      <c r="C4901" s="1118" t="s">
        <v>1268</v>
      </c>
      <c r="D4901" s="1539"/>
      <c r="E4901" s="1539" t="s">
        <v>773</v>
      </c>
      <c r="F4901" s="1532">
        <v>0.8</v>
      </c>
      <c r="G4901" s="1136">
        <f>DUB!$I$87</f>
        <v>16380</v>
      </c>
      <c r="H4901" s="1106">
        <f>G4901*F4901</f>
        <v>13104</v>
      </c>
      <c r="J4901" s="1557"/>
      <c r="K4901" s="1557"/>
      <c r="L4901" s="1557"/>
      <c r="M4901" s="1566"/>
    </row>
    <row r="4902" spans="2:13" s="947" customFormat="1" hidden="1">
      <c r="B4902" s="1543"/>
      <c r="C4902" s="1119" t="s">
        <v>3367</v>
      </c>
      <c r="D4902" s="1539"/>
      <c r="E4902" s="1183" t="s">
        <v>888</v>
      </c>
      <c r="F4902" s="1184">
        <v>1</v>
      </c>
      <c r="G4902" s="1136">
        <f>DUB!$I$92</f>
        <v>76464</v>
      </c>
      <c r="H4902" s="1106">
        <f>G4902*F4902</f>
        <v>76464</v>
      </c>
      <c r="J4902" s="1557"/>
      <c r="K4902" s="1557"/>
      <c r="L4902" s="1557"/>
      <c r="M4902" s="1566"/>
    </row>
    <row r="4903" spans="2:13" s="947" customFormat="1" hidden="1">
      <c r="B4903" s="1543"/>
      <c r="C4903" s="1118" t="s">
        <v>1289</v>
      </c>
      <c r="D4903" s="1539"/>
      <c r="E4903" s="1539" t="s">
        <v>888</v>
      </c>
      <c r="F4903" s="1532">
        <v>0.5</v>
      </c>
      <c r="G4903" s="1136">
        <f>DUB!$I$98</f>
        <v>133875</v>
      </c>
      <c r="H4903" s="1106">
        <f>G4903*F4903</f>
        <v>66937.5</v>
      </c>
      <c r="J4903" s="1557"/>
      <c r="K4903" s="1557"/>
      <c r="L4903" s="1557"/>
      <c r="M4903" s="1566"/>
    </row>
    <row r="4904" spans="2:13" s="947" customFormat="1" hidden="1">
      <c r="B4904" s="1540"/>
      <c r="C4904" s="1118"/>
      <c r="D4904" s="1539"/>
      <c r="E4904" s="1539"/>
      <c r="F4904" s="2080" t="s">
        <v>702</v>
      </c>
      <c r="G4904" s="2081"/>
      <c r="H4904" s="1106">
        <f>SUM(H4899:H4903)</f>
        <v>331156.25099999999</v>
      </c>
      <c r="J4904" s="1557"/>
      <c r="K4904" s="1557"/>
      <c r="L4904" s="1557"/>
      <c r="M4904" s="1566"/>
    </row>
    <row r="4905" spans="2:13" s="949" customFormat="1" hidden="1">
      <c r="B4905" s="1543" t="s">
        <v>703</v>
      </c>
      <c r="C4905" s="1117" t="s">
        <v>3764</v>
      </c>
      <c r="D4905" s="1120"/>
      <c r="E4905" s="1120"/>
      <c r="F4905" s="1121"/>
      <c r="G4905" s="1122"/>
      <c r="H4905" s="1107">
        <f>H4897+H4904</f>
        <v>1006381.2509999999</v>
      </c>
      <c r="J4905" s="1559"/>
      <c r="K4905" s="1559"/>
      <c r="L4905" s="1559"/>
      <c r="M4905" s="1635"/>
    </row>
    <row r="4906" spans="2:13" s="949" customFormat="1" hidden="1">
      <c r="B4906" s="1543" t="s">
        <v>706</v>
      </c>
      <c r="C4906" s="1123" t="s">
        <v>876</v>
      </c>
      <c r="D4906" s="1124"/>
      <c r="E4906" s="1124"/>
      <c r="F4906" s="1545" t="s">
        <v>3873</v>
      </c>
      <c r="G4906" s="1122"/>
      <c r="H4906" s="1107">
        <f>H4905*0.15</f>
        <v>150957.18764999998</v>
      </c>
      <c r="J4906" s="1559"/>
      <c r="K4906" s="1559"/>
      <c r="L4906" s="1559"/>
      <c r="M4906" s="1635"/>
    </row>
    <row r="4907" spans="2:13" s="949" customFormat="1" hidden="1">
      <c r="B4907" s="1543" t="s">
        <v>708</v>
      </c>
      <c r="C4907" s="1117" t="s">
        <v>3765</v>
      </c>
      <c r="D4907" s="1120"/>
      <c r="E4907" s="1120"/>
      <c r="F4907" s="1121"/>
      <c r="G4907" s="1122"/>
      <c r="H4907" s="1107">
        <f>ROUND(SUM(H4905:H4906),2)</f>
        <v>1157338.44</v>
      </c>
      <c r="I4907" s="950">
        <f>SUM(H4905:H4906)</f>
        <v>1157338.4386499999</v>
      </c>
      <c r="J4907" s="1561"/>
      <c r="K4907" s="1561"/>
      <c r="L4907" s="1559"/>
      <c r="M4907" s="1635"/>
    </row>
    <row r="4908" spans="2:13" s="947" customFormat="1" hidden="1">
      <c r="B4908" s="1143"/>
      <c r="C4908" s="1144"/>
      <c r="D4908" s="1143"/>
      <c r="E4908" s="1143"/>
      <c r="F4908" s="1145"/>
      <c r="G4908" s="1146"/>
      <c r="H4908" s="1147"/>
      <c r="J4908" s="1557"/>
      <c r="K4908" s="1557"/>
      <c r="L4908" s="1557"/>
      <c r="M4908" s="1566"/>
    </row>
    <row r="4909" spans="2:13" s="947" customFormat="1" hidden="1">
      <c r="B4909" s="1150" t="s">
        <v>4117</v>
      </c>
      <c r="C4909" s="1112" t="s">
        <v>3437</v>
      </c>
      <c r="D4909" s="1129"/>
      <c r="E4909" s="1129"/>
      <c r="F4909" s="1131"/>
      <c r="G4909" s="1132"/>
      <c r="H4909" s="1115"/>
      <c r="J4909" s="1557"/>
      <c r="K4909" s="1557"/>
      <c r="L4909" s="1557"/>
      <c r="M4909" s="1566"/>
    </row>
    <row r="4910" spans="2:13" s="948" customFormat="1" ht="24.9" hidden="1" customHeight="1">
      <c r="B4910" s="1748" t="s">
        <v>1003</v>
      </c>
      <c r="C4910" s="1101" t="s">
        <v>1004</v>
      </c>
      <c r="D4910" s="1116" t="s">
        <v>1005</v>
      </c>
      <c r="E4910" s="1116" t="s">
        <v>1006</v>
      </c>
      <c r="F4910" s="1139" t="s">
        <v>1007</v>
      </c>
      <c r="G4910" s="1206" t="s">
        <v>2637</v>
      </c>
      <c r="H4910" s="1110" t="s">
        <v>2638</v>
      </c>
      <c r="J4910" s="1625"/>
      <c r="K4910" s="1625"/>
      <c r="L4910" s="1625"/>
      <c r="M4910" s="1570"/>
    </row>
    <row r="4911" spans="2:13" s="947" customFormat="1" hidden="1">
      <c r="B4911" s="1543" t="s">
        <v>671</v>
      </c>
      <c r="C4911" s="1332" t="s">
        <v>672</v>
      </c>
      <c r="D4911" s="1539"/>
      <c r="E4911" s="1539"/>
      <c r="F4911" s="1532"/>
      <c r="G4911" s="1152"/>
      <c r="H4911" s="1106"/>
      <c r="J4911" s="1557"/>
      <c r="K4911" s="1557"/>
      <c r="L4911" s="1557"/>
      <c r="M4911" s="1566"/>
    </row>
    <row r="4912" spans="2:13" s="947" customFormat="1" hidden="1">
      <c r="B4912" s="1543"/>
      <c r="C4912" s="1332" t="s">
        <v>673</v>
      </c>
      <c r="D4912" s="1331" t="s">
        <v>674</v>
      </c>
      <c r="E4912" s="1539" t="s">
        <v>675</v>
      </c>
      <c r="F4912" s="1532">
        <v>4</v>
      </c>
      <c r="G4912" s="1104">
        <f>DUB!$I$10</f>
        <v>150000</v>
      </c>
      <c r="H4912" s="1106">
        <f>G4912*F4912</f>
        <v>600000</v>
      </c>
      <c r="J4912" s="1557"/>
      <c r="K4912" s="1557"/>
      <c r="L4912" s="1557"/>
      <c r="M4912" s="1566"/>
    </row>
    <row r="4913" spans="2:13" s="947" customFormat="1" hidden="1">
      <c r="B4913" s="1543"/>
      <c r="C4913" s="1332" t="s">
        <v>871</v>
      </c>
      <c r="D4913" s="1331" t="s">
        <v>678</v>
      </c>
      <c r="E4913" s="1539" t="s">
        <v>675</v>
      </c>
      <c r="F4913" s="1532">
        <v>12</v>
      </c>
      <c r="G4913" s="1104">
        <f>DUB!$I$11</f>
        <v>187000</v>
      </c>
      <c r="H4913" s="1106">
        <f>G4913*F4913</f>
        <v>2244000</v>
      </c>
      <c r="J4913" s="1557"/>
      <c r="K4913" s="1557"/>
      <c r="L4913" s="1557"/>
      <c r="M4913" s="1566"/>
    </row>
    <row r="4914" spans="2:13" s="947" customFormat="1" hidden="1">
      <c r="B4914" s="1543"/>
      <c r="C4914" s="1332" t="s">
        <v>751</v>
      </c>
      <c r="D4914" s="1331" t="s">
        <v>681</v>
      </c>
      <c r="E4914" s="1539" t="s">
        <v>675</v>
      </c>
      <c r="F4914" s="1532">
        <v>1.2</v>
      </c>
      <c r="G4914" s="1104">
        <f>DUB!$I$13</f>
        <v>240000</v>
      </c>
      <c r="H4914" s="1106">
        <f>G4914*F4914</f>
        <v>288000</v>
      </c>
      <c r="J4914" s="1557"/>
      <c r="K4914" s="1557"/>
      <c r="L4914" s="1557"/>
      <c r="M4914" s="1566"/>
    </row>
    <row r="4915" spans="2:13" s="947" customFormat="1" hidden="1">
      <c r="B4915" s="1543"/>
      <c r="C4915" s="1332" t="s">
        <v>683</v>
      </c>
      <c r="D4915" s="1331" t="s">
        <v>684</v>
      </c>
      <c r="E4915" s="1539" t="s">
        <v>675</v>
      </c>
      <c r="F4915" s="1532">
        <v>0.2</v>
      </c>
      <c r="G4915" s="1104">
        <f>DUB!$I$12</f>
        <v>225000</v>
      </c>
      <c r="H4915" s="1106">
        <f>G4915*F4915</f>
        <v>45000</v>
      </c>
      <c r="J4915" s="1557"/>
      <c r="K4915" s="1557"/>
      <c r="L4915" s="1557"/>
      <c r="M4915" s="1566"/>
    </row>
    <row r="4916" spans="2:13" s="947" customFormat="1" hidden="1">
      <c r="B4916" s="1543"/>
      <c r="C4916" s="1332"/>
      <c r="D4916" s="1539"/>
      <c r="E4916" s="1539"/>
      <c r="F4916" s="2080" t="s">
        <v>685</v>
      </c>
      <c r="G4916" s="2081"/>
      <c r="H4916" s="1106">
        <f>SUM(H4912:H4915)</f>
        <v>3177000</v>
      </c>
      <c r="J4916" s="1557"/>
      <c r="K4916" s="1557"/>
      <c r="L4916" s="1557"/>
      <c r="M4916" s="1566"/>
    </row>
    <row r="4917" spans="2:13" s="947" customFormat="1" hidden="1">
      <c r="B4917" s="1543" t="s">
        <v>686</v>
      </c>
      <c r="C4917" s="1332" t="s">
        <v>687</v>
      </c>
      <c r="D4917" s="1539"/>
      <c r="E4917" s="1539"/>
      <c r="F4917" s="1532"/>
      <c r="G4917" s="1152"/>
      <c r="H4917" s="1106"/>
      <c r="J4917" s="1557"/>
      <c r="K4917" s="1557"/>
      <c r="L4917" s="1557"/>
      <c r="M4917" s="1566"/>
    </row>
    <row r="4918" spans="2:13" s="947" customFormat="1" hidden="1">
      <c r="B4918" s="1543"/>
      <c r="C4918" s="1332" t="s">
        <v>1266</v>
      </c>
      <c r="D4918" s="1539"/>
      <c r="E4918" s="1539" t="s">
        <v>2646</v>
      </c>
      <c r="F4918" s="1532">
        <v>1.1000000000000001</v>
      </c>
      <c r="G4918" s="1152">
        <f>DUB!$I$83</f>
        <v>10710000</v>
      </c>
      <c r="H4918" s="1106">
        <f>G4918*F4918</f>
        <v>11781000.000000002</v>
      </c>
      <c r="J4918" s="1557"/>
      <c r="K4918" s="1557"/>
      <c r="L4918" s="1557"/>
      <c r="M4918" s="1566"/>
    </row>
    <row r="4919" spans="2:13" s="947" customFormat="1" hidden="1">
      <c r="B4919" s="1540"/>
      <c r="C4919" s="1332" t="s">
        <v>1291</v>
      </c>
      <c r="D4919" s="1540"/>
      <c r="E4919" s="1539" t="s">
        <v>773</v>
      </c>
      <c r="F4919" s="1532">
        <v>15</v>
      </c>
      <c r="G4919" s="1152">
        <f>DUB!$I$105</f>
        <v>16065</v>
      </c>
      <c r="H4919" s="1106">
        <f>G4919*F4919</f>
        <v>240975</v>
      </c>
      <c r="J4919" s="1557"/>
      <c r="K4919" s="1557"/>
      <c r="L4919" s="1557"/>
      <c r="M4919" s="1566"/>
    </row>
    <row r="4920" spans="2:13" s="947" customFormat="1" hidden="1">
      <c r="B4920" s="1540"/>
      <c r="C4920" s="1332" t="s">
        <v>1292</v>
      </c>
      <c r="D4920" s="1540"/>
      <c r="E4920" s="1539" t="s">
        <v>773</v>
      </c>
      <c r="F4920" s="1532">
        <v>5.6</v>
      </c>
      <c r="G4920" s="1152">
        <f>DUB!$I$128</f>
        <v>20441.7</v>
      </c>
      <c r="H4920" s="1106">
        <f>G4920*F4920</f>
        <v>114473.52</v>
      </c>
      <c r="J4920" s="1557"/>
      <c r="K4920" s="1557"/>
      <c r="L4920" s="1557"/>
      <c r="M4920" s="1566"/>
    </row>
    <row r="4921" spans="2:13" s="947" customFormat="1" hidden="1">
      <c r="B4921" s="1540"/>
      <c r="C4921" s="1332"/>
      <c r="D4921" s="1331"/>
      <c r="E4921" s="1539"/>
      <c r="F4921" s="2080" t="s">
        <v>702</v>
      </c>
      <c r="G4921" s="2081"/>
      <c r="H4921" s="1106">
        <f>SUM(H4918:H4920)</f>
        <v>12136448.520000001</v>
      </c>
      <c r="J4921" s="1557"/>
      <c r="K4921" s="1557"/>
      <c r="L4921" s="1557"/>
      <c r="M4921" s="1566"/>
    </row>
    <row r="4922" spans="2:13" s="949" customFormat="1" hidden="1">
      <c r="B4922" s="1543" t="s">
        <v>703</v>
      </c>
      <c r="C4922" s="2089" t="s">
        <v>3764</v>
      </c>
      <c r="D4922" s="2089"/>
      <c r="E4922" s="2089"/>
      <c r="F4922" s="2089"/>
      <c r="G4922" s="2089"/>
      <c r="H4922" s="1107">
        <f>H4916+H4921</f>
        <v>15313448.520000001</v>
      </c>
      <c r="J4922" s="1559"/>
      <c r="K4922" s="1559"/>
      <c r="L4922" s="1559"/>
      <c r="M4922" s="1635"/>
    </row>
    <row r="4923" spans="2:13" s="949" customFormat="1" hidden="1">
      <c r="B4923" s="1543" t="s">
        <v>706</v>
      </c>
      <c r="C4923" s="2076" t="s">
        <v>876</v>
      </c>
      <c r="D4923" s="2076"/>
      <c r="E4923" s="2076"/>
      <c r="F4923" s="2077" t="s">
        <v>3873</v>
      </c>
      <c r="G4923" s="2077"/>
      <c r="H4923" s="1107">
        <f>H4922*0.15</f>
        <v>2297017.2779999999</v>
      </c>
      <c r="J4923" s="1559"/>
      <c r="K4923" s="1559"/>
      <c r="L4923" s="1559"/>
      <c r="M4923" s="1635"/>
    </row>
    <row r="4924" spans="2:13" s="949" customFormat="1" hidden="1">
      <c r="B4924" s="1543" t="s">
        <v>708</v>
      </c>
      <c r="C4924" s="2078" t="s">
        <v>3765</v>
      </c>
      <c r="D4924" s="2078"/>
      <c r="E4924" s="2078"/>
      <c r="F4924" s="2078"/>
      <c r="G4924" s="2078"/>
      <c r="H4924" s="1107">
        <f>ROUND(SUM(H4922:H4923),2)</f>
        <v>17610465.800000001</v>
      </c>
      <c r="I4924" s="950">
        <f>SUM(H4922:H4923)</f>
        <v>17610465.798</v>
      </c>
      <c r="J4924" s="1561"/>
      <c r="K4924" s="1561"/>
      <c r="L4924" s="1559"/>
      <c r="M4924" s="1635"/>
    </row>
    <row r="4925" spans="2:13" s="947" customFormat="1" hidden="1">
      <c r="B4925" s="1095"/>
      <c r="C4925" s="1096"/>
      <c r="D4925" s="1095"/>
      <c r="E4925" s="1095"/>
      <c r="F4925" s="1172"/>
      <c r="G4925" s="1173"/>
      <c r="H4925" s="1133"/>
      <c r="J4925" s="1557"/>
      <c r="K4925" s="1557"/>
      <c r="L4925" s="1557"/>
      <c r="M4925" s="1566"/>
    </row>
    <row r="4926" spans="2:13" s="947" customFormat="1" hidden="1">
      <c r="B4926" s="1150" t="s">
        <v>4118</v>
      </c>
      <c r="C4926" s="1112" t="s">
        <v>3858</v>
      </c>
      <c r="D4926" s="1129"/>
      <c r="E4926" s="1129"/>
      <c r="F4926" s="1131"/>
      <c r="G4926" s="1132"/>
      <c r="H4926" s="1115"/>
      <c r="J4926" s="1557"/>
      <c r="K4926" s="1557"/>
      <c r="L4926" s="1557"/>
      <c r="M4926" s="1566"/>
    </row>
    <row r="4927" spans="2:13" s="948" customFormat="1" ht="24.9" hidden="1" customHeight="1">
      <c r="B4927" s="1748" t="s">
        <v>1003</v>
      </c>
      <c r="C4927" s="1101" t="s">
        <v>1004</v>
      </c>
      <c r="D4927" s="1116" t="s">
        <v>1005</v>
      </c>
      <c r="E4927" s="1116" t="s">
        <v>1006</v>
      </c>
      <c r="F4927" s="1139" t="s">
        <v>1007</v>
      </c>
      <c r="G4927" s="1206" t="s">
        <v>2637</v>
      </c>
      <c r="H4927" s="1110" t="s">
        <v>2638</v>
      </c>
      <c r="J4927" s="1625"/>
      <c r="K4927" s="1625"/>
      <c r="L4927" s="1625"/>
      <c r="M4927" s="1570"/>
    </row>
    <row r="4928" spans="2:13" s="947" customFormat="1" hidden="1">
      <c r="B4928" s="1543" t="s">
        <v>671</v>
      </c>
      <c r="C4928" s="1332" t="s">
        <v>672</v>
      </c>
      <c r="D4928" s="1539"/>
      <c r="E4928" s="1539"/>
      <c r="F4928" s="1532"/>
      <c r="G4928" s="1152"/>
      <c r="H4928" s="1106"/>
      <c r="J4928" s="1557"/>
      <c r="K4928" s="1557"/>
      <c r="L4928" s="1557"/>
      <c r="M4928" s="1566"/>
    </row>
    <row r="4929" spans="2:13" s="947" customFormat="1" hidden="1">
      <c r="B4929" s="1543"/>
      <c r="C4929" s="1332" t="s">
        <v>673</v>
      </c>
      <c r="D4929" s="1331" t="s">
        <v>674</v>
      </c>
      <c r="E4929" s="1539" t="s">
        <v>675</v>
      </c>
      <c r="F4929" s="1532">
        <v>4</v>
      </c>
      <c r="G4929" s="1104">
        <f>DUB!$I$10</f>
        <v>150000</v>
      </c>
      <c r="H4929" s="1106">
        <f>G4929*F4929</f>
        <v>600000</v>
      </c>
      <c r="J4929" s="1557"/>
      <c r="K4929" s="1557"/>
      <c r="L4929" s="1557"/>
      <c r="M4929" s="1566"/>
    </row>
    <row r="4930" spans="2:13" s="947" customFormat="1" hidden="1">
      <c r="B4930" s="1543"/>
      <c r="C4930" s="1332" t="s">
        <v>871</v>
      </c>
      <c r="D4930" s="1331" t="s">
        <v>678</v>
      </c>
      <c r="E4930" s="1539" t="s">
        <v>675</v>
      </c>
      <c r="F4930" s="1532">
        <v>12</v>
      </c>
      <c r="G4930" s="1104">
        <f>DUB!$I$11</f>
        <v>187000</v>
      </c>
      <c r="H4930" s="1106">
        <f>G4930*F4930</f>
        <v>2244000</v>
      </c>
      <c r="J4930" s="1557"/>
      <c r="K4930" s="1557"/>
      <c r="L4930" s="1557"/>
      <c r="M4930" s="1566"/>
    </row>
    <row r="4931" spans="2:13" s="947" customFormat="1" hidden="1">
      <c r="B4931" s="1543"/>
      <c r="C4931" s="1332" t="s">
        <v>751</v>
      </c>
      <c r="D4931" s="1331" t="s">
        <v>681</v>
      </c>
      <c r="E4931" s="1539" t="s">
        <v>675</v>
      </c>
      <c r="F4931" s="1532">
        <v>1.2</v>
      </c>
      <c r="G4931" s="1104">
        <f>DUB!$I$13</f>
        <v>240000</v>
      </c>
      <c r="H4931" s="1106">
        <f>G4931*F4931</f>
        <v>288000</v>
      </c>
      <c r="J4931" s="1557"/>
      <c r="K4931" s="1557"/>
      <c r="L4931" s="1557"/>
      <c r="M4931" s="1566"/>
    </row>
    <row r="4932" spans="2:13" s="947" customFormat="1" hidden="1">
      <c r="B4932" s="1543"/>
      <c r="C4932" s="1332" t="s">
        <v>683</v>
      </c>
      <c r="D4932" s="1331" t="s">
        <v>684</v>
      </c>
      <c r="E4932" s="1539" t="s">
        <v>675</v>
      </c>
      <c r="F4932" s="1532">
        <v>0.2</v>
      </c>
      <c r="G4932" s="1104">
        <f>DUB!$I$12</f>
        <v>225000</v>
      </c>
      <c r="H4932" s="1106">
        <f>G4932*F4932</f>
        <v>45000</v>
      </c>
      <c r="J4932" s="1557"/>
      <c r="K4932" s="1557"/>
      <c r="L4932" s="1557"/>
      <c r="M4932" s="1566"/>
    </row>
    <row r="4933" spans="2:13" s="947" customFormat="1" hidden="1">
      <c r="B4933" s="1543"/>
      <c r="C4933" s="1332"/>
      <c r="D4933" s="1539"/>
      <c r="E4933" s="1539"/>
      <c r="F4933" s="2080" t="s">
        <v>685</v>
      </c>
      <c r="G4933" s="2081"/>
      <c r="H4933" s="1106">
        <f>SUM(H4929:H4932)</f>
        <v>3177000</v>
      </c>
      <c r="J4933" s="1557"/>
      <c r="K4933" s="1557"/>
      <c r="L4933" s="1557"/>
      <c r="M4933" s="1566"/>
    </row>
    <row r="4934" spans="2:13" s="947" customFormat="1" hidden="1">
      <c r="B4934" s="1543" t="s">
        <v>686</v>
      </c>
      <c r="C4934" s="1332" t="s">
        <v>687</v>
      </c>
      <c r="D4934" s="1539"/>
      <c r="E4934" s="1539"/>
      <c r="F4934" s="1532"/>
      <c r="G4934" s="1152"/>
      <c r="H4934" s="1106"/>
      <c r="J4934" s="1557"/>
      <c r="K4934" s="1557"/>
      <c r="L4934" s="1557"/>
      <c r="M4934" s="1566"/>
    </row>
    <row r="4935" spans="2:13" s="947" customFormat="1" hidden="1">
      <c r="B4935" s="1543"/>
      <c r="C4935" s="1332" t="s">
        <v>1266</v>
      </c>
      <c r="D4935" s="1539"/>
      <c r="E4935" s="1539" t="s">
        <v>2646</v>
      </c>
      <c r="F4935" s="1532">
        <v>1.1000000000000001</v>
      </c>
      <c r="G4935" s="1152">
        <f>DUB!$I$84</f>
        <v>6961500</v>
      </c>
      <c r="H4935" s="1106">
        <f>G4935*F4935</f>
        <v>7657650.0000000009</v>
      </c>
      <c r="J4935" s="1557"/>
      <c r="K4935" s="1557"/>
      <c r="L4935" s="1557"/>
      <c r="M4935" s="1566"/>
    </row>
    <row r="4936" spans="2:13" s="947" customFormat="1" hidden="1">
      <c r="B4936" s="1543"/>
      <c r="C4936" s="1332" t="s">
        <v>1291</v>
      </c>
      <c r="D4936" s="1540"/>
      <c r="E4936" s="1539" t="s">
        <v>773</v>
      </c>
      <c r="F4936" s="1532">
        <v>15</v>
      </c>
      <c r="G4936" s="1152">
        <f>DUB!$I$105</f>
        <v>16065</v>
      </c>
      <c r="H4936" s="1106">
        <f>G4936*F4936</f>
        <v>240975</v>
      </c>
      <c r="J4936" s="1557"/>
      <c r="K4936" s="1557"/>
      <c r="L4936" s="1557"/>
      <c r="M4936" s="1566"/>
    </row>
    <row r="4937" spans="2:13" s="947" customFormat="1" hidden="1">
      <c r="B4937" s="1540"/>
      <c r="C4937" s="1332" t="s">
        <v>1292</v>
      </c>
      <c r="D4937" s="1540"/>
      <c r="E4937" s="1539" t="s">
        <v>773</v>
      </c>
      <c r="F4937" s="1532">
        <v>5.6</v>
      </c>
      <c r="G4937" s="1152">
        <f>DUB!$I$128</f>
        <v>20441.7</v>
      </c>
      <c r="H4937" s="1106">
        <f>G4937*F4937</f>
        <v>114473.52</v>
      </c>
      <c r="J4937" s="1557"/>
      <c r="K4937" s="1557"/>
      <c r="L4937" s="1557"/>
      <c r="M4937" s="1566"/>
    </row>
    <row r="4938" spans="2:13" s="947" customFormat="1" hidden="1">
      <c r="B4938" s="1540"/>
      <c r="C4938" s="1332"/>
      <c r="D4938" s="1331"/>
      <c r="E4938" s="1539"/>
      <c r="F4938" s="2080" t="s">
        <v>702</v>
      </c>
      <c r="G4938" s="2081"/>
      <c r="H4938" s="1106">
        <f>SUM(H4935:H4937)</f>
        <v>8013098.5200000005</v>
      </c>
      <c r="J4938" s="1557"/>
      <c r="K4938" s="1557"/>
      <c r="L4938" s="1557"/>
      <c r="M4938" s="1566"/>
    </row>
    <row r="4939" spans="2:13" s="949" customFormat="1" hidden="1">
      <c r="B4939" s="1543" t="s">
        <v>703</v>
      </c>
      <c r="C4939" s="2089" t="s">
        <v>3764</v>
      </c>
      <c r="D4939" s="2089"/>
      <c r="E4939" s="2089"/>
      <c r="F4939" s="2089"/>
      <c r="G4939" s="2089"/>
      <c r="H4939" s="1107">
        <f>H4933+H4938</f>
        <v>11190098.52</v>
      </c>
      <c r="J4939" s="1559"/>
      <c r="K4939" s="1559"/>
      <c r="L4939" s="1559"/>
      <c r="M4939" s="1635"/>
    </row>
    <row r="4940" spans="2:13" s="949" customFormat="1" hidden="1">
      <c r="B4940" s="1543" t="s">
        <v>706</v>
      </c>
      <c r="C4940" s="2076" t="s">
        <v>876</v>
      </c>
      <c r="D4940" s="2076"/>
      <c r="E4940" s="2076"/>
      <c r="F4940" s="2077" t="s">
        <v>3873</v>
      </c>
      <c r="G4940" s="2077"/>
      <c r="H4940" s="1107">
        <f>H4939*0.15</f>
        <v>1678514.7779999999</v>
      </c>
      <c r="J4940" s="1559"/>
      <c r="K4940" s="1559"/>
      <c r="L4940" s="1559"/>
      <c r="M4940" s="1635"/>
    </row>
    <row r="4941" spans="2:13" s="949" customFormat="1" hidden="1">
      <c r="B4941" s="1543" t="s">
        <v>708</v>
      </c>
      <c r="C4941" s="2078" t="s">
        <v>3765</v>
      </c>
      <c r="D4941" s="2078"/>
      <c r="E4941" s="2078"/>
      <c r="F4941" s="2078"/>
      <c r="G4941" s="2078"/>
      <c r="H4941" s="1107">
        <f>ROUND(SUM(H4939:H4940),2)</f>
        <v>12868613.300000001</v>
      </c>
      <c r="I4941" s="950">
        <f>SUM(H4939:H4940)</f>
        <v>12868613.298</v>
      </c>
      <c r="J4941" s="1561"/>
      <c r="K4941" s="1561"/>
      <c r="L4941" s="1559"/>
      <c r="M4941" s="1635"/>
    </row>
    <row r="4942" spans="2:13" s="947" customFormat="1" hidden="1">
      <c r="B4942" s="1095"/>
      <c r="C4942" s="1096"/>
      <c r="D4942" s="1095"/>
      <c r="E4942" s="1095"/>
      <c r="F4942" s="1172"/>
      <c r="G4942" s="1173"/>
      <c r="H4942" s="1133"/>
      <c r="J4942" s="1557"/>
      <c r="K4942" s="1557"/>
      <c r="L4942" s="1557"/>
      <c r="M4942" s="1566"/>
    </row>
    <row r="4943" spans="2:13" s="947" customFormat="1" hidden="1">
      <c r="B4943" s="1150" t="s">
        <v>4119</v>
      </c>
      <c r="C4943" s="1112" t="s">
        <v>3859</v>
      </c>
      <c r="D4943" s="1129"/>
      <c r="E4943" s="1129"/>
      <c r="F4943" s="1131"/>
      <c r="G4943" s="1132"/>
      <c r="H4943" s="1115"/>
      <c r="J4943" s="1557"/>
      <c r="K4943" s="1557"/>
      <c r="L4943" s="1557"/>
      <c r="M4943" s="1566"/>
    </row>
    <row r="4944" spans="2:13" s="948" customFormat="1" ht="24.9" hidden="1" customHeight="1">
      <c r="B4944" s="1748" t="s">
        <v>1003</v>
      </c>
      <c r="C4944" s="1101" t="s">
        <v>1004</v>
      </c>
      <c r="D4944" s="1116" t="s">
        <v>1005</v>
      </c>
      <c r="E4944" s="1116" t="s">
        <v>1006</v>
      </c>
      <c r="F4944" s="1139" t="s">
        <v>1007</v>
      </c>
      <c r="G4944" s="1206" t="s">
        <v>2637</v>
      </c>
      <c r="H4944" s="1110" t="s">
        <v>2638</v>
      </c>
      <c r="J4944" s="1625"/>
      <c r="K4944" s="1625"/>
      <c r="L4944" s="1625"/>
      <c r="M4944" s="1570"/>
    </row>
    <row r="4945" spans="2:13" s="947" customFormat="1" hidden="1">
      <c r="B4945" s="1543" t="s">
        <v>671</v>
      </c>
      <c r="C4945" s="1332" t="s">
        <v>672</v>
      </c>
      <c r="D4945" s="1539"/>
      <c r="E4945" s="1539"/>
      <c r="F4945" s="1532"/>
      <c r="G4945" s="1152"/>
      <c r="H4945" s="1106"/>
      <c r="J4945" s="1557"/>
      <c r="K4945" s="1557"/>
      <c r="L4945" s="1557"/>
      <c r="M4945" s="1566"/>
    </row>
    <row r="4946" spans="2:13" s="947" customFormat="1" hidden="1">
      <c r="B4946" s="1543"/>
      <c r="C4946" s="1332" t="s">
        <v>673</v>
      </c>
      <c r="D4946" s="1331" t="s">
        <v>674</v>
      </c>
      <c r="E4946" s="1539" t="s">
        <v>675</v>
      </c>
      <c r="F4946" s="1532">
        <v>4</v>
      </c>
      <c r="G4946" s="1104">
        <f>DUB!$I$10</f>
        <v>150000</v>
      </c>
      <c r="H4946" s="1106">
        <f>G4946*F4946</f>
        <v>600000</v>
      </c>
      <c r="J4946" s="1557"/>
      <c r="K4946" s="1557"/>
      <c r="L4946" s="1557"/>
      <c r="M4946" s="1566"/>
    </row>
    <row r="4947" spans="2:13" s="947" customFormat="1" hidden="1">
      <c r="B4947" s="1543"/>
      <c r="C4947" s="1332" t="s">
        <v>871</v>
      </c>
      <c r="D4947" s="1331" t="s">
        <v>678</v>
      </c>
      <c r="E4947" s="1539" t="s">
        <v>675</v>
      </c>
      <c r="F4947" s="1532">
        <v>12</v>
      </c>
      <c r="G4947" s="1104">
        <f>DUB!$I$11</f>
        <v>187000</v>
      </c>
      <c r="H4947" s="1106">
        <f>G4947*F4947</f>
        <v>2244000</v>
      </c>
      <c r="J4947" s="1557"/>
      <c r="K4947" s="1557"/>
      <c r="L4947" s="1557"/>
      <c r="M4947" s="1566"/>
    </row>
    <row r="4948" spans="2:13" s="947" customFormat="1" hidden="1">
      <c r="B4948" s="1543"/>
      <c r="C4948" s="1332" t="s">
        <v>751</v>
      </c>
      <c r="D4948" s="1331" t="s">
        <v>681</v>
      </c>
      <c r="E4948" s="1539" t="s">
        <v>675</v>
      </c>
      <c r="F4948" s="1532">
        <v>1.2</v>
      </c>
      <c r="G4948" s="1104">
        <f>DUB!$I$13</f>
        <v>240000</v>
      </c>
      <c r="H4948" s="1106">
        <f>G4948*F4948</f>
        <v>288000</v>
      </c>
      <c r="J4948" s="1557"/>
      <c r="K4948" s="1557"/>
      <c r="L4948" s="1557"/>
      <c r="M4948" s="1566"/>
    </row>
    <row r="4949" spans="2:13" s="947" customFormat="1" hidden="1">
      <c r="B4949" s="1543"/>
      <c r="C4949" s="1332" t="s">
        <v>683</v>
      </c>
      <c r="D4949" s="1331" t="s">
        <v>684</v>
      </c>
      <c r="E4949" s="1539" t="s">
        <v>675</v>
      </c>
      <c r="F4949" s="1532">
        <v>0.2</v>
      </c>
      <c r="G4949" s="1104">
        <f>DUB!$I$12</f>
        <v>225000</v>
      </c>
      <c r="H4949" s="1106">
        <f>G4949*F4949</f>
        <v>45000</v>
      </c>
      <c r="J4949" s="1557"/>
      <c r="K4949" s="1557"/>
      <c r="L4949" s="1557"/>
      <c r="M4949" s="1566"/>
    </row>
    <row r="4950" spans="2:13" s="947" customFormat="1" hidden="1">
      <c r="B4950" s="1543"/>
      <c r="C4950" s="1332"/>
      <c r="D4950" s="1539"/>
      <c r="E4950" s="1539"/>
      <c r="F4950" s="2080" t="s">
        <v>702</v>
      </c>
      <c r="G4950" s="2081"/>
      <c r="H4950" s="1106">
        <f>SUM(H4946:H4949)</f>
        <v>3177000</v>
      </c>
      <c r="J4950" s="1557"/>
      <c r="K4950" s="1557"/>
      <c r="L4950" s="1557"/>
      <c r="M4950" s="1566"/>
    </row>
    <row r="4951" spans="2:13" s="947" customFormat="1" hidden="1">
      <c r="B4951" s="1543" t="s">
        <v>686</v>
      </c>
      <c r="C4951" s="1332" t="s">
        <v>687</v>
      </c>
      <c r="D4951" s="1539"/>
      <c r="E4951" s="1539"/>
      <c r="F4951" s="1532"/>
      <c r="G4951" s="1152"/>
      <c r="H4951" s="1106"/>
      <c r="J4951" s="1557"/>
      <c r="K4951" s="1557"/>
      <c r="L4951" s="1557"/>
      <c r="M4951" s="1566"/>
    </row>
    <row r="4952" spans="2:13" s="947" customFormat="1" hidden="1">
      <c r="B4952" s="1543"/>
      <c r="C4952" s="1332" t="s">
        <v>1266</v>
      </c>
      <c r="D4952" s="1539"/>
      <c r="E4952" s="1539" t="s">
        <v>2646</v>
      </c>
      <c r="F4952" s="1532">
        <v>1.1000000000000001</v>
      </c>
      <c r="G4952" s="1152">
        <f>DUB!$I$85</f>
        <v>6250000</v>
      </c>
      <c r="H4952" s="1106">
        <f>G4952*F4952</f>
        <v>6875000.0000000009</v>
      </c>
      <c r="J4952" s="1557"/>
      <c r="K4952" s="1557"/>
      <c r="L4952" s="1557"/>
      <c r="M4952" s="1566"/>
    </row>
    <row r="4953" spans="2:13" s="947" customFormat="1" hidden="1">
      <c r="B4953" s="1543"/>
      <c r="C4953" s="1332" t="s">
        <v>1291</v>
      </c>
      <c r="D4953" s="1540"/>
      <c r="E4953" s="1539" t="s">
        <v>773</v>
      </c>
      <c r="F4953" s="1532">
        <v>15</v>
      </c>
      <c r="G4953" s="1152">
        <f>DUB!$I$105</f>
        <v>16065</v>
      </c>
      <c r="H4953" s="1106">
        <f>G4953*F4953</f>
        <v>240975</v>
      </c>
      <c r="J4953" s="1557"/>
      <c r="K4953" s="1557"/>
      <c r="L4953" s="1557"/>
      <c r="M4953" s="1566"/>
    </row>
    <row r="4954" spans="2:13" s="947" customFormat="1" hidden="1">
      <c r="B4954" s="1540"/>
      <c r="C4954" s="1332" t="s">
        <v>1292</v>
      </c>
      <c r="D4954" s="1540"/>
      <c r="E4954" s="1539" t="s">
        <v>773</v>
      </c>
      <c r="F4954" s="1532">
        <v>5.6</v>
      </c>
      <c r="G4954" s="1152">
        <f>DUB!$I$128</f>
        <v>20441.7</v>
      </c>
      <c r="H4954" s="1106">
        <f>G4954*F4954</f>
        <v>114473.52</v>
      </c>
      <c r="J4954" s="1557"/>
      <c r="K4954" s="1557"/>
      <c r="L4954" s="1557"/>
      <c r="M4954" s="1566"/>
    </row>
    <row r="4955" spans="2:13" s="947" customFormat="1" hidden="1">
      <c r="B4955" s="1540"/>
      <c r="C4955" s="1332"/>
      <c r="D4955" s="1331"/>
      <c r="E4955" s="1539"/>
      <c r="F4955" s="2080" t="s">
        <v>702</v>
      </c>
      <c r="G4955" s="2081"/>
      <c r="H4955" s="1106">
        <f>SUM(H4952:H4954)</f>
        <v>7230448.5200000005</v>
      </c>
      <c r="J4955" s="1557"/>
      <c r="K4955" s="1557"/>
      <c r="L4955" s="1557"/>
      <c r="M4955" s="1566"/>
    </row>
    <row r="4956" spans="2:13" s="949" customFormat="1" hidden="1">
      <c r="B4956" s="1543" t="s">
        <v>703</v>
      </c>
      <c r="C4956" s="2089" t="s">
        <v>3764</v>
      </c>
      <c r="D4956" s="2089"/>
      <c r="E4956" s="2089"/>
      <c r="F4956" s="2089"/>
      <c r="G4956" s="2089"/>
      <c r="H4956" s="1107">
        <f>H4950+H4955</f>
        <v>10407448.52</v>
      </c>
      <c r="J4956" s="1559"/>
      <c r="K4956" s="1559"/>
      <c r="L4956" s="1559"/>
      <c r="M4956" s="1635"/>
    </row>
    <row r="4957" spans="2:13" s="949" customFormat="1" hidden="1">
      <c r="B4957" s="1543" t="s">
        <v>706</v>
      </c>
      <c r="C4957" s="2076" t="s">
        <v>876</v>
      </c>
      <c r="D4957" s="2076"/>
      <c r="E4957" s="2076"/>
      <c r="F4957" s="2077" t="s">
        <v>3873</v>
      </c>
      <c r="G4957" s="2077"/>
      <c r="H4957" s="1107">
        <f>H4956*0.15</f>
        <v>1561117.2779999999</v>
      </c>
      <c r="J4957" s="1559"/>
      <c r="K4957" s="1559"/>
      <c r="L4957" s="1559"/>
      <c r="M4957" s="1635"/>
    </row>
    <row r="4958" spans="2:13" s="949" customFormat="1" hidden="1">
      <c r="B4958" s="1543" t="s">
        <v>708</v>
      </c>
      <c r="C4958" s="2078" t="s">
        <v>3765</v>
      </c>
      <c r="D4958" s="2078"/>
      <c r="E4958" s="2078"/>
      <c r="F4958" s="2078"/>
      <c r="G4958" s="2078"/>
      <c r="H4958" s="1107">
        <f>ROUND(SUM(H4956:H4957),2)</f>
        <v>11968565.800000001</v>
      </c>
      <c r="I4958" s="950">
        <f>SUM(H4956:H4957)</f>
        <v>11968565.798</v>
      </c>
      <c r="J4958" s="1561"/>
      <c r="K4958" s="1561"/>
      <c r="L4958" s="1559"/>
      <c r="M4958" s="1635"/>
    </row>
    <row r="4959" spans="2:13" s="947" customFormat="1" hidden="1">
      <c r="B4959" s="1095"/>
      <c r="C4959" s="1096"/>
      <c r="D4959" s="1095"/>
      <c r="E4959" s="1095"/>
      <c r="F4959" s="1172"/>
      <c r="G4959" s="1173"/>
      <c r="H4959" s="1133"/>
      <c r="J4959" s="1557"/>
      <c r="K4959" s="1557"/>
      <c r="L4959" s="1557"/>
      <c r="M4959" s="1566"/>
    </row>
    <row r="4960" spans="2:13" s="947" customFormat="1" hidden="1">
      <c r="B4960" s="1150" t="s">
        <v>4120</v>
      </c>
      <c r="C4960" s="1232" t="s">
        <v>3438</v>
      </c>
      <c r="D4960" s="1095"/>
      <c r="E4960" s="1095"/>
      <c r="F4960" s="1172"/>
      <c r="G4960" s="1173"/>
      <c r="H4960" s="1133"/>
      <c r="J4960" s="1557"/>
      <c r="K4960" s="1557"/>
      <c r="L4960" s="1557"/>
      <c r="M4960" s="1566"/>
    </row>
    <row r="4961" spans="2:13" s="948" customFormat="1" ht="24.9" hidden="1" customHeight="1">
      <c r="B4961" s="1748" t="s">
        <v>1003</v>
      </c>
      <c r="C4961" s="1101" t="s">
        <v>1004</v>
      </c>
      <c r="D4961" s="1101" t="s">
        <v>1005</v>
      </c>
      <c r="E4961" s="1101" t="s">
        <v>1006</v>
      </c>
      <c r="F4961" s="1102" t="s">
        <v>1007</v>
      </c>
      <c r="G4961" s="1109" t="s">
        <v>2637</v>
      </c>
      <c r="H4961" s="1110" t="s">
        <v>2638</v>
      </c>
      <c r="J4961" s="1625"/>
      <c r="K4961" s="1625"/>
      <c r="L4961" s="1625"/>
      <c r="M4961" s="1570"/>
    </row>
    <row r="4962" spans="2:13" s="947" customFormat="1" hidden="1">
      <c r="B4962" s="1543" t="s">
        <v>671</v>
      </c>
      <c r="C4962" s="1332" t="s">
        <v>672</v>
      </c>
      <c r="D4962" s="1331"/>
      <c r="E4962" s="1331"/>
      <c r="F4962" s="1334"/>
      <c r="G4962" s="1104"/>
      <c r="H4962" s="1106"/>
      <c r="J4962" s="1557"/>
      <c r="K4962" s="1557"/>
      <c r="L4962" s="1557"/>
      <c r="M4962" s="1566"/>
    </row>
    <row r="4963" spans="2:13" s="947" customFormat="1" hidden="1">
      <c r="B4963" s="1543"/>
      <c r="C4963" s="1332" t="s">
        <v>673</v>
      </c>
      <c r="D4963" s="1331" t="s">
        <v>674</v>
      </c>
      <c r="E4963" s="1331" t="s">
        <v>675</v>
      </c>
      <c r="F4963" s="1334">
        <v>6.7</v>
      </c>
      <c r="G4963" s="1104">
        <f>DUB!$I$10</f>
        <v>150000</v>
      </c>
      <c r="H4963" s="1106">
        <f>G4963*F4963</f>
        <v>1005000</v>
      </c>
      <c r="J4963" s="1557"/>
      <c r="K4963" s="1557"/>
      <c r="L4963" s="1557"/>
      <c r="M4963" s="1566"/>
    </row>
    <row r="4964" spans="2:13" s="947" customFormat="1" hidden="1">
      <c r="B4964" s="1543"/>
      <c r="C4964" s="1332" t="s">
        <v>871</v>
      </c>
      <c r="D4964" s="1331" t="s">
        <v>678</v>
      </c>
      <c r="E4964" s="1331" t="s">
        <v>675</v>
      </c>
      <c r="F4964" s="1334">
        <v>20.100000000000001</v>
      </c>
      <c r="G4964" s="1104">
        <f>DUB!$I$11</f>
        <v>187000</v>
      </c>
      <c r="H4964" s="1106">
        <f>G4964*F4964</f>
        <v>3758700.0000000005</v>
      </c>
      <c r="J4964" s="1557"/>
      <c r="K4964" s="1557"/>
      <c r="L4964" s="1557"/>
      <c r="M4964" s="1566"/>
    </row>
    <row r="4965" spans="2:13" s="947" customFormat="1" hidden="1">
      <c r="B4965" s="1543"/>
      <c r="C4965" s="1332" t="s">
        <v>751</v>
      </c>
      <c r="D4965" s="1331" t="s">
        <v>681</v>
      </c>
      <c r="E4965" s="1331" t="s">
        <v>675</v>
      </c>
      <c r="F4965" s="1334">
        <v>2.0099999999999998</v>
      </c>
      <c r="G4965" s="1104">
        <f>DUB!$I$13</f>
        <v>240000</v>
      </c>
      <c r="H4965" s="1106">
        <f>G4965*F4965</f>
        <v>482399.99999999994</v>
      </c>
      <c r="J4965" s="1557"/>
      <c r="K4965" s="1557"/>
      <c r="L4965" s="1557"/>
      <c r="M4965" s="1566"/>
    </row>
    <row r="4966" spans="2:13" s="947" customFormat="1" hidden="1">
      <c r="B4966" s="1543"/>
      <c r="C4966" s="1332" t="s">
        <v>683</v>
      </c>
      <c r="D4966" s="1331" t="s">
        <v>684</v>
      </c>
      <c r="E4966" s="1331" t="s">
        <v>675</v>
      </c>
      <c r="F4966" s="1334">
        <v>0.33500000000000002</v>
      </c>
      <c r="G4966" s="1104">
        <f>DUB!$I$12</f>
        <v>225000</v>
      </c>
      <c r="H4966" s="1106">
        <f>G4966*F4966</f>
        <v>75375</v>
      </c>
      <c r="J4966" s="1557"/>
      <c r="K4966" s="1557"/>
      <c r="L4966" s="1557"/>
      <c r="M4966" s="1566"/>
    </row>
    <row r="4967" spans="2:13" s="947" customFormat="1" hidden="1">
      <c r="B4967" s="1543"/>
      <c r="C4967" s="1332"/>
      <c r="D4967" s="1331"/>
      <c r="E4967" s="1331"/>
      <c r="F4967" s="2074" t="s">
        <v>685</v>
      </c>
      <c r="G4967" s="2074"/>
      <c r="H4967" s="1106">
        <f>SUM(H4963:H4966)</f>
        <v>5321475</v>
      </c>
      <c r="J4967" s="1557"/>
      <c r="K4967" s="1557"/>
      <c r="L4967" s="1557"/>
      <c r="M4967" s="1566"/>
    </row>
    <row r="4968" spans="2:13" s="947" customFormat="1" hidden="1">
      <c r="B4968" s="1543" t="s">
        <v>686</v>
      </c>
      <c r="C4968" s="1332" t="s">
        <v>687</v>
      </c>
      <c r="D4968" s="1331"/>
      <c r="E4968" s="1331"/>
      <c r="F4968" s="1334"/>
      <c r="G4968" s="1104"/>
      <c r="H4968" s="1106"/>
      <c r="J4968" s="1557"/>
      <c r="K4968" s="1557"/>
      <c r="L4968" s="1557"/>
      <c r="M4968" s="1566"/>
    </row>
    <row r="4969" spans="2:13" s="947" customFormat="1" hidden="1">
      <c r="B4969" s="1543"/>
      <c r="C4969" s="1332" t="s">
        <v>1266</v>
      </c>
      <c r="D4969" s="1331"/>
      <c r="E4969" s="1331" t="s">
        <v>2646</v>
      </c>
      <c r="F4969" s="1334">
        <v>1.2</v>
      </c>
      <c r="G4969" s="1104">
        <f>DUB!$I$83</f>
        <v>10710000</v>
      </c>
      <c r="H4969" s="1106">
        <f>G4969*F4969</f>
        <v>12852000</v>
      </c>
      <c r="J4969" s="1557"/>
      <c r="K4969" s="1557"/>
      <c r="L4969" s="1557"/>
      <c r="M4969" s="1566"/>
    </row>
    <row r="4970" spans="2:13" s="947" customFormat="1" hidden="1">
      <c r="B4970" s="1543"/>
      <c r="C4970" s="1332" t="s">
        <v>1291</v>
      </c>
      <c r="D4970" s="1331"/>
      <c r="E4970" s="1331" t="s">
        <v>773</v>
      </c>
      <c r="F4970" s="1334">
        <v>15</v>
      </c>
      <c r="G4970" s="1104">
        <f>DUB!$I$105</f>
        <v>16065</v>
      </c>
      <c r="H4970" s="1106">
        <f>G4970*F4970</f>
        <v>240975</v>
      </c>
      <c r="J4970" s="1557"/>
      <c r="K4970" s="1557"/>
      <c r="L4970" s="1557"/>
      <c r="M4970" s="1566"/>
    </row>
    <row r="4971" spans="2:13" s="947" customFormat="1" hidden="1">
      <c r="B4971" s="1543"/>
      <c r="C4971" s="1332" t="s">
        <v>1292</v>
      </c>
      <c r="D4971" s="1331"/>
      <c r="E4971" s="1331" t="s">
        <v>773</v>
      </c>
      <c r="F4971" s="1334">
        <v>5.6</v>
      </c>
      <c r="G4971" s="1104">
        <f>DUB!$I$128</f>
        <v>20441.7</v>
      </c>
      <c r="H4971" s="1106">
        <f>G4971*F4971</f>
        <v>114473.52</v>
      </c>
      <c r="J4971" s="1557"/>
      <c r="K4971" s="1557"/>
      <c r="L4971" s="1557"/>
      <c r="M4971" s="1566"/>
    </row>
    <row r="4972" spans="2:13" s="947" customFormat="1" hidden="1">
      <c r="B4972" s="1540"/>
      <c r="C4972" s="1125"/>
      <c r="D4972" s="1333"/>
      <c r="E4972" s="1333"/>
      <c r="F4972" s="2074" t="s">
        <v>702</v>
      </c>
      <c r="G4972" s="2074"/>
      <c r="H4972" s="1106">
        <f>SUM(H4969:H4971)</f>
        <v>13207448.52</v>
      </c>
      <c r="J4972" s="1557"/>
      <c r="K4972" s="1557"/>
      <c r="L4972" s="1557"/>
      <c r="M4972" s="1566"/>
    </row>
    <row r="4973" spans="2:13" s="949" customFormat="1" hidden="1">
      <c r="B4973" s="1543" t="s">
        <v>703</v>
      </c>
      <c r="C4973" s="2075" t="s">
        <v>3764</v>
      </c>
      <c r="D4973" s="2075"/>
      <c r="E4973" s="2075"/>
      <c r="F4973" s="2075"/>
      <c r="G4973" s="2075"/>
      <c r="H4973" s="1107">
        <f>H4967+H4972</f>
        <v>18528923.52</v>
      </c>
      <c r="J4973" s="1559"/>
      <c r="K4973" s="1559"/>
      <c r="L4973" s="1559"/>
      <c r="M4973" s="1635"/>
    </row>
    <row r="4974" spans="2:13" s="949" customFormat="1" hidden="1">
      <c r="B4974" s="1543" t="s">
        <v>706</v>
      </c>
      <c r="C4974" s="2076" t="s">
        <v>876</v>
      </c>
      <c r="D4974" s="2076"/>
      <c r="E4974" s="2076"/>
      <c r="F4974" s="2077" t="s">
        <v>3873</v>
      </c>
      <c r="G4974" s="2077"/>
      <c r="H4974" s="1107">
        <f>H4973*0.15</f>
        <v>2779338.5279999999</v>
      </c>
      <c r="J4974" s="1559"/>
      <c r="K4974" s="1559"/>
      <c r="L4974" s="1559"/>
      <c r="M4974" s="1635"/>
    </row>
    <row r="4975" spans="2:13" s="949" customFormat="1" hidden="1">
      <c r="B4975" s="1543" t="s">
        <v>708</v>
      </c>
      <c r="C4975" s="2078" t="s">
        <v>3765</v>
      </c>
      <c r="D4975" s="2078"/>
      <c r="E4975" s="2078"/>
      <c r="F4975" s="2078"/>
      <c r="G4975" s="2078"/>
      <c r="H4975" s="1107">
        <f>ROUND(SUM(H4973:H4974),2)</f>
        <v>21308262.050000001</v>
      </c>
      <c r="I4975" s="950">
        <f>SUM(H4973:H4974)</f>
        <v>21308262.048</v>
      </c>
      <c r="J4975" s="1561"/>
      <c r="K4975" s="1561"/>
      <c r="L4975" s="1559"/>
      <c r="M4975" s="1635"/>
    </row>
    <row r="4976" spans="2:13" s="947" customFormat="1" hidden="1">
      <c r="B4976" s="1143"/>
      <c r="C4976" s="1144"/>
      <c r="D4976" s="1143"/>
      <c r="E4976" s="1143"/>
      <c r="F4976" s="1145"/>
      <c r="G4976" s="1146"/>
      <c r="H4976" s="1147"/>
      <c r="J4976" s="1557"/>
      <c r="K4976" s="1557"/>
      <c r="L4976" s="1557"/>
      <c r="M4976" s="1566"/>
    </row>
    <row r="4977" spans="2:13" s="947" customFormat="1" hidden="1">
      <c r="B4977" s="1100" t="s">
        <v>4121</v>
      </c>
      <c r="C4977" s="1112" t="s">
        <v>3439</v>
      </c>
      <c r="D4977" s="1129"/>
      <c r="E4977" s="1129"/>
      <c r="F4977" s="1131"/>
      <c r="G4977" s="1132"/>
      <c r="H4977" s="1115"/>
      <c r="J4977" s="1557"/>
      <c r="K4977" s="1557"/>
      <c r="L4977" s="1557"/>
      <c r="M4977" s="1566"/>
    </row>
    <row r="4978" spans="2:13" s="948" customFormat="1" ht="24.9" hidden="1" customHeight="1">
      <c r="B4978" s="1748" t="s">
        <v>1003</v>
      </c>
      <c r="C4978" s="1101" t="s">
        <v>1004</v>
      </c>
      <c r="D4978" s="1101" t="s">
        <v>1005</v>
      </c>
      <c r="E4978" s="1101" t="s">
        <v>1006</v>
      </c>
      <c r="F4978" s="1102" t="s">
        <v>1007</v>
      </c>
      <c r="G4978" s="1109" t="s">
        <v>2637</v>
      </c>
      <c r="H4978" s="1135" t="s">
        <v>2638</v>
      </c>
      <c r="J4978" s="1625"/>
      <c r="K4978" s="1625"/>
      <c r="L4978" s="1625"/>
      <c r="M4978" s="1570"/>
    </row>
    <row r="4979" spans="2:13" s="947" customFormat="1" hidden="1">
      <c r="B4979" s="1543" t="s">
        <v>671</v>
      </c>
      <c r="C4979" s="1332" t="s">
        <v>672</v>
      </c>
      <c r="D4979" s="1331"/>
      <c r="E4979" s="1331"/>
      <c r="F4979" s="1334"/>
      <c r="G4979" s="1104"/>
      <c r="H4979" s="1106"/>
      <c r="J4979" s="1557"/>
      <c r="K4979" s="1557"/>
      <c r="L4979" s="1557"/>
      <c r="M4979" s="1566"/>
    </row>
    <row r="4980" spans="2:13" s="947" customFormat="1" hidden="1">
      <c r="B4980" s="1543"/>
      <c r="C4980" s="1332" t="s">
        <v>673</v>
      </c>
      <c r="D4980" s="1331" t="s">
        <v>674</v>
      </c>
      <c r="E4980" s="1331" t="s">
        <v>675</v>
      </c>
      <c r="F4980" s="1334">
        <v>6.7</v>
      </c>
      <c r="G4980" s="1104">
        <f>DUB!$I$10</f>
        <v>150000</v>
      </c>
      <c r="H4980" s="1106">
        <f>G4980*F4980</f>
        <v>1005000</v>
      </c>
      <c r="J4980" s="1557"/>
      <c r="K4980" s="1557"/>
      <c r="L4980" s="1557"/>
      <c r="M4980" s="1566"/>
    </row>
    <row r="4981" spans="2:13" s="947" customFormat="1" hidden="1">
      <c r="B4981" s="1543"/>
      <c r="C4981" s="1332" t="s">
        <v>871</v>
      </c>
      <c r="D4981" s="1331" t="s">
        <v>678</v>
      </c>
      <c r="E4981" s="1331" t="s">
        <v>675</v>
      </c>
      <c r="F4981" s="1334">
        <v>20.100000000000001</v>
      </c>
      <c r="G4981" s="1104">
        <f>DUB!$I$11</f>
        <v>187000</v>
      </c>
      <c r="H4981" s="1106">
        <f>G4981*F4981</f>
        <v>3758700.0000000005</v>
      </c>
      <c r="J4981" s="1557"/>
      <c r="K4981" s="1557"/>
      <c r="L4981" s="1557"/>
      <c r="M4981" s="1566"/>
    </row>
    <row r="4982" spans="2:13" s="947" customFormat="1" hidden="1">
      <c r="B4982" s="1543"/>
      <c r="C4982" s="1332" t="s">
        <v>751</v>
      </c>
      <c r="D4982" s="1331" t="s">
        <v>681</v>
      </c>
      <c r="E4982" s="1331" t="s">
        <v>675</v>
      </c>
      <c r="F4982" s="1334">
        <v>2.0099999999999998</v>
      </c>
      <c r="G4982" s="1104">
        <f>DUB!$I$13</f>
        <v>240000</v>
      </c>
      <c r="H4982" s="1106">
        <f>G4982*F4982</f>
        <v>482399.99999999994</v>
      </c>
      <c r="J4982" s="1557"/>
      <c r="K4982" s="1557"/>
      <c r="L4982" s="1557"/>
      <c r="M4982" s="1566"/>
    </row>
    <row r="4983" spans="2:13" s="947" customFormat="1" hidden="1">
      <c r="B4983" s="1543"/>
      <c r="C4983" s="1332" t="s">
        <v>683</v>
      </c>
      <c r="D4983" s="1331" t="s">
        <v>684</v>
      </c>
      <c r="E4983" s="1331" t="s">
        <v>675</v>
      </c>
      <c r="F4983" s="1334">
        <v>0.33500000000000002</v>
      </c>
      <c r="G4983" s="1104">
        <f>DUB!$I$12</f>
        <v>225000</v>
      </c>
      <c r="H4983" s="1106">
        <f>G4983*F4983</f>
        <v>75375</v>
      </c>
      <c r="J4983" s="1557"/>
      <c r="K4983" s="1557"/>
      <c r="L4983" s="1557"/>
      <c r="M4983" s="1566"/>
    </row>
    <row r="4984" spans="2:13" s="947" customFormat="1" hidden="1">
      <c r="B4984" s="1543"/>
      <c r="C4984" s="1332"/>
      <c r="D4984" s="1331"/>
      <c r="E4984" s="1331"/>
      <c r="F4984" s="2074" t="s">
        <v>685</v>
      </c>
      <c r="G4984" s="2074"/>
      <c r="H4984" s="1106">
        <f>SUM(H4980:H4983)</f>
        <v>5321475</v>
      </c>
      <c r="J4984" s="1557"/>
      <c r="K4984" s="1557"/>
      <c r="L4984" s="1557"/>
      <c r="M4984" s="1566"/>
    </row>
    <row r="4985" spans="2:13" s="947" customFormat="1" hidden="1">
      <c r="B4985" s="1543" t="s">
        <v>686</v>
      </c>
      <c r="C4985" s="1332" t="s">
        <v>687</v>
      </c>
      <c r="D4985" s="1331"/>
      <c r="E4985" s="1331"/>
      <c r="F4985" s="1334"/>
      <c r="G4985" s="1104"/>
      <c r="H4985" s="1106"/>
      <c r="J4985" s="1557"/>
      <c r="K4985" s="1557"/>
      <c r="L4985" s="1557"/>
      <c r="M4985" s="1566"/>
    </row>
    <row r="4986" spans="2:13" s="947" customFormat="1" hidden="1">
      <c r="B4986" s="1543"/>
      <c r="C4986" s="1332" t="s">
        <v>1266</v>
      </c>
      <c r="D4986" s="1331"/>
      <c r="E4986" s="1331" t="s">
        <v>2646</v>
      </c>
      <c r="F4986" s="1334">
        <v>1.1000000000000001</v>
      </c>
      <c r="G4986" s="1104">
        <f>DUB!$I$84</f>
        <v>6961500</v>
      </c>
      <c r="H4986" s="1106">
        <f>G4986*F4986</f>
        <v>7657650.0000000009</v>
      </c>
      <c r="J4986" s="1557"/>
      <c r="K4986" s="1557"/>
      <c r="L4986" s="1557"/>
      <c r="M4986" s="1566"/>
    </row>
    <row r="4987" spans="2:13" s="947" customFormat="1" hidden="1">
      <c r="B4987" s="1543"/>
      <c r="C4987" s="1126" t="s">
        <v>1291</v>
      </c>
      <c r="D4987" s="1331"/>
      <c r="E4987" s="1331" t="s">
        <v>773</v>
      </c>
      <c r="F4987" s="1334">
        <v>15</v>
      </c>
      <c r="G4987" s="1104">
        <f>DUB!$I$105</f>
        <v>16065</v>
      </c>
      <c r="H4987" s="1106">
        <f>G4987*F4987</f>
        <v>240975</v>
      </c>
      <c r="J4987" s="1557"/>
      <c r="K4987" s="1557"/>
      <c r="L4987" s="1557"/>
      <c r="M4987" s="1566"/>
    </row>
    <row r="4988" spans="2:13" s="947" customFormat="1" hidden="1">
      <c r="B4988" s="1540"/>
      <c r="C4988" s="1332" t="s">
        <v>1292</v>
      </c>
      <c r="D4988" s="1331"/>
      <c r="E4988" s="1331" t="s">
        <v>773</v>
      </c>
      <c r="F4988" s="1334">
        <v>3</v>
      </c>
      <c r="G4988" s="1104">
        <f>DUB!$I$128</f>
        <v>20441.7</v>
      </c>
      <c r="H4988" s="1106">
        <f>G4988*F4988</f>
        <v>61325.100000000006</v>
      </c>
      <c r="J4988" s="1557"/>
      <c r="K4988" s="1557"/>
      <c r="L4988" s="1557"/>
      <c r="M4988" s="1566"/>
    </row>
    <row r="4989" spans="2:13" s="947" customFormat="1" hidden="1">
      <c r="B4989" s="1540"/>
      <c r="C4989" s="1125"/>
      <c r="D4989" s="1333"/>
      <c r="E4989" s="1333"/>
      <c r="F4989" s="2074" t="s">
        <v>702</v>
      </c>
      <c r="G4989" s="2074"/>
      <c r="H4989" s="1106">
        <f>SUM(H4986:H4988)</f>
        <v>7959950.1000000006</v>
      </c>
      <c r="J4989" s="1557"/>
      <c r="K4989" s="1557"/>
      <c r="L4989" s="1557"/>
      <c r="M4989" s="1566"/>
    </row>
    <row r="4990" spans="2:13" s="949" customFormat="1" hidden="1">
      <c r="B4990" s="1543" t="s">
        <v>703</v>
      </c>
      <c r="C4990" s="2075" t="s">
        <v>3764</v>
      </c>
      <c r="D4990" s="2075"/>
      <c r="E4990" s="2075"/>
      <c r="F4990" s="2075"/>
      <c r="G4990" s="2075"/>
      <c r="H4990" s="1107">
        <f>H4984+H4989</f>
        <v>13281425.100000001</v>
      </c>
      <c r="J4990" s="1559"/>
      <c r="K4990" s="1559"/>
      <c r="L4990" s="1559"/>
      <c r="M4990" s="1635"/>
    </row>
    <row r="4991" spans="2:13" s="949" customFormat="1" hidden="1">
      <c r="B4991" s="1543" t="s">
        <v>706</v>
      </c>
      <c r="C4991" s="2076" t="s">
        <v>876</v>
      </c>
      <c r="D4991" s="2076"/>
      <c r="E4991" s="2076"/>
      <c r="F4991" s="2077" t="s">
        <v>3873</v>
      </c>
      <c r="G4991" s="2077"/>
      <c r="H4991" s="1107">
        <f>H4990*0.15</f>
        <v>1992213.7650000001</v>
      </c>
      <c r="J4991" s="1559"/>
      <c r="K4991" s="1559"/>
      <c r="L4991" s="1559"/>
      <c r="M4991" s="1635"/>
    </row>
    <row r="4992" spans="2:13" s="949" customFormat="1" hidden="1">
      <c r="B4992" s="1543" t="s">
        <v>708</v>
      </c>
      <c r="C4992" s="2078" t="s">
        <v>3765</v>
      </c>
      <c r="D4992" s="2078"/>
      <c r="E4992" s="2078"/>
      <c r="F4992" s="2078"/>
      <c r="G4992" s="2078"/>
      <c r="H4992" s="1107">
        <f>ROUND(SUM(H4990:H4991),2)</f>
        <v>15273638.869999999</v>
      </c>
      <c r="I4992" s="950">
        <f>SUM(H4990:H4991)</f>
        <v>15273638.865000002</v>
      </c>
      <c r="J4992" s="1561"/>
      <c r="K4992" s="1561"/>
      <c r="L4992" s="1559"/>
      <c r="M4992" s="1635"/>
    </row>
    <row r="4993" spans="2:13" s="947" customFormat="1" hidden="1">
      <c r="B4993" s="1095"/>
      <c r="C4993" s="1096"/>
      <c r="D4993" s="1095"/>
      <c r="E4993" s="1095"/>
      <c r="F4993" s="1172"/>
      <c r="G4993" s="1173"/>
      <c r="H4993" s="1133"/>
      <c r="J4993" s="1557"/>
      <c r="K4993" s="1557"/>
      <c r="L4993" s="1557"/>
      <c r="M4993" s="1566"/>
    </row>
    <row r="4994" spans="2:13" s="947" customFormat="1" hidden="1">
      <c r="B4994" s="1150" t="s">
        <v>4122</v>
      </c>
      <c r="C4994" s="1232" t="s">
        <v>4443</v>
      </c>
      <c r="D4994" s="1095"/>
      <c r="E4994" s="1095"/>
      <c r="F4994" s="1172"/>
      <c r="G4994" s="1173"/>
      <c r="H4994" s="1133"/>
      <c r="J4994" s="1557"/>
      <c r="K4994" s="1557"/>
      <c r="L4994" s="1557"/>
      <c r="M4994" s="1566"/>
    </row>
    <row r="4995" spans="2:13" s="948" customFormat="1" ht="24.9" hidden="1" customHeight="1">
      <c r="B4995" s="1748" t="s">
        <v>1003</v>
      </c>
      <c r="C4995" s="1116" t="s">
        <v>1004</v>
      </c>
      <c r="D4995" s="1116" t="s">
        <v>1005</v>
      </c>
      <c r="E4995" s="1116" t="s">
        <v>1006</v>
      </c>
      <c r="F4995" s="1139" t="s">
        <v>1007</v>
      </c>
      <c r="G4995" s="1103" t="s">
        <v>2637</v>
      </c>
      <c r="H4995" s="1110" t="s">
        <v>2638</v>
      </c>
      <c r="J4995" s="1625"/>
      <c r="K4995" s="1625"/>
      <c r="L4995" s="1625"/>
      <c r="M4995" s="1570"/>
    </row>
    <row r="4996" spans="2:13" s="947" customFormat="1" hidden="1">
      <c r="B4996" s="1543" t="s">
        <v>671</v>
      </c>
      <c r="C4996" s="1118" t="s">
        <v>672</v>
      </c>
      <c r="D4996" s="1539"/>
      <c r="E4996" s="1539"/>
      <c r="F4996" s="1532"/>
      <c r="G4996" s="1136"/>
      <c r="H4996" s="1106"/>
      <c r="J4996" s="1557"/>
      <c r="K4996" s="1557"/>
      <c r="L4996" s="1557"/>
      <c r="M4996" s="1566"/>
    </row>
    <row r="4997" spans="2:13" s="947" customFormat="1" hidden="1">
      <c r="B4997" s="1543"/>
      <c r="C4997" s="1118" t="s">
        <v>673</v>
      </c>
      <c r="D4997" s="1331" t="s">
        <v>674</v>
      </c>
      <c r="E4997" s="1539" t="s">
        <v>675</v>
      </c>
      <c r="F4997" s="1532">
        <v>0.1</v>
      </c>
      <c r="G4997" s="1104">
        <f>DUB!$I$10</f>
        <v>150000</v>
      </c>
      <c r="H4997" s="1106">
        <f>G4997*F4997</f>
        <v>15000</v>
      </c>
      <c r="J4997" s="1557"/>
      <c r="K4997" s="1557"/>
      <c r="L4997" s="1557"/>
      <c r="M4997" s="1566"/>
    </row>
    <row r="4998" spans="2:13" s="947" customFormat="1" hidden="1">
      <c r="B4998" s="1543"/>
      <c r="C4998" s="1118" t="s">
        <v>871</v>
      </c>
      <c r="D4998" s="1331" t="s">
        <v>678</v>
      </c>
      <c r="E4998" s="1539" t="s">
        <v>675</v>
      </c>
      <c r="F4998" s="1532">
        <v>0.1</v>
      </c>
      <c r="G4998" s="1104">
        <f>DUB!$I$11</f>
        <v>187000</v>
      </c>
      <c r="H4998" s="1106">
        <f>G4998*F4998</f>
        <v>18700</v>
      </c>
      <c r="J4998" s="1557"/>
      <c r="K4998" s="1557"/>
      <c r="L4998" s="1557"/>
      <c r="M4998" s="1566"/>
    </row>
    <row r="4999" spans="2:13" s="947" customFormat="1" hidden="1">
      <c r="B4999" s="1543"/>
      <c r="C4999" s="1118" t="s">
        <v>751</v>
      </c>
      <c r="D4999" s="1331" t="s">
        <v>681</v>
      </c>
      <c r="E4999" s="1539" t="s">
        <v>675</v>
      </c>
      <c r="F4999" s="1532">
        <v>0.01</v>
      </c>
      <c r="G4999" s="1104">
        <f>DUB!$I$13</f>
        <v>240000</v>
      </c>
      <c r="H4999" s="1106">
        <f>G4999*F4999</f>
        <v>2400</v>
      </c>
      <c r="J4999" s="1557"/>
      <c r="K4999" s="1557"/>
      <c r="L4999" s="1557"/>
      <c r="M4999" s="1566"/>
    </row>
    <row r="5000" spans="2:13" s="947" customFormat="1" hidden="1">
      <c r="B5000" s="1543"/>
      <c r="C5000" s="1118" t="s">
        <v>683</v>
      </c>
      <c r="D5000" s="1331" t="s">
        <v>684</v>
      </c>
      <c r="E5000" s="1539" t="s">
        <v>675</v>
      </c>
      <c r="F5000" s="1532">
        <v>5.0000000000000001E-3</v>
      </c>
      <c r="G5000" s="1104">
        <f>DUB!$I$12</f>
        <v>225000</v>
      </c>
      <c r="H5000" s="1106">
        <f>G5000*F5000</f>
        <v>1125</v>
      </c>
      <c r="J5000" s="1557"/>
      <c r="K5000" s="1557"/>
      <c r="L5000" s="1557"/>
      <c r="M5000" s="1566"/>
    </row>
    <row r="5001" spans="2:13" s="947" customFormat="1" hidden="1">
      <c r="B5001" s="1543"/>
      <c r="C5001" s="1118"/>
      <c r="D5001" s="1539"/>
      <c r="E5001" s="1539"/>
      <c r="F5001" s="2080" t="s">
        <v>685</v>
      </c>
      <c r="G5001" s="2081"/>
      <c r="H5001" s="1106">
        <f>SUM(H4997:H5000)</f>
        <v>37225</v>
      </c>
      <c r="J5001" s="1557"/>
      <c r="K5001" s="1557"/>
      <c r="L5001" s="1557"/>
      <c r="M5001" s="1566"/>
    </row>
    <row r="5002" spans="2:13" s="947" customFormat="1" hidden="1">
      <c r="B5002" s="1543" t="s">
        <v>686</v>
      </c>
      <c r="C5002" s="1118" t="s">
        <v>687</v>
      </c>
      <c r="D5002" s="1539"/>
      <c r="E5002" s="1539"/>
      <c r="F5002" s="1532"/>
      <c r="G5002" s="1136"/>
      <c r="H5002" s="1106"/>
      <c r="J5002" s="1557"/>
      <c r="K5002" s="1557"/>
      <c r="L5002" s="1557"/>
      <c r="M5002" s="1566"/>
    </row>
    <row r="5003" spans="2:13" s="947" customFormat="1" hidden="1">
      <c r="B5003" s="1543"/>
      <c r="C5003" s="1118" t="s">
        <v>1301</v>
      </c>
      <c r="D5003" s="1539"/>
      <c r="E5003" s="1539" t="s">
        <v>2646</v>
      </c>
      <c r="F5003" s="1532">
        <v>1.4E-2</v>
      </c>
      <c r="G5003" s="1104">
        <f>DUB!$I$84</f>
        <v>6961500</v>
      </c>
      <c r="H5003" s="1106">
        <f>G5003*F5003</f>
        <v>97461</v>
      </c>
      <c r="J5003" s="1557"/>
      <c r="K5003" s="1557"/>
      <c r="L5003" s="1557"/>
      <c r="M5003" s="1566"/>
    </row>
    <row r="5004" spans="2:13" s="947" customFormat="1" hidden="1">
      <c r="B5004" s="1543"/>
      <c r="C5004" s="1118" t="s">
        <v>4123</v>
      </c>
      <c r="D5004" s="1539"/>
      <c r="E5004" s="1539" t="s">
        <v>2646</v>
      </c>
      <c r="F5004" s="1532">
        <v>3.5999999999999997E-2</v>
      </c>
      <c r="G5004" s="1136">
        <f>$G$5003</f>
        <v>6961500</v>
      </c>
      <c r="H5004" s="1106">
        <f>G5004*F5004</f>
        <v>250613.99999999997</v>
      </c>
      <c r="J5004" s="1557"/>
      <c r="K5004" s="1557"/>
      <c r="L5004" s="1557"/>
      <c r="M5004" s="1566"/>
    </row>
    <row r="5005" spans="2:13" s="947" customFormat="1" hidden="1">
      <c r="B5005" s="1540"/>
      <c r="C5005" s="1118" t="s">
        <v>1304</v>
      </c>
      <c r="D5005" s="1539"/>
      <c r="E5005" s="1539" t="s">
        <v>773</v>
      </c>
      <c r="F5005" s="1532">
        <v>0.25</v>
      </c>
      <c r="G5005" s="1136">
        <f>DUB!$I$128</f>
        <v>20441.7</v>
      </c>
      <c r="H5005" s="1106">
        <f>G5005*F5005</f>
        <v>5110.4250000000002</v>
      </c>
      <c r="J5005" s="1557"/>
      <c r="K5005" s="1557"/>
      <c r="L5005" s="1557"/>
      <c r="M5005" s="1566"/>
    </row>
    <row r="5006" spans="2:13" s="947" customFormat="1" hidden="1">
      <c r="B5006" s="1540"/>
      <c r="C5006" s="1118"/>
      <c r="D5006" s="1539"/>
      <c r="E5006" s="1539"/>
      <c r="F5006" s="2080" t="s">
        <v>702</v>
      </c>
      <c r="G5006" s="2081"/>
      <c r="H5006" s="1106">
        <f>SUM(H5003:H5005)</f>
        <v>353185.42499999999</v>
      </c>
      <c r="J5006" s="1557"/>
      <c r="K5006" s="1557"/>
      <c r="L5006" s="1557"/>
      <c r="M5006" s="1566"/>
    </row>
    <row r="5007" spans="2:13" s="949" customFormat="1" hidden="1">
      <c r="B5007" s="1543" t="s">
        <v>703</v>
      </c>
      <c r="C5007" s="1117" t="s">
        <v>3764</v>
      </c>
      <c r="D5007" s="1120"/>
      <c r="E5007" s="1120"/>
      <c r="F5007" s="1121"/>
      <c r="G5007" s="1122"/>
      <c r="H5007" s="1107">
        <f>H5001+H5006</f>
        <v>390410.42499999999</v>
      </c>
      <c r="J5007" s="1559"/>
      <c r="K5007" s="1559"/>
      <c r="L5007" s="1559"/>
      <c r="M5007" s="1635"/>
    </row>
    <row r="5008" spans="2:13" s="949" customFormat="1" hidden="1">
      <c r="B5008" s="1543" t="s">
        <v>706</v>
      </c>
      <c r="C5008" s="1123" t="s">
        <v>876</v>
      </c>
      <c r="D5008" s="1124"/>
      <c r="E5008" s="1124"/>
      <c r="F5008" s="1545" t="s">
        <v>3873</v>
      </c>
      <c r="G5008" s="1122"/>
      <c r="H5008" s="1107">
        <f>H5007*0.15</f>
        <v>58561.563749999994</v>
      </c>
      <c r="J5008" s="1559"/>
      <c r="K5008" s="1559"/>
      <c r="L5008" s="1559"/>
      <c r="M5008" s="1635"/>
    </row>
    <row r="5009" spans="2:13" s="949" customFormat="1" hidden="1">
      <c r="B5009" s="1543" t="s">
        <v>708</v>
      </c>
      <c r="C5009" s="1117" t="s">
        <v>3765</v>
      </c>
      <c r="D5009" s="1120"/>
      <c r="E5009" s="1120"/>
      <c r="F5009" s="1121"/>
      <c r="G5009" s="1122"/>
      <c r="H5009" s="1107">
        <f>ROUND(SUM(H5007:H5008),2)</f>
        <v>448971.99</v>
      </c>
      <c r="I5009" s="950">
        <f>SUM(H5007:H5008)</f>
        <v>448971.98874999996</v>
      </c>
      <c r="J5009" s="1561"/>
      <c r="K5009" s="1561"/>
      <c r="L5009" s="1559"/>
      <c r="M5009" s="1635"/>
    </row>
    <row r="5010" spans="2:13" s="947" customFormat="1" hidden="1">
      <c r="B5010" s="1143"/>
      <c r="C5010" s="1144"/>
      <c r="D5010" s="1143"/>
      <c r="E5010" s="1143"/>
      <c r="F5010" s="1145"/>
      <c r="G5010" s="1146"/>
      <c r="H5010" s="1147"/>
      <c r="J5010" s="1557"/>
      <c r="K5010" s="1557"/>
      <c r="L5010" s="1557"/>
      <c r="M5010" s="1566"/>
    </row>
    <row r="5011" spans="2:13" s="947" customFormat="1" hidden="1">
      <c r="B5011" s="1100" t="s">
        <v>4124</v>
      </c>
      <c r="C5011" s="1112" t="s">
        <v>3440</v>
      </c>
      <c r="D5011" s="1129"/>
      <c r="E5011" s="1129"/>
      <c r="F5011" s="1131"/>
      <c r="G5011" s="1132"/>
      <c r="H5011" s="1115"/>
      <c r="J5011" s="1557"/>
      <c r="K5011" s="1557"/>
      <c r="L5011" s="1557"/>
      <c r="M5011" s="1566"/>
    </row>
    <row r="5012" spans="2:13" s="948" customFormat="1" ht="24.9" hidden="1" customHeight="1">
      <c r="B5012" s="1748" t="s">
        <v>1003</v>
      </c>
      <c r="C5012" s="1101" t="s">
        <v>1004</v>
      </c>
      <c r="D5012" s="1116" t="s">
        <v>1005</v>
      </c>
      <c r="E5012" s="1116" t="s">
        <v>1006</v>
      </c>
      <c r="F5012" s="1139" t="s">
        <v>1007</v>
      </c>
      <c r="G5012" s="1103" t="s">
        <v>2637</v>
      </c>
      <c r="H5012" s="1110" t="s">
        <v>2638</v>
      </c>
      <c r="J5012" s="1625"/>
      <c r="K5012" s="1625"/>
      <c r="L5012" s="1625"/>
      <c r="M5012" s="1570"/>
    </row>
    <row r="5013" spans="2:13" s="947" customFormat="1" hidden="1">
      <c r="B5013" s="1543" t="s">
        <v>671</v>
      </c>
      <c r="C5013" s="1332" t="s">
        <v>672</v>
      </c>
      <c r="D5013" s="1539"/>
      <c r="E5013" s="1539"/>
      <c r="F5013" s="1532"/>
      <c r="G5013" s="1152"/>
      <c r="H5013" s="1153"/>
      <c r="J5013" s="1557"/>
      <c r="K5013" s="1557"/>
      <c r="L5013" s="1557"/>
      <c r="M5013" s="1566"/>
    </row>
    <row r="5014" spans="2:13" s="947" customFormat="1" hidden="1">
      <c r="B5014" s="1543"/>
      <c r="C5014" s="1332" t="s">
        <v>673</v>
      </c>
      <c r="D5014" s="1331" t="s">
        <v>674</v>
      </c>
      <c r="E5014" s="1539" t="s">
        <v>675</v>
      </c>
      <c r="F5014" s="1532">
        <v>0.1</v>
      </c>
      <c r="G5014" s="1104">
        <f>DUB!$I$10</f>
        <v>150000</v>
      </c>
      <c r="H5014" s="1106">
        <f>G5014*F5014</f>
        <v>15000</v>
      </c>
      <c r="J5014" s="1557"/>
      <c r="K5014" s="1557"/>
      <c r="L5014" s="1557"/>
      <c r="M5014" s="1566"/>
    </row>
    <row r="5015" spans="2:13" s="947" customFormat="1" hidden="1">
      <c r="B5015" s="1543"/>
      <c r="C5015" s="1332" t="s">
        <v>871</v>
      </c>
      <c r="D5015" s="1331" t="s">
        <v>678</v>
      </c>
      <c r="E5015" s="1539" t="s">
        <v>675</v>
      </c>
      <c r="F5015" s="1532">
        <v>0.1</v>
      </c>
      <c r="G5015" s="1104">
        <f>DUB!$I$11</f>
        <v>187000</v>
      </c>
      <c r="H5015" s="1106">
        <f>G5015*F5015</f>
        <v>18700</v>
      </c>
      <c r="J5015" s="1557"/>
      <c r="K5015" s="1557"/>
      <c r="L5015" s="1557"/>
      <c r="M5015" s="1566"/>
    </row>
    <row r="5016" spans="2:13" s="947" customFormat="1" hidden="1">
      <c r="B5016" s="1543"/>
      <c r="C5016" s="1332" t="s">
        <v>751</v>
      </c>
      <c r="D5016" s="1331" t="s">
        <v>681</v>
      </c>
      <c r="E5016" s="1539" t="s">
        <v>675</v>
      </c>
      <c r="F5016" s="1532">
        <v>0.01</v>
      </c>
      <c r="G5016" s="1104">
        <f>DUB!$I$13</f>
        <v>240000</v>
      </c>
      <c r="H5016" s="1106">
        <f>G5016*F5016</f>
        <v>2400</v>
      </c>
      <c r="J5016" s="1557"/>
      <c r="K5016" s="1557"/>
      <c r="L5016" s="1557"/>
      <c r="M5016" s="1566"/>
    </row>
    <row r="5017" spans="2:13" s="947" customFormat="1" hidden="1">
      <c r="B5017" s="1543"/>
      <c r="C5017" s="1332" t="s">
        <v>683</v>
      </c>
      <c r="D5017" s="1331" t="s">
        <v>684</v>
      </c>
      <c r="E5017" s="1539" t="s">
        <v>675</v>
      </c>
      <c r="F5017" s="1532">
        <v>5.0000000000000001E-3</v>
      </c>
      <c r="G5017" s="1104">
        <f>DUB!$I$12</f>
        <v>225000</v>
      </c>
      <c r="H5017" s="1106">
        <f>G5017*F5017</f>
        <v>1125</v>
      </c>
      <c r="J5017" s="1557"/>
      <c r="K5017" s="1557"/>
      <c r="L5017" s="1557"/>
      <c r="M5017" s="1566"/>
    </row>
    <row r="5018" spans="2:13" s="947" customFormat="1" hidden="1">
      <c r="B5018" s="1543"/>
      <c r="C5018" s="1332"/>
      <c r="D5018" s="1539"/>
      <c r="E5018" s="1539"/>
      <c r="F5018" s="2080" t="s">
        <v>685</v>
      </c>
      <c r="G5018" s="2081"/>
      <c r="H5018" s="1153">
        <f>SUM(H5014:H5017)</f>
        <v>37225</v>
      </c>
      <c r="J5018" s="1557"/>
      <c r="K5018" s="1557"/>
      <c r="L5018" s="1557"/>
      <c r="M5018" s="1566"/>
    </row>
    <row r="5019" spans="2:13" s="947" customFormat="1" hidden="1">
      <c r="B5019" s="1543" t="s">
        <v>686</v>
      </c>
      <c r="C5019" s="1332" t="s">
        <v>687</v>
      </c>
      <c r="D5019" s="1539"/>
      <c r="E5019" s="1539"/>
      <c r="F5019" s="1532"/>
      <c r="G5019" s="1152"/>
      <c r="H5019" s="1153"/>
      <c r="J5019" s="1557"/>
      <c r="K5019" s="1557"/>
      <c r="L5019" s="1557"/>
      <c r="M5019" s="1566"/>
    </row>
    <row r="5020" spans="2:13" s="947" customFormat="1" hidden="1">
      <c r="B5020" s="1543"/>
      <c r="C5020" s="1332" t="s">
        <v>1301</v>
      </c>
      <c r="D5020" s="1539"/>
      <c r="E5020" s="1539" t="s">
        <v>2646</v>
      </c>
      <c r="F5020" s="1532">
        <v>1.4E-2</v>
      </c>
      <c r="G5020" s="1104">
        <f>DUB!$I$84</f>
        <v>6961500</v>
      </c>
      <c r="H5020" s="1106">
        <f>G5020*F5020</f>
        <v>97461</v>
      </c>
      <c r="J5020" s="1557"/>
      <c r="K5020" s="1557"/>
      <c r="L5020" s="1557"/>
      <c r="M5020" s="1566"/>
    </row>
    <row r="5021" spans="2:13" s="947" customFormat="1" hidden="1">
      <c r="B5021" s="1540"/>
      <c r="C5021" s="1332" t="s">
        <v>1302</v>
      </c>
      <c r="D5021" s="1539"/>
      <c r="E5021" s="1539" t="s">
        <v>2646</v>
      </c>
      <c r="F5021" s="1532">
        <v>5.7000000000000002E-2</v>
      </c>
      <c r="G5021" s="1152">
        <f>$G$5020</f>
        <v>6961500</v>
      </c>
      <c r="H5021" s="1106">
        <f>G5021*F5021</f>
        <v>396805.5</v>
      </c>
      <c r="J5021" s="1557"/>
      <c r="K5021" s="1557"/>
      <c r="L5021" s="1557"/>
      <c r="M5021" s="1566"/>
    </row>
    <row r="5022" spans="2:13" s="947" customFormat="1" hidden="1">
      <c r="B5022" s="1540"/>
      <c r="C5022" s="1332" t="s">
        <v>1304</v>
      </c>
      <c r="D5022" s="1539"/>
      <c r="E5022" s="1539" t="s">
        <v>773</v>
      </c>
      <c r="F5022" s="1532">
        <v>0.25</v>
      </c>
      <c r="G5022" s="1136">
        <f>DUB!$I$128</f>
        <v>20441.7</v>
      </c>
      <c r="H5022" s="1106">
        <f>G5022*F5022</f>
        <v>5110.4250000000002</v>
      </c>
      <c r="J5022" s="1557"/>
      <c r="K5022" s="1557"/>
      <c r="L5022" s="1557"/>
      <c r="M5022" s="1566"/>
    </row>
    <row r="5023" spans="2:13" s="947" customFormat="1" hidden="1">
      <c r="B5023" s="1540"/>
      <c r="C5023" s="1332"/>
      <c r="D5023" s="1539"/>
      <c r="E5023" s="1539"/>
      <c r="F5023" s="2080" t="s">
        <v>702</v>
      </c>
      <c r="G5023" s="2081"/>
      <c r="H5023" s="1153">
        <f>SUM(H5020:H5022)</f>
        <v>499376.92499999999</v>
      </c>
      <c r="J5023" s="1557"/>
      <c r="K5023" s="1557"/>
      <c r="L5023" s="1557"/>
      <c r="M5023" s="1566"/>
    </row>
    <row r="5024" spans="2:13" s="949" customFormat="1" hidden="1">
      <c r="B5024" s="1543" t="s">
        <v>703</v>
      </c>
      <c r="C5024" s="1117" t="s">
        <v>3764</v>
      </c>
      <c r="D5024" s="1120"/>
      <c r="E5024" s="1120"/>
      <c r="F5024" s="1121"/>
      <c r="G5024" s="1160"/>
      <c r="H5024" s="1149">
        <f>H5018+H5023</f>
        <v>536601.92500000005</v>
      </c>
      <c r="J5024" s="1559"/>
      <c r="K5024" s="1559"/>
      <c r="L5024" s="1559"/>
      <c r="M5024" s="1635"/>
    </row>
    <row r="5025" spans="2:13" s="949" customFormat="1" hidden="1">
      <c r="B5025" s="1543" t="s">
        <v>706</v>
      </c>
      <c r="C5025" s="1123" t="s">
        <v>876</v>
      </c>
      <c r="D5025" s="1124"/>
      <c r="E5025" s="1154"/>
      <c r="F5025" s="1545" t="s">
        <v>3873</v>
      </c>
      <c r="G5025" s="1160"/>
      <c r="H5025" s="1107">
        <f>H5024*0.15</f>
        <v>80490.288750000007</v>
      </c>
      <c r="J5025" s="1559"/>
      <c r="K5025" s="1559"/>
      <c r="L5025" s="1559"/>
      <c r="M5025" s="1635"/>
    </row>
    <row r="5026" spans="2:13" s="949" customFormat="1" hidden="1">
      <c r="B5026" s="1543" t="s">
        <v>708</v>
      </c>
      <c r="C5026" s="1117" t="s">
        <v>3765</v>
      </c>
      <c r="D5026" s="1120"/>
      <c r="E5026" s="1120"/>
      <c r="F5026" s="1121"/>
      <c r="G5026" s="1160"/>
      <c r="H5026" s="1107">
        <f>ROUND(SUM(H5024:H5025),2)</f>
        <v>617092.21</v>
      </c>
      <c r="I5026" s="1003">
        <f>SUM(H5024:H5025)</f>
        <v>617092.21375000011</v>
      </c>
      <c r="J5026" s="1561"/>
      <c r="K5026" s="1561"/>
      <c r="L5026" s="1559"/>
      <c r="M5026" s="1635"/>
    </row>
    <row r="5027" spans="2:13" s="947" customFormat="1" hidden="1">
      <c r="B5027" s="1095"/>
      <c r="C5027" s="1096"/>
      <c r="D5027" s="1095"/>
      <c r="E5027" s="1095"/>
      <c r="F5027" s="1172"/>
      <c r="G5027" s="1173"/>
      <c r="H5027" s="1133"/>
      <c r="J5027" s="1557"/>
      <c r="K5027" s="1557"/>
      <c r="L5027" s="1557"/>
      <c r="M5027" s="1566"/>
    </row>
    <row r="5028" spans="2:13" s="947" customFormat="1" hidden="1">
      <c r="B5028" s="1100" t="s">
        <v>4125</v>
      </c>
      <c r="C5028" s="1232" t="s">
        <v>3562</v>
      </c>
      <c r="D5028" s="1095"/>
      <c r="E5028" s="1095"/>
      <c r="F5028" s="1172"/>
      <c r="G5028" s="1173"/>
      <c r="H5028" s="1133"/>
      <c r="J5028" s="1557"/>
      <c r="K5028" s="1557"/>
      <c r="L5028" s="1557"/>
      <c r="M5028" s="1566"/>
    </row>
    <row r="5029" spans="2:13" s="948" customFormat="1" ht="24.9" hidden="1" customHeight="1">
      <c r="B5029" s="1748" t="s">
        <v>1003</v>
      </c>
      <c r="C5029" s="1101" t="s">
        <v>1004</v>
      </c>
      <c r="D5029" s="1101" t="s">
        <v>1005</v>
      </c>
      <c r="E5029" s="1101" t="s">
        <v>1006</v>
      </c>
      <c r="F5029" s="1102" t="s">
        <v>1007</v>
      </c>
      <c r="G5029" s="1109" t="s">
        <v>2637</v>
      </c>
      <c r="H5029" s="1110" t="s">
        <v>2638</v>
      </c>
      <c r="J5029" s="1625"/>
      <c r="K5029" s="1625"/>
      <c r="L5029" s="1625"/>
      <c r="M5029" s="1570"/>
    </row>
    <row r="5030" spans="2:13" s="947" customFormat="1" hidden="1">
      <c r="B5030" s="1543" t="s">
        <v>671</v>
      </c>
      <c r="C5030" s="1332" t="s">
        <v>672</v>
      </c>
      <c r="D5030" s="1331"/>
      <c r="E5030" s="1331"/>
      <c r="F5030" s="1334"/>
      <c r="G5030" s="1104"/>
      <c r="H5030" s="1106"/>
      <c r="J5030" s="1557"/>
      <c r="K5030" s="1557"/>
      <c r="L5030" s="1557"/>
      <c r="M5030" s="1566"/>
    </row>
    <row r="5031" spans="2:13" s="947" customFormat="1" hidden="1">
      <c r="B5031" s="1543"/>
      <c r="C5031" s="1332" t="s">
        <v>673</v>
      </c>
      <c r="D5031" s="1331" t="s">
        <v>674</v>
      </c>
      <c r="E5031" s="1331" t="s">
        <v>675</v>
      </c>
      <c r="F5031" s="1334">
        <v>0.12</v>
      </c>
      <c r="G5031" s="1104">
        <f>DUB!$I$10</f>
        <v>150000</v>
      </c>
      <c r="H5031" s="1106">
        <f>G5031*F5031</f>
        <v>18000</v>
      </c>
      <c r="J5031" s="1557"/>
      <c r="K5031" s="1557"/>
      <c r="L5031" s="1557"/>
      <c r="M5031" s="1566"/>
    </row>
    <row r="5032" spans="2:13" s="947" customFormat="1" hidden="1">
      <c r="B5032" s="1543"/>
      <c r="C5032" s="1332" t="s">
        <v>677</v>
      </c>
      <c r="D5032" s="1331" t="s">
        <v>678</v>
      </c>
      <c r="E5032" s="1331" t="s">
        <v>675</v>
      </c>
      <c r="F5032" s="1334">
        <v>0.12</v>
      </c>
      <c r="G5032" s="1104">
        <f>DUB!$I$11</f>
        <v>187000</v>
      </c>
      <c r="H5032" s="1106">
        <f>G5032*F5032</f>
        <v>22440</v>
      </c>
      <c r="J5032" s="1557"/>
      <c r="K5032" s="1557"/>
      <c r="L5032" s="1557"/>
      <c r="M5032" s="1566"/>
    </row>
    <row r="5033" spans="2:13" s="947" customFormat="1" hidden="1">
      <c r="B5033" s="1543"/>
      <c r="C5033" s="1332" t="s">
        <v>751</v>
      </c>
      <c r="D5033" s="1331" t="s">
        <v>681</v>
      </c>
      <c r="E5033" s="1331" t="s">
        <v>675</v>
      </c>
      <c r="F5033" s="1334">
        <v>1.2E-2</v>
      </c>
      <c r="G5033" s="1104">
        <f>DUB!$I$13</f>
        <v>240000</v>
      </c>
      <c r="H5033" s="1106">
        <f>G5033*F5033</f>
        <v>2880</v>
      </c>
      <c r="J5033" s="1557"/>
      <c r="K5033" s="1557"/>
      <c r="L5033" s="1557"/>
      <c r="M5033" s="1566"/>
    </row>
    <row r="5034" spans="2:13" s="947" customFormat="1" hidden="1">
      <c r="B5034" s="1543"/>
      <c r="C5034" s="1332" t="s">
        <v>683</v>
      </c>
      <c r="D5034" s="1331" t="s">
        <v>684</v>
      </c>
      <c r="E5034" s="1331" t="s">
        <v>675</v>
      </c>
      <c r="F5034" s="1334">
        <v>6.0000000000000001E-3</v>
      </c>
      <c r="G5034" s="1104">
        <f>DUB!$I$12</f>
        <v>225000</v>
      </c>
      <c r="H5034" s="1106">
        <f>G5034*F5034</f>
        <v>1350</v>
      </c>
      <c r="J5034" s="1557"/>
      <c r="K5034" s="1557"/>
      <c r="L5034" s="1557"/>
      <c r="M5034" s="1566"/>
    </row>
    <row r="5035" spans="2:13" s="947" customFormat="1" hidden="1">
      <c r="B5035" s="1543"/>
      <c r="C5035" s="1332"/>
      <c r="D5035" s="1331"/>
      <c r="E5035" s="1331"/>
      <c r="F5035" s="2074" t="s">
        <v>685</v>
      </c>
      <c r="G5035" s="2074"/>
      <c r="H5035" s="1106">
        <f>SUM(H5031:H5034)</f>
        <v>44670</v>
      </c>
      <c r="J5035" s="1557"/>
      <c r="K5035" s="1557"/>
      <c r="L5035" s="1557"/>
      <c r="M5035" s="1566"/>
    </row>
    <row r="5036" spans="2:13" s="947" customFormat="1" hidden="1">
      <c r="B5036" s="1543" t="s">
        <v>686</v>
      </c>
      <c r="C5036" s="1332" t="s">
        <v>687</v>
      </c>
      <c r="D5036" s="1331"/>
      <c r="E5036" s="1331"/>
      <c r="F5036" s="1334"/>
      <c r="G5036" s="1104"/>
      <c r="H5036" s="1106"/>
      <c r="J5036" s="1557"/>
      <c r="K5036" s="1557"/>
      <c r="L5036" s="1557"/>
      <c r="M5036" s="1566"/>
    </row>
    <row r="5037" spans="2:13" s="947" customFormat="1" hidden="1">
      <c r="B5037" s="1543"/>
      <c r="C5037" s="1332" t="s">
        <v>1305</v>
      </c>
      <c r="D5037" s="1331"/>
      <c r="E5037" s="1331" t="s">
        <v>2646</v>
      </c>
      <c r="F5037" s="1334">
        <v>6.1999999999999998E-3</v>
      </c>
      <c r="G5037" s="1104">
        <f>DUB!$I$84</f>
        <v>6961500</v>
      </c>
      <c r="H5037" s="1106">
        <f>G5037*F5037</f>
        <v>43161.299999999996</v>
      </c>
      <c r="J5037" s="1557"/>
      <c r="K5037" s="1557"/>
      <c r="L5037" s="1557"/>
      <c r="M5037" s="1566"/>
    </row>
    <row r="5038" spans="2:13" s="947" customFormat="1" hidden="1">
      <c r="B5038" s="1543"/>
      <c r="C5038" s="1332" t="s">
        <v>734</v>
      </c>
      <c r="D5038" s="1331"/>
      <c r="E5038" s="1331" t="s">
        <v>773</v>
      </c>
      <c r="F5038" s="1334">
        <v>0.2</v>
      </c>
      <c r="G5038" s="1104">
        <f>DUB!$I$128</f>
        <v>20441.7</v>
      </c>
      <c r="H5038" s="1106">
        <f>G5038*F5038</f>
        <v>4088.34</v>
      </c>
      <c r="J5038" s="1557"/>
      <c r="K5038" s="1557"/>
      <c r="L5038" s="1557"/>
      <c r="M5038" s="1566"/>
    </row>
    <row r="5039" spans="2:13" s="947" customFormat="1" hidden="1">
      <c r="B5039" s="1543"/>
      <c r="C5039" s="1332"/>
      <c r="D5039" s="1331"/>
      <c r="E5039" s="1331"/>
      <c r="F5039" s="2090" t="s">
        <v>702</v>
      </c>
      <c r="G5039" s="2090"/>
      <c r="H5039" s="1106">
        <f>SUM(H5037:H5038)</f>
        <v>47249.64</v>
      </c>
      <c r="J5039" s="1557"/>
      <c r="K5039" s="1557"/>
      <c r="L5039" s="1557"/>
      <c r="M5039" s="1566"/>
    </row>
    <row r="5040" spans="2:13" s="949" customFormat="1" hidden="1">
      <c r="B5040" s="1543" t="s">
        <v>703</v>
      </c>
      <c r="C5040" s="2089" t="s">
        <v>3764</v>
      </c>
      <c r="D5040" s="2089"/>
      <c r="E5040" s="2089"/>
      <c r="F5040" s="2089"/>
      <c r="G5040" s="2089"/>
      <c r="H5040" s="1107">
        <f>H5035+H5039</f>
        <v>91919.64</v>
      </c>
      <c r="J5040" s="1559"/>
      <c r="K5040" s="1559"/>
      <c r="L5040" s="1559"/>
      <c r="M5040" s="1635"/>
    </row>
    <row r="5041" spans="2:13" s="949" customFormat="1" hidden="1">
      <c r="B5041" s="1543" t="s">
        <v>706</v>
      </c>
      <c r="C5041" s="2076" t="s">
        <v>876</v>
      </c>
      <c r="D5041" s="2076"/>
      <c r="E5041" s="2076"/>
      <c r="F5041" s="2077" t="s">
        <v>3873</v>
      </c>
      <c r="G5041" s="2077"/>
      <c r="H5041" s="1107">
        <f>H5040*0.15</f>
        <v>13787.946</v>
      </c>
      <c r="J5041" s="1559"/>
      <c r="K5041" s="1559"/>
      <c r="L5041" s="1559"/>
      <c r="M5041" s="1635"/>
    </row>
    <row r="5042" spans="2:13" s="949" customFormat="1" hidden="1">
      <c r="B5042" s="1543" t="s">
        <v>708</v>
      </c>
      <c r="C5042" s="2078" t="s">
        <v>3765</v>
      </c>
      <c r="D5042" s="2078"/>
      <c r="E5042" s="2078"/>
      <c r="F5042" s="2078"/>
      <c r="G5042" s="2078"/>
      <c r="H5042" s="1107">
        <f>ROUND(SUM(H5040:H5041),2)</f>
        <v>105707.59</v>
      </c>
      <c r="I5042" s="950">
        <f>SUM(H5040:H5041)</f>
        <v>105707.586</v>
      </c>
      <c r="J5042" s="1561"/>
      <c r="K5042" s="1561"/>
      <c r="L5042" s="1559"/>
      <c r="M5042" s="1635"/>
    </row>
    <row r="5043" spans="2:13" s="947" customFormat="1" hidden="1">
      <c r="B5043" s="1129"/>
      <c r="C5043" s="1130"/>
      <c r="D5043" s="1129"/>
      <c r="E5043" s="1130"/>
      <c r="F5043" s="1131"/>
      <c r="G5043" s="1132"/>
      <c r="H5043" s="1133"/>
      <c r="I5043" s="952"/>
      <c r="J5043" s="1562"/>
      <c r="K5043" s="1562"/>
      <c r="L5043" s="1557"/>
      <c r="M5043" s="1566"/>
    </row>
    <row r="5044" spans="2:13" s="947" customFormat="1" hidden="1">
      <c r="B5044" s="1100" t="s">
        <v>4126</v>
      </c>
      <c r="C5044" s="1232" t="s">
        <v>4471</v>
      </c>
      <c r="D5044" s="1095"/>
      <c r="E5044" s="1095"/>
      <c r="F5044" s="1172"/>
      <c r="G5044" s="1173"/>
      <c r="H5044" s="1133"/>
      <c r="J5044" s="1557"/>
      <c r="K5044" s="1557"/>
      <c r="L5044" s="1557"/>
      <c r="M5044" s="1566"/>
    </row>
    <row r="5045" spans="2:13" s="948" customFormat="1" ht="24.9" hidden="1" customHeight="1">
      <c r="B5045" s="1748" t="s">
        <v>1003</v>
      </c>
      <c r="C5045" s="1101" t="s">
        <v>1004</v>
      </c>
      <c r="D5045" s="1101" t="s">
        <v>1005</v>
      </c>
      <c r="E5045" s="1101" t="s">
        <v>1006</v>
      </c>
      <c r="F5045" s="1102" t="s">
        <v>1007</v>
      </c>
      <c r="G5045" s="1109" t="s">
        <v>2637</v>
      </c>
      <c r="H5045" s="1110" t="s">
        <v>2638</v>
      </c>
      <c r="J5045" s="1625"/>
      <c r="K5045" s="1625"/>
      <c r="L5045" s="1625"/>
      <c r="M5045" s="1570"/>
    </row>
    <row r="5046" spans="2:13" s="947" customFormat="1" hidden="1">
      <c r="B5046" s="1543" t="s">
        <v>671</v>
      </c>
      <c r="C5046" s="1332" t="s">
        <v>672</v>
      </c>
      <c r="D5046" s="1331"/>
      <c r="E5046" s="1331"/>
      <c r="F5046" s="1334"/>
      <c r="G5046" s="1104"/>
      <c r="H5046" s="1106"/>
      <c r="J5046" s="1557"/>
      <c r="K5046" s="1557"/>
      <c r="L5046" s="1557"/>
      <c r="M5046" s="1566"/>
    </row>
    <row r="5047" spans="2:13" s="947" customFormat="1" hidden="1">
      <c r="B5047" s="1543"/>
      <c r="C5047" s="1332" t="s">
        <v>673</v>
      </c>
      <c r="D5047" s="1331" t="s">
        <v>674</v>
      </c>
      <c r="E5047" s="1331" t="s">
        <v>675</v>
      </c>
      <c r="F5047" s="1334">
        <v>0.12</v>
      </c>
      <c r="G5047" s="1104">
        <f>DUB!$I$10</f>
        <v>150000</v>
      </c>
      <c r="H5047" s="1106">
        <f>G5047*F5047</f>
        <v>18000</v>
      </c>
      <c r="J5047" s="1557"/>
      <c r="K5047" s="1557"/>
      <c r="L5047" s="1557"/>
      <c r="M5047" s="1566"/>
    </row>
    <row r="5048" spans="2:13" s="947" customFormat="1" hidden="1">
      <c r="B5048" s="1543"/>
      <c r="C5048" s="1332" t="s">
        <v>871</v>
      </c>
      <c r="D5048" s="1331" t="s">
        <v>678</v>
      </c>
      <c r="E5048" s="1331" t="s">
        <v>675</v>
      </c>
      <c r="F5048" s="1334">
        <v>0.12</v>
      </c>
      <c r="G5048" s="1104">
        <f>DUB!$I$11</f>
        <v>187000</v>
      </c>
      <c r="H5048" s="1106">
        <f>G5048*F5048</f>
        <v>22440</v>
      </c>
      <c r="J5048" s="1557"/>
      <c r="K5048" s="1557"/>
      <c r="L5048" s="1557"/>
      <c r="M5048" s="1566"/>
    </row>
    <row r="5049" spans="2:13" s="947" customFormat="1" hidden="1">
      <c r="B5049" s="1543"/>
      <c r="C5049" s="1332" t="s">
        <v>751</v>
      </c>
      <c r="D5049" s="1331" t="s">
        <v>681</v>
      </c>
      <c r="E5049" s="1331" t="s">
        <v>675</v>
      </c>
      <c r="F5049" s="1334">
        <v>1.2E-2</v>
      </c>
      <c r="G5049" s="1104">
        <f>DUB!$I$13</f>
        <v>240000</v>
      </c>
      <c r="H5049" s="1106">
        <f>G5049*F5049</f>
        <v>2880</v>
      </c>
      <c r="J5049" s="1557"/>
      <c r="K5049" s="1557"/>
      <c r="L5049" s="1557"/>
      <c r="M5049" s="1566"/>
    </row>
    <row r="5050" spans="2:13" s="947" customFormat="1" hidden="1">
      <c r="B5050" s="1543"/>
      <c r="C5050" s="1332" t="s">
        <v>683</v>
      </c>
      <c r="D5050" s="1331" t="s">
        <v>684</v>
      </c>
      <c r="E5050" s="1331" t="s">
        <v>675</v>
      </c>
      <c r="F5050" s="1334">
        <v>6.0000000000000001E-3</v>
      </c>
      <c r="G5050" s="1104">
        <f>DUB!$I$12</f>
        <v>225000</v>
      </c>
      <c r="H5050" s="1106">
        <f>G5050*F5050</f>
        <v>1350</v>
      </c>
      <c r="J5050" s="1557"/>
      <c r="K5050" s="1557"/>
      <c r="L5050" s="1557"/>
      <c r="M5050" s="1566"/>
    </row>
    <row r="5051" spans="2:13" s="947" customFormat="1" hidden="1">
      <c r="B5051" s="1543"/>
      <c r="C5051" s="1332"/>
      <c r="D5051" s="1331"/>
      <c r="E5051" s="1331"/>
      <c r="F5051" s="2074" t="s">
        <v>685</v>
      </c>
      <c r="G5051" s="2074"/>
      <c r="H5051" s="1106">
        <f>SUM(H5047:H5050)</f>
        <v>44670</v>
      </c>
      <c r="J5051" s="1557"/>
      <c r="K5051" s="1557"/>
      <c r="L5051" s="1557"/>
      <c r="M5051" s="1566"/>
    </row>
    <row r="5052" spans="2:13" s="947" customFormat="1" hidden="1">
      <c r="B5052" s="1543" t="s">
        <v>686</v>
      </c>
      <c r="C5052" s="1332" t="s">
        <v>687</v>
      </c>
      <c r="D5052" s="1331"/>
      <c r="E5052" s="1331"/>
      <c r="F5052" s="1334"/>
      <c r="G5052" s="1104"/>
      <c r="H5052" s="1106"/>
      <c r="J5052" s="1557"/>
      <c r="K5052" s="1557"/>
      <c r="L5052" s="1557"/>
      <c r="M5052" s="1566"/>
    </row>
    <row r="5053" spans="2:13" s="947" customFormat="1" hidden="1">
      <c r="B5053" s="1543"/>
      <c r="C5053" s="1332" t="s">
        <v>1305</v>
      </c>
      <c r="D5053" s="1331"/>
      <c r="E5053" s="1331" t="s">
        <v>2646</v>
      </c>
      <c r="F5053" s="1334">
        <v>1.4E-2</v>
      </c>
      <c r="G5053" s="1104">
        <f>DUB!$I$84</f>
        <v>6961500</v>
      </c>
      <c r="H5053" s="1106">
        <f>G5053*F5053</f>
        <v>97461</v>
      </c>
      <c r="J5053" s="1557"/>
      <c r="K5053" s="1557"/>
      <c r="L5053" s="1557"/>
      <c r="M5053" s="1566"/>
    </row>
    <row r="5054" spans="2:13" s="947" customFormat="1" hidden="1">
      <c r="B5054" s="1540"/>
      <c r="C5054" s="1332" t="s">
        <v>1306</v>
      </c>
      <c r="D5054" s="1331"/>
      <c r="E5054" s="1331" t="s">
        <v>2646</v>
      </c>
      <c r="F5054" s="1334">
        <v>5.7000000000000002E-2</v>
      </c>
      <c r="G5054" s="1136">
        <f>DUB!$I$128</f>
        <v>20441.7</v>
      </c>
      <c r="H5054" s="1106">
        <f>G5054*F5054</f>
        <v>1165.1769000000002</v>
      </c>
      <c r="J5054" s="1557"/>
      <c r="K5054" s="1557"/>
      <c r="L5054" s="1557"/>
      <c r="M5054" s="1566"/>
    </row>
    <row r="5055" spans="2:13" s="947" customFormat="1" hidden="1">
      <c r="B5055" s="1540"/>
      <c r="C5055" s="1332"/>
      <c r="D5055" s="1331"/>
      <c r="E5055" s="1331"/>
      <c r="F5055" s="2090" t="s">
        <v>702</v>
      </c>
      <c r="G5055" s="2090"/>
      <c r="H5055" s="1106">
        <f>SUM(H5053:H5054)</f>
        <v>98626.176900000006</v>
      </c>
      <c r="J5055" s="1557"/>
      <c r="K5055" s="1557"/>
      <c r="L5055" s="1557"/>
      <c r="M5055" s="1566"/>
    </row>
    <row r="5056" spans="2:13" s="949" customFormat="1" hidden="1">
      <c r="B5056" s="1543" t="s">
        <v>703</v>
      </c>
      <c r="C5056" s="2089" t="s">
        <v>3764</v>
      </c>
      <c r="D5056" s="2089"/>
      <c r="E5056" s="2089"/>
      <c r="F5056" s="2089"/>
      <c r="G5056" s="2089"/>
      <c r="H5056" s="1107">
        <f>H5051+H5055</f>
        <v>143296.17690000002</v>
      </c>
      <c r="J5056" s="1559"/>
      <c r="K5056" s="1559"/>
      <c r="L5056" s="1559"/>
      <c r="M5056" s="1635"/>
    </row>
    <row r="5057" spans="2:13" s="949" customFormat="1" hidden="1">
      <c r="B5057" s="1543" t="s">
        <v>706</v>
      </c>
      <c r="C5057" s="2076" t="s">
        <v>876</v>
      </c>
      <c r="D5057" s="2076"/>
      <c r="E5057" s="2076"/>
      <c r="F5057" s="2077" t="s">
        <v>3873</v>
      </c>
      <c r="G5057" s="2077"/>
      <c r="H5057" s="1107">
        <f>H5056*0.15</f>
        <v>21494.426535000002</v>
      </c>
      <c r="J5057" s="1559"/>
      <c r="K5057" s="1559"/>
      <c r="L5057" s="1559"/>
      <c r="M5057" s="1635"/>
    </row>
    <row r="5058" spans="2:13" s="949" customFormat="1" hidden="1">
      <c r="B5058" s="1543" t="s">
        <v>708</v>
      </c>
      <c r="C5058" s="2078" t="s">
        <v>3765</v>
      </c>
      <c r="D5058" s="2078"/>
      <c r="E5058" s="2078"/>
      <c r="F5058" s="2078"/>
      <c r="G5058" s="2078"/>
      <c r="H5058" s="1107">
        <f>ROUND(SUM(H5056:H5057),2)</f>
        <v>164790.6</v>
      </c>
      <c r="I5058" s="950">
        <f>SUM(H5056:H5057)</f>
        <v>164790.60343500003</v>
      </c>
      <c r="J5058" s="1561"/>
      <c r="K5058" s="1561"/>
      <c r="L5058" s="1559"/>
      <c r="M5058" s="1635"/>
    </row>
    <row r="5059" spans="2:13" s="947" customFormat="1" hidden="1">
      <c r="B5059" s="1143"/>
      <c r="C5059" s="1144"/>
      <c r="D5059" s="1143"/>
      <c r="E5059" s="1143"/>
      <c r="F5059" s="1145"/>
      <c r="G5059" s="1146"/>
      <c r="H5059" s="1147"/>
      <c r="J5059" s="1557"/>
      <c r="K5059" s="1557"/>
      <c r="L5059" s="1557"/>
      <c r="M5059" s="1566"/>
    </row>
    <row r="5060" spans="2:13" s="947" customFormat="1" hidden="1">
      <c r="B5060" s="1100" t="s">
        <v>4127</v>
      </c>
      <c r="C5060" s="1112" t="s">
        <v>4472</v>
      </c>
      <c r="D5060" s="1129"/>
      <c r="E5060" s="1129"/>
      <c r="F5060" s="1131"/>
      <c r="G5060" s="1132"/>
      <c r="H5060" s="1115"/>
      <c r="J5060" s="1557"/>
      <c r="K5060" s="1557"/>
      <c r="L5060" s="1557"/>
      <c r="M5060" s="1566"/>
    </row>
    <row r="5061" spans="2:13" s="948" customFormat="1" ht="24.9" hidden="1" customHeight="1">
      <c r="B5061" s="1748" t="s">
        <v>1003</v>
      </c>
      <c r="C5061" s="1101" t="s">
        <v>1004</v>
      </c>
      <c r="D5061" s="1101" t="s">
        <v>1005</v>
      </c>
      <c r="E5061" s="1101" t="s">
        <v>1006</v>
      </c>
      <c r="F5061" s="1102" t="s">
        <v>1007</v>
      </c>
      <c r="G5061" s="1109" t="s">
        <v>2637</v>
      </c>
      <c r="H5061" s="1110" t="s">
        <v>2638</v>
      </c>
      <c r="J5061" s="1625"/>
      <c r="K5061" s="1625"/>
      <c r="L5061" s="1625"/>
      <c r="M5061" s="1570"/>
    </row>
    <row r="5062" spans="2:13" s="947" customFormat="1" hidden="1">
      <c r="B5062" s="1543" t="s">
        <v>671</v>
      </c>
      <c r="C5062" s="1332" t="s">
        <v>672</v>
      </c>
      <c r="D5062" s="1331"/>
      <c r="E5062" s="1331"/>
      <c r="F5062" s="1334"/>
      <c r="G5062" s="1104"/>
      <c r="H5062" s="1106"/>
      <c r="J5062" s="1557"/>
      <c r="K5062" s="1557"/>
      <c r="L5062" s="1557"/>
      <c r="M5062" s="1566"/>
    </row>
    <row r="5063" spans="2:13" s="947" customFormat="1" hidden="1">
      <c r="B5063" s="1543"/>
      <c r="C5063" s="1332" t="s">
        <v>673</v>
      </c>
      <c r="D5063" s="1331" t="s">
        <v>674</v>
      </c>
      <c r="E5063" s="1331" t="s">
        <v>675</v>
      </c>
      <c r="F5063" s="1334">
        <v>0.15</v>
      </c>
      <c r="G5063" s="1104">
        <f>DUB!$I$10</f>
        <v>150000</v>
      </c>
      <c r="H5063" s="1106">
        <f>G5063*F5063</f>
        <v>22500</v>
      </c>
      <c r="J5063" s="1557"/>
      <c r="K5063" s="1557"/>
      <c r="L5063" s="1557"/>
      <c r="M5063" s="1566"/>
    </row>
    <row r="5064" spans="2:13" s="947" customFormat="1" hidden="1">
      <c r="B5064" s="1543"/>
      <c r="C5064" s="1332" t="s">
        <v>871</v>
      </c>
      <c r="D5064" s="1331" t="s">
        <v>678</v>
      </c>
      <c r="E5064" s="1331" t="s">
        <v>675</v>
      </c>
      <c r="F5064" s="1334">
        <v>0.3</v>
      </c>
      <c r="G5064" s="1104">
        <f>DUB!$I$11</f>
        <v>187000</v>
      </c>
      <c r="H5064" s="1106">
        <f>G5064*F5064</f>
        <v>56100</v>
      </c>
      <c r="J5064" s="1557"/>
      <c r="K5064" s="1557"/>
      <c r="L5064" s="1557"/>
      <c r="M5064" s="1566"/>
    </row>
    <row r="5065" spans="2:13" s="947" customFormat="1" hidden="1">
      <c r="B5065" s="1543"/>
      <c r="C5065" s="1332" t="s">
        <v>751</v>
      </c>
      <c r="D5065" s="1331" t="s">
        <v>681</v>
      </c>
      <c r="E5065" s="1331" t="s">
        <v>675</v>
      </c>
      <c r="F5065" s="1334">
        <v>0.03</v>
      </c>
      <c r="G5065" s="1104">
        <f>DUB!$I$13</f>
        <v>240000</v>
      </c>
      <c r="H5065" s="1106">
        <f>G5065*F5065</f>
        <v>7200</v>
      </c>
      <c r="J5065" s="1557"/>
      <c r="K5065" s="1557"/>
      <c r="L5065" s="1557"/>
      <c r="M5065" s="1566"/>
    </row>
    <row r="5066" spans="2:13" s="947" customFormat="1" hidden="1">
      <c r="B5066" s="1543"/>
      <c r="C5066" s="1332" t="s">
        <v>683</v>
      </c>
      <c r="D5066" s="1331" t="s">
        <v>684</v>
      </c>
      <c r="E5066" s="1331" t="s">
        <v>675</v>
      </c>
      <c r="F5066" s="1334">
        <v>7.4999999999999997E-2</v>
      </c>
      <c r="G5066" s="1104">
        <f>DUB!$I$12</f>
        <v>225000</v>
      </c>
      <c r="H5066" s="1106">
        <f>G5066*F5066</f>
        <v>16875</v>
      </c>
      <c r="J5066" s="1557"/>
      <c r="K5066" s="1557"/>
      <c r="L5066" s="1557"/>
      <c r="M5066" s="1566"/>
    </row>
    <row r="5067" spans="2:13" s="947" customFormat="1" hidden="1">
      <c r="B5067" s="1543"/>
      <c r="C5067" s="1332"/>
      <c r="D5067" s="1331"/>
      <c r="E5067" s="1331"/>
      <c r="F5067" s="2074" t="s">
        <v>685</v>
      </c>
      <c r="G5067" s="2074"/>
      <c r="H5067" s="1106">
        <f>SUM(H5063:H5066)</f>
        <v>102675</v>
      </c>
      <c r="J5067" s="1557"/>
      <c r="K5067" s="1557"/>
      <c r="L5067" s="1557"/>
      <c r="M5067" s="1566"/>
    </row>
    <row r="5068" spans="2:13" s="947" customFormat="1" hidden="1">
      <c r="B5068" s="1543" t="s">
        <v>686</v>
      </c>
      <c r="C5068" s="1332" t="s">
        <v>687</v>
      </c>
      <c r="D5068" s="1331"/>
      <c r="E5068" s="1331"/>
      <c r="F5068" s="1334"/>
      <c r="G5068" s="1104"/>
      <c r="H5068" s="1106"/>
      <c r="J5068" s="1557"/>
      <c r="K5068" s="1557"/>
      <c r="L5068" s="1557"/>
      <c r="M5068" s="1566"/>
    </row>
    <row r="5069" spans="2:13" s="947" customFormat="1" hidden="1">
      <c r="B5069" s="1543"/>
      <c r="C5069" s="1332" t="s">
        <v>1301</v>
      </c>
      <c r="D5069" s="1331"/>
      <c r="E5069" s="1331" t="s">
        <v>2646</v>
      </c>
      <c r="F5069" s="1334">
        <v>1.54E-2</v>
      </c>
      <c r="G5069" s="1104">
        <f>DUB!$I$85</f>
        <v>6250000</v>
      </c>
      <c r="H5069" s="1106">
        <f>G5069*F5069</f>
        <v>96250</v>
      </c>
      <c r="J5069" s="1557"/>
      <c r="K5069" s="1557"/>
      <c r="L5069" s="1557"/>
      <c r="M5069" s="1566"/>
    </row>
    <row r="5070" spans="2:13" s="947" customFormat="1" hidden="1">
      <c r="B5070" s="1543"/>
      <c r="C5070" s="1332" t="s">
        <v>1308</v>
      </c>
      <c r="D5070" s="1331"/>
      <c r="E5070" s="1331" t="s">
        <v>773</v>
      </c>
      <c r="F5070" s="1334">
        <v>0.2</v>
      </c>
      <c r="G5070" s="1136">
        <f>DUB!$I$128</f>
        <v>20441.7</v>
      </c>
      <c r="H5070" s="1106">
        <f>G5070*F5070</f>
        <v>4088.34</v>
      </c>
      <c r="J5070" s="1557"/>
      <c r="K5070" s="1557"/>
      <c r="L5070" s="1557"/>
      <c r="M5070" s="1566"/>
    </row>
    <row r="5071" spans="2:13" s="947" customFormat="1" hidden="1">
      <c r="B5071" s="1540"/>
      <c r="C5071" s="1125"/>
      <c r="D5071" s="1333"/>
      <c r="E5071" s="1333"/>
      <c r="F5071" s="2074" t="s">
        <v>702</v>
      </c>
      <c r="G5071" s="2074"/>
      <c r="H5071" s="1106">
        <f>SUM(H5069:H5070)</f>
        <v>100338.34</v>
      </c>
      <c r="J5071" s="1557"/>
      <c r="K5071" s="1557"/>
      <c r="L5071" s="1557"/>
      <c r="M5071" s="1566"/>
    </row>
    <row r="5072" spans="2:13" s="949" customFormat="1" hidden="1">
      <c r="B5072" s="1543" t="s">
        <v>703</v>
      </c>
      <c r="C5072" s="2075" t="s">
        <v>3764</v>
      </c>
      <c r="D5072" s="2075"/>
      <c r="E5072" s="2075"/>
      <c r="F5072" s="2075"/>
      <c r="G5072" s="2075"/>
      <c r="H5072" s="1107">
        <f>H5067+H5071</f>
        <v>203013.34</v>
      </c>
      <c r="J5072" s="1559"/>
      <c r="K5072" s="1559"/>
      <c r="L5072" s="1559"/>
      <c r="M5072" s="1635"/>
    </row>
    <row r="5073" spans="2:13" s="949" customFormat="1" hidden="1">
      <c r="B5073" s="1543" t="s">
        <v>706</v>
      </c>
      <c r="C5073" s="2076" t="s">
        <v>876</v>
      </c>
      <c r="D5073" s="2076"/>
      <c r="E5073" s="2076"/>
      <c r="F5073" s="2077" t="s">
        <v>3873</v>
      </c>
      <c r="G5073" s="2077"/>
      <c r="H5073" s="1107">
        <f>H5072*0.15</f>
        <v>30452.000999999997</v>
      </c>
      <c r="J5073" s="1559"/>
      <c r="K5073" s="1559"/>
      <c r="L5073" s="1559"/>
      <c r="M5073" s="1635"/>
    </row>
    <row r="5074" spans="2:13" s="949" customFormat="1" hidden="1">
      <c r="B5074" s="1543" t="s">
        <v>708</v>
      </c>
      <c r="C5074" s="2078" t="s">
        <v>3765</v>
      </c>
      <c r="D5074" s="2078"/>
      <c r="E5074" s="2078"/>
      <c r="F5074" s="2078"/>
      <c r="G5074" s="2078"/>
      <c r="H5074" s="1107">
        <f>ROUND(SUM(H5072:H5073),2)</f>
        <v>233465.34</v>
      </c>
      <c r="I5074" s="950">
        <f>SUM(H5072:H5073)</f>
        <v>233465.34099999999</v>
      </c>
      <c r="J5074" s="1561"/>
      <c r="K5074" s="1561"/>
      <c r="L5074" s="1559"/>
      <c r="M5074" s="1635"/>
    </row>
    <row r="5075" spans="2:13" s="947" customFormat="1" hidden="1">
      <c r="B5075" s="1095"/>
      <c r="C5075" s="1096"/>
      <c r="D5075" s="1095"/>
      <c r="E5075" s="1095"/>
      <c r="F5075" s="1172"/>
      <c r="G5075" s="1173"/>
      <c r="H5075" s="1133"/>
      <c r="J5075" s="1557"/>
      <c r="K5075" s="1557"/>
      <c r="L5075" s="1557"/>
      <c r="M5075" s="1566"/>
    </row>
    <row r="5076" spans="2:13" s="947" customFormat="1" hidden="1">
      <c r="B5076" s="1100" t="s">
        <v>4128</v>
      </c>
      <c r="C5076" s="1232" t="s">
        <v>4473</v>
      </c>
      <c r="D5076" s="1095"/>
      <c r="E5076" s="1095"/>
      <c r="F5076" s="1172"/>
      <c r="G5076" s="1173"/>
      <c r="H5076" s="1133"/>
      <c r="J5076" s="1557"/>
      <c r="K5076" s="1557"/>
      <c r="L5076" s="1557"/>
      <c r="M5076" s="1566"/>
    </row>
    <row r="5077" spans="2:13" s="948" customFormat="1" ht="24.9" hidden="1" customHeight="1">
      <c r="B5077" s="1748" t="s">
        <v>1003</v>
      </c>
      <c r="C5077" s="1101" t="s">
        <v>1004</v>
      </c>
      <c r="D5077" s="1101" t="s">
        <v>1005</v>
      </c>
      <c r="E5077" s="1101" t="s">
        <v>1006</v>
      </c>
      <c r="F5077" s="1102" t="s">
        <v>1007</v>
      </c>
      <c r="G5077" s="1109" t="s">
        <v>2637</v>
      </c>
      <c r="H5077" s="1110" t="s">
        <v>2638</v>
      </c>
      <c r="J5077" s="1625"/>
      <c r="K5077" s="1625"/>
      <c r="L5077" s="1625"/>
      <c r="M5077" s="1570"/>
    </row>
    <row r="5078" spans="2:13" s="947" customFormat="1" hidden="1">
      <c r="B5078" s="1543" t="s">
        <v>671</v>
      </c>
      <c r="C5078" s="1332" t="s">
        <v>672</v>
      </c>
      <c r="D5078" s="1331"/>
      <c r="E5078" s="1331"/>
      <c r="F5078" s="1334"/>
      <c r="G5078" s="1104"/>
      <c r="H5078" s="1106"/>
      <c r="J5078" s="1557"/>
      <c r="K5078" s="1557"/>
      <c r="L5078" s="1557"/>
      <c r="M5078" s="1566"/>
    </row>
    <row r="5079" spans="2:13" s="947" customFormat="1" hidden="1">
      <c r="B5079" s="1543"/>
      <c r="C5079" s="1332" t="s">
        <v>673</v>
      </c>
      <c r="D5079" s="1331" t="s">
        <v>674</v>
      </c>
      <c r="E5079" s="1331" t="s">
        <v>675</v>
      </c>
      <c r="F5079" s="1334">
        <v>0.2</v>
      </c>
      <c r="G5079" s="1104">
        <f>DUB!$I$10</f>
        <v>150000</v>
      </c>
      <c r="H5079" s="1106">
        <f>G5079*F5079</f>
        <v>30000</v>
      </c>
      <c r="J5079" s="1557"/>
      <c r="K5079" s="1557"/>
      <c r="L5079" s="1557"/>
      <c r="M5079" s="1566"/>
    </row>
    <row r="5080" spans="2:13" s="947" customFormat="1" hidden="1">
      <c r="B5080" s="1543"/>
      <c r="C5080" s="1332" t="s">
        <v>871</v>
      </c>
      <c r="D5080" s="1331" t="s">
        <v>678</v>
      </c>
      <c r="E5080" s="1331" t="s">
        <v>675</v>
      </c>
      <c r="F5080" s="1334">
        <v>0.3</v>
      </c>
      <c r="G5080" s="1104">
        <f>DUB!$I$11</f>
        <v>187000</v>
      </c>
      <c r="H5080" s="1106">
        <f>G5080*F5080</f>
        <v>56100</v>
      </c>
      <c r="J5080" s="1557"/>
      <c r="K5080" s="1557"/>
      <c r="L5080" s="1557"/>
      <c r="M5080" s="1566"/>
    </row>
    <row r="5081" spans="2:13" s="947" customFormat="1" hidden="1">
      <c r="B5081" s="1543"/>
      <c r="C5081" s="1332" t="s">
        <v>751</v>
      </c>
      <c r="D5081" s="1331" t="s">
        <v>681</v>
      </c>
      <c r="E5081" s="1331" t="s">
        <v>675</v>
      </c>
      <c r="F5081" s="1334">
        <v>0.03</v>
      </c>
      <c r="G5081" s="1104">
        <f>DUB!$I$13</f>
        <v>240000</v>
      </c>
      <c r="H5081" s="1106">
        <f>G5081*F5081</f>
        <v>7200</v>
      </c>
      <c r="J5081" s="1557"/>
      <c r="K5081" s="1557"/>
      <c r="L5081" s="1557"/>
      <c r="M5081" s="1566"/>
    </row>
    <row r="5082" spans="2:13" s="947" customFormat="1" hidden="1">
      <c r="B5082" s="1543"/>
      <c r="C5082" s="1332" t="s">
        <v>683</v>
      </c>
      <c r="D5082" s="1331" t="s">
        <v>684</v>
      </c>
      <c r="E5082" s="1331" t="s">
        <v>675</v>
      </c>
      <c r="F5082" s="1334">
        <v>0.01</v>
      </c>
      <c r="G5082" s="1104">
        <f>DUB!$I$12</f>
        <v>225000</v>
      </c>
      <c r="H5082" s="1106">
        <f>G5082*F5082</f>
        <v>2250</v>
      </c>
      <c r="J5082" s="1557"/>
      <c r="K5082" s="1557"/>
      <c r="L5082" s="1557"/>
      <c r="M5082" s="1566"/>
    </row>
    <row r="5083" spans="2:13" s="947" customFormat="1" hidden="1">
      <c r="B5083" s="1543"/>
      <c r="C5083" s="1332"/>
      <c r="D5083" s="1331"/>
      <c r="E5083" s="1331"/>
      <c r="F5083" s="2074" t="s">
        <v>685</v>
      </c>
      <c r="G5083" s="2074"/>
      <c r="H5083" s="1106">
        <f>SUM(H5079:H5082)</f>
        <v>95550</v>
      </c>
      <c r="J5083" s="1557"/>
      <c r="K5083" s="1557"/>
      <c r="L5083" s="1557"/>
      <c r="M5083" s="1566"/>
    </row>
    <row r="5084" spans="2:13" s="947" customFormat="1" hidden="1">
      <c r="B5084" s="1543" t="s">
        <v>686</v>
      </c>
      <c r="C5084" s="1332" t="s">
        <v>687</v>
      </c>
      <c r="D5084" s="1331"/>
      <c r="E5084" s="1331"/>
      <c r="F5084" s="1334"/>
      <c r="G5084" s="1104"/>
      <c r="H5084" s="1106"/>
      <c r="J5084" s="1557"/>
      <c r="K5084" s="1557"/>
      <c r="L5084" s="1557"/>
      <c r="M5084" s="1566"/>
    </row>
    <row r="5085" spans="2:13" s="947" customFormat="1" hidden="1">
      <c r="B5085" s="1543"/>
      <c r="C5085" s="1332" t="s">
        <v>2643</v>
      </c>
      <c r="D5085" s="1331"/>
      <c r="E5085" s="1187" t="s">
        <v>2646</v>
      </c>
      <c r="F5085" s="1179">
        <v>1.6299999999999999E-2</v>
      </c>
      <c r="G5085" s="1104">
        <f>DUB!$I$85</f>
        <v>6250000</v>
      </c>
      <c r="H5085" s="1106">
        <f>G5085*F5085</f>
        <v>101874.99999999999</v>
      </c>
      <c r="J5085" s="1557"/>
      <c r="K5085" s="1557"/>
      <c r="L5085" s="1557"/>
      <c r="M5085" s="1566"/>
    </row>
    <row r="5086" spans="2:13" s="947" customFormat="1" hidden="1">
      <c r="B5086" s="1540"/>
      <c r="C5086" s="1332" t="s">
        <v>1312</v>
      </c>
      <c r="D5086" s="1331"/>
      <c r="E5086" s="1331" t="s">
        <v>773</v>
      </c>
      <c r="F5086" s="1334">
        <v>0.25</v>
      </c>
      <c r="G5086" s="1136">
        <f>DUB!$I$128</f>
        <v>20441.7</v>
      </c>
      <c r="H5086" s="1106">
        <f>G5086*F5086</f>
        <v>5110.4250000000002</v>
      </c>
      <c r="J5086" s="1557"/>
      <c r="K5086" s="1557"/>
      <c r="L5086" s="1557"/>
      <c r="M5086" s="1566"/>
    </row>
    <row r="5087" spans="2:13" s="947" customFormat="1" hidden="1">
      <c r="B5087" s="1540"/>
      <c r="C5087" s="1125"/>
      <c r="D5087" s="1333"/>
      <c r="E5087" s="1333"/>
      <c r="F5087" s="2074" t="s">
        <v>702</v>
      </c>
      <c r="G5087" s="2074"/>
      <c r="H5087" s="1106">
        <f>SUM(H5085:H5086)</f>
        <v>106985.42499999999</v>
      </c>
      <c r="J5087" s="1557"/>
      <c r="K5087" s="1557"/>
      <c r="L5087" s="1557"/>
      <c r="M5087" s="1566"/>
    </row>
    <row r="5088" spans="2:13" s="949" customFormat="1" hidden="1">
      <c r="B5088" s="1543" t="s">
        <v>703</v>
      </c>
      <c r="C5088" s="2075" t="s">
        <v>3764</v>
      </c>
      <c r="D5088" s="2075"/>
      <c r="E5088" s="2075"/>
      <c r="F5088" s="2075"/>
      <c r="G5088" s="2075"/>
      <c r="H5088" s="1107">
        <f>H5083+H5087</f>
        <v>202535.42499999999</v>
      </c>
      <c r="J5088" s="1559"/>
      <c r="K5088" s="1559"/>
      <c r="L5088" s="1559"/>
      <c r="M5088" s="1635"/>
    </row>
    <row r="5089" spans="2:13" s="949" customFormat="1" hidden="1">
      <c r="B5089" s="1543" t="s">
        <v>706</v>
      </c>
      <c r="C5089" s="2076" t="s">
        <v>876</v>
      </c>
      <c r="D5089" s="2076"/>
      <c r="E5089" s="2076"/>
      <c r="F5089" s="2077" t="s">
        <v>3873</v>
      </c>
      <c r="G5089" s="2077"/>
      <c r="H5089" s="1107">
        <f>H5088*0.15</f>
        <v>30380.313749999998</v>
      </c>
      <c r="J5089" s="1559"/>
      <c r="K5089" s="1559"/>
      <c r="L5089" s="1559"/>
      <c r="M5089" s="1635"/>
    </row>
    <row r="5090" spans="2:13" s="949" customFormat="1" hidden="1">
      <c r="B5090" s="1543" t="s">
        <v>708</v>
      </c>
      <c r="C5090" s="2078" t="s">
        <v>3765</v>
      </c>
      <c r="D5090" s="2078"/>
      <c r="E5090" s="2078"/>
      <c r="F5090" s="2078"/>
      <c r="G5090" s="2078"/>
      <c r="H5090" s="1107">
        <f>ROUND(SUM(H5088:H5089),2)</f>
        <v>232915.74</v>
      </c>
      <c r="I5090" s="950">
        <f>SUM(H5088:H5089)</f>
        <v>232915.73874999999</v>
      </c>
      <c r="J5090" s="1561"/>
      <c r="K5090" s="1561"/>
      <c r="L5090" s="1559"/>
      <c r="M5090" s="1635"/>
    </row>
    <row r="5091" spans="2:13" s="947" customFormat="1" hidden="1">
      <c r="B5091" s="1143"/>
      <c r="C5091" s="1144"/>
      <c r="D5091" s="1143"/>
      <c r="E5091" s="1143"/>
      <c r="F5091" s="1145"/>
      <c r="G5091" s="1146"/>
      <c r="H5091" s="1147"/>
      <c r="J5091" s="1557"/>
      <c r="K5091" s="1557"/>
      <c r="L5091" s="1557"/>
      <c r="M5091" s="1566"/>
    </row>
    <row r="5092" spans="2:13" s="947" customFormat="1" hidden="1">
      <c r="B5092" s="1100" t="s">
        <v>4129</v>
      </c>
      <c r="C5092" s="1112" t="s">
        <v>4474</v>
      </c>
      <c r="D5092" s="1129"/>
      <c r="E5092" s="1129"/>
      <c r="F5092" s="1131"/>
      <c r="G5092" s="1132"/>
      <c r="H5092" s="1115"/>
      <c r="J5092" s="1557"/>
      <c r="K5092" s="1557"/>
      <c r="L5092" s="1557"/>
      <c r="M5092" s="1566"/>
    </row>
    <row r="5093" spans="2:13" s="948" customFormat="1" ht="24.9" hidden="1" customHeight="1">
      <c r="B5093" s="1748" t="s">
        <v>1003</v>
      </c>
      <c r="C5093" s="1101" t="s">
        <v>1004</v>
      </c>
      <c r="D5093" s="1101" t="s">
        <v>1005</v>
      </c>
      <c r="E5093" s="1101" t="s">
        <v>1006</v>
      </c>
      <c r="F5093" s="1102" t="s">
        <v>1007</v>
      </c>
      <c r="G5093" s="1109" t="s">
        <v>2637</v>
      </c>
      <c r="H5093" s="1110" t="s">
        <v>2638</v>
      </c>
      <c r="J5093" s="1625"/>
      <c r="K5093" s="1625"/>
      <c r="L5093" s="1625"/>
      <c r="M5093" s="1570"/>
    </row>
    <row r="5094" spans="2:13" s="947" customFormat="1" hidden="1">
      <c r="B5094" s="1543" t="s">
        <v>671</v>
      </c>
      <c r="C5094" s="1332" t="s">
        <v>672</v>
      </c>
      <c r="D5094" s="1331"/>
      <c r="E5094" s="1331"/>
      <c r="F5094" s="1334"/>
      <c r="G5094" s="1104"/>
      <c r="H5094" s="1106"/>
      <c r="J5094" s="1557"/>
      <c r="K5094" s="1557"/>
      <c r="L5094" s="1557"/>
      <c r="M5094" s="1566"/>
    </row>
    <row r="5095" spans="2:13" s="947" customFormat="1" hidden="1">
      <c r="B5095" s="1543"/>
      <c r="C5095" s="1332" t="s">
        <v>673</v>
      </c>
      <c r="D5095" s="1331" t="s">
        <v>674</v>
      </c>
      <c r="E5095" s="1331" t="s">
        <v>675</v>
      </c>
      <c r="F5095" s="1334">
        <v>0.1</v>
      </c>
      <c r="G5095" s="1104">
        <f>DUB!$I$10</f>
        <v>150000</v>
      </c>
      <c r="H5095" s="1106">
        <f>G5095*F5095</f>
        <v>15000</v>
      </c>
      <c r="J5095" s="1557"/>
      <c r="K5095" s="1557"/>
      <c r="L5095" s="1557"/>
      <c r="M5095" s="1566"/>
    </row>
    <row r="5096" spans="2:13" s="947" customFormat="1" hidden="1">
      <c r="B5096" s="1543"/>
      <c r="C5096" s="1332" t="s">
        <v>871</v>
      </c>
      <c r="D5096" s="1331" t="s">
        <v>678</v>
      </c>
      <c r="E5096" s="1331" t="s">
        <v>675</v>
      </c>
      <c r="F5096" s="1334">
        <v>0.2</v>
      </c>
      <c r="G5096" s="1104">
        <f>DUB!$I$11</f>
        <v>187000</v>
      </c>
      <c r="H5096" s="1106">
        <f>G5096*F5096</f>
        <v>37400</v>
      </c>
      <c r="J5096" s="1557"/>
      <c r="K5096" s="1557"/>
      <c r="L5096" s="1557"/>
      <c r="M5096" s="1566"/>
    </row>
    <row r="5097" spans="2:13" s="947" customFormat="1" hidden="1">
      <c r="B5097" s="1543"/>
      <c r="C5097" s="1332" t="s">
        <v>751</v>
      </c>
      <c r="D5097" s="1331" t="s">
        <v>681</v>
      </c>
      <c r="E5097" s="1331" t="s">
        <v>675</v>
      </c>
      <c r="F5097" s="1334">
        <v>0.02</v>
      </c>
      <c r="G5097" s="1104">
        <f>DUB!$I$13</f>
        <v>240000</v>
      </c>
      <c r="H5097" s="1106">
        <f>G5097*F5097</f>
        <v>4800</v>
      </c>
      <c r="J5097" s="1557"/>
      <c r="K5097" s="1557"/>
      <c r="L5097" s="1557"/>
      <c r="M5097" s="1566"/>
    </row>
    <row r="5098" spans="2:13" s="947" customFormat="1" hidden="1">
      <c r="B5098" s="1543"/>
      <c r="C5098" s="1332" t="s">
        <v>683</v>
      </c>
      <c r="D5098" s="1331" t="s">
        <v>684</v>
      </c>
      <c r="E5098" s="1331" t="s">
        <v>675</v>
      </c>
      <c r="F5098" s="1334">
        <v>5.0000000000000001E-3</v>
      </c>
      <c r="G5098" s="1104">
        <f>DUB!$I$12</f>
        <v>225000</v>
      </c>
      <c r="H5098" s="1106">
        <f>G5098*F5098</f>
        <v>1125</v>
      </c>
      <c r="J5098" s="1557"/>
      <c r="K5098" s="1557"/>
      <c r="L5098" s="1557"/>
      <c r="M5098" s="1566"/>
    </row>
    <row r="5099" spans="2:13" s="947" customFormat="1" hidden="1">
      <c r="B5099" s="1543"/>
      <c r="C5099" s="1332"/>
      <c r="D5099" s="1331"/>
      <c r="E5099" s="1331"/>
      <c r="F5099" s="2074" t="s">
        <v>685</v>
      </c>
      <c r="G5099" s="2074"/>
      <c r="H5099" s="1106">
        <f>SUM(H5095:H5098)</f>
        <v>58325</v>
      </c>
      <c r="J5099" s="1557"/>
      <c r="K5099" s="1557"/>
      <c r="L5099" s="1557"/>
      <c r="M5099" s="1566"/>
    </row>
    <row r="5100" spans="2:13" s="947" customFormat="1" hidden="1">
      <c r="B5100" s="1543" t="s">
        <v>686</v>
      </c>
      <c r="C5100" s="1332" t="s">
        <v>687</v>
      </c>
      <c r="D5100" s="1331"/>
      <c r="E5100" s="1331"/>
      <c r="F5100" s="1334"/>
      <c r="G5100" s="1104"/>
      <c r="H5100" s="1106"/>
      <c r="J5100" s="1557"/>
      <c r="K5100" s="1557"/>
      <c r="L5100" s="1557"/>
      <c r="M5100" s="1566"/>
    </row>
    <row r="5101" spans="2:13" s="947" customFormat="1" hidden="1">
      <c r="B5101" s="1543"/>
      <c r="C5101" s="1332" t="s">
        <v>1270</v>
      </c>
      <c r="D5101" s="1331"/>
      <c r="E5101" s="1331" t="s">
        <v>2646</v>
      </c>
      <c r="F5101" s="1334">
        <v>1.0800000000000001E-2</v>
      </c>
      <c r="G5101" s="1104">
        <f>DUB!$I$84</f>
        <v>6961500</v>
      </c>
      <c r="H5101" s="1106">
        <f>G5101*F5101</f>
        <v>75184.2</v>
      </c>
      <c r="J5101" s="1557"/>
      <c r="K5101" s="1557"/>
      <c r="L5101" s="1557"/>
      <c r="M5101" s="1566"/>
    </row>
    <row r="5102" spans="2:13" s="947" customFormat="1" hidden="1">
      <c r="B5102" s="1543"/>
      <c r="C5102" s="1332" t="s">
        <v>1314</v>
      </c>
      <c r="D5102" s="1331"/>
      <c r="E5102" s="1331" t="s">
        <v>773</v>
      </c>
      <c r="F5102" s="1334">
        <v>0.1</v>
      </c>
      <c r="G5102" s="1136">
        <f>DUB!$I$128</f>
        <v>20441.7</v>
      </c>
      <c r="H5102" s="1106">
        <f>G5102*F5102</f>
        <v>2044.17</v>
      </c>
      <c r="J5102" s="1557"/>
      <c r="K5102" s="1557"/>
      <c r="L5102" s="1557"/>
      <c r="M5102" s="1566"/>
    </row>
    <row r="5103" spans="2:13" s="947" customFormat="1" hidden="1">
      <c r="B5103" s="1540"/>
      <c r="C5103" s="1332"/>
      <c r="D5103" s="1331"/>
      <c r="E5103" s="1331"/>
      <c r="F5103" s="2090" t="s">
        <v>702</v>
      </c>
      <c r="G5103" s="2090"/>
      <c r="H5103" s="1106">
        <f>SUM(H5101:H5102)</f>
        <v>77228.37</v>
      </c>
      <c r="J5103" s="1557"/>
      <c r="K5103" s="1557"/>
      <c r="L5103" s="1557"/>
      <c r="M5103" s="1566"/>
    </row>
    <row r="5104" spans="2:13" s="949" customFormat="1" hidden="1">
      <c r="B5104" s="1543" t="s">
        <v>703</v>
      </c>
      <c r="C5104" s="2089" t="s">
        <v>3764</v>
      </c>
      <c r="D5104" s="2089"/>
      <c r="E5104" s="2089"/>
      <c r="F5104" s="2089"/>
      <c r="G5104" s="2089"/>
      <c r="H5104" s="1107">
        <f>H5099+H5103</f>
        <v>135553.37</v>
      </c>
      <c r="J5104" s="1559"/>
      <c r="K5104" s="1559"/>
      <c r="L5104" s="1559"/>
      <c r="M5104" s="1635"/>
    </row>
    <row r="5105" spans="2:13" s="949" customFormat="1" hidden="1">
      <c r="B5105" s="1543" t="s">
        <v>706</v>
      </c>
      <c r="C5105" s="2076" t="s">
        <v>876</v>
      </c>
      <c r="D5105" s="2076"/>
      <c r="E5105" s="2076"/>
      <c r="F5105" s="2077" t="s">
        <v>3873</v>
      </c>
      <c r="G5105" s="2077"/>
      <c r="H5105" s="1107">
        <f>H5104*0.15</f>
        <v>20333.005499999999</v>
      </c>
      <c r="J5105" s="1559"/>
      <c r="K5105" s="1559"/>
      <c r="L5105" s="1559"/>
      <c r="M5105" s="1635"/>
    </row>
    <row r="5106" spans="2:13" s="949" customFormat="1" hidden="1">
      <c r="B5106" s="1543" t="s">
        <v>708</v>
      </c>
      <c r="C5106" s="2078" t="s">
        <v>3765</v>
      </c>
      <c r="D5106" s="2078"/>
      <c r="E5106" s="2078"/>
      <c r="F5106" s="2078"/>
      <c r="G5106" s="2078"/>
      <c r="H5106" s="1107">
        <f>ROUND(SUM(H5104:H5105),2)</f>
        <v>155886.38</v>
      </c>
      <c r="I5106" s="950">
        <f>SUM(H5104:H5105)</f>
        <v>155886.37549999999</v>
      </c>
      <c r="J5106" s="1561"/>
      <c r="K5106" s="1561"/>
      <c r="L5106" s="1559"/>
      <c r="M5106" s="1635"/>
    </row>
    <row r="5107" spans="2:13" s="947" customFormat="1" hidden="1">
      <c r="B5107" s="1095"/>
      <c r="C5107" s="1096"/>
      <c r="D5107" s="1095"/>
      <c r="E5107" s="1095"/>
      <c r="F5107" s="1172"/>
      <c r="G5107" s="1173"/>
      <c r="H5107" s="1133"/>
      <c r="J5107" s="1557"/>
      <c r="K5107" s="1557"/>
      <c r="L5107" s="1557"/>
      <c r="M5107" s="1566"/>
    </row>
    <row r="5108" spans="2:13" s="947" customFormat="1" hidden="1">
      <c r="B5108" s="1100" t="s">
        <v>4130</v>
      </c>
      <c r="C5108" s="1232" t="s">
        <v>4475</v>
      </c>
      <c r="D5108" s="1095"/>
      <c r="E5108" s="1095"/>
      <c r="F5108" s="1172"/>
      <c r="G5108" s="1173"/>
      <c r="H5108" s="1133"/>
      <c r="J5108" s="1557"/>
      <c r="K5108" s="1557"/>
      <c r="L5108" s="1557"/>
      <c r="M5108" s="1566"/>
    </row>
    <row r="5109" spans="2:13" s="948" customFormat="1" ht="24.9" hidden="1" customHeight="1">
      <c r="B5109" s="1748" t="s">
        <v>1003</v>
      </c>
      <c r="C5109" s="1101" t="s">
        <v>1004</v>
      </c>
      <c r="D5109" s="1101" t="s">
        <v>1005</v>
      </c>
      <c r="E5109" s="1101" t="s">
        <v>1006</v>
      </c>
      <c r="F5109" s="1102" t="s">
        <v>1007</v>
      </c>
      <c r="G5109" s="1109" t="s">
        <v>2637</v>
      </c>
      <c r="H5109" s="1110" t="s">
        <v>2638</v>
      </c>
      <c r="J5109" s="1625"/>
      <c r="K5109" s="1625"/>
      <c r="L5109" s="1625"/>
      <c r="M5109" s="1570"/>
    </row>
    <row r="5110" spans="2:13" s="947" customFormat="1" hidden="1">
      <c r="B5110" s="1543" t="s">
        <v>671</v>
      </c>
      <c r="C5110" s="1332" t="s">
        <v>672</v>
      </c>
      <c r="D5110" s="1331"/>
      <c r="E5110" s="1331"/>
      <c r="F5110" s="1334"/>
      <c r="G5110" s="1104"/>
      <c r="H5110" s="1106"/>
      <c r="J5110" s="1557"/>
      <c r="K5110" s="1557"/>
      <c r="L5110" s="1557"/>
      <c r="M5110" s="1566"/>
    </row>
    <row r="5111" spans="2:13" s="947" customFormat="1" hidden="1">
      <c r="B5111" s="1543"/>
      <c r="C5111" s="1332" t="s">
        <v>673</v>
      </c>
      <c r="D5111" s="1331" t="s">
        <v>674</v>
      </c>
      <c r="E5111" s="1331" t="s">
        <v>675</v>
      </c>
      <c r="F5111" s="1334">
        <v>0.1</v>
      </c>
      <c r="G5111" s="1104">
        <f>DUB!$I$10</f>
        <v>150000</v>
      </c>
      <c r="H5111" s="1106">
        <f>G5111*F5111</f>
        <v>15000</v>
      </c>
      <c r="J5111" s="1557"/>
      <c r="K5111" s="1557"/>
      <c r="L5111" s="1557"/>
      <c r="M5111" s="1566"/>
    </row>
    <row r="5112" spans="2:13" s="947" customFormat="1" hidden="1">
      <c r="B5112" s="1543"/>
      <c r="C5112" s="1332" t="s">
        <v>871</v>
      </c>
      <c r="D5112" s="1331" t="s">
        <v>678</v>
      </c>
      <c r="E5112" s="1331" t="s">
        <v>675</v>
      </c>
      <c r="F5112" s="1334">
        <v>0.2</v>
      </c>
      <c r="G5112" s="1104">
        <f>DUB!$I$11</f>
        <v>187000</v>
      </c>
      <c r="H5112" s="1106">
        <f>G5112*F5112</f>
        <v>37400</v>
      </c>
      <c r="J5112" s="1557"/>
      <c r="K5112" s="1557"/>
      <c r="L5112" s="1557"/>
      <c r="M5112" s="1566"/>
    </row>
    <row r="5113" spans="2:13" s="947" customFormat="1" hidden="1">
      <c r="B5113" s="1543"/>
      <c r="C5113" s="1332" t="s">
        <v>751</v>
      </c>
      <c r="D5113" s="1331" t="s">
        <v>681</v>
      </c>
      <c r="E5113" s="1331" t="s">
        <v>675</v>
      </c>
      <c r="F5113" s="1334">
        <v>0.02</v>
      </c>
      <c r="G5113" s="1104">
        <f>DUB!$I$13</f>
        <v>240000</v>
      </c>
      <c r="H5113" s="1106">
        <f>G5113*F5113</f>
        <v>4800</v>
      </c>
      <c r="J5113" s="1557"/>
      <c r="K5113" s="1557"/>
      <c r="L5113" s="1557"/>
      <c r="M5113" s="1566"/>
    </row>
    <row r="5114" spans="2:13" s="947" customFormat="1" hidden="1">
      <c r="B5114" s="1543"/>
      <c r="C5114" s="1332" t="s">
        <v>683</v>
      </c>
      <c r="D5114" s="1331" t="s">
        <v>684</v>
      </c>
      <c r="E5114" s="1331" t="s">
        <v>675</v>
      </c>
      <c r="F5114" s="1334">
        <v>5.0000000000000001E-3</v>
      </c>
      <c r="G5114" s="1104">
        <f>DUB!$I$12</f>
        <v>225000</v>
      </c>
      <c r="H5114" s="1106">
        <f>G5114*F5114</f>
        <v>1125</v>
      </c>
      <c r="J5114" s="1557"/>
      <c r="K5114" s="1557"/>
      <c r="L5114" s="1557"/>
      <c r="M5114" s="1566"/>
    </row>
    <row r="5115" spans="2:13" s="947" customFormat="1" hidden="1">
      <c r="B5115" s="1543"/>
      <c r="C5115" s="1332"/>
      <c r="D5115" s="1331"/>
      <c r="E5115" s="1331"/>
      <c r="F5115" s="2074" t="s">
        <v>685</v>
      </c>
      <c r="G5115" s="2074"/>
      <c r="H5115" s="1106">
        <f>SUM(H5111:H5114)</f>
        <v>58325</v>
      </c>
      <c r="J5115" s="1557"/>
      <c r="K5115" s="1557"/>
      <c r="L5115" s="1557"/>
      <c r="M5115" s="1566"/>
    </row>
    <row r="5116" spans="2:13" s="947" customFormat="1" hidden="1">
      <c r="B5116" s="1543" t="s">
        <v>686</v>
      </c>
      <c r="C5116" s="1332" t="s">
        <v>687</v>
      </c>
      <c r="D5116" s="1331"/>
      <c r="E5116" s="1331"/>
      <c r="F5116" s="1334"/>
      <c r="G5116" s="1104"/>
      <c r="H5116" s="1106"/>
      <c r="J5116" s="1557"/>
      <c r="K5116" s="1557"/>
      <c r="L5116" s="1557"/>
      <c r="M5116" s="1566"/>
    </row>
    <row r="5117" spans="2:13" s="947" customFormat="1" hidden="1">
      <c r="B5117" s="1543"/>
      <c r="C5117" s="1332" t="s">
        <v>1270</v>
      </c>
      <c r="D5117" s="1331"/>
      <c r="E5117" s="1331" t="s">
        <v>2646</v>
      </c>
      <c r="F5117" s="1334">
        <v>1.0999999999999999E-2</v>
      </c>
      <c r="G5117" s="1104">
        <f>DUB!$I$84</f>
        <v>6961500</v>
      </c>
      <c r="H5117" s="1106">
        <f>G5117*F5117</f>
        <v>76576.5</v>
      </c>
      <c r="J5117" s="1557"/>
      <c r="K5117" s="1557"/>
      <c r="L5117" s="1557"/>
      <c r="M5117" s="1566"/>
    </row>
    <row r="5118" spans="2:13" s="947" customFormat="1" hidden="1">
      <c r="B5118" s="1540"/>
      <c r="C5118" s="1332" t="s">
        <v>1314</v>
      </c>
      <c r="D5118" s="1331"/>
      <c r="E5118" s="1331" t="s">
        <v>773</v>
      </c>
      <c r="F5118" s="1334">
        <v>0.05</v>
      </c>
      <c r="G5118" s="1136">
        <f>DUB!$I$128</f>
        <v>20441.7</v>
      </c>
      <c r="H5118" s="1106">
        <f>G5118*F5118</f>
        <v>1022.085</v>
      </c>
      <c r="J5118" s="1557"/>
      <c r="K5118" s="1557"/>
      <c r="L5118" s="1557"/>
      <c r="M5118" s="1566"/>
    </row>
    <row r="5119" spans="2:13" s="947" customFormat="1" hidden="1">
      <c r="B5119" s="1540"/>
      <c r="C5119" s="1332"/>
      <c r="D5119" s="1331"/>
      <c r="E5119" s="1331"/>
      <c r="F5119" s="2090" t="s">
        <v>702</v>
      </c>
      <c r="G5119" s="2090"/>
      <c r="H5119" s="1106">
        <f>SUM(H5117:H5118)</f>
        <v>77598.585000000006</v>
      </c>
      <c r="J5119" s="1557"/>
      <c r="K5119" s="1557"/>
      <c r="L5119" s="1557"/>
      <c r="M5119" s="1566"/>
    </row>
    <row r="5120" spans="2:13" s="949" customFormat="1" hidden="1">
      <c r="B5120" s="1543" t="s">
        <v>703</v>
      </c>
      <c r="C5120" s="2089" t="s">
        <v>3764</v>
      </c>
      <c r="D5120" s="2089"/>
      <c r="E5120" s="2089"/>
      <c r="F5120" s="2089"/>
      <c r="G5120" s="2089"/>
      <c r="H5120" s="1107">
        <f>H5115+H5119</f>
        <v>135923.58500000002</v>
      </c>
      <c r="J5120" s="1559"/>
      <c r="K5120" s="1559"/>
      <c r="L5120" s="1559"/>
      <c r="M5120" s="1635"/>
    </row>
    <row r="5121" spans="2:13" s="949" customFormat="1" hidden="1">
      <c r="B5121" s="1543" t="s">
        <v>706</v>
      </c>
      <c r="C5121" s="2076" t="s">
        <v>876</v>
      </c>
      <c r="D5121" s="2076"/>
      <c r="E5121" s="2076"/>
      <c r="F5121" s="2077" t="s">
        <v>3873</v>
      </c>
      <c r="G5121" s="2077"/>
      <c r="H5121" s="1107">
        <f>H5120*0.15</f>
        <v>20388.537750000003</v>
      </c>
      <c r="J5121" s="1559"/>
      <c r="K5121" s="1559"/>
      <c r="L5121" s="1559"/>
      <c r="M5121" s="1635"/>
    </row>
    <row r="5122" spans="2:13" s="949" customFormat="1" hidden="1">
      <c r="B5122" s="1543" t="s">
        <v>708</v>
      </c>
      <c r="C5122" s="2078" t="s">
        <v>3765</v>
      </c>
      <c r="D5122" s="2078"/>
      <c r="E5122" s="2078"/>
      <c r="F5122" s="2078"/>
      <c r="G5122" s="2078"/>
      <c r="H5122" s="1107">
        <f>ROUND(SUM(H5120:H5121),2)</f>
        <v>156312.12</v>
      </c>
      <c r="I5122" s="950">
        <f>SUM(H5120:H5121)</f>
        <v>156312.12275000004</v>
      </c>
      <c r="J5122" s="1561"/>
      <c r="K5122" s="1561"/>
      <c r="L5122" s="1559"/>
      <c r="M5122" s="1635"/>
    </row>
    <row r="5123" spans="2:13" s="947" customFormat="1" hidden="1">
      <c r="B5123" s="1143"/>
      <c r="C5123" s="1144"/>
      <c r="D5123" s="1143"/>
      <c r="E5123" s="1143"/>
      <c r="F5123" s="1145"/>
      <c r="G5123" s="1146"/>
      <c r="H5123" s="1147"/>
      <c r="J5123" s="1557"/>
      <c r="K5123" s="1557"/>
      <c r="L5123" s="1557"/>
      <c r="M5123" s="1566"/>
    </row>
    <row r="5124" spans="2:13" s="947" customFormat="1">
      <c r="B5124" s="1100" t="s">
        <v>4131</v>
      </c>
      <c r="C5124" s="1112" t="s">
        <v>5317</v>
      </c>
      <c r="D5124" s="1129"/>
      <c r="E5124" s="1129"/>
      <c r="F5124" s="1131"/>
      <c r="G5124" s="1132"/>
      <c r="H5124" s="1115"/>
      <c r="J5124" s="1557"/>
      <c r="K5124" s="1557"/>
      <c r="L5124" s="1557"/>
      <c r="M5124" s="1566"/>
    </row>
    <row r="5125" spans="2:13" s="948" customFormat="1" ht="24.9" customHeight="1">
      <c r="B5125" s="1101" t="s">
        <v>1003</v>
      </c>
      <c r="C5125" s="1101" t="s">
        <v>1004</v>
      </c>
      <c r="D5125" s="1101" t="s">
        <v>1005</v>
      </c>
      <c r="E5125" s="1101" t="s">
        <v>1006</v>
      </c>
      <c r="F5125" s="1102" t="s">
        <v>1007</v>
      </c>
      <c r="G5125" s="1109" t="s">
        <v>2637</v>
      </c>
      <c r="H5125" s="1110" t="s">
        <v>2638</v>
      </c>
      <c r="I5125" s="1840"/>
      <c r="J5125" s="1823" t="s">
        <v>5335</v>
      </c>
      <c r="K5125" s="1824" t="s">
        <v>5336</v>
      </c>
      <c r="L5125" s="1824" t="s">
        <v>5337</v>
      </c>
      <c r="M5125" s="1825" t="s">
        <v>5338</v>
      </c>
    </row>
    <row r="5126" spans="2:13" s="947" customFormat="1">
      <c r="B5126" s="1330" t="s">
        <v>671</v>
      </c>
      <c r="C5126" s="1332" t="s">
        <v>672</v>
      </c>
      <c r="D5126" s="1331"/>
      <c r="E5126" s="1331"/>
      <c r="F5126" s="1334"/>
      <c r="G5126" s="1104"/>
      <c r="H5126" s="1106"/>
      <c r="J5126" s="1597"/>
      <c r="K5126" s="1597"/>
      <c r="L5126" s="1597"/>
      <c r="M5126" s="1826"/>
    </row>
    <row r="5127" spans="2:13" s="947" customFormat="1">
      <c r="B5127" s="1330"/>
      <c r="C5127" s="1332" t="s">
        <v>673</v>
      </c>
      <c r="D5127" s="1331" t="s">
        <v>674</v>
      </c>
      <c r="E5127" s="1331" t="s">
        <v>675</v>
      </c>
      <c r="F5127" s="1334">
        <v>8.4000000000000005E-2</v>
      </c>
      <c r="G5127" s="1104">
        <f>DUB!$I$10</f>
        <v>150000</v>
      </c>
      <c r="H5127" s="1106">
        <f>G5127*F5127</f>
        <v>12600</v>
      </c>
      <c r="J5127" s="1609" t="s">
        <v>5339</v>
      </c>
      <c r="K5127" s="1611">
        <v>1</v>
      </c>
      <c r="L5127" s="1608" t="s">
        <v>5340</v>
      </c>
      <c r="M5127" s="1827">
        <f>H5127*K5127</f>
        <v>12600</v>
      </c>
    </row>
    <row r="5128" spans="2:13" s="947" customFormat="1">
      <c r="B5128" s="1330"/>
      <c r="C5128" s="1332" t="s">
        <v>677</v>
      </c>
      <c r="D5128" s="1331" t="s">
        <v>678</v>
      </c>
      <c r="E5128" s="1331" t="s">
        <v>675</v>
      </c>
      <c r="F5128" s="1334">
        <v>0.125</v>
      </c>
      <c r="G5128" s="1104">
        <f>DUB!$I$11</f>
        <v>187000</v>
      </c>
      <c r="H5128" s="1106">
        <f>G5128*F5128</f>
        <v>23375</v>
      </c>
      <c r="J5128" s="1609" t="s">
        <v>5339</v>
      </c>
      <c r="K5128" s="1611">
        <v>1</v>
      </c>
      <c r="L5128" s="1608" t="s">
        <v>5340</v>
      </c>
      <c r="M5128" s="1827">
        <f t="shared" ref="M5128" si="127">H5128*K5128</f>
        <v>23375</v>
      </c>
    </row>
    <row r="5129" spans="2:13" s="947" customFormat="1">
      <c r="B5129" s="1330"/>
      <c r="C5129" s="1332" t="s">
        <v>751</v>
      </c>
      <c r="D5129" s="1331" t="s">
        <v>681</v>
      </c>
      <c r="E5129" s="1331" t="s">
        <v>675</v>
      </c>
      <c r="F5129" s="1334">
        <v>1.2999999999999999E-2</v>
      </c>
      <c r="G5129" s="1104">
        <f>DUB!$I$13</f>
        <v>240000</v>
      </c>
      <c r="H5129" s="1106">
        <f>G5129*F5129</f>
        <v>3120</v>
      </c>
      <c r="J5129" s="1609" t="s">
        <v>5339</v>
      </c>
      <c r="K5129" s="1611">
        <v>1</v>
      </c>
      <c r="L5129" s="1608" t="s">
        <v>5340</v>
      </c>
      <c r="M5129" s="1827">
        <f>H5129*K5129</f>
        <v>3120</v>
      </c>
    </row>
    <row r="5130" spans="2:13" s="947" customFormat="1">
      <c r="B5130" s="1330"/>
      <c r="C5130" s="1332" t="s">
        <v>683</v>
      </c>
      <c r="D5130" s="1331" t="s">
        <v>684</v>
      </c>
      <c r="E5130" s="1331" t="s">
        <v>675</v>
      </c>
      <c r="F5130" s="1334">
        <v>4.0000000000000001E-3</v>
      </c>
      <c r="G5130" s="1104">
        <f>DUB!$I$12</f>
        <v>225000</v>
      </c>
      <c r="H5130" s="1106">
        <f>G5130*F5130</f>
        <v>900</v>
      </c>
      <c r="J5130" s="1609" t="s">
        <v>5339</v>
      </c>
      <c r="K5130" s="1611">
        <v>1</v>
      </c>
      <c r="L5130" s="1608" t="s">
        <v>5340</v>
      </c>
      <c r="M5130" s="1827">
        <f t="shared" ref="M5130" si="128">H5130*K5130</f>
        <v>900</v>
      </c>
    </row>
    <row r="5131" spans="2:13" s="947" customFormat="1">
      <c r="B5131" s="1330"/>
      <c r="C5131" s="1332"/>
      <c r="D5131" s="1331"/>
      <c r="E5131" s="1331"/>
      <c r="F5131" s="2074" t="s">
        <v>685</v>
      </c>
      <c r="G5131" s="2074"/>
      <c r="H5131" s="1106">
        <f>SUM(H5127:H5130)</f>
        <v>39995</v>
      </c>
      <c r="J5131" s="1597"/>
      <c r="K5131" s="1597"/>
      <c r="L5131" s="1597"/>
      <c r="M5131" s="1107">
        <f>SUM(M5127:M5130)</f>
        <v>39995</v>
      </c>
    </row>
    <row r="5132" spans="2:13" s="947" customFormat="1">
      <c r="B5132" s="1330" t="s">
        <v>686</v>
      </c>
      <c r="C5132" s="1332" t="s">
        <v>687</v>
      </c>
      <c r="D5132" s="1331"/>
      <c r="E5132" s="1331"/>
      <c r="F5132" s="1334"/>
      <c r="G5132" s="1104"/>
      <c r="H5132" s="1106"/>
      <c r="J5132" s="1597"/>
      <c r="K5132" s="1597"/>
      <c r="L5132" s="1597"/>
      <c r="M5132" s="1826"/>
    </row>
    <row r="5133" spans="2:13" s="947" customFormat="1">
      <c r="B5133" s="1330"/>
      <c r="C5133" s="1332" t="s">
        <v>5313</v>
      </c>
      <c r="D5133" s="1331"/>
      <c r="E5133" s="1331" t="s">
        <v>2666</v>
      </c>
      <c r="F5133" s="1334">
        <v>0.6</v>
      </c>
      <c r="G5133" s="1104">
        <f>DUB!I291</f>
        <v>65000</v>
      </c>
      <c r="H5133" s="1106">
        <f>G5133*F5133</f>
        <v>39000</v>
      </c>
      <c r="J5133" s="1634" t="s">
        <v>4925</v>
      </c>
      <c r="K5133" s="1611">
        <v>0.47289999999999999</v>
      </c>
      <c r="L5133" s="1607" t="s">
        <v>5343</v>
      </c>
      <c r="M5133" s="1827">
        <f>H5133*K5133</f>
        <v>18443.099999999999</v>
      </c>
    </row>
    <row r="5134" spans="2:13" s="947" customFormat="1">
      <c r="B5134" s="1330"/>
      <c r="C5134" s="1332" t="s">
        <v>5314</v>
      </c>
      <c r="D5134" s="1331"/>
      <c r="E5134" s="1331" t="s">
        <v>3129</v>
      </c>
      <c r="F5134" s="1334">
        <v>1</v>
      </c>
      <c r="G5134" s="1104">
        <f>DUB!I168</f>
        <v>245000</v>
      </c>
      <c r="H5134" s="1106">
        <f>G5134*F5134</f>
        <v>245000</v>
      </c>
      <c r="J5134" s="1642" t="s">
        <v>4925</v>
      </c>
      <c r="K5134" s="1611">
        <v>0.61009999999999998</v>
      </c>
      <c r="L5134" s="1607" t="s">
        <v>5343</v>
      </c>
      <c r="M5134" s="1827">
        <f t="shared" ref="M5134:M5135" si="129">H5134*K5134</f>
        <v>149474.5</v>
      </c>
    </row>
    <row r="5135" spans="2:13" s="947" customFormat="1">
      <c r="B5135" s="1330"/>
      <c r="C5135" s="1332" t="s">
        <v>2655</v>
      </c>
      <c r="D5135" s="1331"/>
      <c r="E5135" s="1331" t="s">
        <v>743</v>
      </c>
      <c r="F5135" s="1334">
        <v>8</v>
      </c>
      <c r="G5135" s="1104">
        <f>DUB!$I$131</f>
        <v>531</v>
      </c>
      <c r="H5135" s="1106">
        <f>G5135*F5135</f>
        <v>4248</v>
      </c>
      <c r="J5135" s="1642" t="s">
        <v>4925</v>
      </c>
      <c r="K5135" s="1611">
        <v>0.60250000000000004</v>
      </c>
      <c r="L5135" s="1607" t="s">
        <v>5343</v>
      </c>
      <c r="M5135" s="1827">
        <f t="shared" si="129"/>
        <v>2559.42</v>
      </c>
    </row>
    <row r="5136" spans="2:13" s="947" customFormat="1">
      <c r="B5136" s="1331"/>
      <c r="C5136" s="1332"/>
      <c r="D5136" s="1331"/>
      <c r="E5136" s="1331"/>
      <c r="F5136" s="2090" t="s">
        <v>702</v>
      </c>
      <c r="G5136" s="2090"/>
      <c r="H5136" s="1106">
        <f>SUM(H5133:H5135)</f>
        <v>288248</v>
      </c>
      <c r="J5136" s="1597"/>
      <c r="K5136" s="1597"/>
      <c r="L5136" s="1597"/>
      <c r="M5136" s="1106">
        <f>SUM(M5133:M5135)</f>
        <v>170477.02000000002</v>
      </c>
    </row>
    <row r="5137" spans="2:13" s="949" customFormat="1">
      <c r="B5137" s="1330" t="s">
        <v>703</v>
      </c>
      <c r="C5137" s="2089" t="s">
        <v>3764</v>
      </c>
      <c r="D5137" s="2089"/>
      <c r="E5137" s="2089"/>
      <c r="F5137" s="2089"/>
      <c r="G5137" s="2089"/>
      <c r="H5137" s="1107">
        <f>H5131+H5136</f>
        <v>328243</v>
      </c>
      <c r="J5137" s="1600"/>
      <c r="K5137" s="1633">
        <f>M5137/H5137</f>
        <v>0.64120794655179247</v>
      </c>
      <c r="L5137" s="1600"/>
      <c r="M5137" s="1107">
        <f>M5131+M5136</f>
        <v>210472.02000000002</v>
      </c>
    </row>
    <row r="5138" spans="2:13" s="949" customFormat="1">
      <c r="B5138" s="1330" t="s">
        <v>706</v>
      </c>
      <c r="C5138" s="2076" t="s">
        <v>876</v>
      </c>
      <c r="D5138" s="2076"/>
      <c r="E5138" s="2076"/>
      <c r="F5138" s="2077" t="s">
        <v>3873</v>
      </c>
      <c r="G5138" s="2077"/>
      <c r="H5138" s="1107">
        <f>H5137*0.15</f>
        <v>49236.45</v>
      </c>
      <c r="J5138" s="1600"/>
      <c r="K5138" s="1600"/>
      <c r="L5138" s="1600"/>
      <c r="M5138" s="1107">
        <f>M5137*0.15</f>
        <v>31570.803</v>
      </c>
    </row>
    <row r="5139" spans="2:13" s="949" customFormat="1">
      <c r="B5139" s="1330" t="s">
        <v>708</v>
      </c>
      <c r="C5139" s="2078" t="s">
        <v>3765</v>
      </c>
      <c r="D5139" s="2078"/>
      <c r="E5139" s="2078"/>
      <c r="F5139" s="2078"/>
      <c r="G5139" s="2078"/>
      <c r="H5139" s="1107">
        <f>ROUND(SUM(H5137:H5138),2)</f>
        <v>377479.45</v>
      </c>
      <c r="I5139" s="950">
        <f>SUM(H5137:H5138)</f>
        <v>377479.45</v>
      </c>
      <c r="J5139" s="1636"/>
      <c r="K5139" s="1636"/>
      <c r="L5139" s="1637"/>
      <c r="M5139" s="1919">
        <f>ROUND(SUM(M5137:M5138),2)</f>
        <v>242042.82</v>
      </c>
    </row>
    <row r="5140" spans="2:13" s="947" customFormat="1">
      <c r="B5140" s="1095"/>
      <c r="C5140" s="1096"/>
      <c r="D5140" s="1095"/>
      <c r="E5140" s="1095"/>
      <c r="F5140" s="1172"/>
      <c r="G5140" s="1173"/>
      <c r="H5140" s="1133"/>
      <c r="J5140" s="1557"/>
      <c r="K5140" s="1557"/>
      <c r="L5140" s="1557"/>
      <c r="M5140" s="1566"/>
    </row>
    <row r="5141" spans="2:13" s="947" customFormat="1">
      <c r="B5141" s="1100" t="s">
        <v>4132</v>
      </c>
      <c r="C5141" s="1232" t="s">
        <v>3554</v>
      </c>
      <c r="D5141" s="1095"/>
      <c r="E5141" s="1095"/>
      <c r="F5141" s="1172"/>
      <c r="G5141" s="1173"/>
      <c r="H5141" s="1133"/>
      <c r="J5141" s="1557"/>
      <c r="K5141" s="1557"/>
      <c r="L5141" s="1557"/>
      <c r="M5141" s="1566"/>
    </row>
    <row r="5142" spans="2:13" s="507" customFormat="1" ht="24.9" customHeight="1">
      <c r="B5142" s="1101" t="s">
        <v>1003</v>
      </c>
      <c r="C5142" s="1101" t="s">
        <v>1004</v>
      </c>
      <c r="D5142" s="1101" t="s">
        <v>1005</v>
      </c>
      <c r="E5142" s="1101" t="s">
        <v>1006</v>
      </c>
      <c r="F5142" s="1102" t="s">
        <v>1007</v>
      </c>
      <c r="G5142" s="1109" t="s">
        <v>2637</v>
      </c>
      <c r="H5142" s="1110" t="s">
        <v>2638</v>
      </c>
      <c r="I5142" s="1834"/>
      <c r="J5142" s="1823" t="s">
        <v>5335</v>
      </c>
      <c r="K5142" s="1824" t="s">
        <v>5336</v>
      </c>
      <c r="L5142" s="1824" t="s">
        <v>5337</v>
      </c>
      <c r="M5142" s="1825" t="s">
        <v>5338</v>
      </c>
    </row>
    <row r="5143" spans="2:13">
      <c r="B5143" s="1330" t="s">
        <v>671</v>
      </c>
      <c r="C5143" s="1332" t="s">
        <v>672</v>
      </c>
      <c r="D5143" s="1331"/>
      <c r="E5143" s="1331"/>
      <c r="F5143" s="1334"/>
      <c r="G5143" s="1104"/>
      <c r="H5143" s="1106"/>
      <c r="J5143" s="1597"/>
      <c r="K5143" s="1597"/>
      <c r="L5143" s="1597"/>
      <c r="M5143" s="1826"/>
    </row>
    <row r="5144" spans="2:13">
      <c r="B5144" s="1330"/>
      <c r="C5144" s="1332" t="s">
        <v>673</v>
      </c>
      <c r="D5144" s="1331" t="s">
        <v>674</v>
      </c>
      <c r="E5144" s="1331" t="s">
        <v>675</v>
      </c>
      <c r="F5144" s="1334">
        <v>0.35</v>
      </c>
      <c r="G5144" s="1104">
        <f>DUB!$I$10</f>
        <v>150000</v>
      </c>
      <c r="H5144" s="1106">
        <f>G5144*F5144</f>
        <v>52500</v>
      </c>
      <c r="J5144" s="1609" t="s">
        <v>5339</v>
      </c>
      <c r="K5144" s="1611">
        <v>1</v>
      </c>
      <c r="L5144" s="1608" t="s">
        <v>5340</v>
      </c>
      <c r="M5144" s="1827">
        <f>H5144*K5144</f>
        <v>52500</v>
      </c>
    </row>
    <row r="5145" spans="2:13">
      <c r="B5145" s="1330"/>
      <c r="C5145" s="1332" t="s">
        <v>816</v>
      </c>
      <c r="D5145" s="1331" t="s">
        <v>678</v>
      </c>
      <c r="E5145" s="1331" t="s">
        <v>675</v>
      </c>
      <c r="F5145" s="1334">
        <v>0.17499999999999999</v>
      </c>
      <c r="G5145" s="1104">
        <f>DUB!$I$11</f>
        <v>187000</v>
      </c>
      <c r="H5145" s="1106">
        <f>G5145*F5145</f>
        <v>32724.999999999996</v>
      </c>
      <c r="J5145" s="1609" t="s">
        <v>5339</v>
      </c>
      <c r="K5145" s="1611">
        <v>1</v>
      </c>
      <c r="L5145" s="1608" t="s">
        <v>5340</v>
      </c>
      <c r="M5145" s="1827">
        <f t="shared" ref="M5145" si="130">H5145*K5145</f>
        <v>32724.999999999996</v>
      </c>
    </row>
    <row r="5146" spans="2:13">
      <c r="B5146" s="1330"/>
      <c r="C5146" s="1332" t="s">
        <v>751</v>
      </c>
      <c r="D5146" s="1331" t="s">
        <v>681</v>
      </c>
      <c r="E5146" s="1331" t="s">
        <v>675</v>
      </c>
      <c r="F5146" s="1334">
        <v>1.7000000000000001E-2</v>
      </c>
      <c r="G5146" s="1104">
        <f>DUB!$I$13</f>
        <v>240000</v>
      </c>
      <c r="H5146" s="1106">
        <f>G5146*F5146</f>
        <v>4080.0000000000005</v>
      </c>
      <c r="J5146" s="1609" t="s">
        <v>5339</v>
      </c>
      <c r="K5146" s="1611">
        <v>1</v>
      </c>
      <c r="L5146" s="1608" t="s">
        <v>5340</v>
      </c>
      <c r="M5146" s="1827">
        <f>H5146*K5146</f>
        <v>4080.0000000000005</v>
      </c>
    </row>
    <row r="5147" spans="2:13">
      <c r="B5147" s="1330"/>
      <c r="C5147" s="1332" t="s">
        <v>683</v>
      </c>
      <c r="D5147" s="1331" t="s">
        <v>684</v>
      </c>
      <c r="E5147" s="1331" t="s">
        <v>675</v>
      </c>
      <c r="F5147" s="1334">
        <v>2E-3</v>
      </c>
      <c r="G5147" s="1104">
        <f>DUB!$I$12</f>
        <v>225000</v>
      </c>
      <c r="H5147" s="1106">
        <f>G5147*F5147</f>
        <v>450</v>
      </c>
      <c r="J5147" s="1609" t="s">
        <v>5339</v>
      </c>
      <c r="K5147" s="1611">
        <v>1</v>
      </c>
      <c r="L5147" s="1608" t="s">
        <v>5340</v>
      </c>
      <c r="M5147" s="1827">
        <f t="shared" ref="M5147" si="131">H5147*K5147</f>
        <v>450</v>
      </c>
    </row>
    <row r="5148" spans="2:13">
      <c r="B5148" s="1330"/>
      <c r="C5148" s="1332"/>
      <c r="D5148" s="1331"/>
      <c r="E5148" s="1331"/>
      <c r="F5148" s="2074" t="s">
        <v>685</v>
      </c>
      <c r="G5148" s="2074"/>
      <c r="H5148" s="1106">
        <f>SUM(H5144:H5147)</f>
        <v>89755</v>
      </c>
      <c r="J5148" s="1597"/>
      <c r="K5148" s="1597"/>
      <c r="L5148" s="1597"/>
      <c r="M5148" s="1107">
        <f>SUM(M5144:M5147)</f>
        <v>89755</v>
      </c>
    </row>
    <row r="5149" spans="2:13">
      <c r="B5149" s="1330" t="s">
        <v>686</v>
      </c>
      <c r="C5149" s="1332" t="s">
        <v>687</v>
      </c>
      <c r="D5149" s="1331"/>
      <c r="E5149" s="1331"/>
      <c r="F5149" s="1334"/>
      <c r="G5149" s="1104"/>
      <c r="H5149" s="1106"/>
      <c r="J5149" s="1634"/>
      <c r="K5149" s="1611"/>
      <c r="L5149" s="1607"/>
      <c r="M5149" s="1827"/>
    </row>
    <row r="5150" spans="2:13">
      <c r="B5150" s="1330"/>
      <c r="C5150" s="1332" t="str">
        <f>DUB!$C$216</f>
        <v>HPL setara TACO</v>
      </c>
      <c r="D5150" s="1331"/>
      <c r="E5150" s="1331" t="s">
        <v>2647</v>
      </c>
      <c r="F5150" s="1334">
        <v>1.2</v>
      </c>
      <c r="G5150" s="1104">
        <f>DUB!$I$216</f>
        <v>229500</v>
      </c>
      <c r="H5150" s="1106">
        <f>G5150*F5150</f>
        <v>275400</v>
      </c>
      <c r="J5150" s="1642" t="s">
        <v>4925</v>
      </c>
      <c r="K5150" s="1611">
        <v>0.28660000000000002</v>
      </c>
      <c r="L5150" s="1607" t="s">
        <v>5343</v>
      </c>
      <c r="M5150" s="1827">
        <f t="shared" ref="M5150:M5151" si="132">H5150*K5150</f>
        <v>78929.64</v>
      </c>
    </row>
    <row r="5151" spans="2:13">
      <c r="B5151" s="1331"/>
      <c r="C5151" s="1332" t="s">
        <v>1158</v>
      </c>
      <c r="D5151" s="1331"/>
      <c r="E5151" s="1331" t="s">
        <v>690</v>
      </c>
      <c r="F5151" s="1334">
        <v>0.25</v>
      </c>
      <c r="G5151" s="1104">
        <f>DUB!$I$88</f>
        <v>20934</v>
      </c>
      <c r="H5151" s="1106">
        <f>G5151*F5151</f>
        <v>5233.5</v>
      </c>
      <c r="J5151" s="1642" t="s">
        <v>4925</v>
      </c>
      <c r="K5151" s="1611">
        <v>0.45829999999999999</v>
      </c>
      <c r="L5151" s="1607" t="s">
        <v>5343</v>
      </c>
      <c r="M5151" s="1827">
        <f t="shared" si="132"/>
        <v>2398.51305</v>
      </c>
    </row>
    <row r="5152" spans="2:13">
      <c r="B5152" s="1331"/>
      <c r="C5152" s="1332"/>
      <c r="D5152" s="1331"/>
      <c r="E5152" s="1331"/>
      <c r="F5152" s="2091" t="s">
        <v>702</v>
      </c>
      <c r="G5152" s="2091"/>
      <c r="H5152" s="1106">
        <f>SUM(H5150:H5151)</f>
        <v>280633.5</v>
      </c>
      <c r="J5152" s="1597"/>
      <c r="K5152" s="1597"/>
      <c r="L5152" s="1597"/>
      <c r="M5152" s="1106">
        <f>SUM(M5150:M5151)</f>
        <v>81328.153049999994</v>
      </c>
    </row>
    <row r="5153" spans="2:13" s="496" customFormat="1">
      <c r="B5153" s="1330" t="s">
        <v>703</v>
      </c>
      <c r="C5153" s="2075" t="s">
        <v>3764</v>
      </c>
      <c r="D5153" s="2075"/>
      <c r="E5153" s="2075"/>
      <c r="F5153" s="2075"/>
      <c r="G5153" s="2075"/>
      <c r="H5153" s="1107">
        <f>H5148+H5152</f>
        <v>370388.5</v>
      </c>
      <c r="J5153" s="1600"/>
      <c r="K5153" s="1633">
        <f>M5153/H5153</f>
        <v>0.46190190313684143</v>
      </c>
      <c r="L5153" s="1600"/>
      <c r="M5153" s="1107">
        <f>M5148+M5152</f>
        <v>171083.15304999999</v>
      </c>
    </row>
    <row r="5154" spans="2:13" s="496" customFormat="1">
      <c r="B5154" s="1330" t="s">
        <v>706</v>
      </c>
      <c r="C5154" s="2076" t="s">
        <v>876</v>
      </c>
      <c r="D5154" s="2076"/>
      <c r="E5154" s="2076"/>
      <c r="F5154" s="2077" t="s">
        <v>3873</v>
      </c>
      <c r="G5154" s="2077"/>
      <c r="H5154" s="1107">
        <f>H5153*0.15</f>
        <v>55558.275000000001</v>
      </c>
      <c r="J5154" s="1600"/>
      <c r="K5154" s="1600"/>
      <c r="L5154" s="1600"/>
      <c r="M5154" s="1107">
        <f>M5153*0.15</f>
        <v>25662.472957499998</v>
      </c>
    </row>
    <row r="5155" spans="2:13" s="496" customFormat="1">
      <c r="B5155" s="1330" t="s">
        <v>708</v>
      </c>
      <c r="C5155" s="2078" t="s">
        <v>3765</v>
      </c>
      <c r="D5155" s="2078"/>
      <c r="E5155" s="2078"/>
      <c r="F5155" s="2078"/>
      <c r="G5155" s="2078"/>
      <c r="H5155" s="1107">
        <f>ROUND(SUM(H5153:H5154),2)</f>
        <v>425946.78</v>
      </c>
      <c r="I5155" s="506">
        <f>SUM(H5153:H5154)</f>
        <v>425946.77500000002</v>
      </c>
      <c r="J5155" s="1636"/>
      <c r="K5155" s="1636"/>
      <c r="L5155" s="1637"/>
      <c r="M5155" s="1107">
        <f>ROUND(SUM(M5153:M5154),2)</f>
        <v>196745.63</v>
      </c>
    </row>
    <row r="5156" spans="2:13" s="535" customFormat="1">
      <c r="B5156" s="1717"/>
      <c r="C5156" s="1716"/>
      <c r="D5156" s="1717"/>
      <c r="E5156" s="1716"/>
      <c r="F5156" s="1718"/>
      <c r="G5156" s="1719"/>
      <c r="H5156" s="1716"/>
      <c r="J5156" s="1720"/>
      <c r="K5156" s="1720"/>
      <c r="L5156" s="1720"/>
      <c r="M5156" s="1844"/>
    </row>
    <row r="5157" spans="2:13" s="531" customFormat="1" hidden="1">
      <c r="B5157" s="1100" t="s">
        <v>4133</v>
      </c>
      <c r="C5157" s="1709" t="s">
        <v>3556</v>
      </c>
      <c r="D5157" s="1710"/>
      <c r="E5157" s="1710"/>
      <c r="F5157" s="1172"/>
      <c r="G5157" s="1173"/>
      <c r="H5157" s="1711"/>
      <c r="J5157" s="1712"/>
      <c r="K5157" s="1712"/>
      <c r="L5157" s="1712"/>
      <c r="M5157" s="1566"/>
    </row>
    <row r="5158" spans="2:13" s="532" customFormat="1" ht="24.9" hidden="1" customHeight="1">
      <c r="B5158" s="1793" t="s">
        <v>1003</v>
      </c>
      <c r="C5158" s="1234" t="s">
        <v>1004</v>
      </c>
      <c r="D5158" s="1234" t="s">
        <v>1005</v>
      </c>
      <c r="E5158" s="1234" t="s">
        <v>1006</v>
      </c>
      <c r="F5158" s="1102" t="s">
        <v>1007</v>
      </c>
      <c r="G5158" s="1109" t="s">
        <v>2637</v>
      </c>
      <c r="H5158" s="1235" t="s">
        <v>2638</v>
      </c>
      <c r="J5158" s="1713"/>
      <c r="K5158" s="1713"/>
      <c r="L5158" s="1713"/>
      <c r="M5158" s="1570"/>
    </row>
    <row r="5159" spans="2:13" s="531" customFormat="1" hidden="1">
      <c r="B5159" s="1794" t="s">
        <v>671</v>
      </c>
      <c r="C5159" s="1148" t="s">
        <v>672</v>
      </c>
      <c r="D5159" s="1542"/>
      <c r="E5159" s="1542"/>
      <c r="F5159" s="1334"/>
      <c r="G5159" s="1104"/>
      <c r="H5159" s="1236"/>
      <c r="J5159" s="1712"/>
      <c r="K5159" s="1712"/>
      <c r="L5159" s="1712"/>
      <c r="M5159" s="1566"/>
    </row>
    <row r="5160" spans="2:13" s="531" customFormat="1" hidden="1">
      <c r="B5160" s="1794"/>
      <c r="C5160" s="1148" t="s">
        <v>673</v>
      </c>
      <c r="D5160" s="1542" t="s">
        <v>674</v>
      </c>
      <c r="E5160" s="1542" t="s">
        <v>675</v>
      </c>
      <c r="F5160" s="1334">
        <v>0.2</v>
      </c>
      <c r="G5160" s="1104">
        <f>DUB!$I$10</f>
        <v>150000</v>
      </c>
      <c r="H5160" s="1236">
        <f>G5160*F5160</f>
        <v>30000</v>
      </c>
      <c r="J5160" s="1712"/>
      <c r="K5160" s="1712"/>
      <c r="L5160" s="1712"/>
      <c r="M5160" s="1566"/>
    </row>
    <row r="5161" spans="2:13" s="531" customFormat="1" hidden="1">
      <c r="B5161" s="1794"/>
      <c r="C5161" s="1148" t="s">
        <v>677</v>
      </c>
      <c r="D5161" s="1542" t="s">
        <v>678</v>
      </c>
      <c r="E5161" s="1542" t="s">
        <v>675</v>
      </c>
      <c r="F5161" s="1334">
        <v>0.1</v>
      </c>
      <c r="G5161" s="1104">
        <f>DUB!$I$11</f>
        <v>187000</v>
      </c>
      <c r="H5161" s="1236">
        <f>G5161*F5161</f>
        <v>18700</v>
      </c>
      <c r="J5161" s="1712"/>
      <c r="K5161" s="1712"/>
      <c r="L5161" s="1712"/>
      <c r="M5161" s="1566"/>
    </row>
    <row r="5162" spans="2:13" s="531" customFormat="1" hidden="1">
      <c r="B5162" s="1794"/>
      <c r="C5162" s="1148" t="s">
        <v>751</v>
      </c>
      <c r="D5162" s="1542" t="s">
        <v>681</v>
      </c>
      <c r="E5162" s="1542" t="s">
        <v>675</v>
      </c>
      <c r="F5162" s="1334">
        <v>0.01</v>
      </c>
      <c r="G5162" s="1104">
        <f>DUB!$I$13</f>
        <v>240000</v>
      </c>
      <c r="H5162" s="1236">
        <f>G5162*F5162</f>
        <v>2400</v>
      </c>
      <c r="J5162" s="1712"/>
      <c r="K5162" s="1712"/>
      <c r="L5162" s="1712"/>
      <c r="M5162" s="1566"/>
    </row>
    <row r="5163" spans="2:13" s="531" customFormat="1" hidden="1">
      <c r="B5163" s="1794"/>
      <c r="C5163" s="1148" t="s">
        <v>683</v>
      </c>
      <c r="D5163" s="1542" t="s">
        <v>684</v>
      </c>
      <c r="E5163" s="1542" t="s">
        <v>675</v>
      </c>
      <c r="F5163" s="1334">
        <v>1E-3</v>
      </c>
      <c r="G5163" s="1104">
        <f>DUB!$I$12</f>
        <v>225000</v>
      </c>
      <c r="H5163" s="1236">
        <f>G5163*F5163</f>
        <v>225</v>
      </c>
      <c r="J5163" s="1712"/>
      <c r="K5163" s="1712"/>
      <c r="L5163" s="1712"/>
      <c r="M5163" s="1566"/>
    </row>
    <row r="5164" spans="2:13" s="531" customFormat="1" hidden="1">
      <c r="B5164" s="1794"/>
      <c r="C5164" s="1148"/>
      <c r="D5164" s="1542"/>
      <c r="E5164" s="1542"/>
      <c r="F5164" s="2152" t="s">
        <v>685</v>
      </c>
      <c r="G5164" s="2152"/>
      <c r="H5164" s="1236">
        <f>SUM(H5160:H5163)</f>
        <v>51325</v>
      </c>
      <c r="J5164" s="1712"/>
      <c r="K5164" s="1712"/>
      <c r="L5164" s="1712"/>
      <c r="M5164" s="1566"/>
    </row>
    <row r="5165" spans="2:13" s="531" customFormat="1" hidden="1">
      <c r="B5165" s="1794" t="s">
        <v>686</v>
      </c>
      <c r="C5165" s="1148" t="s">
        <v>687</v>
      </c>
      <c r="D5165" s="1542"/>
      <c r="E5165" s="1542"/>
      <c r="F5165" s="1334"/>
      <c r="G5165" s="1104"/>
      <c r="H5165" s="1236"/>
      <c r="J5165" s="1712"/>
      <c r="K5165" s="1712"/>
      <c r="L5165" s="1712"/>
      <c r="M5165" s="1566"/>
    </row>
    <row r="5166" spans="2:13" s="531" customFormat="1" hidden="1">
      <c r="B5166" s="1794"/>
      <c r="C5166" s="1148" t="s">
        <v>3558</v>
      </c>
      <c r="D5166" s="1542"/>
      <c r="E5166" s="1542" t="s">
        <v>2647</v>
      </c>
      <c r="F5166" s="1334">
        <v>1.02</v>
      </c>
      <c r="G5166" s="1104">
        <f>DUB!$I$265</f>
        <v>278460</v>
      </c>
      <c r="H5166" s="1236">
        <f>G5166*F5166</f>
        <v>284029.2</v>
      </c>
      <c r="J5166" s="1712"/>
      <c r="K5166" s="1712"/>
      <c r="L5166" s="1712"/>
      <c r="M5166" s="1566"/>
    </row>
    <row r="5167" spans="2:13" s="531" customFormat="1" hidden="1">
      <c r="B5167" s="1802"/>
      <c r="C5167" s="1148" t="s">
        <v>3557</v>
      </c>
      <c r="D5167" s="1542"/>
      <c r="E5167" s="1542" t="s">
        <v>690</v>
      </c>
      <c r="F5167" s="1334">
        <v>0.2</v>
      </c>
      <c r="G5167" s="1104">
        <f>DUB!$I$129</f>
        <v>155400</v>
      </c>
      <c r="H5167" s="1236">
        <f>G5167*F5167</f>
        <v>31080</v>
      </c>
      <c r="J5167" s="1712"/>
      <c r="K5167" s="1712"/>
      <c r="L5167" s="1712"/>
      <c r="M5167" s="1566"/>
    </row>
    <row r="5168" spans="2:13" s="531" customFormat="1" hidden="1">
      <c r="B5168" s="1802"/>
      <c r="C5168" s="1148"/>
      <c r="D5168" s="1542"/>
      <c r="E5168" s="1542"/>
      <c r="F5168" s="2122" t="s">
        <v>702</v>
      </c>
      <c r="G5168" s="2122"/>
      <c r="H5168" s="1236">
        <f>SUM(H5166:H5167)</f>
        <v>315109.2</v>
      </c>
      <c r="J5168" s="1712"/>
      <c r="K5168" s="1712"/>
      <c r="L5168" s="1712"/>
      <c r="M5168" s="1566"/>
    </row>
    <row r="5169" spans="2:13" s="530" customFormat="1" hidden="1">
      <c r="B5169" s="1794" t="s">
        <v>703</v>
      </c>
      <c r="C5169" s="2123" t="s">
        <v>3764</v>
      </c>
      <c r="D5169" s="2123"/>
      <c r="E5169" s="2123"/>
      <c r="F5169" s="2123"/>
      <c r="G5169" s="2123"/>
      <c r="H5169" s="1239">
        <f>H5164+H5168</f>
        <v>366434.2</v>
      </c>
      <c r="J5169" s="1714"/>
      <c r="K5169" s="1714"/>
      <c r="L5169" s="1714"/>
      <c r="M5169" s="1635"/>
    </row>
    <row r="5170" spans="2:13" s="530" customFormat="1" hidden="1">
      <c r="B5170" s="1794" t="s">
        <v>706</v>
      </c>
      <c r="C5170" s="2124" t="s">
        <v>876</v>
      </c>
      <c r="D5170" s="2124"/>
      <c r="E5170" s="2124"/>
      <c r="F5170" s="2125" t="s">
        <v>3873</v>
      </c>
      <c r="G5170" s="2125"/>
      <c r="H5170" s="1107">
        <f>H5169*0.15</f>
        <v>54965.13</v>
      </c>
      <c r="J5170" s="1714"/>
      <c r="K5170" s="1714"/>
      <c r="L5170" s="1714"/>
      <c r="M5170" s="1635"/>
    </row>
    <row r="5171" spans="2:13" s="530" customFormat="1" hidden="1">
      <c r="B5171" s="1794" t="s">
        <v>708</v>
      </c>
      <c r="C5171" s="2123" t="s">
        <v>3765</v>
      </c>
      <c r="D5171" s="2123"/>
      <c r="E5171" s="2123"/>
      <c r="F5171" s="2123"/>
      <c r="G5171" s="2123"/>
      <c r="H5171" s="1107">
        <f>ROUND(SUM(H5169:H5170),2)</f>
        <v>421399.33</v>
      </c>
      <c r="I5171" s="533">
        <f>SUM(H5169:H5170)</f>
        <v>421399.33</v>
      </c>
      <c r="J5171" s="1568"/>
      <c r="K5171" s="1568"/>
      <c r="L5171" s="1714"/>
      <c r="M5171" s="1635"/>
    </row>
    <row r="5172" spans="2:13" s="531" customFormat="1" hidden="1">
      <c r="B5172" s="1240"/>
      <c r="C5172" s="1241"/>
      <c r="D5172" s="1240"/>
      <c r="E5172" s="1241"/>
      <c r="F5172" s="1131"/>
      <c r="G5172" s="1132"/>
      <c r="H5172" s="1242"/>
      <c r="I5172" s="534"/>
      <c r="J5172" s="1569"/>
      <c r="K5172" s="1569"/>
      <c r="L5172" s="1712"/>
      <c r="M5172" s="1566"/>
    </row>
    <row r="5173" spans="2:13" hidden="1">
      <c r="B5173" s="1100" t="s">
        <v>4134</v>
      </c>
      <c r="C5173" s="1112" t="s">
        <v>3441</v>
      </c>
      <c r="D5173" s="1129"/>
      <c r="E5173" s="1129"/>
      <c r="F5173" s="1131"/>
      <c r="G5173" s="1132"/>
      <c r="H5173" s="1115"/>
      <c r="M5173" s="1566"/>
    </row>
    <row r="5174" spans="2:13" s="507" customFormat="1" ht="24.9" hidden="1" customHeight="1">
      <c r="B5174" s="1748" t="s">
        <v>1003</v>
      </c>
      <c r="C5174" s="1116" t="s">
        <v>1004</v>
      </c>
      <c r="D5174" s="1101" t="s">
        <v>1005</v>
      </c>
      <c r="E5174" s="1101" t="s">
        <v>1006</v>
      </c>
      <c r="F5174" s="1102" t="s">
        <v>1007</v>
      </c>
      <c r="G5174" s="1109" t="s">
        <v>2637</v>
      </c>
      <c r="H5174" s="1110" t="s">
        <v>2638</v>
      </c>
      <c r="J5174" s="1625"/>
      <c r="K5174" s="1625"/>
      <c r="L5174" s="1625"/>
      <c r="M5174" s="1570"/>
    </row>
    <row r="5175" spans="2:13" hidden="1">
      <c r="B5175" s="1543" t="s">
        <v>671</v>
      </c>
      <c r="C5175" s="1118" t="s">
        <v>672</v>
      </c>
      <c r="D5175" s="1331"/>
      <c r="E5175" s="1331"/>
      <c r="F5175" s="1334"/>
      <c r="G5175" s="1104"/>
      <c r="H5175" s="1106"/>
      <c r="M5175" s="1566"/>
    </row>
    <row r="5176" spans="2:13" hidden="1">
      <c r="B5176" s="1543"/>
      <c r="C5176" s="1118" t="s">
        <v>673</v>
      </c>
      <c r="D5176" s="1331" t="s">
        <v>674</v>
      </c>
      <c r="E5176" s="1331" t="s">
        <v>675</v>
      </c>
      <c r="F5176" s="1334">
        <v>0.15</v>
      </c>
      <c r="G5176" s="1104">
        <f>DUB!$I$10</f>
        <v>150000</v>
      </c>
      <c r="H5176" s="1106">
        <f>G5176*F5176</f>
        <v>22500</v>
      </c>
      <c r="M5176" s="1566"/>
    </row>
    <row r="5177" spans="2:13" hidden="1">
      <c r="B5177" s="1543"/>
      <c r="C5177" s="1118" t="s">
        <v>871</v>
      </c>
      <c r="D5177" s="1331" t="s">
        <v>678</v>
      </c>
      <c r="E5177" s="1331" t="s">
        <v>675</v>
      </c>
      <c r="F5177" s="1334">
        <v>0.45</v>
      </c>
      <c r="G5177" s="1104">
        <f>DUB!$I$11</f>
        <v>187000</v>
      </c>
      <c r="H5177" s="1106">
        <f>G5177*F5177</f>
        <v>84150</v>
      </c>
      <c r="M5177" s="1566"/>
    </row>
    <row r="5178" spans="2:13" hidden="1">
      <c r="B5178" s="1543"/>
      <c r="C5178" s="1118" t="s">
        <v>751</v>
      </c>
      <c r="D5178" s="1331" t="s">
        <v>681</v>
      </c>
      <c r="E5178" s="1331" t="s">
        <v>675</v>
      </c>
      <c r="F5178" s="1334">
        <v>4.4999999999999998E-2</v>
      </c>
      <c r="G5178" s="1104">
        <f>DUB!$I$13</f>
        <v>240000</v>
      </c>
      <c r="H5178" s="1106">
        <f>G5178*F5178</f>
        <v>10800</v>
      </c>
      <c r="M5178" s="1566"/>
    </row>
    <row r="5179" spans="2:13" hidden="1">
      <c r="B5179" s="1543"/>
      <c r="C5179" s="1118" t="s">
        <v>683</v>
      </c>
      <c r="D5179" s="1331" t="s">
        <v>684</v>
      </c>
      <c r="E5179" s="1331" t="s">
        <v>675</v>
      </c>
      <c r="F5179" s="1334">
        <v>8.0000000000000002E-3</v>
      </c>
      <c r="G5179" s="1104">
        <f>DUB!$I$12</f>
        <v>225000</v>
      </c>
      <c r="H5179" s="1106">
        <f>G5179*F5179</f>
        <v>1800</v>
      </c>
      <c r="M5179" s="1566"/>
    </row>
    <row r="5180" spans="2:13" hidden="1">
      <c r="B5180" s="1543"/>
      <c r="C5180" s="1118"/>
      <c r="D5180" s="1331"/>
      <c r="E5180" s="1331"/>
      <c r="F5180" s="2080" t="s">
        <v>685</v>
      </c>
      <c r="G5180" s="2081"/>
      <c r="H5180" s="1106">
        <f>SUM(H5176:H5179)</f>
        <v>119250</v>
      </c>
      <c r="M5180" s="1566"/>
    </row>
    <row r="5181" spans="2:13" hidden="1">
      <c r="B5181" s="1543" t="s">
        <v>686</v>
      </c>
      <c r="C5181" s="1118" t="s">
        <v>687</v>
      </c>
      <c r="D5181" s="1331"/>
      <c r="E5181" s="1331"/>
      <c r="F5181" s="1334"/>
      <c r="G5181" s="1104"/>
      <c r="H5181" s="1106"/>
      <c r="M5181" s="1566"/>
    </row>
    <row r="5182" spans="2:13" hidden="1">
      <c r="B5182" s="1543"/>
      <c r="C5182" s="1118" t="s">
        <v>1266</v>
      </c>
      <c r="D5182" s="1331"/>
      <c r="E5182" s="1331" t="s">
        <v>2646</v>
      </c>
      <c r="F5182" s="1334">
        <v>2.8000000000000001E-2</v>
      </c>
      <c r="G5182" s="1104">
        <f>DUB!$I$85</f>
        <v>6250000</v>
      </c>
      <c r="H5182" s="1106">
        <f>G5182*F5182</f>
        <v>175000</v>
      </c>
      <c r="M5182" s="1566"/>
    </row>
    <row r="5183" spans="2:13" hidden="1">
      <c r="B5183" s="1543"/>
      <c r="C5183" s="1118" t="s">
        <v>1314</v>
      </c>
      <c r="D5183" s="1331"/>
      <c r="E5183" s="1331" t="s">
        <v>773</v>
      </c>
      <c r="F5183" s="1334">
        <v>0.15</v>
      </c>
      <c r="G5183" s="1136">
        <f>DUB!$I$128</f>
        <v>20441.7</v>
      </c>
      <c r="H5183" s="1106">
        <f>G5183*F5183</f>
        <v>3066.2550000000001</v>
      </c>
      <c r="M5183" s="1566"/>
    </row>
    <row r="5184" spans="2:13" hidden="1">
      <c r="B5184" s="1540"/>
      <c r="C5184" s="1118"/>
      <c r="D5184" s="1331"/>
      <c r="E5184" s="1331"/>
      <c r="F5184" s="2080" t="s">
        <v>702</v>
      </c>
      <c r="G5184" s="2081"/>
      <c r="H5184" s="1106">
        <f>SUM(H5182:H5183)</f>
        <v>178066.255</v>
      </c>
      <c r="M5184" s="1566"/>
    </row>
    <row r="5185" spans="2:13" s="496" customFormat="1" hidden="1">
      <c r="B5185" s="1543" t="s">
        <v>703</v>
      </c>
      <c r="C5185" s="1117" t="s">
        <v>3764</v>
      </c>
      <c r="D5185" s="1120"/>
      <c r="E5185" s="1120"/>
      <c r="F5185" s="1121"/>
      <c r="G5185" s="1141"/>
      <c r="H5185" s="1107">
        <f>H5180+H5184</f>
        <v>297316.255</v>
      </c>
      <c r="J5185" s="1559"/>
      <c r="K5185" s="1559"/>
      <c r="L5185" s="1559"/>
      <c r="M5185" s="1635"/>
    </row>
    <row r="5186" spans="2:13" s="496" customFormat="1" hidden="1">
      <c r="B5186" s="1543" t="s">
        <v>706</v>
      </c>
      <c r="C5186" s="1123" t="s">
        <v>876</v>
      </c>
      <c r="D5186" s="1124"/>
      <c r="E5186" s="1154"/>
      <c r="F5186" s="1545" t="s">
        <v>3873</v>
      </c>
      <c r="G5186" s="1141"/>
      <c r="H5186" s="1107">
        <f>H5185*0.15</f>
        <v>44597.438249999999</v>
      </c>
      <c r="J5186" s="1559"/>
      <c r="K5186" s="1559"/>
      <c r="L5186" s="1559"/>
      <c r="M5186" s="1635"/>
    </row>
    <row r="5187" spans="2:13" s="496" customFormat="1" hidden="1">
      <c r="B5187" s="1543" t="s">
        <v>708</v>
      </c>
      <c r="C5187" s="1117" t="s">
        <v>3765</v>
      </c>
      <c r="D5187" s="1120"/>
      <c r="E5187" s="1120"/>
      <c r="F5187" s="1121"/>
      <c r="G5187" s="1141"/>
      <c r="H5187" s="1107">
        <f>ROUND(SUM(H5185:H5186),2)</f>
        <v>341913.69</v>
      </c>
      <c r="I5187" s="506">
        <f>SUM(H5185:H5186)</f>
        <v>341913.69325000001</v>
      </c>
      <c r="J5187" s="1561"/>
      <c r="K5187" s="1561"/>
      <c r="L5187" s="1559"/>
      <c r="M5187" s="1635"/>
    </row>
    <row r="5188" spans="2:13" hidden="1">
      <c r="F5188" s="1172"/>
      <c r="G5188" s="1173"/>
      <c r="H5188" s="1133"/>
      <c r="M5188" s="1566"/>
    </row>
    <row r="5189" spans="2:13">
      <c r="B5189" s="1100" t="s">
        <v>4135</v>
      </c>
      <c r="C5189" s="1112" t="s">
        <v>3564</v>
      </c>
      <c r="D5189" s="1129"/>
      <c r="E5189" s="1129"/>
      <c r="F5189" s="1131"/>
      <c r="G5189" s="1132"/>
      <c r="H5189" s="1115"/>
      <c r="M5189" s="1566"/>
    </row>
    <row r="5190" spans="2:13" s="507" customFormat="1" ht="24.9" customHeight="1">
      <c r="B5190" s="1101" t="s">
        <v>1003</v>
      </c>
      <c r="C5190" s="1116" t="s">
        <v>1004</v>
      </c>
      <c r="D5190" s="1101" t="s">
        <v>1005</v>
      </c>
      <c r="E5190" s="1101" t="s">
        <v>1006</v>
      </c>
      <c r="F5190" s="1102" t="s">
        <v>1007</v>
      </c>
      <c r="G5190" s="1109" t="s">
        <v>2637</v>
      </c>
      <c r="H5190" s="1110" t="s">
        <v>2638</v>
      </c>
      <c r="I5190" s="1834"/>
      <c r="J5190" s="1823" t="s">
        <v>5335</v>
      </c>
      <c r="K5190" s="1824" t="s">
        <v>5336</v>
      </c>
      <c r="L5190" s="1824" t="s">
        <v>5337</v>
      </c>
      <c r="M5190" s="1825" t="s">
        <v>5338</v>
      </c>
    </row>
    <row r="5191" spans="2:13">
      <c r="B5191" s="1330" t="s">
        <v>671</v>
      </c>
      <c r="C5191" s="1118" t="s">
        <v>672</v>
      </c>
      <c r="D5191" s="1331"/>
      <c r="E5191" s="1331"/>
      <c r="F5191" s="1334"/>
      <c r="G5191" s="1104"/>
      <c r="H5191" s="1106"/>
      <c r="J5191" s="1597"/>
      <c r="K5191" s="1597"/>
      <c r="L5191" s="1597"/>
      <c r="M5191" s="1826"/>
    </row>
    <row r="5192" spans="2:13">
      <c r="B5192" s="1330"/>
      <c r="C5192" s="1118" t="s">
        <v>673</v>
      </c>
      <c r="D5192" s="1331" t="s">
        <v>674</v>
      </c>
      <c r="E5192" s="1331" t="s">
        <v>675</v>
      </c>
      <c r="F5192" s="1334">
        <v>0.15</v>
      </c>
      <c r="G5192" s="1104">
        <f>DUB!$I$10</f>
        <v>150000</v>
      </c>
      <c r="H5192" s="1106">
        <f>G5192*F5192</f>
        <v>22500</v>
      </c>
      <c r="J5192" s="1609" t="s">
        <v>5339</v>
      </c>
      <c r="K5192" s="1611">
        <v>1</v>
      </c>
      <c r="L5192" s="1608" t="s">
        <v>5340</v>
      </c>
      <c r="M5192" s="1827">
        <f>H5192*K5192</f>
        <v>22500</v>
      </c>
    </row>
    <row r="5193" spans="2:13">
      <c r="B5193" s="1330"/>
      <c r="C5193" s="1118" t="s">
        <v>871</v>
      </c>
      <c r="D5193" s="1331" t="s">
        <v>678</v>
      </c>
      <c r="E5193" s="1331" t="s">
        <v>675</v>
      </c>
      <c r="F5193" s="1334">
        <v>0.45</v>
      </c>
      <c r="G5193" s="1104">
        <f>DUB!$I$11</f>
        <v>187000</v>
      </c>
      <c r="H5193" s="1106">
        <f>G5193*F5193</f>
        <v>84150</v>
      </c>
      <c r="J5193" s="1609" t="s">
        <v>5339</v>
      </c>
      <c r="K5193" s="1611">
        <v>1</v>
      </c>
      <c r="L5193" s="1608" t="s">
        <v>5340</v>
      </c>
      <c r="M5193" s="1827">
        <f t="shared" ref="M5193" si="133">H5193*K5193</f>
        <v>84150</v>
      </c>
    </row>
    <row r="5194" spans="2:13">
      <c r="B5194" s="1330"/>
      <c r="C5194" s="1118" t="s">
        <v>751</v>
      </c>
      <c r="D5194" s="1331" t="s">
        <v>681</v>
      </c>
      <c r="E5194" s="1331" t="s">
        <v>675</v>
      </c>
      <c r="F5194" s="1334">
        <v>4.4999999999999998E-2</v>
      </c>
      <c r="G5194" s="1104">
        <f>DUB!$I$13</f>
        <v>240000</v>
      </c>
      <c r="H5194" s="1106">
        <f>G5194*F5194</f>
        <v>10800</v>
      </c>
      <c r="J5194" s="1609" t="s">
        <v>5339</v>
      </c>
      <c r="K5194" s="1611">
        <v>1</v>
      </c>
      <c r="L5194" s="1608" t="s">
        <v>5340</v>
      </c>
      <c r="M5194" s="1827">
        <f>H5194*K5194</f>
        <v>10800</v>
      </c>
    </row>
    <row r="5195" spans="2:13">
      <c r="B5195" s="1330"/>
      <c r="C5195" s="1118" t="s">
        <v>683</v>
      </c>
      <c r="D5195" s="1331" t="s">
        <v>684</v>
      </c>
      <c r="E5195" s="1331" t="s">
        <v>675</v>
      </c>
      <c r="F5195" s="1334">
        <v>8.0000000000000002E-3</v>
      </c>
      <c r="G5195" s="1104">
        <f>DUB!$I$12</f>
        <v>225000</v>
      </c>
      <c r="H5195" s="1106">
        <f>G5195*F5195</f>
        <v>1800</v>
      </c>
      <c r="J5195" s="1609" t="s">
        <v>5339</v>
      </c>
      <c r="K5195" s="1611">
        <v>1</v>
      </c>
      <c r="L5195" s="1608" t="s">
        <v>5340</v>
      </c>
      <c r="M5195" s="1827">
        <f t="shared" ref="M5195" si="134">H5195*K5195</f>
        <v>1800</v>
      </c>
    </row>
    <row r="5196" spans="2:13">
      <c r="B5196" s="1330"/>
      <c r="C5196" s="1118"/>
      <c r="D5196" s="1331"/>
      <c r="E5196" s="1331"/>
      <c r="F5196" s="2080" t="s">
        <v>685</v>
      </c>
      <c r="G5196" s="2081"/>
      <c r="H5196" s="1106">
        <f>SUM(H5192:H5195)</f>
        <v>119250</v>
      </c>
      <c r="J5196" s="1597"/>
      <c r="K5196" s="1597"/>
      <c r="L5196" s="1597"/>
      <c r="M5196" s="1107">
        <f>SUM(M5192:M5195)</f>
        <v>119250</v>
      </c>
    </row>
    <row r="5197" spans="2:13">
      <c r="B5197" s="1330" t="s">
        <v>686</v>
      </c>
      <c r="C5197" s="1118" t="s">
        <v>687</v>
      </c>
      <c r="D5197" s="1331"/>
      <c r="E5197" s="1331"/>
      <c r="F5197" s="1334"/>
      <c r="G5197" s="1104"/>
      <c r="H5197" s="1106"/>
      <c r="J5197" s="1634"/>
      <c r="K5197" s="1611"/>
      <c r="L5197" s="1607"/>
      <c r="M5197" s="1827"/>
    </row>
    <row r="5198" spans="2:13">
      <c r="B5198" s="1330"/>
      <c r="C5198" s="1118" t="s">
        <v>4445</v>
      </c>
      <c r="D5198" s="1331"/>
      <c r="E5198" s="1331" t="s">
        <v>2944</v>
      </c>
      <c r="F5198" s="1334">
        <v>5.6</v>
      </c>
      <c r="G5198" s="1104">
        <f>DUB!$I$161</f>
        <v>15174</v>
      </c>
      <c r="H5198" s="1106">
        <f>G5198*F5198</f>
        <v>84974.399999999994</v>
      </c>
      <c r="J5198" s="1642" t="s">
        <v>4925</v>
      </c>
      <c r="K5198" s="1611">
        <v>0.63739999999999997</v>
      </c>
      <c r="L5198" s="1607" t="s">
        <v>5343</v>
      </c>
      <c r="M5198" s="1827">
        <f t="shared" ref="M5198:M5199" si="135">H5198*K5198</f>
        <v>54162.682559999994</v>
      </c>
    </row>
    <row r="5199" spans="2:13">
      <c r="B5199" s="1330"/>
      <c r="C5199" s="1118" t="s">
        <v>3514</v>
      </c>
      <c r="D5199" s="1331"/>
      <c r="E5199" s="1331" t="s">
        <v>1423</v>
      </c>
      <c r="F5199" s="1334">
        <v>30</v>
      </c>
      <c r="G5199" s="1136">
        <f>DUB!$I$131</f>
        <v>531</v>
      </c>
      <c r="H5199" s="1106">
        <f>G5199*F5199</f>
        <v>15930</v>
      </c>
      <c r="J5199" s="1642" t="s">
        <v>4925</v>
      </c>
      <c r="K5199" s="1611">
        <v>0.60250000000000004</v>
      </c>
      <c r="L5199" s="1607" t="s">
        <v>5343</v>
      </c>
      <c r="M5199" s="1827">
        <f t="shared" si="135"/>
        <v>9597.8250000000007</v>
      </c>
    </row>
    <row r="5200" spans="2:13">
      <c r="B5200" s="1330"/>
      <c r="C5200" s="1118"/>
      <c r="D5200" s="1331"/>
      <c r="E5200" s="1331"/>
      <c r="F5200" s="2080" t="s">
        <v>702</v>
      </c>
      <c r="G5200" s="2081"/>
      <c r="H5200" s="1106">
        <f>SUM(H5198:H5199)</f>
        <v>100904.4</v>
      </c>
      <c r="J5200" s="1597"/>
      <c r="K5200" s="1597"/>
      <c r="L5200" s="1597"/>
      <c r="M5200" s="1106">
        <f>SUM(M5198:M5199)</f>
        <v>63760.507559999998</v>
      </c>
    </row>
    <row r="5201" spans="2:13" s="496" customFormat="1">
      <c r="B5201" s="1330" t="s">
        <v>703</v>
      </c>
      <c r="C5201" s="1117" t="s">
        <v>3764</v>
      </c>
      <c r="D5201" s="1120"/>
      <c r="E5201" s="1120"/>
      <c r="F5201" s="1121"/>
      <c r="G5201" s="1141"/>
      <c r="H5201" s="1107">
        <f>H5196+H5200</f>
        <v>220154.4</v>
      </c>
      <c r="J5201" s="1600"/>
      <c r="K5201" s="1633">
        <f>M5201/H5201</f>
        <v>0.83128253425777543</v>
      </c>
      <c r="L5201" s="1600"/>
      <c r="M5201" s="1107">
        <f>M5196+M5200</f>
        <v>183010.50756</v>
      </c>
    </row>
    <row r="5202" spans="2:13" s="496" customFormat="1">
      <c r="B5202" s="1330" t="s">
        <v>706</v>
      </c>
      <c r="C5202" s="1123" t="s">
        <v>876</v>
      </c>
      <c r="D5202" s="1124"/>
      <c r="E5202" s="1154"/>
      <c r="F5202" s="1545" t="s">
        <v>3873</v>
      </c>
      <c r="G5202" s="1141"/>
      <c r="H5202" s="1107">
        <f>H5201*0.15</f>
        <v>33023.159999999996</v>
      </c>
      <c r="J5202" s="1600"/>
      <c r="K5202" s="1600"/>
      <c r="L5202" s="1600"/>
      <c r="M5202" s="1107">
        <f>M5201*0.15</f>
        <v>27451.576133999999</v>
      </c>
    </row>
    <row r="5203" spans="2:13" s="496" customFormat="1">
      <c r="B5203" s="1330" t="s">
        <v>708</v>
      </c>
      <c r="C5203" s="1117" t="s">
        <v>3765</v>
      </c>
      <c r="D5203" s="1120"/>
      <c r="E5203" s="1120"/>
      <c r="F5203" s="1121"/>
      <c r="G5203" s="1141"/>
      <c r="H5203" s="1107">
        <f>ROUND(SUM(H5201:H5202),2)</f>
        <v>253177.56</v>
      </c>
      <c r="I5203" s="506">
        <f>SUM(H5201:H5202)</f>
        <v>253177.56</v>
      </c>
      <c r="J5203" s="1636"/>
      <c r="K5203" s="1636"/>
      <c r="L5203" s="1637"/>
      <c r="M5203" s="1919">
        <f>ROUND(SUM(M5201:M5202),2)</f>
        <v>210462.07999999999</v>
      </c>
    </row>
    <row r="5204" spans="2:13">
      <c r="B5204" s="1129"/>
      <c r="C5204" s="1244"/>
      <c r="D5204" s="1129"/>
      <c r="E5204" s="1129"/>
      <c r="F5204" s="1131"/>
      <c r="G5204" s="1132"/>
      <c r="H5204" s="1133"/>
      <c r="I5204" s="526"/>
      <c r="J5204" s="1562"/>
      <c r="K5204" s="1562"/>
      <c r="M5204" s="1566"/>
    </row>
    <row r="5205" spans="2:13">
      <c r="B5205" s="1100" t="s">
        <v>4136</v>
      </c>
      <c r="C5205" s="1232" t="s">
        <v>4446</v>
      </c>
      <c r="F5205" s="1172"/>
      <c r="G5205" s="1173"/>
      <c r="H5205" s="1133"/>
      <c r="M5205" s="1566"/>
    </row>
    <row r="5206" spans="2:13" s="507" customFormat="1" ht="24.9" customHeight="1">
      <c r="B5206" s="1101" t="s">
        <v>1003</v>
      </c>
      <c r="C5206" s="1101" t="s">
        <v>1004</v>
      </c>
      <c r="D5206" s="1101" t="s">
        <v>1005</v>
      </c>
      <c r="E5206" s="1101" t="s">
        <v>1006</v>
      </c>
      <c r="F5206" s="1102" t="s">
        <v>1007</v>
      </c>
      <c r="G5206" s="1109" t="s">
        <v>2637</v>
      </c>
      <c r="H5206" s="1110" t="s">
        <v>2638</v>
      </c>
      <c r="I5206" s="1834"/>
      <c r="J5206" s="1823" t="s">
        <v>5335</v>
      </c>
      <c r="K5206" s="1824" t="s">
        <v>5336</v>
      </c>
      <c r="L5206" s="1824" t="s">
        <v>5337</v>
      </c>
      <c r="M5206" s="1825" t="s">
        <v>5338</v>
      </c>
    </row>
    <row r="5207" spans="2:13">
      <c r="B5207" s="1330" t="s">
        <v>671</v>
      </c>
      <c r="C5207" s="1332" t="s">
        <v>672</v>
      </c>
      <c r="D5207" s="1331"/>
      <c r="E5207" s="1331"/>
      <c r="F5207" s="1334"/>
      <c r="G5207" s="1104"/>
      <c r="H5207" s="1106"/>
      <c r="J5207" s="1597"/>
      <c r="K5207" s="1597"/>
      <c r="L5207" s="1597"/>
      <c r="M5207" s="1826"/>
    </row>
    <row r="5208" spans="2:13">
      <c r="B5208" s="1330"/>
      <c r="C5208" s="1332" t="s">
        <v>673</v>
      </c>
      <c r="D5208" s="1331" t="s">
        <v>674</v>
      </c>
      <c r="E5208" s="1331" t="s">
        <v>675</v>
      </c>
      <c r="F5208" s="1334">
        <v>0.1</v>
      </c>
      <c r="G5208" s="1104">
        <f>DUB!$I$10</f>
        <v>150000</v>
      </c>
      <c r="H5208" s="1106">
        <f>G5208*F5208</f>
        <v>15000</v>
      </c>
      <c r="J5208" s="1609" t="s">
        <v>5339</v>
      </c>
      <c r="K5208" s="1611">
        <v>1</v>
      </c>
      <c r="L5208" s="1608" t="s">
        <v>5340</v>
      </c>
      <c r="M5208" s="1827">
        <f>H5208*K5208</f>
        <v>15000</v>
      </c>
    </row>
    <row r="5209" spans="2:13">
      <c r="B5209" s="1330"/>
      <c r="C5209" s="1332" t="s">
        <v>871</v>
      </c>
      <c r="D5209" s="1331" t="s">
        <v>678</v>
      </c>
      <c r="E5209" s="1331" t="s">
        <v>675</v>
      </c>
      <c r="F5209" s="1334">
        <v>0.05</v>
      </c>
      <c r="G5209" s="1104">
        <f>DUB!$I$11</f>
        <v>187000</v>
      </c>
      <c r="H5209" s="1106">
        <f>G5209*F5209</f>
        <v>9350</v>
      </c>
      <c r="J5209" s="1609" t="s">
        <v>5339</v>
      </c>
      <c r="K5209" s="1611">
        <v>1</v>
      </c>
      <c r="L5209" s="1608" t="s">
        <v>5340</v>
      </c>
      <c r="M5209" s="1827">
        <f t="shared" ref="M5209" si="136">H5209*K5209</f>
        <v>9350</v>
      </c>
    </row>
    <row r="5210" spans="2:13">
      <c r="B5210" s="1330"/>
      <c r="C5210" s="1332" t="s">
        <v>751</v>
      </c>
      <c r="D5210" s="1331" t="s">
        <v>681</v>
      </c>
      <c r="E5210" s="1331" t="s">
        <v>675</v>
      </c>
      <c r="F5210" s="1334">
        <v>5.0000000000000001E-3</v>
      </c>
      <c r="G5210" s="1104">
        <f>DUB!$I$13</f>
        <v>240000</v>
      </c>
      <c r="H5210" s="1106">
        <f>G5210*F5210</f>
        <v>1200</v>
      </c>
      <c r="J5210" s="1609" t="s">
        <v>5339</v>
      </c>
      <c r="K5210" s="1611">
        <v>1</v>
      </c>
      <c r="L5210" s="1608" t="s">
        <v>5340</v>
      </c>
      <c r="M5210" s="1827">
        <f>H5210*K5210</f>
        <v>1200</v>
      </c>
    </row>
    <row r="5211" spans="2:13">
      <c r="B5211" s="1330"/>
      <c r="C5211" s="1332" t="s">
        <v>683</v>
      </c>
      <c r="D5211" s="1331" t="s">
        <v>684</v>
      </c>
      <c r="E5211" s="1331" t="s">
        <v>675</v>
      </c>
      <c r="F5211" s="1334">
        <v>5.0000000000000001E-3</v>
      </c>
      <c r="G5211" s="1104">
        <f>DUB!$I$12</f>
        <v>225000</v>
      </c>
      <c r="H5211" s="1106">
        <f>G5211*F5211</f>
        <v>1125</v>
      </c>
      <c r="J5211" s="1609" t="s">
        <v>5339</v>
      </c>
      <c r="K5211" s="1611">
        <v>1</v>
      </c>
      <c r="L5211" s="1608" t="s">
        <v>5340</v>
      </c>
      <c r="M5211" s="1827">
        <f t="shared" ref="M5211" si="137">H5211*K5211</f>
        <v>1125</v>
      </c>
    </row>
    <row r="5212" spans="2:13">
      <c r="B5212" s="1330"/>
      <c r="C5212" s="1332"/>
      <c r="D5212" s="1331"/>
      <c r="E5212" s="1331"/>
      <c r="F5212" s="2074" t="s">
        <v>685</v>
      </c>
      <c r="G5212" s="2074"/>
      <c r="H5212" s="1106">
        <f>SUM(H5208:H5211)</f>
        <v>26675</v>
      </c>
      <c r="J5212" s="1597"/>
      <c r="K5212" s="1597"/>
      <c r="L5212" s="1597"/>
      <c r="M5212" s="1107">
        <f>SUM(M5208:M5211)</f>
        <v>26675</v>
      </c>
    </row>
    <row r="5213" spans="2:13">
      <c r="B5213" s="1330" t="s">
        <v>686</v>
      </c>
      <c r="C5213" s="1332" t="s">
        <v>687</v>
      </c>
      <c r="D5213" s="1331"/>
      <c r="E5213" s="1331"/>
      <c r="F5213" s="1334"/>
      <c r="G5213" s="1104"/>
      <c r="H5213" s="1106"/>
      <c r="J5213" s="1634"/>
      <c r="K5213" s="1611"/>
      <c r="L5213" s="1607"/>
      <c r="M5213" s="1827"/>
    </row>
    <row r="5214" spans="2:13">
      <c r="B5214" s="1330"/>
      <c r="C5214" s="1332" t="s">
        <v>1193</v>
      </c>
      <c r="D5214" s="1331"/>
      <c r="E5214" s="1331" t="s">
        <v>888</v>
      </c>
      <c r="F5214" s="1334">
        <v>0.36399999999999999</v>
      </c>
      <c r="G5214" s="1104">
        <f>DUB!$I$281</f>
        <v>77373</v>
      </c>
      <c r="H5214" s="1106">
        <f>G5214*F5214</f>
        <v>28163.772000000001</v>
      </c>
      <c r="J5214" s="1642" t="s">
        <v>4925</v>
      </c>
      <c r="K5214" s="1611">
        <v>0.3034</v>
      </c>
      <c r="L5214" s="1607" t="s">
        <v>5343</v>
      </c>
      <c r="M5214" s="1827">
        <f t="shared" ref="M5214:M5215" si="138">H5214*K5214</f>
        <v>8544.8884247999995</v>
      </c>
    </row>
    <row r="5215" spans="2:13">
      <c r="B5215" s="1330"/>
      <c r="C5215" s="1332" t="s">
        <v>1194</v>
      </c>
      <c r="D5215" s="1331"/>
      <c r="E5215" s="1331" t="s">
        <v>773</v>
      </c>
      <c r="F5215" s="1334">
        <v>0.11</v>
      </c>
      <c r="G5215" s="1104">
        <f>DUB!$I$129</f>
        <v>155400</v>
      </c>
      <c r="H5215" s="1106">
        <f>G5215*F5215</f>
        <v>17094</v>
      </c>
      <c r="J5215" s="1642" t="s">
        <v>4925</v>
      </c>
      <c r="K5215" s="1611">
        <v>0.60250000000000004</v>
      </c>
      <c r="L5215" s="1607" t="s">
        <v>5343</v>
      </c>
      <c r="M5215" s="1827">
        <f t="shared" si="138"/>
        <v>10299.135</v>
      </c>
    </row>
    <row r="5216" spans="2:13">
      <c r="B5216" s="1331"/>
      <c r="C5216" s="1332"/>
      <c r="D5216" s="1331"/>
      <c r="E5216" s="1331"/>
      <c r="F5216" s="2090" t="s">
        <v>702</v>
      </c>
      <c r="G5216" s="2090"/>
      <c r="H5216" s="1106">
        <f>SUM(H5214:H5215)</f>
        <v>45257.771999999997</v>
      </c>
      <c r="J5216" s="1597"/>
      <c r="K5216" s="1597"/>
      <c r="L5216" s="1597"/>
      <c r="M5216" s="1106">
        <f>SUM(M5214:M5215)</f>
        <v>18844.023424799998</v>
      </c>
    </row>
    <row r="5217" spans="2:13" s="496" customFormat="1">
      <c r="B5217" s="1330" t="s">
        <v>703</v>
      </c>
      <c r="C5217" s="2089" t="s">
        <v>3764</v>
      </c>
      <c r="D5217" s="2089"/>
      <c r="E5217" s="2089"/>
      <c r="F5217" s="2089"/>
      <c r="G5217" s="2089"/>
      <c r="H5217" s="1107">
        <f>H5212+H5216</f>
        <v>71932.771999999997</v>
      </c>
      <c r="J5217" s="1600"/>
      <c r="K5217" s="1633">
        <f>M5217/H5217</f>
        <v>0.63279951764961873</v>
      </c>
      <c r="L5217" s="1600"/>
      <c r="M5217" s="1107">
        <f>M5212+M5216</f>
        <v>45519.023424799998</v>
      </c>
    </row>
    <row r="5218" spans="2:13" s="496" customFormat="1">
      <c r="B5218" s="1330" t="s">
        <v>706</v>
      </c>
      <c r="C5218" s="2076" t="s">
        <v>876</v>
      </c>
      <c r="D5218" s="2076"/>
      <c r="E5218" s="2076"/>
      <c r="F5218" s="2077" t="s">
        <v>3873</v>
      </c>
      <c r="G5218" s="2077"/>
      <c r="H5218" s="1107">
        <f>H5217*0.15</f>
        <v>10789.915799999999</v>
      </c>
      <c r="J5218" s="1600"/>
      <c r="K5218" s="1600"/>
      <c r="L5218" s="1600"/>
      <c r="M5218" s="1107">
        <f>M5217*0.15</f>
        <v>6827.8535137199997</v>
      </c>
    </row>
    <row r="5219" spans="2:13" s="496" customFormat="1">
      <c r="B5219" s="1330" t="s">
        <v>708</v>
      </c>
      <c r="C5219" s="2078" t="s">
        <v>3765</v>
      </c>
      <c r="D5219" s="2078"/>
      <c r="E5219" s="2078"/>
      <c r="F5219" s="2078"/>
      <c r="G5219" s="2078"/>
      <c r="H5219" s="1107">
        <f>ROUND(SUM(H5217:H5218),2)</f>
        <v>82722.69</v>
      </c>
      <c r="I5219" s="506">
        <f>SUM(H5217:H5218)</f>
        <v>82722.6878</v>
      </c>
      <c r="J5219" s="1636"/>
      <c r="K5219" s="1636"/>
      <c r="L5219" s="1637"/>
      <c r="M5219" s="1919">
        <f>ROUND(SUM(M5217:M5218),2)</f>
        <v>52346.879999999997</v>
      </c>
    </row>
    <row r="5220" spans="2:13" s="535" customFormat="1" ht="13.5" hidden="1" customHeight="1">
      <c r="B5220" s="1715"/>
      <c r="C5220" s="1716"/>
      <c r="D5220" s="1717"/>
      <c r="E5220" s="1716"/>
      <c r="F5220" s="1718"/>
      <c r="G5220" s="1719"/>
      <c r="H5220" s="1716"/>
      <c r="J5220" s="1720"/>
      <c r="K5220" s="1720"/>
      <c r="L5220" s="1720"/>
      <c r="M5220" s="1721"/>
    </row>
    <row r="5221" spans="2:13" hidden="1">
      <c r="B5221" s="1613" t="s">
        <v>4137</v>
      </c>
      <c r="C5221" s="1232" t="s">
        <v>3545</v>
      </c>
      <c r="F5221" s="1172"/>
      <c r="G5221" s="1173"/>
      <c r="H5221" s="1133"/>
      <c r="M5221" s="1619"/>
    </row>
    <row r="5222" spans="2:13" s="507" customFormat="1" ht="24.9" hidden="1" customHeight="1">
      <c r="B5222" s="1648" t="s">
        <v>1003</v>
      </c>
      <c r="C5222" s="1101" t="s">
        <v>1004</v>
      </c>
      <c r="D5222" s="1101" t="s">
        <v>1005</v>
      </c>
      <c r="E5222" s="1101" t="s">
        <v>1006</v>
      </c>
      <c r="F5222" s="1102" t="s">
        <v>1007</v>
      </c>
      <c r="G5222" s="1109" t="s">
        <v>2637</v>
      </c>
      <c r="H5222" s="1110" t="s">
        <v>2638</v>
      </c>
      <c r="J5222" s="1625"/>
      <c r="K5222" s="1625"/>
      <c r="L5222" s="1625"/>
      <c r="M5222" s="1626"/>
    </row>
    <row r="5223" spans="2:13" hidden="1">
      <c r="B5223" s="1649" t="s">
        <v>671</v>
      </c>
      <c r="C5223" s="1332" t="s">
        <v>672</v>
      </c>
      <c r="D5223" s="1331"/>
      <c r="E5223" s="1331"/>
      <c r="F5223" s="1334"/>
      <c r="G5223" s="1104"/>
      <c r="H5223" s="1106"/>
      <c r="M5223" s="1619"/>
    </row>
    <row r="5224" spans="2:13" hidden="1">
      <c r="B5224" s="1649"/>
      <c r="C5224" s="1332" t="s">
        <v>673</v>
      </c>
      <c r="D5224" s="1331" t="s">
        <v>674</v>
      </c>
      <c r="E5224" s="1331" t="s">
        <v>675</v>
      </c>
      <c r="F5224" s="1334">
        <v>0.1</v>
      </c>
      <c r="G5224" s="1104">
        <f>DUB!$I$10</f>
        <v>150000</v>
      </c>
      <c r="H5224" s="1106">
        <f>G5224*F5224</f>
        <v>15000</v>
      </c>
      <c r="M5224" s="1619"/>
    </row>
    <row r="5225" spans="2:13" hidden="1">
      <c r="B5225" s="1649"/>
      <c r="C5225" s="1332" t="s">
        <v>871</v>
      </c>
      <c r="D5225" s="1331" t="s">
        <v>678</v>
      </c>
      <c r="E5225" s="1331" t="s">
        <v>675</v>
      </c>
      <c r="F5225" s="1334">
        <v>0.05</v>
      </c>
      <c r="G5225" s="1104">
        <f>DUB!$I$11</f>
        <v>187000</v>
      </c>
      <c r="H5225" s="1106">
        <f>G5225*F5225</f>
        <v>9350</v>
      </c>
      <c r="M5225" s="1619"/>
    </row>
    <row r="5226" spans="2:13" hidden="1">
      <c r="B5226" s="1649"/>
      <c r="C5226" s="1332" t="s">
        <v>751</v>
      </c>
      <c r="D5226" s="1331" t="s">
        <v>681</v>
      </c>
      <c r="E5226" s="1331" t="s">
        <v>675</v>
      </c>
      <c r="F5226" s="1334">
        <v>5.0000000000000001E-3</v>
      </c>
      <c r="G5226" s="1104">
        <f>DUB!$I$13</f>
        <v>240000</v>
      </c>
      <c r="H5226" s="1106">
        <f>G5226*F5226</f>
        <v>1200</v>
      </c>
      <c r="M5226" s="1619"/>
    </row>
    <row r="5227" spans="2:13" hidden="1">
      <c r="B5227" s="1649"/>
      <c r="C5227" s="1332" t="s">
        <v>683</v>
      </c>
      <c r="D5227" s="1331" t="s">
        <v>684</v>
      </c>
      <c r="E5227" s="1331" t="s">
        <v>675</v>
      </c>
      <c r="F5227" s="1334">
        <v>5.0000000000000001E-3</v>
      </c>
      <c r="G5227" s="1104">
        <f>DUB!$I$12</f>
        <v>225000</v>
      </c>
      <c r="H5227" s="1106">
        <f>G5227*F5227</f>
        <v>1125</v>
      </c>
      <c r="M5227" s="1619"/>
    </row>
    <row r="5228" spans="2:13" hidden="1">
      <c r="B5228" s="1649"/>
      <c r="C5228" s="1332"/>
      <c r="D5228" s="1331"/>
      <c r="E5228" s="1331"/>
      <c r="F5228" s="2074" t="s">
        <v>685</v>
      </c>
      <c r="G5228" s="2074"/>
      <c r="H5228" s="1106">
        <f>SUM(H5224:H5227)</f>
        <v>26675</v>
      </c>
      <c r="M5228" s="1619"/>
    </row>
    <row r="5229" spans="2:13" hidden="1">
      <c r="B5229" s="1649" t="s">
        <v>686</v>
      </c>
      <c r="C5229" s="1332" t="s">
        <v>687</v>
      </c>
      <c r="D5229" s="1331"/>
      <c r="E5229" s="1331"/>
      <c r="F5229" s="1334"/>
      <c r="G5229" s="1104"/>
      <c r="H5229" s="1106"/>
      <c r="M5229" s="1619"/>
    </row>
    <row r="5230" spans="2:13" hidden="1">
      <c r="B5230" s="1650"/>
      <c r="C5230" s="1332" t="s">
        <v>3552</v>
      </c>
      <c r="D5230" s="1331"/>
      <c r="E5230" s="1331" t="s">
        <v>888</v>
      </c>
      <c r="F5230" s="1334">
        <v>0.36399999999999999</v>
      </c>
      <c r="G5230" s="1104">
        <f>DUB!$I$304</f>
        <v>109242</v>
      </c>
      <c r="H5230" s="1106">
        <f>G5230*F5230</f>
        <v>39764.087999999996</v>
      </c>
      <c r="M5230" s="1619"/>
    </row>
    <row r="5231" spans="2:13" hidden="1">
      <c r="B5231" s="1650"/>
      <c r="C5231" s="1332" t="s">
        <v>1194</v>
      </c>
      <c r="D5231" s="1331"/>
      <c r="E5231" s="1331" t="s">
        <v>773</v>
      </c>
      <c r="F5231" s="1334">
        <v>0.11</v>
      </c>
      <c r="G5231" s="1104">
        <f>DUB!$I$129</f>
        <v>155400</v>
      </c>
      <c r="H5231" s="1106">
        <f>G5231*F5231</f>
        <v>17094</v>
      </c>
      <c r="M5231" s="1619"/>
    </row>
    <row r="5232" spans="2:13" hidden="1">
      <c r="B5232" s="1650"/>
      <c r="C5232" s="1332"/>
      <c r="D5232" s="1331"/>
      <c r="E5232" s="1331"/>
      <c r="F5232" s="2090" t="s">
        <v>702</v>
      </c>
      <c r="G5232" s="2090"/>
      <c r="H5232" s="1106">
        <f>SUM(H5230:H5231)</f>
        <v>56858.087999999996</v>
      </c>
      <c r="M5232" s="1619"/>
    </row>
    <row r="5233" spans="2:13" s="496" customFormat="1" hidden="1">
      <c r="B5233" s="1649" t="s">
        <v>703</v>
      </c>
      <c r="C5233" s="2089" t="s">
        <v>3764</v>
      </c>
      <c r="D5233" s="2089"/>
      <c r="E5233" s="2089"/>
      <c r="F5233" s="2089"/>
      <c r="G5233" s="2089"/>
      <c r="H5233" s="1107">
        <f>H5228+H5232</f>
        <v>83533.087999999989</v>
      </c>
      <c r="J5233" s="1559"/>
      <c r="K5233" s="1559"/>
      <c r="L5233" s="1559"/>
      <c r="M5233" s="1614"/>
    </row>
    <row r="5234" spans="2:13" s="496" customFormat="1" hidden="1">
      <c r="B5234" s="1649" t="s">
        <v>706</v>
      </c>
      <c r="C5234" s="2076" t="s">
        <v>876</v>
      </c>
      <c r="D5234" s="2076"/>
      <c r="E5234" s="2076"/>
      <c r="F5234" s="2077" t="s">
        <v>3873</v>
      </c>
      <c r="G5234" s="2077"/>
      <c r="H5234" s="1107">
        <f>H5233*0.15</f>
        <v>12529.963199999998</v>
      </c>
      <c r="J5234" s="1559"/>
      <c r="K5234" s="1559"/>
      <c r="L5234" s="1559"/>
      <c r="M5234" s="1614"/>
    </row>
    <row r="5235" spans="2:13" s="496" customFormat="1" hidden="1">
      <c r="B5235" s="1649" t="s">
        <v>708</v>
      </c>
      <c r="C5235" s="2078" t="s">
        <v>3765</v>
      </c>
      <c r="D5235" s="2078"/>
      <c r="E5235" s="2078"/>
      <c r="F5235" s="2078"/>
      <c r="G5235" s="2078"/>
      <c r="H5235" s="1107">
        <f>ROUND(SUM(H5233:H5234),2)</f>
        <v>96063.05</v>
      </c>
      <c r="I5235" s="506">
        <f>SUM(H5233:H5234)</f>
        <v>96063.051199999987</v>
      </c>
      <c r="J5235" s="1561"/>
      <c r="K5235" s="1561"/>
      <c r="L5235" s="1559"/>
      <c r="M5235" s="1614"/>
    </row>
    <row r="5236" spans="2:13" s="535" customFormat="1" hidden="1">
      <c r="B5236" s="1715"/>
      <c r="C5236" s="1716"/>
      <c r="D5236" s="1717"/>
      <c r="E5236" s="1716"/>
      <c r="F5236" s="1718"/>
      <c r="G5236" s="1719"/>
      <c r="H5236" s="1716"/>
      <c r="J5236" s="1720"/>
      <c r="K5236" s="1720"/>
      <c r="L5236" s="1720"/>
      <c r="M5236" s="1721"/>
    </row>
    <row r="5237" spans="2:13" s="535" customFormat="1">
      <c r="B5237" s="1795"/>
      <c r="C5237" s="1796"/>
      <c r="D5237" s="1795"/>
      <c r="E5237" s="1796"/>
      <c r="F5237" s="1797"/>
      <c r="G5237" s="1798"/>
      <c r="H5237" s="1796"/>
      <c r="I5237" s="1799"/>
      <c r="J5237" s="1800"/>
      <c r="K5237" s="1800"/>
      <c r="L5237" s="1800"/>
      <c r="M5237" s="1801"/>
    </row>
    <row r="5238" spans="2:13" hidden="1">
      <c r="B5238" s="1100" t="s">
        <v>4138</v>
      </c>
      <c r="C5238" s="1232" t="s">
        <v>4447</v>
      </c>
      <c r="F5238" s="1172"/>
      <c r="G5238" s="1173"/>
      <c r="H5238" s="1133"/>
      <c r="M5238" s="1566"/>
    </row>
    <row r="5239" spans="2:13" s="507" customFormat="1" ht="24.9" hidden="1" customHeight="1">
      <c r="B5239" s="1748" t="s">
        <v>1003</v>
      </c>
      <c r="C5239" s="1101" t="s">
        <v>1004</v>
      </c>
      <c r="D5239" s="1101" t="s">
        <v>1005</v>
      </c>
      <c r="E5239" s="1101" t="s">
        <v>1006</v>
      </c>
      <c r="F5239" s="1102" t="s">
        <v>1007</v>
      </c>
      <c r="G5239" s="1109" t="s">
        <v>2637</v>
      </c>
      <c r="H5239" s="1110" t="s">
        <v>2638</v>
      </c>
      <c r="J5239" s="1625"/>
      <c r="K5239" s="1625"/>
      <c r="L5239" s="1625"/>
      <c r="M5239" s="1570"/>
    </row>
    <row r="5240" spans="2:13" hidden="1">
      <c r="B5240" s="1543" t="s">
        <v>671</v>
      </c>
      <c r="C5240" s="1332" t="s">
        <v>672</v>
      </c>
      <c r="D5240" s="1331"/>
      <c r="E5240" s="1331"/>
      <c r="F5240" s="1334"/>
      <c r="G5240" s="1104"/>
      <c r="H5240" s="1106"/>
      <c r="M5240" s="1566"/>
    </row>
    <row r="5241" spans="2:13" hidden="1">
      <c r="B5241" s="1543"/>
      <c r="C5241" s="1332" t="s">
        <v>673</v>
      </c>
      <c r="D5241" s="1331" t="s">
        <v>674</v>
      </c>
      <c r="E5241" s="1331" t="s">
        <v>675</v>
      </c>
      <c r="F5241" s="1334">
        <v>0.1</v>
      </c>
      <c r="G5241" s="1104">
        <f>DUB!$I$10</f>
        <v>150000</v>
      </c>
      <c r="H5241" s="1106">
        <f>G5241*F5241</f>
        <v>15000</v>
      </c>
      <c r="M5241" s="1566"/>
    </row>
    <row r="5242" spans="2:13" hidden="1">
      <c r="B5242" s="1543"/>
      <c r="C5242" s="1332" t="s">
        <v>871</v>
      </c>
      <c r="D5242" s="1331" t="s">
        <v>678</v>
      </c>
      <c r="E5242" s="1331" t="s">
        <v>675</v>
      </c>
      <c r="F5242" s="1334">
        <v>0.05</v>
      </c>
      <c r="G5242" s="1104">
        <f>DUB!$I$11</f>
        <v>187000</v>
      </c>
      <c r="H5242" s="1106">
        <f>G5242*F5242</f>
        <v>9350</v>
      </c>
      <c r="M5242" s="1566"/>
    </row>
    <row r="5243" spans="2:13" hidden="1">
      <c r="B5243" s="1543"/>
      <c r="C5243" s="1332" t="s">
        <v>751</v>
      </c>
      <c r="D5243" s="1331" t="s">
        <v>681</v>
      </c>
      <c r="E5243" s="1331" t="s">
        <v>675</v>
      </c>
      <c r="F5243" s="1334">
        <v>5.0000000000000001E-3</v>
      </c>
      <c r="G5243" s="1104">
        <f>DUB!$I$13</f>
        <v>240000</v>
      </c>
      <c r="H5243" s="1106">
        <f>G5243*F5243</f>
        <v>1200</v>
      </c>
      <c r="M5243" s="1566"/>
    </row>
    <row r="5244" spans="2:13" hidden="1">
      <c r="B5244" s="1543"/>
      <c r="C5244" s="1332" t="s">
        <v>683</v>
      </c>
      <c r="D5244" s="1331" t="s">
        <v>684</v>
      </c>
      <c r="E5244" s="1331" t="s">
        <v>675</v>
      </c>
      <c r="F5244" s="1334">
        <v>5.0000000000000001E-3</v>
      </c>
      <c r="G5244" s="1104">
        <f>DUB!$I$12</f>
        <v>225000</v>
      </c>
      <c r="H5244" s="1106">
        <f>G5244*F5244</f>
        <v>1125</v>
      </c>
      <c r="M5244" s="1566"/>
    </row>
    <row r="5245" spans="2:13" hidden="1">
      <c r="B5245" s="1543"/>
      <c r="C5245" s="1332"/>
      <c r="D5245" s="1331"/>
      <c r="E5245" s="1331"/>
      <c r="F5245" s="2074" t="s">
        <v>685</v>
      </c>
      <c r="G5245" s="2074"/>
      <c r="H5245" s="1106">
        <f>SUM(H5241:H5244)</f>
        <v>26675</v>
      </c>
      <c r="M5245" s="1566"/>
    </row>
    <row r="5246" spans="2:13" hidden="1">
      <c r="B5246" s="1543" t="s">
        <v>686</v>
      </c>
      <c r="C5246" s="1332" t="s">
        <v>687</v>
      </c>
      <c r="D5246" s="1331"/>
      <c r="E5246" s="1331"/>
      <c r="F5246" s="1334"/>
      <c r="G5246" s="1104"/>
      <c r="H5246" s="1106"/>
      <c r="M5246" s="1566"/>
    </row>
    <row r="5247" spans="2:13" hidden="1">
      <c r="B5247" s="1540"/>
      <c r="C5247" s="1332" t="s">
        <v>3547</v>
      </c>
      <c r="D5247" s="1331"/>
      <c r="E5247" s="1331" t="s">
        <v>888</v>
      </c>
      <c r="F5247" s="1334">
        <v>0.36399999999999999</v>
      </c>
      <c r="G5247" s="1104">
        <f>DUB!$I$92</f>
        <v>76464</v>
      </c>
      <c r="H5247" s="1106">
        <f>G5247*F5247</f>
        <v>27832.896000000001</v>
      </c>
      <c r="M5247" s="1566"/>
    </row>
    <row r="5248" spans="2:13" hidden="1">
      <c r="B5248" s="1540"/>
      <c r="C5248" s="1332" t="s">
        <v>1194</v>
      </c>
      <c r="D5248" s="1331"/>
      <c r="E5248" s="1331" t="s">
        <v>773</v>
      </c>
      <c r="F5248" s="1334">
        <v>0.11</v>
      </c>
      <c r="G5248" s="1104">
        <f>DUB!$I$129</f>
        <v>155400</v>
      </c>
      <c r="H5248" s="1106">
        <f>G5248*F5248</f>
        <v>17094</v>
      </c>
      <c r="M5248" s="1566"/>
    </row>
    <row r="5249" spans="2:13" hidden="1">
      <c r="B5249" s="1540"/>
      <c r="C5249" s="1332"/>
      <c r="D5249" s="1331"/>
      <c r="E5249" s="1331"/>
      <c r="F5249" s="2090" t="s">
        <v>702</v>
      </c>
      <c r="G5249" s="2090"/>
      <c r="H5249" s="1106">
        <f>SUM(H5247:H5248)</f>
        <v>44926.896000000001</v>
      </c>
      <c r="M5249" s="1566"/>
    </row>
    <row r="5250" spans="2:13" s="496" customFormat="1" hidden="1">
      <c r="B5250" s="1543" t="s">
        <v>703</v>
      </c>
      <c r="C5250" s="2089" t="s">
        <v>3764</v>
      </c>
      <c r="D5250" s="2089"/>
      <c r="E5250" s="2089"/>
      <c r="F5250" s="2089"/>
      <c r="G5250" s="2089"/>
      <c r="H5250" s="1107">
        <f>H5245+H5249</f>
        <v>71601.896000000008</v>
      </c>
      <c r="J5250" s="1559"/>
      <c r="K5250" s="1559"/>
      <c r="L5250" s="1559"/>
      <c r="M5250" s="1635"/>
    </row>
    <row r="5251" spans="2:13" s="496" customFormat="1" hidden="1">
      <c r="B5251" s="1543" t="s">
        <v>706</v>
      </c>
      <c r="C5251" s="2076" t="s">
        <v>876</v>
      </c>
      <c r="D5251" s="2076"/>
      <c r="E5251" s="2076"/>
      <c r="F5251" s="2077" t="s">
        <v>3873</v>
      </c>
      <c r="G5251" s="2077"/>
      <c r="H5251" s="1107">
        <f>H5250*0.15</f>
        <v>10740.2844</v>
      </c>
      <c r="J5251" s="1559"/>
      <c r="K5251" s="1559"/>
      <c r="L5251" s="1559"/>
      <c r="M5251" s="1635"/>
    </row>
    <row r="5252" spans="2:13" s="496" customFormat="1" hidden="1">
      <c r="B5252" s="1543" t="s">
        <v>708</v>
      </c>
      <c r="C5252" s="2078" t="s">
        <v>3765</v>
      </c>
      <c r="D5252" s="2078"/>
      <c r="E5252" s="2078"/>
      <c r="F5252" s="2078"/>
      <c r="G5252" s="2078"/>
      <c r="H5252" s="1107">
        <f>ROUND(SUM(H5250:H5251),2)</f>
        <v>82342.179999999993</v>
      </c>
      <c r="I5252" s="506">
        <f>SUM(H5250:H5251)</f>
        <v>82342.180400000012</v>
      </c>
      <c r="J5252" s="1561"/>
      <c r="K5252" s="1561"/>
      <c r="L5252" s="1559"/>
      <c r="M5252" s="1635"/>
    </row>
    <row r="5253" spans="2:13" s="496" customFormat="1" hidden="1">
      <c r="B5253" s="1111"/>
      <c r="C5253" s="1112"/>
      <c r="D5253" s="1111"/>
      <c r="E5253" s="1112"/>
      <c r="F5253" s="1111"/>
      <c r="G5253" s="1199"/>
      <c r="H5253" s="1176"/>
      <c r="I5253" s="525"/>
      <c r="J5253" s="1561"/>
      <c r="K5253" s="1561"/>
      <c r="L5253" s="1559"/>
      <c r="M5253" s="1635"/>
    </row>
    <row r="5254" spans="2:13" hidden="1">
      <c r="B5254" s="1100" t="s">
        <v>4693</v>
      </c>
      <c r="C5254" s="1232" t="s">
        <v>4725</v>
      </c>
      <c r="F5254" s="1172"/>
      <c r="G5254" s="1173"/>
      <c r="H5254" s="1133"/>
      <c r="M5254" s="1566"/>
    </row>
    <row r="5255" spans="2:13" s="507" customFormat="1" ht="24.9" hidden="1" customHeight="1">
      <c r="B5255" s="1748" t="s">
        <v>1003</v>
      </c>
      <c r="C5255" s="1101" t="s">
        <v>1004</v>
      </c>
      <c r="D5255" s="1101" t="s">
        <v>1005</v>
      </c>
      <c r="E5255" s="1101" t="s">
        <v>1006</v>
      </c>
      <c r="F5255" s="1102" t="s">
        <v>1007</v>
      </c>
      <c r="G5255" s="1109" t="s">
        <v>2637</v>
      </c>
      <c r="H5255" s="1110" t="s">
        <v>2638</v>
      </c>
      <c r="J5255" s="1625"/>
      <c r="K5255" s="1625"/>
      <c r="L5255" s="1625"/>
      <c r="M5255" s="1570"/>
    </row>
    <row r="5256" spans="2:13" hidden="1">
      <c r="B5256" s="1543" t="s">
        <v>671</v>
      </c>
      <c r="C5256" s="1332" t="s">
        <v>672</v>
      </c>
      <c r="D5256" s="1331"/>
      <c r="E5256" s="1331"/>
      <c r="F5256" s="1334"/>
      <c r="G5256" s="1104"/>
      <c r="H5256" s="1106"/>
      <c r="M5256" s="1566"/>
    </row>
    <row r="5257" spans="2:13" hidden="1">
      <c r="B5257" s="1543"/>
      <c r="C5257" s="1332" t="s">
        <v>673</v>
      </c>
      <c r="D5257" s="1331" t="s">
        <v>674</v>
      </c>
      <c r="E5257" s="1331" t="s">
        <v>675</v>
      </c>
      <c r="F5257" s="1334">
        <v>0.1</v>
      </c>
      <c r="G5257" s="1104">
        <f>DUB!$I$10</f>
        <v>150000</v>
      </c>
      <c r="H5257" s="1106">
        <f>G5257*F5257</f>
        <v>15000</v>
      </c>
      <c r="M5257" s="1566"/>
    </row>
    <row r="5258" spans="2:13" hidden="1">
      <c r="B5258" s="1543"/>
      <c r="C5258" s="1332" t="s">
        <v>871</v>
      </c>
      <c r="D5258" s="1331" t="s">
        <v>678</v>
      </c>
      <c r="E5258" s="1331" t="s">
        <v>675</v>
      </c>
      <c r="F5258" s="1334">
        <v>0.05</v>
      </c>
      <c r="G5258" s="1104">
        <f>DUB!$I$11</f>
        <v>187000</v>
      </c>
      <c r="H5258" s="1106">
        <f>G5258*F5258</f>
        <v>9350</v>
      </c>
      <c r="M5258" s="1566"/>
    </row>
    <row r="5259" spans="2:13" hidden="1">
      <c r="B5259" s="1543"/>
      <c r="C5259" s="1332" t="s">
        <v>751</v>
      </c>
      <c r="D5259" s="1331" t="s">
        <v>681</v>
      </c>
      <c r="E5259" s="1331" t="s">
        <v>675</v>
      </c>
      <c r="F5259" s="1334">
        <v>5.0000000000000001E-3</v>
      </c>
      <c r="G5259" s="1104">
        <f>DUB!$I$13</f>
        <v>240000</v>
      </c>
      <c r="H5259" s="1106">
        <f>G5259*F5259</f>
        <v>1200</v>
      </c>
      <c r="M5259" s="1566"/>
    </row>
    <row r="5260" spans="2:13" hidden="1">
      <c r="B5260" s="1543"/>
      <c r="C5260" s="1332" t="s">
        <v>683</v>
      </c>
      <c r="D5260" s="1331" t="s">
        <v>684</v>
      </c>
      <c r="E5260" s="1331" t="s">
        <v>675</v>
      </c>
      <c r="F5260" s="1334">
        <v>5.0000000000000001E-3</v>
      </c>
      <c r="G5260" s="1104">
        <f>DUB!$I$12</f>
        <v>225000</v>
      </c>
      <c r="H5260" s="1106">
        <f>G5260*F5260</f>
        <v>1125</v>
      </c>
      <c r="M5260" s="1566"/>
    </row>
    <row r="5261" spans="2:13" hidden="1">
      <c r="B5261" s="1543"/>
      <c r="C5261" s="1332"/>
      <c r="D5261" s="1331"/>
      <c r="E5261" s="1331"/>
      <c r="F5261" s="2074" t="s">
        <v>685</v>
      </c>
      <c r="G5261" s="2074"/>
      <c r="H5261" s="1106">
        <f>SUM(H5257:H5260)</f>
        <v>26675</v>
      </c>
      <c r="M5261" s="1566"/>
    </row>
    <row r="5262" spans="2:13" hidden="1">
      <c r="B5262" s="1543" t="s">
        <v>686</v>
      </c>
      <c r="C5262" s="1332" t="s">
        <v>687</v>
      </c>
      <c r="D5262" s="1331"/>
      <c r="E5262" s="1331"/>
      <c r="F5262" s="1334"/>
      <c r="G5262" s="1104"/>
      <c r="H5262" s="1106"/>
      <c r="M5262" s="1566"/>
    </row>
    <row r="5263" spans="2:13" hidden="1">
      <c r="B5263" s="1540"/>
      <c r="C5263" s="1332" t="s">
        <v>4694</v>
      </c>
      <c r="D5263" s="1331"/>
      <c r="E5263" s="1331" t="s">
        <v>888</v>
      </c>
      <c r="F5263" s="1334">
        <f>1.25/(1.2*2.4)</f>
        <v>0.43402777777777779</v>
      </c>
      <c r="G5263" s="1104">
        <f>DUB!I234</f>
        <v>1773576</v>
      </c>
      <c r="H5263" s="1106">
        <f>G5263*F5263</f>
        <v>769781.25</v>
      </c>
      <c r="M5263" s="1566"/>
    </row>
    <row r="5264" spans="2:13" hidden="1">
      <c r="B5264" s="1540"/>
      <c r="C5264" s="1332" t="s">
        <v>4696</v>
      </c>
      <c r="D5264" s="1331"/>
      <c r="E5264" s="1331" t="s">
        <v>773</v>
      </c>
      <c r="F5264" s="1334">
        <f>0.11+0.2</f>
        <v>0.31</v>
      </c>
      <c r="G5264" s="1104">
        <f>DUB!$I$129</f>
        <v>155400</v>
      </c>
      <c r="H5264" s="1106">
        <f>G5264*F5264</f>
        <v>48174</v>
      </c>
      <c r="M5264" s="1566"/>
    </row>
    <row r="5265" spans="2:13" hidden="1">
      <c r="B5265" s="1540"/>
      <c r="C5265" s="1332"/>
      <c r="D5265" s="1331"/>
      <c r="E5265" s="1331"/>
      <c r="F5265" s="2090" t="s">
        <v>702</v>
      </c>
      <c r="G5265" s="2090"/>
      <c r="H5265" s="1106">
        <f>SUM(H5263:H5264)</f>
        <v>817955.25</v>
      </c>
      <c r="M5265" s="1566"/>
    </row>
    <row r="5266" spans="2:13" s="496" customFormat="1" hidden="1">
      <c r="B5266" s="1543" t="s">
        <v>703</v>
      </c>
      <c r="C5266" s="2089" t="s">
        <v>3764</v>
      </c>
      <c r="D5266" s="2089"/>
      <c r="E5266" s="2089"/>
      <c r="F5266" s="2089"/>
      <c r="G5266" s="2089"/>
      <c r="H5266" s="1107">
        <f>H5261+H5265</f>
        <v>844630.25</v>
      </c>
      <c r="J5266" s="1559"/>
      <c r="K5266" s="1559"/>
      <c r="L5266" s="1559"/>
      <c r="M5266" s="1635"/>
    </row>
    <row r="5267" spans="2:13" s="496" customFormat="1" hidden="1">
      <c r="B5267" s="1543" t="s">
        <v>706</v>
      </c>
      <c r="C5267" s="2076" t="s">
        <v>876</v>
      </c>
      <c r="D5267" s="2076"/>
      <c r="E5267" s="2076"/>
      <c r="F5267" s="2077" t="s">
        <v>3873</v>
      </c>
      <c r="G5267" s="2077"/>
      <c r="H5267" s="1107">
        <f>H5266*0.15</f>
        <v>126694.53749999999</v>
      </c>
      <c r="J5267" s="1559"/>
      <c r="K5267" s="1559"/>
      <c r="L5267" s="1559"/>
      <c r="M5267" s="1635"/>
    </row>
    <row r="5268" spans="2:13" s="496" customFormat="1" hidden="1">
      <c r="B5268" s="1543" t="s">
        <v>708</v>
      </c>
      <c r="C5268" s="2078" t="s">
        <v>3765</v>
      </c>
      <c r="D5268" s="2078"/>
      <c r="E5268" s="2078"/>
      <c r="F5268" s="2078"/>
      <c r="G5268" s="2078"/>
      <c r="H5268" s="1107">
        <f>ROUND(SUM(H5266:H5267),2)</f>
        <v>971324.79</v>
      </c>
      <c r="I5268" s="506">
        <f>SUM(H5266:H5267)</f>
        <v>971324.78749999998</v>
      </c>
      <c r="J5268" s="1561"/>
      <c r="K5268" s="1561"/>
      <c r="L5268" s="1559"/>
      <c r="M5268" s="1635"/>
    </row>
    <row r="5269" spans="2:13" hidden="1">
      <c r="B5269" s="1129"/>
      <c r="C5269" s="1130"/>
      <c r="D5269" s="1129"/>
      <c r="E5269" s="1130"/>
      <c r="F5269" s="1131"/>
      <c r="G5269" s="1132"/>
      <c r="H5269" s="1115"/>
      <c r="M5269" s="1566"/>
    </row>
    <row r="5270" spans="2:13" hidden="1">
      <c r="B5270" s="1100" t="s">
        <v>4139</v>
      </c>
      <c r="C5270" s="1232" t="s">
        <v>4476</v>
      </c>
      <c r="F5270" s="1172"/>
      <c r="G5270" s="1173"/>
      <c r="H5270" s="1133"/>
      <c r="M5270" s="1566"/>
    </row>
    <row r="5271" spans="2:13" s="507" customFormat="1" ht="24.9" hidden="1" customHeight="1">
      <c r="B5271" s="1748" t="s">
        <v>1003</v>
      </c>
      <c r="C5271" s="1101" t="s">
        <v>1004</v>
      </c>
      <c r="D5271" s="1101" t="s">
        <v>1005</v>
      </c>
      <c r="E5271" s="1101" t="s">
        <v>1006</v>
      </c>
      <c r="F5271" s="1102" t="s">
        <v>1007</v>
      </c>
      <c r="G5271" s="1109" t="s">
        <v>2637</v>
      </c>
      <c r="H5271" s="1110" t="s">
        <v>2638</v>
      </c>
      <c r="J5271" s="1625"/>
      <c r="K5271" s="1625"/>
      <c r="L5271" s="1625"/>
      <c r="M5271" s="1570"/>
    </row>
    <row r="5272" spans="2:13" hidden="1">
      <c r="B5272" s="1543" t="s">
        <v>671</v>
      </c>
      <c r="C5272" s="1332" t="s">
        <v>672</v>
      </c>
      <c r="D5272" s="1331"/>
      <c r="E5272" s="1331"/>
      <c r="F5272" s="1334"/>
      <c r="G5272" s="1104"/>
      <c r="H5272" s="1106"/>
      <c r="M5272" s="1566"/>
    </row>
    <row r="5273" spans="2:13" hidden="1">
      <c r="B5273" s="1543"/>
      <c r="C5273" s="1332" t="s">
        <v>673</v>
      </c>
      <c r="D5273" s="1331" t="s">
        <v>674</v>
      </c>
      <c r="E5273" s="1331" t="s">
        <v>675</v>
      </c>
      <c r="F5273" s="1334">
        <v>0.1</v>
      </c>
      <c r="G5273" s="1104">
        <f>DUB!$I$10</f>
        <v>150000</v>
      </c>
      <c r="H5273" s="1106">
        <f>G5273*F5273</f>
        <v>15000</v>
      </c>
      <c r="M5273" s="1566"/>
    </row>
    <row r="5274" spans="2:13" hidden="1">
      <c r="B5274" s="1543"/>
      <c r="C5274" s="1332" t="s">
        <v>871</v>
      </c>
      <c r="D5274" s="1331" t="s">
        <v>678</v>
      </c>
      <c r="E5274" s="1331" t="s">
        <v>675</v>
      </c>
      <c r="F5274" s="1334">
        <v>0.05</v>
      </c>
      <c r="G5274" s="1104">
        <f>DUB!$I$11</f>
        <v>187000</v>
      </c>
      <c r="H5274" s="1106">
        <f>G5274*F5274</f>
        <v>9350</v>
      </c>
      <c r="M5274" s="1566"/>
    </row>
    <row r="5275" spans="2:13" hidden="1">
      <c r="B5275" s="1543"/>
      <c r="C5275" s="1332" t="s">
        <v>751</v>
      </c>
      <c r="D5275" s="1331" t="s">
        <v>681</v>
      </c>
      <c r="E5275" s="1331" t="s">
        <v>675</v>
      </c>
      <c r="F5275" s="1334">
        <v>5.0000000000000001E-3</v>
      </c>
      <c r="G5275" s="1104">
        <f>DUB!$I$13</f>
        <v>240000</v>
      </c>
      <c r="H5275" s="1106">
        <f>G5275*F5275</f>
        <v>1200</v>
      </c>
      <c r="M5275" s="1566"/>
    </row>
    <row r="5276" spans="2:13" hidden="1">
      <c r="B5276" s="1543"/>
      <c r="C5276" s="1332" t="s">
        <v>683</v>
      </c>
      <c r="D5276" s="1331" t="s">
        <v>684</v>
      </c>
      <c r="E5276" s="1331" t="s">
        <v>675</v>
      </c>
      <c r="F5276" s="1334">
        <v>5.0000000000000001E-3</v>
      </c>
      <c r="G5276" s="1104">
        <f>DUB!$I$12</f>
        <v>225000</v>
      </c>
      <c r="H5276" s="1106">
        <f>G5276*F5276</f>
        <v>1125</v>
      </c>
      <c r="M5276" s="1566"/>
    </row>
    <row r="5277" spans="2:13" hidden="1">
      <c r="B5277" s="1543"/>
      <c r="C5277" s="1332"/>
      <c r="D5277" s="1331"/>
      <c r="E5277" s="1331"/>
      <c r="F5277" s="2074" t="s">
        <v>685</v>
      </c>
      <c r="G5277" s="2074"/>
      <c r="H5277" s="1106">
        <f>SUM(H5273:H5276)</f>
        <v>26675</v>
      </c>
      <c r="M5277" s="1566"/>
    </row>
    <row r="5278" spans="2:13" hidden="1">
      <c r="B5278" s="1543" t="s">
        <v>686</v>
      </c>
      <c r="C5278" s="1332" t="s">
        <v>687</v>
      </c>
      <c r="D5278" s="1331"/>
      <c r="E5278" s="1331"/>
      <c r="F5278" s="1334"/>
      <c r="G5278" s="1104"/>
      <c r="H5278" s="1106"/>
      <c r="M5278" s="1566"/>
    </row>
    <row r="5279" spans="2:13" hidden="1">
      <c r="B5279" s="1543"/>
      <c r="C5279" s="1332" t="s">
        <v>3566</v>
      </c>
      <c r="D5279" s="1331"/>
      <c r="E5279" s="1331" t="s">
        <v>888</v>
      </c>
      <c r="F5279" s="1334">
        <v>0.36399999999999999</v>
      </c>
      <c r="G5279" s="1104">
        <f>DUB!I94</f>
        <v>143750</v>
      </c>
      <c r="H5279" s="1106">
        <f>G5279*F5279</f>
        <v>52325</v>
      </c>
      <c r="M5279" s="1566"/>
    </row>
    <row r="5280" spans="2:13" hidden="1">
      <c r="B5280" s="1543"/>
      <c r="C5280" s="1332" t="s">
        <v>1194</v>
      </c>
      <c r="D5280" s="1331"/>
      <c r="E5280" s="1331" t="s">
        <v>773</v>
      </c>
      <c r="F5280" s="1334">
        <v>0.11</v>
      </c>
      <c r="G5280" s="1104">
        <f>DUB!$I$129</f>
        <v>155400</v>
      </c>
      <c r="H5280" s="1106">
        <f>G5280*F5280</f>
        <v>17094</v>
      </c>
      <c r="M5280" s="1566"/>
    </row>
    <row r="5281" spans="2:13" hidden="1">
      <c r="B5281" s="1540"/>
      <c r="C5281" s="1332"/>
      <c r="D5281" s="1331"/>
      <c r="E5281" s="1331"/>
      <c r="F5281" s="2090" t="s">
        <v>702</v>
      </c>
      <c r="G5281" s="2090"/>
      <c r="H5281" s="1106">
        <f>SUM(H5279:H5280)</f>
        <v>69419</v>
      </c>
      <c r="M5281" s="1566"/>
    </row>
    <row r="5282" spans="2:13" s="496" customFormat="1" hidden="1">
      <c r="B5282" s="1543" t="s">
        <v>703</v>
      </c>
      <c r="C5282" s="2089" t="s">
        <v>3764</v>
      </c>
      <c r="D5282" s="2089"/>
      <c r="E5282" s="2089"/>
      <c r="F5282" s="2089"/>
      <c r="G5282" s="2089"/>
      <c r="H5282" s="1107">
        <f>H5277+H5281</f>
        <v>96094</v>
      </c>
      <c r="J5282" s="1559"/>
      <c r="K5282" s="1559"/>
      <c r="L5282" s="1559"/>
      <c r="M5282" s="1635"/>
    </row>
    <row r="5283" spans="2:13" s="496" customFormat="1" hidden="1">
      <c r="B5283" s="1543" t="s">
        <v>706</v>
      </c>
      <c r="C5283" s="2076" t="s">
        <v>876</v>
      </c>
      <c r="D5283" s="2076"/>
      <c r="E5283" s="2076"/>
      <c r="F5283" s="2077" t="s">
        <v>3873</v>
      </c>
      <c r="G5283" s="2077"/>
      <c r="H5283" s="1107">
        <f>H5282*0.15</f>
        <v>14414.1</v>
      </c>
      <c r="J5283" s="1559"/>
      <c r="K5283" s="1559"/>
      <c r="L5283" s="1559"/>
      <c r="M5283" s="1635"/>
    </row>
    <row r="5284" spans="2:13" s="496" customFormat="1" hidden="1">
      <c r="B5284" s="1543" t="s">
        <v>708</v>
      </c>
      <c r="C5284" s="2078" t="s">
        <v>3765</v>
      </c>
      <c r="D5284" s="2078"/>
      <c r="E5284" s="2078"/>
      <c r="F5284" s="2078"/>
      <c r="G5284" s="2078"/>
      <c r="H5284" s="1107">
        <f>ROUND(SUM(H5282:H5283),2)</f>
        <v>110508.1</v>
      </c>
      <c r="I5284" s="506">
        <f>SUM(H5282:H5283)</f>
        <v>110508.1</v>
      </c>
      <c r="J5284" s="1561"/>
      <c r="K5284" s="1561"/>
      <c r="L5284" s="1559"/>
      <c r="M5284" s="1635"/>
    </row>
    <row r="5285" spans="2:13" hidden="1">
      <c r="B5285" s="1129"/>
      <c r="C5285" s="1130"/>
      <c r="D5285" s="1129"/>
      <c r="E5285" s="1130"/>
      <c r="F5285" s="1131"/>
      <c r="G5285" s="1132"/>
      <c r="H5285" s="1242"/>
      <c r="I5285" s="526"/>
      <c r="J5285" s="1562"/>
      <c r="K5285" s="1562"/>
      <c r="M5285" s="1566"/>
    </row>
    <row r="5286" spans="2:13" hidden="1">
      <c r="B5286" s="1100" t="s">
        <v>4140</v>
      </c>
      <c r="C5286" s="1232" t="s">
        <v>4477</v>
      </c>
      <c r="F5286" s="1172"/>
      <c r="G5286" s="1173"/>
      <c r="H5286" s="1133"/>
      <c r="M5286" s="1566"/>
    </row>
    <row r="5287" spans="2:13" s="507" customFormat="1" ht="24.9" hidden="1" customHeight="1">
      <c r="B5287" s="1748" t="s">
        <v>1003</v>
      </c>
      <c r="C5287" s="1101" t="s">
        <v>1004</v>
      </c>
      <c r="D5287" s="1101" t="s">
        <v>1005</v>
      </c>
      <c r="E5287" s="1101" t="s">
        <v>1006</v>
      </c>
      <c r="F5287" s="1102" t="s">
        <v>1007</v>
      </c>
      <c r="G5287" s="1109" t="s">
        <v>2637</v>
      </c>
      <c r="H5287" s="1110" t="s">
        <v>2638</v>
      </c>
      <c r="J5287" s="1625"/>
      <c r="K5287" s="1625"/>
      <c r="L5287" s="1625"/>
      <c r="M5287" s="1570"/>
    </row>
    <row r="5288" spans="2:13" hidden="1">
      <c r="B5288" s="1543" t="s">
        <v>671</v>
      </c>
      <c r="C5288" s="1332" t="s">
        <v>672</v>
      </c>
      <c r="D5288" s="1331"/>
      <c r="E5288" s="1331"/>
      <c r="F5288" s="1334"/>
      <c r="G5288" s="1104"/>
      <c r="H5288" s="1106"/>
      <c r="M5288" s="1566"/>
    </row>
    <row r="5289" spans="2:13" hidden="1">
      <c r="B5289" s="1543"/>
      <c r="C5289" s="1332" t="s">
        <v>673</v>
      </c>
      <c r="D5289" s="1331" t="s">
        <v>674</v>
      </c>
      <c r="E5289" s="1331" t="s">
        <v>675</v>
      </c>
      <c r="F5289" s="1334">
        <f>0.28*0.5</f>
        <v>0.14000000000000001</v>
      </c>
      <c r="G5289" s="1104">
        <f>DUB!$I$10</f>
        <v>150000</v>
      </c>
      <c r="H5289" s="1106">
        <f>G5289*F5289</f>
        <v>21000.000000000004</v>
      </c>
      <c r="M5289" s="1566"/>
    </row>
    <row r="5290" spans="2:13" hidden="1">
      <c r="B5290" s="1543"/>
      <c r="C5290" s="1332" t="s">
        <v>871</v>
      </c>
      <c r="D5290" s="1331" t="s">
        <v>678</v>
      </c>
      <c r="E5290" s="1331" t="s">
        <v>675</v>
      </c>
      <c r="F5290" s="1334">
        <f>0.8*0.5</f>
        <v>0.4</v>
      </c>
      <c r="G5290" s="1104">
        <f>DUB!$I$11</f>
        <v>187000</v>
      </c>
      <c r="H5290" s="1106">
        <f>G5290*F5290</f>
        <v>74800</v>
      </c>
      <c r="M5290" s="1566"/>
    </row>
    <row r="5291" spans="2:13" hidden="1">
      <c r="B5291" s="1543"/>
      <c r="C5291" s="1332" t="s">
        <v>751</v>
      </c>
      <c r="D5291" s="1331" t="s">
        <v>681</v>
      </c>
      <c r="E5291" s="1331" t="s">
        <v>675</v>
      </c>
      <c r="F5291" s="1334">
        <f>0.08*0.5</f>
        <v>0.04</v>
      </c>
      <c r="G5291" s="1104">
        <f>DUB!$I$13</f>
        <v>240000</v>
      </c>
      <c r="H5291" s="1106">
        <f>G5291*F5291</f>
        <v>9600</v>
      </c>
      <c r="M5291" s="1566"/>
    </row>
    <row r="5292" spans="2:13" hidden="1">
      <c r="B5292" s="1543"/>
      <c r="C5292" s="1332" t="s">
        <v>683</v>
      </c>
      <c r="D5292" s="1331" t="s">
        <v>684</v>
      </c>
      <c r="E5292" s="1331" t="s">
        <v>675</v>
      </c>
      <c r="F5292" s="1334">
        <f>0.014*0.5</f>
        <v>7.0000000000000001E-3</v>
      </c>
      <c r="G5292" s="1104">
        <f>DUB!$I$12</f>
        <v>225000</v>
      </c>
      <c r="H5292" s="1106">
        <f>G5292*F5292</f>
        <v>1575</v>
      </c>
      <c r="M5292" s="1566"/>
    </row>
    <row r="5293" spans="2:13" hidden="1">
      <c r="B5293" s="1543"/>
      <c r="C5293" s="1332"/>
      <c r="D5293" s="1331"/>
      <c r="E5293" s="1331"/>
      <c r="F5293" s="2074" t="s">
        <v>685</v>
      </c>
      <c r="G5293" s="2074"/>
      <c r="H5293" s="1106">
        <f>SUM(H5289:H5292)</f>
        <v>106975</v>
      </c>
      <c r="M5293" s="1566"/>
    </row>
    <row r="5294" spans="2:13" hidden="1">
      <c r="B5294" s="1543" t="s">
        <v>686</v>
      </c>
      <c r="C5294" s="1332" t="s">
        <v>687</v>
      </c>
      <c r="D5294" s="1331"/>
      <c r="E5294" s="1331"/>
      <c r="F5294" s="1334"/>
      <c r="G5294" s="1104"/>
      <c r="H5294" s="1106"/>
      <c r="M5294" s="1566"/>
    </row>
    <row r="5295" spans="2:13" hidden="1">
      <c r="B5295" s="1543"/>
      <c r="C5295" s="1332" t="s">
        <v>3841</v>
      </c>
      <c r="D5295" s="1331"/>
      <c r="E5295" s="1331" t="s">
        <v>2646</v>
      </c>
      <c r="F5295" s="1334">
        <v>7.7000000000000002E-3</v>
      </c>
      <c r="G5295" s="1104">
        <f>DUB!$I$84</f>
        <v>6961500</v>
      </c>
      <c r="H5295" s="1106">
        <f>G5295*F5295</f>
        <v>53603.55</v>
      </c>
      <c r="M5295" s="1566"/>
    </row>
    <row r="5296" spans="2:13" hidden="1">
      <c r="B5296" s="1543"/>
      <c r="C5296" s="1332" t="s">
        <v>3842</v>
      </c>
      <c r="D5296" s="1331"/>
      <c r="E5296" s="1331" t="s">
        <v>2646</v>
      </c>
      <c r="F5296" s="1334">
        <v>2.75E-2</v>
      </c>
      <c r="G5296" s="1104">
        <f>$G$5295</f>
        <v>6961500</v>
      </c>
      <c r="H5296" s="1106">
        <f>G5296*F5296</f>
        <v>191441.25</v>
      </c>
      <c r="M5296" s="1566"/>
    </row>
    <row r="5297" spans="2:13" hidden="1">
      <c r="B5297" s="1543"/>
      <c r="C5297" s="1332" t="s">
        <v>3843</v>
      </c>
      <c r="D5297" s="1331"/>
      <c r="E5297" s="1331" t="s">
        <v>773</v>
      </c>
      <c r="F5297" s="1334">
        <v>0.25</v>
      </c>
      <c r="G5297" s="1104">
        <f>$G$5330</f>
        <v>20441.7</v>
      </c>
      <c r="H5297" s="1106">
        <f>G5297*F5297</f>
        <v>5110.4250000000002</v>
      </c>
      <c r="M5297" s="1566"/>
    </row>
    <row r="5298" spans="2:13" hidden="1">
      <c r="B5298" s="1540"/>
      <c r="C5298" s="1332"/>
      <c r="D5298" s="1331"/>
      <c r="E5298" s="1331"/>
      <c r="F5298" s="2090" t="s">
        <v>702</v>
      </c>
      <c r="G5298" s="2090"/>
      <c r="H5298" s="1106">
        <f>SUM(H5295:H5297)</f>
        <v>250155.22499999998</v>
      </c>
      <c r="M5298" s="1566"/>
    </row>
    <row r="5299" spans="2:13" s="496" customFormat="1" hidden="1">
      <c r="B5299" s="1543" t="s">
        <v>703</v>
      </c>
      <c r="C5299" s="2089" t="s">
        <v>3764</v>
      </c>
      <c r="D5299" s="2089"/>
      <c r="E5299" s="2089"/>
      <c r="F5299" s="2089"/>
      <c r="G5299" s="2089"/>
      <c r="H5299" s="1107">
        <f>H5293+H5298</f>
        <v>357130.22499999998</v>
      </c>
      <c r="J5299" s="1559"/>
      <c r="K5299" s="1559"/>
      <c r="L5299" s="1559"/>
      <c r="M5299" s="1635"/>
    </row>
    <row r="5300" spans="2:13" s="496" customFormat="1" hidden="1">
      <c r="B5300" s="1543" t="s">
        <v>706</v>
      </c>
      <c r="C5300" s="2076" t="s">
        <v>876</v>
      </c>
      <c r="D5300" s="2076"/>
      <c r="E5300" s="2076"/>
      <c r="F5300" s="2077" t="s">
        <v>3873</v>
      </c>
      <c r="G5300" s="2077"/>
      <c r="H5300" s="1107">
        <f>H5299*0.15</f>
        <v>53569.533749999995</v>
      </c>
      <c r="J5300" s="1559"/>
      <c r="K5300" s="1559"/>
      <c r="L5300" s="1559"/>
      <c r="M5300" s="1635"/>
    </row>
    <row r="5301" spans="2:13" s="496" customFormat="1" hidden="1">
      <c r="B5301" s="1543" t="s">
        <v>708</v>
      </c>
      <c r="C5301" s="2078" t="s">
        <v>3765</v>
      </c>
      <c r="D5301" s="2078"/>
      <c r="E5301" s="2078"/>
      <c r="F5301" s="2078"/>
      <c r="G5301" s="2078"/>
      <c r="H5301" s="1107">
        <f>ROUND(SUM(H5299:H5300),2)</f>
        <v>410699.76</v>
      </c>
      <c r="I5301" s="506">
        <f>SUM(H5299:H5300)</f>
        <v>410699.75874999998</v>
      </c>
      <c r="J5301" s="1561"/>
      <c r="K5301" s="1561"/>
      <c r="L5301" s="1559"/>
      <c r="M5301" s="1635"/>
    </row>
    <row r="5302" spans="2:13" hidden="1">
      <c r="B5302" s="1129"/>
      <c r="C5302" s="1130"/>
      <c r="D5302" s="1129"/>
      <c r="E5302" s="1130"/>
      <c r="F5302" s="1131"/>
      <c r="G5302" s="1132"/>
      <c r="H5302" s="1242"/>
      <c r="I5302" s="526"/>
      <c r="J5302" s="1562"/>
      <c r="K5302" s="1562"/>
      <c r="M5302" s="1566"/>
    </row>
    <row r="5303" spans="2:13" hidden="1">
      <c r="B5303" s="1100" t="s">
        <v>4141</v>
      </c>
      <c r="C5303" s="1232" t="s">
        <v>4478</v>
      </c>
      <c r="F5303" s="1172"/>
      <c r="G5303" s="1173"/>
      <c r="H5303" s="1133"/>
      <c r="I5303" s="526"/>
      <c r="J5303" s="1562"/>
      <c r="K5303" s="1562"/>
      <c r="M5303" s="1566"/>
    </row>
    <row r="5304" spans="2:13" s="507" customFormat="1" ht="24.9" hidden="1" customHeight="1">
      <c r="B5304" s="1748" t="s">
        <v>1003</v>
      </c>
      <c r="C5304" s="1101" t="s">
        <v>1004</v>
      </c>
      <c r="D5304" s="1101" t="s">
        <v>1005</v>
      </c>
      <c r="E5304" s="1101" t="s">
        <v>1006</v>
      </c>
      <c r="F5304" s="1102" t="s">
        <v>1007</v>
      </c>
      <c r="G5304" s="1109" t="s">
        <v>2637</v>
      </c>
      <c r="H5304" s="1110" t="s">
        <v>2638</v>
      </c>
      <c r="I5304" s="536"/>
      <c r="J5304" s="1570"/>
      <c r="K5304" s="1570"/>
      <c r="L5304" s="1625"/>
      <c r="M5304" s="1570"/>
    </row>
    <row r="5305" spans="2:13" hidden="1">
      <c r="B5305" s="1543" t="s">
        <v>671</v>
      </c>
      <c r="C5305" s="1332" t="s">
        <v>672</v>
      </c>
      <c r="D5305" s="1331"/>
      <c r="E5305" s="1331"/>
      <c r="F5305" s="1334"/>
      <c r="G5305" s="1104"/>
      <c r="H5305" s="1106"/>
      <c r="I5305" s="526"/>
      <c r="J5305" s="1562"/>
      <c r="K5305" s="1562"/>
      <c r="M5305" s="1566"/>
    </row>
    <row r="5306" spans="2:13" hidden="1">
      <c r="B5306" s="1543"/>
      <c r="C5306" s="1332" t="s">
        <v>673</v>
      </c>
      <c r="D5306" s="1331" t="s">
        <v>674</v>
      </c>
      <c r="E5306" s="1331" t="s">
        <v>675</v>
      </c>
      <c r="F5306" s="1334">
        <f>0.28*0.5</f>
        <v>0.14000000000000001</v>
      </c>
      <c r="G5306" s="1104">
        <f>DUB!$I$10</f>
        <v>150000</v>
      </c>
      <c r="H5306" s="1106">
        <f>G5306*F5306</f>
        <v>21000.000000000004</v>
      </c>
      <c r="I5306" s="526"/>
      <c r="J5306" s="1562"/>
      <c r="K5306" s="1562"/>
      <c r="M5306" s="1566"/>
    </row>
    <row r="5307" spans="2:13" hidden="1">
      <c r="B5307" s="1543"/>
      <c r="C5307" s="1332" t="s">
        <v>871</v>
      </c>
      <c r="D5307" s="1331" t="s">
        <v>678</v>
      </c>
      <c r="E5307" s="1331" t="s">
        <v>675</v>
      </c>
      <c r="F5307" s="1334">
        <f>0.8*0.5</f>
        <v>0.4</v>
      </c>
      <c r="G5307" s="1104">
        <f>DUB!$I$11</f>
        <v>187000</v>
      </c>
      <c r="H5307" s="1106">
        <f>G5307*F5307</f>
        <v>74800</v>
      </c>
      <c r="I5307" s="526"/>
      <c r="J5307" s="1562"/>
      <c r="K5307" s="1562"/>
      <c r="M5307" s="1566"/>
    </row>
    <row r="5308" spans="2:13" hidden="1">
      <c r="B5308" s="1543"/>
      <c r="C5308" s="1332" t="s">
        <v>751</v>
      </c>
      <c r="D5308" s="1331" t="s">
        <v>681</v>
      </c>
      <c r="E5308" s="1331" t="s">
        <v>675</v>
      </c>
      <c r="F5308" s="1334">
        <f>0.08*0.5</f>
        <v>0.04</v>
      </c>
      <c r="G5308" s="1104">
        <f>DUB!$I$13</f>
        <v>240000</v>
      </c>
      <c r="H5308" s="1106">
        <f>G5308*F5308</f>
        <v>9600</v>
      </c>
      <c r="I5308" s="526"/>
      <c r="J5308" s="1562"/>
      <c r="K5308" s="1562"/>
      <c r="M5308" s="1566"/>
    </row>
    <row r="5309" spans="2:13" hidden="1">
      <c r="B5309" s="1543"/>
      <c r="C5309" s="1332" t="s">
        <v>683</v>
      </c>
      <c r="D5309" s="1331" t="s">
        <v>684</v>
      </c>
      <c r="E5309" s="1331" t="s">
        <v>675</v>
      </c>
      <c r="F5309" s="1334">
        <f>0.014*0.5</f>
        <v>7.0000000000000001E-3</v>
      </c>
      <c r="G5309" s="1104">
        <f>DUB!$I$12</f>
        <v>225000</v>
      </c>
      <c r="H5309" s="1106">
        <f>G5309*F5309</f>
        <v>1575</v>
      </c>
      <c r="I5309" s="526"/>
      <c r="J5309" s="1562"/>
      <c r="K5309" s="1562"/>
      <c r="M5309" s="1566"/>
    </row>
    <row r="5310" spans="2:13" hidden="1">
      <c r="B5310" s="1543"/>
      <c r="C5310" s="1332"/>
      <c r="D5310" s="1331"/>
      <c r="E5310" s="1331"/>
      <c r="F5310" s="2074" t="s">
        <v>685</v>
      </c>
      <c r="G5310" s="2074"/>
      <c r="H5310" s="1106">
        <f>SUM(H5306:H5309)</f>
        <v>106975</v>
      </c>
      <c r="I5310" s="526"/>
      <c r="J5310" s="1562"/>
      <c r="K5310" s="1562"/>
      <c r="M5310" s="1566"/>
    </row>
    <row r="5311" spans="2:13" hidden="1">
      <c r="B5311" s="1543" t="s">
        <v>686</v>
      </c>
      <c r="C5311" s="1332" t="s">
        <v>687</v>
      </c>
      <c r="D5311" s="1331"/>
      <c r="E5311" s="1331"/>
      <c r="F5311" s="1334"/>
      <c r="G5311" s="1104"/>
      <c r="H5311" s="1106"/>
      <c r="I5311" s="526"/>
      <c r="J5311" s="1562"/>
      <c r="K5311" s="1562"/>
      <c r="M5311" s="1566"/>
    </row>
    <row r="5312" spans="2:13" hidden="1">
      <c r="B5312" s="1540"/>
      <c r="C5312" s="1332" t="s">
        <v>3841</v>
      </c>
      <c r="D5312" s="1331"/>
      <c r="E5312" s="1331" t="s">
        <v>2646</v>
      </c>
      <c r="F5312" s="1334">
        <v>7.7000000000000002E-3</v>
      </c>
      <c r="G5312" s="1104">
        <f>DUB!$I$85</f>
        <v>6250000</v>
      </c>
      <c r="H5312" s="1106">
        <f>G5312*F5312</f>
        <v>48125</v>
      </c>
      <c r="I5312" s="526"/>
      <c r="J5312" s="1562"/>
      <c r="K5312" s="1562"/>
      <c r="M5312" s="1566"/>
    </row>
    <row r="5313" spans="2:13" hidden="1">
      <c r="B5313" s="1540"/>
      <c r="C5313" s="1332" t="s">
        <v>3842</v>
      </c>
      <c r="D5313" s="1331"/>
      <c r="E5313" s="1331" t="s">
        <v>2646</v>
      </c>
      <c r="F5313" s="1334">
        <v>2.75E-2</v>
      </c>
      <c r="G5313" s="1104">
        <f>$G$5312</f>
        <v>6250000</v>
      </c>
      <c r="H5313" s="1106">
        <f>G5313*F5313</f>
        <v>171875</v>
      </c>
      <c r="I5313" s="526"/>
      <c r="J5313" s="1562"/>
      <c r="K5313" s="1562"/>
      <c r="M5313" s="1566"/>
    </row>
    <row r="5314" spans="2:13" hidden="1">
      <c r="B5314" s="1540"/>
      <c r="C5314" s="1332" t="s">
        <v>3843</v>
      </c>
      <c r="D5314" s="1331"/>
      <c r="E5314" s="1331" t="s">
        <v>773</v>
      </c>
      <c r="F5314" s="1334">
        <v>0.25</v>
      </c>
      <c r="G5314" s="1104">
        <f>$G$5330</f>
        <v>20441.7</v>
      </c>
      <c r="H5314" s="1106">
        <f>G5314*F5314</f>
        <v>5110.4250000000002</v>
      </c>
      <c r="I5314" s="526"/>
      <c r="J5314" s="1562"/>
      <c r="K5314" s="1562"/>
      <c r="M5314" s="1566"/>
    </row>
    <row r="5315" spans="2:13" hidden="1">
      <c r="B5315" s="1540"/>
      <c r="C5315" s="1332"/>
      <c r="D5315" s="1331"/>
      <c r="E5315" s="1331"/>
      <c r="F5315" s="2090" t="s">
        <v>702</v>
      </c>
      <c r="G5315" s="2090"/>
      <c r="H5315" s="1106">
        <f>SUM(H5312:H5314)</f>
        <v>225110.42499999999</v>
      </c>
      <c r="I5315" s="526"/>
      <c r="J5315" s="1562"/>
      <c r="K5315" s="1562"/>
      <c r="M5315" s="1566"/>
    </row>
    <row r="5316" spans="2:13" s="496" customFormat="1" hidden="1">
      <c r="B5316" s="1543" t="s">
        <v>703</v>
      </c>
      <c r="C5316" s="2089" t="s">
        <v>3764</v>
      </c>
      <c r="D5316" s="2089"/>
      <c r="E5316" s="2089"/>
      <c r="F5316" s="2089"/>
      <c r="G5316" s="2089"/>
      <c r="H5316" s="1107">
        <f>H5310+H5315</f>
        <v>332085.42499999999</v>
      </c>
      <c r="I5316" s="525"/>
      <c r="J5316" s="1561"/>
      <c r="K5316" s="1561"/>
      <c r="L5316" s="1559"/>
      <c r="M5316" s="1635"/>
    </row>
    <row r="5317" spans="2:13" s="496" customFormat="1" hidden="1">
      <c r="B5317" s="1543" t="s">
        <v>706</v>
      </c>
      <c r="C5317" s="2076" t="s">
        <v>876</v>
      </c>
      <c r="D5317" s="2076"/>
      <c r="E5317" s="2076"/>
      <c r="F5317" s="2077" t="s">
        <v>3873</v>
      </c>
      <c r="G5317" s="2077"/>
      <c r="H5317" s="1107">
        <f>H5316*0.15</f>
        <v>49812.813749999994</v>
      </c>
      <c r="I5317" s="525"/>
      <c r="J5317" s="1561"/>
      <c r="K5317" s="1561"/>
      <c r="L5317" s="1559"/>
      <c r="M5317" s="1635"/>
    </row>
    <row r="5318" spans="2:13" s="496" customFormat="1" hidden="1">
      <c r="B5318" s="1543" t="s">
        <v>708</v>
      </c>
      <c r="C5318" s="2078" t="s">
        <v>3765</v>
      </c>
      <c r="D5318" s="2078"/>
      <c r="E5318" s="2078"/>
      <c r="F5318" s="2078"/>
      <c r="G5318" s="2078"/>
      <c r="H5318" s="1107">
        <f>ROUND(SUM(H5316:H5317),2)</f>
        <v>381898.23999999999</v>
      </c>
      <c r="I5318" s="506">
        <f>SUM(H5316:H5317)</f>
        <v>381898.23874999996</v>
      </c>
      <c r="J5318" s="1561"/>
      <c r="K5318" s="1561"/>
      <c r="L5318" s="1559"/>
      <c r="M5318" s="1635"/>
    </row>
    <row r="5319" spans="2:13" hidden="1">
      <c r="B5319" s="1129"/>
      <c r="C5319" s="1130"/>
      <c r="D5319" s="1129"/>
      <c r="E5319" s="1130"/>
      <c r="F5319" s="1131"/>
      <c r="G5319" s="1132"/>
      <c r="H5319" s="1242"/>
      <c r="I5319" s="526"/>
      <c r="J5319" s="1562"/>
      <c r="K5319" s="1562"/>
      <c r="M5319" s="1566"/>
    </row>
    <row r="5320" spans="2:13" hidden="1">
      <c r="B5320" s="1100" t="s">
        <v>4142</v>
      </c>
      <c r="C5320" s="1232" t="s">
        <v>3543</v>
      </c>
      <c r="F5320" s="1172"/>
      <c r="G5320" s="1173"/>
      <c r="H5320" s="1133"/>
      <c r="M5320" s="1566"/>
    </row>
    <row r="5321" spans="2:13" s="507" customFormat="1" ht="24.9" hidden="1" customHeight="1">
      <c r="B5321" s="1748" t="s">
        <v>1003</v>
      </c>
      <c r="C5321" s="1101" t="s">
        <v>1004</v>
      </c>
      <c r="D5321" s="1101" t="s">
        <v>1005</v>
      </c>
      <c r="E5321" s="1101" t="s">
        <v>1006</v>
      </c>
      <c r="F5321" s="1102" t="s">
        <v>1007</v>
      </c>
      <c r="G5321" s="1109" t="s">
        <v>2637</v>
      </c>
      <c r="H5321" s="1110" t="s">
        <v>2638</v>
      </c>
      <c r="J5321" s="1625"/>
      <c r="K5321" s="1625"/>
      <c r="L5321" s="1625"/>
      <c r="M5321" s="1570"/>
    </row>
    <row r="5322" spans="2:13" hidden="1">
      <c r="B5322" s="1543" t="s">
        <v>671</v>
      </c>
      <c r="C5322" s="1332" t="s">
        <v>672</v>
      </c>
      <c r="D5322" s="1331"/>
      <c r="E5322" s="1331"/>
      <c r="F5322" s="1334"/>
      <c r="G5322" s="1104"/>
      <c r="H5322" s="1106"/>
      <c r="M5322" s="1566"/>
    </row>
    <row r="5323" spans="2:13" hidden="1">
      <c r="B5323" s="1543"/>
      <c r="C5323" s="1332" t="s">
        <v>673</v>
      </c>
      <c r="D5323" s="1331" t="s">
        <v>674</v>
      </c>
      <c r="E5323" s="1331" t="s">
        <v>675</v>
      </c>
      <c r="F5323" s="1334">
        <v>0.15</v>
      </c>
      <c r="G5323" s="1104">
        <f>DUB!$I$10</f>
        <v>150000</v>
      </c>
      <c r="H5323" s="1106">
        <f>G5323*F5323</f>
        <v>22500</v>
      </c>
      <c r="M5323" s="1566"/>
    </row>
    <row r="5324" spans="2:13" hidden="1">
      <c r="B5324" s="1543"/>
      <c r="C5324" s="1332" t="s">
        <v>871</v>
      </c>
      <c r="D5324" s="1331" t="s">
        <v>678</v>
      </c>
      <c r="E5324" s="1331" t="s">
        <v>675</v>
      </c>
      <c r="F5324" s="1334">
        <v>0.45</v>
      </c>
      <c r="G5324" s="1104">
        <f>DUB!$I$11</f>
        <v>187000</v>
      </c>
      <c r="H5324" s="1106">
        <f>G5324*F5324</f>
        <v>84150</v>
      </c>
      <c r="M5324" s="1566"/>
    </row>
    <row r="5325" spans="2:13" hidden="1">
      <c r="B5325" s="1543"/>
      <c r="C5325" s="1332" t="s">
        <v>751</v>
      </c>
      <c r="D5325" s="1331" t="s">
        <v>681</v>
      </c>
      <c r="E5325" s="1331" t="s">
        <v>675</v>
      </c>
      <c r="F5325" s="1334">
        <v>4.4999999999999998E-2</v>
      </c>
      <c r="G5325" s="1104">
        <f>DUB!$I$13</f>
        <v>240000</v>
      </c>
      <c r="H5325" s="1106">
        <f>G5325*F5325</f>
        <v>10800</v>
      </c>
      <c r="M5325" s="1566"/>
    </row>
    <row r="5326" spans="2:13" hidden="1">
      <c r="B5326" s="1543"/>
      <c r="C5326" s="1332" t="s">
        <v>683</v>
      </c>
      <c r="D5326" s="1331" t="s">
        <v>684</v>
      </c>
      <c r="E5326" s="1331" t="s">
        <v>675</v>
      </c>
      <c r="F5326" s="1334">
        <v>8.0000000000000002E-3</v>
      </c>
      <c r="G5326" s="1104">
        <f>DUB!$I$12</f>
        <v>225000</v>
      </c>
      <c r="H5326" s="1106">
        <f>G5326*F5326</f>
        <v>1800</v>
      </c>
      <c r="M5326" s="1566"/>
    </row>
    <row r="5327" spans="2:13" hidden="1">
      <c r="B5327" s="1543"/>
      <c r="C5327" s="1332"/>
      <c r="D5327" s="1331"/>
      <c r="E5327" s="1331"/>
      <c r="F5327" s="2074" t="s">
        <v>685</v>
      </c>
      <c r="G5327" s="2074"/>
      <c r="H5327" s="1106">
        <f>SUM(H5323:H5326)</f>
        <v>119250</v>
      </c>
      <c r="M5327" s="1566"/>
    </row>
    <row r="5328" spans="2:13" hidden="1">
      <c r="B5328" s="1543" t="s">
        <v>686</v>
      </c>
      <c r="C5328" s="1332" t="s">
        <v>687</v>
      </c>
      <c r="D5328" s="1331"/>
      <c r="E5328" s="1331"/>
      <c r="F5328" s="1334"/>
      <c r="G5328" s="1104"/>
      <c r="H5328" s="1106"/>
      <c r="M5328" s="1566"/>
    </row>
    <row r="5329" spans="2:13" hidden="1">
      <c r="B5329" s="1543"/>
      <c r="C5329" s="1332" t="s">
        <v>2658</v>
      </c>
      <c r="D5329" s="1331"/>
      <c r="E5329" s="1331" t="s">
        <v>2646</v>
      </c>
      <c r="F5329" s="1334">
        <v>2.8000000000000001E-2</v>
      </c>
      <c r="G5329" s="1104">
        <f>DUB!$I$85</f>
        <v>6250000</v>
      </c>
      <c r="H5329" s="1106">
        <f>G5329*F5329</f>
        <v>175000</v>
      </c>
      <c r="M5329" s="1566"/>
    </row>
    <row r="5330" spans="2:13" hidden="1">
      <c r="B5330" s="1543"/>
      <c r="C5330" s="1332" t="s">
        <v>1316</v>
      </c>
      <c r="D5330" s="1331"/>
      <c r="E5330" s="1331" t="s">
        <v>773</v>
      </c>
      <c r="F5330" s="1334">
        <v>0.15</v>
      </c>
      <c r="G5330" s="1136">
        <f>DUB!$I$128</f>
        <v>20441.7</v>
      </c>
      <c r="H5330" s="1106">
        <f>G5330*F5330</f>
        <v>3066.2550000000001</v>
      </c>
      <c r="M5330" s="1566"/>
    </row>
    <row r="5331" spans="2:13" hidden="1">
      <c r="B5331" s="1540"/>
      <c r="C5331" s="1126" t="s">
        <v>4448</v>
      </c>
      <c r="D5331" s="1331"/>
      <c r="E5331" s="1187" t="s">
        <v>888</v>
      </c>
      <c r="F5331" s="1179">
        <v>0.86</v>
      </c>
      <c r="G5331" s="1104">
        <f>DUB!$I$92</f>
        <v>76464</v>
      </c>
      <c r="H5331" s="1106">
        <f>G5331*F5331</f>
        <v>65759.039999999994</v>
      </c>
      <c r="M5331" s="1566"/>
    </row>
    <row r="5332" spans="2:13" hidden="1">
      <c r="B5332" s="1540"/>
      <c r="C5332" s="1332" t="s">
        <v>1268</v>
      </c>
      <c r="D5332" s="1331"/>
      <c r="E5332" s="1331" t="s">
        <v>773</v>
      </c>
      <c r="F5332" s="1334">
        <v>0.56000000000000005</v>
      </c>
      <c r="G5332" s="1104">
        <f>DUB!$I$87</f>
        <v>16380</v>
      </c>
      <c r="H5332" s="1106">
        <f>G5332*F5332</f>
        <v>9172.8000000000011</v>
      </c>
      <c r="M5332" s="1566"/>
    </row>
    <row r="5333" spans="2:13" hidden="1">
      <c r="B5333" s="1540"/>
      <c r="C5333" s="1332"/>
      <c r="D5333" s="1331"/>
      <c r="E5333" s="1331"/>
      <c r="F5333" s="2090" t="s">
        <v>702</v>
      </c>
      <c r="G5333" s="2090"/>
      <c r="H5333" s="1106">
        <f>SUM(H5329:H5332)</f>
        <v>252998.09499999997</v>
      </c>
      <c r="M5333" s="1566"/>
    </row>
    <row r="5334" spans="2:13" s="496" customFormat="1" hidden="1">
      <c r="B5334" s="1543" t="s">
        <v>703</v>
      </c>
      <c r="C5334" s="2089" t="s">
        <v>3764</v>
      </c>
      <c r="D5334" s="2089"/>
      <c r="E5334" s="2089"/>
      <c r="F5334" s="2089"/>
      <c r="G5334" s="2089"/>
      <c r="H5334" s="1107">
        <f>H5327+H5333</f>
        <v>372248.09499999997</v>
      </c>
      <c r="J5334" s="1559"/>
      <c r="K5334" s="1559"/>
      <c r="L5334" s="1559"/>
      <c r="M5334" s="1635"/>
    </row>
    <row r="5335" spans="2:13" s="496" customFormat="1" hidden="1">
      <c r="B5335" s="1543" t="s">
        <v>706</v>
      </c>
      <c r="C5335" s="2076" t="s">
        <v>876</v>
      </c>
      <c r="D5335" s="2076"/>
      <c r="E5335" s="2076"/>
      <c r="F5335" s="2077" t="s">
        <v>3873</v>
      </c>
      <c r="G5335" s="2077"/>
      <c r="H5335" s="1107">
        <f>H5334*0.15</f>
        <v>55837.214249999997</v>
      </c>
      <c r="J5335" s="1559"/>
      <c r="K5335" s="1559"/>
      <c r="L5335" s="1559"/>
      <c r="M5335" s="1635"/>
    </row>
    <row r="5336" spans="2:13" s="496" customFormat="1" hidden="1">
      <c r="B5336" s="1543" t="s">
        <v>708</v>
      </c>
      <c r="C5336" s="2078" t="s">
        <v>3765</v>
      </c>
      <c r="D5336" s="2078"/>
      <c r="E5336" s="2078"/>
      <c r="F5336" s="2078"/>
      <c r="G5336" s="2078"/>
      <c r="H5336" s="1107">
        <f>ROUND(SUM(H5334:H5335),2)</f>
        <v>428085.31</v>
      </c>
      <c r="I5336" s="506">
        <f>SUM(H5334:H5335)</f>
        <v>428085.30924999999</v>
      </c>
      <c r="J5336" s="1561"/>
      <c r="K5336" s="1561"/>
      <c r="L5336" s="1559"/>
      <c r="M5336" s="1635"/>
    </row>
    <row r="5337" spans="2:13" hidden="1">
      <c r="B5337" s="1143"/>
      <c r="C5337" s="1144"/>
      <c r="D5337" s="1143"/>
      <c r="E5337" s="1143"/>
      <c r="F5337" s="1145"/>
      <c r="G5337" s="1146"/>
      <c r="H5337" s="1147"/>
      <c r="M5337" s="1566"/>
    </row>
    <row r="5338" spans="2:13" hidden="1">
      <c r="B5338" s="1100" t="s">
        <v>4143</v>
      </c>
      <c r="C5338" s="1112" t="s">
        <v>4449</v>
      </c>
      <c r="D5338" s="1129"/>
      <c r="E5338" s="1129"/>
      <c r="F5338" s="1131"/>
      <c r="G5338" s="1132"/>
      <c r="H5338" s="1115"/>
      <c r="M5338" s="1566"/>
    </row>
    <row r="5339" spans="2:13" s="507" customFormat="1" ht="24.9" hidden="1" customHeight="1">
      <c r="B5339" s="1748" t="s">
        <v>1003</v>
      </c>
      <c r="C5339" s="1116" t="s">
        <v>1004</v>
      </c>
      <c r="D5339" s="1101" t="s">
        <v>1005</v>
      </c>
      <c r="E5339" s="1101" t="s">
        <v>1006</v>
      </c>
      <c r="F5339" s="1102" t="s">
        <v>1007</v>
      </c>
      <c r="G5339" s="1109" t="s">
        <v>2637</v>
      </c>
      <c r="H5339" s="1110" t="s">
        <v>2638</v>
      </c>
      <c r="J5339" s="1625"/>
      <c r="K5339" s="1625"/>
      <c r="L5339" s="1625"/>
      <c r="M5339" s="1570"/>
    </row>
    <row r="5340" spans="2:13" hidden="1">
      <c r="B5340" s="1543" t="s">
        <v>671</v>
      </c>
      <c r="C5340" s="1118" t="s">
        <v>672</v>
      </c>
      <c r="D5340" s="1331"/>
      <c r="E5340" s="1331"/>
      <c r="F5340" s="1334"/>
      <c r="G5340" s="1104"/>
      <c r="H5340" s="1106"/>
      <c r="M5340" s="1566"/>
    </row>
    <row r="5341" spans="2:13" hidden="1">
      <c r="B5341" s="1543"/>
      <c r="C5341" s="1118" t="s">
        <v>673</v>
      </c>
      <c r="D5341" s="1331" t="s">
        <v>674</v>
      </c>
      <c r="E5341" s="1331" t="s">
        <v>675</v>
      </c>
      <c r="F5341" s="1334">
        <v>0.2</v>
      </c>
      <c r="G5341" s="1104">
        <f>DUB!$I$10</f>
        <v>150000</v>
      </c>
      <c r="H5341" s="1106">
        <f>G5341*F5341</f>
        <v>30000</v>
      </c>
      <c r="M5341" s="1566"/>
    </row>
    <row r="5342" spans="2:13" hidden="1">
      <c r="B5342" s="1543"/>
      <c r="C5342" s="1118" t="s">
        <v>871</v>
      </c>
      <c r="D5342" s="1331" t="s">
        <v>678</v>
      </c>
      <c r="E5342" s="1331" t="s">
        <v>675</v>
      </c>
      <c r="F5342" s="1334">
        <v>0.6</v>
      </c>
      <c r="G5342" s="1104">
        <f>DUB!$I$11</f>
        <v>187000</v>
      </c>
      <c r="H5342" s="1106">
        <f>G5342*F5342</f>
        <v>112200</v>
      </c>
      <c r="M5342" s="1566"/>
    </row>
    <row r="5343" spans="2:13" hidden="1">
      <c r="B5343" s="1543"/>
      <c r="C5343" s="1118" t="s">
        <v>751</v>
      </c>
      <c r="D5343" s="1331" t="s">
        <v>681</v>
      </c>
      <c r="E5343" s="1331" t="s">
        <v>675</v>
      </c>
      <c r="F5343" s="1334">
        <v>0.06</v>
      </c>
      <c r="G5343" s="1104">
        <f>DUB!$I$13</f>
        <v>240000</v>
      </c>
      <c r="H5343" s="1106">
        <f>G5343*F5343</f>
        <v>14400</v>
      </c>
      <c r="M5343" s="1566"/>
    </row>
    <row r="5344" spans="2:13" hidden="1">
      <c r="B5344" s="1543"/>
      <c r="C5344" s="1118" t="s">
        <v>683</v>
      </c>
      <c r="D5344" s="1331" t="s">
        <v>684</v>
      </c>
      <c r="E5344" s="1331" t="s">
        <v>675</v>
      </c>
      <c r="F5344" s="1334">
        <v>0.01</v>
      </c>
      <c r="G5344" s="1104">
        <f>DUB!$I$12</f>
        <v>225000</v>
      </c>
      <c r="H5344" s="1106">
        <f>G5344*F5344</f>
        <v>2250</v>
      </c>
      <c r="M5344" s="1566"/>
    </row>
    <row r="5345" spans="2:13" hidden="1">
      <c r="B5345" s="1543"/>
      <c r="C5345" s="1118"/>
      <c r="D5345" s="1331"/>
      <c r="E5345" s="1331"/>
      <c r="F5345" s="2080" t="s">
        <v>685</v>
      </c>
      <c r="G5345" s="2081"/>
      <c r="H5345" s="1106">
        <f>SUM(H5341:H5344)</f>
        <v>158850</v>
      </c>
      <c r="M5345" s="1566"/>
    </row>
    <row r="5346" spans="2:13" hidden="1">
      <c r="B5346" s="1543" t="s">
        <v>686</v>
      </c>
      <c r="C5346" s="1118" t="s">
        <v>687</v>
      </c>
      <c r="D5346" s="1331"/>
      <c r="E5346" s="1331"/>
      <c r="F5346" s="1334"/>
      <c r="G5346" s="1104"/>
      <c r="H5346" s="1106"/>
      <c r="M5346" s="1566"/>
    </row>
    <row r="5347" spans="2:13" hidden="1">
      <c r="B5347" s="1543"/>
      <c r="C5347" s="1118" t="s">
        <v>2659</v>
      </c>
      <c r="D5347" s="1331"/>
      <c r="E5347" s="1187" t="s">
        <v>2646</v>
      </c>
      <c r="F5347" s="1179">
        <v>2.8000000000000001E-2</v>
      </c>
      <c r="G5347" s="1104">
        <f>DUB!$I$85</f>
        <v>6250000</v>
      </c>
      <c r="H5347" s="1106">
        <f>G5347*F5347</f>
        <v>175000</v>
      </c>
      <c r="M5347" s="1566"/>
    </row>
    <row r="5348" spans="2:13" hidden="1">
      <c r="B5348" s="1543"/>
      <c r="C5348" s="1118" t="s">
        <v>2644</v>
      </c>
      <c r="D5348" s="1331"/>
      <c r="E5348" s="1187" t="s">
        <v>773</v>
      </c>
      <c r="F5348" s="1334">
        <v>0.15</v>
      </c>
      <c r="G5348" s="1136">
        <f>DUB!$I$128</f>
        <v>20441.7</v>
      </c>
      <c r="H5348" s="1106">
        <f>G5348*F5348</f>
        <v>3066.2550000000001</v>
      </c>
      <c r="M5348" s="1566"/>
    </row>
    <row r="5349" spans="2:13" hidden="1">
      <c r="B5349" s="1543"/>
      <c r="C5349" s="1243" t="s">
        <v>3368</v>
      </c>
      <c r="D5349" s="1331"/>
      <c r="E5349" s="1187" t="s">
        <v>888</v>
      </c>
      <c r="F5349" s="1179">
        <v>0.86</v>
      </c>
      <c r="G5349" s="1104">
        <f>DUB!$I$92</f>
        <v>76464</v>
      </c>
      <c r="H5349" s="1106">
        <f>G5349*F5349</f>
        <v>65759.039999999994</v>
      </c>
      <c r="M5349" s="1566"/>
    </row>
    <row r="5350" spans="2:13" hidden="1">
      <c r="B5350" s="1540"/>
      <c r="C5350" s="1118" t="s">
        <v>1268</v>
      </c>
      <c r="D5350" s="1331"/>
      <c r="E5350" s="1331" t="s">
        <v>773</v>
      </c>
      <c r="F5350" s="1334">
        <v>0.56000000000000005</v>
      </c>
      <c r="G5350" s="1104">
        <f>DUB!$I$87</f>
        <v>16380</v>
      </c>
      <c r="H5350" s="1106">
        <f>G5350*F5350</f>
        <v>9172.8000000000011</v>
      </c>
      <c r="M5350" s="1566"/>
    </row>
    <row r="5351" spans="2:13" hidden="1">
      <c r="B5351" s="1540"/>
      <c r="C5351" s="1118"/>
      <c r="D5351" s="1331"/>
      <c r="E5351" s="1331"/>
      <c r="F5351" s="2080" t="s">
        <v>702</v>
      </c>
      <c r="G5351" s="2081"/>
      <c r="H5351" s="1106">
        <f>SUM(H5347:H5350)</f>
        <v>252998.09499999997</v>
      </c>
      <c r="M5351" s="1566"/>
    </row>
    <row r="5352" spans="2:13" s="496" customFormat="1" hidden="1">
      <c r="B5352" s="1543" t="s">
        <v>703</v>
      </c>
      <c r="C5352" s="1117" t="s">
        <v>3764</v>
      </c>
      <c r="D5352" s="1120"/>
      <c r="E5352" s="1120"/>
      <c r="F5352" s="1121"/>
      <c r="G5352" s="1141"/>
      <c r="H5352" s="1107">
        <f>H5345+H5351</f>
        <v>411848.09499999997</v>
      </c>
      <c r="J5352" s="1559"/>
      <c r="K5352" s="1559"/>
      <c r="L5352" s="1559"/>
      <c r="M5352" s="1635"/>
    </row>
    <row r="5353" spans="2:13" s="496" customFormat="1" hidden="1">
      <c r="B5353" s="1543" t="s">
        <v>706</v>
      </c>
      <c r="C5353" s="1123" t="s">
        <v>876</v>
      </c>
      <c r="D5353" s="1124"/>
      <c r="E5353" s="1154"/>
      <c r="F5353" s="1545" t="s">
        <v>3873</v>
      </c>
      <c r="G5353" s="1141"/>
      <c r="H5353" s="1107">
        <f>H5352*0.15</f>
        <v>61777.21424999999</v>
      </c>
      <c r="J5353" s="1559"/>
      <c r="K5353" s="1559"/>
      <c r="L5353" s="1559"/>
      <c r="M5353" s="1635"/>
    </row>
    <row r="5354" spans="2:13" s="496" customFormat="1" hidden="1">
      <c r="B5354" s="1543" t="s">
        <v>708</v>
      </c>
      <c r="C5354" s="1117" t="s">
        <v>3765</v>
      </c>
      <c r="D5354" s="1120"/>
      <c r="E5354" s="1120"/>
      <c r="F5354" s="1121"/>
      <c r="G5354" s="1141"/>
      <c r="H5354" s="1107">
        <f>ROUND(SUM(H5352:H5353),2)</f>
        <v>473625.31</v>
      </c>
      <c r="I5354" s="506">
        <f>SUM(H5352:H5353)</f>
        <v>473625.30924999993</v>
      </c>
      <c r="J5354" s="1561"/>
      <c r="K5354" s="1561"/>
      <c r="L5354" s="1559"/>
      <c r="M5354" s="1635"/>
    </row>
    <row r="5355" spans="2:13" hidden="1">
      <c r="F5355" s="1172"/>
      <c r="G5355" s="1173"/>
      <c r="H5355" s="1133"/>
      <c r="M5355" s="1566"/>
    </row>
    <row r="5356" spans="2:13" hidden="1">
      <c r="B5356" s="1100" t="s">
        <v>4144</v>
      </c>
      <c r="C5356" s="1232" t="s">
        <v>3442</v>
      </c>
      <c r="F5356" s="1172"/>
      <c r="G5356" s="1173"/>
      <c r="H5356" s="1133"/>
      <c r="M5356" s="1566"/>
    </row>
    <row r="5357" spans="2:13" s="507" customFormat="1" ht="24.9" hidden="1" customHeight="1">
      <c r="B5357" s="1748" t="s">
        <v>1003</v>
      </c>
      <c r="C5357" s="1101" t="s">
        <v>1004</v>
      </c>
      <c r="D5357" s="1101" t="s">
        <v>1005</v>
      </c>
      <c r="E5357" s="1116" t="s">
        <v>1006</v>
      </c>
      <c r="F5357" s="1139" t="s">
        <v>1007</v>
      </c>
      <c r="G5357" s="1109" t="s">
        <v>2637</v>
      </c>
      <c r="H5357" s="1110" t="s">
        <v>2638</v>
      </c>
      <c r="J5357" s="1625"/>
      <c r="K5357" s="1625"/>
      <c r="L5357" s="1625"/>
      <c r="M5357" s="1570"/>
    </row>
    <row r="5358" spans="2:13" hidden="1">
      <c r="B5358" s="1543" t="s">
        <v>671</v>
      </c>
      <c r="C5358" s="1332" t="s">
        <v>672</v>
      </c>
      <c r="D5358" s="1331"/>
      <c r="E5358" s="1539"/>
      <c r="F5358" s="1532"/>
      <c r="G5358" s="1104"/>
      <c r="H5358" s="1106"/>
      <c r="M5358" s="1566"/>
    </row>
    <row r="5359" spans="2:13" hidden="1">
      <c r="B5359" s="1543"/>
      <c r="C5359" s="1332" t="s">
        <v>673</v>
      </c>
      <c r="D5359" s="1331" t="s">
        <v>674</v>
      </c>
      <c r="E5359" s="1539" t="s">
        <v>675</v>
      </c>
      <c r="F5359" s="1532">
        <v>0.6</v>
      </c>
      <c r="G5359" s="1104">
        <f>DUB!$I$10</f>
        <v>150000</v>
      </c>
      <c r="H5359" s="1106">
        <f>G5359*F5359</f>
        <v>90000</v>
      </c>
      <c r="M5359" s="1566"/>
    </row>
    <row r="5360" spans="2:13" hidden="1">
      <c r="B5360" s="1543"/>
      <c r="C5360" s="1332" t="s">
        <v>871</v>
      </c>
      <c r="D5360" s="1331" t="s">
        <v>678</v>
      </c>
      <c r="E5360" s="1539" t="s">
        <v>675</v>
      </c>
      <c r="F5360" s="1532">
        <v>1.8</v>
      </c>
      <c r="G5360" s="1104">
        <f>DUB!$I$11</f>
        <v>187000</v>
      </c>
      <c r="H5360" s="1106">
        <f>G5360*F5360</f>
        <v>336600</v>
      </c>
      <c r="M5360" s="1566"/>
    </row>
    <row r="5361" spans="2:13" hidden="1">
      <c r="B5361" s="1543"/>
      <c r="C5361" s="1332" t="s">
        <v>751</v>
      </c>
      <c r="D5361" s="1331" t="s">
        <v>681</v>
      </c>
      <c r="E5361" s="1539" t="s">
        <v>675</v>
      </c>
      <c r="F5361" s="1532">
        <v>0.18</v>
      </c>
      <c r="G5361" s="1104">
        <f>DUB!$I$13</f>
        <v>240000</v>
      </c>
      <c r="H5361" s="1106">
        <f>G5361*F5361</f>
        <v>43200</v>
      </c>
      <c r="M5361" s="1566"/>
    </row>
    <row r="5362" spans="2:13" hidden="1">
      <c r="B5362" s="1543"/>
      <c r="C5362" s="1332" t="s">
        <v>683</v>
      </c>
      <c r="D5362" s="1331" t="s">
        <v>684</v>
      </c>
      <c r="E5362" s="1539" t="s">
        <v>675</v>
      </c>
      <c r="F5362" s="1532">
        <v>0.03</v>
      </c>
      <c r="G5362" s="1104">
        <f>DUB!$I$12</f>
        <v>225000</v>
      </c>
      <c r="H5362" s="1106">
        <f>G5362*F5362</f>
        <v>6750</v>
      </c>
      <c r="M5362" s="1566"/>
    </row>
    <row r="5363" spans="2:13" hidden="1">
      <c r="B5363" s="1543"/>
      <c r="C5363" s="1332"/>
      <c r="D5363" s="1331"/>
      <c r="E5363" s="1539"/>
      <c r="F5363" s="2080" t="s">
        <v>685</v>
      </c>
      <c r="G5363" s="2081"/>
      <c r="H5363" s="1106">
        <f>SUM(H5359:H5362)</f>
        <v>476550</v>
      </c>
      <c r="M5363" s="1566"/>
    </row>
    <row r="5364" spans="2:13" hidden="1">
      <c r="B5364" s="1543" t="s">
        <v>686</v>
      </c>
      <c r="C5364" s="1332" t="s">
        <v>687</v>
      </c>
      <c r="D5364" s="1331"/>
      <c r="E5364" s="1539"/>
      <c r="F5364" s="1532"/>
      <c r="G5364" s="1104"/>
      <c r="H5364" s="1106"/>
      <c r="M5364" s="1566"/>
    </row>
    <row r="5365" spans="2:13" hidden="1">
      <c r="B5365" s="1543"/>
      <c r="C5365" s="1332" t="s">
        <v>1270</v>
      </c>
      <c r="D5365" s="1331"/>
      <c r="E5365" s="1539" t="s">
        <v>2646</v>
      </c>
      <c r="F5365" s="1532">
        <v>7.0000000000000001E-3</v>
      </c>
      <c r="G5365" s="1104">
        <f>DUB!$I$83</f>
        <v>10710000</v>
      </c>
      <c r="H5365" s="1106">
        <f>G5365*F5365</f>
        <v>74970</v>
      </c>
      <c r="M5365" s="1566"/>
    </row>
    <row r="5366" spans="2:13" hidden="1">
      <c r="B5366" s="1540"/>
      <c r="C5366" s="1332" t="s">
        <v>1316</v>
      </c>
      <c r="D5366" s="1331"/>
      <c r="E5366" s="1539" t="s">
        <v>773</v>
      </c>
      <c r="F5366" s="1532">
        <v>0.1</v>
      </c>
      <c r="G5366" s="1136">
        <f>DUB!$I$128</f>
        <v>20441.7</v>
      </c>
      <c r="H5366" s="1106">
        <f>G5366*F5366</f>
        <v>2044.17</v>
      </c>
      <c r="M5366" s="1566"/>
    </row>
    <row r="5367" spans="2:13" hidden="1">
      <c r="B5367" s="1540"/>
      <c r="C5367" s="1332" t="s">
        <v>1326</v>
      </c>
      <c r="D5367" s="1331"/>
      <c r="E5367" s="1539" t="s">
        <v>773</v>
      </c>
      <c r="F5367" s="1532">
        <v>0.15</v>
      </c>
      <c r="G5367" s="1104">
        <f>DUB!$I$129</f>
        <v>155400</v>
      </c>
      <c r="H5367" s="1106">
        <f>G5367*F5367</f>
        <v>23310</v>
      </c>
      <c r="M5367" s="1566"/>
    </row>
    <row r="5368" spans="2:13" hidden="1">
      <c r="B5368" s="1540"/>
      <c r="C5368" s="1332"/>
      <c r="D5368" s="1331"/>
      <c r="E5368" s="1539"/>
      <c r="F5368" s="2080" t="s">
        <v>702</v>
      </c>
      <c r="G5368" s="2081"/>
      <c r="H5368" s="1106">
        <f>SUM(H5365:H5367)</f>
        <v>100324.17</v>
      </c>
      <c r="M5368" s="1566"/>
    </row>
    <row r="5369" spans="2:13" s="496" customFormat="1" hidden="1">
      <c r="B5369" s="1543" t="s">
        <v>703</v>
      </c>
      <c r="C5369" s="1117" t="s">
        <v>3764</v>
      </c>
      <c r="D5369" s="1120"/>
      <c r="E5369" s="1120"/>
      <c r="F5369" s="1121"/>
      <c r="G5369" s="1141"/>
      <c r="H5369" s="1107">
        <f>H5363+H5368</f>
        <v>576874.17000000004</v>
      </c>
      <c r="J5369" s="1559"/>
      <c r="K5369" s="1559"/>
      <c r="L5369" s="1559"/>
      <c r="M5369" s="1635"/>
    </row>
    <row r="5370" spans="2:13" s="496" customFormat="1" hidden="1">
      <c r="B5370" s="1543" t="s">
        <v>706</v>
      </c>
      <c r="C5370" s="1123" t="s">
        <v>876</v>
      </c>
      <c r="D5370" s="1124"/>
      <c r="E5370" s="1154"/>
      <c r="F5370" s="1545" t="s">
        <v>3873</v>
      </c>
      <c r="G5370" s="1141"/>
      <c r="H5370" s="1107">
        <f>H5369*0.15</f>
        <v>86531.125500000009</v>
      </c>
      <c r="J5370" s="1559"/>
      <c r="K5370" s="1559"/>
      <c r="L5370" s="1559"/>
      <c r="M5370" s="1635"/>
    </row>
    <row r="5371" spans="2:13" s="496" customFormat="1" hidden="1">
      <c r="B5371" s="1543" t="s">
        <v>708</v>
      </c>
      <c r="C5371" s="1117" t="s">
        <v>3765</v>
      </c>
      <c r="D5371" s="1120"/>
      <c r="E5371" s="1120"/>
      <c r="F5371" s="1121"/>
      <c r="G5371" s="1141"/>
      <c r="H5371" s="1107">
        <f>ROUND(SUM(H5369:H5370),2)</f>
        <v>663405.30000000005</v>
      </c>
      <c r="I5371" s="506">
        <f>SUM(H5369:H5370)</f>
        <v>663405.29550000001</v>
      </c>
      <c r="J5371" s="1561"/>
      <c r="K5371" s="1561"/>
      <c r="L5371" s="1559"/>
      <c r="M5371" s="1635"/>
    </row>
    <row r="5372" spans="2:13" hidden="1">
      <c r="B5372" s="1143"/>
      <c r="C5372" s="1144"/>
      <c r="D5372" s="1143"/>
      <c r="E5372" s="1143"/>
      <c r="F5372" s="1145"/>
      <c r="G5372" s="1146"/>
      <c r="H5372" s="1147"/>
      <c r="M5372" s="1566"/>
    </row>
    <row r="5373" spans="2:13" hidden="1">
      <c r="B5373" s="1100" t="s">
        <v>4145</v>
      </c>
      <c r="C5373" s="1112" t="s">
        <v>2762</v>
      </c>
      <c r="D5373" s="1129"/>
      <c r="E5373" s="1129"/>
      <c r="F5373" s="1131"/>
      <c r="G5373" s="1132"/>
      <c r="H5373" s="1115"/>
      <c r="M5373" s="1566"/>
    </row>
    <row r="5374" spans="2:13" s="507" customFormat="1" ht="24.9" hidden="1" customHeight="1">
      <c r="B5374" s="1748" t="s">
        <v>1003</v>
      </c>
      <c r="C5374" s="1116" t="s">
        <v>1004</v>
      </c>
      <c r="D5374" s="1116" t="s">
        <v>1005</v>
      </c>
      <c r="E5374" s="1116" t="s">
        <v>1006</v>
      </c>
      <c r="F5374" s="1102" t="s">
        <v>1007</v>
      </c>
      <c r="G5374" s="1103" t="s">
        <v>2637</v>
      </c>
      <c r="H5374" s="1110" t="s">
        <v>2638</v>
      </c>
      <c r="J5374" s="1625"/>
      <c r="K5374" s="1625"/>
      <c r="L5374" s="1625"/>
      <c r="M5374" s="1570"/>
    </row>
    <row r="5375" spans="2:13" hidden="1">
      <c r="B5375" s="1543" t="s">
        <v>671</v>
      </c>
      <c r="C5375" s="1118" t="s">
        <v>672</v>
      </c>
      <c r="D5375" s="1539"/>
      <c r="E5375" s="1539"/>
      <c r="F5375" s="1334"/>
      <c r="G5375" s="1136"/>
      <c r="H5375" s="1106"/>
      <c r="M5375" s="1566"/>
    </row>
    <row r="5376" spans="2:13" hidden="1">
      <c r="B5376" s="1543"/>
      <c r="C5376" s="1118" t="s">
        <v>673</v>
      </c>
      <c r="D5376" s="1331" t="s">
        <v>674</v>
      </c>
      <c r="E5376" s="1539" t="s">
        <v>675</v>
      </c>
      <c r="F5376" s="1334">
        <v>2.5000000000000001E-2</v>
      </c>
      <c r="G5376" s="1104">
        <f>DUB!$I$10</f>
        <v>150000</v>
      </c>
      <c r="H5376" s="1106">
        <f>G5376*F5376</f>
        <v>3750</v>
      </c>
      <c r="M5376" s="1566"/>
    </row>
    <row r="5377" spans="2:13" hidden="1">
      <c r="B5377" s="1543"/>
      <c r="C5377" s="1118" t="s">
        <v>871</v>
      </c>
      <c r="D5377" s="1331" t="s">
        <v>678</v>
      </c>
      <c r="E5377" s="1539" t="s">
        <v>675</v>
      </c>
      <c r="F5377" s="1334">
        <v>7.4999999999999997E-2</v>
      </c>
      <c r="G5377" s="1104">
        <f>DUB!$I$11</f>
        <v>187000</v>
      </c>
      <c r="H5377" s="1106">
        <f>G5377*F5377</f>
        <v>14025</v>
      </c>
      <c r="M5377" s="1566"/>
    </row>
    <row r="5378" spans="2:13" hidden="1">
      <c r="B5378" s="1543"/>
      <c r="C5378" s="1118" t="s">
        <v>751</v>
      </c>
      <c r="D5378" s="1331" t="s">
        <v>681</v>
      </c>
      <c r="E5378" s="1539" t="s">
        <v>675</v>
      </c>
      <c r="F5378" s="1334">
        <v>8.0000000000000002E-3</v>
      </c>
      <c r="G5378" s="1104">
        <f>DUB!$I$13</f>
        <v>240000</v>
      </c>
      <c r="H5378" s="1106">
        <f>G5378*F5378</f>
        <v>1920</v>
      </c>
      <c r="M5378" s="1566"/>
    </row>
    <row r="5379" spans="2:13" hidden="1">
      <c r="B5379" s="1543"/>
      <c r="C5379" s="1118" t="s">
        <v>683</v>
      </c>
      <c r="D5379" s="1331" t="s">
        <v>684</v>
      </c>
      <c r="E5379" s="1539" t="s">
        <v>675</v>
      </c>
      <c r="F5379" s="1334">
        <v>1E-3</v>
      </c>
      <c r="G5379" s="1104">
        <f>DUB!$I$12</f>
        <v>225000</v>
      </c>
      <c r="H5379" s="1106">
        <f>G5379*F5379</f>
        <v>225</v>
      </c>
      <c r="M5379" s="1566"/>
    </row>
    <row r="5380" spans="2:13" hidden="1">
      <c r="B5380" s="1543"/>
      <c r="C5380" s="1118"/>
      <c r="D5380" s="1539"/>
      <c r="E5380" s="1539"/>
      <c r="F5380" s="2080" t="s">
        <v>685</v>
      </c>
      <c r="G5380" s="2081"/>
      <c r="H5380" s="1106">
        <f>SUM(H5376:H5379)</f>
        <v>19920</v>
      </c>
      <c r="M5380" s="1566"/>
    </row>
    <row r="5381" spans="2:13" hidden="1">
      <c r="B5381" s="1543" t="s">
        <v>686</v>
      </c>
      <c r="C5381" s="1118" t="s">
        <v>687</v>
      </c>
      <c r="D5381" s="1539"/>
      <c r="E5381" s="1539"/>
      <c r="F5381" s="1334"/>
      <c r="G5381" s="1136"/>
      <c r="H5381" s="1106"/>
      <c r="M5381" s="1566"/>
    </row>
    <row r="5382" spans="2:13" hidden="1">
      <c r="B5382" s="1543"/>
      <c r="C5382" s="1118" t="s">
        <v>4450</v>
      </c>
      <c r="D5382" s="1539"/>
      <c r="E5382" s="1539" t="s">
        <v>2646</v>
      </c>
      <c r="F5382" s="1334">
        <v>0.4</v>
      </c>
      <c r="G5382" s="1136">
        <f>DUB!$I$92</f>
        <v>76464</v>
      </c>
      <c r="H5382" s="1106">
        <f>G5382*F5382</f>
        <v>30585.600000000002</v>
      </c>
      <c r="M5382" s="1566"/>
    </row>
    <row r="5383" spans="2:13" hidden="1">
      <c r="B5383" s="1543"/>
      <c r="C5383" s="1118" t="s">
        <v>1201</v>
      </c>
      <c r="D5383" s="1539"/>
      <c r="E5383" s="1539" t="s">
        <v>773</v>
      </c>
      <c r="F5383" s="1334">
        <v>0.05</v>
      </c>
      <c r="G5383" s="1136">
        <f>DUB!$I$128</f>
        <v>20441.7</v>
      </c>
      <c r="H5383" s="1106">
        <f>G5383*F5383</f>
        <v>1022.085</v>
      </c>
      <c r="M5383" s="1566"/>
    </row>
    <row r="5384" spans="2:13" hidden="1">
      <c r="B5384" s="1543"/>
      <c r="C5384" s="1118"/>
      <c r="D5384" s="1539"/>
      <c r="E5384" s="1539"/>
      <c r="F5384" s="2080" t="s">
        <v>702</v>
      </c>
      <c r="G5384" s="2081"/>
      <c r="H5384" s="1106">
        <f>SUM(H5382:H5383)</f>
        <v>31607.685000000001</v>
      </c>
      <c r="M5384" s="1566"/>
    </row>
    <row r="5385" spans="2:13" s="496" customFormat="1" hidden="1">
      <c r="B5385" s="1543" t="s">
        <v>703</v>
      </c>
      <c r="C5385" s="1117" t="s">
        <v>3764</v>
      </c>
      <c r="D5385" s="1120"/>
      <c r="E5385" s="1120"/>
      <c r="F5385" s="1121"/>
      <c r="G5385" s="1122"/>
      <c r="H5385" s="1107">
        <f>H5380+H5384</f>
        <v>51527.684999999998</v>
      </c>
      <c r="J5385" s="1559"/>
      <c r="K5385" s="1559"/>
      <c r="L5385" s="1559"/>
      <c r="M5385" s="1635"/>
    </row>
    <row r="5386" spans="2:13" s="496" customFormat="1" hidden="1">
      <c r="B5386" s="1543" t="s">
        <v>706</v>
      </c>
      <c r="C5386" s="1123" t="s">
        <v>876</v>
      </c>
      <c r="D5386" s="1124"/>
      <c r="E5386" s="1124"/>
      <c r="F5386" s="1545" t="s">
        <v>3873</v>
      </c>
      <c r="G5386" s="1122"/>
      <c r="H5386" s="1107">
        <f>H5385*0.15</f>
        <v>7729.1527499999993</v>
      </c>
      <c r="J5386" s="1559"/>
      <c r="K5386" s="1559"/>
      <c r="L5386" s="1559"/>
      <c r="M5386" s="1635"/>
    </row>
    <row r="5387" spans="2:13" s="496" customFormat="1" hidden="1">
      <c r="B5387" s="1543" t="s">
        <v>708</v>
      </c>
      <c r="C5387" s="1117" t="s">
        <v>3765</v>
      </c>
      <c r="D5387" s="1120"/>
      <c r="E5387" s="1120"/>
      <c r="F5387" s="1121"/>
      <c r="G5387" s="1122"/>
      <c r="H5387" s="1107">
        <f>ROUND(SUM(H5385:H5386),2)</f>
        <v>59256.84</v>
      </c>
      <c r="I5387" s="506">
        <f>SUM(H5385:H5386)</f>
        <v>59256.837749999999</v>
      </c>
      <c r="J5387" s="1561"/>
      <c r="K5387" s="1561"/>
      <c r="L5387" s="1559"/>
      <c r="M5387" s="1635"/>
    </row>
    <row r="5388" spans="2:13" hidden="1">
      <c r="F5388" s="1172"/>
      <c r="G5388" s="1173"/>
      <c r="H5388" s="1133"/>
      <c r="M5388" s="1566"/>
    </row>
    <row r="5389" spans="2:13" hidden="1">
      <c r="B5389" s="1100" t="s">
        <v>4146</v>
      </c>
      <c r="C5389" s="1232" t="s">
        <v>4451</v>
      </c>
      <c r="F5389" s="1172"/>
      <c r="G5389" s="1173"/>
      <c r="H5389" s="1133"/>
      <c r="M5389" s="1566"/>
    </row>
    <row r="5390" spans="2:13" s="507" customFormat="1" ht="24.9" hidden="1" customHeight="1">
      <c r="B5390" s="1748" t="s">
        <v>1003</v>
      </c>
      <c r="C5390" s="1101" t="s">
        <v>1004</v>
      </c>
      <c r="D5390" s="1116" t="s">
        <v>1005</v>
      </c>
      <c r="E5390" s="1116" t="s">
        <v>1006</v>
      </c>
      <c r="F5390" s="1139" t="s">
        <v>1007</v>
      </c>
      <c r="G5390" s="1109" t="s">
        <v>2637</v>
      </c>
      <c r="H5390" s="1110" t="s">
        <v>2638</v>
      </c>
      <c r="J5390" s="1625"/>
      <c r="K5390" s="1625"/>
      <c r="L5390" s="1625"/>
      <c r="M5390" s="1570"/>
    </row>
    <row r="5391" spans="2:13" hidden="1">
      <c r="B5391" s="1543" t="s">
        <v>671</v>
      </c>
      <c r="C5391" s="1332" t="s">
        <v>672</v>
      </c>
      <c r="D5391" s="1539"/>
      <c r="E5391" s="1539"/>
      <c r="F5391" s="1532"/>
      <c r="G5391" s="1104"/>
      <c r="H5391" s="1106"/>
      <c r="M5391" s="1566"/>
    </row>
    <row r="5392" spans="2:13" hidden="1">
      <c r="B5392" s="1543"/>
      <c r="C5392" s="1118" t="s">
        <v>673</v>
      </c>
      <c r="D5392" s="1331" t="s">
        <v>674</v>
      </c>
      <c r="E5392" s="1539" t="s">
        <v>675</v>
      </c>
      <c r="F5392" s="1532">
        <v>0.1</v>
      </c>
      <c r="G5392" s="1104">
        <f>DUB!$I$10</f>
        <v>150000</v>
      </c>
      <c r="H5392" s="1106">
        <f>G5392*F5392</f>
        <v>15000</v>
      </c>
      <c r="M5392" s="1566"/>
    </row>
    <row r="5393" spans="2:13" hidden="1">
      <c r="B5393" s="1543"/>
      <c r="C5393" s="1118" t="s">
        <v>871</v>
      </c>
      <c r="D5393" s="1331" t="s">
        <v>678</v>
      </c>
      <c r="E5393" s="1539" t="s">
        <v>675</v>
      </c>
      <c r="F5393" s="1532">
        <v>0.05</v>
      </c>
      <c r="G5393" s="1104">
        <f>DUB!$I$11</f>
        <v>187000</v>
      </c>
      <c r="H5393" s="1106">
        <f>G5393*F5393</f>
        <v>9350</v>
      </c>
      <c r="M5393" s="1566"/>
    </row>
    <row r="5394" spans="2:13" hidden="1">
      <c r="B5394" s="1543"/>
      <c r="C5394" s="1118" t="s">
        <v>751</v>
      </c>
      <c r="D5394" s="1331" t="s">
        <v>681</v>
      </c>
      <c r="E5394" s="1539" t="s">
        <v>675</v>
      </c>
      <c r="F5394" s="1532">
        <v>5.0000000000000001E-3</v>
      </c>
      <c r="G5394" s="1104">
        <f>DUB!$I$13</f>
        <v>240000</v>
      </c>
      <c r="H5394" s="1106">
        <f>G5394*F5394</f>
        <v>1200</v>
      </c>
      <c r="M5394" s="1566"/>
    </row>
    <row r="5395" spans="2:13" hidden="1">
      <c r="B5395" s="1543"/>
      <c r="C5395" s="1118" t="s">
        <v>683</v>
      </c>
      <c r="D5395" s="1331" t="s">
        <v>684</v>
      </c>
      <c r="E5395" s="1539" t="s">
        <v>675</v>
      </c>
      <c r="F5395" s="1532">
        <v>5.0000000000000001E-3</v>
      </c>
      <c r="G5395" s="1104">
        <f>DUB!$I$12</f>
        <v>225000</v>
      </c>
      <c r="H5395" s="1106">
        <f>G5395*F5395</f>
        <v>1125</v>
      </c>
      <c r="M5395" s="1566"/>
    </row>
    <row r="5396" spans="2:13" hidden="1">
      <c r="B5396" s="1543"/>
      <c r="C5396" s="1332"/>
      <c r="D5396" s="1539"/>
      <c r="E5396" s="1539"/>
      <c r="F5396" s="2080" t="s">
        <v>685</v>
      </c>
      <c r="G5396" s="2081"/>
      <c r="H5396" s="1106">
        <f>SUM(H5392:H5395)</f>
        <v>26675</v>
      </c>
      <c r="M5396" s="1566"/>
    </row>
    <row r="5397" spans="2:13" hidden="1">
      <c r="B5397" s="1543" t="s">
        <v>686</v>
      </c>
      <c r="C5397" s="1332" t="s">
        <v>687</v>
      </c>
      <c r="D5397" s="1539"/>
      <c r="E5397" s="1539"/>
      <c r="F5397" s="1532"/>
      <c r="G5397" s="1104"/>
      <c r="H5397" s="1106"/>
      <c r="M5397" s="1566"/>
    </row>
    <row r="5398" spans="2:13" hidden="1">
      <c r="B5398" s="1543"/>
      <c r="C5398" s="1332" t="s">
        <v>1329</v>
      </c>
      <c r="D5398" s="1539"/>
      <c r="E5398" s="1539" t="s">
        <v>2647</v>
      </c>
      <c r="F5398" s="1532">
        <v>1.5</v>
      </c>
      <c r="G5398" s="1104">
        <f>DUB!$I$91</f>
        <v>31860</v>
      </c>
      <c r="H5398" s="1106">
        <f>G5398*F5398</f>
        <v>47790</v>
      </c>
      <c r="M5398" s="1566"/>
    </row>
    <row r="5399" spans="2:13" hidden="1">
      <c r="B5399" s="1540"/>
      <c r="C5399" s="1332" t="s">
        <v>1330</v>
      </c>
      <c r="D5399" s="1539"/>
      <c r="E5399" s="1539" t="s">
        <v>2646</v>
      </c>
      <c r="F5399" s="1532">
        <v>1.4E-2</v>
      </c>
      <c r="G5399" s="1104">
        <f>DUB!$I$85</f>
        <v>6250000</v>
      </c>
      <c r="H5399" s="1106">
        <f>G5399*F5399</f>
        <v>87500</v>
      </c>
      <c r="M5399" s="1566"/>
    </row>
    <row r="5400" spans="2:13" hidden="1">
      <c r="B5400" s="1540"/>
      <c r="C5400" s="1332" t="s">
        <v>1201</v>
      </c>
      <c r="D5400" s="1539"/>
      <c r="E5400" s="1539" t="s">
        <v>773</v>
      </c>
      <c r="F5400" s="1532">
        <v>1.2E-2</v>
      </c>
      <c r="G5400" s="1104">
        <f>DUB!$I$128</f>
        <v>20441.7</v>
      </c>
      <c r="H5400" s="1106">
        <f>G5400*F5400</f>
        <v>245.30040000000002</v>
      </c>
      <c r="M5400" s="1566"/>
    </row>
    <row r="5401" spans="2:13" hidden="1">
      <c r="B5401" s="1540"/>
      <c r="C5401" s="1332" t="s">
        <v>1331</v>
      </c>
      <c r="D5401" s="1539"/>
      <c r="E5401" s="1539" t="s">
        <v>2646</v>
      </c>
      <c r="F5401" s="1532">
        <v>3.0000000000000001E-3</v>
      </c>
      <c r="G5401" s="1104">
        <f>DUB!$I$85</f>
        <v>6250000</v>
      </c>
      <c r="H5401" s="1106">
        <f>G5401*F5401</f>
        <v>18750</v>
      </c>
      <c r="M5401" s="1566"/>
    </row>
    <row r="5402" spans="2:13" hidden="1">
      <c r="B5402" s="1540"/>
      <c r="C5402" s="1332"/>
      <c r="D5402" s="1539"/>
      <c r="E5402" s="1539"/>
      <c r="F5402" s="2080" t="s">
        <v>702</v>
      </c>
      <c r="G5402" s="2081"/>
      <c r="H5402" s="1106">
        <f>SUM(H5398:H5401)</f>
        <v>154285.30040000001</v>
      </c>
      <c r="M5402" s="1566"/>
    </row>
    <row r="5403" spans="2:13" s="496" customFormat="1" hidden="1">
      <c r="B5403" s="1543" t="s">
        <v>703</v>
      </c>
      <c r="C5403" s="1117" t="s">
        <v>3764</v>
      </c>
      <c r="D5403" s="1120"/>
      <c r="E5403" s="1120"/>
      <c r="F5403" s="1121"/>
      <c r="G5403" s="1141"/>
      <c r="H5403" s="1107">
        <f>H5396+H5402</f>
        <v>180960.30040000001</v>
      </c>
      <c r="J5403" s="1559"/>
      <c r="K5403" s="1559"/>
      <c r="L5403" s="1559"/>
      <c r="M5403" s="1635"/>
    </row>
    <row r="5404" spans="2:13" s="496" customFormat="1" hidden="1">
      <c r="B5404" s="1543" t="s">
        <v>706</v>
      </c>
      <c r="C5404" s="2076" t="s">
        <v>876</v>
      </c>
      <c r="D5404" s="2076"/>
      <c r="E5404" s="2076"/>
      <c r="F5404" s="2077" t="s">
        <v>3873</v>
      </c>
      <c r="G5404" s="2077"/>
      <c r="H5404" s="1107">
        <f>H5403*0.15</f>
        <v>27144.04506</v>
      </c>
      <c r="J5404" s="1559"/>
      <c r="K5404" s="1559"/>
      <c r="L5404" s="1559"/>
      <c r="M5404" s="1635"/>
    </row>
    <row r="5405" spans="2:13" s="496" customFormat="1" hidden="1">
      <c r="B5405" s="1543" t="s">
        <v>708</v>
      </c>
      <c r="C5405" s="2078" t="s">
        <v>3765</v>
      </c>
      <c r="D5405" s="2078"/>
      <c r="E5405" s="2078"/>
      <c r="F5405" s="2078"/>
      <c r="G5405" s="2078"/>
      <c r="H5405" s="1107">
        <f>ROUND(SUM(H5403:H5404),2)</f>
        <v>208104.35</v>
      </c>
      <c r="I5405" s="506">
        <f>SUM(H5403:H5404)</f>
        <v>208104.34546000001</v>
      </c>
      <c r="J5405" s="1561"/>
      <c r="K5405" s="1561"/>
      <c r="L5405" s="1559"/>
      <c r="M5405" s="1635"/>
    </row>
    <row r="5406" spans="2:13" hidden="1">
      <c r="F5406" s="1172"/>
      <c r="G5406" s="1173"/>
      <c r="H5406" s="1133"/>
      <c r="M5406" s="1566"/>
    </row>
    <row r="5407" spans="2:13" hidden="1">
      <c r="B5407" s="1100" t="s">
        <v>3835</v>
      </c>
      <c r="C5407" s="1232" t="s">
        <v>4345</v>
      </c>
      <c r="F5407" s="1172"/>
      <c r="G5407" s="1173"/>
      <c r="H5407" s="1133"/>
      <c r="M5407" s="1566"/>
    </row>
    <row r="5408" spans="2:13" s="507" customFormat="1" ht="24.9" hidden="1" customHeight="1">
      <c r="B5408" s="1748" t="s">
        <v>1003</v>
      </c>
      <c r="C5408" s="1101" t="s">
        <v>1004</v>
      </c>
      <c r="D5408" s="1116" t="s">
        <v>1005</v>
      </c>
      <c r="E5408" s="1116" t="s">
        <v>1006</v>
      </c>
      <c r="F5408" s="1139" t="s">
        <v>1007</v>
      </c>
      <c r="G5408" s="1109" t="s">
        <v>2637</v>
      </c>
      <c r="H5408" s="1110" t="s">
        <v>2638</v>
      </c>
      <c r="J5408" s="1625"/>
      <c r="K5408" s="1625"/>
      <c r="L5408" s="1625"/>
      <c r="M5408" s="1570"/>
    </row>
    <row r="5409" spans="2:13" hidden="1">
      <c r="B5409" s="1543" t="s">
        <v>671</v>
      </c>
      <c r="C5409" s="1332" t="s">
        <v>672</v>
      </c>
      <c r="D5409" s="1539"/>
      <c r="E5409" s="1539"/>
      <c r="F5409" s="1532"/>
      <c r="G5409" s="1104"/>
      <c r="H5409" s="1106"/>
      <c r="M5409" s="1566"/>
    </row>
    <row r="5410" spans="2:13" hidden="1">
      <c r="B5410" s="1543"/>
      <c r="C5410" s="1332" t="s">
        <v>673</v>
      </c>
      <c r="D5410" s="1331" t="s">
        <v>674</v>
      </c>
      <c r="E5410" s="1539" t="s">
        <v>675</v>
      </c>
      <c r="F5410" s="1532">
        <f>1.8/4</f>
        <v>0.45</v>
      </c>
      <c r="G5410" s="1104">
        <f>DUB!$I$10</f>
        <v>150000</v>
      </c>
      <c r="H5410" s="1106">
        <f>G5410*F5410</f>
        <v>67500</v>
      </c>
      <c r="M5410" s="1566"/>
    </row>
    <row r="5411" spans="2:13" hidden="1">
      <c r="B5411" s="1543"/>
      <c r="C5411" s="1332" t="s">
        <v>871</v>
      </c>
      <c r="D5411" s="1331" t="s">
        <v>678</v>
      </c>
      <c r="E5411" s="1539" t="s">
        <v>675</v>
      </c>
      <c r="F5411" s="1532">
        <f>0.04/4</f>
        <v>0.01</v>
      </c>
      <c r="G5411" s="1104">
        <f>DUB!$I$11</f>
        <v>187000</v>
      </c>
      <c r="H5411" s="1106">
        <f>G5411*F5411</f>
        <v>1870</v>
      </c>
      <c r="M5411" s="1566"/>
    </row>
    <row r="5412" spans="2:13" hidden="1">
      <c r="B5412" s="1543"/>
      <c r="C5412" s="1332" t="s">
        <v>751</v>
      </c>
      <c r="D5412" s="1331" t="s">
        <v>681</v>
      </c>
      <c r="E5412" s="1539" t="s">
        <v>675</v>
      </c>
      <c r="F5412" s="1532">
        <f>0.004/4</f>
        <v>1E-3</v>
      </c>
      <c r="G5412" s="1104">
        <f>DUB!$I$13</f>
        <v>240000</v>
      </c>
      <c r="H5412" s="1106">
        <f>G5412*F5412</f>
        <v>240</v>
      </c>
      <c r="M5412" s="1566"/>
    </row>
    <row r="5413" spans="2:13" hidden="1">
      <c r="B5413" s="1543"/>
      <c r="C5413" s="1332" t="s">
        <v>683</v>
      </c>
      <c r="D5413" s="1331" t="s">
        <v>684</v>
      </c>
      <c r="E5413" s="1539" t="s">
        <v>675</v>
      </c>
      <c r="F5413" s="1532">
        <v>1.0800000000000001E-2</v>
      </c>
      <c r="G5413" s="1104">
        <f>DUB!$I$12</f>
        <v>225000</v>
      </c>
      <c r="H5413" s="1106">
        <f>G5413*F5413</f>
        <v>2430</v>
      </c>
      <c r="M5413" s="1566"/>
    </row>
    <row r="5414" spans="2:13" hidden="1">
      <c r="B5414" s="1543"/>
      <c r="C5414" s="1332"/>
      <c r="D5414" s="1539"/>
      <c r="E5414" s="1539"/>
      <c r="F5414" s="2080" t="s">
        <v>685</v>
      </c>
      <c r="G5414" s="2081"/>
      <c r="H5414" s="1106">
        <f>SUM(H5410:H5413)</f>
        <v>72040</v>
      </c>
      <c r="M5414" s="1566"/>
    </row>
    <row r="5415" spans="2:13" hidden="1">
      <c r="B5415" s="1543" t="s">
        <v>686</v>
      </c>
      <c r="C5415" s="1332" t="s">
        <v>687</v>
      </c>
      <c r="D5415" s="1539"/>
      <c r="E5415" s="1539"/>
      <c r="F5415" s="1532"/>
      <c r="G5415" s="1104"/>
      <c r="H5415" s="1106"/>
      <c r="M5415" s="1566"/>
    </row>
    <row r="5416" spans="2:13" hidden="1">
      <c r="B5416" s="1540"/>
      <c r="C5416" s="1332" t="s">
        <v>4346</v>
      </c>
      <c r="D5416" s="1539"/>
      <c r="E5416" s="1539" t="s">
        <v>3129</v>
      </c>
      <c r="F5416" s="1532">
        <v>0.27500000000000002</v>
      </c>
      <c r="G5416" s="1104">
        <f>DUB!$I$80</f>
        <v>41220</v>
      </c>
      <c r="H5416" s="1106">
        <f>G5416*F5416</f>
        <v>11335.500000000002</v>
      </c>
      <c r="M5416" s="1566"/>
    </row>
    <row r="5417" spans="2:13" hidden="1">
      <c r="B5417" s="1540"/>
      <c r="C5417" s="1332"/>
      <c r="D5417" s="1539"/>
      <c r="E5417" s="1539"/>
      <c r="F5417" s="2080" t="s">
        <v>702</v>
      </c>
      <c r="G5417" s="2081"/>
      <c r="H5417" s="1106">
        <f>SUM(H5416:H5416)</f>
        <v>11335.500000000002</v>
      </c>
      <c r="M5417" s="1566"/>
    </row>
    <row r="5418" spans="2:13" hidden="1">
      <c r="B5418" s="1543" t="s">
        <v>703</v>
      </c>
      <c r="C5418" s="1536" t="s">
        <v>704</v>
      </c>
      <c r="D5418" s="1539"/>
      <c r="E5418" s="1539"/>
      <c r="F5418" s="1532"/>
      <c r="G5418" s="1104"/>
      <c r="H5418" s="1106"/>
      <c r="M5418" s="1566"/>
    </row>
    <row r="5419" spans="2:13" hidden="1">
      <c r="B5419" s="1540"/>
      <c r="C5419" s="1536" t="s">
        <v>4775</v>
      </c>
      <c r="D5419" s="1539"/>
      <c r="E5419" s="1539" t="s">
        <v>4777</v>
      </c>
      <c r="F5419" s="1532">
        <v>2.5000000000000001E-2</v>
      </c>
      <c r="G5419" s="1104">
        <f>DUB!J546</f>
        <v>0</v>
      </c>
      <c r="H5419" s="1106">
        <f>G5419*F5419</f>
        <v>0</v>
      </c>
      <c r="M5419" s="1566"/>
    </row>
    <row r="5420" spans="2:13" hidden="1">
      <c r="B5420" s="1540"/>
      <c r="C5420" s="1536" t="s">
        <v>4776</v>
      </c>
      <c r="D5420" s="1539"/>
      <c r="E5420" s="1539" t="s">
        <v>4777</v>
      </c>
      <c r="F5420" s="1532">
        <v>2.5000000000000001E-2</v>
      </c>
      <c r="G5420" s="1104">
        <f>DUB!J547</f>
        <v>0</v>
      </c>
      <c r="H5420" s="1106">
        <f>G5420*F5420</f>
        <v>0</v>
      </c>
      <c r="M5420" s="1566"/>
    </row>
    <row r="5421" spans="2:13" hidden="1">
      <c r="B5421" s="1540"/>
      <c r="C5421" s="1536"/>
      <c r="D5421" s="1539"/>
      <c r="E5421" s="1539"/>
      <c r="F5421" s="2080" t="s">
        <v>4428</v>
      </c>
      <c r="G5421" s="2081"/>
      <c r="H5421" s="1106">
        <f>SUM(H5419:H5420)</f>
        <v>0</v>
      </c>
      <c r="M5421" s="1566"/>
    </row>
    <row r="5422" spans="2:13" s="496" customFormat="1" hidden="1">
      <c r="B5422" s="1543" t="s">
        <v>706</v>
      </c>
      <c r="C5422" s="1117" t="s">
        <v>707</v>
      </c>
      <c r="D5422" s="1120"/>
      <c r="E5422" s="1120"/>
      <c r="F5422" s="1151"/>
      <c r="G5422" s="1140"/>
      <c r="H5422" s="1107">
        <f>H5414+H5417+H5421</f>
        <v>83375.5</v>
      </c>
      <c r="J5422" s="1559"/>
      <c r="K5422" s="1559"/>
      <c r="L5422" s="1559"/>
      <c r="M5422" s="1635"/>
    </row>
    <row r="5423" spans="2:13" s="496" customFormat="1" hidden="1">
      <c r="B5423" s="1543" t="s">
        <v>708</v>
      </c>
      <c r="C5423" s="2076" t="s">
        <v>876</v>
      </c>
      <c r="D5423" s="2076"/>
      <c r="E5423" s="2126"/>
      <c r="F5423" s="2127" t="s">
        <v>3873</v>
      </c>
      <c r="G5423" s="2077"/>
      <c r="H5423" s="1107">
        <f>H5422*0.15</f>
        <v>12506.324999999999</v>
      </c>
      <c r="J5423" s="1559"/>
      <c r="K5423" s="1559"/>
      <c r="L5423" s="1559"/>
      <c r="M5423" s="1635"/>
    </row>
    <row r="5424" spans="2:13" s="496" customFormat="1" hidden="1">
      <c r="B5424" s="1543" t="s">
        <v>711</v>
      </c>
      <c r="C5424" s="2078" t="s">
        <v>3765</v>
      </c>
      <c r="D5424" s="2078"/>
      <c r="E5424" s="2078"/>
      <c r="F5424" s="2078"/>
      <c r="G5424" s="2078"/>
      <c r="H5424" s="1107">
        <f>ROUND(SUM(H5422:H5423),2)</f>
        <v>95881.83</v>
      </c>
      <c r="I5424" s="506">
        <f>SUM(H5422:H5423)</f>
        <v>95881.824999999997</v>
      </c>
      <c r="J5424" s="1561"/>
      <c r="K5424" s="1561"/>
      <c r="L5424" s="1559"/>
      <c r="M5424" s="1635"/>
    </row>
    <row r="5425" spans="2:13" hidden="1">
      <c r="F5425" s="1172"/>
      <c r="G5425" s="1173"/>
      <c r="H5425" s="1133"/>
      <c r="M5425" s="1566"/>
    </row>
    <row r="5426" spans="2:13" hidden="1">
      <c r="B5426" s="1100" t="s">
        <v>4781</v>
      </c>
      <c r="C5426" s="1232" t="s">
        <v>4778</v>
      </c>
      <c r="F5426" s="1172"/>
      <c r="G5426" s="1173"/>
      <c r="H5426" s="1133"/>
      <c r="M5426" s="1566"/>
    </row>
    <row r="5427" spans="2:13" ht="24.9" hidden="1" customHeight="1">
      <c r="B5427" s="1748" t="s">
        <v>1003</v>
      </c>
      <c r="C5427" s="1101" t="s">
        <v>1004</v>
      </c>
      <c r="D5427" s="1116" t="s">
        <v>1005</v>
      </c>
      <c r="E5427" s="1116" t="s">
        <v>1006</v>
      </c>
      <c r="F5427" s="1139" t="s">
        <v>1007</v>
      </c>
      <c r="G5427" s="1109" t="s">
        <v>2637</v>
      </c>
      <c r="H5427" s="1110" t="s">
        <v>2638</v>
      </c>
      <c r="I5427" s="507"/>
      <c r="J5427" s="1625"/>
      <c r="K5427" s="1625"/>
      <c r="M5427" s="1566"/>
    </row>
    <row r="5428" spans="2:13" hidden="1">
      <c r="B5428" s="1543" t="s">
        <v>671</v>
      </c>
      <c r="C5428" s="1332" t="s">
        <v>672</v>
      </c>
      <c r="D5428" s="1539"/>
      <c r="E5428" s="1539"/>
      <c r="F5428" s="1532"/>
      <c r="G5428" s="1104"/>
      <c r="H5428" s="1106"/>
      <c r="M5428" s="1566"/>
    </row>
    <row r="5429" spans="2:13" hidden="1">
      <c r="B5429" s="1543"/>
      <c r="C5429" s="1332" t="s">
        <v>673</v>
      </c>
      <c r="D5429" s="1331" t="s">
        <v>674</v>
      </c>
      <c r="E5429" s="1539" t="s">
        <v>675</v>
      </c>
      <c r="F5429" s="1532">
        <f>1.8/4</f>
        <v>0.45</v>
      </c>
      <c r="G5429" s="1104">
        <f>DUB!$I$10</f>
        <v>150000</v>
      </c>
      <c r="H5429" s="1106">
        <f>G5429*F5429</f>
        <v>67500</v>
      </c>
      <c r="M5429" s="1566"/>
    </row>
    <row r="5430" spans="2:13" hidden="1">
      <c r="B5430" s="1543"/>
      <c r="C5430" s="1332" t="s">
        <v>871</v>
      </c>
      <c r="D5430" s="1331" t="s">
        <v>678</v>
      </c>
      <c r="E5430" s="1539" t="s">
        <v>675</v>
      </c>
      <c r="F5430" s="1532">
        <f>0.04/4</f>
        <v>0.01</v>
      </c>
      <c r="G5430" s="1104">
        <f>DUB!$I$11</f>
        <v>187000</v>
      </c>
      <c r="H5430" s="1106">
        <f>G5430*F5430</f>
        <v>1870</v>
      </c>
      <c r="M5430" s="1566"/>
    </row>
    <row r="5431" spans="2:13" hidden="1">
      <c r="B5431" s="1543"/>
      <c r="C5431" s="1332" t="s">
        <v>751</v>
      </c>
      <c r="D5431" s="1331" t="s">
        <v>681</v>
      </c>
      <c r="E5431" s="1539" t="s">
        <v>675</v>
      </c>
      <c r="F5431" s="1532">
        <f>0.004/4</f>
        <v>1E-3</v>
      </c>
      <c r="G5431" s="1104">
        <f>DUB!$I$13</f>
        <v>240000</v>
      </c>
      <c r="H5431" s="1106">
        <f>G5431*F5431</f>
        <v>240</v>
      </c>
      <c r="M5431" s="1566"/>
    </row>
    <row r="5432" spans="2:13" hidden="1">
      <c r="B5432" s="1543"/>
      <c r="C5432" s="1332" t="s">
        <v>683</v>
      </c>
      <c r="D5432" s="1331" t="s">
        <v>684</v>
      </c>
      <c r="E5432" s="1539" t="s">
        <v>675</v>
      </c>
      <c r="F5432" s="1532">
        <v>1.0800000000000001E-2</v>
      </c>
      <c r="G5432" s="1104">
        <f>DUB!$I$12</f>
        <v>225000</v>
      </c>
      <c r="H5432" s="1106">
        <f>G5432*F5432</f>
        <v>2430</v>
      </c>
      <c r="M5432" s="1566"/>
    </row>
    <row r="5433" spans="2:13" hidden="1">
      <c r="B5433" s="1543"/>
      <c r="C5433" s="1332"/>
      <c r="D5433" s="1539"/>
      <c r="E5433" s="1539"/>
      <c r="F5433" s="2080" t="s">
        <v>685</v>
      </c>
      <c r="G5433" s="2081"/>
      <c r="H5433" s="1106">
        <f>SUM(H5429:H5432)</f>
        <v>72040</v>
      </c>
      <c r="M5433" s="1566"/>
    </row>
    <row r="5434" spans="2:13" hidden="1">
      <c r="B5434" s="1543" t="s">
        <v>686</v>
      </c>
      <c r="C5434" s="1332" t="s">
        <v>687</v>
      </c>
      <c r="D5434" s="1539"/>
      <c r="E5434" s="1539"/>
      <c r="F5434" s="1532"/>
      <c r="G5434" s="1104"/>
      <c r="H5434" s="1106"/>
      <c r="M5434" s="1566"/>
    </row>
    <row r="5435" spans="2:13" hidden="1">
      <c r="B5435" s="1540"/>
      <c r="C5435" s="1332" t="s">
        <v>4779</v>
      </c>
      <c r="D5435" s="1539"/>
      <c r="E5435" s="1539" t="s">
        <v>3129</v>
      </c>
      <c r="F5435" s="1532">
        <v>0.27500000000000002</v>
      </c>
      <c r="G5435" s="1104">
        <f>DUB!I96</f>
        <v>19080</v>
      </c>
      <c r="H5435" s="1106">
        <f>G5435*F5435</f>
        <v>5247</v>
      </c>
      <c r="M5435" s="1566"/>
    </row>
    <row r="5436" spans="2:13" hidden="1">
      <c r="B5436" s="1540"/>
      <c r="C5436" s="1332"/>
      <c r="D5436" s="1539"/>
      <c r="E5436" s="1539"/>
      <c r="F5436" s="2080" t="s">
        <v>702</v>
      </c>
      <c r="G5436" s="2081"/>
      <c r="H5436" s="1106">
        <f>SUM(H5435:H5435)</f>
        <v>5247</v>
      </c>
      <c r="M5436" s="1566"/>
    </row>
    <row r="5437" spans="2:13" hidden="1">
      <c r="B5437" s="1543" t="s">
        <v>703</v>
      </c>
      <c r="C5437" s="1536" t="s">
        <v>704</v>
      </c>
      <c r="D5437" s="1539"/>
      <c r="E5437" s="1539"/>
      <c r="F5437" s="1532"/>
      <c r="G5437" s="1104"/>
      <c r="H5437" s="1106"/>
      <c r="M5437" s="1566"/>
    </row>
    <row r="5438" spans="2:13" hidden="1">
      <c r="B5438" s="1540"/>
      <c r="C5438" s="1536" t="s">
        <v>4775</v>
      </c>
      <c r="D5438" s="1539"/>
      <c r="E5438" s="1539" t="s">
        <v>4777</v>
      </c>
      <c r="F5438" s="1532">
        <v>2.5000000000000001E-2</v>
      </c>
      <c r="G5438" s="1104">
        <f>G5419</f>
        <v>0</v>
      </c>
      <c r="H5438" s="1106">
        <f>G5438*F5438</f>
        <v>0</v>
      </c>
      <c r="M5438" s="1566"/>
    </row>
    <row r="5439" spans="2:13" hidden="1">
      <c r="B5439" s="1540"/>
      <c r="C5439" s="1536" t="s">
        <v>4776</v>
      </c>
      <c r="D5439" s="1539"/>
      <c r="E5439" s="1539" t="s">
        <v>4777</v>
      </c>
      <c r="F5439" s="1532">
        <v>2.5000000000000001E-2</v>
      </c>
      <c r="G5439" s="1104">
        <f>G5420</f>
        <v>0</v>
      </c>
      <c r="H5439" s="1106">
        <f>G5439*F5439</f>
        <v>0</v>
      </c>
      <c r="M5439" s="1566"/>
    </row>
    <row r="5440" spans="2:13" hidden="1">
      <c r="B5440" s="1540"/>
      <c r="C5440" s="1536"/>
      <c r="D5440" s="1539"/>
      <c r="E5440" s="1539"/>
      <c r="F5440" s="2080" t="s">
        <v>4428</v>
      </c>
      <c r="G5440" s="2081"/>
      <c r="H5440" s="1106">
        <f>SUM(H5438:H5439)</f>
        <v>0</v>
      </c>
      <c r="M5440" s="1566"/>
    </row>
    <row r="5441" spans="2:13" hidden="1">
      <c r="B5441" s="1543" t="s">
        <v>706</v>
      </c>
      <c r="C5441" s="1117" t="s">
        <v>707</v>
      </c>
      <c r="D5441" s="1120"/>
      <c r="E5441" s="1120"/>
      <c r="F5441" s="1151"/>
      <c r="G5441" s="1140"/>
      <c r="H5441" s="1107">
        <f>H5433+H5436+H5440</f>
        <v>77287</v>
      </c>
      <c r="I5441" s="496"/>
      <c r="J5441" s="1559"/>
      <c r="K5441" s="1559"/>
      <c r="M5441" s="1566"/>
    </row>
    <row r="5442" spans="2:13" hidden="1">
      <c r="B5442" s="1543" t="s">
        <v>708</v>
      </c>
      <c r="C5442" s="2076" t="s">
        <v>876</v>
      </c>
      <c r="D5442" s="2076"/>
      <c r="E5442" s="2126"/>
      <c r="F5442" s="2127" t="s">
        <v>3873</v>
      </c>
      <c r="G5442" s="2077"/>
      <c r="H5442" s="1107">
        <f>H5441*0.15</f>
        <v>11593.05</v>
      </c>
      <c r="I5442" s="496"/>
      <c r="J5442" s="1559"/>
      <c r="K5442" s="1559"/>
      <c r="M5442" s="1566"/>
    </row>
    <row r="5443" spans="2:13" hidden="1">
      <c r="B5443" s="1543" t="s">
        <v>711</v>
      </c>
      <c r="C5443" s="2078" t="s">
        <v>3765</v>
      </c>
      <c r="D5443" s="2078"/>
      <c r="E5443" s="2078"/>
      <c r="F5443" s="2078"/>
      <c r="G5443" s="2078"/>
      <c r="H5443" s="1107">
        <f>ROUND(SUM(H5441:H5442),2)</f>
        <v>88880.05</v>
      </c>
      <c r="I5443" s="506">
        <f>SUM(H5441:H5442)</f>
        <v>88880.05</v>
      </c>
      <c r="J5443" s="1561"/>
      <c r="K5443" s="1561"/>
      <c r="M5443" s="1566"/>
    </row>
    <row r="5444" spans="2:13" hidden="1">
      <c r="F5444" s="1172"/>
      <c r="G5444" s="1173"/>
      <c r="H5444" s="1133"/>
      <c r="M5444" s="1566"/>
    </row>
    <row r="5445" spans="2:13" hidden="1">
      <c r="B5445" s="1150" t="s">
        <v>4148</v>
      </c>
      <c r="C5445" s="1112" t="s">
        <v>2761</v>
      </c>
      <c r="D5445" s="1129"/>
      <c r="E5445" s="1129"/>
      <c r="F5445" s="1131"/>
      <c r="G5445" s="1132"/>
      <c r="H5445" s="1115"/>
      <c r="M5445" s="1566"/>
    </row>
    <row r="5446" spans="2:13" hidden="1">
      <c r="B5446" s="1100" t="s">
        <v>4147</v>
      </c>
      <c r="C5446" s="1112" t="s">
        <v>2760</v>
      </c>
      <c r="D5446" s="1129"/>
      <c r="E5446" s="1129"/>
      <c r="F5446" s="1131"/>
      <c r="G5446" s="1132"/>
      <c r="H5446" s="1115"/>
      <c r="M5446" s="1566"/>
    </row>
    <row r="5447" spans="2:13" s="507" customFormat="1" ht="24.9" hidden="1" customHeight="1">
      <c r="B5447" s="1748" t="s">
        <v>1003</v>
      </c>
      <c r="C5447" s="1116" t="s">
        <v>1004</v>
      </c>
      <c r="D5447" s="1101" t="s">
        <v>1005</v>
      </c>
      <c r="E5447" s="1116" t="s">
        <v>1006</v>
      </c>
      <c r="F5447" s="1139" t="s">
        <v>1007</v>
      </c>
      <c r="G5447" s="1103" t="s">
        <v>2637</v>
      </c>
      <c r="H5447" s="1135" t="s">
        <v>2638</v>
      </c>
      <c r="J5447" s="1625"/>
      <c r="K5447" s="1625"/>
      <c r="L5447" s="1625"/>
      <c r="M5447" s="1570"/>
    </row>
    <row r="5448" spans="2:13" hidden="1">
      <c r="B5448" s="1543" t="s">
        <v>671</v>
      </c>
      <c r="C5448" s="1118" t="s">
        <v>1332</v>
      </c>
      <c r="D5448" s="1331"/>
      <c r="E5448" s="1539"/>
      <c r="F5448" s="1532"/>
      <c r="G5448" s="1136"/>
      <c r="H5448" s="1137"/>
      <c r="M5448" s="1566"/>
    </row>
    <row r="5449" spans="2:13" hidden="1">
      <c r="B5449" s="1543"/>
      <c r="C5449" s="1118" t="s">
        <v>673</v>
      </c>
      <c r="D5449" s="1331" t="s">
        <v>674</v>
      </c>
      <c r="E5449" s="1539" t="s">
        <v>675</v>
      </c>
      <c r="F5449" s="1532">
        <v>0.06</v>
      </c>
      <c r="G5449" s="1104">
        <f>DUB!$I$10</f>
        <v>150000</v>
      </c>
      <c r="H5449" s="1106">
        <f>G5449*F5449</f>
        <v>9000</v>
      </c>
      <c r="M5449" s="1566"/>
    </row>
    <row r="5450" spans="2:13" hidden="1">
      <c r="B5450" s="1543"/>
      <c r="C5450" s="1118" t="s">
        <v>871</v>
      </c>
      <c r="D5450" s="1331" t="s">
        <v>678</v>
      </c>
      <c r="E5450" s="1539" t="s">
        <v>675</v>
      </c>
      <c r="F5450" s="1532">
        <v>0.6</v>
      </c>
      <c r="G5450" s="1104">
        <f>DUB!$I$11</f>
        <v>187000</v>
      </c>
      <c r="H5450" s="1106">
        <f>G5450*F5450</f>
        <v>112200</v>
      </c>
      <c r="M5450" s="1566"/>
    </row>
    <row r="5451" spans="2:13" hidden="1">
      <c r="B5451" s="1543"/>
      <c r="C5451" s="1118" t="s">
        <v>751</v>
      </c>
      <c r="D5451" s="1331" t="s">
        <v>681</v>
      </c>
      <c r="E5451" s="1539" t="s">
        <v>675</v>
      </c>
      <c r="F5451" s="1532">
        <v>0.06</v>
      </c>
      <c r="G5451" s="1104">
        <f>DUB!$I$13</f>
        <v>240000</v>
      </c>
      <c r="H5451" s="1106">
        <f>G5451*F5451</f>
        <v>14400</v>
      </c>
      <c r="M5451" s="1566"/>
    </row>
    <row r="5452" spans="2:13" hidden="1">
      <c r="B5452" s="1543"/>
      <c r="C5452" s="1118" t="s">
        <v>683</v>
      </c>
      <c r="D5452" s="1331" t="s">
        <v>684</v>
      </c>
      <c r="E5452" s="1539" t="s">
        <v>675</v>
      </c>
      <c r="F5452" s="1532">
        <v>3.0000000000000001E-3</v>
      </c>
      <c r="G5452" s="1104">
        <f>DUB!$I$12</f>
        <v>225000</v>
      </c>
      <c r="H5452" s="1106">
        <f>G5452*F5452</f>
        <v>675</v>
      </c>
      <c r="M5452" s="1566"/>
    </row>
    <row r="5453" spans="2:13" hidden="1">
      <c r="B5453" s="1543"/>
      <c r="C5453" s="1118"/>
      <c r="D5453" s="1331"/>
      <c r="E5453" s="1539"/>
      <c r="F5453" s="2080" t="s">
        <v>685</v>
      </c>
      <c r="G5453" s="2081"/>
      <c r="H5453" s="1137">
        <f>SUM(H5449:H5452)</f>
        <v>136275</v>
      </c>
      <c r="M5453" s="1566"/>
    </row>
    <row r="5454" spans="2:13" hidden="1">
      <c r="B5454" s="1543" t="s">
        <v>686</v>
      </c>
      <c r="C5454" s="1118" t="s">
        <v>687</v>
      </c>
      <c r="D5454" s="1331"/>
      <c r="E5454" s="1539"/>
      <c r="F5454" s="1532"/>
      <c r="G5454" s="1152"/>
      <c r="H5454" s="1137"/>
      <c r="M5454" s="1566"/>
    </row>
    <row r="5455" spans="2:13" hidden="1">
      <c r="B5455" s="1543"/>
      <c r="C5455" s="1118" t="s">
        <v>1333</v>
      </c>
      <c r="D5455" s="1331"/>
      <c r="E5455" s="1539" t="s">
        <v>743</v>
      </c>
      <c r="F5455" s="1532">
        <v>1</v>
      </c>
      <c r="G5455" s="1152">
        <f>DUB!$I$455</f>
        <v>192780</v>
      </c>
      <c r="H5455" s="1106">
        <f>G5455*F5455</f>
        <v>192780</v>
      </c>
      <c r="M5455" s="1566"/>
    </row>
    <row r="5456" spans="2:13" hidden="1">
      <c r="B5456" s="1540"/>
      <c r="C5456" s="1118"/>
      <c r="D5456" s="1331"/>
      <c r="E5456" s="1539"/>
      <c r="F5456" s="2080" t="s">
        <v>702</v>
      </c>
      <c r="G5456" s="2081"/>
      <c r="H5456" s="1137">
        <f>SUM(H5455)</f>
        <v>192780</v>
      </c>
      <c r="M5456" s="1566"/>
    </row>
    <row r="5457" spans="2:13" s="496" customFormat="1" hidden="1">
      <c r="B5457" s="1543" t="s">
        <v>703</v>
      </c>
      <c r="C5457" s="1117" t="s">
        <v>3764</v>
      </c>
      <c r="D5457" s="1120"/>
      <c r="E5457" s="1120"/>
      <c r="F5457" s="1121"/>
      <c r="G5457" s="1160"/>
      <c r="H5457" s="1203">
        <f>H5453+H5456</f>
        <v>329055</v>
      </c>
      <c r="J5457" s="1559"/>
      <c r="K5457" s="1559"/>
      <c r="L5457" s="1559"/>
      <c r="M5457" s="1635"/>
    </row>
    <row r="5458" spans="2:13" s="496" customFormat="1" hidden="1">
      <c r="B5458" s="1543" t="s">
        <v>706</v>
      </c>
      <c r="C5458" s="1123" t="s">
        <v>876</v>
      </c>
      <c r="D5458" s="1124"/>
      <c r="E5458" s="1124"/>
      <c r="F5458" s="1545" t="s">
        <v>3873</v>
      </c>
      <c r="G5458" s="1160"/>
      <c r="H5458" s="1107">
        <f>H5457*0.15</f>
        <v>49358.25</v>
      </c>
      <c r="J5458" s="1559"/>
      <c r="K5458" s="1559"/>
      <c r="L5458" s="1559"/>
      <c r="M5458" s="1635"/>
    </row>
    <row r="5459" spans="2:13" s="496" customFormat="1" hidden="1">
      <c r="B5459" s="1543" t="s">
        <v>708</v>
      </c>
      <c r="C5459" s="1117" t="s">
        <v>3765</v>
      </c>
      <c r="D5459" s="1120"/>
      <c r="E5459" s="1120"/>
      <c r="F5459" s="1121"/>
      <c r="G5459" s="1160"/>
      <c r="H5459" s="1107">
        <f>ROUND(SUM(H5457:H5458),2)</f>
        <v>378413.25</v>
      </c>
      <c r="I5459" s="524">
        <f>SUM(H5457:H5458)</f>
        <v>378413.25</v>
      </c>
      <c r="J5459" s="1561"/>
      <c r="K5459" s="1561"/>
      <c r="L5459" s="1559"/>
      <c r="M5459" s="1635"/>
    </row>
    <row r="5460" spans="2:13" hidden="1">
      <c r="F5460" s="1172"/>
      <c r="G5460" s="1173"/>
      <c r="H5460" s="1133"/>
      <c r="M5460" s="1566"/>
    </row>
    <row r="5461" spans="2:13" hidden="1">
      <c r="B5461" s="1100" t="s">
        <v>4149</v>
      </c>
      <c r="C5461" s="1232" t="s">
        <v>2759</v>
      </c>
      <c r="F5461" s="1172"/>
      <c r="G5461" s="1173"/>
      <c r="H5461" s="1133"/>
      <c r="M5461" s="1566"/>
    </row>
    <row r="5462" spans="2:13" s="507" customFormat="1" ht="24.9" hidden="1" customHeight="1">
      <c r="B5462" s="1748" t="s">
        <v>1003</v>
      </c>
      <c r="C5462" s="1101" t="s">
        <v>1004</v>
      </c>
      <c r="D5462" s="1101" t="s">
        <v>1005</v>
      </c>
      <c r="E5462" s="1101" t="s">
        <v>1006</v>
      </c>
      <c r="F5462" s="1102" t="s">
        <v>1007</v>
      </c>
      <c r="G5462" s="1109" t="s">
        <v>2637</v>
      </c>
      <c r="H5462" s="1110" t="s">
        <v>2638</v>
      </c>
      <c r="J5462" s="1625"/>
      <c r="K5462" s="1625"/>
      <c r="L5462" s="1625"/>
      <c r="M5462" s="1570"/>
    </row>
    <row r="5463" spans="2:13" hidden="1">
      <c r="B5463" s="1543" t="s">
        <v>671</v>
      </c>
      <c r="C5463" s="1332" t="s">
        <v>1332</v>
      </c>
      <c r="D5463" s="1331"/>
      <c r="E5463" s="1331"/>
      <c r="F5463" s="1334"/>
      <c r="G5463" s="1104"/>
      <c r="H5463" s="1106"/>
      <c r="M5463" s="1566"/>
    </row>
    <row r="5464" spans="2:13" hidden="1">
      <c r="B5464" s="1543"/>
      <c r="C5464" s="1332" t="s">
        <v>673</v>
      </c>
      <c r="D5464" s="1331" t="s">
        <v>674</v>
      </c>
      <c r="E5464" s="1331" t="s">
        <v>675</v>
      </c>
      <c r="F5464" s="1334">
        <v>0.01</v>
      </c>
      <c r="G5464" s="1104">
        <f>DUB!$I$10</f>
        <v>150000</v>
      </c>
      <c r="H5464" s="1106">
        <f>G5464*F5464</f>
        <v>1500</v>
      </c>
      <c r="M5464" s="1566"/>
    </row>
    <row r="5465" spans="2:13" hidden="1">
      <c r="B5465" s="1543"/>
      <c r="C5465" s="1332" t="s">
        <v>871</v>
      </c>
      <c r="D5465" s="1331" t="s">
        <v>678</v>
      </c>
      <c r="E5465" s="1331" t="s">
        <v>675</v>
      </c>
      <c r="F5465" s="1334">
        <v>0.5</v>
      </c>
      <c r="G5465" s="1104">
        <f>DUB!$I$11</f>
        <v>187000</v>
      </c>
      <c r="H5465" s="1106">
        <f>G5465*F5465</f>
        <v>93500</v>
      </c>
      <c r="M5465" s="1566"/>
    </row>
    <row r="5466" spans="2:13" hidden="1">
      <c r="B5466" s="1543"/>
      <c r="C5466" s="1332" t="s">
        <v>751</v>
      </c>
      <c r="D5466" s="1331" t="s">
        <v>681</v>
      </c>
      <c r="E5466" s="1331" t="s">
        <v>675</v>
      </c>
      <c r="F5466" s="1334">
        <v>0.05</v>
      </c>
      <c r="G5466" s="1104">
        <f>DUB!$I$13</f>
        <v>240000</v>
      </c>
      <c r="H5466" s="1106">
        <f>G5466*F5466</f>
        <v>12000</v>
      </c>
      <c r="M5466" s="1566"/>
    </row>
    <row r="5467" spans="2:13" hidden="1">
      <c r="B5467" s="1543"/>
      <c r="C5467" s="1332" t="s">
        <v>683</v>
      </c>
      <c r="D5467" s="1331" t="s">
        <v>684</v>
      </c>
      <c r="E5467" s="1331" t="s">
        <v>675</v>
      </c>
      <c r="F5467" s="1334">
        <v>5.0000000000000001E-3</v>
      </c>
      <c r="G5467" s="1104">
        <f>DUB!$I$12</f>
        <v>225000</v>
      </c>
      <c r="H5467" s="1106">
        <f>G5467*F5467</f>
        <v>1125</v>
      </c>
      <c r="M5467" s="1566"/>
    </row>
    <row r="5468" spans="2:13" hidden="1">
      <c r="B5468" s="1543"/>
      <c r="C5468" s="1332"/>
      <c r="D5468" s="1331"/>
      <c r="E5468" s="1331"/>
      <c r="F5468" s="2074" t="s">
        <v>685</v>
      </c>
      <c r="G5468" s="2074"/>
      <c r="H5468" s="1106">
        <f>SUM(H5464:H5467)</f>
        <v>108125</v>
      </c>
      <c r="M5468" s="1566"/>
    </row>
    <row r="5469" spans="2:13" hidden="1">
      <c r="B5469" s="1543" t="s">
        <v>686</v>
      </c>
      <c r="C5469" s="1332" t="s">
        <v>687</v>
      </c>
      <c r="D5469" s="1331"/>
      <c r="E5469" s="1331"/>
      <c r="F5469" s="1334"/>
      <c r="G5469" s="1104"/>
      <c r="H5469" s="1106"/>
      <c r="M5469" s="1566"/>
    </row>
    <row r="5470" spans="2:13" hidden="1">
      <c r="B5470" s="1543"/>
      <c r="C5470" s="1332" t="s">
        <v>1334</v>
      </c>
      <c r="D5470" s="1331"/>
      <c r="E5470" s="1331" t="s">
        <v>743</v>
      </c>
      <c r="F5470" s="1334">
        <v>1</v>
      </c>
      <c r="G5470" s="1104">
        <f>DUB!$I$454</f>
        <v>69615</v>
      </c>
      <c r="H5470" s="1106">
        <f>G5470*F5470</f>
        <v>69615</v>
      </c>
      <c r="M5470" s="1566"/>
    </row>
    <row r="5471" spans="2:13" hidden="1">
      <c r="B5471" s="1540"/>
      <c r="C5471" s="1332"/>
      <c r="D5471" s="1331"/>
      <c r="E5471" s="1331"/>
      <c r="F5471" s="2090" t="s">
        <v>702</v>
      </c>
      <c r="G5471" s="2090"/>
      <c r="H5471" s="1106">
        <f>SUM(H5470)</f>
        <v>69615</v>
      </c>
      <c r="M5471" s="1566"/>
    </row>
    <row r="5472" spans="2:13" s="496" customFormat="1" hidden="1">
      <c r="B5472" s="1543" t="s">
        <v>703</v>
      </c>
      <c r="C5472" s="2089" t="s">
        <v>3764</v>
      </c>
      <c r="D5472" s="2089"/>
      <c r="E5472" s="2089"/>
      <c r="F5472" s="2089"/>
      <c r="G5472" s="2089"/>
      <c r="H5472" s="1107">
        <f>H5468+H5471</f>
        <v>177740</v>
      </c>
      <c r="J5472" s="1559"/>
      <c r="K5472" s="1559"/>
      <c r="L5472" s="1559"/>
      <c r="M5472" s="1635"/>
    </row>
    <row r="5473" spans="2:13" s="496" customFormat="1" hidden="1">
      <c r="B5473" s="1543" t="s">
        <v>706</v>
      </c>
      <c r="C5473" s="2076" t="s">
        <v>876</v>
      </c>
      <c r="D5473" s="2076"/>
      <c r="E5473" s="2076"/>
      <c r="F5473" s="2077" t="s">
        <v>3873</v>
      </c>
      <c r="G5473" s="2077"/>
      <c r="H5473" s="1107">
        <f>H5472*0.15</f>
        <v>26661</v>
      </c>
      <c r="J5473" s="1559"/>
      <c r="K5473" s="1559"/>
      <c r="L5473" s="1559"/>
      <c r="M5473" s="1635"/>
    </row>
    <row r="5474" spans="2:13" s="496" customFormat="1" hidden="1">
      <c r="B5474" s="1543" t="s">
        <v>708</v>
      </c>
      <c r="C5474" s="2078" t="s">
        <v>3765</v>
      </c>
      <c r="D5474" s="2078"/>
      <c r="E5474" s="2078"/>
      <c r="F5474" s="2078"/>
      <c r="G5474" s="2078"/>
      <c r="H5474" s="1107">
        <f>ROUND(SUM(H5472:H5473),2)</f>
        <v>204401</v>
      </c>
      <c r="I5474" s="506">
        <f>SUM(H5472:H5473)</f>
        <v>204401</v>
      </c>
      <c r="J5474" s="1561"/>
      <c r="K5474" s="1561"/>
      <c r="L5474" s="1559"/>
      <c r="M5474" s="1635"/>
    </row>
    <row r="5475" spans="2:13" hidden="1">
      <c r="B5475" s="1143"/>
      <c r="C5475" s="1144"/>
      <c r="D5475" s="1143"/>
      <c r="E5475" s="1143"/>
      <c r="F5475" s="1145"/>
      <c r="G5475" s="1146"/>
      <c r="H5475" s="1147"/>
      <c r="M5475" s="1566"/>
    </row>
    <row r="5476" spans="2:13" hidden="1">
      <c r="B5476" s="1100" t="s">
        <v>4150</v>
      </c>
      <c r="C5476" s="1112" t="s">
        <v>2758</v>
      </c>
      <c r="D5476" s="1129"/>
      <c r="E5476" s="1129"/>
      <c r="F5476" s="1131"/>
      <c r="G5476" s="1132"/>
      <c r="H5476" s="1115"/>
      <c r="M5476" s="1566"/>
    </row>
    <row r="5477" spans="2:13" s="507" customFormat="1" ht="24.9" hidden="1" customHeight="1">
      <c r="B5477" s="1748" t="s">
        <v>1003</v>
      </c>
      <c r="C5477" s="1101" t="s">
        <v>1004</v>
      </c>
      <c r="D5477" s="1101" t="s">
        <v>1005</v>
      </c>
      <c r="E5477" s="1101" t="s">
        <v>1006</v>
      </c>
      <c r="F5477" s="1102" t="s">
        <v>1007</v>
      </c>
      <c r="G5477" s="1109" t="s">
        <v>2637</v>
      </c>
      <c r="H5477" s="1110" t="s">
        <v>2638</v>
      </c>
      <c r="J5477" s="1625"/>
      <c r="K5477" s="1625"/>
      <c r="L5477" s="1625"/>
      <c r="M5477" s="1570"/>
    </row>
    <row r="5478" spans="2:13" hidden="1">
      <c r="B5478" s="1543" t="s">
        <v>671</v>
      </c>
      <c r="C5478" s="1332" t="s">
        <v>1332</v>
      </c>
      <c r="D5478" s="1331"/>
      <c r="E5478" s="1331"/>
      <c r="F5478" s="1334"/>
      <c r="G5478" s="1104"/>
      <c r="H5478" s="1106"/>
      <c r="M5478" s="1566"/>
    </row>
    <row r="5479" spans="2:13" hidden="1">
      <c r="B5479" s="1543"/>
      <c r="C5479" s="1332" t="s">
        <v>673</v>
      </c>
      <c r="D5479" s="1331" t="s">
        <v>674</v>
      </c>
      <c r="E5479" s="1331" t="s">
        <v>675</v>
      </c>
      <c r="F5479" s="1334">
        <v>5.0000000000000001E-3</v>
      </c>
      <c r="G5479" s="1104">
        <f>DUB!$I$10</f>
        <v>150000</v>
      </c>
      <c r="H5479" s="1106">
        <f>G5479*F5479</f>
        <v>750</v>
      </c>
      <c r="M5479" s="1566"/>
    </row>
    <row r="5480" spans="2:13" hidden="1">
      <c r="B5480" s="1543"/>
      <c r="C5480" s="1332" t="s">
        <v>871</v>
      </c>
      <c r="D5480" s="1331" t="s">
        <v>678</v>
      </c>
      <c r="E5480" s="1331" t="s">
        <v>675</v>
      </c>
      <c r="F5480" s="1334">
        <v>0.5</v>
      </c>
      <c r="G5480" s="1104">
        <f>DUB!$I$11</f>
        <v>187000</v>
      </c>
      <c r="H5480" s="1106">
        <f>G5480*F5480</f>
        <v>93500</v>
      </c>
      <c r="M5480" s="1566"/>
    </row>
    <row r="5481" spans="2:13" hidden="1">
      <c r="B5481" s="1543"/>
      <c r="C5481" s="1332" t="s">
        <v>751</v>
      </c>
      <c r="D5481" s="1331" t="s">
        <v>681</v>
      </c>
      <c r="E5481" s="1331" t="s">
        <v>675</v>
      </c>
      <c r="F5481" s="1334">
        <v>0.05</v>
      </c>
      <c r="G5481" s="1104">
        <f>DUB!$I$13</f>
        <v>240000</v>
      </c>
      <c r="H5481" s="1106">
        <f>G5481*F5481</f>
        <v>12000</v>
      </c>
      <c r="M5481" s="1566"/>
    </row>
    <row r="5482" spans="2:13" hidden="1">
      <c r="B5482" s="1543"/>
      <c r="C5482" s="1332" t="s">
        <v>683</v>
      </c>
      <c r="D5482" s="1331" t="s">
        <v>684</v>
      </c>
      <c r="E5482" s="1331" t="s">
        <v>675</v>
      </c>
      <c r="F5482" s="1334">
        <v>3.0000000000000001E-3</v>
      </c>
      <c r="G5482" s="1104">
        <f>DUB!$I$12</f>
        <v>225000</v>
      </c>
      <c r="H5482" s="1106">
        <f>G5482*F5482</f>
        <v>675</v>
      </c>
      <c r="M5482" s="1566"/>
    </row>
    <row r="5483" spans="2:13" hidden="1">
      <c r="B5483" s="1543"/>
      <c r="C5483" s="1332"/>
      <c r="D5483" s="1331"/>
      <c r="E5483" s="1331"/>
      <c r="F5483" s="2074" t="s">
        <v>685</v>
      </c>
      <c r="G5483" s="2074"/>
      <c r="H5483" s="1106">
        <f>SUM(H5479:H5482)</f>
        <v>106925</v>
      </c>
      <c r="M5483" s="1566"/>
    </row>
    <row r="5484" spans="2:13" hidden="1">
      <c r="B5484" s="1543" t="s">
        <v>686</v>
      </c>
      <c r="C5484" s="1332" t="s">
        <v>687</v>
      </c>
      <c r="D5484" s="1331"/>
      <c r="E5484" s="1331"/>
      <c r="F5484" s="1334"/>
      <c r="G5484" s="1104"/>
      <c r="H5484" s="1106"/>
      <c r="M5484" s="1566"/>
    </row>
    <row r="5485" spans="2:13" hidden="1">
      <c r="B5485" s="1543"/>
      <c r="C5485" s="1332" t="s">
        <v>1335</v>
      </c>
      <c r="D5485" s="1331"/>
      <c r="E5485" s="1331" t="s">
        <v>743</v>
      </c>
      <c r="F5485" s="1334">
        <v>1</v>
      </c>
      <c r="G5485" s="1104">
        <f>DUB!$I$460</f>
        <v>64260</v>
      </c>
      <c r="H5485" s="1106">
        <f>G5485*F5485</f>
        <v>64260</v>
      </c>
      <c r="M5485" s="1566"/>
    </row>
    <row r="5486" spans="2:13" hidden="1">
      <c r="B5486" s="1540"/>
      <c r="C5486" s="1125"/>
      <c r="D5486" s="1333"/>
      <c r="E5486" s="1333"/>
      <c r="F5486" s="2074" t="s">
        <v>702</v>
      </c>
      <c r="G5486" s="2074"/>
      <c r="H5486" s="1106">
        <f>SUM(H5485)</f>
        <v>64260</v>
      </c>
      <c r="M5486" s="1566"/>
    </row>
    <row r="5487" spans="2:13" s="496" customFormat="1" hidden="1">
      <c r="B5487" s="1543" t="s">
        <v>703</v>
      </c>
      <c r="C5487" s="2075" t="s">
        <v>3764</v>
      </c>
      <c r="D5487" s="2075"/>
      <c r="E5487" s="2075"/>
      <c r="F5487" s="2075"/>
      <c r="G5487" s="2075"/>
      <c r="H5487" s="1107">
        <f>H5483+H5486</f>
        <v>171185</v>
      </c>
      <c r="J5487" s="1559"/>
      <c r="K5487" s="1559"/>
      <c r="L5487" s="1559"/>
      <c r="M5487" s="1635"/>
    </row>
    <row r="5488" spans="2:13" s="496" customFormat="1" hidden="1">
      <c r="B5488" s="1543" t="s">
        <v>706</v>
      </c>
      <c r="C5488" s="2076" t="s">
        <v>876</v>
      </c>
      <c r="D5488" s="2076"/>
      <c r="E5488" s="2076"/>
      <c r="F5488" s="2077" t="s">
        <v>3873</v>
      </c>
      <c r="G5488" s="2077"/>
      <c r="H5488" s="1107">
        <f>H5487*0.15</f>
        <v>25677.75</v>
      </c>
      <c r="J5488" s="1559"/>
      <c r="K5488" s="1559"/>
      <c r="L5488" s="1559"/>
      <c r="M5488" s="1635"/>
    </row>
    <row r="5489" spans="2:13" s="496" customFormat="1" hidden="1">
      <c r="B5489" s="1543" t="s">
        <v>708</v>
      </c>
      <c r="C5489" s="2078" t="s">
        <v>3765</v>
      </c>
      <c r="D5489" s="2078"/>
      <c r="E5489" s="2078"/>
      <c r="F5489" s="2078"/>
      <c r="G5489" s="2078"/>
      <c r="H5489" s="1107">
        <f>ROUND(SUM(H5487:H5488),2)</f>
        <v>196862.75</v>
      </c>
      <c r="I5489" s="506">
        <f>SUM(H5487:H5488)</f>
        <v>196862.75</v>
      </c>
      <c r="J5489" s="1561"/>
      <c r="K5489" s="1561"/>
      <c r="L5489" s="1559"/>
      <c r="M5489" s="1635"/>
    </row>
    <row r="5490" spans="2:13" hidden="1">
      <c r="F5490" s="1172"/>
      <c r="G5490" s="1173"/>
      <c r="H5490" s="1133"/>
      <c r="M5490" s="1566"/>
    </row>
    <row r="5491" spans="2:13" hidden="1">
      <c r="B5491" s="1100" t="s">
        <v>4151</v>
      </c>
      <c r="C5491" s="1232" t="s">
        <v>2757</v>
      </c>
      <c r="F5491" s="1172"/>
      <c r="G5491" s="1173"/>
      <c r="H5491" s="1133"/>
      <c r="M5491" s="1566"/>
    </row>
    <row r="5492" spans="2:13" s="528" customFormat="1" ht="24.9" hidden="1" customHeight="1">
      <c r="B5492" s="1748" t="s">
        <v>1003</v>
      </c>
      <c r="C5492" s="1245" t="s">
        <v>1004</v>
      </c>
      <c r="D5492" s="1101" t="s">
        <v>1005</v>
      </c>
      <c r="E5492" s="1245" t="s">
        <v>1006</v>
      </c>
      <c r="F5492" s="1102" t="s">
        <v>1007</v>
      </c>
      <c r="G5492" s="1109" t="s">
        <v>2637</v>
      </c>
      <c r="H5492" s="1110" t="s">
        <v>2638</v>
      </c>
      <c r="J5492" s="1687"/>
      <c r="K5492" s="1687"/>
      <c r="L5492" s="1687"/>
      <c r="M5492" s="1787"/>
    </row>
    <row r="5493" spans="2:13" hidden="1">
      <c r="B5493" s="1540" t="s">
        <v>671</v>
      </c>
      <c r="C5493" s="1332" t="s">
        <v>1332</v>
      </c>
      <c r="D5493" s="1331"/>
      <c r="E5493" s="1331"/>
      <c r="F5493" s="1334"/>
      <c r="G5493" s="1104"/>
      <c r="H5493" s="1106"/>
      <c r="M5493" s="1566"/>
    </row>
    <row r="5494" spans="2:13" hidden="1">
      <c r="B5494" s="1540"/>
      <c r="C5494" s="1332" t="s">
        <v>673</v>
      </c>
      <c r="D5494" s="1331" t="s">
        <v>674</v>
      </c>
      <c r="E5494" s="1331" t="s">
        <v>675</v>
      </c>
      <c r="F5494" s="1334">
        <v>5.0000000000000001E-3</v>
      </c>
      <c r="G5494" s="1104">
        <f>DUB!$I$10</f>
        <v>150000</v>
      </c>
      <c r="H5494" s="1106">
        <f>G5494*F5494</f>
        <v>750</v>
      </c>
      <c r="M5494" s="1566"/>
    </row>
    <row r="5495" spans="2:13" hidden="1">
      <c r="B5495" s="1540"/>
      <c r="C5495" s="1332" t="s">
        <v>871</v>
      </c>
      <c r="D5495" s="1331" t="s">
        <v>678</v>
      </c>
      <c r="E5495" s="1331" t="s">
        <v>675</v>
      </c>
      <c r="F5495" s="1334">
        <v>0.5</v>
      </c>
      <c r="G5495" s="1104">
        <f>DUB!$I$11</f>
        <v>187000</v>
      </c>
      <c r="H5495" s="1106">
        <f>G5495*F5495</f>
        <v>93500</v>
      </c>
      <c r="M5495" s="1566"/>
    </row>
    <row r="5496" spans="2:13" hidden="1">
      <c r="B5496" s="1540"/>
      <c r="C5496" s="1332" t="s">
        <v>751</v>
      </c>
      <c r="D5496" s="1331" t="s">
        <v>681</v>
      </c>
      <c r="E5496" s="1331" t="s">
        <v>675</v>
      </c>
      <c r="F5496" s="1334">
        <v>0.05</v>
      </c>
      <c r="G5496" s="1104">
        <f>DUB!$I$13</f>
        <v>240000</v>
      </c>
      <c r="H5496" s="1106">
        <f>G5496*F5496</f>
        <v>12000</v>
      </c>
      <c r="M5496" s="1566"/>
    </row>
    <row r="5497" spans="2:13" hidden="1">
      <c r="B5497" s="1540"/>
      <c r="C5497" s="1332" t="s">
        <v>683</v>
      </c>
      <c r="D5497" s="1331" t="s">
        <v>684</v>
      </c>
      <c r="E5497" s="1331" t="s">
        <v>675</v>
      </c>
      <c r="F5497" s="1334">
        <v>3.0000000000000001E-3</v>
      </c>
      <c r="G5497" s="1104">
        <f>DUB!$I$12</f>
        <v>225000</v>
      </c>
      <c r="H5497" s="1106">
        <f>G5497*F5497</f>
        <v>675</v>
      </c>
      <c r="M5497" s="1566"/>
    </row>
    <row r="5498" spans="2:13" hidden="1">
      <c r="B5498" s="1540"/>
      <c r="C5498" s="1332"/>
      <c r="D5498" s="1331"/>
      <c r="E5498" s="1331"/>
      <c r="F5498" s="2074" t="s">
        <v>685</v>
      </c>
      <c r="G5498" s="2074"/>
      <c r="H5498" s="1106">
        <f>SUM(H5494:H5497)</f>
        <v>106925</v>
      </c>
      <c r="M5498" s="1566"/>
    </row>
    <row r="5499" spans="2:13" hidden="1">
      <c r="B5499" s="1540" t="s">
        <v>686</v>
      </c>
      <c r="C5499" s="1332" t="s">
        <v>687</v>
      </c>
      <c r="D5499" s="1331"/>
      <c r="E5499" s="1331"/>
      <c r="F5499" s="1334"/>
      <c r="G5499" s="1104"/>
      <c r="H5499" s="1106"/>
      <c r="M5499" s="1566"/>
    </row>
    <row r="5500" spans="2:13" hidden="1">
      <c r="B5500" s="1540"/>
      <c r="C5500" s="1332" t="s">
        <v>1336</v>
      </c>
      <c r="D5500" s="1331"/>
      <c r="E5500" s="1331" t="s">
        <v>743</v>
      </c>
      <c r="F5500" s="1334">
        <v>1</v>
      </c>
      <c r="G5500" s="1104">
        <f>DUB!$I$457</f>
        <v>37485</v>
      </c>
      <c r="H5500" s="1106">
        <f>G5500*F5500</f>
        <v>37485</v>
      </c>
      <c r="M5500" s="1566"/>
    </row>
    <row r="5501" spans="2:13" hidden="1">
      <c r="B5501" s="1540"/>
      <c r="C5501" s="1125"/>
      <c r="D5501" s="1333"/>
      <c r="E5501" s="1333"/>
      <c r="F5501" s="2074" t="s">
        <v>702</v>
      </c>
      <c r="G5501" s="2074"/>
      <c r="H5501" s="1106">
        <f>SUM(H5500)</f>
        <v>37485</v>
      </c>
      <c r="M5501" s="1566"/>
    </row>
    <row r="5502" spans="2:13" s="496" customFormat="1" hidden="1">
      <c r="B5502" s="1543" t="s">
        <v>703</v>
      </c>
      <c r="C5502" s="2075" t="s">
        <v>3764</v>
      </c>
      <c r="D5502" s="2075"/>
      <c r="E5502" s="2075"/>
      <c r="F5502" s="2075"/>
      <c r="G5502" s="2075"/>
      <c r="H5502" s="1107">
        <f>H5498+H5501</f>
        <v>144410</v>
      </c>
      <c r="J5502" s="1559"/>
      <c r="K5502" s="1559"/>
      <c r="L5502" s="1559"/>
      <c r="M5502" s="1635"/>
    </row>
    <row r="5503" spans="2:13" s="496" customFormat="1" hidden="1">
      <c r="B5503" s="1543" t="s">
        <v>706</v>
      </c>
      <c r="C5503" s="2076" t="s">
        <v>876</v>
      </c>
      <c r="D5503" s="2076"/>
      <c r="E5503" s="2076"/>
      <c r="F5503" s="2077" t="s">
        <v>3873</v>
      </c>
      <c r="G5503" s="2077"/>
      <c r="H5503" s="1107">
        <f>H5502*0.15</f>
        <v>21661.5</v>
      </c>
      <c r="J5503" s="1559"/>
      <c r="K5503" s="1559"/>
      <c r="L5503" s="1559"/>
      <c r="M5503" s="1635"/>
    </row>
    <row r="5504" spans="2:13" s="496" customFormat="1" hidden="1">
      <c r="B5504" s="1543" t="s">
        <v>708</v>
      </c>
      <c r="C5504" s="2078" t="s">
        <v>3765</v>
      </c>
      <c r="D5504" s="2078"/>
      <c r="E5504" s="2078"/>
      <c r="F5504" s="2078"/>
      <c r="G5504" s="2078"/>
      <c r="H5504" s="1107">
        <f>ROUND(SUM(H5502:H5503),2)</f>
        <v>166071.5</v>
      </c>
      <c r="I5504" s="506">
        <f>SUM(H5502:H5503)</f>
        <v>166071.5</v>
      </c>
      <c r="J5504" s="1561"/>
      <c r="K5504" s="1561"/>
      <c r="L5504" s="1559"/>
      <c r="M5504" s="1635"/>
    </row>
    <row r="5505" spans="2:13" hidden="1">
      <c r="B5505" s="1143"/>
      <c r="C5505" s="1144"/>
      <c r="D5505" s="1143"/>
      <c r="E5505" s="1143"/>
      <c r="F5505" s="1145"/>
      <c r="G5505" s="1146"/>
      <c r="H5505" s="1147"/>
      <c r="M5505" s="1566"/>
    </row>
    <row r="5506" spans="2:13" hidden="1">
      <c r="B5506" s="1100" t="s">
        <v>4152</v>
      </c>
      <c r="C5506" s="1112" t="s">
        <v>2756</v>
      </c>
      <c r="D5506" s="1129"/>
      <c r="E5506" s="1129"/>
      <c r="F5506" s="1131"/>
      <c r="G5506" s="1132"/>
      <c r="H5506" s="1115"/>
      <c r="M5506" s="1566"/>
    </row>
    <row r="5507" spans="2:13" s="507" customFormat="1" ht="24.9" hidden="1" customHeight="1">
      <c r="B5507" s="1748" t="s">
        <v>1003</v>
      </c>
      <c r="C5507" s="1101" t="s">
        <v>1004</v>
      </c>
      <c r="D5507" s="1101" t="s">
        <v>1005</v>
      </c>
      <c r="E5507" s="1101" t="s">
        <v>1006</v>
      </c>
      <c r="F5507" s="1102" t="s">
        <v>1007</v>
      </c>
      <c r="G5507" s="1109" t="s">
        <v>2637</v>
      </c>
      <c r="H5507" s="1110" t="s">
        <v>2638</v>
      </c>
      <c r="J5507" s="1625"/>
      <c r="K5507" s="1625"/>
      <c r="L5507" s="1625"/>
      <c r="M5507" s="1570"/>
    </row>
    <row r="5508" spans="2:13" hidden="1">
      <c r="B5508" s="1543" t="s">
        <v>671</v>
      </c>
      <c r="C5508" s="1332" t="s">
        <v>672</v>
      </c>
      <c r="D5508" s="1331"/>
      <c r="E5508" s="1331"/>
      <c r="F5508" s="1334"/>
      <c r="G5508" s="1104"/>
      <c r="H5508" s="1106"/>
      <c r="M5508" s="1566"/>
    </row>
    <row r="5509" spans="2:13" hidden="1">
      <c r="B5509" s="1543"/>
      <c r="C5509" s="1332" t="s">
        <v>673</v>
      </c>
      <c r="D5509" s="1331" t="s">
        <v>674</v>
      </c>
      <c r="E5509" s="1331" t="s">
        <v>675</v>
      </c>
      <c r="F5509" s="1334">
        <v>1.4999999999999999E-2</v>
      </c>
      <c r="G5509" s="1104">
        <f>DUB!$I$10</f>
        <v>150000</v>
      </c>
      <c r="H5509" s="1106">
        <f>G5509*F5509</f>
        <v>2250</v>
      </c>
      <c r="M5509" s="1566"/>
    </row>
    <row r="5510" spans="2:13" hidden="1">
      <c r="B5510" s="1543"/>
      <c r="C5510" s="1332" t="s">
        <v>871</v>
      </c>
      <c r="D5510" s="1331" t="s">
        <v>678</v>
      </c>
      <c r="E5510" s="1331" t="s">
        <v>675</v>
      </c>
      <c r="F5510" s="1334">
        <v>0.15</v>
      </c>
      <c r="G5510" s="1104">
        <f>DUB!$I$11</f>
        <v>187000</v>
      </c>
      <c r="H5510" s="1106">
        <f>G5510*F5510</f>
        <v>28050</v>
      </c>
      <c r="M5510" s="1566"/>
    </row>
    <row r="5511" spans="2:13" hidden="1">
      <c r="B5511" s="1543"/>
      <c r="C5511" s="1332" t="s">
        <v>751</v>
      </c>
      <c r="D5511" s="1331" t="s">
        <v>681</v>
      </c>
      <c r="E5511" s="1331" t="s">
        <v>675</v>
      </c>
      <c r="F5511" s="1334">
        <v>1.4999999999999999E-2</v>
      </c>
      <c r="G5511" s="1104">
        <f>DUB!$I$13</f>
        <v>240000</v>
      </c>
      <c r="H5511" s="1106">
        <f>G5511*F5511</f>
        <v>3600</v>
      </c>
      <c r="M5511" s="1566"/>
    </row>
    <row r="5512" spans="2:13" hidden="1">
      <c r="B5512" s="1543"/>
      <c r="C5512" s="1332" t="s">
        <v>683</v>
      </c>
      <c r="D5512" s="1331" t="s">
        <v>684</v>
      </c>
      <c r="E5512" s="1331" t="s">
        <v>675</v>
      </c>
      <c r="F5512" s="1334">
        <v>8.0000000000000004E-4</v>
      </c>
      <c r="G5512" s="1104">
        <f>DUB!$I$12</f>
        <v>225000</v>
      </c>
      <c r="H5512" s="1106">
        <f>G5512*F5512</f>
        <v>180</v>
      </c>
      <c r="M5512" s="1566"/>
    </row>
    <row r="5513" spans="2:13" hidden="1">
      <c r="B5513" s="1543"/>
      <c r="C5513" s="1332"/>
      <c r="D5513" s="1331"/>
      <c r="E5513" s="1331"/>
      <c r="F5513" s="2074" t="s">
        <v>685</v>
      </c>
      <c r="G5513" s="2074"/>
      <c r="H5513" s="1106">
        <f>SUM(H5509:H5512)</f>
        <v>34080</v>
      </c>
      <c r="M5513" s="1566"/>
    </row>
    <row r="5514" spans="2:13" hidden="1">
      <c r="B5514" s="1543" t="s">
        <v>686</v>
      </c>
      <c r="C5514" s="1332" t="s">
        <v>687</v>
      </c>
      <c r="D5514" s="1331"/>
      <c r="E5514" s="1331"/>
      <c r="F5514" s="1334"/>
      <c r="G5514" s="1104"/>
      <c r="H5514" s="1106"/>
      <c r="M5514" s="1566"/>
    </row>
    <row r="5515" spans="2:13" hidden="1">
      <c r="B5515" s="1543"/>
      <c r="C5515" s="1332" t="s">
        <v>1338</v>
      </c>
      <c r="D5515" s="1331"/>
      <c r="E5515" s="1331" t="s">
        <v>743</v>
      </c>
      <c r="F5515" s="1334">
        <v>1</v>
      </c>
      <c r="G5515" s="1104">
        <f>DUB!$I$446</f>
        <v>10710</v>
      </c>
      <c r="H5515" s="1106">
        <f>G5515*F5515</f>
        <v>10710</v>
      </c>
      <c r="M5515" s="1566"/>
    </row>
    <row r="5516" spans="2:13" hidden="1">
      <c r="B5516" s="1540"/>
      <c r="C5516" s="1125"/>
      <c r="D5516" s="1333"/>
      <c r="E5516" s="1333"/>
      <c r="F5516" s="2074" t="s">
        <v>702</v>
      </c>
      <c r="G5516" s="2074"/>
      <c r="H5516" s="1106">
        <f>SUM(H5515)</f>
        <v>10710</v>
      </c>
      <c r="M5516" s="1566"/>
    </row>
    <row r="5517" spans="2:13" s="496" customFormat="1" hidden="1">
      <c r="B5517" s="1543" t="s">
        <v>703</v>
      </c>
      <c r="C5517" s="2075" t="s">
        <v>3764</v>
      </c>
      <c r="D5517" s="2075"/>
      <c r="E5517" s="2075"/>
      <c r="F5517" s="2075"/>
      <c r="G5517" s="2075"/>
      <c r="H5517" s="1107">
        <f>H5513+H5516</f>
        <v>44790</v>
      </c>
      <c r="J5517" s="1559"/>
      <c r="K5517" s="1559"/>
      <c r="L5517" s="1559"/>
      <c r="M5517" s="1635"/>
    </row>
    <row r="5518" spans="2:13" s="496" customFormat="1" hidden="1">
      <c r="B5518" s="1543" t="s">
        <v>706</v>
      </c>
      <c r="C5518" s="2076" t="s">
        <v>876</v>
      </c>
      <c r="D5518" s="2076"/>
      <c r="E5518" s="2076"/>
      <c r="F5518" s="2077" t="s">
        <v>3873</v>
      </c>
      <c r="G5518" s="2077"/>
      <c r="H5518" s="1107">
        <f>H5517*0.15</f>
        <v>6718.5</v>
      </c>
      <c r="J5518" s="1559"/>
      <c r="K5518" s="1559"/>
      <c r="L5518" s="1559"/>
      <c r="M5518" s="1635"/>
    </row>
    <row r="5519" spans="2:13" s="496" customFormat="1" hidden="1">
      <c r="B5519" s="1543" t="s">
        <v>708</v>
      </c>
      <c r="C5519" s="2078" t="s">
        <v>3765</v>
      </c>
      <c r="D5519" s="2078"/>
      <c r="E5519" s="2078"/>
      <c r="F5519" s="2078"/>
      <c r="G5519" s="2078"/>
      <c r="H5519" s="1107">
        <f>ROUND(SUM(H5517:H5518),2)</f>
        <v>51508.5</v>
      </c>
      <c r="I5519" s="506">
        <f>SUM(H5517:H5518)</f>
        <v>51508.5</v>
      </c>
      <c r="J5519" s="1561"/>
      <c r="K5519" s="1561"/>
      <c r="L5519" s="1559"/>
      <c r="M5519" s="1635"/>
    </row>
    <row r="5520" spans="2:13" hidden="1">
      <c r="F5520" s="1172"/>
      <c r="G5520" s="1173"/>
      <c r="H5520" s="1133"/>
      <c r="M5520" s="1566"/>
    </row>
    <row r="5521" spans="2:13" hidden="1">
      <c r="B5521" s="1100" t="s">
        <v>4153</v>
      </c>
      <c r="C5521" s="1232" t="s">
        <v>2755</v>
      </c>
      <c r="F5521" s="1172"/>
      <c r="G5521" s="1173"/>
      <c r="H5521" s="1133"/>
      <c r="M5521" s="1566"/>
    </row>
    <row r="5522" spans="2:13" s="507" customFormat="1" ht="24.9" hidden="1" customHeight="1">
      <c r="B5522" s="1748" t="s">
        <v>1003</v>
      </c>
      <c r="C5522" s="1101" t="s">
        <v>1004</v>
      </c>
      <c r="D5522" s="1101" t="s">
        <v>1005</v>
      </c>
      <c r="E5522" s="1101" t="s">
        <v>1006</v>
      </c>
      <c r="F5522" s="1102" t="s">
        <v>1007</v>
      </c>
      <c r="G5522" s="1109" t="s">
        <v>2637</v>
      </c>
      <c r="H5522" s="1110" t="s">
        <v>2638</v>
      </c>
      <c r="J5522" s="1625"/>
      <c r="K5522" s="1625"/>
      <c r="L5522" s="1625"/>
      <c r="M5522" s="1570"/>
    </row>
    <row r="5523" spans="2:13" hidden="1">
      <c r="B5523" s="1543" t="s">
        <v>671</v>
      </c>
      <c r="C5523" s="1332" t="s">
        <v>672</v>
      </c>
      <c r="D5523" s="1331"/>
      <c r="E5523" s="1331"/>
      <c r="F5523" s="1334"/>
      <c r="G5523" s="1104"/>
      <c r="H5523" s="1106"/>
      <c r="M5523" s="1566"/>
    </row>
    <row r="5524" spans="2:13" hidden="1">
      <c r="B5524" s="1543"/>
      <c r="C5524" s="1332" t="s">
        <v>673</v>
      </c>
      <c r="D5524" s="1331" t="s">
        <v>674</v>
      </c>
      <c r="E5524" s="1331" t="s">
        <v>675</v>
      </c>
      <c r="F5524" s="1334">
        <v>0.01</v>
      </c>
      <c r="G5524" s="1104">
        <f>DUB!$I$10</f>
        <v>150000</v>
      </c>
      <c r="H5524" s="1106">
        <f>G5524*F5524</f>
        <v>1500</v>
      </c>
      <c r="M5524" s="1566"/>
    </row>
    <row r="5525" spans="2:13" hidden="1">
      <c r="B5525" s="1543"/>
      <c r="C5525" s="1332" t="s">
        <v>871</v>
      </c>
      <c r="D5525" s="1331" t="s">
        <v>678</v>
      </c>
      <c r="E5525" s="1331" t="s">
        <v>675</v>
      </c>
      <c r="F5525" s="1334">
        <v>0.1</v>
      </c>
      <c r="G5525" s="1104">
        <f>DUB!$I$11</f>
        <v>187000</v>
      </c>
      <c r="H5525" s="1106">
        <f>G5525*F5525</f>
        <v>18700</v>
      </c>
      <c r="M5525" s="1566"/>
    </row>
    <row r="5526" spans="2:13" hidden="1">
      <c r="B5526" s="1543"/>
      <c r="C5526" s="1332" t="s">
        <v>751</v>
      </c>
      <c r="D5526" s="1331" t="s">
        <v>681</v>
      </c>
      <c r="E5526" s="1331" t="s">
        <v>675</v>
      </c>
      <c r="F5526" s="1334">
        <v>0.01</v>
      </c>
      <c r="G5526" s="1104">
        <f>DUB!$I$13</f>
        <v>240000</v>
      </c>
      <c r="H5526" s="1106">
        <f>G5526*F5526</f>
        <v>2400</v>
      </c>
      <c r="M5526" s="1566"/>
    </row>
    <row r="5527" spans="2:13" hidden="1">
      <c r="B5527" s="1543"/>
      <c r="C5527" s="1332" t="s">
        <v>683</v>
      </c>
      <c r="D5527" s="1331" t="s">
        <v>684</v>
      </c>
      <c r="E5527" s="1331" t="s">
        <v>675</v>
      </c>
      <c r="F5527" s="1334">
        <v>5.0000000000000001E-4</v>
      </c>
      <c r="G5527" s="1104">
        <f>DUB!$I$12</f>
        <v>225000</v>
      </c>
      <c r="H5527" s="1106">
        <f>G5527*F5527</f>
        <v>112.5</v>
      </c>
      <c r="M5527" s="1566"/>
    </row>
    <row r="5528" spans="2:13" hidden="1">
      <c r="B5528" s="1543"/>
      <c r="C5528" s="1332"/>
      <c r="D5528" s="1331"/>
      <c r="E5528" s="1331"/>
      <c r="F5528" s="2074" t="s">
        <v>685</v>
      </c>
      <c r="G5528" s="2074"/>
      <c r="H5528" s="1106">
        <f>SUM(H5524:H5527)</f>
        <v>22712.5</v>
      </c>
      <c r="M5528" s="1566"/>
    </row>
    <row r="5529" spans="2:13" hidden="1">
      <c r="B5529" s="1543" t="s">
        <v>686</v>
      </c>
      <c r="C5529" s="1332" t="s">
        <v>687</v>
      </c>
      <c r="D5529" s="1331"/>
      <c r="E5529" s="1331"/>
      <c r="F5529" s="1334"/>
      <c r="G5529" s="1104"/>
      <c r="H5529" s="1106"/>
      <c r="M5529" s="1566"/>
    </row>
    <row r="5530" spans="2:13" hidden="1">
      <c r="B5530" s="1543"/>
      <c r="C5530" s="1332" t="s">
        <v>1340</v>
      </c>
      <c r="D5530" s="1331"/>
      <c r="E5530" s="1331" t="s">
        <v>743</v>
      </c>
      <c r="F5530" s="1334">
        <v>1</v>
      </c>
      <c r="G5530" s="1104">
        <f>DUB!$I$447</f>
        <v>8568</v>
      </c>
      <c r="H5530" s="1106">
        <f>G5530*F5530</f>
        <v>8568</v>
      </c>
      <c r="M5530" s="1566"/>
    </row>
    <row r="5531" spans="2:13" hidden="1">
      <c r="B5531" s="1540"/>
      <c r="C5531" s="1125"/>
      <c r="D5531" s="1333"/>
      <c r="E5531" s="1333"/>
      <c r="F5531" s="2074" t="s">
        <v>702</v>
      </c>
      <c r="G5531" s="2074"/>
      <c r="H5531" s="1106">
        <f>SUM(H5530)</f>
        <v>8568</v>
      </c>
      <c r="M5531" s="1566"/>
    </row>
    <row r="5532" spans="2:13" s="496" customFormat="1" hidden="1">
      <c r="B5532" s="1543" t="s">
        <v>703</v>
      </c>
      <c r="C5532" s="2075" t="s">
        <v>3764</v>
      </c>
      <c r="D5532" s="2075"/>
      <c r="E5532" s="2075"/>
      <c r="F5532" s="2075"/>
      <c r="G5532" s="2075"/>
      <c r="H5532" s="1107">
        <f>H5528+H5531</f>
        <v>31280.5</v>
      </c>
      <c r="J5532" s="1559"/>
      <c r="K5532" s="1559"/>
      <c r="L5532" s="1559"/>
      <c r="M5532" s="1635"/>
    </row>
    <row r="5533" spans="2:13" s="496" customFormat="1" hidden="1">
      <c r="B5533" s="1543" t="s">
        <v>706</v>
      </c>
      <c r="C5533" s="2076" t="s">
        <v>876</v>
      </c>
      <c r="D5533" s="2076"/>
      <c r="E5533" s="2076"/>
      <c r="F5533" s="2077" t="s">
        <v>3873</v>
      </c>
      <c r="G5533" s="2077"/>
      <c r="H5533" s="1107">
        <f>H5532*0.15</f>
        <v>4692.0749999999998</v>
      </c>
      <c r="J5533" s="1559"/>
      <c r="K5533" s="1559"/>
      <c r="L5533" s="1559"/>
      <c r="M5533" s="1635"/>
    </row>
    <row r="5534" spans="2:13" s="496" customFormat="1" hidden="1">
      <c r="B5534" s="1543" t="s">
        <v>708</v>
      </c>
      <c r="C5534" s="2078" t="s">
        <v>3765</v>
      </c>
      <c r="D5534" s="2078"/>
      <c r="E5534" s="2078"/>
      <c r="F5534" s="2078"/>
      <c r="G5534" s="2078"/>
      <c r="H5534" s="1107">
        <f>ROUND(SUM(H5532:H5533),2)</f>
        <v>35972.58</v>
      </c>
      <c r="I5534" s="506">
        <f>SUM(H5532:H5533)</f>
        <v>35972.574999999997</v>
      </c>
      <c r="J5534" s="1561"/>
      <c r="K5534" s="1561"/>
      <c r="L5534" s="1559"/>
      <c r="M5534" s="1635"/>
    </row>
    <row r="5535" spans="2:13" hidden="1">
      <c r="B5535" s="1143"/>
      <c r="C5535" s="1144"/>
      <c r="D5535" s="1143"/>
      <c r="E5535" s="1143"/>
      <c r="F5535" s="1145"/>
      <c r="G5535" s="1146"/>
      <c r="H5535" s="1147"/>
      <c r="M5535" s="1566"/>
    </row>
    <row r="5536" spans="2:13" hidden="1">
      <c r="B5536" s="1100" t="s">
        <v>4366</v>
      </c>
      <c r="C5536" s="1232" t="s">
        <v>4454</v>
      </c>
      <c r="F5536" s="1172"/>
      <c r="G5536" s="1173"/>
      <c r="H5536" s="1133"/>
      <c r="M5536" s="1566"/>
    </row>
    <row r="5537" spans="2:13" ht="24.9" hidden="1" customHeight="1">
      <c r="B5537" s="1748" t="s">
        <v>1003</v>
      </c>
      <c r="C5537" s="1101" t="s">
        <v>1004</v>
      </c>
      <c r="D5537" s="1101" t="s">
        <v>1005</v>
      </c>
      <c r="E5537" s="1101" t="s">
        <v>1006</v>
      </c>
      <c r="F5537" s="1102" t="s">
        <v>1007</v>
      </c>
      <c r="G5537" s="1109" t="s">
        <v>2637</v>
      </c>
      <c r="H5537" s="1110" t="s">
        <v>2638</v>
      </c>
      <c r="M5537" s="1566"/>
    </row>
    <row r="5538" spans="2:13" hidden="1">
      <c r="B5538" s="1543" t="s">
        <v>671</v>
      </c>
      <c r="C5538" s="1332" t="s">
        <v>672</v>
      </c>
      <c r="D5538" s="1331"/>
      <c r="E5538" s="1331"/>
      <c r="F5538" s="1334"/>
      <c r="G5538" s="1104"/>
      <c r="H5538" s="1106"/>
      <c r="M5538" s="1566"/>
    </row>
    <row r="5539" spans="2:13" hidden="1">
      <c r="B5539" s="1543"/>
      <c r="C5539" s="1332" t="s">
        <v>673</v>
      </c>
      <c r="D5539" s="1331" t="s">
        <v>674</v>
      </c>
      <c r="E5539" s="1331" t="s">
        <v>675</v>
      </c>
      <c r="F5539" s="1334">
        <v>0.01</v>
      </c>
      <c r="G5539" s="1104">
        <f>DUB!$I$10</f>
        <v>150000</v>
      </c>
      <c r="H5539" s="1106">
        <f>G5539*F5539</f>
        <v>1500</v>
      </c>
      <c r="M5539" s="1566"/>
    </row>
    <row r="5540" spans="2:13" hidden="1">
      <c r="B5540" s="1543"/>
      <c r="C5540" s="1332" t="s">
        <v>871</v>
      </c>
      <c r="D5540" s="1331" t="s">
        <v>678</v>
      </c>
      <c r="E5540" s="1331" t="s">
        <v>675</v>
      </c>
      <c r="F5540" s="1334">
        <v>0.1</v>
      </c>
      <c r="G5540" s="1104">
        <f>DUB!$I$11</f>
        <v>187000</v>
      </c>
      <c r="H5540" s="1106">
        <f>G5540*F5540</f>
        <v>18700</v>
      </c>
      <c r="M5540" s="1566"/>
    </row>
    <row r="5541" spans="2:13" hidden="1">
      <c r="B5541" s="1543"/>
      <c r="C5541" s="1332" t="s">
        <v>751</v>
      </c>
      <c r="D5541" s="1331" t="s">
        <v>681</v>
      </c>
      <c r="E5541" s="1331" t="s">
        <v>675</v>
      </c>
      <c r="F5541" s="1334">
        <v>0.01</v>
      </c>
      <c r="G5541" s="1104">
        <f>DUB!$I$13</f>
        <v>240000</v>
      </c>
      <c r="H5541" s="1106">
        <f>G5541*F5541</f>
        <v>2400</v>
      </c>
      <c r="M5541" s="1566"/>
    </row>
    <row r="5542" spans="2:13" hidden="1">
      <c r="B5542" s="1543"/>
      <c r="C5542" s="1332" t="s">
        <v>683</v>
      </c>
      <c r="D5542" s="1331" t="s">
        <v>684</v>
      </c>
      <c r="E5542" s="1331" t="s">
        <v>675</v>
      </c>
      <c r="F5542" s="1334">
        <v>5.0000000000000001E-4</v>
      </c>
      <c r="G5542" s="1104">
        <f>DUB!$I$12</f>
        <v>225000</v>
      </c>
      <c r="H5542" s="1106">
        <f>G5542*F5542</f>
        <v>112.5</v>
      </c>
      <c r="M5542" s="1566"/>
    </row>
    <row r="5543" spans="2:13" hidden="1">
      <c r="B5543" s="1543"/>
      <c r="C5543" s="1332"/>
      <c r="D5543" s="1331"/>
      <c r="E5543" s="1331"/>
      <c r="F5543" s="2074" t="s">
        <v>685</v>
      </c>
      <c r="G5543" s="2074"/>
      <c r="H5543" s="1106">
        <f>SUM(H5539:H5542)</f>
        <v>22712.5</v>
      </c>
      <c r="M5543" s="1566"/>
    </row>
    <row r="5544" spans="2:13" hidden="1">
      <c r="B5544" s="1543" t="s">
        <v>686</v>
      </c>
      <c r="C5544" s="1332" t="s">
        <v>687</v>
      </c>
      <c r="D5544" s="1331"/>
      <c r="E5544" s="1331"/>
      <c r="F5544" s="1334"/>
      <c r="G5544" s="1104"/>
      <c r="H5544" s="1106"/>
      <c r="M5544" s="1566"/>
    </row>
    <row r="5545" spans="2:13" hidden="1">
      <c r="B5545" s="1543"/>
      <c r="C5545" s="1332" t="s">
        <v>4367</v>
      </c>
      <c r="D5545" s="1331"/>
      <c r="E5545" s="1331" t="s">
        <v>743</v>
      </c>
      <c r="F5545" s="1334">
        <v>1</v>
      </c>
      <c r="G5545" s="1104">
        <f>DUB!$I$448</f>
        <v>116946</v>
      </c>
      <c r="H5545" s="1106">
        <f>G5545*F5545</f>
        <v>116946</v>
      </c>
      <c r="M5545" s="1566"/>
    </row>
    <row r="5546" spans="2:13" hidden="1">
      <c r="B5546" s="1540"/>
      <c r="C5546" s="1125"/>
      <c r="D5546" s="1333"/>
      <c r="E5546" s="1333"/>
      <c r="F5546" s="2074" t="s">
        <v>702</v>
      </c>
      <c r="G5546" s="2074"/>
      <c r="H5546" s="1106">
        <f>SUM(H5545)</f>
        <v>116946</v>
      </c>
      <c r="M5546" s="1566"/>
    </row>
    <row r="5547" spans="2:13" hidden="1">
      <c r="B5547" s="1543" t="s">
        <v>703</v>
      </c>
      <c r="C5547" s="2075" t="s">
        <v>3764</v>
      </c>
      <c r="D5547" s="2075"/>
      <c r="E5547" s="2075"/>
      <c r="F5547" s="2075"/>
      <c r="G5547" s="2075"/>
      <c r="H5547" s="1107">
        <f>H5543+H5546</f>
        <v>139658.5</v>
      </c>
      <c r="M5547" s="1566"/>
    </row>
    <row r="5548" spans="2:13" hidden="1">
      <c r="B5548" s="1543" t="s">
        <v>706</v>
      </c>
      <c r="C5548" s="2076" t="s">
        <v>876</v>
      </c>
      <c r="D5548" s="2076"/>
      <c r="E5548" s="2076"/>
      <c r="F5548" s="2077" t="s">
        <v>3873</v>
      </c>
      <c r="G5548" s="2077"/>
      <c r="H5548" s="1107">
        <f>H5547*0.15</f>
        <v>20948.774999999998</v>
      </c>
      <c r="M5548" s="1566"/>
    </row>
    <row r="5549" spans="2:13" hidden="1">
      <c r="B5549" s="1543" t="s">
        <v>708</v>
      </c>
      <c r="C5549" s="2078" t="s">
        <v>3765</v>
      </c>
      <c r="D5549" s="2078"/>
      <c r="E5549" s="2078"/>
      <c r="F5549" s="2078"/>
      <c r="G5549" s="2078"/>
      <c r="H5549" s="1107">
        <f>ROUND(SUM(H5547:H5548),2)</f>
        <v>160607.28</v>
      </c>
      <c r="M5549" s="1566"/>
    </row>
    <row r="5550" spans="2:13" hidden="1">
      <c r="B5550" s="1129"/>
      <c r="C5550" s="1130"/>
      <c r="D5550" s="1129"/>
      <c r="E5550" s="1129"/>
      <c r="F5550" s="1131"/>
      <c r="G5550" s="1132"/>
      <c r="H5550" s="1115"/>
      <c r="M5550" s="1566"/>
    </row>
    <row r="5551" spans="2:13" hidden="1">
      <c r="B5551" s="1100" t="s">
        <v>4455</v>
      </c>
      <c r="C5551" s="1232" t="s">
        <v>4456</v>
      </c>
      <c r="F5551" s="1172"/>
      <c r="G5551" s="1173"/>
      <c r="H5551" s="1133"/>
      <c r="M5551" s="1566"/>
    </row>
    <row r="5552" spans="2:13" ht="24.9" hidden="1" customHeight="1">
      <c r="B5552" s="1748" t="s">
        <v>1003</v>
      </c>
      <c r="C5552" s="1101" t="s">
        <v>1004</v>
      </c>
      <c r="D5552" s="1101" t="s">
        <v>1005</v>
      </c>
      <c r="E5552" s="1101" t="s">
        <v>1006</v>
      </c>
      <c r="F5552" s="1102" t="s">
        <v>1007</v>
      </c>
      <c r="G5552" s="1109" t="s">
        <v>2637</v>
      </c>
      <c r="H5552" s="1110" t="s">
        <v>2638</v>
      </c>
      <c r="M5552" s="1566"/>
    </row>
    <row r="5553" spans="2:13" hidden="1">
      <c r="B5553" s="1543" t="s">
        <v>671</v>
      </c>
      <c r="C5553" s="1332" t="s">
        <v>672</v>
      </c>
      <c r="D5553" s="1331"/>
      <c r="E5553" s="1331"/>
      <c r="F5553" s="1334"/>
      <c r="G5553" s="1104"/>
      <c r="H5553" s="1106"/>
      <c r="M5553" s="1566"/>
    </row>
    <row r="5554" spans="2:13" hidden="1">
      <c r="B5554" s="1543"/>
      <c r="C5554" s="1332" t="s">
        <v>673</v>
      </c>
      <c r="D5554" s="1331" t="s">
        <v>674</v>
      </c>
      <c r="E5554" s="1331" t="s">
        <v>675</v>
      </c>
      <c r="F5554" s="1334">
        <v>0.01</v>
      </c>
      <c r="G5554" s="1104">
        <f>DUB!$I$10</f>
        <v>150000</v>
      </c>
      <c r="H5554" s="1106">
        <f>G5554*F5554</f>
        <v>1500</v>
      </c>
      <c r="M5554" s="1566"/>
    </row>
    <row r="5555" spans="2:13" hidden="1">
      <c r="B5555" s="1543"/>
      <c r="C5555" s="1332" t="s">
        <v>871</v>
      </c>
      <c r="D5555" s="1331" t="s">
        <v>678</v>
      </c>
      <c r="E5555" s="1331" t="s">
        <v>675</v>
      </c>
      <c r="F5555" s="1334">
        <v>0.1</v>
      </c>
      <c r="G5555" s="1104">
        <f>DUB!$I$11</f>
        <v>187000</v>
      </c>
      <c r="H5555" s="1106">
        <f>G5555*F5555</f>
        <v>18700</v>
      </c>
      <c r="M5555" s="1566"/>
    </row>
    <row r="5556" spans="2:13" hidden="1">
      <c r="B5556" s="1543"/>
      <c r="C5556" s="1332" t="s">
        <v>751</v>
      </c>
      <c r="D5556" s="1331" t="s">
        <v>681</v>
      </c>
      <c r="E5556" s="1331" t="s">
        <v>675</v>
      </c>
      <c r="F5556" s="1334">
        <v>0.01</v>
      </c>
      <c r="G5556" s="1104">
        <f>DUB!$I$13</f>
        <v>240000</v>
      </c>
      <c r="H5556" s="1106">
        <f>G5556*F5556</f>
        <v>2400</v>
      </c>
      <c r="M5556" s="1566"/>
    </row>
    <row r="5557" spans="2:13" hidden="1">
      <c r="B5557" s="1543"/>
      <c r="C5557" s="1332" t="s">
        <v>683</v>
      </c>
      <c r="D5557" s="1331" t="s">
        <v>684</v>
      </c>
      <c r="E5557" s="1331" t="s">
        <v>675</v>
      </c>
      <c r="F5557" s="1334">
        <v>5.0000000000000001E-4</v>
      </c>
      <c r="G5557" s="1104">
        <f>DUB!$I$12</f>
        <v>225000</v>
      </c>
      <c r="H5557" s="1106">
        <f>G5557*F5557</f>
        <v>112.5</v>
      </c>
      <c r="M5557" s="1566"/>
    </row>
    <row r="5558" spans="2:13" hidden="1">
      <c r="B5558" s="1543"/>
      <c r="C5558" s="1332"/>
      <c r="D5558" s="1331"/>
      <c r="E5558" s="1331"/>
      <c r="F5558" s="2074" t="s">
        <v>685</v>
      </c>
      <c r="G5558" s="2074"/>
      <c r="H5558" s="1106">
        <f>SUM(H5554:H5557)</f>
        <v>22712.5</v>
      </c>
      <c r="M5558" s="1566"/>
    </row>
    <row r="5559" spans="2:13" hidden="1">
      <c r="B5559" s="1543" t="s">
        <v>686</v>
      </c>
      <c r="C5559" s="1332" t="s">
        <v>687</v>
      </c>
      <c r="D5559" s="1331"/>
      <c r="E5559" s="1331"/>
      <c r="F5559" s="1334"/>
      <c r="G5559" s="1104"/>
      <c r="H5559" s="1106"/>
      <c r="M5559" s="1566"/>
    </row>
    <row r="5560" spans="2:13" hidden="1">
      <c r="B5560" s="1543"/>
      <c r="C5560" s="1332" t="str">
        <f>DUB!$C$449</f>
        <v>Handle (pegangan) Casement</v>
      </c>
      <c r="D5560" s="1331"/>
      <c r="E5560" s="1331" t="s">
        <v>743</v>
      </c>
      <c r="F5560" s="1334">
        <v>1</v>
      </c>
      <c r="G5560" s="1104">
        <f>DUB!$I$449</f>
        <v>25704</v>
      </c>
      <c r="H5560" s="1106">
        <f>G5560*F5560</f>
        <v>25704</v>
      </c>
      <c r="M5560" s="1566"/>
    </row>
    <row r="5561" spans="2:13" hidden="1">
      <c r="B5561" s="1540"/>
      <c r="C5561" s="1125"/>
      <c r="D5561" s="1333"/>
      <c r="E5561" s="1333"/>
      <c r="F5561" s="2074" t="s">
        <v>702</v>
      </c>
      <c r="G5561" s="2074"/>
      <c r="H5561" s="1106">
        <f>SUM(H5560)</f>
        <v>25704</v>
      </c>
      <c r="M5561" s="1566"/>
    </row>
    <row r="5562" spans="2:13" hidden="1">
      <c r="B5562" s="1543" t="s">
        <v>703</v>
      </c>
      <c r="C5562" s="2075" t="s">
        <v>3764</v>
      </c>
      <c r="D5562" s="2075"/>
      <c r="E5562" s="2075"/>
      <c r="F5562" s="2075"/>
      <c r="G5562" s="2075"/>
      <c r="H5562" s="1107">
        <f>H5558+H5561</f>
        <v>48416.5</v>
      </c>
      <c r="M5562" s="1566"/>
    </row>
    <row r="5563" spans="2:13" hidden="1">
      <c r="B5563" s="1543" t="s">
        <v>706</v>
      </c>
      <c r="C5563" s="2076" t="s">
        <v>876</v>
      </c>
      <c r="D5563" s="2076"/>
      <c r="E5563" s="2076"/>
      <c r="F5563" s="2077" t="s">
        <v>3873</v>
      </c>
      <c r="G5563" s="2077"/>
      <c r="H5563" s="1107">
        <f>H5562*0.15</f>
        <v>7262.4749999999995</v>
      </c>
      <c r="M5563" s="1566"/>
    </row>
    <row r="5564" spans="2:13" hidden="1">
      <c r="B5564" s="1543" t="s">
        <v>708</v>
      </c>
      <c r="C5564" s="2078" t="s">
        <v>3765</v>
      </c>
      <c r="D5564" s="2078"/>
      <c r="E5564" s="2078"/>
      <c r="F5564" s="2078"/>
      <c r="G5564" s="2078"/>
      <c r="H5564" s="1107">
        <f>ROUND(SUM(H5562:H5563),2)</f>
        <v>55678.98</v>
      </c>
      <c r="M5564" s="1566"/>
    </row>
    <row r="5565" spans="2:13" hidden="1">
      <c r="B5565" s="1129"/>
      <c r="C5565" s="1130"/>
      <c r="D5565" s="1129"/>
      <c r="E5565" s="1129"/>
      <c r="F5565" s="1131"/>
      <c r="G5565" s="1132"/>
      <c r="H5565" s="1115"/>
      <c r="M5565" s="1566"/>
    </row>
    <row r="5566" spans="2:13" hidden="1">
      <c r="B5566" s="1100" t="s">
        <v>4154</v>
      </c>
      <c r="C5566" s="1112" t="s">
        <v>3443</v>
      </c>
      <c r="D5566" s="1129"/>
      <c r="E5566" s="1129"/>
      <c r="F5566" s="1131"/>
      <c r="G5566" s="1132"/>
      <c r="H5566" s="1115"/>
      <c r="M5566" s="1566"/>
    </row>
    <row r="5567" spans="2:13" s="507" customFormat="1" ht="24.9" hidden="1" customHeight="1">
      <c r="B5567" s="1748" t="s">
        <v>1003</v>
      </c>
      <c r="C5567" s="1101" t="s">
        <v>1004</v>
      </c>
      <c r="D5567" s="1101" t="s">
        <v>1005</v>
      </c>
      <c r="E5567" s="1101" t="s">
        <v>1006</v>
      </c>
      <c r="F5567" s="1102" t="s">
        <v>1007</v>
      </c>
      <c r="G5567" s="1109" t="s">
        <v>2637</v>
      </c>
      <c r="H5567" s="1110" t="s">
        <v>2638</v>
      </c>
      <c r="J5567" s="1625"/>
      <c r="K5567" s="1625"/>
      <c r="L5567" s="1625"/>
      <c r="M5567" s="1570"/>
    </row>
    <row r="5568" spans="2:13" hidden="1">
      <c r="B5568" s="1543" t="s">
        <v>671</v>
      </c>
      <c r="C5568" s="1332" t="s">
        <v>672</v>
      </c>
      <c r="D5568" s="1331"/>
      <c r="E5568" s="1331"/>
      <c r="F5568" s="1334"/>
      <c r="G5568" s="1104"/>
      <c r="H5568" s="1106"/>
      <c r="M5568" s="1566"/>
    </row>
    <row r="5569" spans="2:13" hidden="1">
      <c r="B5569" s="1543"/>
      <c r="C5569" s="1332" t="s">
        <v>673</v>
      </c>
      <c r="D5569" s="1331" t="s">
        <v>674</v>
      </c>
      <c r="E5569" s="1331" t="s">
        <v>675</v>
      </c>
      <c r="F5569" s="1334">
        <v>0.1</v>
      </c>
      <c r="G5569" s="1104">
        <f>DUB!$I$10</f>
        <v>150000</v>
      </c>
      <c r="H5569" s="1106">
        <f>G5569*F5569</f>
        <v>15000</v>
      </c>
      <c r="M5569" s="1566"/>
    </row>
    <row r="5570" spans="2:13" hidden="1">
      <c r="B5570" s="1543"/>
      <c r="C5570" s="1332" t="s">
        <v>871</v>
      </c>
      <c r="D5570" s="1331" t="s">
        <v>678</v>
      </c>
      <c r="E5570" s="1331"/>
      <c r="F5570" s="1334">
        <v>0.2</v>
      </c>
      <c r="G5570" s="1104">
        <f>DUB!$I$11</f>
        <v>187000</v>
      </c>
      <c r="H5570" s="1106">
        <f>G5570*F5570</f>
        <v>37400</v>
      </c>
      <c r="M5570" s="1566"/>
    </row>
    <row r="5571" spans="2:13" hidden="1">
      <c r="B5571" s="1543"/>
      <c r="C5571" s="1332" t="s">
        <v>751</v>
      </c>
      <c r="D5571" s="1331" t="s">
        <v>681</v>
      </c>
      <c r="E5571" s="1331"/>
      <c r="F5571" s="1334">
        <v>0.02</v>
      </c>
      <c r="G5571" s="1104">
        <f>DUB!$I$13</f>
        <v>240000</v>
      </c>
      <c r="H5571" s="1106">
        <f>G5571*F5571</f>
        <v>4800</v>
      </c>
      <c r="M5571" s="1566"/>
    </row>
    <row r="5572" spans="2:13" hidden="1">
      <c r="B5572" s="1543"/>
      <c r="C5572" s="1332" t="s">
        <v>683</v>
      </c>
      <c r="D5572" s="1331" t="s">
        <v>684</v>
      </c>
      <c r="E5572" s="1331" t="s">
        <v>675</v>
      </c>
      <c r="F5572" s="1334">
        <v>5.0000000000000001E-4</v>
      </c>
      <c r="G5572" s="1104">
        <f>DUB!$I$12</f>
        <v>225000</v>
      </c>
      <c r="H5572" s="1106">
        <f>G5572*F5572</f>
        <v>112.5</v>
      </c>
      <c r="M5572" s="1566"/>
    </row>
    <row r="5573" spans="2:13" hidden="1">
      <c r="B5573" s="1543"/>
      <c r="C5573" s="1332"/>
      <c r="D5573" s="1331"/>
      <c r="E5573" s="1331"/>
      <c r="F5573" s="2074" t="s">
        <v>685</v>
      </c>
      <c r="G5573" s="2074"/>
      <c r="H5573" s="1106">
        <f>SUM(H5569:H5572)</f>
        <v>57312.5</v>
      </c>
      <c r="M5573" s="1566"/>
    </row>
    <row r="5574" spans="2:13" hidden="1">
      <c r="B5574" s="1543" t="s">
        <v>686</v>
      </c>
      <c r="C5574" s="1332" t="s">
        <v>687</v>
      </c>
      <c r="D5574" s="1331"/>
      <c r="E5574" s="1331"/>
      <c r="F5574" s="1334"/>
      <c r="G5574" s="1104"/>
      <c r="H5574" s="1106"/>
      <c r="M5574" s="1566"/>
    </row>
    <row r="5575" spans="2:13" hidden="1">
      <c r="B5575" s="1543"/>
      <c r="C5575" s="1332" t="s">
        <v>3444</v>
      </c>
      <c r="D5575" s="1331"/>
      <c r="E5575" s="1331" t="s">
        <v>743</v>
      </c>
      <c r="F5575" s="1334">
        <v>1</v>
      </c>
      <c r="G5575" s="1104">
        <f>DUB!$I$452</f>
        <v>9639</v>
      </c>
      <c r="H5575" s="1106">
        <f>G5575*F5575</f>
        <v>9639</v>
      </c>
      <c r="M5575" s="1566"/>
    </row>
    <row r="5576" spans="2:13" hidden="1">
      <c r="B5576" s="1540"/>
      <c r="C5576" s="1125"/>
      <c r="D5576" s="1333"/>
      <c r="E5576" s="1333"/>
      <c r="F5576" s="2074" t="s">
        <v>702</v>
      </c>
      <c r="G5576" s="2074"/>
      <c r="H5576" s="1106">
        <f>SUM(H5575)</f>
        <v>9639</v>
      </c>
      <c r="M5576" s="1566"/>
    </row>
    <row r="5577" spans="2:13" s="496" customFormat="1" hidden="1">
      <c r="B5577" s="1543" t="s">
        <v>703</v>
      </c>
      <c r="C5577" s="2075" t="s">
        <v>3764</v>
      </c>
      <c r="D5577" s="2075"/>
      <c r="E5577" s="2075"/>
      <c r="F5577" s="2075"/>
      <c r="G5577" s="2075"/>
      <c r="H5577" s="1107">
        <f>H5573+H5576</f>
        <v>66951.5</v>
      </c>
      <c r="J5577" s="1559"/>
      <c r="K5577" s="1559"/>
      <c r="L5577" s="1559"/>
      <c r="M5577" s="1635"/>
    </row>
    <row r="5578" spans="2:13" s="496" customFormat="1" hidden="1">
      <c r="B5578" s="1543" t="s">
        <v>706</v>
      </c>
      <c r="C5578" s="2076" t="s">
        <v>876</v>
      </c>
      <c r="D5578" s="2076"/>
      <c r="E5578" s="2076"/>
      <c r="F5578" s="2077" t="s">
        <v>3873</v>
      </c>
      <c r="G5578" s="2077"/>
      <c r="H5578" s="1107">
        <f>H5577*0.15</f>
        <v>10042.725</v>
      </c>
      <c r="J5578" s="1559"/>
      <c r="K5578" s="1559"/>
      <c r="L5578" s="1559"/>
      <c r="M5578" s="1635"/>
    </row>
    <row r="5579" spans="2:13" s="496" customFormat="1" hidden="1">
      <c r="B5579" s="1543" t="s">
        <v>708</v>
      </c>
      <c r="C5579" s="2078" t="s">
        <v>3765</v>
      </c>
      <c r="D5579" s="2078"/>
      <c r="E5579" s="2078"/>
      <c r="F5579" s="2078"/>
      <c r="G5579" s="2078"/>
      <c r="H5579" s="1107">
        <f>ROUND(SUM(H5577:H5578),2)</f>
        <v>76994.23</v>
      </c>
      <c r="J5579" s="1559"/>
      <c r="K5579" s="1559"/>
      <c r="L5579" s="1559"/>
      <c r="M5579" s="1635"/>
    </row>
    <row r="5580" spans="2:13" hidden="1">
      <c r="F5580" s="1172"/>
      <c r="G5580" s="1173"/>
      <c r="H5580" s="1133"/>
      <c r="M5580" s="1566"/>
    </row>
    <row r="5581" spans="2:13" hidden="1">
      <c r="B5581" s="1100" t="s">
        <v>4155</v>
      </c>
      <c r="C5581" s="1232" t="s">
        <v>3370</v>
      </c>
      <c r="F5581" s="1172"/>
      <c r="G5581" s="1173"/>
      <c r="H5581" s="1133"/>
      <c r="M5581" s="1566"/>
    </row>
    <row r="5582" spans="2:13" s="507" customFormat="1" ht="24.9" hidden="1" customHeight="1">
      <c r="B5582" s="1748" t="s">
        <v>1003</v>
      </c>
      <c r="C5582" s="1101" t="s">
        <v>1004</v>
      </c>
      <c r="D5582" s="1101" t="s">
        <v>1005</v>
      </c>
      <c r="E5582" s="1101" t="s">
        <v>1006</v>
      </c>
      <c r="F5582" s="1102" t="s">
        <v>1007</v>
      </c>
      <c r="G5582" s="1109" t="s">
        <v>2637</v>
      </c>
      <c r="H5582" s="1110" t="s">
        <v>2638</v>
      </c>
      <c r="J5582" s="1625"/>
      <c r="K5582" s="1625"/>
      <c r="L5582" s="1625"/>
      <c r="M5582" s="1570"/>
    </row>
    <row r="5583" spans="2:13" hidden="1">
      <c r="B5583" s="1543" t="s">
        <v>671</v>
      </c>
      <c r="C5583" s="1332" t="s">
        <v>672</v>
      </c>
      <c r="D5583" s="1331"/>
      <c r="E5583" s="1331"/>
      <c r="F5583" s="1334"/>
      <c r="G5583" s="1104"/>
      <c r="H5583" s="1106"/>
      <c r="M5583" s="1566"/>
    </row>
    <row r="5584" spans="2:13" hidden="1">
      <c r="B5584" s="1543"/>
      <c r="C5584" s="1332" t="s">
        <v>673</v>
      </c>
      <c r="D5584" s="1331" t="s">
        <v>674</v>
      </c>
      <c r="E5584" s="1331" t="s">
        <v>675</v>
      </c>
      <c r="F5584" s="1334">
        <v>1.4999999999999999E-2</v>
      </c>
      <c r="G5584" s="1104">
        <f>DUB!$I$10</f>
        <v>150000</v>
      </c>
      <c r="H5584" s="1106">
        <f>G5584*F5584</f>
        <v>2250</v>
      </c>
      <c r="M5584" s="1566"/>
    </row>
    <row r="5585" spans="2:13" hidden="1">
      <c r="B5585" s="1543"/>
      <c r="C5585" s="1332" t="s">
        <v>871</v>
      </c>
      <c r="D5585" s="1331" t="s">
        <v>678</v>
      </c>
      <c r="E5585" s="1331"/>
      <c r="F5585" s="1334">
        <v>0.15</v>
      </c>
      <c r="G5585" s="1104">
        <f>DUB!$I$11</f>
        <v>187000</v>
      </c>
      <c r="H5585" s="1106">
        <f>G5585*F5585</f>
        <v>28050</v>
      </c>
      <c r="M5585" s="1566"/>
    </row>
    <row r="5586" spans="2:13" hidden="1">
      <c r="B5586" s="1543"/>
      <c r="C5586" s="1332" t="s">
        <v>751</v>
      </c>
      <c r="D5586" s="1331" t="s">
        <v>681</v>
      </c>
      <c r="E5586" s="1331"/>
      <c r="F5586" s="1334">
        <v>1.4999999999999999E-2</v>
      </c>
      <c r="G5586" s="1104">
        <f>DUB!$I$13</f>
        <v>240000</v>
      </c>
      <c r="H5586" s="1106">
        <f>G5586*F5586</f>
        <v>3600</v>
      </c>
      <c r="M5586" s="1566"/>
    </row>
    <row r="5587" spans="2:13" hidden="1">
      <c r="B5587" s="1543"/>
      <c r="C5587" s="1332" t="s">
        <v>683</v>
      </c>
      <c r="D5587" s="1331" t="s">
        <v>684</v>
      </c>
      <c r="E5587" s="1331" t="s">
        <v>675</v>
      </c>
      <c r="F5587" s="1334">
        <v>8.0000000000000002E-3</v>
      </c>
      <c r="G5587" s="1104">
        <f>DUB!$I$12</f>
        <v>225000</v>
      </c>
      <c r="H5587" s="1106">
        <f>G5587*F5587</f>
        <v>1800</v>
      </c>
      <c r="M5587" s="1566"/>
    </row>
    <row r="5588" spans="2:13" hidden="1">
      <c r="B5588" s="1543"/>
      <c r="C5588" s="1332"/>
      <c r="D5588" s="1331"/>
      <c r="E5588" s="1331"/>
      <c r="F5588" s="2074" t="s">
        <v>685</v>
      </c>
      <c r="G5588" s="2074"/>
      <c r="H5588" s="1106">
        <f>SUM(H5584:H5587)</f>
        <v>35700</v>
      </c>
      <c r="M5588" s="1566"/>
    </row>
    <row r="5589" spans="2:13" hidden="1">
      <c r="B5589" s="1543" t="s">
        <v>686</v>
      </c>
      <c r="C5589" s="1332" t="s">
        <v>687</v>
      </c>
      <c r="D5589" s="1331"/>
      <c r="E5589" s="1331"/>
      <c r="F5589" s="1334"/>
      <c r="G5589" s="1104"/>
      <c r="H5589" s="1106"/>
      <c r="M5589" s="1566"/>
    </row>
    <row r="5590" spans="2:13" hidden="1">
      <c r="B5590" s="1543"/>
      <c r="C5590" s="1332" t="s">
        <v>3371</v>
      </c>
      <c r="D5590" s="1331"/>
      <c r="E5590" s="1331" t="s">
        <v>743</v>
      </c>
      <c r="F5590" s="1334">
        <v>1</v>
      </c>
      <c r="G5590" s="1104">
        <f>DUB!$I$451</f>
        <v>21420</v>
      </c>
      <c r="H5590" s="1106">
        <f>G5590*F5590</f>
        <v>21420</v>
      </c>
      <c r="M5590" s="1566"/>
    </row>
    <row r="5591" spans="2:13" hidden="1">
      <c r="B5591" s="1540"/>
      <c r="C5591" s="1332"/>
      <c r="D5591" s="1331"/>
      <c r="E5591" s="1331"/>
      <c r="F5591" s="2115" t="s">
        <v>702</v>
      </c>
      <c r="G5591" s="2116"/>
      <c r="H5591" s="1106">
        <f>SUM(H5590)</f>
        <v>21420</v>
      </c>
      <c r="M5591" s="1566"/>
    </row>
    <row r="5592" spans="2:13" s="496" customFormat="1" hidden="1">
      <c r="B5592" s="1543" t="s">
        <v>703</v>
      </c>
      <c r="C5592" s="2089" t="s">
        <v>3764</v>
      </c>
      <c r="D5592" s="2089"/>
      <c r="E5592" s="2089"/>
      <c r="F5592" s="2089"/>
      <c r="G5592" s="2089"/>
      <c r="H5592" s="1107">
        <f>H5588+H5591</f>
        <v>57120</v>
      </c>
      <c r="J5592" s="1559"/>
      <c r="K5592" s="1559"/>
      <c r="L5592" s="1559"/>
      <c r="M5592" s="1635"/>
    </row>
    <row r="5593" spans="2:13" s="496" customFormat="1" hidden="1">
      <c r="B5593" s="1543" t="s">
        <v>706</v>
      </c>
      <c r="C5593" s="2076" t="s">
        <v>876</v>
      </c>
      <c r="D5593" s="2076"/>
      <c r="E5593" s="2076"/>
      <c r="F5593" s="2077" t="s">
        <v>3873</v>
      </c>
      <c r="G5593" s="2077"/>
      <c r="H5593" s="1107">
        <f>H5592*0.15</f>
        <v>8568</v>
      </c>
      <c r="J5593" s="1559"/>
      <c r="K5593" s="1559"/>
      <c r="L5593" s="1559"/>
      <c r="M5593" s="1635"/>
    </row>
    <row r="5594" spans="2:13" s="496" customFormat="1" hidden="1">
      <c r="B5594" s="1543" t="s">
        <v>708</v>
      </c>
      <c r="C5594" s="2078" t="s">
        <v>3765</v>
      </c>
      <c r="D5594" s="2078"/>
      <c r="E5594" s="2078"/>
      <c r="F5594" s="2078"/>
      <c r="G5594" s="2078"/>
      <c r="H5594" s="1107">
        <f>ROUND(SUM(H5592:H5593),2)</f>
        <v>65688</v>
      </c>
      <c r="I5594" s="506">
        <f>SUM(H5592:H5593)</f>
        <v>65688</v>
      </c>
      <c r="J5594" s="1561"/>
      <c r="K5594" s="1561"/>
      <c r="L5594" s="1559"/>
      <c r="M5594" s="1635"/>
    </row>
    <row r="5595" spans="2:13" hidden="1">
      <c r="B5595" s="1143"/>
      <c r="C5595" s="1144"/>
      <c r="D5595" s="1143"/>
      <c r="E5595" s="1143"/>
      <c r="F5595" s="1145"/>
      <c r="G5595" s="1146"/>
      <c r="H5595" s="1147"/>
      <c r="M5595" s="1566"/>
    </row>
    <row r="5596" spans="2:13" hidden="1">
      <c r="B5596" s="1100" t="s">
        <v>4156</v>
      </c>
      <c r="C5596" s="1112" t="s">
        <v>3445</v>
      </c>
      <c r="D5596" s="1129"/>
      <c r="E5596" s="1129"/>
      <c r="F5596" s="1131"/>
      <c r="G5596" s="1132"/>
      <c r="H5596" s="1115"/>
      <c r="M5596" s="1566"/>
    </row>
    <row r="5597" spans="2:13" s="507" customFormat="1" ht="24.9" hidden="1" customHeight="1">
      <c r="B5597" s="1748" t="s">
        <v>1003</v>
      </c>
      <c r="C5597" s="1101" t="s">
        <v>1004</v>
      </c>
      <c r="D5597" s="1101" t="s">
        <v>1005</v>
      </c>
      <c r="E5597" s="1101" t="s">
        <v>1006</v>
      </c>
      <c r="F5597" s="1102" t="s">
        <v>1007</v>
      </c>
      <c r="G5597" s="1109" t="s">
        <v>2637</v>
      </c>
      <c r="H5597" s="1110" t="s">
        <v>2638</v>
      </c>
      <c r="J5597" s="1625"/>
      <c r="K5597" s="1625"/>
      <c r="L5597" s="1625"/>
      <c r="M5597" s="1570"/>
    </row>
    <row r="5598" spans="2:13" hidden="1">
      <c r="B5598" s="1543" t="s">
        <v>671</v>
      </c>
      <c r="C5598" s="1332" t="s">
        <v>672</v>
      </c>
      <c r="D5598" s="1331"/>
      <c r="E5598" s="1331"/>
      <c r="F5598" s="1334"/>
      <c r="G5598" s="1104"/>
      <c r="H5598" s="1106"/>
      <c r="M5598" s="1566"/>
    </row>
    <row r="5599" spans="2:13" hidden="1">
      <c r="B5599" s="1543"/>
      <c r="C5599" s="1332" t="s">
        <v>673</v>
      </c>
      <c r="D5599" s="1331" t="s">
        <v>674</v>
      </c>
      <c r="E5599" s="1331" t="s">
        <v>675</v>
      </c>
      <c r="F5599" s="1334">
        <v>1.4999999999999999E-2</v>
      </c>
      <c r="G5599" s="1104">
        <f>DUB!$I$10</f>
        <v>150000</v>
      </c>
      <c r="H5599" s="1106">
        <f>G5599*F5599</f>
        <v>2250</v>
      </c>
      <c r="M5599" s="1566"/>
    </row>
    <row r="5600" spans="2:13" hidden="1">
      <c r="B5600" s="1543"/>
      <c r="C5600" s="1332" t="s">
        <v>871</v>
      </c>
      <c r="D5600" s="1331" t="s">
        <v>678</v>
      </c>
      <c r="E5600" s="1331"/>
      <c r="F5600" s="1334">
        <v>0.15</v>
      </c>
      <c r="G5600" s="1104">
        <f>DUB!$I$11</f>
        <v>187000</v>
      </c>
      <c r="H5600" s="1106">
        <f>G5600*F5600</f>
        <v>28050</v>
      </c>
      <c r="M5600" s="1566"/>
    </row>
    <row r="5601" spans="2:13" hidden="1">
      <c r="B5601" s="1543"/>
      <c r="C5601" s="1332" t="s">
        <v>751</v>
      </c>
      <c r="D5601" s="1331" t="s">
        <v>681</v>
      </c>
      <c r="E5601" s="1331"/>
      <c r="F5601" s="1334">
        <v>1.4999999999999999E-2</v>
      </c>
      <c r="G5601" s="1104">
        <f>DUB!$I$13</f>
        <v>240000</v>
      </c>
      <c r="H5601" s="1106">
        <f>G5601*F5601</f>
        <v>3600</v>
      </c>
      <c r="M5601" s="1566"/>
    </row>
    <row r="5602" spans="2:13" hidden="1">
      <c r="B5602" s="1543"/>
      <c r="C5602" s="1332" t="s">
        <v>683</v>
      </c>
      <c r="D5602" s="1331" t="s">
        <v>684</v>
      </c>
      <c r="E5602" s="1331" t="s">
        <v>675</v>
      </c>
      <c r="F5602" s="1334">
        <v>8.0000000000000002E-3</v>
      </c>
      <c r="G5602" s="1104">
        <f>DUB!$I$12</f>
        <v>225000</v>
      </c>
      <c r="H5602" s="1106">
        <f>G5602*F5602</f>
        <v>1800</v>
      </c>
      <c r="M5602" s="1566"/>
    </row>
    <row r="5603" spans="2:13" hidden="1">
      <c r="B5603" s="1543"/>
      <c r="C5603" s="1332"/>
      <c r="D5603" s="1331"/>
      <c r="E5603" s="1331"/>
      <c r="F5603" s="2074" t="s">
        <v>685</v>
      </c>
      <c r="G5603" s="2074"/>
      <c r="H5603" s="1106">
        <f>SUM(H5599:H5602)</f>
        <v>35700</v>
      </c>
      <c r="M5603" s="1566"/>
    </row>
    <row r="5604" spans="2:13" hidden="1">
      <c r="B5604" s="1543" t="s">
        <v>686</v>
      </c>
      <c r="C5604" s="1332" t="s">
        <v>687</v>
      </c>
      <c r="D5604" s="1331"/>
      <c r="E5604" s="1331"/>
      <c r="F5604" s="1334"/>
      <c r="G5604" s="1104"/>
      <c r="H5604" s="1106"/>
      <c r="M5604" s="1566"/>
    </row>
    <row r="5605" spans="2:13" hidden="1">
      <c r="B5605" s="1543"/>
      <c r="C5605" s="1332" t="s">
        <v>3446</v>
      </c>
      <c r="D5605" s="1331"/>
      <c r="E5605" s="1331" t="s">
        <v>743</v>
      </c>
      <c r="F5605" s="1334">
        <v>1</v>
      </c>
      <c r="G5605" s="1104">
        <f>DUB!$I$452</f>
        <v>9639</v>
      </c>
      <c r="H5605" s="1106">
        <f>G5605*F5605</f>
        <v>9639</v>
      </c>
      <c r="M5605" s="1566"/>
    </row>
    <row r="5606" spans="2:13" hidden="1">
      <c r="B5606" s="1540"/>
      <c r="C5606" s="1125"/>
      <c r="D5606" s="1333"/>
      <c r="E5606" s="1333"/>
      <c r="F5606" s="2074" t="s">
        <v>702</v>
      </c>
      <c r="G5606" s="2074"/>
      <c r="H5606" s="1106">
        <f>SUM(H5605)</f>
        <v>9639</v>
      </c>
      <c r="M5606" s="1566"/>
    </row>
    <row r="5607" spans="2:13" s="496" customFormat="1" hidden="1">
      <c r="B5607" s="1543" t="s">
        <v>703</v>
      </c>
      <c r="C5607" s="2075" t="s">
        <v>3764</v>
      </c>
      <c r="D5607" s="2075"/>
      <c r="E5607" s="2075"/>
      <c r="F5607" s="2075"/>
      <c r="G5607" s="2075"/>
      <c r="H5607" s="1107">
        <f>H5603+H5606</f>
        <v>45339</v>
      </c>
      <c r="J5607" s="1559"/>
      <c r="K5607" s="1559"/>
      <c r="L5607" s="1559"/>
      <c r="M5607" s="1635"/>
    </row>
    <row r="5608" spans="2:13" s="496" customFormat="1" hidden="1">
      <c r="B5608" s="1543" t="s">
        <v>706</v>
      </c>
      <c r="C5608" s="2076" t="s">
        <v>876</v>
      </c>
      <c r="D5608" s="2076"/>
      <c r="E5608" s="2076"/>
      <c r="F5608" s="2077" t="s">
        <v>3873</v>
      </c>
      <c r="G5608" s="2077"/>
      <c r="H5608" s="1107">
        <f>H5607*0.15</f>
        <v>6800.8499999999995</v>
      </c>
      <c r="J5608" s="1559"/>
      <c r="K5608" s="1559"/>
      <c r="L5608" s="1559"/>
      <c r="M5608" s="1635"/>
    </row>
    <row r="5609" spans="2:13" s="496" customFormat="1" hidden="1">
      <c r="B5609" s="1543" t="s">
        <v>708</v>
      </c>
      <c r="C5609" s="2078" t="s">
        <v>3765</v>
      </c>
      <c r="D5609" s="2078"/>
      <c r="E5609" s="2078"/>
      <c r="F5609" s="2078"/>
      <c r="G5609" s="2078"/>
      <c r="H5609" s="1107">
        <f>ROUND(SUM(H5607:H5608),2)</f>
        <v>52139.85</v>
      </c>
      <c r="I5609" s="506">
        <f>SUM(H5607:H5608)</f>
        <v>52139.85</v>
      </c>
      <c r="J5609" s="1561"/>
      <c r="K5609" s="1561"/>
      <c r="L5609" s="1559"/>
      <c r="M5609" s="1635"/>
    </row>
    <row r="5610" spans="2:13" hidden="1">
      <c r="F5610" s="1172"/>
      <c r="G5610" s="1173"/>
      <c r="H5610" s="1133"/>
      <c r="M5610" s="1566"/>
    </row>
    <row r="5611" spans="2:13" hidden="1">
      <c r="B5611" s="1150" t="s">
        <v>4157</v>
      </c>
      <c r="C5611" s="1232" t="s">
        <v>4372</v>
      </c>
      <c r="F5611" s="1172"/>
      <c r="G5611" s="1173"/>
      <c r="H5611" s="1133"/>
      <c r="M5611" s="1566"/>
    </row>
    <row r="5612" spans="2:13" s="507" customFormat="1" ht="24.9" hidden="1" customHeight="1">
      <c r="B5612" s="1748" t="s">
        <v>1003</v>
      </c>
      <c r="C5612" s="1101" t="s">
        <v>1004</v>
      </c>
      <c r="D5612" s="1101" t="s">
        <v>1005</v>
      </c>
      <c r="E5612" s="1101" t="s">
        <v>1006</v>
      </c>
      <c r="F5612" s="1102" t="s">
        <v>1007</v>
      </c>
      <c r="G5612" s="1109" t="s">
        <v>2637</v>
      </c>
      <c r="H5612" s="1110" t="s">
        <v>2638</v>
      </c>
      <c r="J5612" s="1625"/>
      <c r="K5612" s="1625"/>
      <c r="L5612" s="1625"/>
      <c r="M5612" s="1570"/>
    </row>
    <row r="5613" spans="2:13" hidden="1">
      <c r="B5613" s="1543" t="s">
        <v>671</v>
      </c>
      <c r="C5613" s="1332" t="s">
        <v>672</v>
      </c>
      <c r="D5613" s="1331"/>
      <c r="E5613" s="1331"/>
      <c r="F5613" s="1334"/>
      <c r="G5613" s="1104"/>
      <c r="H5613" s="1106"/>
      <c r="M5613" s="1566"/>
    </row>
    <row r="5614" spans="2:13" hidden="1">
      <c r="B5614" s="1543"/>
      <c r="C5614" s="1332" t="s">
        <v>673</v>
      </c>
      <c r="D5614" s="1331" t="s">
        <v>674</v>
      </c>
      <c r="E5614" s="1331" t="s">
        <v>675</v>
      </c>
      <c r="F5614" s="1334">
        <v>0.05</v>
      </c>
      <c r="G5614" s="1104">
        <f>DUB!$I$10</f>
        <v>150000</v>
      </c>
      <c r="H5614" s="1106">
        <f>G5614*F5614</f>
        <v>7500</v>
      </c>
      <c r="M5614" s="1566"/>
    </row>
    <row r="5615" spans="2:13" hidden="1">
      <c r="B5615" s="1543"/>
      <c r="C5615" s="1332" t="s">
        <v>871</v>
      </c>
      <c r="D5615" s="1331" t="s">
        <v>678</v>
      </c>
      <c r="E5615" s="1331" t="s">
        <v>675</v>
      </c>
      <c r="F5615" s="1334">
        <v>0.5</v>
      </c>
      <c r="G5615" s="1104">
        <f>DUB!$I$11</f>
        <v>187000</v>
      </c>
      <c r="H5615" s="1106">
        <f>G5615*F5615</f>
        <v>93500</v>
      </c>
      <c r="M5615" s="1566"/>
    </row>
    <row r="5616" spans="2:13" hidden="1">
      <c r="B5616" s="1543"/>
      <c r="C5616" s="1332" t="s">
        <v>751</v>
      </c>
      <c r="D5616" s="1331" t="s">
        <v>681</v>
      </c>
      <c r="E5616" s="1331" t="s">
        <v>675</v>
      </c>
      <c r="F5616" s="1334">
        <v>0.05</v>
      </c>
      <c r="G5616" s="1104">
        <f>DUB!$I$13</f>
        <v>240000</v>
      </c>
      <c r="H5616" s="1106">
        <f>G5616*F5616</f>
        <v>12000</v>
      </c>
      <c r="M5616" s="1566"/>
    </row>
    <row r="5617" spans="2:13" hidden="1">
      <c r="B5617" s="1543"/>
      <c r="C5617" s="1332" t="s">
        <v>683</v>
      </c>
      <c r="D5617" s="1331" t="s">
        <v>684</v>
      </c>
      <c r="E5617" s="1331" t="s">
        <v>675</v>
      </c>
      <c r="F5617" s="1334">
        <v>3.0000000000000001E-3</v>
      </c>
      <c r="G5617" s="1104">
        <f>DUB!$I$12</f>
        <v>225000</v>
      </c>
      <c r="H5617" s="1106">
        <f>G5617*F5617</f>
        <v>675</v>
      </c>
      <c r="M5617" s="1566"/>
    </row>
    <row r="5618" spans="2:13" hidden="1">
      <c r="B5618" s="1543"/>
      <c r="C5618" s="1332"/>
      <c r="D5618" s="1331"/>
      <c r="E5618" s="1331"/>
      <c r="F5618" s="2074" t="s">
        <v>685</v>
      </c>
      <c r="G5618" s="2074"/>
      <c r="H5618" s="1106">
        <f>SUM(H5614:H5617)</f>
        <v>113675</v>
      </c>
      <c r="M5618" s="1566"/>
    </row>
    <row r="5619" spans="2:13" hidden="1">
      <c r="B5619" s="1543" t="s">
        <v>686</v>
      </c>
      <c r="C5619" s="1332" t="s">
        <v>687</v>
      </c>
      <c r="D5619" s="1331"/>
      <c r="E5619" s="1331"/>
      <c r="F5619" s="1334"/>
      <c r="G5619" s="1104"/>
      <c r="H5619" s="1106"/>
      <c r="M5619" s="1566"/>
    </row>
    <row r="5620" spans="2:13" hidden="1">
      <c r="B5620" s="1543"/>
      <c r="C5620" s="1332" t="s">
        <v>1345</v>
      </c>
      <c r="D5620" s="1331"/>
      <c r="E5620" s="1331" t="s">
        <v>1346</v>
      </c>
      <c r="F5620" s="1334">
        <v>1</v>
      </c>
      <c r="G5620" s="1104">
        <f>DUB!$I$444</f>
        <v>191169</v>
      </c>
      <c r="H5620" s="1106">
        <f>G5620*F5620</f>
        <v>191169</v>
      </c>
      <c r="M5620" s="1566"/>
    </row>
    <row r="5621" spans="2:13" hidden="1">
      <c r="B5621" s="1540"/>
      <c r="C5621" s="1125"/>
      <c r="D5621" s="1333"/>
      <c r="E5621" s="1333"/>
      <c r="F5621" s="2074" t="s">
        <v>702</v>
      </c>
      <c r="G5621" s="2074"/>
      <c r="H5621" s="1106">
        <f>SUM(H5620)</f>
        <v>191169</v>
      </c>
      <c r="M5621" s="1566"/>
    </row>
    <row r="5622" spans="2:13" s="496" customFormat="1" hidden="1">
      <c r="B5622" s="1543" t="s">
        <v>703</v>
      </c>
      <c r="C5622" s="2075" t="s">
        <v>3764</v>
      </c>
      <c r="D5622" s="2075"/>
      <c r="E5622" s="2075"/>
      <c r="F5622" s="2075"/>
      <c r="G5622" s="2075"/>
      <c r="H5622" s="1107">
        <f>H5618+H5621</f>
        <v>304844</v>
      </c>
      <c r="J5622" s="1559"/>
      <c r="K5622" s="1559"/>
      <c r="L5622" s="1559"/>
      <c r="M5622" s="1635"/>
    </row>
    <row r="5623" spans="2:13" s="496" customFormat="1" hidden="1">
      <c r="B5623" s="1543" t="s">
        <v>706</v>
      </c>
      <c r="C5623" s="2076" t="s">
        <v>876</v>
      </c>
      <c r="D5623" s="2076"/>
      <c r="E5623" s="2076"/>
      <c r="F5623" s="2077" t="s">
        <v>3873</v>
      </c>
      <c r="G5623" s="2077"/>
      <c r="H5623" s="1107">
        <f>H5622*0.15</f>
        <v>45726.6</v>
      </c>
      <c r="J5623" s="1559"/>
      <c r="K5623" s="1559"/>
      <c r="L5623" s="1559"/>
      <c r="M5623" s="1635"/>
    </row>
    <row r="5624" spans="2:13" s="496" customFormat="1" hidden="1">
      <c r="B5624" s="1543" t="s">
        <v>708</v>
      </c>
      <c r="C5624" s="2078" t="s">
        <v>3765</v>
      </c>
      <c r="D5624" s="2078"/>
      <c r="E5624" s="2078"/>
      <c r="F5624" s="2078"/>
      <c r="G5624" s="2078"/>
      <c r="H5624" s="1107">
        <f>ROUND(SUM(H5622:H5623),2)</f>
        <v>350570.6</v>
      </c>
      <c r="I5624" s="506">
        <f>SUM(H5622:H5623)</f>
        <v>350570.6</v>
      </c>
      <c r="J5624" s="1561"/>
      <c r="K5624" s="1561"/>
      <c r="L5624" s="1559"/>
      <c r="M5624" s="1635"/>
    </row>
    <row r="5625" spans="2:13" hidden="1">
      <c r="B5625" s="1143"/>
      <c r="C5625" s="1144"/>
      <c r="D5625" s="1143"/>
      <c r="E5625" s="1143"/>
      <c r="F5625" s="1145"/>
      <c r="G5625" s="1146"/>
      <c r="H5625" s="1147"/>
      <c r="M5625" s="1566"/>
    </row>
    <row r="5626" spans="2:13" hidden="1">
      <c r="B5626" s="1100" t="s">
        <v>4158</v>
      </c>
      <c r="C5626" s="1112" t="s">
        <v>3372</v>
      </c>
      <c r="D5626" s="1129"/>
      <c r="E5626" s="1129"/>
      <c r="F5626" s="1131"/>
      <c r="G5626" s="1132"/>
      <c r="H5626" s="1115"/>
      <c r="M5626" s="1566"/>
    </row>
    <row r="5627" spans="2:13" s="507" customFormat="1" ht="24.9" hidden="1" customHeight="1">
      <c r="B5627" s="1748" t="s">
        <v>1003</v>
      </c>
      <c r="C5627" s="1101" t="s">
        <v>1004</v>
      </c>
      <c r="D5627" s="1101" t="s">
        <v>1005</v>
      </c>
      <c r="E5627" s="1101" t="s">
        <v>1006</v>
      </c>
      <c r="F5627" s="1102" t="s">
        <v>1007</v>
      </c>
      <c r="G5627" s="1109" t="s">
        <v>2637</v>
      </c>
      <c r="H5627" s="1110" t="s">
        <v>2638</v>
      </c>
      <c r="J5627" s="1625"/>
      <c r="K5627" s="1625"/>
      <c r="L5627" s="1625"/>
      <c r="M5627" s="1570"/>
    </row>
    <row r="5628" spans="2:13" hidden="1">
      <c r="B5628" s="1543" t="s">
        <v>671</v>
      </c>
      <c r="C5628" s="1332" t="s">
        <v>672</v>
      </c>
      <c r="D5628" s="1331"/>
      <c r="E5628" s="1331"/>
      <c r="F5628" s="1334"/>
      <c r="G5628" s="1104"/>
      <c r="H5628" s="1106"/>
      <c r="M5628" s="1566"/>
    </row>
    <row r="5629" spans="2:13" hidden="1">
      <c r="B5629" s="1543"/>
      <c r="C5629" s="1332" t="s">
        <v>673</v>
      </c>
      <c r="D5629" s="1331" t="s">
        <v>674</v>
      </c>
      <c r="E5629" s="1331" t="s">
        <v>675</v>
      </c>
      <c r="F5629" s="1334">
        <v>0.02</v>
      </c>
      <c r="G5629" s="1104">
        <f>DUB!$I$10</f>
        <v>150000</v>
      </c>
      <c r="H5629" s="1106">
        <f>G5629*F5629</f>
        <v>3000</v>
      </c>
      <c r="M5629" s="1566"/>
    </row>
    <row r="5630" spans="2:13" hidden="1">
      <c r="B5630" s="1543"/>
      <c r="C5630" s="1332" t="s">
        <v>871</v>
      </c>
      <c r="D5630" s="1331" t="s">
        <v>678</v>
      </c>
      <c r="E5630" s="1331"/>
      <c r="F5630" s="1334">
        <v>0.2</v>
      </c>
      <c r="G5630" s="1104">
        <f>DUB!$I$11</f>
        <v>187000</v>
      </c>
      <c r="H5630" s="1106">
        <f>G5630*F5630</f>
        <v>37400</v>
      </c>
      <c r="M5630" s="1566"/>
    </row>
    <row r="5631" spans="2:13" hidden="1">
      <c r="B5631" s="1543"/>
      <c r="C5631" s="1332" t="s">
        <v>751</v>
      </c>
      <c r="D5631" s="1331" t="s">
        <v>681</v>
      </c>
      <c r="E5631" s="1331"/>
      <c r="F5631" s="1334">
        <v>0.02</v>
      </c>
      <c r="G5631" s="1104">
        <f>DUB!$I$13</f>
        <v>240000</v>
      </c>
      <c r="H5631" s="1106">
        <f>G5631*F5631</f>
        <v>4800</v>
      </c>
      <c r="M5631" s="1566"/>
    </row>
    <row r="5632" spans="2:13" hidden="1">
      <c r="B5632" s="1543"/>
      <c r="C5632" s="1332" t="s">
        <v>683</v>
      </c>
      <c r="D5632" s="1331" t="s">
        <v>684</v>
      </c>
      <c r="E5632" s="1331" t="s">
        <v>675</v>
      </c>
      <c r="F5632" s="1334">
        <v>1E-3</v>
      </c>
      <c r="G5632" s="1104">
        <f>DUB!$I$12</f>
        <v>225000</v>
      </c>
      <c r="H5632" s="1106">
        <f>G5632*F5632</f>
        <v>225</v>
      </c>
      <c r="M5632" s="1566"/>
    </row>
    <row r="5633" spans="2:13" hidden="1">
      <c r="B5633" s="1543"/>
      <c r="C5633" s="1332"/>
      <c r="D5633" s="1331"/>
      <c r="E5633" s="1331"/>
      <c r="F5633" s="2074" t="s">
        <v>685</v>
      </c>
      <c r="G5633" s="2074"/>
      <c r="H5633" s="1106">
        <f>SUM(H5629:H5632)</f>
        <v>45425</v>
      </c>
      <c r="M5633" s="1566"/>
    </row>
    <row r="5634" spans="2:13" hidden="1">
      <c r="B5634" s="1543" t="s">
        <v>686</v>
      </c>
      <c r="C5634" s="1332" t="s">
        <v>687</v>
      </c>
      <c r="D5634" s="1331"/>
      <c r="E5634" s="1331"/>
      <c r="F5634" s="1334"/>
      <c r="G5634" s="1104"/>
      <c r="H5634" s="1106"/>
      <c r="M5634" s="1566"/>
    </row>
    <row r="5635" spans="2:13" hidden="1">
      <c r="B5635" s="1540"/>
      <c r="C5635" s="1332" t="s">
        <v>3373</v>
      </c>
      <c r="D5635" s="1331"/>
      <c r="E5635" s="1331" t="s">
        <v>743</v>
      </c>
      <c r="F5635" s="1334">
        <v>1</v>
      </c>
      <c r="G5635" s="1104">
        <f>DUB!$I$450</f>
        <v>26775</v>
      </c>
      <c r="H5635" s="1106">
        <f>G5635*F5635</f>
        <v>26775</v>
      </c>
      <c r="M5635" s="1566"/>
    </row>
    <row r="5636" spans="2:13" hidden="1">
      <c r="B5636" s="1540"/>
      <c r="C5636" s="1125"/>
      <c r="D5636" s="1333"/>
      <c r="E5636" s="1333"/>
      <c r="F5636" s="2074" t="s">
        <v>702</v>
      </c>
      <c r="G5636" s="2074"/>
      <c r="H5636" s="1106">
        <f>SUM(H5635)</f>
        <v>26775</v>
      </c>
      <c r="M5636" s="1566"/>
    </row>
    <row r="5637" spans="2:13" s="496" customFormat="1" hidden="1">
      <c r="B5637" s="1120" t="s">
        <v>703</v>
      </c>
      <c r="C5637" s="2117" t="s">
        <v>3764</v>
      </c>
      <c r="D5637" s="2118"/>
      <c r="E5637" s="2118"/>
      <c r="F5637" s="2118"/>
      <c r="G5637" s="2119"/>
      <c r="H5637" s="1149">
        <f>H5633+H5636</f>
        <v>72200</v>
      </c>
      <c r="J5637" s="1559"/>
      <c r="K5637" s="1559"/>
      <c r="L5637" s="1559"/>
      <c r="M5637" s="1635"/>
    </row>
    <row r="5638" spans="2:13" s="496" customFormat="1" hidden="1">
      <c r="B5638" s="1543" t="s">
        <v>706</v>
      </c>
      <c r="C5638" s="2120" t="s">
        <v>876</v>
      </c>
      <c r="D5638" s="2120"/>
      <c r="E5638" s="2120"/>
      <c r="F5638" s="2121" t="s">
        <v>3873</v>
      </c>
      <c r="G5638" s="2121"/>
      <c r="H5638" s="1107">
        <f>H5637*0.15</f>
        <v>10830</v>
      </c>
      <c r="J5638" s="1559"/>
      <c r="K5638" s="1559"/>
      <c r="L5638" s="1559"/>
      <c r="M5638" s="1635"/>
    </row>
    <row r="5639" spans="2:13" s="496" customFormat="1" hidden="1">
      <c r="B5639" s="1803" t="s">
        <v>708</v>
      </c>
      <c r="C5639" s="2078" t="s">
        <v>3765</v>
      </c>
      <c r="D5639" s="2078"/>
      <c r="E5639" s="2078"/>
      <c r="F5639" s="2078"/>
      <c r="G5639" s="2078"/>
      <c r="H5639" s="1107">
        <f>ROUND(SUM(H5637:H5638),2)</f>
        <v>83030</v>
      </c>
      <c r="I5639" s="506">
        <f>SUM(H5637:H5638)</f>
        <v>83030</v>
      </c>
      <c r="J5639" s="1561"/>
      <c r="K5639" s="1561"/>
      <c r="L5639" s="1559"/>
      <c r="M5639" s="1635"/>
    </row>
    <row r="5640" spans="2:13" hidden="1">
      <c r="B5640" s="1741"/>
      <c r="F5640" s="1172"/>
      <c r="G5640" s="1173"/>
      <c r="H5640" s="1133"/>
      <c r="M5640" s="1566"/>
    </row>
    <row r="5641" spans="2:13" hidden="1">
      <c r="B5641" s="1100" t="s">
        <v>4159</v>
      </c>
      <c r="C5641" s="1232" t="s">
        <v>2754</v>
      </c>
      <c r="F5641" s="1172"/>
      <c r="G5641" s="1173"/>
      <c r="H5641" s="1133"/>
      <c r="M5641" s="1566"/>
    </row>
    <row r="5642" spans="2:13" s="507" customFormat="1" ht="24.9" hidden="1" customHeight="1">
      <c r="B5642" s="1748" t="s">
        <v>1003</v>
      </c>
      <c r="C5642" s="1101" t="s">
        <v>1004</v>
      </c>
      <c r="D5642" s="1101" t="s">
        <v>1005</v>
      </c>
      <c r="E5642" s="1101" t="s">
        <v>1006</v>
      </c>
      <c r="F5642" s="1102" t="s">
        <v>1007</v>
      </c>
      <c r="G5642" s="1109" t="s">
        <v>2637</v>
      </c>
      <c r="H5642" s="1110" t="s">
        <v>2638</v>
      </c>
      <c r="J5642" s="1625"/>
      <c r="K5642" s="1625"/>
      <c r="L5642" s="1625"/>
      <c r="M5642" s="1570"/>
    </row>
    <row r="5643" spans="2:13" hidden="1">
      <c r="B5643" s="1543" t="s">
        <v>671</v>
      </c>
      <c r="C5643" s="1332" t="s">
        <v>672</v>
      </c>
      <c r="D5643" s="1331"/>
      <c r="E5643" s="1331"/>
      <c r="F5643" s="1334"/>
      <c r="G5643" s="1104"/>
      <c r="H5643" s="1106"/>
      <c r="M5643" s="1566"/>
    </row>
    <row r="5644" spans="2:13" hidden="1">
      <c r="B5644" s="1543"/>
      <c r="C5644" s="1332" t="s">
        <v>673</v>
      </c>
      <c r="D5644" s="1331" t="s">
        <v>674</v>
      </c>
      <c r="E5644" s="1331" t="s">
        <v>675</v>
      </c>
      <c r="F5644" s="1334">
        <v>0.05</v>
      </c>
      <c r="G5644" s="1104">
        <f>DUB!$I$10</f>
        <v>150000</v>
      </c>
      <c r="H5644" s="1106">
        <f>G5644*F5644</f>
        <v>7500</v>
      </c>
      <c r="M5644" s="1566"/>
    </row>
    <row r="5645" spans="2:13" hidden="1">
      <c r="B5645" s="1543"/>
      <c r="C5645" s="1332" t="s">
        <v>871</v>
      </c>
      <c r="D5645" s="1331" t="s">
        <v>678</v>
      </c>
      <c r="E5645" s="1331"/>
      <c r="F5645" s="1334">
        <v>0.5</v>
      </c>
      <c r="G5645" s="1104">
        <f>DUB!$I$11</f>
        <v>187000</v>
      </c>
      <c r="H5645" s="1106">
        <f>G5645*F5645</f>
        <v>93500</v>
      </c>
      <c r="M5645" s="1566"/>
    </row>
    <row r="5646" spans="2:13" hidden="1">
      <c r="B5646" s="1543"/>
      <c r="C5646" s="1332" t="s">
        <v>751</v>
      </c>
      <c r="D5646" s="1331" t="s">
        <v>681</v>
      </c>
      <c r="E5646" s="1331"/>
      <c r="F5646" s="1334">
        <v>0.05</v>
      </c>
      <c r="G5646" s="1104">
        <f>DUB!$I$13</f>
        <v>240000</v>
      </c>
      <c r="H5646" s="1106">
        <f>G5646*F5646</f>
        <v>12000</v>
      </c>
      <c r="M5646" s="1566"/>
    </row>
    <row r="5647" spans="2:13" hidden="1">
      <c r="B5647" s="1543"/>
      <c r="C5647" s="1332" t="s">
        <v>683</v>
      </c>
      <c r="D5647" s="1331" t="s">
        <v>684</v>
      </c>
      <c r="E5647" s="1331" t="s">
        <v>675</v>
      </c>
      <c r="F5647" s="1334">
        <v>3.0000000000000001E-3</v>
      </c>
      <c r="G5647" s="1104">
        <f>DUB!$I$12</f>
        <v>225000</v>
      </c>
      <c r="H5647" s="1106">
        <f>G5647*F5647</f>
        <v>675</v>
      </c>
      <c r="M5647" s="1566"/>
    </row>
    <row r="5648" spans="2:13" hidden="1">
      <c r="B5648" s="1543"/>
      <c r="C5648" s="1332"/>
      <c r="D5648" s="1331"/>
      <c r="E5648" s="1331"/>
      <c r="F5648" s="2074" t="s">
        <v>685</v>
      </c>
      <c r="G5648" s="2074"/>
      <c r="H5648" s="1106">
        <f>SUM(H5644:H5647)</f>
        <v>113675</v>
      </c>
      <c r="M5648" s="1566"/>
    </row>
    <row r="5649" spans="2:13" hidden="1">
      <c r="B5649" s="1543" t="s">
        <v>686</v>
      </c>
      <c r="C5649" s="1332" t="s">
        <v>687</v>
      </c>
      <c r="D5649" s="1331"/>
      <c r="E5649" s="1331"/>
      <c r="F5649" s="1334"/>
      <c r="G5649" s="1104"/>
      <c r="H5649" s="1106"/>
      <c r="M5649" s="1566"/>
    </row>
    <row r="5650" spans="2:13" hidden="1">
      <c r="B5650" s="1543"/>
      <c r="C5650" s="1544" t="s">
        <v>1349</v>
      </c>
      <c r="D5650" s="1331"/>
      <c r="E5650" s="1331" t="s">
        <v>743</v>
      </c>
      <c r="F5650" s="1334">
        <v>1</v>
      </c>
      <c r="G5650" s="1104">
        <f>DUB!$I$445</f>
        <v>95319</v>
      </c>
      <c r="H5650" s="1106">
        <f>G5650*F5650</f>
        <v>95319</v>
      </c>
      <c r="M5650" s="1566"/>
    </row>
    <row r="5651" spans="2:13" hidden="1">
      <c r="B5651" s="1543"/>
      <c r="C5651" s="1125"/>
      <c r="D5651" s="1333"/>
      <c r="E5651" s="1333"/>
      <c r="F5651" s="2074" t="s">
        <v>702</v>
      </c>
      <c r="G5651" s="2074"/>
      <c r="H5651" s="1106">
        <f>SUM(H5650)</f>
        <v>95319</v>
      </c>
      <c r="M5651" s="1566"/>
    </row>
    <row r="5652" spans="2:13" s="496" customFormat="1" hidden="1">
      <c r="B5652" s="1543" t="s">
        <v>703</v>
      </c>
      <c r="C5652" s="2075" t="s">
        <v>3764</v>
      </c>
      <c r="D5652" s="2075"/>
      <c r="E5652" s="2075"/>
      <c r="F5652" s="2075"/>
      <c r="G5652" s="2075"/>
      <c r="H5652" s="1107">
        <f>H5648+H5651</f>
        <v>208994</v>
      </c>
      <c r="J5652" s="1559"/>
      <c r="K5652" s="1559"/>
      <c r="L5652" s="1559"/>
      <c r="M5652" s="1635"/>
    </row>
    <row r="5653" spans="2:13" s="496" customFormat="1" hidden="1">
      <c r="B5653" s="1543" t="s">
        <v>706</v>
      </c>
      <c r="C5653" s="2076" t="s">
        <v>876</v>
      </c>
      <c r="D5653" s="2076"/>
      <c r="E5653" s="2076"/>
      <c r="F5653" s="2077" t="s">
        <v>3873</v>
      </c>
      <c r="G5653" s="2077"/>
      <c r="H5653" s="1107">
        <f>H5652*0.15</f>
        <v>31349.1</v>
      </c>
      <c r="J5653" s="1559"/>
      <c r="K5653" s="1559"/>
      <c r="L5653" s="1559"/>
      <c r="M5653" s="1635"/>
    </row>
    <row r="5654" spans="2:13" s="496" customFormat="1" hidden="1">
      <c r="B5654" s="1543" t="s">
        <v>708</v>
      </c>
      <c r="C5654" s="2078" t="s">
        <v>3765</v>
      </c>
      <c r="D5654" s="2078"/>
      <c r="E5654" s="2078"/>
      <c r="F5654" s="2078"/>
      <c r="G5654" s="2078"/>
      <c r="H5654" s="1107">
        <f>ROUND(SUM(H5652:H5653),2)</f>
        <v>240343.1</v>
      </c>
      <c r="I5654" s="506">
        <f>SUM(H5652:H5653)</f>
        <v>240343.1</v>
      </c>
      <c r="J5654" s="1561"/>
      <c r="K5654" s="1561"/>
      <c r="L5654" s="1559"/>
      <c r="M5654" s="1635"/>
    </row>
    <row r="5655" spans="2:13" hidden="1">
      <c r="B5655" s="1143"/>
      <c r="C5655" s="1144"/>
      <c r="D5655" s="1143"/>
      <c r="E5655" s="1143"/>
      <c r="F5655" s="1145"/>
      <c r="G5655" s="1146"/>
      <c r="H5655" s="1147"/>
      <c r="M5655" s="1566"/>
    </row>
    <row r="5656" spans="2:13" hidden="1">
      <c r="B5656" s="1100" t="s">
        <v>4160</v>
      </c>
      <c r="C5656" s="1112" t="s">
        <v>2753</v>
      </c>
      <c r="D5656" s="1129"/>
      <c r="E5656" s="1129"/>
      <c r="F5656" s="1131"/>
      <c r="G5656" s="1132"/>
      <c r="H5656" s="1115"/>
      <c r="M5656" s="1566"/>
    </row>
    <row r="5657" spans="2:13" s="507" customFormat="1" ht="24.9" hidden="1" customHeight="1">
      <c r="B5657" s="1748" t="s">
        <v>1003</v>
      </c>
      <c r="C5657" s="1101" t="s">
        <v>1004</v>
      </c>
      <c r="D5657" s="1101" t="s">
        <v>1005</v>
      </c>
      <c r="E5657" s="1101" t="s">
        <v>1006</v>
      </c>
      <c r="F5657" s="1102" t="s">
        <v>1007</v>
      </c>
      <c r="G5657" s="1109" t="s">
        <v>2637</v>
      </c>
      <c r="H5657" s="1110" t="s">
        <v>2638</v>
      </c>
      <c r="J5657" s="1625"/>
      <c r="K5657" s="1625"/>
      <c r="L5657" s="1625"/>
      <c r="M5657" s="1570"/>
    </row>
    <row r="5658" spans="2:13" hidden="1">
      <c r="B5658" s="1543" t="s">
        <v>671</v>
      </c>
      <c r="C5658" s="1332" t="s">
        <v>672</v>
      </c>
      <c r="D5658" s="1331"/>
      <c r="E5658" s="1331"/>
      <c r="F5658" s="1334"/>
      <c r="G5658" s="1104"/>
      <c r="H5658" s="1106"/>
      <c r="M5658" s="1566"/>
    </row>
    <row r="5659" spans="2:13" hidden="1">
      <c r="B5659" s="1543"/>
      <c r="C5659" s="1332" t="s">
        <v>673</v>
      </c>
      <c r="D5659" s="1331" t="s">
        <v>674</v>
      </c>
      <c r="E5659" s="1331" t="s">
        <v>675</v>
      </c>
      <c r="F5659" s="1334">
        <v>0.01</v>
      </c>
      <c r="G5659" s="1104">
        <f>DUB!$I$10</f>
        <v>150000</v>
      </c>
      <c r="H5659" s="1106">
        <f>G5659*F5659</f>
        <v>1500</v>
      </c>
      <c r="M5659" s="1566"/>
    </row>
    <row r="5660" spans="2:13" hidden="1">
      <c r="B5660" s="1543"/>
      <c r="C5660" s="1332" t="s">
        <v>871</v>
      </c>
      <c r="D5660" s="1331" t="s">
        <v>678</v>
      </c>
      <c r="E5660" s="1331"/>
      <c r="F5660" s="1334">
        <v>0.1</v>
      </c>
      <c r="G5660" s="1104">
        <f>DUB!$I$11</f>
        <v>187000</v>
      </c>
      <c r="H5660" s="1106">
        <f>G5660*F5660</f>
        <v>18700</v>
      </c>
      <c r="M5660" s="1566"/>
    </row>
    <row r="5661" spans="2:13" hidden="1">
      <c r="B5661" s="1543"/>
      <c r="C5661" s="1332" t="s">
        <v>751</v>
      </c>
      <c r="D5661" s="1331" t="s">
        <v>681</v>
      </c>
      <c r="E5661" s="1331"/>
      <c r="F5661" s="1334">
        <v>0.01</v>
      </c>
      <c r="G5661" s="1104">
        <f>DUB!$I$13</f>
        <v>240000</v>
      </c>
      <c r="H5661" s="1106">
        <f>G5661*F5661</f>
        <v>2400</v>
      </c>
      <c r="M5661" s="1566"/>
    </row>
    <row r="5662" spans="2:13" hidden="1">
      <c r="B5662" s="1543"/>
      <c r="C5662" s="1332" t="s">
        <v>683</v>
      </c>
      <c r="D5662" s="1331" t="s">
        <v>684</v>
      </c>
      <c r="E5662" s="1331" t="s">
        <v>675</v>
      </c>
      <c r="F5662" s="1334">
        <v>5.0000000000000001E-3</v>
      </c>
      <c r="G5662" s="1104">
        <f>DUB!$I$12</f>
        <v>225000</v>
      </c>
      <c r="H5662" s="1106">
        <f>G5662*F5662</f>
        <v>1125</v>
      </c>
      <c r="M5662" s="1566"/>
    </row>
    <row r="5663" spans="2:13" hidden="1">
      <c r="B5663" s="1543"/>
      <c r="C5663" s="1332"/>
      <c r="D5663" s="1331"/>
      <c r="E5663" s="1331"/>
      <c r="F5663" s="2074" t="s">
        <v>685</v>
      </c>
      <c r="G5663" s="2074"/>
      <c r="H5663" s="1106">
        <f>SUM(H5659:H5662)</f>
        <v>23725</v>
      </c>
      <c r="M5663" s="1566"/>
    </row>
    <row r="5664" spans="2:13" hidden="1">
      <c r="B5664" s="1543" t="s">
        <v>686</v>
      </c>
      <c r="C5664" s="1332" t="s">
        <v>687</v>
      </c>
      <c r="D5664" s="1331"/>
      <c r="E5664" s="1331"/>
      <c r="F5664" s="1334"/>
      <c r="G5664" s="1104"/>
      <c r="H5664" s="1106"/>
      <c r="M5664" s="1566"/>
    </row>
    <row r="5665" spans="2:13" hidden="1">
      <c r="B5665" s="1540"/>
      <c r="C5665" s="1332" t="s">
        <v>1350</v>
      </c>
      <c r="D5665" s="1331"/>
      <c r="E5665" s="1331" t="s">
        <v>743</v>
      </c>
      <c r="F5665" s="1334">
        <v>1</v>
      </c>
      <c r="G5665" s="1104">
        <f>DUB!$I$461</f>
        <v>27306</v>
      </c>
      <c r="H5665" s="1106">
        <f>G5665*F5665</f>
        <v>27306</v>
      </c>
      <c r="M5665" s="1566"/>
    </row>
    <row r="5666" spans="2:13" hidden="1">
      <c r="B5666" s="1540"/>
      <c r="C5666" s="1125"/>
      <c r="D5666" s="1333"/>
      <c r="E5666" s="1333"/>
      <c r="F5666" s="2074" t="s">
        <v>702</v>
      </c>
      <c r="G5666" s="2074"/>
      <c r="H5666" s="1106">
        <f>SUM(H5665)</f>
        <v>27306</v>
      </c>
      <c r="M5666" s="1566"/>
    </row>
    <row r="5667" spans="2:13" s="496" customFormat="1" hidden="1">
      <c r="B5667" s="1543" t="s">
        <v>703</v>
      </c>
      <c r="C5667" s="2075" t="s">
        <v>3764</v>
      </c>
      <c r="D5667" s="2075"/>
      <c r="E5667" s="2075"/>
      <c r="F5667" s="2075"/>
      <c r="G5667" s="2075"/>
      <c r="H5667" s="1107">
        <f>H5663+H5666</f>
        <v>51031</v>
      </c>
      <c r="J5667" s="1559"/>
      <c r="K5667" s="1559"/>
      <c r="L5667" s="1559"/>
      <c r="M5667" s="1635"/>
    </row>
    <row r="5668" spans="2:13" s="496" customFormat="1" hidden="1">
      <c r="B5668" s="1543" t="s">
        <v>706</v>
      </c>
      <c r="C5668" s="2076" t="s">
        <v>876</v>
      </c>
      <c r="D5668" s="2076"/>
      <c r="E5668" s="2076"/>
      <c r="F5668" s="2077" t="s">
        <v>3873</v>
      </c>
      <c r="G5668" s="2077"/>
      <c r="H5668" s="1107">
        <f>H5667*0.15</f>
        <v>7654.65</v>
      </c>
      <c r="J5668" s="1559"/>
      <c r="K5668" s="1559"/>
      <c r="L5668" s="1559"/>
      <c r="M5668" s="1635"/>
    </row>
    <row r="5669" spans="2:13" s="496" customFormat="1" hidden="1">
      <c r="B5669" s="1543" t="s">
        <v>708</v>
      </c>
      <c r="C5669" s="2078" t="s">
        <v>3765</v>
      </c>
      <c r="D5669" s="2078"/>
      <c r="E5669" s="2078"/>
      <c r="F5669" s="2078"/>
      <c r="G5669" s="2078"/>
      <c r="H5669" s="1107">
        <f>ROUND(SUM(H5667:H5668),2)</f>
        <v>58685.65</v>
      </c>
      <c r="I5669" s="506">
        <f>SUM(H5667:H5668)</f>
        <v>58685.65</v>
      </c>
      <c r="J5669" s="1561"/>
      <c r="K5669" s="1561"/>
      <c r="L5669" s="1559"/>
      <c r="M5669" s="1635"/>
    </row>
    <row r="5670" spans="2:13" hidden="1">
      <c r="F5670" s="1172"/>
      <c r="G5670" s="1173"/>
      <c r="H5670" s="1133"/>
      <c r="M5670" s="1566"/>
    </row>
    <row r="5671" spans="2:13" hidden="1">
      <c r="B5671" s="1100" t="s">
        <v>4161</v>
      </c>
      <c r="C5671" s="1232" t="s">
        <v>4370</v>
      </c>
      <c r="F5671" s="1172"/>
      <c r="G5671" s="1173"/>
      <c r="H5671" s="1133"/>
      <c r="M5671" s="1566"/>
    </row>
    <row r="5672" spans="2:13" s="507" customFormat="1" ht="24.9" hidden="1" customHeight="1">
      <c r="B5672" s="1748" t="s">
        <v>1003</v>
      </c>
      <c r="C5672" s="1101" t="s">
        <v>1004</v>
      </c>
      <c r="D5672" s="1101" t="s">
        <v>1005</v>
      </c>
      <c r="E5672" s="1101" t="s">
        <v>1006</v>
      </c>
      <c r="F5672" s="1102" t="s">
        <v>1007</v>
      </c>
      <c r="G5672" s="1109" t="s">
        <v>2637</v>
      </c>
      <c r="H5672" s="1110" t="s">
        <v>2638</v>
      </c>
      <c r="J5672" s="1625"/>
      <c r="K5672" s="1625"/>
      <c r="L5672" s="1625"/>
      <c r="M5672" s="1570"/>
    </row>
    <row r="5673" spans="2:13" hidden="1">
      <c r="B5673" s="1543" t="s">
        <v>671</v>
      </c>
      <c r="C5673" s="1332" t="s">
        <v>672</v>
      </c>
      <c r="D5673" s="1331"/>
      <c r="E5673" s="1331"/>
      <c r="F5673" s="1334"/>
      <c r="G5673" s="1104"/>
      <c r="H5673" s="1106"/>
      <c r="M5673" s="1566"/>
    </row>
    <row r="5674" spans="2:13" hidden="1">
      <c r="B5674" s="1543"/>
      <c r="C5674" s="1332" t="s">
        <v>673</v>
      </c>
      <c r="D5674" s="1331" t="s">
        <v>674</v>
      </c>
      <c r="E5674" s="1331" t="s">
        <v>675</v>
      </c>
      <c r="F5674" s="1334">
        <v>0.06</v>
      </c>
      <c r="G5674" s="1104">
        <f>DUB!$I$10</f>
        <v>150000</v>
      </c>
      <c r="H5674" s="1106">
        <f>G5674*F5674</f>
        <v>9000</v>
      </c>
      <c r="M5674" s="1566"/>
    </row>
    <row r="5675" spans="2:13" hidden="1">
      <c r="B5675" s="1543"/>
      <c r="C5675" s="1332" t="s">
        <v>871</v>
      </c>
      <c r="D5675" s="1331" t="s">
        <v>678</v>
      </c>
      <c r="E5675" s="1331"/>
      <c r="F5675" s="1334">
        <v>0.6</v>
      </c>
      <c r="G5675" s="1104">
        <f>DUB!$I$11</f>
        <v>187000</v>
      </c>
      <c r="H5675" s="1106">
        <f>G5675*F5675</f>
        <v>112200</v>
      </c>
      <c r="M5675" s="1566"/>
    </row>
    <row r="5676" spans="2:13" hidden="1">
      <c r="B5676" s="1543"/>
      <c r="C5676" s="1332" t="s">
        <v>751</v>
      </c>
      <c r="D5676" s="1331" t="s">
        <v>681</v>
      </c>
      <c r="E5676" s="1331"/>
      <c r="F5676" s="1334">
        <v>0.06</v>
      </c>
      <c r="G5676" s="1104">
        <f>DUB!$I$13</f>
        <v>240000</v>
      </c>
      <c r="H5676" s="1106">
        <f>G5676*F5676</f>
        <v>14400</v>
      </c>
      <c r="M5676" s="1566"/>
    </row>
    <row r="5677" spans="2:13" hidden="1">
      <c r="B5677" s="1543"/>
      <c r="C5677" s="1332" t="s">
        <v>683</v>
      </c>
      <c r="D5677" s="1331" t="s">
        <v>684</v>
      </c>
      <c r="E5677" s="1331" t="s">
        <v>675</v>
      </c>
      <c r="F5677" s="1334">
        <v>3.0000000000000001E-3</v>
      </c>
      <c r="G5677" s="1104">
        <f>DUB!$I$12</f>
        <v>225000</v>
      </c>
      <c r="H5677" s="1106">
        <f>G5677*F5677</f>
        <v>675</v>
      </c>
      <c r="M5677" s="1566"/>
    </row>
    <row r="5678" spans="2:13" hidden="1">
      <c r="B5678" s="1543"/>
      <c r="C5678" s="1332"/>
      <c r="D5678" s="1331"/>
      <c r="E5678" s="1331"/>
      <c r="F5678" s="2074" t="s">
        <v>685</v>
      </c>
      <c r="G5678" s="2074"/>
      <c r="H5678" s="1106">
        <f>SUM(H5674:H5677)</f>
        <v>136275</v>
      </c>
      <c r="M5678" s="1566"/>
    </row>
    <row r="5679" spans="2:13" hidden="1">
      <c r="B5679" s="1543" t="s">
        <v>686</v>
      </c>
      <c r="C5679" s="1332" t="s">
        <v>687</v>
      </c>
      <c r="D5679" s="1331"/>
      <c r="E5679" s="1331"/>
      <c r="F5679" s="1334"/>
      <c r="G5679" s="1104"/>
      <c r="H5679" s="1106"/>
      <c r="M5679" s="1566"/>
    </row>
    <row r="5680" spans="2:13" hidden="1">
      <c r="B5680" s="1543"/>
      <c r="C5680" s="1332" t="s">
        <v>1352</v>
      </c>
      <c r="D5680" s="1331"/>
      <c r="E5680" s="1331" t="s">
        <v>1353</v>
      </c>
      <c r="F5680" s="1334">
        <v>1</v>
      </c>
      <c r="G5680" s="1104">
        <f>DUB!$I$459</f>
        <v>251685</v>
      </c>
      <c r="H5680" s="1106">
        <f>G5680*F5680</f>
        <v>251685</v>
      </c>
      <c r="M5680" s="1566"/>
    </row>
    <row r="5681" spans="2:13" hidden="1">
      <c r="B5681" s="1540"/>
      <c r="C5681" s="1125"/>
      <c r="D5681" s="1333"/>
      <c r="E5681" s="1333"/>
      <c r="F5681" s="2074" t="s">
        <v>702</v>
      </c>
      <c r="G5681" s="2074"/>
      <c r="H5681" s="1106">
        <f>SUM(H5680)</f>
        <v>251685</v>
      </c>
      <c r="M5681" s="1566"/>
    </row>
    <row r="5682" spans="2:13" s="496" customFormat="1" hidden="1">
      <c r="B5682" s="1543" t="s">
        <v>703</v>
      </c>
      <c r="C5682" s="2075" t="s">
        <v>3764</v>
      </c>
      <c r="D5682" s="2075"/>
      <c r="E5682" s="2075"/>
      <c r="F5682" s="2075"/>
      <c r="G5682" s="2075"/>
      <c r="H5682" s="1107">
        <f>H5678+H5681</f>
        <v>387960</v>
      </c>
      <c r="J5682" s="1559"/>
      <c r="K5682" s="1559"/>
      <c r="L5682" s="1559"/>
      <c r="M5682" s="1635"/>
    </row>
    <row r="5683" spans="2:13" s="496" customFormat="1" hidden="1">
      <c r="B5683" s="1543" t="s">
        <v>706</v>
      </c>
      <c r="C5683" s="2076" t="s">
        <v>876</v>
      </c>
      <c r="D5683" s="2076"/>
      <c r="E5683" s="2076"/>
      <c r="F5683" s="2077" t="s">
        <v>3873</v>
      </c>
      <c r="G5683" s="2077"/>
      <c r="H5683" s="1107">
        <f>H5682*0.15</f>
        <v>58194</v>
      </c>
      <c r="J5683" s="1559"/>
      <c r="K5683" s="1559"/>
      <c r="L5683" s="1559"/>
      <c r="M5683" s="1635"/>
    </row>
    <row r="5684" spans="2:13" s="496" customFormat="1" hidden="1">
      <c r="B5684" s="1543" t="s">
        <v>708</v>
      </c>
      <c r="C5684" s="2078" t="s">
        <v>3765</v>
      </c>
      <c r="D5684" s="2078"/>
      <c r="E5684" s="2078"/>
      <c r="F5684" s="2078"/>
      <c r="G5684" s="2078"/>
      <c r="H5684" s="1107">
        <f>ROUND(SUM(H5682:H5683),2)</f>
        <v>446154</v>
      </c>
      <c r="I5684" s="506">
        <f>SUM(H5682:H5683)</f>
        <v>446154</v>
      </c>
      <c r="J5684" s="1561"/>
      <c r="K5684" s="1561"/>
      <c r="L5684" s="1559"/>
      <c r="M5684" s="1635"/>
    </row>
    <row r="5685" spans="2:13" hidden="1">
      <c r="B5685" s="1143"/>
      <c r="C5685" s="1144"/>
      <c r="D5685" s="1143"/>
      <c r="E5685" s="1143"/>
      <c r="F5685" s="1145"/>
      <c r="G5685" s="1146"/>
      <c r="H5685" s="1147"/>
      <c r="M5685" s="1566"/>
    </row>
    <row r="5686" spans="2:13" hidden="1">
      <c r="B5686" s="1100" t="s">
        <v>4162</v>
      </c>
      <c r="C5686" s="1112" t="s">
        <v>4371</v>
      </c>
      <c r="D5686" s="1129"/>
      <c r="E5686" s="1129"/>
      <c r="F5686" s="1131"/>
      <c r="G5686" s="1132"/>
      <c r="H5686" s="1115"/>
      <c r="M5686" s="1566"/>
    </row>
    <row r="5687" spans="2:13" s="507" customFormat="1" ht="24.9" hidden="1" customHeight="1">
      <c r="B5687" s="1748" t="s">
        <v>1003</v>
      </c>
      <c r="C5687" s="1101" t="s">
        <v>1004</v>
      </c>
      <c r="D5687" s="1101" t="s">
        <v>1005</v>
      </c>
      <c r="E5687" s="1101" t="s">
        <v>1006</v>
      </c>
      <c r="F5687" s="1102" t="s">
        <v>1007</v>
      </c>
      <c r="G5687" s="1109" t="s">
        <v>2637</v>
      </c>
      <c r="H5687" s="1110" t="s">
        <v>2638</v>
      </c>
      <c r="J5687" s="1625"/>
      <c r="K5687" s="1625"/>
      <c r="L5687" s="1625"/>
      <c r="M5687" s="1570"/>
    </row>
    <row r="5688" spans="2:13" hidden="1">
      <c r="B5688" s="1543" t="s">
        <v>671</v>
      </c>
      <c r="C5688" s="1332" t="s">
        <v>672</v>
      </c>
      <c r="D5688" s="1331"/>
      <c r="E5688" s="1331"/>
      <c r="F5688" s="1334"/>
      <c r="G5688" s="1104"/>
      <c r="H5688" s="1106"/>
      <c r="M5688" s="1566"/>
    </row>
    <row r="5689" spans="2:13" hidden="1">
      <c r="B5689" s="1543"/>
      <c r="C5689" s="1332" t="s">
        <v>673</v>
      </c>
      <c r="D5689" s="1331" t="s">
        <v>674</v>
      </c>
      <c r="E5689" s="1331" t="s">
        <v>675</v>
      </c>
      <c r="F5689" s="1334">
        <v>2.5000000000000001E-2</v>
      </c>
      <c r="G5689" s="1104">
        <f>DUB!$I$10</f>
        <v>150000</v>
      </c>
      <c r="H5689" s="1106">
        <f>G5689*F5689</f>
        <v>3750</v>
      </c>
      <c r="M5689" s="1566"/>
    </row>
    <row r="5690" spans="2:13" hidden="1">
      <c r="B5690" s="1543"/>
      <c r="C5690" s="1332" t="s">
        <v>871</v>
      </c>
      <c r="D5690" s="1331" t="s">
        <v>678</v>
      </c>
      <c r="E5690" s="1331"/>
      <c r="F5690" s="1334">
        <v>0.25</v>
      </c>
      <c r="G5690" s="1104">
        <f>DUB!$I$11</f>
        <v>187000</v>
      </c>
      <c r="H5690" s="1106">
        <f>G5690*F5690</f>
        <v>46750</v>
      </c>
      <c r="M5690" s="1566"/>
    </row>
    <row r="5691" spans="2:13" hidden="1">
      <c r="B5691" s="1543"/>
      <c r="C5691" s="1332" t="s">
        <v>751</v>
      </c>
      <c r="D5691" s="1331" t="s">
        <v>681</v>
      </c>
      <c r="E5691" s="1331"/>
      <c r="F5691" s="1334">
        <v>2.5000000000000001E-2</v>
      </c>
      <c r="G5691" s="1104">
        <f>DUB!$I$13</f>
        <v>240000</v>
      </c>
      <c r="H5691" s="1106">
        <f>G5691*F5691</f>
        <v>6000</v>
      </c>
      <c r="M5691" s="1566"/>
    </row>
    <row r="5692" spans="2:13" hidden="1">
      <c r="B5692" s="1543"/>
      <c r="C5692" s="1332" t="s">
        <v>683</v>
      </c>
      <c r="D5692" s="1331" t="s">
        <v>684</v>
      </c>
      <c r="E5692" s="1331" t="s">
        <v>675</v>
      </c>
      <c r="F5692" s="1334">
        <v>1.2999999999999999E-3</v>
      </c>
      <c r="G5692" s="1104">
        <f>DUB!$I$12</f>
        <v>225000</v>
      </c>
      <c r="H5692" s="1106">
        <f>G5692*F5692</f>
        <v>292.5</v>
      </c>
      <c r="M5692" s="1566"/>
    </row>
    <row r="5693" spans="2:13" hidden="1">
      <c r="B5693" s="1543"/>
      <c r="C5693" s="1332"/>
      <c r="D5693" s="1331"/>
      <c r="E5693" s="1331"/>
      <c r="F5693" s="2074" t="s">
        <v>685</v>
      </c>
      <c r="G5693" s="2074"/>
      <c r="H5693" s="1106">
        <f>SUM(H5689:H5692)</f>
        <v>56792.5</v>
      </c>
      <c r="M5693" s="1566"/>
    </row>
    <row r="5694" spans="2:13" hidden="1">
      <c r="B5694" s="1543" t="s">
        <v>686</v>
      </c>
      <c r="C5694" s="1332" t="s">
        <v>687</v>
      </c>
      <c r="D5694" s="1331"/>
      <c r="E5694" s="1331"/>
      <c r="F5694" s="1334"/>
      <c r="G5694" s="1104"/>
      <c r="H5694" s="1106"/>
      <c r="M5694" s="1566"/>
    </row>
    <row r="5695" spans="2:13" hidden="1">
      <c r="B5695" s="1543"/>
      <c r="C5695" s="1332" t="s">
        <v>1355</v>
      </c>
      <c r="D5695" s="1331"/>
      <c r="E5695" s="1331" t="s">
        <v>1353</v>
      </c>
      <c r="F5695" s="1334">
        <v>1</v>
      </c>
      <c r="G5695" s="1104">
        <f>DUB!$I$458</f>
        <v>15012</v>
      </c>
      <c r="H5695" s="1106">
        <f>G5695*F5695</f>
        <v>15012</v>
      </c>
      <c r="M5695" s="1566"/>
    </row>
    <row r="5696" spans="2:13" hidden="1">
      <c r="B5696" s="1543"/>
      <c r="C5696" s="1125"/>
      <c r="D5696" s="1333"/>
      <c r="E5696" s="1333"/>
      <c r="F5696" s="2074" t="s">
        <v>702</v>
      </c>
      <c r="G5696" s="2074"/>
      <c r="H5696" s="1106">
        <f>SUM(H5695)</f>
        <v>15012</v>
      </c>
      <c r="M5696" s="1566"/>
    </row>
    <row r="5697" spans="2:13" s="496" customFormat="1" hidden="1">
      <c r="B5697" s="1543" t="s">
        <v>703</v>
      </c>
      <c r="C5697" s="2075" t="s">
        <v>3764</v>
      </c>
      <c r="D5697" s="2075"/>
      <c r="E5697" s="2075"/>
      <c r="F5697" s="2075"/>
      <c r="G5697" s="2075"/>
      <c r="H5697" s="1107">
        <f>H5693+H5696</f>
        <v>71804.5</v>
      </c>
      <c r="J5697" s="1559"/>
      <c r="K5697" s="1559"/>
      <c r="L5697" s="1559"/>
      <c r="M5697" s="1635"/>
    </row>
    <row r="5698" spans="2:13" s="496" customFormat="1" hidden="1">
      <c r="B5698" s="1543" t="s">
        <v>706</v>
      </c>
      <c r="C5698" s="2076" t="s">
        <v>876</v>
      </c>
      <c r="D5698" s="2076"/>
      <c r="E5698" s="2076"/>
      <c r="F5698" s="2077" t="s">
        <v>3873</v>
      </c>
      <c r="G5698" s="2077"/>
      <c r="H5698" s="1107">
        <f>H5697*0.15</f>
        <v>10770.674999999999</v>
      </c>
      <c r="J5698" s="1559"/>
      <c r="K5698" s="1559"/>
      <c r="L5698" s="1559"/>
      <c r="M5698" s="1635"/>
    </row>
    <row r="5699" spans="2:13" s="496" customFormat="1" hidden="1">
      <c r="B5699" s="1543" t="s">
        <v>708</v>
      </c>
      <c r="C5699" s="2078" t="s">
        <v>3765</v>
      </c>
      <c r="D5699" s="2078"/>
      <c r="E5699" s="2078"/>
      <c r="F5699" s="2078"/>
      <c r="G5699" s="2078"/>
      <c r="H5699" s="1107">
        <f>ROUND(SUM(H5697:H5698),2)</f>
        <v>82575.179999999993</v>
      </c>
      <c r="I5699" s="506">
        <f>SUM(H5697:H5698)</f>
        <v>82575.175000000003</v>
      </c>
      <c r="J5699" s="1561"/>
      <c r="K5699" s="1561"/>
      <c r="L5699" s="1559"/>
      <c r="M5699" s="1635"/>
    </row>
    <row r="5700" spans="2:13" hidden="1">
      <c r="F5700" s="1172"/>
      <c r="G5700" s="1173"/>
      <c r="H5700" s="1133"/>
      <c r="M5700" s="1566"/>
    </row>
    <row r="5701" spans="2:13" hidden="1">
      <c r="B5701" s="1100" t="s">
        <v>4163</v>
      </c>
      <c r="C5701" s="1232" t="s">
        <v>2752</v>
      </c>
      <c r="F5701" s="1172"/>
      <c r="G5701" s="1173"/>
      <c r="H5701" s="1133"/>
      <c r="M5701" s="1566"/>
    </row>
    <row r="5702" spans="2:13" s="507" customFormat="1" ht="24.9" hidden="1" customHeight="1">
      <c r="B5702" s="1748" t="s">
        <v>1003</v>
      </c>
      <c r="C5702" s="1101" t="s">
        <v>1004</v>
      </c>
      <c r="D5702" s="1101" t="s">
        <v>1005</v>
      </c>
      <c r="E5702" s="1101" t="s">
        <v>1006</v>
      </c>
      <c r="F5702" s="1102" t="s">
        <v>1007</v>
      </c>
      <c r="G5702" s="1109" t="s">
        <v>2637</v>
      </c>
      <c r="H5702" s="1110" t="s">
        <v>2638</v>
      </c>
      <c r="J5702" s="1625"/>
      <c r="K5702" s="1625"/>
      <c r="L5702" s="1625"/>
      <c r="M5702" s="1570"/>
    </row>
    <row r="5703" spans="2:13" hidden="1">
      <c r="B5703" s="1543" t="s">
        <v>671</v>
      </c>
      <c r="C5703" s="1332" t="s">
        <v>672</v>
      </c>
      <c r="D5703" s="1331"/>
      <c r="E5703" s="1331"/>
      <c r="F5703" s="1334"/>
      <c r="G5703" s="1104"/>
      <c r="H5703" s="1106"/>
      <c r="M5703" s="1566"/>
    </row>
    <row r="5704" spans="2:13" hidden="1">
      <c r="B5704" s="1543"/>
      <c r="C5704" s="1332" t="s">
        <v>673</v>
      </c>
      <c r="D5704" s="1331" t="s">
        <v>674</v>
      </c>
      <c r="E5704" s="1331" t="s">
        <v>675</v>
      </c>
      <c r="F5704" s="1334">
        <v>1.4999999999999999E-2</v>
      </c>
      <c r="G5704" s="1104">
        <f>DUB!$I$10</f>
        <v>150000</v>
      </c>
      <c r="H5704" s="1106">
        <f>G5704*F5704</f>
        <v>2250</v>
      </c>
      <c r="M5704" s="1566"/>
    </row>
    <row r="5705" spans="2:13" hidden="1">
      <c r="B5705" s="1543"/>
      <c r="C5705" s="1332" t="s">
        <v>871</v>
      </c>
      <c r="D5705" s="1331" t="s">
        <v>678</v>
      </c>
      <c r="E5705" s="1331"/>
      <c r="F5705" s="1334">
        <v>0.15</v>
      </c>
      <c r="G5705" s="1104">
        <f>DUB!$I$11</f>
        <v>187000</v>
      </c>
      <c r="H5705" s="1106">
        <f>G5705*F5705</f>
        <v>28050</v>
      </c>
      <c r="M5705" s="1566"/>
    </row>
    <row r="5706" spans="2:13" hidden="1">
      <c r="B5706" s="1543"/>
      <c r="C5706" s="1332" t="s">
        <v>751</v>
      </c>
      <c r="D5706" s="1331" t="s">
        <v>681</v>
      </c>
      <c r="E5706" s="1331"/>
      <c r="F5706" s="1334">
        <v>1.4999999999999999E-2</v>
      </c>
      <c r="G5706" s="1104">
        <f>DUB!$I$13</f>
        <v>240000</v>
      </c>
      <c r="H5706" s="1106">
        <f>G5706*F5706</f>
        <v>3600</v>
      </c>
      <c r="M5706" s="1566"/>
    </row>
    <row r="5707" spans="2:13" hidden="1">
      <c r="B5707" s="1543"/>
      <c r="C5707" s="1332" t="s">
        <v>683</v>
      </c>
      <c r="D5707" s="1331" t="s">
        <v>684</v>
      </c>
      <c r="E5707" s="1331" t="s">
        <v>675</v>
      </c>
      <c r="F5707" s="1334">
        <v>8.0000000000000004E-4</v>
      </c>
      <c r="G5707" s="1104">
        <f>DUB!$I$12</f>
        <v>225000</v>
      </c>
      <c r="H5707" s="1106">
        <f>G5707*F5707</f>
        <v>180</v>
      </c>
      <c r="M5707" s="1566"/>
    </row>
    <row r="5708" spans="2:13" hidden="1">
      <c r="B5708" s="1543"/>
      <c r="C5708" s="1332"/>
      <c r="D5708" s="1331"/>
      <c r="E5708" s="1331"/>
      <c r="F5708" s="2074" t="s">
        <v>685</v>
      </c>
      <c r="G5708" s="2074"/>
      <c r="H5708" s="1106">
        <f>SUM(H5704:H5707)</f>
        <v>34080</v>
      </c>
      <c r="M5708" s="1566"/>
    </row>
    <row r="5709" spans="2:13" hidden="1">
      <c r="B5709" s="1543" t="s">
        <v>686</v>
      </c>
      <c r="C5709" s="1332" t="s">
        <v>687</v>
      </c>
      <c r="D5709" s="1331"/>
      <c r="E5709" s="1331"/>
      <c r="F5709" s="1334"/>
      <c r="G5709" s="1104"/>
      <c r="H5709" s="1106"/>
      <c r="M5709" s="1566"/>
    </row>
    <row r="5710" spans="2:13" hidden="1">
      <c r="B5710" s="1540"/>
      <c r="C5710" s="1332" t="s">
        <v>4732</v>
      </c>
      <c r="D5710" s="1331"/>
      <c r="E5710" s="1331" t="s">
        <v>2647</v>
      </c>
      <c r="F5710" s="1334">
        <v>1.1000000000000001</v>
      </c>
      <c r="G5710" s="1104">
        <f>DUB!I223</f>
        <v>144585</v>
      </c>
      <c r="H5710" s="1106">
        <f>G5710*F5710</f>
        <v>159043.5</v>
      </c>
      <c r="M5710" s="1566"/>
    </row>
    <row r="5711" spans="2:13" hidden="1">
      <c r="B5711" s="1540"/>
      <c r="C5711" s="1332" t="s">
        <v>972</v>
      </c>
      <c r="D5711" s="1331"/>
      <c r="E5711" s="1331" t="s">
        <v>690</v>
      </c>
      <c r="F5711" s="1334">
        <v>0.05</v>
      </c>
      <c r="G5711" s="1104">
        <f>DUB!$I$147</f>
        <v>10710</v>
      </c>
      <c r="H5711" s="1106">
        <f>G5711*F5711</f>
        <v>535.5</v>
      </c>
      <c r="M5711" s="1566"/>
    </row>
    <row r="5712" spans="2:13" hidden="1">
      <c r="B5712" s="1540"/>
      <c r="C5712" s="1125"/>
      <c r="D5712" s="1333"/>
      <c r="E5712" s="1333"/>
      <c r="F5712" s="2074" t="s">
        <v>702</v>
      </c>
      <c r="G5712" s="2074"/>
      <c r="H5712" s="1106">
        <f>SUM(H5710:H5711)</f>
        <v>159579</v>
      </c>
      <c r="M5712" s="1566"/>
    </row>
    <row r="5713" spans="2:13" s="496" customFormat="1" hidden="1">
      <c r="B5713" s="1543" t="s">
        <v>703</v>
      </c>
      <c r="C5713" s="2075" t="s">
        <v>3764</v>
      </c>
      <c r="D5713" s="2075"/>
      <c r="E5713" s="2075"/>
      <c r="F5713" s="2075"/>
      <c r="G5713" s="2075"/>
      <c r="H5713" s="1107">
        <f>H5708+H5712</f>
        <v>193659</v>
      </c>
      <c r="J5713" s="1559"/>
      <c r="K5713" s="1559"/>
      <c r="L5713" s="1559"/>
      <c r="M5713" s="1635"/>
    </row>
    <row r="5714" spans="2:13" s="496" customFormat="1" hidden="1">
      <c r="B5714" s="1543" t="s">
        <v>706</v>
      </c>
      <c r="C5714" s="2076" t="s">
        <v>876</v>
      </c>
      <c r="D5714" s="2076"/>
      <c r="E5714" s="2076"/>
      <c r="F5714" s="2077" t="s">
        <v>3873</v>
      </c>
      <c r="G5714" s="2077"/>
      <c r="H5714" s="1107">
        <f>H5713*0.15</f>
        <v>29048.85</v>
      </c>
      <c r="J5714" s="1559"/>
      <c r="K5714" s="1559"/>
      <c r="L5714" s="1559"/>
      <c r="M5714" s="1635"/>
    </row>
    <row r="5715" spans="2:13" s="496" customFormat="1" hidden="1">
      <c r="B5715" s="1543" t="s">
        <v>708</v>
      </c>
      <c r="C5715" s="2078" t="s">
        <v>3765</v>
      </c>
      <c r="D5715" s="2078"/>
      <c r="E5715" s="2078"/>
      <c r="F5715" s="2078"/>
      <c r="G5715" s="2078"/>
      <c r="H5715" s="1107">
        <f>ROUND(SUM(H5713:H5714),2)</f>
        <v>222707.85</v>
      </c>
      <c r="I5715" s="506">
        <f>SUM(H5713:H5714)</f>
        <v>222707.85</v>
      </c>
      <c r="J5715" s="1561"/>
      <c r="K5715" s="1561"/>
      <c r="L5715" s="1559"/>
      <c r="M5715" s="1635"/>
    </row>
    <row r="5716" spans="2:13" hidden="1">
      <c r="B5716" s="1143"/>
      <c r="C5716" s="1144"/>
      <c r="D5716" s="1143"/>
      <c r="E5716" s="1143"/>
      <c r="F5716" s="1145"/>
      <c r="G5716" s="1146"/>
      <c r="H5716" s="1147"/>
      <c r="M5716" s="1566"/>
    </row>
    <row r="5717" spans="2:13" hidden="1">
      <c r="B5717" s="1100" t="s">
        <v>4164</v>
      </c>
      <c r="C5717" s="1112" t="s">
        <v>4731</v>
      </c>
      <c r="D5717" s="1129"/>
      <c r="E5717" s="1129"/>
      <c r="F5717" s="1131"/>
      <c r="G5717" s="1132"/>
      <c r="H5717" s="1115"/>
      <c r="M5717" s="1566"/>
    </row>
    <row r="5718" spans="2:13" s="507" customFormat="1" ht="24.9" hidden="1" customHeight="1">
      <c r="B5718" s="1748" t="s">
        <v>1003</v>
      </c>
      <c r="C5718" s="1101" t="s">
        <v>1004</v>
      </c>
      <c r="D5718" s="1101" t="s">
        <v>1005</v>
      </c>
      <c r="E5718" s="1101" t="s">
        <v>1006</v>
      </c>
      <c r="F5718" s="1102" t="s">
        <v>1007</v>
      </c>
      <c r="G5718" s="1109" t="s">
        <v>2637</v>
      </c>
      <c r="H5718" s="1110" t="s">
        <v>2638</v>
      </c>
      <c r="J5718" s="1625"/>
      <c r="K5718" s="1625"/>
      <c r="L5718" s="1625"/>
      <c r="M5718" s="1570"/>
    </row>
    <row r="5719" spans="2:13" hidden="1">
      <c r="B5719" s="1543" t="s">
        <v>671</v>
      </c>
      <c r="C5719" s="1332" t="s">
        <v>672</v>
      </c>
      <c r="D5719" s="1331"/>
      <c r="E5719" s="1331"/>
      <c r="F5719" s="1334"/>
      <c r="G5719" s="1104"/>
      <c r="H5719" s="1106"/>
      <c r="M5719" s="1566"/>
    </row>
    <row r="5720" spans="2:13" hidden="1">
      <c r="B5720" s="1543"/>
      <c r="C5720" s="1332" t="s">
        <v>673</v>
      </c>
      <c r="D5720" s="1331" t="s">
        <v>674</v>
      </c>
      <c r="E5720" s="1331" t="s">
        <v>675</v>
      </c>
      <c r="F5720" s="1334">
        <v>1.4999999999999999E-2</v>
      </c>
      <c r="G5720" s="1104">
        <f>DUB!$I$10</f>
        <v>150000</v>
      </c>
      <c r="H5720" s="1106">
        <f>G5720*F5720</f>
        <v>2250</v>
      </c>
      <c r="M5720" s="1566"/>
    </row>
    <row r="5721" spans="2:13" hidden="1">
      <c r="B5721" s="1543"/>
      <c r="C5721" s="1332" t="s">
        <v>871</v>
      </c>
      <c r="D5721" s="1331" t="s">
        <v>678</v>
      </c>
      <c r="E5721" s="1331" t="s">
        <v>675</v>
      </c>
      <c r="F5721" s="1334">
        <v>0.15</v>
      </c>
      <c r="G5721" s="1104">
        <f>DUB!$I$11</f>
        <v>187000</v>
      </c>
      <c r="H5721" s="1106">
        <f>G5721*F5721</f>
        <v>28050</v>
      </c>
      <c r="M5721" s="1566"/>
    </row>
    <row r="5722" spans="2:13" hidden="1">
      <c r="B5722" s="1543"/>
      <c r="C5722" s="1332" t="s">
        <v>751</v>
      </c>
      <c r="D5722" s="1331" t="s">
        <v>681</v>
      </c>
      <c r="E5722" s="1331" t="s">
        <v>675</v>
      </c>
      <c r="F5722" s="1334">
        <v>1.4999999999999999E-2</v>
      </c>
      <c r="G5722" s="1104">
        <f>DUB!$I$13</f>
        <v>240000</v>
      </c>
      <c r="H5722" s="1106">
        <f>G5722*F5722</f>
        <v>3600</v>
      </c>
      <c r="M5722" s="1566"/>
    </row>
    <row r="5723" spans="2:13" hidden="1">
      <c r="B5723" s="1543"/>
      <c r="C5723" s="1332" t="s">
        <v>683</v>
      </c>
      <c r="D5723" s="1331" t="s">
        <v>684</v>
      </c>
      <c r="E5723" s="1331" t="s">
        <v>675</v>
      </c>
      <c r="F5723" s="1334">
        <v>8.0000000000000004E-4</v>
      </c>
      <c r="G5723" s="1104">
        <f>DUB!$I$12</f>
        <v>225000</v>
      </c>
      <c r="H5723" s="1106">
        <f>G5723*F5723</f>
        <v>180</v>
      </c>
      <c r="M5723" s="1566"/>
    </row>
    <row r="5724" spans="2:13" hidden="1">
      <c r="B5724" s="1543"/>
      <c r="C5724" s="1332"/>
      <c r="D5724" s="1331"/>
      <c r="E5724" s="1331"/>
      <c r="F5724" s="2074" t="s">
        <v>685</v>
      </c>
      <c r="G5724" s="2074"/>
      <c r="H5724" s="1106">
        <f>SUM(H5720:H5723)</f>
        <v>34080</v>
      </c>
      <c r="M5724" s="1566"/>
    </row>
    <row r="5725" spans="2:13" hidden="1">
      <c r="B5725" s="1543" t="s">
        <v>686</v>
      </c>
      <c r="C5725" s="1332" t="s">
        <v>687</v>
      </c>
      <c r="D5725" s="1331"/>
      <c r="E5725" s="1331"/>
      <c r="F5725" s="1334"/>
      <c r="G5725" s="1104"/>
      <c r="H5725" s="1106"/>
      <c r="M5725" s="1566"/>
    </row>
    <row r="5726" spans="2:13" hidden="1">
      <c r="B5726" s="1543"/>
      <c r="C5726" s="1332" t="s">
        <v>4733</v>
      </c>
      <c r="D5726" s="1331"/>
      <c r="E5726" s="1331" t="s">
        <v>2647</v>
      </c>
      <c r="F5726" s="1334">
        <v>1.1000000000000001</v>
      </c>
      <c r="G5726" s="1104">
        <f>DUB!I224</f>
        <v>171360</v>
      </c>
      <c r="H5726" s="1106">
        <f>G5726*F5726</f>
        <v>188496.00000000003</v>
      </c>
      <c r="M5726" s="1566"/>
    </row>
    <row r="5727" spans="2:13" hidden="1">
      <c r="B5727" s="1540"/>
      <c r="C5727" s="1332" t="s">
        <v>972</v>
      </c>
      <c r="D5727" s="1331"/>
      <c r="E5727" s="1331" t="s">
        <v>690</v>
      </c>
      <c r="F5727" s="1334">
        <v>0.05</v>
      </c>
      <c r="G5727" s="1104">
        <f>DUB!$I$147</f>
        <v>10710</v>
      </c>
      <c r="H5727" s="1106">
        <f>G5727*F5727</f>
        <v>535.5</v>
      </c>
      <c r="M5727" s="1566"/>
    </row>
    <row r="5728" spans="2:13" hidden="1">
      <c r="B5728" s="1540"/>
      <c r="C5728" s="1125"/>
      <c r="D5728" s="1333"/>
      <c r="E5728" s="1333"/>
      <c r="F5728" s="2074" t="s">
        <v>702</v>
      </c>
      <c r="G5728" s="2074"/>
      <c r="H5728" s="1106">
        <f>SUM(H5726:H5727)</f>
        <v>189031.50000000003</v>
      </c>
      <c r="M5728" s="1566"/>
    </row>
    <row r="5729" spans="2:13" s="496" customFormat="1" hidden="1">
      <c r="B5729" s="1543" t="s">
        <v>703</v>
      </c>
      <c r="C5729" s="2075" t="s">
        <v>3764</v>
      </c>
      <c r="D5729" s="2075"/>
      <c r="E5729" s="2075"/>
      <c r="F5729" s="2075"/>
      <c r="G5729" s="2075"/>
      <c r="H5729" s="1107">
        <f>H5724+H5728</f>
        <v>223111.50000000003</v>
      </c>
      <c r="J5729" s="1559"/>
      <c r="K5729" s="1559"/>
      <c r="L5729" s="1559"/>
      <c r="M5729" s="1635"/>
    </row>
    <row r="5730" spans="2:13" s="496" customFormat="1" hidden="1">
      <c r="B5730" s="1543" t="s">
        <v>706</v>
      </c>
      <c r="C5730" s="2076" t="s">
        <v>876</v>
      </c>
      <c r="D5730" s="2076"/>
      <c r="E5730" s="2076"/>
      <c r="F5730" s="2077" t="s">
        <v>3873</v>
      </c>
      <c r="G5730" s="2077"/>
      <c r="H5730" s="1107">
        <f>H5729*0.15</f>
        <v>33466.725000000006</v>
      </c>
      <c r="J5730" s="1559"/>
      <c r="K5730" s="1559"/>
      <c r="L5730" s="1559"/>
      <c r="M5730" s="1635"/>
    </row>
    <row r="5731" spans="2:13" s="496" customFormat="1" hidden="1">
      <c r="B5731" s="1543" t="s">
        <v>708</v>
      </c>
      <c r="C5731" s="2078" t="s">
        <v>3765</v>
      </c>
      <c r="D5731" s="2078"/>
      <c r="E5731" s="2078"/>
      <c r="F5731" s="2078"/>
      <c r="G5731" s="2078"/>
      <c r="H5731" s="1107">
        <f>ROUND(SUM(H5729:H5730),2)</f>
        <v>256578.23</v>
      </c>
      <c r="I5731" s="506">
        <f>SUM(H5729:H5730)</f>
        <v>256578.22500000003</v>
      </c>
      <c r="J5731" s="1561"/>
      <c r="K5731" s="1561"/>
      <c r="L5731" s="1559"/>
      <c r="M5731" s="1635"/>
    </row>
    <row r="5732" spans="2:13" hidden="1">
      <c r="F5732" s="1172"/>
      <c r="G5732" s="1173"/>
      <c r="H5732" s="1133"/>
      <c r="M5732" s="1566"/>
    </row>
    <row r="5733" spans="2:13" hidden="1">
      <c r="B5733" s="1100" t="s">
        <v>4165</v>
      </c>
      <c r="C5733" s="1232" t="s">
        <v>2751</v>
      </c>
      <c r="F5733" s="1172"/>
      <c r="G5733" s="1173"/>
      <c r="H5733" s="1133"/>
      <c r="M5733" s="1566"/>
    </row>
    <row r="5734" spans="2:13" s="507" customFormat="1" ht="24.9" hidden="1" customHeight="1">
      <c r="B5734" s="1748" t="s">
        <v>1003</v>
      </c>
      <c r="C5734" s="1101" t="s">
        <v>1004</v>
      </c>
      <c r="D5734" s="1101" t="s">
        <v>1005</v>
      </c>
      <c r="E5734" s="1101" t="s">
        <v>1006</v>
      </c>
      <c r="F5734" s="1102" t="s">
        <v>1007</v>
      </c>
      <c r="G5734" s="1109" t="s">
        <v>2637</v>
      </c>
      <c r="H5734" s="1110" t="s">
        <v>2638</v>
      </c>
      <c r="J5734" s="1625"/>
      <c r="K5734" s="1625"/>
      <c r="L5734" s="1625"/>
      <c r="M5734" s="1570"/>
    </row>
    <row r="5735" spans="2:13" hidden="1">
      <c r="B5735" s="1543" t="s">
        <v>671</v>
      </c>
      <c r="C5735" s="1332" t="s">
        <v>672</v>
      </c>
      <c r="D5735" s="1331"/>
      <c r="E5735" s="1331"/>
      <c r="F5735" s="1334"/>
      <c r="G5735" s="1104"/>
      <c r="H5735" s="1106"/>
      <c r="M5735" s="1566"/>
    </row>
    <row r="5736" spans="2:13" hidden="1">
      <c r="B5736" s="1543"/>
      <c r="C5736" s="1332" t="s">
        <v>673</v>
      </c>
      <c r="D5736" s="1331" t="s">
        <v>674</v>
      </c>
      <c r="E5736" s="1331" t="s">
        <v>675</v>
      </c>
      <c r="F5736" s="1334">
        <v>1.7000000000000001E-2</v>
      </c>
      <c r="G5736" s="1104">
        <f>DUB!$I$10</f>
        <v>150000</v>
      </c>
      <c r="H5736" s="1106">
        <f>G5736*F5736</f>
        <v>2550</v>
      </c>
      <c r="M5736" s="1566"/>
    </row>
    <row r="5737" spans="2:13" hidden="1">
      <c r="B5737" s="1543"/>
      <c r="C5737" s="1332" t="s">
        <v>871</v>
      </c>
      <c r="D5737" s="1331" t="s">
        <v>678</v>
      </c>
      <c r="E5737" s="1331" t="s">
        <v>675</v>
      </c>
      <c r="F5737" s="1334">
        <v>0.17</v>
      </c>
      <c r="G5737" s="1104">
        <f>DUB!$I$11</f>
        <v>187000</v>
      </c>
      <c r="H5737" s="1106">
        <f>G5737*F5737</f>
        <v>31790.000000000004</v>
      </c>
      <c r="M5737" s="1566"/>
    </row>
    <row r="5738" spans="2:13" hidden="1">
      <c r="B5738" s="1543"/>
      <c r="C5738" s="1332" t="s">
        <v>751</v>
      </c>
      <c r="D5738" s="1331" t="s">
        <v>681</v>
      </c>
      <c r="E5738" s="1331" t="s">
        <v>675</v>
      </c>
      <c r="F5738" s="1334">
        <v>1.7000000000000001E-2</v>
      </c>
      <c r="G5738" s="1104">
        <f>DUB!$I$13</f>
        <v>240000</v>
      </c>
      <c r="H5738" s="1106">
        <f>G5738*F5738</f>
        <v>4080.0000000000005</v>
      </c>
      <c r="M5738" s="1566"/>
    </row>
    <row r="5739" spans="2:13" hidden="1">
      <c r="B5739" s="1543"/>
      <c r="C5739" s="1332" t="s">
        <v>683</v>
      </c>
      <c r="D5739" s="1331" t="s">
        <v>684</v>
      </c>
      <c r="E5739" s="1331" t="s">
        <v>675</v>
      </c>
      <c r="F5739" s="1334">
        <v>8.9999999999999998E-4</v>
      </c>
      <c r="G5739" s="1104">
        <f>DUB!$I$12</f>
        <v>225000</v>
      </c>
      <c r="H5739" s="1106">
        <f>G5739*F5739</f>
        <v>202.5</v>
      </c>
      <c r="M5739" s="1566"/>
    </row>
    <row r="5740" spans="2:13" hidden="1">
      <c r="B5740" s="1543"/>
      <c r="C5740" s="1332"/>
      <c r="D5740" s="1331"/>
      <c r="E5740" s="1331"/>
      <c r="F5740" s="2074" t="s">
        <v>685</v>
      </c>
      <c r="G5740" s="2074"/>
      <c r="H5740" s="1106">
        <f>SUM(H5736:H5739)</f>
        <v>38622.5</v>
      </c>
      <c r="M5740" s="1566"/>
    </row>
    <row r="5741" spans="2:13" hidden="1">
      <c r="B5741" s="1543" t="s">
        <v>686</v>
      </c>
      <c r="C5741" s="1332" t="s">
        <v>687</v>
      </c>
      <c r="D5741" s="1331"/>
      <c r="E5741" s="1331"/>
      <c r="F5741" s="1334"/>
      <c r="G5741" s="1104"/>
      <c r="H5741" s="1106"/>
      <c r="M5741" s="1566"/>
    </row>
    <row r="5742" spans="2:13" hidden="1">
      <c r="B5742" s="1540"/>
      <c r="C5742" s="1332" t="s">
        <v>1360</v>
      </c>
      <c r="D5742" s="1331"/>
      <c r="E5742" s="1331" t="s">
        <v>2647</v>
      </c>
      <c r="F5742" s="1334">
        <v>1.1000000000000001</v>
      </c>
      <c r="G5742" s="1104">
        <f>DUB!$I$226</f>
        <v>289170</v>
      </c>
      <c r="H5742" s="1106">
        <f>G5742*F5742</f>
        <v>318087</v>
      </c>
      <c r="M5742" s="1566"/>
    </row>
    <row r="5743" spans="2:13" hidden="1">
      <c r="B5743" s="1540"/>
      <c r="C5743" s="1332" t="s">
        <v>972</v>
      </c>
      <c r="D5743" s="1331"/>
      <c r="E5743" s="1331" t="s">
        <v>690</v>
      </c>
      <c r="F5743" s="1334">
        <v>7.0000000000000007E-2</v>
      </c>
      <c r="G5743" s="1104">
        <f>DUB!$I$147</f>
        <v>10710</v>
      </c>
      <c r="H5743" s="1106">
        <f>G5743*F5743</f>
        <v>749.7</v>
      </c>
      <c r="M5743" s="1566"/>
    </row>
    <row r="5744" spans="2:13" hidden="1">
      <c r="B5744" s="1540"/>
      <c r="C5744" s="1125"/>
      <c r="D5744" s="1333"/>
      <c r="E5744" s="1333"/>
      <c r="F5744" s="2074" t="s">
        <v>702</v>
      </c>
      <c r="G5744" s="2074"/>
      <c r="H5744" s="1106">
        <f>SUM(H5742:H5743)</f>
        <v>318836.7</v>
      </c>
      <c r="M5744" s="1566"/>
    </row>
    <row r="5745" spans="2:13" s="496" customFormat="1" hidden="1">
      <c r="B5745" s="1543" t="s">
        <v>703</v>
      </c>
      <c r="C5745" s="2075" t="s">
        <v>3764</v>
      </c>
      <c r="D5745" s="2075"/>
      <c r="E5745" s="2075"/>
      <c r="F5745" s="2075"/>
      <c r="G5745" s="2075"/>
      <c r="H5745" s="1107">
        <f>H5740+H5744</f>
        <v>357459.20000000001</v>
      </c>
      <c r="J5745" s="1559"/>
      <c r="K5745" s="1559"/>
      <c r="L5745" s="1559"/>
      <c r="M5745" s="1635"/>
    </row>
    <row r="5746" spans="2:13" s="496" customFormat="1" hidden="1">
      <c r="B5746" s="1543" t="s">
        <v>706</v>
      </c>
      <c r="C5746" s="2076" t="s">
        <v>876</v>
      </c>
      <c r="D5746" s="2076"/>
      <c r="E5746" s="2076"/>
      <c r="F5746" s="2077" t="s">
        <v>3873</v>
      </c>
      <c r="G5746" s="2077"/>
      <c r="H5746" s="1107">
        <f>H5745*0.15</f>
        <v>53618.879999999997</v>
      </c>
      <c r="J5746" s="1559"/>
      <c r="K5746" s="1559"/>
      <c r="L5746" s="1559"/>
      <c r="M5746" s="1635"/>
    </row>
    <row r="5747" spans="2:13" s="496" customFormat="1" hidden="1">
      <c r="B5747" s="1543" t="s">
        <v>708</v>
      </c>
      <c r="C5747" s="2078" t="s">
        <v>3765</v>
      </c>
      <c r="D5747" s="2078"/>
      <c r="E5747" s="2078"/>
      <c r="F5747" s="2078"/>
      <c r="G5747" s="2078"/>
      <c r="H5747" s="1107">
        <f>ROUND(SUM(H5745:H5746),2)</f>
        <v>411078.08</v>
      </c>
      <c r="I5747" s="506">
        <f>SUM(H5745:H5746)</f>
        <v>411078.08</v>
      </c>
      <c r="J5747" s="1561"/>
      <c r="K5747" s="1561"/>
      <c r="L5747" s="1559"/>
      <c r="M5747" s="1635"/>
    </row>
    <row r="5748" spans="2:13" hidden="1">
      <c r="B5748" s="1143"/>
      <c r="C5748" s="1144"/>
      <c r="D5748" s="1143"/>
      <c r="E5748" s="1143"/>
      <c r="F5748" s="1145"/>
      <c r="G5748" s="1146"/>
      <c r="H5748" s="1147"/>
      <c r="M5748" s="1566"/>
    </row>
    <row r="5749" spans="2:13" hidden="1">
      <c r="B5749" s="1100" t="s">
        <v>4166</v>
      </c>
      <c r="C5749" s="1112" t="s">
        <v>4368</v>
      </c>
      <c r="D5749" s="1129"/>
      <c r="E5749" s="1129"/>
      <c r="F5749" s="1131"/>
      <c r="G5749" s="1132"/>
      <c r="H5749" s="1115"/>
      <c r="M5749" s="1566"/>
    </row>
    <row r="5750" spans="2:13" s="507" customFormat="1" ht="24.9" hidden="1" customHeight="1">
      <c r="B5750" s="1748" t="s">
        <v>1003</v>
      </c>
      <c r="C5750" s="1101" t="s">
        <v>1004</v>
      </c>
      <c r="D5750" s="1101" t="s">
        <v>1005</v>
      </c>
      <c r="E5750" s="1101" t="s">
        <v>1006</v>
      </c>
      <c r="F5750" s="1102" t="s">
        <v>1007</v>
      </c>
      <c r="G5750" s="1109" t="s">
        <v>2637</v>
      </c>
      <c r="H5750" s="1110" t="s">
        <v>2638</v>
      </c>
      <c r="J5750" s="1625"/>
      <c r="K5750" s="1625"/>
      <c r="L5750" s="1625"/>
      <c r="M5750" s="1570"/>
    </row>
    <row r="5751" spans="2:13" hidden="1">
      <c r="B5751" s="1543" t="s">
        <v>671</v>
      </c>
      <c r="C5751" s="1332" t="s">
        <v>672</v>
      </c>
      <c r="D5751" s="1331"/>
      <c r="E5751" s="1331"/>
      <c r="F5751" s="1334"/>
      <c r="G5751" s="1104"/>
      <c r="H5751" s="1106"/>
      <c r="M5751" s="1566"/>
    </row>
    <row r="5752" spans="2:13" hidden="1">
      <c r="B5752" s="1543"/>
      <c r="C5752" s="1332" t="s">
        <v>673</v>
      </c>
      <c r="D5752" s="1331" t="s">
        <v>674</v>
      </c>
      <c r="E5752" s="1331" t="s">
        <v>675</v>
      </c>
      <c r="F5752" s="1334">
        <v>2.5000000000000001E-2</v>
      </c>
      <c r="G5752" s="1104">
        <f>DUB!$I$10</f>
        <v>150000</v>
      </c>
      <c r="H5752" s="1106">
        <f>G5752*F5752</f>
        <v>3750</v>
      </c>
      <c r="M5752" s="1566"/>
    </row>
    <row r="5753" spans="2:13" hidden="1">
      <c r="B5753" s="1543"/>
      <c r="C5753" s="1332" t="s">
        <v>871</v>
      </c>
      <c r="D5753" s="1331" t="s">
        <v>678</v>
      </c>
      <c r="E5753" s="1331" t="s">
        <v>675</v>
      </c>
      <c r="F5753" s="1334">
        <v>0.25</v>
      </c>
      <c r="G5753" s="1104">
        <f>DUB!$I$11</f>
        <v>187000</v>
      </c>
      <c r="H5753" s="1106">
        <f>G5753*F5753</f>
        <v>46750</v>
      </c>
      <c r="M5753" s="1566"/>
    </row>
    <row r="5754" spans="2:13" hidden="1">
      <c r="B5754" s="1543"/>
      <c r="C5754" s="1332" t="s">
        <v>751</v>
      </c>
      <c r="D5754" s="1331" t="s">
        <v>681</v>
      </c>
      <c r="E5754" s="1331" t="s">
        <v>675</v>
      </c>
      <c r="F5754" s="1334">
        <v>2.5000000000000001E-2</v>
      </c>
      <c r="G5754" s="1104">
        <f>DUB!$I$13</f>
        <v>240000</v>
      </c>
      <c r="H5754" s="1106">
        <f>G5754*F5754</f>
        <v>6000</v>
      </c>
      <c r="M5754" s="1566"/>
    </row>
    <row r="5755" spans="2:13" hidden="1">
      <c r="B5755" s="1543"/>
      <c r="C5755" s="1332" t="s">
        <v>683</v>
      </c>
      <c r="D5755" s="1331" t="s">
        <v>684</v>
      </c>
      <c r="E5755" s="1331" t="s">
        <v>675</v>
      </c>
      <c r="F5755" s="1334">
        <v>1.2999999999999999E-3</v>
      </c>
      <c r="G5755" s="1104">
        <f>DUB!$I$12</f>
        <v>225000</v>
      </c>
      <c r="H5755" s="1106">
        <f>G5755*F5755</f>
        <v>292.5</v>
      </c>
      <c r="M5755" s="1566"/>
    </row>
    <row r="5756" spans="2:13" hidden="1">
      <c r="B5756" s="1543"/>
      <c r="C5756" s="1332"/>
      <c r="D5756" s="1331"/>
      <c r="E5756" s="1331"/>
      <c r="F5756" s="2074" t="s">
        <v>685</v>
      </c>
      <c r="G5756" s="2074"/>
      <c r="H5756" s="1106">
        <f>SUM(H5752:H5755)</f>
        <v>56792.5</v>
      </c>
      <c r="M5756" s="1566"/>
    </row>
    <row r="5757" spans="2:13" hidden="1">
      <c r="B5757" s="1543" t="s">
        <v>686</v>
      </c>
      <c r="C5757" s="1332" t="s">
        <v>687</v>
      </c>
      <c r="D5757" s="1331"/>
      <c r="E5757" s="1331"/>
      <c r="F5757" s="1334"/>
      <c r="G5757" s="1104"/>
      <c r="H5757" s="1106"/>
      <c r="M5757" s="1566"/>
    </row>
    <row r="5758" spans="2:13" hidden="1">
      <c r="B5758" s="1540"/>
      <c r="C5758" s="1332" t="s">
        <v>1361</v>
      </c>
      <c r="D5758" s="1331"/>
      <c r="E5758" s="1331" t="s">
        <v>2647</v>
      </c>
      <c r="F5758" s="1334">
        <v>1.1000000000000001</v>
      </c>
      <c r="G5758" s="1104">
        <f>DUB!$I$228</f>
        <v>856800</v>
      </c>
      <c r="H5758" s="1106">
        <f>G5758*F5758</f>
        <v>942480.00000000012</v>
      </c>
      <c r="M5758" s="1566"/>
    </row>
    <row r="5759" spans="2:13" hidden="1">
      <c r="B5759" s="1540"/>
      <c r="C5759" s="1332" t="s">
        <v>972</v>
      </c>
      <c r="D5759" s="1331"/>
      <c r="E5759" s="1331" t="s">
        <v>690</v>
      </c>
      <c r="F5759" s="1334">
        <v>7.0000000000000007E-2</v>
      </c>
      <c r="G5759" s="1104">
        <f>DUB!$I$147</f>
        <v>10710</v>
      </c>
      <c r="H5759" s="1106">
        <f>G5759*F5759</f>
        <v>749.7</v>
      </c>
      <c r="M5759" s="1566"/>
    </row>
    <row r="5760" spans="2:13" hidden="1">
      <c r="B5760" s="1540"/>
      <c r="C5760" s="1125"/>
      <c r="D5760" s="1333"/>
      <c r="E5760" s="1333"/>
      <c r="F5760" s="2074" t="s">
        <v>702</v>
      </c>
      <c r="G5760" s="2074"/>
      <c r="H5760" s="1106">
        <f>SUM(H5758:H5759)</f>
        <v>943229.70000000007</v>
      </c>
      <c r="M5760" s="1566"/>
    </row>
    <row r="5761" spans="2:13" s="496" customFormat="1" hidden="1">
      <c r="B5761" s="1543" t="s">
        <v>703</v>
      </c>
      <c r="C5761" s="2075" t="s">
        <v>3764</v>
      </c>
      <c r="D5761" s="2075"/>
      <c r="E5761" s="2075"/>
      <c r="F5761" s="2075"/>
      <c r="G5761" s="2075"/>
      <c r="H5761" s="1107">
        <f>H5756+H5760</f>
        <v>1000022.2000000001</v>
      </c>
      <c r="J5761" s="1559"/>
      <c r="K5761" s="1559"/>
      <c r="L5761" s="1559"/>
      <c r="M5761" s="1635"/>
    </row>
    <row r="5762" spans="2:13" s="496" customFormat="1" hidden="1">
      <c r="B5762" s="1543" t="s">
        <v>706</v>
      </c>
      <c r="C5762" s="2076" t="s">
        <v>876</v>
      </c>
      <c r="D5762" s="2076"/>
      <c r="E5762" s="2076"/>
      <c r="F5762" s="2077" t="s">
        <v>3873</v>
      </c>
      <c r="G5762" s="2077"/>
      <c r="H5762" s="1107">
        <f>H5761*0.15</f>
        <v>150003.33000000002</v>
      </c>
      <c r="J5762" s="1559"/>
      <c r="K5762" s="1559"/>
      <c r="L5762" s="1559"/>
      <c r="M5762" s="1635"/>
    </row>
    <row r="5763" spans="2:13" s="496" customFormat="1" hidden="1">
      <c r="B5763" s="1543" t="s">
        <v>708</v>
      </c>
      <c r="C5763" s="2078" t="s">
        <v>3765</v>
      </c>
      <c r="D5763" s="2078"/>
      <c r="E5763" s="2078"/>
      <c r="F5763" s="2078"/>
      <c r="G5763" s="2078"/>
      <c r="H5763" s="1107">
        <f>ROUND(SUM(H5761:H5762),2)</f>
        <v>1150025.53</v>
      </c>
      <c r="I5763" s="506">
        <f>SUM(H5761:H5762)</f>
        <v>1150025.53</v>
      </c>
      <c r="J5763" s="1561"/>
      <c r="K5763" s="1561"/>
      <c r="L5763" s="1559"/>
      <c r="M5763" s="1635"/>
    </row>
    <row r="5764" spans="2:13" s="496" customFormat="1" hidden="1">
      <c r="B5764" s="1111"/>
      <c r="C5764" s="1112"/>
      <c r="D5764" s="1111"/>
      <c r="E5764" s="1112"/>
      <c r="F5764" s="1111"/>
      <c r="G5764" s="1199"/>
      <c r="H5764" s="1176"/>
      <c r="I5764" s="525"/>
      <c r="J5764" s="1561"/>
      <c r="K5764" s="1561"/>
      <c r="L5764" s="1559"/>
      <c r="M5764" s="1635"/>
    </row>
    <row r="5765" spans="2:13" hidden="1">
      <c r="B5765" s="1100" t="s">
        <v>4611</v>
      </c>
      <c r="C5765" s="1112" t="s">
        <v>4612</v>
      </c>
      <c r="D5765" s="1129"/>
      <c r="E5765" s="1129"/>
      <c r="F5765" s="1131"/>
      <c r="G5765" s="1132"/>
      <c r="H5765" s="1115"/>
      <c r="M5765" s="1566"/>
    </row>
    <row r="5766" spans="2:13" s="507" customFormat="1" ht="24.9" hidden="1" customHeight="1">
      <c r="B5766" s="1748" t="s">
        <v>1003</v>
      </c>
      <c r="C5766" s="1101" t="s">
        <v>1004</v>
      </c>
      <c r="D5766" s="1101" t="s">
        <v>1005</v>
      </c>
      <c r="E5766" s="1101" t="s">
        <v>1006</v>
      </c>
      <c r="F5766" s="1102" t="s">
        <v>1007</v>
      </c>
      <c r="G5766" s="1109" t="s">
        <v>2637</v>
      </c>
      <c r="H5766" s="1110" t="s">
        <v>2638</v>
      </c>
      <c r="J5766" s="1625"/>
      <c r="K5766" s="1625"/>
      <c r="L5766" s="1625"/>
      <c r="M5766" s="1570"/>
    </row>
    <row r="5767" spans="2:13" hidden="1">
      <c r="B5767" s="1543" t="s">
        <v>671</v>
      </c>
      <c r="C5767" s="1332" t="s">
        <v>672</v>
      </c>
      <c r="D5767" s="1331"/>
      <c r="E5767" s="1331"/>
      <c r="F5767" s="1334"/>
      <c r="G5767" s="1104"/>
      <c r="H5767" s="1106"/>
      <c r="M5767" s="1566"/>
    </row>
    <row r="5768" spans="2:13" hidden="1">
      <c r="B5768" s="1543"/>
      <c r="C5768" s="1332" t="s">
        <v>673</v>
      </c>
      <c r="D5768" s="1331" t="s">
        <v>674</v>
      </c>
      <c r="E5768" s="1331" t="s">
        <v>675</v>
      </c>
      <c r="F5768" s="1334">
        <v>2.5000000000000001E-2</v>
      </c>
      <c r="G5768" s="1104">
        <f>DUB!$I$10</f>
        <v>150000</v>
      </c>
      <c r="H5768" s="1106">
        <f>G5768*F5768</f>
        <v>3750</v>
      </c>
      <c r="M5768" s="1566"/>
    </row>
    <row r="5769" spans="2:13" hidden="1">
      <c r="B5769" s="1543"/>
      <c r="C5769" s="1332" t="s">
        <v>871</v>
      </c>
      <c r="D5769" s="1331" t="s">
        <v>678</v>
      </c>
      <c r="E5769" s="1331" t="s">
        <v>675</v>
      </c>
      <c r="F5769" s="1334">
        <v>0.25</v>
      </c>
      <c r="G5769" s="1104">
        <f>DUB!$I$11</f>
        <v>187000</v>
      </c>
      <c r="H5769" s="1106">
        <f>G5769*F5769</f>
        <v>46750</v>
      </c>
      <c r="M5769" s="1566"/>
    </row>
    <row r="5770" spans="2:13" hidden="1">
      <c r="B5770" s="1543"/>
      <c r="C5770" s="1332" t="s">
        <v>751</v>
      </c>
      <c r="D5770" s="1331" t="s">
        <v>681</v>
      </c>
      <c r="E5770" s="1331" t="s">
        <v>675</v>
      </c>
      <c r="F5770" s="1334">
        <v>2.5000000000000001E-2</v>
      </c>
      <c r="G5770" s="1104">
        <f>DUB!$I$13</f>
        <v>240000</v>
      </c>
      <c r="H5770" s="1106">
        <f>G5770*F5770</f>
        <v>6000</v>
      </c>
      <c r="M5770" s="1566"/>
    </row>
    <row r="5771" spans="2:13" hidden="1">
      <c r="B5771" s="1543"/>
      <c r="C5771" s="1332" t="s">
        <v>683</v>
      </c>
      <c r="D5771" s="1331" t="s">
        <v>684</v>
      </c>
      <c r="E5771" s="1331" t="s">
        <v>675</v>
      </c>
      <c r="F5771" s="1334">
        <v>1.2999999999999999E-3</v>
      </c>
      <c r="G5771" s="1104">
        <f>DUB!$I$12</f>
        <v>225000</v>
      </c>
      <c r="H5771" s="1106">
        <f>G5771*F5771</f>
        <v>292.5</v>
      </c>
      <c r="M5771" s="1566"/>
    </row>
    <row r="5772" spans="2:13" hidden="1">
      <c r="B5772" s="1543"/>
      <c r="C5772" s="1332"/>
      <c r="D5772" s="1331"/>
      <c r="E5772" s="1331"/>
      <c r="F5772" s="2074" t="s">
        <v>685</v>
      </c>
      <c r="G5772" s="2074"/>
      <c r="H5772" s="1106">
        <f>SUM(H5768:H5771)</f>
        <v>56792.5</v>
      </c>
      <c r="M5772" s="1566"/>
    </row>
    <row r="5773" spans="2:13" hidden="1">
      <c r="B5773" s="1543" t="s">
        <v>686</v>
      </c>
      <c r="C5773" s="1332" t="s">
        <v>687</v>
      </c>
      <c r="D5773" s="1331"/>
      <c r="E5773" s="1331"/>
      <c r="F5773" s="1334"/>
      <c r="G5773" s="1104"/>
      <c r="H5773" s="1106"/>
      <c r="M5773" s="1566"/>
    </row>
    <row r="5774" spans="2:13" hidden="1">
      <c r="B5774" s="1540"/>
      <c r="C5774" s="1332" t="s">
        <v>4613</v>
      </c>
      <c r="D5774" s="1331"/>
      <c r="E5774" s="1331" t="s">
        <v>2647</v>
      </c>
      <c r="F5774" s="1334">
        <v>1.1000000000000001</v>
      </c>
      <c r="G5774" s="1104">
        <f>DUB!I229</f>
        <v>481950</v>
      </c>
      <c r="H5774" s="1106">
        <f>G5774*F5774</f>
        <v>530145</v>
      </c>
      <c r="M5774" s="1566"/>
    </row>
    <row r="5775" spans="2:13" hidden="1">
      <c r="B5775" s="1540"/>
      <c r="C5775" s="1332" t="s">
        <v>972</v>
      </c>
      <c r="D5775" s="1331"/>
      <c r="E5775" s="1331" t="s">
        <v>690</v>
      </c>
      <c r="F5775" s="1334">
        <v>7.0000000000000007E-2</v>
      </c>
      <c r="G5775" s="1104">
        <f>DUB!$I$147</f>
        <v>10710</v>
      </c>
      <c r="H5775" s="1106">
        <f>G5775*F5775</f>
        <v>749.7</v>
      </c>
      <c r="M5775" s="1566"/>
    </row>
    <row r="5776" spans="2:13" hidden="1">
      <c r="B5776" s="1540"/>
      <c r="C5776" s="1125"/>
      <c r="D5776" s="1333"/>
      <c r="E5776" s="1333"/>
      <c r="F5776" s="2074" t="s">
        <v>702</v>
      </c>
      <c r="G5776" s="2074"/>
      <c r="H5776" s="1106">
        <f>SUM(H5774:H5775)</f>
        <v>530894.69999999995</v>
      </c>
      <c r="M5776" s="1566"/>
    </row>
    <row r="5777" spans="2:13" s="496" customFormat="1" hidden="1">
      <c r="B5777" s="1543" t="s">
        <v>703</v>
      </c>
      <c r="C5777" s="2075" t="s">
        <v>3764</v>
      </c>
      <c r="D5777" s="2075"/>
      <c r="E5777" s="2075"/>
      <c r="F5777" s="2075"/>
      <c r="G5777" s="2075"/>
      <c r="H5777" s="1107">
        <f>H5772+H5776</f>
        <v>587687.19999999995</v>
      </c>
      <c r="J5777" s="1559"/>
      <c r="K5777" s="1559"/>
      <c r="L5777" s="1559"/>
      <c r="M5777" s="1635"/>
    </row>
    <row r="5778" spans="2:13" s="496" customFormat="1" hidden="1">
      <c r="B5778" s="1543" t="s">
        <v>706</v>
      </c>
      <c r="C5778" s="2076" t="s">
        <v>876</v>
      </c>
      <c r="D5778" s="2076"/>
      <c r="E5778" s="2076"/>
      <c r="F5778" s="2077" t="s">
        <v>3873</v>
      </c>
      <c r="G5778" s="2077"/>
      <c r="H5778" s="1107">
        <f>H5777*0.15</f>
        <v>88153.079999999987</v>
      </c>
      <c r="J5778" s="1559"/>
      <c r="K5778" s="1559"/>
      <c r="L5778" s="1559"/>
      <c r="M5778" s="1635"/>
    </row>
    <row r="5779" spans="2:13" s="496" customFormat="1" hidden="1">
      <c r="B5779" s="1543" t="s">
        <v>708</v>
      </c>
      <c r="C5779" s="2078" t="s">
        <v>3765</v>
      </c>
      <c r="D5779" s="2078"/>
      <c r="E5779" s="2078"/>
      <c r="F5779" s="2078"/>
      <c r="G5779" s="2078"/>
      <c r="H5779" s="1107">
        <f>ROUND(SUM(H5777:H5778),2)</f>
        <v>675840.28</v>
      </c>
      <c r="I5779" s="506">
        <f>SUM(H5777:H5778)</f>
        <v>675840.27999999991</v>
      </c>
      <c r="J5779" s="1561"/>
      <c r="K5779" s="1561"/>
      <c r="L5779" s="1559"/>
      <c r="M5779" s="1635"/>
    </row>
    <row r="5780" spans="2:13" s="496" customFormat="1" hidden="1">
      <c r="B5780" s="1111"/>
      <c r="C5780" s="1112"/>
      <c r="D5780" s="1111"/>
      <c r="E5780" s="1112"/>
      <c r="F5780" s="1111"/>
      <c r="G5780" s="1199"/>
      <c r="H5780" s="1176"/>
      <c r="I5780" s="525"/>
      <c r="J5780" s="1561"/>
      <c r="K5780" s="1561"/>
      <c r="L5780" s="1559"/>
      <c r="M5780" s="1635"/>
    </row>
    <row r="5781" spans="2:13">
      <c r="B5781" s="1100" t="s">
        <v>4735</v>
      </c>
      <c r="C5781" s="1112" t="s">
        <v>4736</v>
      </c>
      <c r="D5781" s="1129"/>
      <c r="E5781" s="1129"/>
      <c r="F5781" s="1131"/>
      <c r="G5781" s="1132"/>
      <c r="H5781" s="1115"/>
      <c r="M5781" s="1566"/>
    </row>
    <row r="5782" spans="2:13" ht="24.9" customHeight="1">
      <c r="B5782" s="1101" t="s">
        <v>1003</v>
      </c>
      <c r="C5782" s="1101" t="s">
        <v>1004</v>
      </c>
      <c r="D5782" s="1101" t="s">
        <v>1005</v>
      </c>
      <c r="E5782" s="1101" t="s">
        <v>1006</v>
      </c>
      <c r="F5782" s="1102" t="s">
        <v>1007</v>
      </c>
      <c r="G5782" s="1109" t="s">
        <v>2637</v>
      </c>
      <c r="H5782" s="1110" t="s">
        <v>2638</v>
      </c>
      <c r="I5782" s="1834"/>
      <c r="J5782" s="1823" t="s">
        <v>5335</v>
      </c>
      <c r="K5782" s="1824" t="s">
        <v>5336</v>
      </c>
      <c r="L5782" s="1824" t="s">
        <v>5337</v>
      </c>
      <c r="M5782" s="1825" t="s">
        <v>5338</v>
      </c>
    </row>
    <row r="5783" spans="2:13">
      <c r="B5783" s="1330" t="s">
        <v>671</v>
      </c>
      <c r="C5783" s="1332" t="s">
        <v>672</v>
      </c>
      <c r="D5783" s="1331"/>
      <c r="E5783" s="1331"/>
      <c r="F5783" s="1334"/>
      <c r="G5783" s="1104"/>
      <c r="H5783" s="1106"/>
      <c r="J5783" s="1597"/>
      <c r="K5783" s="1597"/>
      <c r="L5783" s="1597"/>
      <c r="M5783" s="1826"/>
    </row>
    <row r="5784" spans="2:13">
      <c r="B5784" s="1330"/>
      <c r="C5784" s="1332" t="s">
        <v>673</v>
      </c>
      <c r="D5784" s="1331" t="s">
        <v>674</v>
      </c>
      <c r="E5784" s="1331" t="s">
        <v>675</v>
      </c>
      <c r="F5784" s="1334">
        <v>2.5000000000000001E-2</v>
      </c>
      <c r="G5784" s="1104">
        <f>G5768</f>
        <v>150000</v>
      </c>
      <c r="H5784" s="1106">
        <f>G5784*F5784</f>
        <v>3750</v>
      </c>
      <c r="J5784" s="1609" t="s">
        <v>5339</v>
      </c>
      <c r="K5784" s="1611">
        <v>1</v>
      </c>
      <c r="L5784" s="1608" t="s">
        <v>5340</v>
      </c>
      <c r="M5784" s="1827">
        <f>H5784*K5784</f>
        <v>3750</v>
      </c>
    </row>
    <row r="5785" spans="2:13">
      <c r="B5785" s="1330"/>
      <c r="C5785" s="1332" t="s">
        <v>871</v>
      </c>
      <c r="D5785" s="1331" t="s">
        <v>678</v>
      </c>
      <c r="E5785" s="1331" t="s">
        <v>675</v>
      </c>
      <c r="F5785" s="1334">
        <v>0.25</v>
      </c>
      <c r="G5785" s="1104">
        <f t="shared" ref="G5785:G5787" si="139">G5769</f>
        <v>187000</v>
      </c>
      <c r="H5785" s="1106">
        <f>G5785*F5785</f>
        <v>46750</v>
      </c>
      <c r="J5785" s="1609" t="s">
        <v>5339</v>
      </c>
      <c r="K5785" s="1611">
        <v>1</v>
      </c>
      <c r="L5785" s="1608" t="s">
        <v>5340</v>
      </c>
      <c r="M5785" s="1827">
        <f t="shared" ref="M5785" si="140">H5785*K5785</f>
        <v>46750</v>
      </c>
    </row>
    <row r="5786" spans="2:13">
      <c r="B5786" s="1330"/>
      <c r="C5786" s="1332" t="s">
        <v>751</v>
      </c>
      <c r="D5786" s="1331" t="s">
        <v>681</v>
      </c>
      <c r="E5786" s="1331" t="s">
        <v>675</v>
      </c>
      <c r="F5786" s="1334">
        <v>2.5000000000000001E-2</v>
      </c>
      <c r="G5786" s="1104">
        <f t="shared" si="139"/>
        <v>240000</v>
      </c>
      <c r="H5786" s="1106">
        <f>G5786*F5786</f>
        <v>6000</v>
      </c>
      <c r="J5786" s="1609" t="s">
        <v>5339</v>
      </c>
      <c r="K5786" s="1611">
        <v>1</v>
      </c>
      <c r="L5786" s="1608" t="s">
        <v>5340</v>
      </c>
      <c r="M5786" s="1827">
        <f>H5786*K5786</f>
        <v>6000</v>
      </c>
    </row>
    <row r="5787" spans="2:13">
      <c r="B5787" s="1330"/>
      <c r="C5787" s="1332" t="s">
        <v>683</v>
      </c>
      <c r="D5787" s="1331" t="s">
        <v>684</v>
      </c>
      <c r="E5787" s="1331" t="s">
        <v>675</v>
      </c>
      <c r="F5787" s="1334">
        <v>1.2999999999999999E-3</v>
      </c>
      <c r="G5787" s="1104">
        <f t="shared" si="139"/>
        <v>225000</v>
      </c>
      <c r="H5787" s="1106">
        <f>G5787*F5787</f>
        <v>292.5</v>
      </c>
      <c r="J5787" s="1609" t="s">
        <v>5339</v>
      </c>
      <c r="K5787" s="1611">
        <v>1</v>
      </c>
      <c r="L5787" s="1608" t="s">
        <v>5340</v>
      </c>
      <c r="M5787" s="1827">
        <f t="shared" ref="M5787" si="141">H5787*K5787</f>
        <v>292.5</v>
      </c>
    </row>
    <row r="5788" spans="2:13">
      <c r="B5788" s="1330"/>
      <c r="C5788" s="1332"/>
      <c r="D5788" s="1331"/>
      <c r="E5788" s="1331"/>
      <c r="F5788" s="2074" t="s">
        <v>685</v>
      </c>
      <c r="G5788" s="2074"/>
      <c r="H5788" s="1106">
        <f>SUM(H5784:H5787)</f>
        <v>56792.5</v>
      </c>
      <c r="J5788" s="1597"/>
      <c r="K5788" s="1597"/>
      <c r="L5788" s="1597"/>
      <c r="M5788" s="1107">
        <f>SUM(M5784:M5787)</f>
        <v>56792.5</v>
      </c>
    </row>
    <row r="5789" spans="2:13">
      <c r="B5789" s="1330" t="s">
        <v>686</v>
      </c>
      <c r="C5789" s="1332" t="s">
        <v>687</v>
      </c>
      <c r="D5789" s="1331"/>
      <c r="E5789" s="1331"/>
      <c r="F5789" s="1334"/>
      <c r="G5789" s="1104"/>
      <c r="H5789" s="1106"/>
      <c r="J5789" s="1634"/>
      <c r="K5789" s="1611"/>
      <c r="L5789" s="1607"/>
      <c r="M5789" s="1827"/>
    </row>
    <row r="5790" spans="2:13">
      <c r="B5790" s="1331"/>
      <c r="C5790" s="1332" t="s">
        <v>4737</v>
      </c>
      <c r="D5790" s="1331"/>
      <c r="E5790" s="1331" t="s">
        <v>2647</v>
      </c>
      <c r="F5790" s="1334">
        <v>1.1000000000000001</v>
      </c>
      <c r="G5790" s="1104">
        <f>DUB!I230</f>
        <v>1591000</v>
      </c>
      <c r="H5790" s="1106">
        <f>G5790*F5790</f>
        <v>1750100.0000000002</v>
      </c>
      <c r="J5790" s="1642" t="s">
        <v>4925</v>
      </c>
      <c r="K5790" s="1611">
        <v>0.63160000000000005</v>
      </c>
      <c r="L5790" s="1607" t="s">
        <v>5343</v>
      </c>
      <c r="M5790" s="1827">
        <f t="shared" ref="M5790:M5791" si="142">H5790*K5790</f>
        <v>1105363.1600000001</v>
      </c>
    </row>
    <row r="5791" spans="2:13">
      <c r="B5791" s="1331"/>
      <c r="C5791" s="1332" t="s">
        <v>972</v>
      </c>
      <c r="D5791" s="1331"/>
      <c r="E5791" s="1331" t="s">
        <v>690</v>
      </c>
      <c r="F5791" s="1334">
        <v>7.0000000000000007E-2</v>
      </c>
      <c r="G5791" s="1104">
        <f>G5775</f>
        <v>10710</v>
      </c>
      <c r="H5791" s="1106">
        <f>G5791*F5791</f>
        <v>749.7</v>
      </c>
      <c r="J5791" s="1642" t="s">
        <v>4925</v>
      </c>
      <c r="K5791" s="1611">
        <v>0.75119999999999998</v>
      </c>
      <c r="L5791" s="1607" t="s">
        <v>5343</v>
      </c>
      <c r="M5791" s="1827">
        <f t="shared" si="142"/>
        <v>563.17464000000007</v>
      </c>
    </row>
    <row r="5792" spans="2:13">
      <c r="B5792" s="1331"/>
      <c r="C5792" s="1125"/>
      <c r="D5792" s="1333"/>
      <c r="E5792" s="1333"/>
      <c r="F5792" s="2074" t="s">
        <v>702</v>
      </c>
      <c r="G5792" s="2074"/>
      <c r="H5792" s="1106">
        <f>SUM(H5790:H5791)</f>
        <v>1750849.7000000002</v>
      </c>
      <c r="J5792" s="1597"/>
      <c r="K5792" s="1597"/>
      <c r="L5792" s="1597"/>
      <c r="M5792" s="1106">
        <f>SUM(M5790:M5791)</f>
        <v>1105926.3346400002</v>
      </c>
    </row>
    <row r="5793" spans="2:13">
      <c r="B5793" s="1330" t="s">
        <v>703</v>
      </c>
      <c r="C5793" s="2075" t="s">
        <v>3764</v>
      </c>
      <c r="D5793" s="2075"/>
      <c r="E5793" s="2075"/>
      <c r="F5793" s="2075"/>
      <c r="G5793" s="2075"/>
      <c r="H5793" s="1107">
        <f>H5788+H5792</f>
        <v>1807642.2000000002</v>
      </c>
      <c r="I5793" s="496"/>
      <c r="J5793" s="1600"/>
      <c r="K5793" s="1633">
        <f>M5793/H5793</f>
        <v>0.64322399346507853</v>
      </c>
      <c r="L5793" s="1600"/>
      <c r="M5793" s="1107">
        <f>M5788+M5792</f>
        <v>1162718.8346400002</v>
      </c>
    </row>
    <row r="5794" spans="2:13">
      <c r="B5794" s="1330" t="s">
        <v>706</v>
      </c>
      <c r="C5794" s="2076" t="s">
        <v>876</v>
      </c>
      <c r="D5794" s="2076"/>
      <c r="E5794" s="2076"/>
      <c r="F5794" s="2077" t="s">
        <v>3873</v>
      </c>
      <c r="G5794" s="2077"/>
      <c r="H5794" s="1107">
        <f>H5793*0.15</f>
        <v>271146.33</v>
      </c>
      <c r="I5794" s="496"/>
      <c r="J5794" s="1600"/>
      <c r="K5794" s="1600"/>
      <c r="L5794" s="1600"/>
      <c r="M5794" s="1107">
        <f>M5793*0.15</f>
        <v>174407.82519600002</v>
      </c>
    </row>
    <row r="5795" spans="2:13">
      <c r="B5795" s="1330" t="s">
        <v>708</v>
      </c>
      <c r="C5795" s="2078" t="s">
        <v>3765</v>
      </c>
      <c r="D5795" s="2078"/>
      <c r="E5795" s="2078"/>
      <c r="F5795" s="2078"/>
      <c r="G5795" s="2078"/>
      <c r="H5795" s="1107">
        <f>ROUND(SUM(H5793:H5794),2)</f>
        <v>2078788.53</v>
      </c>
      <c r="I5795" s="506">
        <f>SUM(H5793:H5794)</f>
        <v>2078788.5300000003</v>
      </c>
      <c r="J5795" s="1636"/>
      <c r="K5795" s="1636"/>
      <c r="L5795" s="1637"/>
      <c r="M5795" s="1919">
        <f>ROUND(SUM(M5793:M5794),2)</f>
        <v>1337126.6599999999</v>
      </c>
    </row>
    <row r="5796" spans="2:13">
      <c r="F5796" s="1172"/>
      <c r="G5796" s="1173"/>
      <c r="H5796" s="1133"/>
      <c r="M5796" s="1566"/>
    </row>
    <row r="5797" spans="2:13">
      <c r="B5797" s="1100" t="s">
        <v>4167</v>
      </c>
      <c r="C5797" s="1232" t="s">
        <v>4369</v>
      </c>
      <c r="F5797" s="1172"/>
      <c r="G5797" s="1173"/>
      <c r="H5797" s="1133"/>
      <c r="M5797" s="1566"/>
    </row>
    <row r="5798" spans="2:13" s="507" customFormat="1" ht="24.9" customHeight="1">
      <c r="B5798" s="1101" t="s">
        <v>1003</v>
      </c>
      <c r="C5798" s="1101" t="s">
        <v>1004</v>
      </c>
      <c r="D5798" s="1101" t="s">
        <v>1005</v>
      </c>
      <c r="E5798" s="1101" t="s">
        <v>1006</v>
      </c>
      <c r="F5798" s="1102" t="s">
        <v>1007</v>
      </c>
      <c r="G5798" s="1109" t="s">
        <v>2637</v>
      </c>
      <c r="H5798" s="1110" t="s">
        <v>2638</v>
      </c>
      <c r="I5798" s="1834"/>
      <c r="J5798" s="1823" t="s">
        <v>5335</v>
      </c>
      <c r="K5798" s="1824" t="s">
        <v>5336</v>
      </c>
      <c r="L5798" s="1824" t="s">
        <v>5337</v>
      </c>
      <c r="M5798" s="1825" t="s">
        <v>5338</v>
      </c>
    </row>
    <row r="5799" spans="2:13">
      <c r="B5799" s="1330" t="s">
        <v>671</v>
      </c>
      <c r="C5799" s="1332" t="s">
        <v>672</v>
      </c>
      <c r="D5799" s="1331"/>
      <c r="E5799" s="1331"/>
      <c r="F5799" s="1334"/>
      <c r="G5799" s="1104"/>
      <c r="H5799" s="1106"/>
      <c r="J5799" s="1597"/>
      <c r="K5799" s="1597"/>
      <c r="L5799" s="1597"/>
      <c r="M5799" s="1826"/>
    </row>
    <row r="5800" spans="2:13">
      <c r="B5800" s="1330"/>
      <c r="C5800" s="1332" t="s">
        <v>673</v>
      </c>
      <c r="D5800" s="1331" t="s">
        <v>674</v>
      </c>
      <c r="E5800" s="1331" t="s">
        <v>675</v>
      </c>
      <c r="F5800" s="1334">
        <v>1.4999999999999999E-2</v>
      </c>
      <c r="G5800" s="1104">
        <f>DUB!$I$10</f>
        <v>150000</v>
      </c>
      <c r="H5800" s="1106">
        <f>G5800*F5800</f>
        <v>2250</v>
      </c>
      <c r="J5800" s="1609" t="s">
        <v>5339</v>
      </c>
      <c r="K5800" s="1611">
        <v>1</v>
      </c>
      <c r="L5800" s="1608" t="s">
        <v>5340</v>
      </c>
      <c r="M5800" s="1827">
        <f>H5800*K5800</f>
        <v>2250</v>
      </c>
    </row>
    <row r="5801" spans="2:13">
      <c r="B5801" s="1330"/>
      <c r="C5801" s="1332" t="s">
        <v>871</v>
      </c>
      <c r="D5801" s="1331" t="s">
        <v>678</v>
      </c>
      <c r="E5801" s="1331" t="s">
        <v>675</v>
      </c>
      <c r="F5801" s="1334">
        <v>0.15</v>
      </c>
      <c r="G5801" s="1104">
        <f>DUB!$I$11</f>
        <v>187000</v>
      </c>
      <c r="H5801" s="1106">
        <f>G5801*F5801</f>
        <v>28050</v>
      </c>
      <c r="J5801" s="1609" t="s">
        <v>5339</v>
      </c>
      <c r="K5801" s="1611">
        <v>1</v>
      </c>
      <c r="L5801" s="1608" t="s">
        <v>5340</v>
      </c>
      <c r="M5801" s="1827">
        <f t="shared" ref="M5801" si="143">H5801*K5801</f>
        <v>28050</v>
      </c>
    </row>
    <row r="5802" spans="2:13">
      <c r="B5802" s="1330"/>
      <c r="C5802" s="1332" t="s">
        <v>751</v>
      </c>
      <c r="D5802" s="1331" t="s">
        <v>681</v>
      </c>
      <c r="E5802" s="1331" t="s">
        <v>675</v>
      </c>
      <c r="F5802" s="1334">
        <v>1.4999999999999999E-2</v>
      </c>
      <c r="G5802" s="1104">
        <f>DUB!$I$13</f>
        <v>240000</v>
      </c>
      <c r="H5802" s="1106">
        <f>G5802*F5802</f>
        <v>3600</v>
      </c>
      <c r="J5802" s="1609" t="s">
        <v>5339</v>
      </c>
      <c r="K5802" s="1611">
        <v>1</v>
      </c>
      <c r="L5802" s="1608" t="s">
        <v>5340</v>
      </c>
      <c r="M5802" s="1827">
        <f>H5802*K5802</f>
        <v>3600</v>
      </c>
    </row>
    <row r="5803" spans="2:13">
      <c r="B5803" s="1330"/>
      <c r="C5803" s="1332" t="s">
        <v>683</v>
      </c>
      <c r="D5803" s="1331" t="s">
        <v>684</v>
      </c>
      <c r="E5803" s="1331" t="s">
        <v>675</v>
      </c>
      <c r="F5803" s="1334">
        <v>8.0000000000000002E-3</v>
      </c>
      <c r="G5803" s="1104">
        <f>DUB!$I$12</f>
        <v>225000</v>
      </c>
      <c r="H5803" s="1106">
        <f>G5803*F5803</f>
        <v>1800</v>
      </c>
      <c r="J5803" s="1609" t="s">
        <v>5339</v>
      </c>
      <c r="K5803" s="1611">
        <v>1</v>
      </c>
      <c r="L5803" s="1608" t="s">
        <v>5340</v>
      </c>
      <c r="M5803" s="1827">
        <f t="shared" ref="M5803" si="144">H5803*K5803</f>
        <v>1800</v>
      </c>
    </row>
    <row r="5804" spans="2:13">
      <c r="B5804" s="1330"/>
      <c r="C5804" s="1332"/>
      <c r="D5804" s="1331"/>
      <c r="E5804" s="1331"/>
      <c r="F5804" s="2074" t="s">
        <v>685</v>
      </c>
      <c r="G5804" s="2074"/>
      <c r="H5804" s="1106">
        <f>SUM(H5800:H5803)</f>
        <v>35700</v>
      </c>
      <c r="J5804" s="1597"/>
      <c r="K5804" s="1597"/>
      <c r="L5804" s="1597"/>
      <c r="M5804" s="1107">
        <f>SUM(M5800:M5803)</f>
        <v>35700</v>
      </c>
    </row>
    <row r="5805" spans="2:13">
      <c r="B5805" s="1330" t="s">
        <v>686</v>
      </c>
      <c r="C5805" s="1332" t="s">
        <v>687</v>
      </c>
      <c r="D5805" s="1331"/>
      <c r="E5805" s="1331"/>
      <c r="F5805" s="1334"/>
      <c r="G5805" s="1104"/>
      <c r="H5805" s="1106"/>
      <c r="J5805" s="1634"/>
      <c r="K5805" s="1611"/>
      <c r="L5805" s="1607"/>
      <c r="M5805" s="1827"/>
    </row>
    <row r="5806" spans="2:13">
      <c r="B5806" s="1330"/>
      <c r="C5806" s="1332" t="s">
        <v>1362</v>
      </c>
      <c r="D5806" s="1331"/>
      <c r="E5806" s="1331" t="s">
        <v>2647</v>
      </c>
      <c r="F5806" s="1334">
        <v>1.1000000000000001</v>
      </c>
      <c r="G5806" s="1104">
        <f>DUB!$I$231</f>
        <v>192780</v>
      </c>
      <c r="H5806" s="1106">
        <f>G5806*F5806</f>
        <v>212058.00000000003</v>
      </c>
      <c r="J5806" s="1642" t="s">
        <v>4925</v>
      </c>
      <c r="K5806" s="1611">
        <v>0.63160000000000005</v>
      </c>
      <c r="L5806" s="1607" t="s">
        <v>5343</v>
      </c>
      <c r="M5806" s="1827">
        <f t="shared" ref="M5806" si="145">H5806*K5806</f>
        <v>133935.83280000003</v>
      </c>
    </row>
    <row r="5807" spans="2:13">
      <c r="B5807" s="1331"/>
      <c r="C5807" s="1125"/>
      <c r="D5807" s="1333"/>
      <c r="E5807" s="1333"/>
      <c r="F5807" s="2074" t="s">
        <v>702</v>
      </c>
      <c r="G5807" s="2074"/>
      <c r="H5807" s="1106">
        <f>SUM(H5806)</f>
        <v>212058.00000000003</v>
      </c>
      <c r="J5807" s="1642"/>
      <c r="K5807" s="1611"/>
      <c r="L5807" s="1607"/>
      <c r="M5807" s="1106">
        <f>SUM(M5806)</f>
        <v>133935.83280000003</v>
      </c>
    </row>
    <row r="5808" spans="2:13" s="496" customFormat="1">
      <c r="B5808" s="1330" t="s">
        <v>703</v>
      </c>
      <c r="C5808" s="2075" t="s">
        <v>3764</v>
      </c>
      <c r="D5808" s="2075"/>
      <c r="E5808" s="2075"/>
      <c r="F5808" s="2075"/>
      <c r="G5808" s="2075"/>
      <c r="H5808" s="1107">
        <f>H5804+H5807</f>
        <v>247758.00000000003</v>
      </c>
      <c r="J5808" s="1597"/>
      <c r="K5808" s="1633">
        <f>M5808/H5808</f>
        <v>0.68468357348703179</v>
      </c>
      <c r="L5808" s="1597"/>
      <c r="M5808" s="1107">
        <f>M5804+M5807</f>
        <v>169635.83280000003</v>
      </c>
    </row>
    <row r="5809" spans="2:13" s="496" customFormat="1">
      <c r="B5809" s="1330" t="s">
        <v>706</v>
      </c>
      <c r="C5809" s="2076" t="s">
        <v>876</v>
      </c>
      <c r="D5809" s="2076"/>
      <c r="E5809" s="2076"/>
      <c r="F5809" s="2077" t="s">
        <v>3873</v>
      </c>
      <c r="G5809" s="2077"/>
      <c r="H5809" s="1107">
        <f>H5808*0.15</f>
        <v>37163.700000000004</v>
      </c>
      <c r="J5809" s="1600"/>
      <c r="K5809" s="1633"/>
      <c r="L5809" s="1600"/>
      <c r="M5809" s="1107">
        <f>M5808*0.15</f>
        <v>25445.374920000006</v>
      </c>
    </row>
    <row r="5810" spans="2:13" s="496" customFormat="1">
      <c r="B5810" s="1330" t="s">
        <v>708</v>
      </c>
      <c r="C5810" s="2078" t="s">
        <v>3765</v>
      </c>
      <c r="D5810" s="2078"/>
      <c r="E5810" s="2078"/>
      <c r="F5810" s="2078"/>
      <c r="G5810" s="2078"/>
      <c r="H5810" s="1107">
        <f>ROUND(SUM(H5808:H5809),2)</f>
        <v>284921.7</v>
      </c>
      <c r="I5810" s="506">
        <f>SUM(H5808:H5809)</f>
        <v>284921.7</v>
      </c>
      <c r="J5810" s="1637"/>
      <c r="K5810" s="1637"/>
      <c r="L5810" s="1637"/>
      <c r="M5810" s="1107">
        <f>ROUND(SUM(M5808:M5809),2)</f>
        <v>195081.21</v>
      </c>
    </row>
    <row r="5811" spans="2:13" hidden="1">
      <c r="B5811" s="1623"/>
      <c r="C5811" s="1130"/>
      <c r="D5811" s="1129"/>
      <c r="E5811" s="1129"/>
      <c r="F5811" s="1131"/>
      <c r="G5811" s="1132"/>
      <c r="H5811" s="1115"/>
      <c r="J5811" s="1841"/>
      <c r="K5811" s="1841"/>
      <c r="L5811" s="1842"/>
      <c r="M5811" s="1843">
        <f>ROUND(SUM(M5809:M5810),2)</f>
        <v>220526.58</v>
      </c>
    </row>
    <row r="5812" spans="2:13" hidden="1">
      <c r="B5812" s="1613" t="s">
        <v>4168</v>
      </c>
      <c r="C5812" s="1112" t="s">
        <v>3506</v>
      </c>
      <c r="D5812" s="1129"/>
      <c r="E5812" s="1129"/>
      <c r="F5812" s="1131"/>
      <c r="G5812" s="1132"/>
      <c r="H5812" s="1115"/>
      <c r="M5812" s="1619"/>
    </row>
    <row r="5813" spans="2:13" s="507" customFormat="1" ht="24.9" hidden="1" customHeight="1">
      <c r="B5813" s="1648" t="s">
        <v>1003</v>
      </c>
      <c r="C5813" s="1101" t="s">
        <v>1004</v>
      </c>
      <c r="D5813" s="1101" t="s">
        <v>1005</v>
      </c>
      <c r="E5813" s="1101" t="s">
        <v>1006</v>
      </c>
      <c r="F5813" s="1102" t="s">
        <v>1007</v>
      </c>
      <c r="G5813" s="1109" t="s">
        <v>2637</v>
      </c>
      <c r="H5813" s="1110" t="s">
        <v>2638</v>
      </c>
      <c r="J5813" s="1625"/>
      <c r="K5813" s="1625"/>
      <c r="L5813" s="1625"/>
      <c r="M5813" s="1626"/>
    </row>
    <row r="5814" spans="2:13" hidden="1">
      <c r="B5814" s="1649" t="s">
        <v>671</v>
      </c>
      <c r="C5814" s="1332" t="s">
        <v>672</v>
      </c>
      <c r="D5814" s="1331"/>
      <c r="E5814" s="1331"/>
      <c r="F5814" s="1334"/>
      <c r="G5814" s="1104"/>
      <c r="H5814" s="1106"/>
      <c r="M5814" s="1619"/>
    </row>
    <row r="5815" spans="2:13" hidden="1">
      <c r="B5815" s="1649"/>
      <c r="C5815" s="1332" t="s">
        <v>673</v>
      </c>
      <c r="D5815" s="1331" t="s">
        <v>674</v>
      </c>
      <c r="E5815" s="1331" t="s">
        <v>675</v>
      </c>
      <c r="F5815" s="1334">
        <v>1.7000000000000001E-2</v>
      </c>
      <c r="G5815" s="1104">
        <f>DUB!$I$10</f>
        <v>150000</v>
      </c>
      <c r="H5815" s="1106">
        <f>G5815*F5815</f>
        <v>2550</v>
      </c>
      <c r="M5815" s="1619"/>
    </row>
    <row r="5816" spans="2:13" hidden="1">
      <c r="B5816" s="1649"/>
      <c r="C5816" s="1332" t="s">
        <v>871</v>
      </c>
      <c r="D5816" s="1331" t="s">
        <v>678</v>
      </c>
      <c r="E5816" s="1331" t="s">
        <v>675</v>
      </c>
      <c r="F5816" s="1334">
        <v>0.17</v>
      </c>
      <c r="G5816" s="1104">
        <f>DUB!$I$11</f>
        <v>187000</v>
      </c>
      <c r="H5816" s="1106">
        <f>G5816*F5816</f>
        <v>31790.000000000004</v>
      </c>
      <c r="M5816" s="1619"/>
    </row>
    <row r="5817" spans="2:13" hidden="1">
      <c r="B5817" s="1649"/>
      <c r="C5817" s="1332" t="s">
        <v>751</v>
      </c>
      <c r="D5817" s="1331" t="s">
        <v>681</v>
      </c>
      <c r="E5817" s="1331" t="s">
        <v>675</v>
      </c>
      <c r="F5817" s="1334">
        <v>1.7000000000000001E-2</v>
      </c>
      <c r="G5817" s="1104">
        <f>DUB!$I$13</f>
        <v>240000</v>
      </c>
      <c r="H5817" s="1106">
        <f>G5817*F5817</f>
        <v>4080.0000000000005</v>
      </c>
      <c r="M5817" s="1619"/>
    </row>
    <row r="5818" spans="2:13" hidden="1">
      <c r="B5818" s="1649"/>
      <c r="C5818" s="1332" t="s">
        <v>683</v>
      </c>
      <c r="D5818" s="1331" t="s">
        <v>684</v>
      </c>
      <c r="E5818" s="1331" t="s">
        <v>675</v>
      </c>
      <c r="F5818" s="1334">
        <v>8.9999999999999993E-3</v>
      </c>
      <c r="G5818" s="1104">
        <f>DUB!$I$12</f>
        <v>225000</v>
      </c>
      <c r="H5818" s="1106">
        <f>G5818*F5818</f>
        <v>2024.9999999999998</v>
      </c>
      <c r="M5818" s="1619"/>
    </row>
    <row r="5819" spans="2:13" hidden="1">
      <c r="B5819" s="1649"/>
      <c r="C5819" s="1332"/>
      <c r="D5819" s="1331"/>
      <c r="E5819" s="1331"/>
      <c r="F5819" s="2074" t="s">
        <v>685</v>
      </c>
      <c r="G5819" s="2074"/>
      <c r="H5819" s="1106">
        <f>SUM(H5815:H5818)</f>
        <v>40445</v>
      </c>
      <c r="M5819" s="1619"/>
    </row>
    <row r="5820" spans="2:13" hidden="1">
      <c r="B5820" s="1649" t="s">
        <v>686</v>
      </c>
      <c r="C5820" s="1332" t="s">
        <v>687</v>
      </c>
      <c r="D5820" s="1331"/>
      <c r="E5820" s="1331"/>
      <c r="F5820" s="1334"/>
      <c r="G5820" s="1104"/>
      <c r="H5820" s="1106"/>
      <c r="M5820" s="1619"/>
    </row>
    <row r="5821" spans="2:13" hidden="1">
      <c r="B5821" s="1649"/>
      <c r="C5821" s="1332" t="s">
        <v>4457</v>
      </c>
      <c r="D5821" s="1331"/>
      <c r="E5821" s="1331" t="s">
        <v>2647</v>
      </c>
      <c r="F5821" s="1334">
        <v>1.1000000000000001</v>
      </c>
      <c r="G5821" s="1104">
        <f>DUB!$I$231</f>
        <v>192780</v>
      </c>
      <c r="H5821" s="1106">
        <f>G5821*F5821</f>
        <v>212058.00000000003</v>
      </c>
      <c r="M5821" s="1619"/>
    </row>
    <row r="5822" spans="2:13" hidden="1">
      <c r="B5822" s="1650"/>
      <c r="C5822" s="1125"/>
      <c r="D5822" s="1333"/>
      <c r="E5822" s="1333"/>
      <c r="F5822" s="2074" t="s">
        <v>702</v>
      </c>
      <c r="G5822" s="2074"/>
      <c r="H5822" s="1106">
        <f>SUM(H5821)</f>
        <v>212058.00000000003</v>
      </c>
      <c r="M5822" s="1619"/>
    </row>
    <row r="5823" spans="2:13" s="496" customFormat="1" hidden="1">
      <c r="B5823" s="1649" t="s">
        <v>703</v>
      </c>
      <c r="C5823" s="2075" t="s">
        <v>3764</v>
      </c>
      <c r="D5823" s="2075"/>
      <c r="E5823" s="2075"/>
      <c r="F5823" s="2075"/>
      <c r="G5823" s="2075"/>
      <c r="H5823" s="1107">
        <f>H5819+H5822</f>
        <v>252503.00000000003</v>
      </c>
      <c r="J5823" s="1559"/>
      <c r="K5823" s="1559"/>
      <c r="L5823" s="1559"/>
      <c r="M5823" s="1614"/>
    </row>
    <row r="5824" spans="2:13" s="496" customFormat="1" hidden="1">
      <c r="B5824" s="1649" t="s">
        <v>706</v>
      </c>
      <c r="C5824" s="2076" t="s">
        <v>876</v>
      </c>
      <c r="D5824" s="2076"/>
      <c r="E5824" s="2076"/>
      <c r="F5824" s="2077" t="s">
        <v>3873</v>
      </c>
      <c r="G5824" s="2077"/>
      <c r="H5824" s="1107">
        <f>H5823*0.15</f>
        <v>37875.450000000004</v>
      </c>
      <c r="J5824" s="1559"/>
      <c r="K5824" s="1559"/>
      <c r="L5824" s="1559"/>
      <c r="M5824" s="1614"/>
    </row>
    <row r="5825" spans="2:13" s="496" customFormat="1" hidden="1">
      <c r="B5825" s="1649" t="s">
        <v>708</v>
      </c>
      <c r="C5825" s="2078" t="s">
        <v>3765</v>
      </c>
      <c r="D5825" s="2078"/>
      <c r="E5825" s="2078"/>
      <c r="F5825" s="2078"/>
      <c r="G5825" s="2078"/>
      <c r="H5825" s="1107">
        <f>ROUND(SUM(H5823:H5824),2)</f>
        <v>290378.45</v>
      </c>
      <c r="I5825" s="506">
        <f>SUM(H5823:H5824)</f>
        <v>290378.45</v>
      </c>
      <c r="J5825" s="1561"/>
      <c r="K5825" s="1561"/>
      <c r="L5825" s="1559"/>
      <c r="M5825" s="1614"/>
    </row>
    <row r="5826" spans="2:13" hidden="1">
      <c r="B5826" s="1624"/>
      <c r="F5826" s="1172"/>
      <c r="G5826" s="1173"/>
      <c r="H5826" s="1133"/>
      <c r="M5826" s="1619"/>
    </row>
    <row r="5827" spans="2:13" hidden="1">
      <c r="B5827" s="1615" t="s">
        <v>4169</v>
      </c>
      <c r="C5827" s="1232" t="s">
        <v>2750</v>
      </c>
      <c r="F5827" s="1172"/>
      <c r="G5827" s="1173"/>
      <c r="H5827" s="1133"/>
      <c r="M5827" s="1619"/>
    </row>
    <row r="5828" spans="2:13" hidden="1">
      <c r="B5828" s="1615" t="s">
        <v>4170</v>
      </c>
      <c r="C5828" s="1232" t="s">
        <v>2749</v>
      </c>
      <c r="F5828" s="1172"/>
      <c r="G5828" s="1173"/>
      <c r="H5828" s="1133"/>
      <c r="M5828" s="1619"/>
    </row>
    <row r="5829" spans="2:13" s="507" customFormat="1" ht="24.9" hidden="1" customHeight="1">
      <c r="B5829" s="1648" t="s">
        <v>1003</v>
      </c>
      <c r="C5829" s="1101" t="s">
        <v>1004</v>
      </c>
      <c r="D5829" s="1101" t="s">
        <v>1005</v>
      </c>
      <c r="E5829" s="1101" t="s">
        <v>1006</v>
      </c>
      <c r="F5829" s="1102" t="s">
        <v>1007</v>
      </c>
      <c r="G5829" s="1109" t="s">
        <v>2637</v>
      </c>
      <c r="H5829" s="1110" t="s">
        <v>2638</v>
      </c>
      <c r="J5829" s="1625"/>
      <c r="K5829" s="1625"/>
      <c r="L5829" s="1625"/>
      <c r="M5829" s="1626"/>
    </row>
    <row r="5830" spans="2:13" hidden="1">
      <c r="B5830" s="1649" t="s">
        <v>671</v>
      </c>
      <c r="C5830" s="1332" t="s">
        <v>672</v>
      </c>
      <c r="D5830" s="1331"/>
      <c r="E5830" s="1331"/>
      <c r="F5830" s="1334"/>
      <c r="G5830" s="1104"/>
      <c r="H5830" s="1106"/>
      <c r="M5830" s="1619"/>
    </row>
    <row r="5831" spans="2:13" hidden="1">
      <c r="B5831" s="1649"/>
      <c r="C5831" s="1332" t="s">
        <v>673</v>
      </c>
      <c r="D5831" s="1331" t="s">
        <v>674</v>
      </c>
      <c r="E5831" s="1331" t="s">
        <v>675</v>
      </c>
      <c r="F5831" s="1334">
        <v>0.15</v>
      </c>
      <c r="G5831" s="1104">
        <f>DUB!$I$10</f>
        <v>150000</v>
      </c>
      <c r="H5831" s="1106">
        <f>G5831*F5831</f>
        <v>22500</v>
      </c>
      <c r="M5831" s="1619"/>
    </row>
    <row r="5832" spans="2:13" hidden="1">
      <c r="B5832" s="1649"/>
      <c r="C5832" s="1332" t="s">
        <v>683</v>
      </c>
      <c r="D5832" s="1331" t="s">
        <v>684</v>
      </c>
      <c r="E5832" s="1331" t="s">
        <v>675</v>
      </c>
      <c r="F5832" s="1334">
        <v>3.0000000000000001E-3</v>
      </c>
      <c r="G5832" s="1104">
        <f>DUB!$I$12</f>
        <v>225000</v>
      </c>
      <c r="H5832" s="1106">
        <f>G5832*F5832</f>
        <v>675</v>
      </c>
      <c r="M5832" s="1619"/>
    </row>
    <row r="5833" spans="2:13" hidden="1">
      <c r="B5833" s="1649"/>
      <c r="C5833" s="1332"/>
      <c r="D5833" s="1331"/>
      <c r="E5833" s="1331"/>
      <c r="F5833" s="2074" t="s">
        <v>685</v>
      </c>
      <c r="G5833" s="2074"/>
      <c r="H5833" s="1106">
        <f>SUM(H5831:H5832)</f>
        <v>23175</v>
      </c>
      <c r="M5833" s="1619"/>
    </row>
    <row r="5834" spans="2:13" hidden="1">
      <c r="B5834" s="1649" t="s">
        <v>686</v>
      </c>
      <c r="C5834" s="1332" t="s">
        <v>687</v>
      </c>
      <c r="D5834" s="1331"/>
      <c r="E5834" s="1331"/>
      <c r="F5834" s="1334"/>
      <c r="G5834" s="1104"/>
      <c r="H5834" s="1106"/>
      <c r="M5834" s="1619"/>
    </row>
    <row r="5835" spans="2:13" hidden="1">
      <c r="B5835" s="1649"/>
      <c r="C5835" s="1332" t="s">
        <v>1366</v>
      </c>
      <c r="D5835" s="1331"/>
      <c r="E5835" s="1331" t="s">
        <v>690</v>
      </c>
      <c r="F5835" s="1334">
        <v>0.05</v>
      </c>
      <c r="G5835" s="1104">
        <f>DUB!$I$324</f>
        <v>19278</v>
      </c>
      <c r="H5835" s="1106">
        <f>G5835*F5835</f>
        <v>963.90000000000009</v>
      </c>
      <c r="M5835" s="1619"/>
    </row>
    <row r="5836" spans="2:13" hidden="1">
      <c r="B5836" s="1650"/>
      <c r="C5836" s="1332"/>
      <c r="D5836" s="1331"/>
      <c r="E5836" s="1331"/>
      <c r="F5836" s="2090" t="s">
        <v>702</v>
      </c>
      <c r="G5836" s="2090"/>
      <c r="H5836" s="1106">
        <f>SUM(H5835)</f>
        <v>963.90000000000009</v>
      </c>
      <c r="M5836" s="1619"/>
    </row>
    <row r="5837" spans="2:13" s="496" customFormat="1" hidden="1">
      <c r="B5837" s="1649" t="s">
        <v>703</v>
      </c>
      <c r="C5837" s="2089" t="s">
        <v>3764</v>
      </c>
      <c r="D5837" s="2089"/>
      <c r="E5837" s="2089"/>
      <c r="F5837" s="2089"/>
      <c r="G5837" s="2089"/>
      <c r="H5837" s="1107">
        <f>H5833+H5836</f>
        <v>24138.9</v>
      </c>
      <c r="J5837" s="1559"/>
      <c r="K5837" s="1559"/>
      <c r="L5837" s="1559"/>
      <c r="M5837" s="1614"/>
    </row>
    <row r="5838" spans="2:13" s="496" customFormat="1" hidden="1">
      <c r="B5838" s="1649" t="s">
        <v>706</v>
      </c>
      <c r="C5838" s="2076" t="s">
        <v>876</v>
      </c>
      <c r="D5838" s="2076"/>
      <c r="E5838" s="2076"/>
      <c r="F5838" s="2077" t="s">
        <v>3873</v>
      </c>
      <c r="G5838" s="2077"/>
      <c r="H5838" s="1107">
        <f>H5837*0.15</f>
        <v>3620.835</v>
      </c>
      <c r="J5838" s="1559"/>
      <c r="K5838" s="1559"/>
      <c r="L5838" s="1559"/>
      <c r="M5838" s="1614"/>
    </row>
    <row r="5839" spans="2:13" s="496" customFormat="1" hidden="1">
      <c r="B5839" s="1649" t="s">
        <v>708</v>
      </c>
      <c r="C5839" s="2078" t="s">
        <v>3765</v>
      </c>
      <c r="D5839" s="2078"/>
      <c r="E5839" s="2078"/>
      <c r="F5839" s="2078"/>
      <c r="G5839" s="2078"/>
      <c r="H5839" s="1107">
        <f>ROUND(SUM(H5837:H5838),2)</f>
        <v>27759.74</v>
      </c>
      <c r="I5839" s="506">
        <f>SUM(H5837:H5838)</f>
        <v>27759.735000000001</v>
      </c>
      <c r="J5839" s="1561"/>
      <c r="K5839" s="1561"/>
      <c r="L5839" s="1559"/>
      <c r="M5839" s="1614"/>
    </row>
    <row r="5840" spans="2:13" hidden="1">
      <c r="B5840" s="1659"/>
      <c r="C5840" s="1144"/>
      <c r="D5840" s="1143"/>
      <c r="E5840" s="1143"/>
      <c r="F5840" s="1145"/>
      <c r="G5840" s="1146"/>
      <c r="H5840" s="1147"/>
      <c r="M5840" s="1619"/>
    </row>
    <row r="5841" spans="2:13" hidden="1">
      <c r="B5841" s="1613" t="s">
        <v>4171</v>
      </c>
      <c r="C5841" s="1112" t="s">
        <v>2748</v>
      </c>
      <c r="D5841" s="1129"/>
      <c r="E5841" s="1129"/>
      <c r="F5841" s="1131"/>
      <c r="G5841" s="1132"/>
      <c r="H5841" s="1115"/>
      <c r="M5841" s="1619"/>
    </row>
    <row r="5842" spans="2:13" s="507" customFormat="1" ht="24.9" hidden="1" customHeight="1">
      <c r="B5842" s="1648" t="s">
        <v>1003</v>
      </c>
      <c r="C5842" s="1101" t="s">
        <v>1004</v>
      </c>
      <c r="D5842" s="1101" t="s">
        <v>1005</v>
      </c>
      <c r="E5842" s="1101" t="s">
        <v>1006</v>
      </c>
      <c r="F5842" s="1102" t="s">
        <v>1007</v>
      </c>
      <c r="G5842" s="1109" t="s">
        <v>2637</v>
      </c>
      <c r="H5842" s="1110" t="s">
        <v>2638</v>
      </c>
      <c r="J5842" s="1625"/>
      <c r="K5842" s="1625"/>
      <c r="L5842" s="1625"/>
      <c r="M5842" s="1626"/>
    </row>
    <row r="5843" spans="2:13" hidden="1">
      <c r="B5843" s="1649" t="s">
        <v>671</v>
      </c>
      <c r="C5843" s="1332" t="s">
        <v>672</v>
      </c>
      <c r="D5843" s="1331"/>
      <c r="E5843" s="1331"/>
      <c r="F5843" s="1334"/>
      <c r="G5843" s="1104"/>
      <c r="H5843" s="1106"/>
      <c r="M5843" s="1619"/>
    </row>
    <row r="5844" spans="2:13" hidden="1">
      <c r="B5844" s="1649"/>
      <c r="C5844" s="1332" t="s">
        <v>673</v>
      </c>
      <c r="D5844" s="1331" t="s">
        <v>674</v>
      </c>
      <c r="E5844" s="1331" t="s">
        <v>675</v>
      </c>
      <c r="F5844" s="1334">
        <v>0.15</v>
      </c>
      <c r="G5844" s="1104">
        <f>DUB!$I$10</f>
        <v>150000</v>
      </c>
      <c r="H5844" s="1106">
        <f>G5844*F5844</f>
        <v>22500</v>
      </c>
      <c r="M5844" s="1619"/>
    </row>
    <row r="5845" spans="2:13" hidden="1">
      <c r="B5845" s="1649"/>
      <c r="C5845" s="1332" t="s">
        <v>683</v>
      </c>
      <c r="D5845" s="1331" t="s">
        <v>684</v>
      </c>
      <c r="E5845" s="1331" t="s">
        <v>675</v>
      </c>
      <c r="F5845" s="1334">
        <v>3.0000000000000001E-3</v>
      </c>
      <c r="G5845" s="1104">
        <f>DUB!$I$12</f>
        <v>225000</v>
      </c>
      <c r="H5845" s="1106">
        <f>G5845*F5845</f>
        <v>675</v>
      </c>
      <c r="M5845" s="1619"/>
    </row>
    <row r="5846" spans="2:13" hidden="1">
      <c r="B5846" s="1649"/>
      <c r="C5846" s="1332"/>
      <c r="D5846" s="1331"/>
      <c r="E5846" s="1331"/>
      <c r="F5846" s="2074" t="s">
        <v>685</v>
      </c>
      <c r="G5846" s="2074"/>
      <c r="H5846" s="1106">
        <f>SUM(H5844:H5845)</f>
        <v>23175</v>
      </c>
      <c r="M5846" s="1619"/>
    </row>
    <row r="5847" spans="2:13" hidden="1">
      <c r="B5847" s="1649" t="s">
        <v>686</v>
      </c>
      <c r="C5847" s="1332" t="s">
        <v>687</v>
      </c>
      <c r="D5847" s="1331"/>
      <c r="E5847" s="1331"/>
      <c r="F5847" s="1334"/>
      <c r="G5847" s="1104"/>
      <c r="H5847" s="1106"/>
      <c r="M5847" s="1619"/>
    </row>
    <row r="5848" spans="2:13" hidden="1">
      <c r="B5848" s="1650"/>
      <c r="C5848" s="1332" t="s">
        <v>1367</v>
      </c>
      <c r="D5848" s="1331"/>
      <c r="E5848" s="1331" t="s">
        <v>690</v>
      </c>
      <c r="F5848" s="1334">
        <v>0.05</v>
      </c>
      <c r="G5848" s="1104">
        <f>DUB!$I$328</f>
        <v>12852</v>
      </c>
      <c r="H5848" s="1106">
        <f>G5848*F5848</f>
        <v>642.6</v>
      </c>
      <c r="M5848" s="1619"/>
    </row>
    <row r="5849" spans="2:13" hidden="1">
      <c r="B5849" s="1650"/>
      <c r="C5849" s="1125"/>
      <c r="D5849" s="1333"/>
      <c r="E5849" s="1333"/>
      <c r="F5849" s="2074" t="s">
        <v>702</v>
      </c>
      <c r="G5849" s="2074"/>
      <c r="H5849" s="1106">
        <f>SUM(H5848)</f>
        <v>642.6</v>
      </c>
      <c r="M5849" s="1619"/>
    </row>
    <row r="5850" spans="2:13" s="496" customFormat="1" hidden="1">
      <c r="B5850" s="1649" t="s">
        <v>703</v>
      </c>
      <c r="C5850" s="2075" t="s">
        <v>3764</v>
      </c>
      <c r="D5850" s="2075"/>
      <c r="E5850" s="2075"/>
      <c r="F5850" s="2075"/>
      <c r="G5850" s="2075"/>
      <c r="H5850" s="1107">
        <f>H5846+H5849</f>
        <v>23817.599999999999</v>
      </c>
      <c r="J5850" s="1559"/>
      <c r="K5850" s="1559"/>
      <c r="L5850" s="1559"/>
      <c r="M5850" s="1614"/>
    </row>
    <row r="5851" spans="2:13" s="496" customFormat="1" hidden="1">
      <c r="B5851" s="1649" t="s">
        <v>706</v>
      </c>
      <c r="C5851" s="2076" t="s">
        <v>876</v>
      </c>
      <c r="D5851" s="2076"/>
      <c r="E5851" s="2076"/>
      <c r="F5851" s="2077" t="s">
        <v>3873</v>
      </c>
      <c r="G5851" s="2077"/>
      <c r="H5851" s="1107">
        <f>H5850*0.15</f>
        <v>3572.64</v>
      </c>
      <c r="J5851" s="1559"/>
      <c r="K5851" s="1559"/>
      <c r="L5851" s="1559"/>
      <c r="M5851" s="1614"/>
    </row>
    <row r="5852" spans="2:13" s="496" customFormat="1" hidden="1">
      <c r="B5852" s="1649" t="s">
        <v>708</v>
      </c>
      <c r="C5852" s="2078" t="s">
        <v>3765</v>
      </c>
      <c r="D5852" s="2078"/>
      <c r="E5852" s="2078"/>
      <c r="F5852" s="2078"/>
      <c r="G5852" s="2078"/>
      <c r="H5852" s="1107">
        <f>ROUND(SUM(H5850:H5851),2)</f>
        <v>27390.240000000002</v>
      </c>
      <c r="I5852" s="506">
        <f>SUM(H5850:H5851)</f>
        <v>27390.239999999998</v>
      </c>
      <c r="J5852" s="1561"/>
      <c r="K5852" s="1561"/>
      <c r="L5852" s="1559"/>
      <c r="M5852" s="1614"/>
    </row>
    <row r="5853" spans="2:13" hidden="1">
      <c r="B5853" s="1624"/>
      <c r="F5853" s="1172"/>
      <c r="G5853" s="1173"/>
      <c r="H5853" s="1133"/>
      <c r="M5853" s="1619"/>
    </row>
    <row r="5854" spans="2:13" hidden="1">
      <c r="B5854" s="1613" t="s">
        <v>4172</v>
      </c>
      <c r="C5854" s="1232" t="s">
        <v>2747</v>
      </c>
      <c r="F5854" s="1172"/>
      <c r="G5854" s="1173"/>
      <c r="H5854" s="1133"/>
      <c r="M5854" s="1619"/>
    </row>
    <row r="5855" spans="2:13" s="507" customFormat="1" ht="24.9" hidden="1" customHeight="1">
      <c r="B5855" s="1656" t="s">
        <v>1003</v>
      </c>
      <c r="C5855" s="1116" t="s">
        <v>1004</v>
      </c>
      <c r="D5855" s="1101" t="s">
        <v>1005</v>
      </c>
      <c r="E5855" s="1116" t="s">
        <v>1006</v>
      </c>
      <c r="F5855" s="1139" t="s">
        <v>1007</v>
      </c>
      <c r="G5855" s="1103" t="s">
        <v>2637</v>
      </c>
      <c r="H5855" s="1110" t="s">
        <v>2638</v>
      </c>
      <c r="J5855" s="1625"/>
      <c r="K5855" s="1625"/>
      <c r="L5855" s="1625"/>
      <c r="M5855" s="1626"/>
    </row>
    <row r="5856" spans="2:13" hidden="1">
      <c r="B5856" s="1657" t="s">
        <v>671</v>
      </c>
      <c r="C5856" s="1118" t="s">
        <v>672</v>
      </c>
      <c r="D5856" s="1331"/>
      <c r="E5856" s="1539"/>
      <c r="F5856" s="1532"/>
      <c r="G5856" s="1140"/>
      <c r="H5856" s="1106"/>
      <c r="M5856" s="1619"/>
    </row>
    <row r="5857" spans="2:13" hidden="1">
      <c r="B5857" s="1657"/>
      <c r="C5857" s="1118" t="s">
        <v>673</v>
      </c>
      <c r="D5857" s="1331" t="s">
        <v>674</v>
      </c>
      <c r="E5857" s="1539" t="s">
        <v>675</v>
      </c>
      <c r="F5857" s="1532">
        <v>0.15</v>
      </c>
      <c r="G5857" s="1152">
        <f>DUB!$I$10</f>
        <v>150000</v>
      </c>
      <c r="H5857" s="1106">
        <f>G5857*F5857</f>
        <v>22500</v>
      </c>
      <c r="M5857" s="1619"/>
    </row>
    <row r="5858" spans="2:13" hidden="1">
      <c r="B5858" s="1657"/>
      <c r="C5858" s="1118" t="s">
        <v>683</v>
      </c>
      <c r="D5858" s="1331" t="s">
        <v>684</v>
      </c>
      <c r="E5858" s="1539" t="s">
        <v>675</v>
      </c>
      <c r="F5858" s="1532">
        <v>8.0000000000000002E-3</v>
      </c>
      <c r="G5858" s="1152">
        <f>DUB!$I$12</f>
        <v>225000</v>
      </c>
      <c r="H5858" s="1106">
        <f>G5858*F5858</f>
        <v>1800</v>
      </c>
      <c r="M5858" s="1619"/>
    </row>
    <row r="5859" spans="2:13" hidden="1">
      <c r="B5859" s="1657"/>
      <c r="C5859" s="1118"/>
      <c r="D5859" s="1331"/>
      <c r="E5859" s="1539"/>
      <c r="F5859" s="2080" t="s">
        <v>685</v>
      </c>
      <c r="G5859" s="2081"/>
      <c r="H5859" s="1106">
        <f>SUM(H5857:H5858)</f>
        <v>24300</v>
      </c>
      <c r="M5859" s="1619"/>
    </row>
    <row r="5860" spans="2:13" hidden="1">
      <c r="B5860" s="1657" t="s">
        <v>686</v>
      </c>
      <c r="C5860" s="1118" t="s">
        <v>687</v>
      </c>
      <c r="D5860" s="1331"/>
      <c r="E5860" s="1539"/>
      <c r="F5860" s="1532"/>
      <c r="G5860" s="1152"/>
      <c r="H5860" s="1106"/>
      <c r="M5860" s="1619"/>
    </row>
    <row r="5861" spans="2:13" hidden="1">
      <c r="B5861" s="1657"/>
      <c r="C5861" s="1118" t="s">
        <v>1367</v>
      </c>
      <c r="D5861" s="1331"/>
      <c r="E5861" s="1539" t="s">
        <v>690</v>
      </c>
      <c r="F5861" s="1532">
        <v>0.05</v>
      </c>
      <c r="G5861" s="1152">
        <f>DUB!$I$328</f>
        <v>12852</v>
      </c>
      <c r="H5861" s="1106">
        <f>G5861*F5861</f>
        <v>642.6</v>
      </c>
      <c r="M5861" s="1619"/>
    </row>
    <row r="5862" spans="2:13" hidden="1">
      <c r="B5862" s="1658"/>
      <c r="C5862" s="1118"/>
      <c r="D5862" s="1331"/>
      <c r="E5862" s="1539"/>
      <c r="F5862" s="2080" t="s">
        <v>702</v>
      </c>
      <c r="G5862" s="2081"/>
      <c r="H5862" s="1106">
        <f>SUM(H5861)</f>
        <v>642.6</v>
      </c>
      <c r="M5862" s="1619"/>
    </row>
    <row r="5863" spans="2:13" s="496" customFormat="1" hidden="1">
      <c r="B5863" s="1657" t="s">
        <v>703</v>
      </c>
      <c r="C5863" s="1117" t="s">
        <v>3764</v>
      </c>
      <c r="D5863" s="1120"/>
      <c r="E5863" s="1120"/>
      <c r="F5863" s="1121"/>
      <c r="G5863" s="1160"/>
      <c r="H5863" s="1107">
        <f>H5859+H5862</f>
        <v>24942.6</v>
      </c>
      <c r="J5863" s="1559"/>
      <c r="K5863" s="1559"/>
      <c r="L5863" s="1559"/>
      <c r="M5863" s="1614"/>
    </row>
    <row r="5864" spans="2:13" s="496" customFormat="1" hidden="1">
      <c r="B5864" s="1657" t="s">
        <v>706</v>
      </c>
      <c r="C5864" s="1123" t="s">
        <v>876</v>
      </c>
      <c r="D5864" s="1124"/>
      <c r="E5864" s="1154"/>
      <c r="F5864" s="1545" t="s">
        <v>3873</v>
      </c>
      <c r="G5864" s="1160"/>
      <c r="H5864" s="1107">
        <f>H5863*0.15</f>
        <v>3741.3899999999994</v>
      </c>
      <c r="J5864" s="1559"/>
      <c r="K5864" s="1559"/>
      <c r="L5864" s="1559"/>
      <c r="M5864" s="1614"/>
    </row>
    <row r="5865" spans="2:13" s="496" customFormat="1" hidden="1">
      <c r="B5865" s="1657" t="s">
        <v>708</v>
      </c>
      <c r="C5865" s="1117" t="s">
        <v>3765</v>
      </c>
      <c r="D5865" s="1120"/>
      <c r="E5865" s="1120"/>
      <c r="F5865" s="1121"/>
      <c r="G5865" s="1160"/>
      <c r="H5865" s="1107">
        <f>ROUND(SUM(H5863:H5864),2)</f>
        <v>28683.99</v>
      </c>
      <c r="I5865" s="506">
        <f>SUM(H5863:H5864)</f>
        <v>28683.989999999998</v>
      </c>
      <c r="J5865" s="1561"/>
      <c r="K5865" s="1561"/>
      <c r="L5865" s="1559"/>
      <c r="M5865" s="1614"/>
    </row>
    <row r="5866" spans="2:13" hidden="1">
      <c r="B5866" s="1659"/>
      <c r="C5866" s="1144"/>
      <c r="D5866" s="1143"/>
      <c r="E5866" s="1143"/>
      <c r="F5866" s="1145"/>
      <c r="G5866" s="1146"/>
      <c r="H5866" s="1147"/>
      <c r="M5866" s="1619"/>
    </row>
    <row r="5867" spans="2:13" hidden="1">
      <c r="B5867" s="1613" t="s">
        <v>4173</v>
      </c>
      <c r="C5867" s="1112" t="s">
        <v>4458</v>
      </c>
      <c r="D5867" s="1129"/>
      <c r="E5867" s="1129"/>
      <c r="F5867" s="1131"/>
      <c r="G5867" s="1132"/>
      <c r="H5867" s="1115"/>
      <c r="M5867" s="1619"/>
    </row>
    <row r="5868" spans="2:13" s="507" customFormat="1" ht="24.9" hidden="1" customHeight="1">
      <c r="B5868" s="1648" t="s">
        <v>1003</v>
      </c>
      <c r="C5868" s="1116" t="s">
        <v>1004</v>
      </c>
      <c r="D5868" s="1116" t="s">
        <v>1005</v>
      </c>
      <c r="E5868" s="1116" t="s">
        <v>1006</v>
      </c>
      <c r="F5868" s="1139" t="s">
        <v>1007</v>
      </c>
      <c r="G5868" s="1103" t="s">
        <v>2637</v>
      </c>
      <c r="H5868" s="1110" t="s">
        <v>2638</v>
      </c>
      <c r="J5868" s="1625"/>
      <c r="K5868" s="1625"/>
      <c r="L5868" s="1625"/>
      <c r="M5868" s="1626"/>
    </row>
    <row r="5869" spans="2:13" hidden="1">
      <c r="B5869" s="1649" t="s">
        <v>671</v>
      </c>
      <c r="C5869" s="1118" t="s">
        <v>672</v>
      </c>
      <c r="D5869" s="1539"/>
      <c r="E5869" s="1539"/>
      <c r="F5869" s="1532"/>
      <c r="G5869" s="1136"/>
      <c r="H5869" s="1106"/>
      <c r="M5869" s="1619"/>
    </row>
    <row r="5870" spans="2:13" hidden="1">
      <c r="B5870" s="1649"/>
      <c r="C5870" s="1118" t="s">
        <v>673</v>
      </c>
      <c r="D5870" s="1539" t="s">
        <v>674</v>
      </c>
      <c r="E5870" s="1539" t="s">
        <v>675</v>
      </c>
      <c r="F5870" s="1532">
        <v>7.0000000000000007E-2</v>
      </c>
      <c r="G5870" s="1104">
        <f>DUB!$I$10</f>
        <v>150000</v>
      </c>
      <c r="H5870" s="1106">
        <f>G5870*F5870</f>
        <v>10500.000000000002</v>
      </c>
      <c r="M5870" s="1619"/>
    </row>
    <row r="5871" spans="2:13" hidden="1">
      <c r="B5871" s="1649"/>
      <c r="C5871" s="1118" t="s">
        <v>1368</v>
      </c>
      <c r="D5871" s="1539" t="s">
        <v>678</v>
      </c>
      <c r="E5871" s="1539" t="s">
        <v>675</v>
      </c>
      <c r="F5871" s="1532">
        <v>8.9999999999999993E-3</v>
      </c>
      <c r="G5871" s="1104">
        <f>DUB!$I$11</f>
        <v>187000</v>
      </c>
      <c r="H5871" s="1106">
        <f>G5871*F5871</f>
        <v>1682.9999999999998</v>
      </c>
      <c r="M5871" s="1619"/>
    </row>
    <row r="5872" spans="2:13" hidden="1">
      <c r="B5872" s="1649"/>
      <c r="C5872" s="1118" t="s">
        <v>751</v>
      </c>
      <c r="D5872" s="1539" t="s">
        <v>681</v>
      </c>
      <c r="E5872" s="1539" t="s">
        <v>675</v>
      </c>
      <c r="F5872" s="1532">
        <v>6.0000000000000001E-3</v>
      </c>
      <c r="G5872" s="1104">
        <f>DUB!$I$13</f>
        <v>240000</v>
      </c>
      <c r="H5872" s="1106">
        <f>G5872*F5872</f>
        <v>1440</v>
      </c>
      <c r="M5872" s="1619"/>
    </row>
    <row r="5873" spans="2:13" hidden="1">
      <c r="B5873" s="1649"/>
      <c r="C5873" s="1118" t="s">
        <v>683</v>
      </c>
      <c r="D5873" s="1182" t="s">
        <v>684</v>
      </c>
      <c r="E5873" s="1539" t="s">
        <v>675</v>
      </c>
      <c r="F5873" s="1532">
        <v>3.0000000000000001E-3</v>
      </c>
      <c r="G5873" s="1104">
        <f>DUB!$I$12</f>
        <v>225000</v>
      </c>
      <c r="H5873" s="1106">
        <f>G5873*F5873</f>
        <v>675</v>
      </c>
      <c r="M5873" s="1619"/>
    </row>
    <row r="5874" spans="2:13" hidden="1">
      <c r="B5874" s="1649"/>
      <c r="C5874" s="1118"/>
      <c r="D5874" s="1182"/>
      <c r="E5874" s="1539"/>
      <c r="F5874" s="2080" t="s">
        <v>685</v>
      </c>
      <c r="G5874" s="2081"/>
      <c r="H5874" s="1106">
        <f>SUM(H5870:H5873)</f>
        <v>14298.000000000002</v>
      </c>
      <c r="M5874" s="1619"/>
    </row>
    <row r="5875" spans="2:13" hidden="1">
      <c r="B5875" s="1649" t="s">
        <v>686</v>
      </c>
      <c r="C5875" s="1118" t="s">
        <v>687</v>
      </c>
      <c r="D5875" s="1182"/>
      <c r="E5875" s="1539"/>
      <c r="F5875" s="1532"/>
      <c r="G5875" s="1136"/>
      <c r="H5875" s="1106"/>
      <c r="M5875" s="1619"/>
    </row>
    <row r="5876" spans="2:13" hidden="1">
      <c r="B5876" s="1649"/>
      <c r="C5876" s="1118" t="s">
        <v>1369</v>
      </c>
      <c r="D5876" s="1182"/>
      <c r="E5876" s="1539" t="s">
        <v>690</v>
      </c>
      <c r="F5876" s="1532">
        <v>0.2</v>
      </c>
      <c r="G5876" s="1136">
        <f>DUB!$I$316</f>
        <v>39627</v>
      </c>
      <c r="H5876" s="1106">
        <f t="shared" ref="H5876:H5882" si="146">G5876*F5876</f>
        <v>7925.4000000000005</v>
      </c>
      <c r="M5876" s="1619"/>
    </row>
    <row r="5877" spans="2:13" hidden="1">
      <c r="B5877" s="1649"/>
      <c r="C5877" s="1118" t="s">
        <v>1370</v>
      </c>
      <c r="D5877" s="1182"/>
      <c r="E5877" s="1539" t="s">
        <v>690</v>
      </c>
      <c r="F5877" s="1532">
        <v>0.15</v>
      </c>
      <c r="G5877" s="1136">
        <f>DUB!$I$322</f>
        <v>55960</v>
      </c>
      <c r="H5877" s="1106">
        <f t="shared" si="146"/>
        <v>8394</v>
      </c>
      <c r="M5877" s="1619"/>
    </row>
    <row r="5878" spans="2:13" hidden="1">
      <c r="B5878" s="1649"/>
      <c r="C5878" s="1118" t="s">
        <v>1371</v>
      </c>
      <c r="D5878" s="1182"/>
      <c r="E5878" s="1539" t="s">
        <v>690</v>
      </c>
      <c r="F5878" s="1532">
        <v>0.17</v>
      </c>
      <c r="G5878" s="1136">
        <f>DUB!$I$317</f>
        <v>55203</v>
      </c>
      <c r="H5878" s="1106">
        <f t="shared" si="146"/>
        <v>9384.51</v>
      </c>
      <c r="M5878" s="1619"/>
    </row>
    <row r="5879" spans="2:13" hidden="1">
      <c r="B5879" s="1649"/>
      <c r="C5879" s="1118" t="s">
        <v>1372</v>
      </c>
      <c r="D5879" s="1182"/>
      <c r="E5879" s="1539" t="s">
        <v>690</v>
      </c>
      <c r="F5879" s="1532">
        <v>0.26</v>
      </c>
      <c r="G5879" s="1136">
        <f>DUB!$I$307</f>
        <v>74970</v>
      </c>
      <c r="H5879" s="1106">
        <f t="shared" si="146"/>
        <v>19492.2</v>
      </c>
      <c r="M5879" s="1619"/>
    </row>
    <row r="5880" spans="2:13" hidden="1">
      <c r="B5880" s="1649"/>
      <c r="C5880" s="1118" t="s">
        <v>1373</v>
      </c>
      <c r="D5880" s="1182"/>
      <c r="E5880" s="1539" t="s">
        <v>743</v>
      </c>
      <c r="F5880" s="1532">
        <v>0.01</v>
      </c>
      <c r="G5880" s="1136">
        <f>DUB!$I$465</f>
        <v>27600</v>
      </c>
      <c r="H5880" s="1106">
        <f t="shared" si="146"/>
        <v>276</v>
      </c>
      <c r="M5880" s="1619"/>
    </row>
    <row r="5881" spans="2:13" hidden="1">
      <c r="B5881" s="1649"/>
      <c r="C5881" s="1118" t="s">
        <v>1374</v>
      </c>
      <c r="D5881" s="1182"/>
      <c r="E5881" s="1539" t="s">
        <v>690</v>
      </c>
      <c r="F5881" s="1532">
        <v>0.03</v>
      </c>
      <c r="G5881" s="1136">
        <f>DUB!$I$327</f>
        <v>28721.7</v>
      </c>
      <c r="H5881" s="1106">
        <f t="shared" si="146"/>
        <v>861.65099999999995</v>
      </c>
      <c r="M5881" s="1619"/>
    </row>
    <row r="5882" spans="2:13" hidden="1">
      <c r="B5882" s="1650"/>
      <c r="C5882" s="1118" t="s">
        <v>1375</v>
      </c>
      <c r="D5882" s="1182"/>
      <c r="E5882" s="1539" t="s">
        <v>715</v>
      </c>
      <c r="F5882" s="1532">
        <v>0.2</v>
      </c>
      <c r="G5882" s="1136">
        <f>DUB!$I$464</f>
        <v>3744</v>
      </c>
      <c r="H5882" s="1106">
        <f t="shared" si="146"/>
        <v>748.80000000000007</v>
      </c>
      <c r="M5882" s="1619"/>
    </row>
    <row r="5883" spans="2:13" hidden="1">
      <c r="B5883" s="1650"/>
      <c r="C5883" s="1118"/>
      <c r="D5883" s="1182"/>
      <c r="E5883" s="1539"/>
      <c r="F5883" s="2080" t="s">
        <v>702</v>
      </c>
      <c r="G5883" s="2081"/>
      <c r="H5883" s="1106">
        <f>SUM(H5876:H5882)</f>
        <v>47082.561000000002</v>
      </c>
      <c r="M5883" s="1619"/>
    </row>
    <row r="5884" spans="2:13" s="496" customFormat="1" hidden="1">
      <c r="B5884" s="1649" t="s">
        <v>703</v>
      </c>
      <c r="C5884" s="1117" t="s">
        <v>3764</v>
      </c>
      <c r="D5884" s="1120"/>
      <c r="E5884" s="1120"/>
      <c r="F5884" s="1121"/>
      <c r="G5884" s="1141"/>
      <c r="H5884" s="1107">
        <f>H5874+H5883</f>
        <v>61380.561000000002</v>
      </c>
      <c r="J5884" s="1559"/>
      <c r="K5884" s="1559"/>
      <c r="L5884" s="1559"/>
      <c r="M5884" s="1614"/>
    </row>
    <row r="5885" spans="2:13" s="496" customFormat="1" hidden="1">
      <c r="B5885" s="1649" t="s">
        <v>706</v>
      </c>
      <c r="C5885" s="1123" t="s">
        <v>876</v>
      </c>
      <c r="D5885" s="1124"/>
      <c r="E5885" s="1154"/>
      <c r="F5885" s="1545" t="s">
        <v>3873</v>
      </c>
      <c r="G5885" s="1141"/>
      <c r="H5885" s="1107">
        <f>H5884*0.15</f>
        <v>9207.0841500000006</v>
      </c>
      <c r="J5885" s="1559"/>
      <c r="K5885" s="1559"/>
      <c r="L5885" s="1559"/>
      <c r="M5885" s="1614"/>
    </row>
    <row r="5886" spans="2:13" s="496" customFormat="1" hidden="1">
      <c r="B5886" s="1649" t="s">
        <v>708</v>
      </c>
      <c r="C5886" s="1117" t="s">
        <v>3765</v>
      </c>
      <c r="D5886" s="1120"/>
      <c r="E5886" s="1120"/>
      <c r="F5886" s="1121"/>
      <c r="G5886" s="1141"/>
      <c r="H5886" s="1107">
        <f>ROUND(SUM(H5884:H5885),2)</f>
        <v>70587.649999999994</v>
      </c>
      <c r="I5886" s="506">
        <f>SUM(H5884:H5885)</f>
        <v>70587.645149999997</v>
      </c>
      <c r="J5886" s="1561"/>
      <c r="K5886" s="1561"/>
      <c r="L5886" s="1559"/>
      <c r="M5886" s="1614"/>
    </row>
    <row r="5887" spans="2:13" hidden="1">
      <c r="B5887" s="1624"/>
      <c r="F5887" s="1172"/>
      <c r="G5887" s="1173"/>
      <c r="H5887" s="1133"/>
      <c r="M5887" s="1619"/>
    </row>
    <row r="5888" spans="2:13" hidden="1">
      <c r="B5888" s="1615" t="s">
        <v>4174</v>
      </c>
      <c r="C5888" s="1232" t="s">
        <v>4459</v>
      </c>
      <c r="F5888" s="1172"/>
      <c r="G5888" s="1173"/>
      <c r="H5888" s="1133"/>
      <c r="M5888" s="1619"/>
    </row>
    <row r="5889" spans="2:13" s="507" customFormat="1" ht="24.9" hidden="1" customHeight="1">
      <c r="B5889" s="1648" t="s">
        <v>1003</v>
      </c>
      <c r="C5889" s="1116" t="s">
        <v>1004</v>
      </c>
      <c r="D5889" s="1116" t="s">
        <v>1005</v>
      </c>
      <c r="E5889" s="1116" t="s">
        <v>1006</v>
      </c>
      <c r="F5889" s="1139" t="s">
        <v>1007</v>
      </c>
      <c r="G5889" s="1103" t="s">
        <v>2637</v>
      </c>
      <c r="H5889" s="1110" t="s">
        <v>2638</v>
      </c>
      <c r="J5889" s="1625"/>
      <c r="K5889" s="1625"/>
      <c r="L5889" s="1625"/>
      <c r="M5889" s="1626"/>
    </row>
    <row r="5890" spans="2:13" hidden="1">
      <c r="B5890" s="1649" t="s">
        <v>671</v>
      </c>
      <c r="C5890" s="1118" t="s">
        <v>672</v>
      </c>
      <c r="D5890" s="1539"/>
      <c r="E5890" s="1539"/>
      <c r="F5890" s="1532"/>
      <c r="G5890" s="1136"/>
      <c r="H5890" s="1106"/>
      <c r="M5890" s="1619"/>
    </row>
    <row r="5891" spans="2:13" hidden="1">
      <c r="B5891" s="1649"/>
      <c r="C5891" s="1118" t="s">
        <v>673</v>
      </c>
      <c r="D5891" s="1539" t="s">
        <v>674</v>
      </c>
      <c r="E5891" s="1539" t="s">
        <v>675</v>
      </c>
      <c r="F5891" s="1532">
        <v>7.0000000000000007E-2</v>
      </c>
      <c r="G5891" s="1104">
        <f>DUB!$I$10</f>
        <v>150000</v>
      </c>
      <c r="H5891" s="1106">
        <f>G5891*F5891</f>
        <v>10500.000000000002</v>
      </c>
      <c r="M5891" s="1619"/>
    </row>
    <row r="5892" spans="2:13" hidden="1">
      <c r="B5892" s="1649"/>
      <c r="C5892" s="1118" t="s">
        <v>1368</v>
      </c>
      <c r="D5892" s="1539" t="s">
        <v>678</v>
      </c>
      <c r="E5892" s="1539" t="s">
        <v>675</v>
      </c>
      <c r="F5892" s="1532">
        <v>0.105</v>
      </c>
      <c r="G5892" s="1104">
        <f>DUB!$I$11</f>
        <v>187000</v>
      </c>
      <c r="H5892" s="1106">
        <f>G5892*F5892</f>
        <v>19635</v>
      </c>
      <c r="M5892" s="1619"/>
    </row>
    <row r="5893" spans="2:13" hidden="1">
      <c r="B5893" s="1649"/>
      <c r="C5893" s="1118" t="s">
        <v>751</v>
      </c>
      <c r="D5893" s="1539" t="s">
        <v>681</v>
      </c>
      <c r="E5893" s="1539" t="s">
        <v>675</v>
      </c>
      <c r="F5893" s="1532">
        <v>4.0000000000000001E-3</v>
      </c>
      <c r="G5893" s="1104">
        <f>DUB!$I$13</f>
        <v>240000</v>
      </c>
      <c r="H5893" s="1106">
        <f>G5893*F5893</f>
        <v>960</v>
      </c>
      <c r="M5893" s="1619"/>
    </row>
    <row r="5894" spans="2:13" hidden="1">
      <c r="B5894" s="1649"/>
      <c r="C5894" s="1118" t="s">
        <v>683</v>
      </c>
      <c r="D5894" s="1539" t="s">
        <v>684</v>
      </c>
      <c r="E5894" s="1539" t="s">
        <v>675</v>
      </c>
      <c r="F5894" s="1532">
        <v>3.0000000000000001E-3</v>
      </c>
      <c r="G5894" s="1104">
        <f>DUB!$I$12</f>
        <v>225000</v>
      </c>
      <c r="H5894" s="1106">
        <f>G5894*F5894</f>
        <v>675</v>
      </c>
      <c r="M5894" s="1619"/>
    </row>
    <row r="5895" spans="2:13" hidden="1">
      <c r="B5895" s="1649"/>
      <c r="C5895" s="1118"/>
      <c r="D5895" s="1180"/>
      <c r="E5895" s="1539"/>
      <c r="F5895" s="2080" t="s">
        <v>685</v>
      </c>
      <c r="G5895" s="2081"/>
      <c r="H5895" s="1106">
        <f>SUM(H5891:H5894)</f>
        <v>31770</v>
      </c>
      <c r="M5895" s="1619"/>
    </row>
    <row r="5896" spans="2:13" hidden="1">
      <c r="B5896" s="1649" t="s">
        <v>686</v>
      </c>
      <c r="C5896" s="1118" t="s">
        <v>687</v>
      </c>
      <c r="D5896" s="1180"/>
      <c r="E5896" s="1539"/>
      <c r="F5896" s="1532"/>
      <c r="G5896" s="1136"/>
      <c r="H5896" s="1106"/>
      <c r="M5896" s="1619"/>
    </row>
    <row r="5897" spans="2:13" hidden="1">
      <c r="B5897" s="1650"/>
      <c r="C5897" s="1118" t="s">
        <v>1369</v>
      </c>
      <c r="D5897" s="1180"/>
      <c r="E5897" s="1539" t="s">
        <v>690</v>
      </c>
      <c r="F5897" s="1532">
        <v>0.2</v>
      </c>
      <c r="G5897" s="1136">
        <f>DUB!$I$316</f>
        <v>39627</v>
      </c>
      <c r="H5897" s="1106">
        <f t="shared" ref="H5897:H5903" si="147">G5897*F5897</f>
        <v>7925.4000000000005</v>
      </c>
      <c r="M5897" s="1619"/>
    </row>
    <row r="5898" spans="2:13" hidden="1">
      <c r="B5898" s="1650"/>
      <c r="C5898" s="1118" t="s">
        <v>1370</v>
      </c>
      <c r="D5898" s="1180"/>
      <c r="E5898" s="1539" t="s">
        <v>690</v>
      </c>
      <c r="F5898" s="1532">
        <v>0.15</v>
      </c>
      <c r="G5898" s="1136">
        <f>DUB!$I$322</f>
        <v>55960</v>
      </c>
      <c r="H5898" s="1106">
        <f t="shared" si="147"/>
        <v>8394</v>
      </c>
      <c r="M5898" s="1619"/>
    </row>
    <row r="5899" spans="2:13" hidden="1">
      <c r="B5899" s="1650"/>
      <c r="C5899" s="1118" t="s">
        <v>1371</v>
      </c>
      <c r="D5899" s="1180"/>
      <c r="E5899" s="1539" t="s">
        <v>690</v>
      </c>
      <c r="F5899" s="1532">
        <v>0.17</v>
      </c>
      <c r="G5899" s="1136">
        <f>DUB!$I$317</f>
        <v>55203</v>
      </c>
      <c r="H5899" s="1106">
        <f t="shared" si="147"/>
        <v>9384.51</v>
      </c>
      <c r="M5899" s="1619"/>
    </row>
    <row r="5900" spans="2:13" hidden="1">
      <c r="B5900" s="1650"/>
      <c r="C5900" s="1118" t="s">
        <v>1372</v>
      </c>
      <c r="D5900" s="1180"/>
      <c r="E5900" s="1539" t="s">
        <v>690</v>
      </c>
      <c r="F5900" s="1532">
        <v>0.35</v>
      </c>
      <c r="G5900" s="1136">
        <f>DUB!$I$307</f>
        <v>74970</v>
      </c>
      <c r="H5900" s="1106">
        <f t="shared" si="147"/>
        <v>26239.5</v>
      </c>
      <c r="M5900" s="1619"/>
    </row>
    <row r="5901" spans="2:13" hidden="1">
      <c r="B5901" s="1650"/>
      <c r="C5901" s="1118" t="s">
        <v>1373</v>
      </c>
      <c r="D5901" s="1180"/>
      <c r="E5901" s="1539" t="s">
        <v>743</v>
      </c>
      <c r="F5901" s="1532">
        <v>0.01</v>
      </c>
      <c r="G5901" s="1136">
        <f>DUB!$I$465</f>
        <v>27600</v>
      </c>
      <c r="H5901" s="1106">
        <f t="shared" si="147"/>
        <v>276</v>
      </c>
      <c r="M5901" s="1619"/>
    </row>
    <row r="5902" spans="2:13" hidden="1">
      <c r="B5902" s="1650"/>
      <c r="C5902" s="1118" t="s">
        <v>1374</v>
      </c>
      <c r="D5902" s="1180"/>
      <c r="E5902" s="1539" t="s">
        <v>690</v>
      </c>
      <c r="F5902" s="1532">
        <v>0.03</v>
      </c>
      <c r="G5902" s="1136">
        <f>DUB!$I$327</f>
        <v>28721.7</v>
      </c>
      <c r="H5902" s="1106">
        <f t="shared" si="147"/>
        <v>861.65099999999995</v>
      </c>
      <c r="M5902" s="1619"/>
    </row>
    <row r="5903" spans="2:13" hidden="1">
      <c r="B5903" s="1650"/>
      <c r="C5903" s="1118" t="s">
        <v>1375</v>
      </c>
      <c r="D5903" s="1180"/>
      <c r="E5903" s="1539" t="s">
        <v>715</v>
      </c>
      <c r="F5903" s="1532">
        <v>0.2</v>
      </c>
      <c r="G5903" s="1136">
        <f>DUB!$I$464</f>
        <v>3744</v>
      </c>
      <c r="H5903" s="1106">
        <f t="shared" si="147"/>
        <v>748.80000000000007</v>
      </c>
      <c r="M5903" s="1619"/>
    </row>
    <row r="5904" spans="2:13" hidden="1">
      <c r="B5904" s="1650"/>
      <c r="C5904" s="1118"/>
      <c r="D5904" s="1180"/>
      <c r="E5904" s="1539"/>
      <c r="F5904" s="2080" t="s">
        <v>702</v>
      </c>
      <c r="G5904" s="2081"/>
      <c r="H5904" s="1106">
        <f>SUM(H5897:H5903)</f>
        <v>53829.861000000004</v>
      </c>
      <c r="M5904" s="1619"/>
    </row>
    <row r="5905" spans="2:13" s="496" customFormat="1" hidden="1">
      <c r="B5905" s="1649" t="s">
        <v>703</v>
      </c>
      <c r="C5905" s="1117" t="s">
        <v>3764</v>
      </c>
      <c r="D5905" s="1185"/>
      <c r="E5905" s="1120"/>
      <c r="F5905" s="1121"/>
      <c r="G5905" s="1160"/>
      <c r="H5905" s="1107">
        <f>H5895+H5904</f>
        <v>85599.861000000004</v>
      </c>
      <c r="J5905" s="1559"/>
      <c r="K5905" s="1559"/>
      <c r="L5905" s="1559"/>
      <c r="M5905" s="1614"/>
    </row>
    <row r="5906" spans="2:13" s="496" customFormat="1" hidden="1">
      <c r="B5906" s="1649" t="s">
        <v>706</v>
      </c>
      <c r="C5906" s="1123" t="s">
        <v>876</v>
      </c>
      <c r="D5906" s="1124"/>
      <c r="E5906" s="1124"/>
      <c r="F5906" s="1545" t="s">
        <v>3873</v>
      </c>
      <c r="G5906" s="1160"/>
      <c r="H5906" s="1107">
        <f>H5905*0.15</f>
        <v>12839.979150000001</v>
      </c>
      <c r="J5906" s="1559"/>
      <c r="K5906" s="1559"/>
      <c r="L5906" s="1559"/>
      <c r="M5906" s="1614"/>
    </row>
    <row r="5907" spans="2:13" s="496" customFormat="1" hidden="1">
      <c r="B5907" s="1649" t="s">
        <v>708</v>
      </c>
      <c r="C5907" s="1117" t="s">
        <v>3765</v>
      </c>
      <c r="D5907" s="1120"/>
      <c r="E5907" s="1120"/>
      <c r="F5907" s="1121"/>
      <c r="G5907" s="1160"/>
      <c r="H5907" s="1107">
        <f>ROUND(SUM(H5905:H5906),2)</f>
        <v>98439.84</v>
      </c>
      <c r="I5907" s="506">
        <f>SUM(H5905:H5906)</f>
        <v>98439.840150000004</v>
      </c>
      <c r="J5907" s="1561"/>
      <c r="K5907" s="1561"/>
      <c r="L5907" s="1559"/>
      <c r="M5907" s="1614"/>
    </row>
    <row r="5908" spans="2:13" hidden="1">
      <c r="B5908" s="1659"/>
      <c r="C5908" s="1144"/>
      <c r="D5908" s="1143"/>
      <c r="E5908" s="1143"/>
      <c r="F5908" s="1145"/>
      <c r="G5908" s="1146"/>
      <c r="H5908" s="1147"/>
      <c r="M5908" s="1619"/>
    </row>
    <row r="5909" spans="2:13" hidden="1">
      <c r="B5909" s="1613" t="s">
        <v>4175</v>
      </c>
      <c r="C5909" s="1112" t="s">
        <v>2746</v>
      </c>
      <c r="D5909" s="1129"/>
      <c r="E5909" s="1129"/>
      <c r="F5909" s="1131"/>
      <c r="G5909" s="1132"/>
      <c r="H5909" s="1115"/>
      <c r="M5909" s="1619"/>
    </row>
    <row r="5910" spans="2:13" s="507" customFormat="1" ht="24.9" hidden="1" customHeight="1">
      <c r="B5910" s="1656" t="s">
        <v>1003</v>
      </c>
      <c r="C5910" s="1116" t="s">
        <v>1004</v>
      </c>
      <c r="D5910" s="1101" t="s">
        <v>1005</v>
      </c>
      <c r="E5910" s="1116" t="s">
        <v>1006</v>
      </c>
      <c r="F5910" s="1139" t="s">
        <v>1007</v>
      </c>
      <c r="G5910" s="1206" t="s">
        <v>2637</v>
      </c>
      <c r="H5910" s="1110" t="s">
        <v>2638</v>
      </c>
      <c r="J5910" s="1625"/>
      <c r="K5910" s="1625"/>
      <c r="L5910" s="1625"/>
      <c r="M5910" s="1626"/>
    </row>
    <row r="5911" spans="2:13" hidden="1">
      <c r="B5911" s="1657" t="s">
        <v>671</v>
      </c>
      <c r="C5911" s="1118" t="s">
        <v>672</v>
      </c>
      <c r="D5911" s="1331"/>
      <c r="E5911" s="1539"/>
      <c r="F5911" s="1532"/>
      <c r="G5911" s="1152"/>
      <c r="H5911" s="1153"/>
      <c r="M5911" s="1619"/>
    </row>
    <row r="5912" spans="2:13" hidden="1">
      <c r="B5912" s="1657"/>
      <c r="C5912" s="1118" t="s">
        <v>673</v>
      </c>
      <c r="D5912" s="1331" t="s">
        <v>674</v>
      </c>
      <c r="E5912" s="1539" t="s">
        <v>675</v>
      </c>
      <c r="F5912" s="1532">
        <v>0.04</v>
      </c>
      <c r="G5912" s="1104">
        <f>DUB!$I$10</f>
        <v>150000</v>
      </c>
      <c r="H5912" s="1106">
        <f>G5912*F5912</f>
        <v>6000</v>
      </c>
      <c r="M5912" s="1619"/>
    </row>
    <row r="5913" spans="2:13" hidden="1">
      <c r="B5913" s="1657"/>
      <c r="C5913" s="1118" t="s">
        <v>1368</v>
      </c>
      <c r="D5913" s="1331" t="s">
        <v>678</v>
      </c>
      <c r="E5913" s="1539" t="s">
        <v>675</v>
      </c>
      <c r="F5913" s="1532">
        <v>6.3E-2</v>
      </c>
      <c r="G5913" s="1104">
        <f>DUB!$I$11</f>
        <v>187000</v>
      </c>
      <c r="H5913" s="1106">
        <f>G5913*F5913</f>
        <v>11781</v>
      </c>
      <c r="M5913" s="1619"/>
    </row>
    <row r="5914" spans="2:13" hidden="1">
      <c r="B5914" s="1657"/>
      <c r="C5914" s="1118" t="s">
        <v>751</v>
      </c>
      <c r="D5914" s="1331" t="s">
        <v>681</v>
      </c>
      <c r="E5914" s="1539" t="s">
        <v>675</v>
      </c>
      <c r="F5914" s="1532">
        <v>6.3E-2</v>
      </c>
      <c r="G5914" s="1104">
        <f>DUB!$I$13</f>
        <v>240000</v>
      </c>
      <c r="H5914" s="1106">
        <f>G5914*F5914</f>
        <v>15120</v>
      </c>
      <c r="M5914" s="1619"/>
    </row>
    <row r="5915" spans="2:13" hidden="1">
      <c r="B5915" s="1657"/>
      <c r="C5915" s="1118" t="s">
        <v>683</v>
      </c>
      <c r="D5915" s="1331" t="s">
        <v>684</v>
      </c>
      <c r="E5915" s="1539" t="s">
        <v>675</v>
      </c>
      <c r="F5915" s="1532">
        <v>3.0000000000000001E-3</v>
      </c>
      <c r="G5915" s="1104">
        <f>DUB!$I$12</f>
        <v>225000</v>
      </c>
      <c r="H5915" s="1106">
        <f>G5915*F5915</f>
        <v>675</v>
      </c>
      <c r="M5915" s="1619"/>
    </row>
    <row r="5916" spans="2:13" hidden="1">
      <c r="B5916" s="1657"/>
      <c r="C5916" s="1118"/>
      <c r="D5916" s="1331"/>
      <c r="E5916" s="1539"/>
      <c r="F5916" s="2080" t="s">
        <v>685</v>
      </c>
      <c r="G5916" s="2081"/>
      <c r="H5916" s="1153">
        <f>SUM(H5912:H5915)</f>
        <v>33576</v>
      </c>
      <c r="M5916" s="1619"/>
    </row>
    <row r="5917" spans="2:13" hidden="1">
      <c r="B5917" s="1657" t="s">
        <v>686</v>
      </c>
      <c r="C5917" s="1118" t="s">
        <v>687</v>
      </c>
      <c r="D5917" s="1331"/>
      <c r="E5917" s="1539"/>
      <c r="F5917" s="1532"/>
      <c r="G5917" s="1152"/>
      <c r="H5917" s="1153"/>
      <c r="M5917" s="1619"/>
    </row>
    <row r="5918" spans="2:13" hidden="1">
      <c r="B5918" s="1657"/>
      <c r="C5918" s="1118" t="s">
        <v>1377</v>
      </c>
      <c r="D5918" s="1331"/>
      <c r="E5918" s="1539" t="s">
        <v>896</v>
      </c>
      <c r="F5918" s="1532">
        <v>0.36</v>
      </c>
      <c r="G5918" s="1152">
        <f>DUB!$I$329</f>
        <v>69615</v>
      </c>
      <c r="H5918" s="1153">
        <f>F5918*G5918</f>
        <v>25061.399999999998</v>
      </c>
      <c r="M5918" s="1619"/>
    </row>
    <row r="5919" spans="2:13" hidden="1">
      <c r="B5919" s="1658"/>
      <c r="C5919" s="1118"/>
      <c r="D5919" s="1331"/>
      <c r="E5919" s="1539"/>
      <c r="F5919" s="2080" t="s">
        <v>702</v>
      </c>
      <c r="G5919" s="2081"/>
      <c r="H5919" s="1153">
        <f>H5918</f>
        <v>25061.399999999998</v>
      </c>
      <c r="M5919" s="1619"/>
    </row>
    <row r="5920" spans="2:13" s="496" customFormat="1" hidden="1">
      <c r="B5920" s="1657" t="s">
        <v>703</v>
      </c>
      <c r="C5920" s="1117" t="s">
        <v>3764</v>
      </c>
      <c r="D5920" s="1120"/>
      <c r="E5920" s="1120"/>
      <c r="F5920" s="1121"/>
      <c r="G5920" s="1160"/>
      <c r="H5920" s="1149">
        <f>H5916+H5919</f>
        <v>58637.399999999994</v>
      </c>
      <c r="J5920" s="1559"/>
      <c r="K5920" s="1559"/>
      <c r="L5920" s="1559"/>
      <c r="M5920" s="1614"/>
    </row>
    <row r="5921" spans="2:13" s="496" customFormat="1" hidden="1">
      <c r="B5921" s="1657" t="s">
        <v>706</v>
      </c>
      <c r="C5921" s="1123" t="s">
        <v>876</v>
      </c>
      <c r="D5921" s="1124"/>
      <c r="E5921" s="1124"/>
      <c r="F5921" s="1545" t="s">
        <v>3873</v>
      </c>
      <c r="G5921" s="1160"/>
      <c r="H5921" s="1107">
        <f>H5920*0.15</f>
        <v>8795.6099999999988</v>
      </c>
      <c r="J5921" s="1559"/>
      <c r="K5921" s="1559"/>
      <c r="L5921" s="1559"/>
      <c r="M5921" s="1614"/>
    </row>
    <row r="5922" spans="2:13" s="496" customFormat="1" hidden="1">
      <c r="B5922" s="1657" t="s">
        <v>708</v>
      </c>
      <c r="C5922" s="1117" t="s">
        <v>3765</v>
      </c>
      <c r="D5922" s="1120"/>
      <c r="E5922" s="1120"/>
      <c r="F5922" s="1121"/>
      <c r="G5922" s="1160"/>
      <c r="H5922" s="1107">
        <f>ROUND(SUM(H5920:H5921),2)</f>
        <v>67433.009999999995</v>
      </c>
      <c r="I5922" s="518">
        <f>SUM(H5920:H5921)</f>
        <v>67433.009999999995</v>
      </c>
      <c r="J5922" s="1561"/>
      <c r="K5922" s="1561"/>
      <c r="L5922" s="1559"/>
      <c r="M5922" s="1614"/>
    </row>
    <row r="5923" spans="2:13" hidden="1">
      <c r="B5923" s="1624"/>
      <c r="F5923" s="1172"/>
      <c r="G5923" s="1173"/>
      <c r="H5923" s="1133"/>
      <c r="M5923" s="1619"/>
    </row>
    <row r="5924" spans="2:13" hidden="1">
      <c r="B5924" s="1613" t="s">
        <v>4176</v>
      </c>
      <c r="C5924" s="1232" t="s">
        <v>2745</v>
      </c>
      <c r="F5924" s="1172"/>
      <c r="G5924" s="1173"/>
      <c r="H5924" s="1133"/>
      <c r="M5924" s="1619"/>
    </row>
    <row r="5925" spans="2:13" s="507" customFormat="1" ht="24.9" hidden="1" customHeight="1">
      <c r="B5925" s="1648" t="s">
        <v>1003</v>
      </c>
      <c r="C5925" s="1101" t="s">
        <v>1004</v>
      </c>
      <c r="D5925" s="1101" t="s">
        <v>1005</v>
      </c>
      <c r="E5925" s="1101" t="s">
        <v>1006</v>
      </c>
      <c r="F5925" s="1102" t="s">
        <v>1007</v>
      </c>
      <c r="G5925" s="1109" t="s">
        <v>2637</v>
      </c>
      <c r="H5925" s="1110" t="s">
        <v>2638</v>
      </c>
      <c r="J5925" s="1625"/>
      <c r="K5925" s="1625"/>
      <c r="L5925" s="1625"/>
      <c r="M5925" s="1626"/>
    </row>
    <row r="5926" spans="2:13" hidden="1">
      <c r="B5926" s="1649" t="s">
        <v>671</v>
      </c>
      <c r="C5926" s="1332" t="s">
        <v>672</v>
      </c>
      <c r="D5926" s="1331"/>
      <c r="E5926" s="1331"/>
      <c r="F5926" s="1334"/>
      <c r="G5926" s="1104"/>
      <c r="H5926" s="1106"/>
      <c r="M5926" s="1619"/>
    </row>
    <row r="5927" spans="2:13" hidden="1">
      <c r="B5927" s="1649"/>
      <c r="C5927" s="1332" t="s">
        <v>673</v>
      </c>
      <c r="D5927" s="1331" t="s">
        <v>674</v>
      </c>
      <c r="E5927" s="1331" t="s">
        <v>675</v>
      </c>
      <c r="F5927" s="1334">
        <v>0.04</v>
      </c>
      <c r="G5927" s="1104">
        <f>DUB!$I$10</f>
        <v>150000</v>
      </c>
      <c r="H5927" s="1106">
        <f>G5927*F5927</f>
        <v>6000</v>
      </c>
      <c r="M5927" s="1619"/>
    </row>
    <row r="5928" spans="2:13" hidden="1">
      <c r="B5928" s="1649"/>
      <c r="C5928" s="1332" t="s">
        <v>1368</v>
      </c>
      <c r="D5928" s="1331" t="s">
        <v>678</v>
      </c>
      <c r="E5928" s="1331" t="s">
        <v>675</v>
      </c>
      <c r="F5928" s="1334">
        <v>0.06</v>
      </c>
      <c r="G5928" s="1104">
        <f>DUB!$I$11</f>
        <v>187000</v>
      </c>
      <c r="H5928" s="1106">
        <f>G5928*F5928</f>
        <v>11220</v>
      </c>
      <c r="M5928" s="1619"/>
    </row>
    <row r="5929" spans="2:13" hidden="1">
      <c r="B5929" s="1649"/>
      <c r="C5929" s="1332" t="s">
        <v>751</v>
      </c>
      <c r="D5929" s="1331" t="s">
        <v>681</v>
      </c>
      <c r="E5929" s="1331" t="s">
        <v>675</v>
      </c>
      <c r="F5929" s="1334">
        <v>1.6E-2</v>
      </c>
      <c r="G5929" s="1104">
        <f>DUB!$I$13</f>
        <v>240000</v>
      </c>
      <c r="H5929" s="1106">
        <f>G5929*F5929</f>
        <v>3840</v>
      </c>
      <c r="M5929" s="1619"/>
    </row>
    <row r="5930" spans="2:13" hidden="1">
      <c r="B5930" s="1649"/>
      <c r="C5930" s="1332" t="s">
        <v>683</v>
      </c>
      <c r="D5930" s="1331" t="s">
        <v>684</v>
      </c>
      <c r="E5930" s="1331" t="s">
        <v>675</v>
      </c>
      <c r="F5930" s="1334">
        <v>3.0000000000000001E-3</v>
      </c>
      <c r="G5930" s="1104">
        <f>DUB!$I$12</f>
        <v>225000</v>
      </c>
      <c r="H5930" s="1106">
        <f>G5930*F5930</f>
        <v>675</v>
      </c>
      <c r="M5930" s="1619"/>
    </row>
    <row r="5931" spans="2:13" hidden="1">
      <c r="B5931" s="1649"/>
      <c r="C5931" s="1332"/>
      <c r="D5931" s="1331"/>
      <c r="E5931" s="1331"/>
      <c r="F5931" s="2074" t="s">
        <v>685</v>
      </c>
      <c r="G5931" s="2074"/>
      <c r="H5931" s="1106">
        <f>SUM(H5927:H5930)</f>
        <v>21735</v>
      </c>
      <c r="M5931" s="1619"/>
    </row>
    <row r="5932" spans="2:13" hidden="1">
      <c r="B5932" s="1649" t="s">
        <v>686</v>
      </c>
      <c r="C5932" s="1332" t="s">
        <v>687</v>
      </c>
      <c r="D5932" s="1331"/>
      <c r="E5932" s="1331"/>
      <c r="F5932" s="1334"/>
      <c r="G5932" s="1104"/>
      <c r="H5932" s="1106"/>
      <c r="M5932" s="1619"/>
    </row>
    <row r="5933" spans="2:13" hidden="1">
      <c r="B5933" s="1649"/>
      <c r="C5933" s="1332" t="s">
        <v>1378</v>
      </c>
      <c r="D5933" s="1331"/>
      <c r="E5933" s="1331" t="s">
        <v>896</v>
      </c>
      <c r="F5933" s="1334">
        <v>0.15</v>
      </c>
      <c r="G5933" s="1104">
        <f>DUB!$I$318</f>
        <v>54621</v>
      </c>
      <c r="H5933" s="1106">
        <f>G5933*F5933</f>
        <v>8193.15</v>
      </c>
      <c r="M5933" s="1619"/>
    </row>
    <row r="5934" spans="2:13" hidden="1">
      <c r="B5934" s="1649"/>
      <c r="C5934" s="1332" t="s">
        <v>1379</v>
      </c>
      <c r="D5934" s="1331"/>
      <c r="E5934" s="1331" t="s">
        <v>896</v>
      </c>
      <c r="F5934" s="1334">
        <v>0.372</v>
      </c>
      <c r="G5934" s="1104">
        <f>DUB!$I$319</f>
        <v>54621</v>
      </c>
      <c r="H5934" s="1106">
        <f>G5934*F5934</f>
        <v>20319.011999999999</v>
      </c>
      <c r="M5934" s="1619"/>
    </row>
    <row r="5935" spans="2:13" hidden="1">
      <c r="B5935" s="1649"/>
      <c r="C5935" s="1332" t="s">
        <v>1375</v>
      </c>
      <c r="D5935" s="1331"/>
      <c r="E5935" s="1331" t="s">
        <v>715</v>
      </c>
      <c r="F5935" s="1334">
        <v>2</v>
      </c>
      <c r="G5935" s="1136">
        <f>DUB!$I$464</f>
        <v>3744</v>
      </c>
      <c r="H5935" s="1106">
        <f>G5935*F5935</f>
        <v>7488</v>
      </c>
      <c r="M5935" s="1619"/>
    </row>
    <row r="5936" spans="2:13" hidden="1">
      <c r="B5936" s="1649"/>
      <c r="C5936" s="1332"/>
      <c r="D5936" s="1331"/>
      <c r="E5936" s="1331"/>
      <c r="F5936" s="2090" t="s">
        <v>702</v>
      </c>
      <c r="G5936" s="2090"/>
      <c r="H5936" s="1106">
        <f>SUM(H5933:H5935)</f>
        <v>36000.161999999997</v>
      </c>
      <c r="M5936" s="1619"/>
    </row>
    <row r="5937" spans="2:13" s="496" customFormat="1" hidden="1">
      <c r="B5937" s="1649" t="s">
        <v>703</v>
      </c>
      <c r="C5937" s="2089" t="s">
        <v>3764</v>
      </c>
      <c r="D5937" s="2089"/>
      <c r="E5937" s="2089"/>
      <c r="F5937" s="2089"/>
      <c r="G5937" s="2089"/>
      <c r="H5937" s="1107">
        <f>H5931+H5936</f>
        <v>57735.161999999997</v>
      </c>
      <c r="J5937" s="1559"/>
      <c r="K5937" s="1559"/>
      <c r="L5937" s="1559"/>
      <c r="M5937" s="1614"/>
    </row>
    <row r="5938" spans="2:13" s="496" customFormat="1" hidden="1">
      <c r="B5938" s="1649" t="s">
        <v>706</v>
      </c>
      <c r="C5938" s="2076" t="s">
        <v>876</v>
      </c>
      <c r="D5938" s="2076"/>
      <c r="E5938" s="2076"/>
      <c r="F5938" s="2077" t="s">
        <v>3873</v>
      </c>
      <c r="G5938" s="2077"/>
      <c r="H5938" s="1107">
        <f>H5937*0.15</f>
        <v>8660.2742999999991</v>
      </c>
      <c r="J5938" s="1559"/>
      <c r="K5938" s="1559"/>
      <c r="L5938" s="1559"/>
      <c r="M5938" s="1614"/>
    </row>
    <row r="5939" spans="2:13" s="496" customFormat="1" hidden="1">
      <c r="B5939" s="1649" t="s">
        <v>708</v>
      </c>
      <c r="C5939" s="2078" t="s">
        <v>3765</v>
      </c>
      <c r="D5939" s="2078"/>
      <c r="E5939" s="2078"/>
      <c r="F5939" s="2078"/>
      <c r="G5939" s="2078"/>
      <c r="H5939" s="1107">
        <f>ROUND(SUM(H5937:H5938),2)</f>
        <v>66395.44</v>
      </c>
      <c r="I5939" s="506">
        <f>SUM(H5937:H5938)</f>
        <v>66395.436300000001</v>
      </c>
      <c r="J5939" s="1561"/>
      <c r="K5939" s="1561"/>
      <c r="L5939" s="1559"/>
      <c r="M5939" s="1614"/>
    </row>
    <row r="5940" spans="2:13" hidden="1">
      <c r="B5940" s="1659"/>
      <c r="C5940" s="1144"/>
      <c r="D5940" s="1143"/>
      <c r="E5940" s="1143"/>
      <c r="F5940" s="1145"/>
      <c r="G5940" s="1146"/>
      <c r="H5940" s="1147"/>
      <c r="M5940" s="1619"/>
    </row>
    <row r="5941" spans="2:13" hidden="1">
      <c r="B5941" s="1613" t="s">
        <v>4177</v>
      </c>
      <c r="C5941" s="1112" t="s">
        <v>2744</v>
      </c>
      <c r="D5941" s="1129"/>
      <c r="E5941" s="1129"/>
      <c r="F5941" s="1131"/>
      <c r="G5941" s="1132"/>
      <c r="H5941" s="1115"/>
      <c r="M5941" s="1619"/>
    </row>
    <row r="5942" spans="2:13" s="507" customFormat="1" ht="24.9" hidden="1" customHeight="1">
      <c r="B5942" s="1648" t="s">
        <v>1003</v>
      </c>
      <c r="C5942" s="1101" t="s">
        <v>1004</v>
      </c>
      <c r="D5942" s="1101" t="s">
        <v>1005</v>
      </c>
      <c r="E5942" s="1101" t="s">
        <v>1006</v>
      </c>
      <c r="F5942" s="1102" t="s">
        <v>1007</v>
      </c>
      <c r="G5942" s="1109" t="s">
        <v>2637</v>
      </c>
      <c r="H5942" s="1110" t="s">
        <v>2638</v>
      </c>
      <c r="J5942" s="1625"/>
      <c r="K5942" s="1625"/>
      <c r="L5942" s="1625"/>
      <c r="M5942" s="1626"/>
    </row>
    <row r="5943" spans="2:13" hidden="1">
      <c r="B5943" s="1649" t="s">
        <v>671</v>
      </c>
      <c r="C5943" s="1332" t="s">
        <v>672</v>
      </c>
      <c r="D5943" s="1331"/>
      <c r="E5943" s="1331"/>
      <c r="F5943" s="1334"/>
      <c r="G5943" s="1104"/>
      <c r="H5943" s="1106"/>
      <c r="M5943" s="1619"/>
    </row>
    <row r="5944" spans="2:13" hidden="1">
      <c r="B5944" s="1649"/>
      <c r="C5944" s="1332" t="s">
        <v>673</v>
      </c>
      <c r="D5944" s="1331" t="s">
        <v>674</v>
      </c>
      <c r="E5944" s="1331" t="s">
        <v>675</v>
      </c>
      <c r="F5944" s="1334">
        <v>0.1</v>
      </c>
      <c r="G5944" s="1104">
        <f>DUB!$I$10</f>
        <v>150000</v>
      </c>
      <c r="H5944" s="1106">
        <f>G5944*F5944</f>
        <v>15000</v>
      </c>
      <c r="M5944" s="1619"/>
    </row>
    <row r="5945" spans="2:13" hidden="1">
      <c r="B5945" s="1649"/>
      <c r="C5945" s="1332" t="s">
        <v>683</v>
      </c>
      <c r="D5945" s="1331" t="s">
        <v>684</v>
      </c>
      <c r="E5945" s="1331" t="s">
        <v>675</v>
      </c>
      <c r="F5945" s="1334">
        <v>6.0000000000000001E-3</v>
      </c>
      <c r="G5945" s="1104">
        <f>DUB!$I$12</f>
        <v>225000</v>
      </c>
      <c r="H5945" s="1106">
        <f>G5945*F5945</f>
        <v>1350</v>
      </c>
      <c r="M5945" s="1619"/>
    </row>
    <row r="5946" spans="2:13" hidden="1">
      <c r="B5946" s="1649"/>
      <c r="C5946" s="1332"/>
      <c r="D5946" s="1331"/>
      <c r="E5946" s="1331"/>
      <c r="F5946" s="2074" t="s">
        <v>685</v>
      </c>
      <c r="G5946" s="2074"/>
      <c r="H5946" s="1106">
        <f>SUM(H5944:H5945)</f>
        <v>16350</v>
      </c>
      <c r="M5946" s="1619"/>
    </row>
    <row r="5947" spans="2:13" hidden="1">
      <c r="B5947" s="1649" t="s">
        <v>686</v>
      </c>
      <c r="C5947" s="1332" t="s">
        <v>687</v>
      </c>
      <c r="D5947" s="1331"/>
      <c r="E5947" s="1331"/>
      <c r="F5947" s="1334"/>
      <c r="G5947" s="1104"/>
      <c r="H5947" s="1106"/>
      <c r="M5947" s="1619"/>
    </row>
    <row r="5948" spans="2:13" hidden="1">
      <c r="B5948" s="1649"/>
      <c r="C5948" s="1332" t="s">
        <v>1381</v>
      </c>
      <c r="D5948" s="1331"/>
      <c r="E5948" s="1331" t="s">
        <v>896</v>
      </c>
      <c r="F5948" s="1334">
        <v>0.35</v>
      </c>
      <c r="G5948" s="1104">
        <f>DUB!$I$325</f>
        <v>8991</v>
      </c>
      <c r="H5948" s="1106">
        <f>G5948*F5948</f>
        <v>3146.85</v>
      </c>
      <c r="M5948" s="1619"/>
    </row>
    <row r="5949" spans="2:13" hidden="1">
      <c r="B5949" s="1650"/>
      <c r="C5949" s="1125"/>
      <c r="D5949" s="1333"/>
      <c r="E5949" s="1333"/>
      <c r="F5949" s="2074" t="s">
        <v>702</v>
      </c>
      <c r="G5949" s="2074"/>
      <c r="H5949" s="1106">
        <f>SUM(H5948)</f>
        <v>3146.85</v>
      </c>
      <c r="M5949" s="1619"/>
    </row>
    <row r="5950" spans="2:13" s="496" customFormat="1" hidden="1">
      <c r="B5950" s="1649" t="s">
        <v>703</v>
      </c>
      <c r="C5950" s="2075" t="s">
        <v>3764</v>
      </c>
      <c r="D5950" s="2075"/>
      <c r="E5950" s="2075"/>
      <c r="F5950" s="2075"/>
      <c r="G5950" s="2075"/>
      <c r="H5950" s="1107">
        <f>H5946+H5949</f>
        <v>19496.849999999999</v>
      </c>
      <c r="J5950" s="1559"/>
      <c r="K5950" s="1559"/>
      <c r="L5950" s="1559"/>
      <c r="M5950" s="1614"/>
    </row>
    <row r="5951" spans="2:13" s="496" customFormat="1" hidden="1">
      <c r="B5951" s="1649" t="s">
        <v>706</v>
      </c>
      <c r="C5951" s="2076" t="s">
        <v>876</v>
      </c>
      <c r="D5951" s="2076"/>
      <c r="E5951" s="2076"/>
      <c r="F5951" s="2077" t="s">
        <v>3873</v>
      </c>
      <c r="G5951" s="2077"/>
      <c r="H5951" s="1107">
        <f>H5950*0.15</f>
        <v>2924.5274999999997</v>
      </c>
      <c r="J5951" s="1559"/>
      <c r="K5951" s="1559"/>
      <c r="L5951" s="1559"/>
      <c r="M5951" s="1614"/>
    </row>
    <row r="5952" spans="2:13" s="496" customFormat="1" hidden="1">
      <c r="B5952" s="1649" t="s">
        <v>708</v>
      </c>
      <c r="C5952" s="2078" t="s">
        <v>3765</v>
      </c>
      <c r="D5952" s="2078"/>
      <c r="E5952" s="2078"/>
      <c r="F5952" s="2078"/>
      <c r="G5952" s="2078"/>
      <c r="H5952" s="1107">
        <f>ROUND(SUM(H5950:H5951),2)</f>
        <v>22421.38</v>
      </c>
      <c r="I5952" s="506">
        <f>SUM(H5950:H5951)</f>
        <v>22421.377499999999</v>
      </c>
      <c r="J5952" s="1561"/>
      <c r="K5952" s="1561"/>
      <c r="L5952" s="1559"/>
      <c r="M5952" s="1614"/>
    </row>
    <row r="5953" spans="2:13" hidden="1">
      <c r="B5953" s="1624"/>
      <c r="F5953" s="1172"/>
      <c r="G5953" s="1173"/>
      <c r="H5953" s="1133"/>
      <c r="M5953" s="1619"/>
    </row>
    <row r="5954" spans="2:13" hidden="1">
      <c r="B5954" s="1613" t="s">
        <v>4178</v>
      </c>
      <c r="C5954" s="1232" t="s">
        <v>2743</v>
      </c>
      <c r="F5954" s="1172"/>
      <c r="G5954" s="1173"/>
      <c r="H5954" s="1133"/>
      <c r="M5954" s="1619"/>
    </row>
    <row r="5955" spans="2:13" s="507" customFormat="1" ht="24.9" hidden="1" customHeight="1">
      <c r="B5955" s="1648" t="s">
        <v>1003</v>
      </c>
      <c r="C5955" s="1101" t="s">
        <v>1004</v>
      </c>
      <c r="D5955" s="1101" t="s">
        <v>1005</v>
      </c>
      <c r="E5955" s="1101" t="s">
        <v>1006</v>
      </c>
      <c r="F5955" s="1102" t="s">
        <v>1007</v>
      </c>
      <c r="G5955" s="1109" t="s">
        <v>2637</v>
      </c>
      <c r="H5955" s="1110" t="s">
        <v>2638</v>
      </c>
      <c r="J5955" s="1625"/>
      <c r="K5955" s="1625"/>
      <c r="L5955" s="1625"/>
      <c r="M5955" s="1626"/>
    </row>
    <row r="5956" spans="2:13" hidden="1">
      <c r="B5956" s="1649" t="s">
        <v>671</v>
      </c>
      <c r="C5956" s="1332" t="s">
        <v>672</v>
      </c>
      <c r="D5956" s="1331"/>
      <c r="E5956" s="1331"/>
      <c r="F5956" s="1334"/>
      <c r="G5956" s="1104"/>
      <c r="H5956" s="1106"/>
      <c r="M5956" s="1619"/>
    </row>
    <row r="5957" spans="2:13" hidden="1">
      <c r="B5957" s="1649"/>
      <c r="C5957" s="1332" t="s">
        <v>673</v>
      </c>
      <c r="D5957" s="1331" t="s">
        <v>674</v>
      </c>
      <c r="E5957" s="1331" t="s">
        <v>675</v>
      </c>
      <c r="F5957" s="1334">
        <v>0.16</v>
      </c>
      <c r="G5957" s="1104">
        <f>DUB!$I$10</f>
        <v>150000</v>
      </c>
      <c r="H5957" s="1106">
        <f>G5957*F5957</f>
        <v>24000</v>
      </c>
      <c r="M5957" s="1619"/>
    </row>
    <row r="5958" spans="2:13" hidden="1">
      <c r="B5958" s="1649"/>
      <c r="C5958" s="1332" t="s">
        <v>1368</v>
      </c>
      <c r="D5958" s="1331" t="s">
        <v>678</v>
      </c>
      <c r="E5958" s="1331" t="s">
        <v>675</v>
      </c>
      <c r="F5958" s="1334">
        <v>0.16</v>
      </c>
      <c r="G5958" s="1104">
        <f>DUB!$I$11</f>
        <v>187000</v>
      </c>
      <c r="H5958" s="1106">
        <f>G5958*F5958</f>
        <v>29920</v>
      </c>
      <c r="M5958" s="1619"/>
    </row>
    <row r="5959" spans="2:13" hidden="1">
      <c r="B5959" s="1649"/>
      <c r="C5959" s="1332" t="s">
        <v>751</v>
      </c>
      <c r="D5959" s="1331" t="s">
        <v>681</v>
      </c>
      <c r="E5959" s="1331" t="s">
        <v>675</v>
      </c>
      <c r="F5959" s="1334">
        <v>1.6E-2</v>
      </c>
      <c r="G5959" s="1104">
        <f>DUB!$I$13</f>
        <v>240000</v>
      </c>
      <c r="H5959" s="1106">
        <f>G5959*F5959</f>
        <v>3840</v>
      </c>
      <c r="M5959" s="1619"/>
    </row>
    <row r="5960" spans="2:13" hidden="1">
      <c r="B5960" s="1649"/>
      <c r="C5960" s="1332" t="s">
        <v>683</v>
      </c>
      <c r="D5960" s="1331" t="s">
        <v>684</v>
      </c>
      <c r="E5960" s="1331" t="s">
        <v>675</v>
      </c>
      <c r="F5960" s="1334">
        <v>3.0000000000000001E-3</v>
      </c>
      <c r="G5960" s="1104">
        <f>DUB!$I$12</f>
        <v>225000</v>
      </c>
      <c r="H5960" s="1106">
        <f>G5960*F5960</f>
        <v>675</v>
      </c>
      <c r="M5960" s="1619"/>
    </row>
    <row r="5961" spans="2:13" hidden="1">
      <c r="B5961" s="1649"/>
      <c r="C5961" s="1332"/>
      <c r="D5961" s="1331"/>
      <c r="E5961" s="1331"/>
      <c r="F5961" s="2074" t="s">
        <v>685</v>
      </c>
      <c r="G5961" s="2074"/>
      <c r="H5961" s="1106">
        <f>SUM(H5957:H5960)</f>
        <v>58435</v>
      </c>
      <c r="M5961" s="1619"/>
    </row>
    <row r="5962" spans="2:13" hidden="1">
      <c r="B5962" s="1649" t="s">
        <v>686</v>
      </c>
      <c r="C5962" s="1332" t="s">
        <v>687</v>
      </c>
      <c r="D5962" s="1331"/>
      <c r="E5962" s="1331"/>
      <c r="F5962" s="1334"/>
      <c r="G5962" s="1104"/>
      <c r="H5962" s="1106"/>
      <c r="M5962" s="1619"/>
    </row>
    <row r="5963" spans="2:13" hidden="1">
      <c r="B5963" s="1650"/>
      <c r="C5963" s="1332" t="s">
        <v>1383</v>
      </c>
      <c r="D5963" s="1331"/>
      <c r="E5963" s="1331" t="s">
        <v>896</v>
      </c>
      <c r="F5963" s="1334">
        <v>0.15</v>
      </c>
      <c r="G5963" s="1104">
        <f>DUB!$I$313</f>
        <v>65331</v>
      </c>
      <c r="H5963" s="1106">
        <f>G5963*F5963</f>
        <v>9799.65</v>
      </c>
      <c r="M5963" s="1619"/>
    </row>
    <row r="5964" spans="2:13" hidden="1">
      <c r="B5964" s="1650"/>
      <c r="C5964" s="1332" t="s">
        <v>1384</v>
      </c>
      <c r="D5964" s="1331"/>
      <c r="E5964" s="1331" t="s">
        <v>690</v>
      </c>
      <c r="F5964" s="1334">
        <v>0.05</v>
      </c>
      <c r="G5964" s="1104">
        <f>DUB!$I$320</f>
        <v>17667</v>
      </c>
      <c r="H5964" s="1106">
        <f>G5964*F5964</f>
        <v>883.35</v>
      </c>
      <c r="M5964" s="1619"/>
    </row>
    <row r="5965" spans="2:13" hidden="1">
      <c r="B5965" s="1650"/>
      <c r="C5965" s="1332" t="s">
        <v>1375</v>
      </c>
      <c r="D5965" s="1331"/>
      <c r="E5965" s="1331" t="s">
        <v>715</v>
      </c>
      <c r="F5965" s="1334">
        <v>0.1</v>
      </c>
      <c r="G5965" s="1136">
        <f>DUB!$I$464</f>
        <v>3744</v>
      </c>
      <c r="H5965" s="1106">
        <f>G5965*F5965</f>
        <v>374.40000000000003</v>
      </c>
      <c r="M5965" s="1619"/>
    </row>
    <row r="5966" spans="2:13" hidden="1">
      <c r="B5966" s="1650"/>
      <c r="C5966" s="1125"/>
      <c r="D5966" s="1333"/>
      <c r="E5966" s="1333"/>
      <c r="F5966" s="2074" t="s">
        <v>702</v>
      </c>
      <c r="G5966" s="2074"/>
      <c r="H5966" s="1106">
        <f>SUM(H5963:H5965)</f>
        <v>11057.4</v>
      </c>
      <c r="M5966" s="1619"/>
    </row>
    <row r="5967" spans="2:13" s="496" customFormat="1" hidden="1">
      <c r="B5967" s="1649" t="s">
        <v>703</v>
      </c>
      <c r="C5967" s="2075" t="s">
        <v>3764</v>
      </c>
      <c r="D5967" s="2075"/>
      <c r="E5967" s="2075"/>
      <c r="F5967" s="2075"/>
      <c r="G5967" s="2075"/>
      <c r="H5967" s="1107">
        <f>H5961+H5966</f>
        <v>69492.399999999994</v>
      </c>
      <c r="J5967" s="1559"/>
      <c r="K5967" s="1559"/>
      <c r="L5967" s="1559"/>
      <c r="M5967" s="1614"/>
    </row>
    <row r="5968" spans="2:13" s="496" customFormat="1" hidden="1">
      <c r="B5968" s="1649" t="s">
        <v>706</v>
      </c>
      <c r="C5968" s="2076" t="s">
        <v>876</v>
      </c>
      <c r="D5968" s="2076"/>
      <c r="E5968" s="2076"/>
      <c r="F5968" s="2077" t="s">
        <v>3873</v>
      </c>
      <c r="G5968" s="2077"/>
      <c r="H5968" s="1107">
        <f>H5967*0.15</f>
        <v>10423.859999999999</v>
      </c>
      <c r="J5968" s="1559"/>
      <c r="K5968" s="1559"/>
      <c r="L5968" s="1559"/>
      <c r="M5968" s="1614"/>
    </row>
    <row r="5969" spans="2:13" s="496" customFormat="1" hidden="1">
      <c r="B5969" s="1649" t="s">
        <v>708</v>
      </c>
      <c r="C5969" s="2078" t="s">
        <v>3765</v>
      </c>
      <c r="D5969" s="2078"/>
      <c r="E5969" s="2078"/>
      <c r="F5969" s="2078"/>
      <c r="G5969" s="2078"/>
      <c r="H5969" s="1107">
        <f>ROUND(SUM(H5967:H5968),2)</f>
        <v>79916.259999999995</v>
      </c>
      <c r="I5969" s="506">
        <f>SUM(H5967:H5968)</f>
        <v>79916.259999999995</v>
      </c>
      <c r="J5969" s="1561"/>
      <c r="K5969" s="1561"/>
      <c r="L5969" s="1559"/>
      <c r="M5969" s="1614"/>
    </row>
    <row r="5970" spans="2:13" hidden="1">
      <c r="B5970" s="1623"/>
      <c r="C5970" s="1130"/>
      <c r="D5970" s="1129"/>
      <c r="E5970" s="1130"/>
      <c r="F5970" s="1131"/>
      <c r="G5970" s="1132"/>
      <c r="H5970" s="1133"/>
      <c r="I5970" s="526"/>
      <c r="J5970" s="1562"/>
      <c r="K5970" s="1562"/>
      <c r="M5970" s="1619"/>
    </row>
    <row r="5971" spans="2:13">
      <c r="B5971" s="1751"/>
      <c r="C5971" s="1752"/>
      <c r="D5971" s="1751"/>
      <c r="E5971" s="1752"/>
      <c r="F5971" s="1753"/>
      <c r="G5971" s="1754"/>
      <c r="H5971" s="1745"/>
      <c r="I5971" s="1788"/>
      <c r="J5971" s="1789"/>
      <c r="K5971" s="1789"/>
      <c r="L5971" s="1641"/>
      <c r="M5971" s="1747"/>
    </row>
    <row r="5972" spans="2:13">
      <c r="B5972" s="1100" t="s">
        <v>4179</v>
      </c>
      <c r="C5972" s="1232" t="s">
        <v>5234</v>
      </c>
      <c r="F5972" s="1172"/>
      <c r="G5972" s="1173"/>
      <c r="H5972" s="1133"/>
      <c r="M5972" s="1566"/>
    </row>
    <row r="5973" spans="2:13" s="507" customFormat="1" ht="24.9" customHeight="1">
      <c r="B5973" s="1101" t="s">
        <v>1003</v>
      </c>
      <c r="C5973" s="1101" t="s">
        <v>1004</v>
      </c>
      <c r="D5973" s="1101" t="s">
        <v>1005</v>
      </c>
      <c r="E5973" s="1101" t="s">
        <v>1006</v>
      </c>
      <c r="F5973" s="1102" t="s">
        <v>1007</v>
      </c>
      <c r="G5973" s="1109" t="s">
        <v>2637</v>
      </c>
      <c r="H5973" s="1110" t="s">
        <v>2638</v>
      </c>
      <c r="I5973" s="1834"/>
      <c r="J5973" s="1823" t="s">
        <v>5335</v>
      </c>
      <c r="K5973" s="1824" t="s">
        <v>5336</v>
      </c>
      <c r="L5973" s="1824" t="s">
        <v>5337</v>
      </c>
      <c r="M5973" s="1825" t="s">
        <v>5338</v>
      </c>
    </row>
    <row r="5974" spans="2:13">
      <c r="B5974" s="1330" t="s">
        <v>671</v>
      </c>
      <c r="C5974" s="1332" t="s">
        <v>672</v>
      </c>
      <c r="D5974" s="1331"/>
      <c r="E5974" s="1331"/>
      <c r="F5974" s="1334"/>
      <c r="G5974" s="1104"/>
      <c r="H5974" s="1106"/>
      <c r="J5974" s="1597"/>
      <c r="K5974" s="1597"/>
      <c r="L5974" s="1597"/>
      <c r="M5974" s="1826"/>
    </row>
    <row r="5975" spans="2:13">
      <c r="B5975" s="1330"/>
      <c r="C5975" s="1332" t="s">
        <v>673</v>
      </c>
      <c r="D5975" s="1331" t="s">
        <v>674</v>
      </c>
      <c r="E5975" s="1331" t="s">
        <v>675</v>
      </c>
      <c r="F5975" s="1334">
        <v>0.02</v>
      </c>
      <c r="G5975" s="1104">
        <f>DUB!$I$10</f>
        <v>150000</v>
      </c>
      <c r="H5975" s="1106">
        <f>G5975*F5975</f>
        <v>3000</v>
      </c>
      <c r="J5975" s="1609" t="s">
        <v>5339</v>
      </c>
      <c r="K5975" s="1611">
        <v>1</v>
      </c>
      <c r="L5975" s="1608" t="s">
        <v>5340</v>
      </c>
      <c r="M5975" s="1827">
        <f>H5975*K5975</f>
        <v>3000</v>
      </c>
    </row>
    <row r="5976" spans="2:13">
      <c r="B5976" s="1330"/>
      <c r="C5976" s="1332" t="s">
        <v>1368</v>
      </c>
      <c r="D5976" s="1331" t="s">
        <v>678</v>
      </c>
      <c r="E5976" s="1331" t="s">
        <v>675</v>
      </c>
      <c r="F5976" s="1334">
        <v>6.3E-2</v>
      </c>
      <c r="G5976" s="1104">
        <f>DUB!$I$11</f>
        <v>187000</v>
      </c>
      <c r="H5976" s="1106">
        <f>G5976*F5976</f>
        <v>11781</v>
      </c>
      <c r="J5976" s="1609" t="s">
        <v>5339</v>
      </c>
      <c r="K5976" s="1611">
        <v>1</v>
      </c>
      <c r="L5976" s="1608" t="s">
        <v>5340</v>
      </c>
      <c r="M5976" s="1827">
        <f t="shared" ref="M5976" si="148">H5976*K5976</f>
        <v>11781</v>
      </c>
    </row>
    <row r="5977" spans="2:13">
      <c r="B5977" s="1330"/>
      <c r="C5977" s="1332" t="s">
        <v>751</v>
      </c>
      <c r="D5977" s="1331" t="s">
        <v>681</v>
      </c>
      <c r="E5977" s="1331" t="s">
        <v>675</v>
      </c>
      <c r="F5977" s="1334">
        <v>6.3E-3</v>
      </c>
      <c r="G5977" s="1104">
        <f>DUB!$I$13</f>
        <v>240000</v>
      </c>
      <c r="H5977" s="1106">
        <f>G5977*F5977</f>
        <v>1512</v>
      </c>
      <c r="J5977" s="1609" t="s">
        <v>5339</v>
      </c>
      <c r="K5977" s="1611">
        <v>1</v>
      </c>
      <c r="L5977" s="1608" t="s">
        <v>5340</v>
      </c>
      <c r="M5977" s="1827">
        <f>H5977*K5977</f>
        <v>1512</v>
      </c>
    </row>
    <row r="5978" spans="2:13">
      <c r="B5978" s="1330"/>
      <c r="C5978" s="1332" t="s">
        <v>683</v>
      </c>
      <c r="D5978" s="1331" t="s">
        <v>684</v>
      </c>
      <c r="E5978" s="1331" t="s">
        <v>675</v>
      </c>
      <c r="F5978" s="1334">
        <v>3.0000000000000001E-3</v>
      </c>
      <c r="G5978" s="1104">
        <f>DUB!$I$12</f>
        <v>225000</v>
      </c>
      <c r="H5978" s="1106">
        <f>G5978*F5978</f>
        <v>675</v>
      </c>
      <c r="J5978" s="1609" t="s">
        <v>5339</v>
      </c>
      <c r="K5978" s="1611">
        <v>1</v>
      </c>
      <c r="L5978" s="1608" t="s">
        <v>5340</v>
      </c>
      <c r="M5978" s="1827">
        <f t="shared" ref="M5978" si="149">H5978*K5978</f>
        <v>675</v>
      </c>
    </row>
    <row r="5979" spans="2:13">
      <c r="B5979" s="1330"/>
      <c r="C5979" s="1332"/>
      <c r="D5979" s="1331"/>
      <c r="E5979" s="1331"/>
      <c r="F5979" s="2074" t="s">
        <v>685</v>
      </c>
      <c r="G5979" s="2074"/>
      <c r="H5979" s="1106">
        <f>SUM(H5975:H5978)</f>
        <v>16968</v>
      </c>
      <c r="J5979" s="1597"/>
      <c r="K5979" s="1597"/>
      <c r="L5979" s="1597"/>
      <c r="M5979" s="1107">
        <f>SUM(M5975:M5978)</f>
        <v>16968</v>
      </c>
    </row>
    <row r="5980" spans="2:13">
      <c r="B5980" s="1330" t="s">
        <v>686</v>
      </c>
      <c r="C5980" s="1332" t="s">
        <v>687</v>
      </c>
      <c r="D5980" s="1331"/>
      <c r="E5980" s="1331"/>
      <c r="F5980" s="1334"/>
      <c r="G5980" s="1104"/>
      <c r="H5980" s="1106"/>
      <c r="J5980" s="1634"/>
      <c r="K5980" s="1611"/>
      <c r="L5980" s="1607"/>
      <c r="M5980" s="1827"/>
    </row>
    <row r="5981" spans="2:13">
      <c r="B5981" s="1331"/>
      <c r="C5981" s="1332" t="s">
        <v>5236</v>
      </c>
      <c r="D5981" s="1331"/>
      <c r="E5981" s="1331" t="s">
        <v>1423</v>
      </c>
      <c r="F5981" s="1334">
        <v>0.01</v>
      </c>
      <c r="G5981" s="1104">
        <f>DUB!I465</f>
        <v>27600</v>
      </c>
      <c r="H5981" s="1106">
        <f>G5981*F5981</f>
        <v>276</v>
      </c>
      <c r="J5981" s="1642"/>
      <c r="K5981" s="1611"/>
      <c r="L5981" s="1607"/>
      <c r="M5981" s="1827">
        <f t="shared" ref="M5981:M5982" si="150">H5981*K5981</f>
        <v>0</v>
      </c>
    </row>
    <row r="5982" spans="2:13">
      <c r="B5982" s="1331"/>
      <c r="C5982" s="1332" t="str">
        <f>DUB!C314</f>
        <v>Cat Dulux Professional Ceiling</v>
      </c>
      <c r="D5982" s="1331"/>
      <c r="E5982" s="1331" t="s">
        <v>773</v>
      </c>
      <c r="F5982" s="1334">
        <v>0.26</v>
      </c>
      <c r="G5982" s="1136">
        <f>DUB!I314</f>
        <v>37500</v>
      </c>
      <c r="H5982" s="1106">
        <f>G5982*F5982</f>
        <v>9750</v>
      </c>
      <c r="J5982" s="1642" t="s">
        <v>4925</v>
      </c>
      <c r="K5982" s="1611">
        <v>0.70279999999999998</v>
      </c>
      <c r="L5982" s="1607" t="s">
        <v>5343</v>
      </c>
      <c r="M5982" s="1827">
        <f t="shared" si="150"/>
        <v>6852.3</v>
      </c>
    </row>
    <row r="5983" spans="2:13">
      <c r="B5983" s="1331"/>
      <c r="C5983" s="1125"/>
      <c r="D5983" s="1333"/>
      <c r="E5983" s="1333"/>
      <c r="F5983" s="2074" t="s">
        <v>702</v>
      </c>
      <c r="G5983" s="2074"/>
      <c r="H5983" s="1106">
        <f>SUM(H5981:H5982)</f>
        <v>10026</v>
      </c>
      <c r="J5983" s="1597"/>
      <c r="K5983" s="1597"/>
      <c r="L5983" s="1597"/>
      <c r="M5983" s="1106">
        <f>SUM(M5981:M5982)</f>
        <v>6852.3</v>
      </c>
    </row>
    <row r="5984" spans="2:13" s="496" customFormat="1">
      <c r="B5984" s="1330" t="s">
        <v>703</v>
      </c>
      <c r="C5984" s="2075" t="s">
        <v>3764</v>
      </c>
      <c r="D5984" s="2075"/>
      <c r="E5984" s="2075"/>
      <c r="F5984" s="2075"/>
      <c r="G5984" s="2075"/>
      <c r="H5984" s="1107">
        <f>H5979+H5983</f>
        <v>26994</v>
      </c>
      <c r="J5984" s="1600"/>
      <c r="K5984" s="1633">
        <f>M5984/H5984</f>
        <v>0.88242942876194708</v>
      </c>
      <c r="L5984" s="1600"/>
      <c r="M5984" s="1107">
        <f>M5979+M5983</f>
        <v>23820.3</v>
      </c>
    </row>
    <row r="5985" spans="2:13" s="496" customFormat="1">
      <c r="B5985" s="1330" t="s">
        <v>706</v>
      </c>
      <c r="C5985" s="2076" t="s">
        <v>876</v>
      </c>
      <c r="D5985" s="2076"/>
      <c r="E5985" s="2076"/>
      <c r="F5985" s="2077" t="s">
        <v>3873</v>
      </c>
      <c r="G5985" s="2077"/>
      <c r="H5985" s="1107">
        <f>H5984*0.15</f>
        <v>4049.1</v>
      </c>
      <c r="J5985" s="1600"/>
      <c r="K5985" s="1600"/>
      <c r="L5985" s="1600"/>
      <c r="M5985" s="1107">
        <f>M5984*0.15</f>
        <v>3573.0449999999996</v>
      </c>
    </row>
    <row r="5986" spans="2:13" s="496" customFormat="1">
      <c r="B5986" s="1330" t="s">
        <v>708</v>
      </c>
      <c r="C5986" s="2078" t="s">
        <v>3765</v>
      </c>
      <c r="D5986" s="2078"/>
      <c r="E5986" s="2078"/>
      <c r="F5986" s="2078"/>
      <c r="G5986" s="2078"/>
      <c r="H5986" s="1107">
        <f>ROUND(SUM(H5984:H5985),2)</f>
        <v>31043.1</v>
      </c>
      <c r="I5986" s="506">
        <f>SUM(H5984:H5985)</f>
        <v>31043.1</v>
      </c>
      <c r="J5986" s="1636"/>
      <c r="K5986" s="1636"/>
      <c r="L5986" s="1637"/>
      <c r="M5986" s="1919">
        <f>ROUND(SUM(M5984:M5985),2)</f>
        <v>27393.35</v>
      </c>
    </row>
    <row r="5987" spans="2:13">
      <c r="B5987" s="1129"/>
      <c r="C5987" s="1130"/>
      <c r="D5987" s="1129"/>
      <c r="E5987" s="1129"/>
      <c r="F5987" s="1131"/>
      <c r="G5987" s="1132"/>
      <c r="H5987" s="1115"/>
      <c r="M5987" s="1566"/>
    </row>
    <row r="5988" spans="2:13" hidden="1">
      <c r="B5988" s="1150" t="s">
        <v>4180</v>
      </c>
      <c r="C5988" s="1112" t="s">
        <v>4479</v>
      </c>
      <c r="D5988" s="1129"/>
      <c r="E5988" s="1129"/>
      <c r="F5988" s="1131"/>
      <c r="G5988" s="1132"/>
      <c r="H5988" s="1115"/>
      <c r="M5988" s="1566"/>
    </row>
    <row r="5989" spans="2:13" s="507" customFormat="1" ht="24.9" hidden="1" customHeight="1">
      <c r="B5989" s="1748" t="s">
        <v>1003</v>
      </c>
      <c r="C5989" s="1101" t="s">
        <v>1004</v>
      </c>
      <c r="D5989" s="1101" t="s">
        <v>1005</v>
      </c>
      <c r="E5989" s="1101" t="s">
        <v>1006</v>
      </c>
      <c r="F5989" s="1102" t="s">
        <v>1007</v>
      </c>
      <c r="G5989" s="1109" t="s">
        <v>2637</v>
      </c>
      <c r="H5989" s="1110" t="s">
        <v>2638</v>
      </c>
      <c r="J5989" s="1625"/>
      <c r="K5989" s="1625"/>
      <c r="L5989" s="1625"/>
      <c r="M5989" s="1570"/>
    </row>
    <row r="5990" spans="2:13" hidden="1">
      <c r="B5990" s="1543" t="s">
        <v>671</v>
      </c>
      <c r="C5990" s="1332" t="s">
        <v>672</v>
      </c>
      <c r="D5990" s="1331"/>
      <c r="E5990" s="1331"/>
      <c r="F5990" s="1334"/>
      <c r="G5990" s="1104"/>
      <c r="H5990" s="1106"/>
      <c r="M5990" s="1566"/>
    </row>
    <row r="5991" spans="2:13" hidden="1">
      <c r="B5991" s="1543"/>
      <c r="C5991" s="1332" t="s">
        <v>673</v>
      </c>
      <c r="D5991" s="1331" t="s">
        <v>674</v>
      </c>
      <c r="E5991" s="1331" t="s">
        <v>675</v>
      </c>
      <c r="F5991" s="1334">
        <v>0.02</v>
      </c>
      <c r="G5991" s="1104">
        <f>DUB!$I$10</f>
        <v>150000</v>
      </c>
      <c r="H5991" s="1106">
        <f>G5991*F5991</f>
        <v>3000</v>
      </c>
      <c r="M5991" s="1566"/>
    </row>
    <row r="5992" spans="2:13" hidden="1">
      <c r="B5992" s="1543"/>
      <c r="C5992" s="1332" t="s">
        <v>1368</v>
      </c>
      <c r="D5992" s="1331" t="s">
        <v>678</v>
      </c>
      <c r="E5992" s="1331" t="s">
        <v>675</v>
      </c>
      <c r="F5992" s="1334">
        <v>6.3E-2</v>
      </c>
      <c r="G5992" s="1104">
        <f>DUB!$I$11</f>
        <v>187000</v>
      </c>
      <c r="H5992" s="1106">
        <f>G5992*F5992</f>
        <v>11781</v>
      </c>
      <c r="M5992" s="1566"/>
    </row>
    <row r="5993" spans="2:13" hidden="1">
      <c r="B5993" s="1543"/>
      <c r="C5993" s="1332" t="s">
        <v>751</v>
      </c>
      <c r="D5993" s="1331" t="s">
        <v>681</v>
      </c>
      <c r="E5993" s="1331" t="s">
        <v>675</v>
      </c>
      <c r="F5993" s="1334">
        <v>6.3E-3</v>
      </c>
      <c r="G5993" s="1104">
        <f>DUB!$I$13</f>
        <v>240000</v>
      </c>
      <c r="H5993" s="1106">
        <f>G5993*F5993</f>
        <v>1512</v>
      </c>
      <c r="M5993" s="1566"/>
    </row>
    <row r="5994" spans="2:13" hidden="1">
      <c r="B5994" s="1543"/>
      <c r="C5994" s="1332" t="s">
        <v>683</v>
      </c>
      <c r="D5994" s="1331" t="s">
        <v>684</v>
      </c>
      <c r="E5994" s="1331" t="s">
        <v>675</v>
      </c>
      <c r="F5994" s="1334">
        <v>3.0000000000000001E-3</v>
      </c>
      <c r="G5994" s="1104">
        <f>DUB!$I$12</f>
        <v>225000</v>
      </c>
      <c r="H5994" s="1106">
        <f>G5994*F5994</f>
        <v>675</v>
      </c>
      <c r="M5994" s="1566"/>
    </row>
    <row r="5995" spans="2:13" hidden="1">
      <c r="B5995" s="1543"/>
      <c r="C5995" s="1332"/>
      <c r="D5995" s="1331"/>
      <c r="E5995" s="1331"/>
      <c r="F5995" s="2074" t="s">
        <v>685</v>
      </c>
      <c r="G5995" s="2074"/>
      <c r="H5995" s="1106">
        <f>SUM(H5991:H5994)</f>
        <v>16968</v>
      </c>
      <c r="M5995" s="1566"/>
    </row>
    <row r="5996" spans="2:13" hidden="1">
      <c r="B5996" s="1543" t="s">
        <v>686</v>
      </c>
      <c r="C5996" s="1332" t="s">
        <v>687</v>
      </c>
      <c r="D5996" s="1331"/>
      <c r="E5996" s="1331"/>
      <c r="F5996" s="1334"/>
      <c r="G5996" s="1104"/>
      <c r="H5996" s="1106"/>
      <c r="M5996" s="1566"/>
    </row>
    <row r="5997" spans="2:13" hidden="1">
      <c r="B5997" s="1540"/>
      <c r="C5997" s="1332" t="s">
        <v>1370</v>
      </c>
      <c r="D5997" s="1331"/>
      <c r="E5997" s="1331" t="s">
        <v>690</v>
      </c>
      <c r="F5997" s="1334">
        <v>0.1</v>
      </c>
      <c r="G5997" s="1104">
        <f>DUB!$I$322</f>
        <v>55960</v>
      </c>
      <c r="H5997" s="1106">
        <f>G5997*F5997</f>
        <v>5596</v>
      </c>
      <c r="M5997" s="1566"/>
    </row>
    <row r="5998" spans="2:13" hidden="1">
      <c r="B5998" s="1540"/>
      <c r="C5998" s="1332" t="s">
        <v>1371</v>
      </c>
      <c r="D5998" s="1331"/>
      <c r="E5998" s="1331" t="s">
        <v>690</v>
      </c>
      <c r="F5998" s="1334">
        <v>0.1</v>
      </c>
      <c r="G5998" s="1104">
        <f>DUB!$I$317</f>
        <v>55203</v>
      </c>
      <c r="H5998" s="1106">
        <f>G5998*F5998</f>
        <v>5520.3</v>
      </c>
      <c r="M5998" s="1566"/>
    </row>
    <row r="5999" spans="2:13" hidden="1">
      <c r="B5999" s="1540"/>
      <c r="C5999" s="1332" t="s">
        <v>3470</v>
      </c>
      <c r="D5999" s="1331"/>
      <c r="E5999" s="1331" t="s">
        <v>690</v>
      </c>
      <c r="F5999" s="1334">
        <v>0.26</v>
      </c>
      <c r="G5999" s="1104">
        <f>DUB!$I$310</f>
        <v>65500</v>
      </c>
      <c r="H5999" s="1106">
        <f>G5999*F5999</f>
        <v>17030</v>
      </c>
      <c r="M5999" s="1566"/>
    </row>
    <row r="6000" spans="2:13" hidden="1">
      <c r="B6000" s="1540"/>
      <c r="C6000" s="1125"/>
      <c r="D6000" s="1333"/>
      <c r="E6000" s="1333"/>
      <c r="F6000" s="2074" t="s">
        <v>702</v>
      </c>
      <c r="G6000" s="2074"/>
      <c r="H6000" s="1106">
        <f>SUM(H5997:H5999)</f>
        <v>28146.3</v>
      </c>
      <c r="M6000" s="1566"/>
    </row>
    <row r="6001" spans="2:13" s="496" customFormat="1" hidden="1">
      <c r="B6001" s="1543" t="s">
        <v>703</v>
      </c>
      <c r="C6001" s="2075" t="s">
        <v>3764</v>
      </c>
      <c r="D6001" s="2075"/>
      <c r="E6001" s="2075"/>
      <c r="F6001" s="2075"/>
      <c r="G6001" s="2075"/>
      <c r="H6001" s="1107">
        <f>H5995+H6000</f>
        <v>45114.3</v>
      </c>
      <c r="J6001" s="1559"/>
      <c r="K6001" s="1559"/>
      <c r="L6001" s="1559"/>
      <c r="M6001" s="1635"/>
    </row>
    <row r="6002" spans="2:13" s="496" customFormat="1" hidden="1">
      <c r="B6002" s="1543" t="s">
        <v>706</v>
      </c>
      <c r="C6002" s="2076" t="s">
        <v>876</v>
      </c>
      <c r="D6002" s="2076"/>
      <c r="E6002" s="2076"/>
      <c r="F6002" s="2077" t="s">
        <v>3873</v>
      </c>
      <c r="G6002" s="2077"/>
      <c r="H6002" s="1107">
        <f>H6001*0.15</f>
        <v>6767.1450000000004</v>
      </c>
      <c r="J6002" s="1559"/>
      <c r="K6002" s="1559"/>
      <c r="L6002" s="1559"/>
      <c r="M6002" s="1635"/>
    </row>
    <row r="6003" spans="2:13" s="496" customFormat="1" hidden="1">
      <c r="B6003" s="1543" t="s">
        <v>708</v>
      </c>
      <c r="C6003" s="2078" t="s">
        <v>3765</v>
      </c>
      <c r="D6003" s="2078"/>
      <c r="E6003" s="2078"/>
      <c r="F6003" s="2078"/>
      <c r="G6003" s="2078"/>
      <c r="H6003" s="1107">
        <f>ROUND(SUM(H6001:H6002),2)</f>
        <v>51881.45</v>
      </c>
      <c r="I6003" s="506">
        <f>SUM(H6001:H6002)</f>
        <v>51881.445000000007</v>
      </c>
      <c r="J6003" s="1561"/>
      <c r="K6003" s="1561"/>
      <c r="L6003" s="1559"/>
      <c r="M6003" s="1635"/>
    </row>
    <row r="6004" spans="2:13" hidden="1">
      <c r="B6004" s="1129"/>
      <c r="C6004" s="1130"/>
      <c r="D6004" s="1129"/>
      <c r="E6004" s="1130"/>
      <c r="F6004" s="1131"/>
      <c r="G6004" s="1132"/>
      <c r="H6004" s="1133"/>
      <c r="I6004" s="526"/>
      <c r="J6004" s="1562"/>
      <c r="K6004" s="1562"/>
      <c r="M6004" s="1566"/>
    </row>
    <row r="6005" spans="2:13" hidden="1">
      <c r="B6005" s="1100" t="s">
        <v>4181</v>
      </c>
      <c r="C6005" s="1171" t="s">
        <v>4480</v>
      </c>
      <c r="D6005" s="1129"/>
      <c r="E6005" s="1129"/>
      <c r="F6005" s="1131"/>
      <c r="G6005" s="1132"/>
      <c r="H6005" s="1115"/>
      <c r="M6005" s="1566"/>
    </row>
    <row r="6006" spans="2:13" s="507" customFormat="1" ht="24.9" hidden="1" customHeight="1">
      <c r="B6006" s="1748" t="s">
        <v>1003</v>
      </c>
      <c r="C6006" s="1101" t="s">
        <v>1004</v>
      </c>
      <c r="D6006" s="1101" t="s">
        <v>1005</v>
      </c>
      <c r="E6006" s="1101" t="s">
        <v>1006</v>
      </c>
      <c r="F6006" s="1102" t="s">
        <v>1007</v>
      </c>
      <c r="G6006" s="1109" t="s">
        <v>2637</v>
      </c>
      <c r="H6006" s="1110" t="s">
        <v>2638</v>
      </c>
      <c r="J6006" s="1625"/>
      <c r="K6006" s="1625"/>
      <c r="L6006" s="1625"/>
      <c r="M6006" s="1570"/>
    </row>
    <row r="6007" spans="2:13" hidden="1">
      <c r="B6007" s="1543" t="s">
        <v>671</v>
      </c>
      <c r="C6007" s="1332" t="s">
        <v>672</v>
      </c>
      <c r="D6007" s="1331"/>
      <c r="E6007" s="1331"/>
      <c r="F6007" s="1334"/>
      <c r="G6007" s="1104"/>
      <c r="H6007" s="1106"/>
      <c r="M6007" s="1566"/>
    </row>
    <row r="6008" spans="2:13" hidden="1">
      <c r="B6008" s="1543"/>
      <c r="C6008" s="1332" t="s">
        <v>673</v>
      </c>
      <c r="D6008" s="1331" t="s">
        <v>674</v>
      </c>
      <c r="E6008" s="1331" t="s">
        <v>675</v>
      </c>
      <c r="F6008" s="1334">
        <v>0.02</v>
      </c>
      <c r="G6008" s="1104">
        <f>DUB!$I$10</f>
        <v>150000</v>
      </c>
      <c r="H6008" s="1106">
        <f>G6008*F6008</f>
        <v>3000</v>
      </c>
      <c r="M6008" s="1566"/>
    </row>
    <row r="6009" spans="2:13" hidden="1">
      <c r="B6009" s="1543"/>
      <c r="C6009" s="1332" t="s">
        <v>1368</v>
      </c>
      <c r="D6009" s="1331" t="s">
        <v>678</v>
      </c>
      <c r="E6009" s="1331" t="s">
        <v>675</v>
      </c>
      <c r="F6009" s="1334">
        <v>6.3E-2</v>
      </c>
      <c r="G6009" s="1104">
        <f>DUB!$I$11</f>
        <v>187000</v>
      </c>
      <c r="H6009" s="1106">
        <f>G6009*F6009</f>
        <v>11781</v>
      </c>
      <c r="M6009" s="1566"/>
    </row>
    <row r="6010" spans="2:13" hidden="1">
      <c r="B6010" s="1543"/>
      <c r="C6010" s="1332" t="s">
        <v>751</v>
      </c>
      <c r="D6010" s="1331" t="s">
        <v>681</v>
      </c>
      <c r="E6010" s="1331" t="s">
        <v>675</v>
      </c>
      <c r="F6010" s="1334">
        <v>6.3E-3</v>
      </c>
      <c r="G6010" s="1104">
        <f>DUB!$I$13</f>
        <v>240000</v>
      </c>
      <c r="H6010" s="1106">
        <f>G6010*F6010</f>
        <v>1512</v>
      </c>
      <c r="M6010" s="1566"/>
    </row>
    <row r="6011" spans="2:13" hidden="1">
      <c r="B6011" s="1543"/>
      <c r="C6011" s="1332" t="s">
        <v>683</v>
      </c>
      <c r="D6011" s="1331" t="s">
        <v>684</v>
      </c>
      <c r="E6011" s="1331" t="s">
        <v>675</v>
      </c>
      <c r="F6011" s="1334">
        <v>3.0000000000000001E-3</v>
      </c>
      <c r="G6011" s="1104">
        <f>DUB!$I$12</f>
        <v>225000</v>
      </c>
      <c r="H6011" s="1106">
        <f>G6011*F6011</f>
        <v>675</v>
      </c>
      <c r="M6011" s="1566"/>
    </row>
    <row r="6012" spans="2:13" hidden="1">
      <c r="B6012" s="1543"/>
      <c r="C6012" s="1332"/>
      <c r="D6012" s="1331"/>
      <c r="E6012" s="1331"/>
      <c r="F6012" s="2074" t="s">
        <v>685</v>
      </c>
      <c r="G6012" s="2074"/>
      <c r="H6012" s="1106">
        <f>SUM(H6008:H6011)</f>
        <v>16968</v>
      </c>
      <c r="M6012" s="1566"/>
    </row>
    <row r="6013" spans="2:13" hidden="1">
      <c r="B6013" s="1543" t="s">
        <v>686</v>
      </c>
      <c r="C6013" s="1332" t="s">
        <v>687</v>
      </c>
      <c r="D6013" s="1331"/>
      <c r="E6013" s="1331"/>
      <c r="F6013" s="1334"/>
      <c r="G6013" s="1104"/>
      <c r="H6013" s="1106"/>
      <c r="M6013" s="1566"/>
    </row>
    <row r="6014" spans="2:13" hidden="1">
      <c r="B6014" s="1543"/>
      <c r="C6014" s="1332" t="s">
        <v>1370</v>
      </c>
      <c r="D6014" s="1331"/>
      <c r="E6014" s="1331" t="s">
        <v>690</v>
      </c>
      <c r="F6014" s="1334">
        <v>0.1</v>
      </c>
      <c r="G6014" s="1104">
        <f>DUB!$I$322</f>
        <v>55960</v>
      </c>
      <c r="H6014" s="1106">
        <f>G6014*F6014</f>
        <v>5596</v>
      </c>
      <c r="M6014" s="1566"/>
    </row>
    <row r="6015" spans="2:13" hidden="1">
      <c r="B6015" s="1543"/>
      <c r="C6015" s="1332" t="s">
        <v>1371</v>
      </c>
      <c r="D6015" s="1331"/>
      <c r="E6015" s="1331" t="s">
        <v>690</v>
      </c>
      <c r="F6015" s="1334">
        <v>0.1</v>
      </c>
      <c r="G6015" s="1104">
        <f>DUB!$I$317</f>
        <v>55203</v>
      </c>
      <c r="H6015" s="1106">
        <f>G6015*F6015</f>
        <v>5520.3</v>
      </c>
      <c r="M6015" s="1566"/>
    </row>
    <row r="6016" spans="2:13" hidden="1">
      <c r="B6016" s="1543"/>
      <c r="C6016" s="1332" t="s">
        <v>3471</v>
      </c>
      <c r="D6016" s="1331"/>
      <c r="E6016" s="1331" t="s">
        <v>690</v>
      </c>
      <c r="F6016" s="1334">
        <v>0.26</v>
      </c>
      <c r="G6016" s="1104">
        <f>DUB!$I$309</f>
        <v>26775</v>
      </c>
      <c r="H6016" s="1106">
        <f>G6016*F6016</f>
        <v>6961.5</v>
      </c>
      <c r="M6016" s="1566"/>
    </row>
    <row r="6017" spans="2:13" hidden="1">
      <c r="B6017" s="1540"/>
      <c r="C6017" s="1125"/>
      <c r="D6017" s="1333"/>
      <c r="E6017" s="1333"/>
      <c r="F6017" s="2074" t="s">
        <v>702</v>
      </c>
      <c r="G6017" s="2074"/>
      <c r="H6017" s="1106">
        <f>SUM(H6014:H6016)</f>
        <v>18077.8</v>
      </c>
      <c r="M6017" s="1566"/>
    </row>
    <row r="6018" spans="2:13" s="496" customFormat="1" hidden="1">
      <c r="B6018" s="1543" t="s">
        <v>703</v>
      </c>
      <c r="C6018" s="2075" t="s">
        <v>3764</v>
      </c>
      <c r="D6018" s="2075"/>
      <c r="E6018" s="2075"/>
      <c r="F6018" s="2075"/>
      <c r="G6018" s="2075"/>
      <c r="H6018" s="1107">
        <f>H6012+H6017</f>
        <v>35045.800000000003</v>
      </c>
      <c r="J6018" s="1559"/>
      <c r="K6018" s="1559"/>
      <c r="L6018" s="1559"/>
      <c r="M6018" s="1635"/>
    </row>
    <row r="6019" spans="2:13" s="496" customFormat="1" hidden="1">
      <c r="B6019" s="1543" t="s">
        <v>706</v>
      </c>
      <c r="C6019" s="2076" t="s">
        <v>876</v>
      </c>
      <c r="D6019" s="2076"/>
      <c r="E6019" s="2076"/>
      <c r="F6019" s="2077" t="s">
        <v>3873</v>
      </c>
      <c r="G6019" s="2077"/>
      <c r="H6019" s="1107">
        <f>H6018*0.15</f>
        <v>5256.87</v>
      </c>
      <c r="J6019" s="1559"/>
      <c r="K6019" s="1559"/>
      <c r="L6019" s="1559"/>
      <c r="M6019" s="1635"/>
    </row>
    <row r="6020" spans="2:13" s="496" customFormat="1" hidden="1">
      <c r="B6020" s="1543" t="s">
        <v>708</v>
      </c>
      <c r="C6020" s="2078" t="s">
        <v>3765</v>
      </c>
      <c r="D6020" s="2078"/>
      <c r="E6020" s="2078"/>
      <c r="F6020" s="2078"/>
      <c r="G6020" s="2078"/>
      <c r="H6020" s="1107">
        <f>ROUND(SUM(H6018:H6019),2)</f>
        <v>40302.67</v>
      </c>
      <c r="I6020" s="506">
        <f>SUM(H6018:H6019)</f>
        <v>40302.670000000006</v>
      </c>
      <c r="J6020" s="1561"/>
      <c r="K6020" s="1561"/>
      <c r="L6020" s="1559"/>
      <c r="M6020" s="1635"/>
    </row>
    <row r="6021" spans="2:13" hidden="1">
      <c r="B6021" s="1167"/>
      <c r="C6021" s="1246"/>
      <c r="D6021" s="1167"/>
      <c r="E6021" s="1167"/>
      <c r="F6021" s="1552"/>
      <c r="G6021" s="1169"/>
      <c r="H6021" s="1170"/>
      <c r="M6021" s="1566"/>
    </row>
    <row r="6022" spans="2:13">
      <c r="B6022" s="1100" t="s">
        <v>4182</v>
      </c>
      <c r="C6022" s="1232" t="s">
        <v>5309</v>
      </c>
      <c r="F6022" s="1172"/>
      <c r="G6022" s="1173"/>
      <c r="H6022" s="1133"/>
      <c r="M6022" s="1566"/>
    </row>
    <row r="6023" spans="2:13" s="507" customFormat="1" ht="24.9" customHeight="1">
      <c r="B6023" s="1101" t="s">
        <v>1003</v>
      </c>
      <c r="C6023" s="1101" t="s">
        <v>1004</v>
      </c>
      <c r="D6023" s="1101" t="s">
        <v>1005</v>
      </c>
      <c r="E6023" s="1101" t="s">
        <v>1006</v>
      </c>
      <c r="F6023" s="1102" t="s">
        <v>1007</v>
      </c>
      <c r="G6023" s="1109" t="s">
        <v>2637</v>
      </c>
      <c r="H6023" s="1110" t="s">
        <v>2638</v>
      </c>
      <c r="I6023" s="1834"/>
      <c r="J6023" s="1823" t="s">
        <v>5335</v>
      </c>
      <c r="K6023" s="1824" t="s">
        <v>5336</v>
      </c>
      <c r="L6023" s="1824" t="s">
        <v>5337</v>
      </c>
      <c r="M6023" s="1825" t="s">
        <v>5338</v>
      </c>
    </row>
    <row r="6024" spans="2:13">
      <c r="B6024" s="1330" t="s">
        <v>671</v>
      </c>
      <c r="C6024" s="1332" t="s">
        <v>672</v>
      </c>
      <c r="D6024" s="1331"/>
      <c r="E6024" s="1331"/>
      <c r="F6024" s="1334"/>
      <c r="G6024" s="1104"/>
      <c r="H6024" s="1106"/>
      <c r="J6024" s="1597"/>
      <c r="K6024" s="1597"/>
      <c r="L6024" s="1597"/>
      <c r="M6024" s="1826"/>
    </row>
    <row r="6025" spans="2:13">
      <c r="B6025" s="1330"/>
      <c r="C6025" s="1332" t="s">
        <v>673</v>
      </c>
      <c r="D6025" s="1331" t="s">
        <v>674</v>
      </c>
      <c r="E6025" s="1331" t="s">
        <v>675</v>
      </c>
      <c r="F6025" s="1334">
        <v>0.02</v>
      </c>
      <c r="G6025" s="1104">
        <f>DUB!$I$10</f>
        <v>150000</v>
      </c>
      <c r="H6025" s="1106">
        <f>G6025*F6025</f>
        <v>3000</v>
      </c>
      <c r="J6025" s="1609" t="s">
        <v>5339</v>
      </c>
      <c r="K6025" s="1611">
        <v>1</v>
      </c>
      <c r="L6025" s="1608" t="s">
        <v>5340</v>
      </c>
      <c r="M6025" s="1827">
        <f>H6025*K6025</f>
        <v>3000</v>
      </c>
    </row>
    <row r="6026" spans="2:13">
      <c r="B6026" s="1330"/>
      <c r="C6026" s="1332" t="s">
        <v>1368</v>
      </c>
      <c r="D6026" s="1331" t="s">
        <v>678</v>
      </c>
      <c r="E6026" s="1331" t="s">
        <v>675</v>
      </c>
      <c r="F6026" s="1334">
        <v>2.3E-2</v>
      </c>
      <c r="G6026" s="1104">
        <f>DUB!$I$11</f>
        <v>187000</v>
      </c>
      <c r="H6026" s="1106">
        <f>G6026*F6026</f>
        <v>4301</v>
      </c>
      <c r="J6026" s="1609" t="s">
        <v>5339</v>
      </c>
      <c r="K6026" s="1611">
        <v>1</v>
      </c>
      <c r="L6026" s="1608" t="s">
        <v>5340</v>
      </c>
      <c r="M6026" s="1827">
        <f t="shared" ref="M6026" si="151">H6026*K6026</f>
        <v>4301</v>
      </c>
    </row>
    <row r="6027" spans="2:13">
      <c r="B6027" s="1330"/>
      <c r="C6027" s="1332" t="s">
        <v>751</v>
      </c>
      <c r="D6027" s="1331" t="s">
        <v>681</v>
      </c>
      <c r="E6027" s="1331" t="s">
        <v>675</v>
      </c>
      <c r="F6027" s="1334">
        <v>3.3E-3</v>
      </c>
      <c r="G6027" s="1104">
        <f>DUB!$I$13</f>
        <v>240000</v>
      </c>
      <c r="H6027" s="1106">
        <f>G6027*F6027</f>
        <v>792</v>
      </c>
      <c r="J6027" s="1609" t="s">
        <v>5339</v>
      </c>
      <c r="K6027" s="1611">
        <v>1</v>
      </c>
      <c r="L6027" s="1608" t="s">
        <v>5340</v>
      </c>
      <c r="M6027" s="1827">
        <f>H6027*K6027</f>
        <v>792</v>
      </c>
    </row>
    <row r="6028" spans="2:13">
      <c r="B6028" s="1330"/>
      <c r="C6028" s="1332" t="s">
        <v>683</v>
      </c>
      <c r="D6028" s="1331" t="s">
        <v>684</v>
      </c>
      <c r="E6028" s="1331" t="s">
        <v>675</v>
      </c>
      <c r="F6028" s="1334">
        <v>3.0000000000000001E-3</v>
      </c>
      <c r="G6028" s="1104">
        <f>DUB!$I$12</f>
        <v>225000</v>
      </c>
      <c r="H6028" s="1106">
        <f>G6028*F6028</f>
        <v>675</v>
      </c>
      <c r="J6028" s="1609" t="s">
        <v>5339</v>
      </c>
      <c r="K6028" s="1611">
        <v>1</v>
      </c>
      <c r="L6028" s="1608" t="s">
        <v>5340</v>
      </c>
      <c r="M6028" s="1827">
        <f t="shared" ref="M6028" si="152">H6028*K6028</f>
        <v>675</v>
      </c>
    </row>
    <row r="6029" spans="2:13">
      <c r="B6029" s="1330"/>
      <c r="C6029" s="1332"/>
      <c r="D6029" s="1331"/>
      <c r="E6029" s="1331"/>
      <c r="F6029" s="2074" t="s">
        <v>685</v>
      </c>
      <c r="G6029" s="2074"/>
      <c r="H6029" s="1106">
        <f>SUM(H6025:H6028)</f>
        <v>8768</v>
      </c>
      <c r="J6029" s="1597"/>
      <c r="K6029" s="1597"/>
      <c r="L6029" s="1597"/>
      <c r="M6029" s="1107">
        <f>SUM(M6025:M6028)</f>
        <v>8768</v>
      </c>
    </row>
    <row r="6030" spans="2:13">
      <c r="B6030" s="1330" t="s">
        <v>686</v>
      </c>
      <c r="C6030" s="1332" t="s">
        <v>687</v>
      </c>
      <c r="D6030" s="1331"/>
      <c r="E6030" s="1331"/>
      <c r="F6030" s="1334"/>
      <c r="G6030" s="1104"/>
      <c r="H6030" s="1106"/>
      <c r="J6030" s="1597"/>
      <c r="K6030" s="1597"/>
      <c r="L6030" s="1597"/>
      <c r="M6030" s="1826"/>
    </row>
    <row r="6031" spans="2:13">
      <c r="B6031" s="1330"/>
      <c r="C6031" s="1332" t="s">
        <v>5228</v>
      </c>
      <c r="D6031" s="1331"/>
      <c r="E6031" s="1331" t="s">
        <v>690</v>
      </c>
      <c r="F6031" s="1334">
        <v>0.1</v>
      </c>
      <c r="G6031" s="1104">
        <f>DUB!$I$317</f>
        <v>55203</v>
      </c>
      <c r="H6031" s="1106">
        <f>G6031*F6031</f>
        <v>5520.3</v>
      </c>
      <c r="J6031" s="1634" t="s">
        <v>4925</v>
      </c>
      <c r="K6031" s="1611">
        <v>0.70279999999999998</v>
      </c>
      <c r="L6031" s="1607" t="s">
        <v>5343</v>
      </c>
      <c r="M6031" s="1827">
        <f>H6031*K6031</f>
        <v>3879.6668399999999</v>
      </c>
    </row>
    <row r="6032" spans="2:13">
      <c r="B6032" s="1331"/>
      <c r="C6032" s="1332" t="s">
        <v>5224</v>
      </c>
      <c r="D6032" s="1331"/>
      <c r="E6032" s="1331" t="s">
        <v>690</v>
      </c>
      <c r="F6032" s="1334">
        <v>0.26</v>
      </c>
      <c r="G6032" s="1104">
        <f>DUB!$I$310</f>
        <v>65500</v>
      </c>
      <c r="H6032" s="1106">
        <f>G6032*F6032</f>
        <v>17030</v>
      </c>
      <c r="J6032" s="1642" t="s">
        <v>4925</v>
      </c>
      <c r="K6032" s="1611">
        <v>0.70279999999999998</v>
      </c>
      <c r="L6032" s="1607" t="s">
        <v>5343</v>
      </c>
      <c r="M6032" s="1827">
        <f t="shared" ref="M6032:M6033" si="153">H6032*K6032</f>
        <v>11968.683999999999</v>
      </c>
    </row>
    <row r="6033" spans="2:13">
      <c r="B6033" s="1331"/>
      <c r="C6033" s="1125" t="s">
        <v>5226</v>
      </c>
      <c r="D6033" s="1333"/>
      <c r="E6033" s="1333" t="s">
        <v>690</v>
      </c>
      <c r="F6033" s="1334">
        <v>0.1</v>
      </c>
      <c r="G6033" s="1104">
        <f>DUB!I322</f>
        <v>55960</v>
      </c>
      <c r="H6033" s="1106">
        <f>G6033*F6033</f>
        <v>5596</v>
      </c>
      <c r="J6033" s="1642" t="s">
        <v>4925</v>
      </c>
      <c r="K6033" s="1611">
        <v>0.72870000000000001</v>
      </c>
      <c r="L6033" s="1607" t="s">
        <v>5343</v>
      </c>
      <c r="M6033" s="1827">
        <f t="shared" si="153"/>
        <v>4077.8052000000002</v>
      </c>
    </row>
    <row r="6034" spans="2:13">
      <c r="B6034" s="1331"/>
      <c r="C6034" s="1125"/>
      <c r="D6034" s="1333"/>
      <c r="E6034" s="1333"/>
      <c r="F6034" s="2074" t="s">
        <v>702</v>
      </c>
      <c r="G6034" s="2074"/>
      <c r="H6034" s="1106">
        <f>SUM(H6031:H6033)</f>
        <v>28146.3</v>
      </c>
      <c r="J6034" s="1597"/>
      <c r="K6034" s="1597"/>
      <c r="L6034" s="1597"/>
      <c r="M6034" s="1106">
        <f>SUM(M6031:M6033)</f>
        <v>19926.156039999998</v>
      </c>
    </row>
    <row r="6035" spans="2:13" s="496" customFormat="1">
      <c r="B6035" s="1330" t="s">
        <v>703</v>
      </c>
      <c r="C6035" s="2075" t="s">
        <v>3764</v>
      </c>
      <c r="D6035" s="2075"/>
      <c r="E6035" s="2075"/>
      <c r="F6035" s="2075"/>
      <c r="G6035" s="2075"/>
      <c r="H6035" s="1107">
        <f>H6029+H6034</f>
        <v>36914.300000000003</v>
      </c>
      <c r="J6035" s="1600"/>
      <c r="K6035" s="1633">
        <f>M6035/H6035</f>
        <v>0.77731816775612694</v>
      </c>
      <c r="L6035" s="1600"/>
      <c r="M6035" s="1107">
        <f>M6029+M6034</f>
        <v>28694.156039999998</v>
      </c>
    </row>
    <row r="6036" spans="2:13" s="496" customFormat="1">
      <c r="B6036" s="1330" t="s">
        <v>706</v>
      </c>
      <c r="C6036" s="2076" t="s">
        <v>876</v>
      </c>
      <c r="D6036" s="2076"/>
      <c r="E6036" s="2076"/>
      <c r="F6036" s="2077" t="s">
        <v>3873</v>
      </c>
      <c r="G6036" s="2077"/>
      <c r="H6036" s="1107">
        <f>H6035*0.15</f>
        <v>5537.1450000000004</v>
      </c>
      <c r="J6036" s="1600"/>
      <c r="K6036" s="1600"/>
      <c r="L6036" s="1600"/>
      <c r="M6036" s="1107">
        <f>M6035*0.15</f>
        <v>4304.1234059999997</v>
      </c>
    </row>
    <row r="6037" spans="2:13" s="496" customFormat="1">
      <c r="B6037" s="1330" t="s">
        <v>708</v>
      </c>
      <c r="C6037" s="2078" t="s">
        <v>3765</v>
      </c>
      <c r="D6037" s="2078"/>
      <c r="E6037" s="2078"/>
      <c r="F6037" s="2078"/>
      <c r="G6037" s="2078"/>
      <c r="H6037" s="1107">
        <f>ROUND(SUM(H6035:H6036),2)</f>
        <v>42451.45</v>
      </c>
      <c r="I6037" s="506">
        <f>SUM(H6035:H6036)</f>
        <v>42451.445000000007</v>
      </c>
      <c r="J6037" s="1636"/>
      <c r="K6037" s="1636"/>
      <c r="L6037" s="1637"/>
      <c r="M6037" s="1919">
        <f>ROUND(SUM(M6035:M6036),2)</f>
        <v>32998.28</v>
      </c>
    </row>
    <row r="6038" spans="2:13" s="947" customFormat="1">
      <c r="B6038" s="1129"/>
      <c r="C6038" s="1130"/>
      <c r="D6038" s="1129"/>
      <c r="E6038" s="1129"/>
      <c r="F6038" s="1131"/>
      <c r="G6038" s="1132"/>
      <c r="H6038" s="1115"/>
      <c r="J6038" s="1557"/>
      <c r="K6038" s="1557"/>
      <c r="L6038" s="1557"/>
      <c r="M6038" s="1566"/>
    </row>
    <row r="6039" spans="2:13" s="947" customFormat="1" hidden="1">
      <c r="B6039" s="1100" t="s">
        <v>4183</v>
      </c>
      <c r="C6039" s="1232" t="s">
        <v>4187</v>
      </c>
      <c r="D6039" s="1095"/>
      <c r="E6039" s="1095"/>
      <c r="F6039" s="1172"/>
      <c r="G6039" s="1173"/>
      <c r="H6039" s="1133"/>
      <c r="J6039" s="1557"/>
      <c r="K6039" s="1557"/>
      <c r="L6039" s="1557"/>
      <c r="M6039" s="1566"/>
    </row>
    <row r="6040" spans="2:13" s="948" customFormat="1" ht="24.9" hidden="1" customHeight="1">
      <c r="B6040" s="1748" t="s">
        <v>1003</v>
      </c>
      <c r="C6040" s="1101" t="s">
        <v>1004</v>
      </c>
      <c r="D6040" s="1101" t="s">
        <v>1005</v>
      </c>
      <c r="E6040" s="1101" t="s">
        <v>1006</v>
      </c>
      <c r="F6040" s="1102" t="s">
        <v>1007</v>
      </c>
      <c r="G6040" s="1109" t="s">
        <v>2637</v>
      </c>
      <c r="H6040" s="1110" t="s">
        <v>2638</v>
      </c>
      <c r="J6040" s="1625"/>
      <c r="K6040" s="1625"/>
      <c r="L6040" s="1625"/>
      <c r="M6040" s="1570"/>
    </row>
    <row r="6041" spans="2:13" s="947" customFormat="1" hidden="1">
      <c r="B6041" s="1543" t="s">
        <v>671</v>
      </c>
      <c r="C6041" s="1332" t="s">
        <v>672</v>
      </c>
      <c r="D6041" s="1331"/>
      <c r="E6041" s="1331"/>
      <c r="F6041" s="1334"/>
      <c r="G6041" s="1104"/>
      <c r="H6041" s="1106"/>
      <c r="J6041" s="1557"/>
      <c r="K6041" s="1557"/>
      <c r="L6041" s="1557"/>
      <c r="M6041" s="1566"/>
    </row>
    <row r="6042" spans="2:13" s="947" customFormat="1" hidden="1">
      <c r="B6042" s="1543"/>
      <c r="C6042" s="1332" t="s">
        <v>673</v>
      </c>
      <c r="D6042" s="1331" t="s">
        <v>674</v>
      </c>
      <c r="E6042" s="1331" t="s">
        <v>675</v>
      </c>
      <c r="F6042" s="1334">
        <v>2.8000000000000001E-2</v>
      </c>
      <c r="G6042" s="1104">
        <f>DUB!$I$10</f>
        <v>150000</v>
      </c>
      <c r="H6042" s="1106">
        <f>G6042*F6042</f>
        <v>4200</v>
      </c>
      <c r="J6042" s="1557"/>
      <c r="K6042" s="1557"/>
      <c r="L6042" s="1557"/>
      <c r="M6042" s="1566"/>
    </row>
    <row r="6043" spans="2:13" s="947" customFormat="1" hidden="1">
      <c r="B6043" s="1543"/>
      <c r="C6043" s="1332" t="s">
        <v>1368</v>
      </c>
      <c r="D6043" s="1331" t="s">
        <v>678</v>
      </c>
      <c r="E6043" s="1331" t="s">
        <v>675</v>
      </c>
      <c r="F6043" s="1334">
        <v>4.2000000000000003E-2</v>
      </c>
      <c r="G6043" s="1104">
        <f>DUB!$I$11</f>
        <v>187000</v>
      </c>
      <c r="H6043" s="1106">
        <f>G6043*F6043</f>
        <v>7854.0000000000009</v>
      </c>
      <c r="J6043" s="1557"/>
      <c r="K6043" s="1557"/>
      <c r="L6043" s="1557"/>
      <c r="M6043" s="1566"/>
    </row>
    <row r="6044" spans="2:13" s="947" customFormat="1" hidden="1">
      <c r="B6044" s="1543"/>
      <c r="C6044" s="1332" t="s">
        <v>751</v>
      </c>
      <c r="D6044" s="1331" t="s">
        <v>681</v>
      </c>
      <c r="E6044" s="1331" t="s">
        <v>675</v>
      </c>
      <c r="F6044" s="1334">
        <v>4.1999999999999997E-3</v>
      </c>
      <c r="G6044" s="1104">
        <f>DUB!$I$13</f>
        <v>240000</v>
      </c>
      <c r="H6044" s="1106">
        <f>G6044*F6044</f>
        <v>1007.9999999999999</v>
      </c>
      <c r="J6044" s="1557"/>
      <c r="K6044" s="1557"/>
      <c r="L6044" s="1557"/>
      <c r="M6044" s="1566"/>
    </row>
    <row r="6045" spans="2:13" s="947" customFormat="1" hidden="1">
      <c r="B6045" s="1543"/>
      <c r="C6045" s="1332" t="s">
        <v>683</v>
      </c>
      <c r="D6045" s="1331" t="s">
        <v>684</v>
      </c>
      <c r="E6045" s="1331" t="s">
        <v>675</v>
      </c>
      <c r="F6045" s="1334">
        <v>3.0000000000000001E-3</v>
      </c>
      <c r="G6045" s="1104">
        <f>DUB!$I$12</f>
        <v>225000</v>
      </c>
      <c r="H6045" s="1106">
        <f>G6045*F6045</f>
        <v>675</v>
      </c>
      <c r="J6045" s="1557"/>
      <c r="K6045" s="1557"/>
      <c r="L6045" s="1557"/>
      <c r="M6045" s="1566"/>
    </row>
    <row r="6046" spans="2:13" s="947" customFormat="1" hidden="1">
      <c r="B6046" s="1543"/>
      <c r="C6046" s="1332"/>
      <c r="D6046" s="1331"/>
      <c r="E6046" s="1331"/>
      <c r="F6046" s="2074" t="s">
        <v>685</v>
      </c>
      <c r="G6046" s="2074"/>
      <c r="H6046" s="1106">
        <f>SUM(H6042:H6045)</f>
        <v>13737</v>
      </c>
      <c r="J6046" s="1557"/>
      <c r="K6046" s="1557"/>
      <c r="L6046" s="1557"/>
      <c r="M6046" s="1566"/>
    </row>
    <row r="6047" spans="2:13" s="947" customFormat="1" ht="15" hidden="1" customHeight="1">
      <c r="B6047" s="1543" t="s">
        <v>686</v>
      </c>
      <c r="C6047" s="1332" t="s">
        <v>687</v>
      </c>
      <c r="D6047" s="1331"/>
      <c r="E6047" s="1331"/>
      <c r="F6047" s="1334"/>
      <c r="G6047" s="1104"/>
      <c r="H6047" s="1106"/>
      <c r="J6047" s="1557"/>
      <c r="K6047" s="1557"/>
      <c r="L6047" s="1557"/>
      <c r="M6047" s="1566"/>
    </row>
    <row r="6048" spans="2:13" s="947" customFormat="1" hidden="1">
      <c r="B6048" s="1543"/>
      <c r="C6048" s="1332" t="s">
        <v>1372</v>
      </c>
      <c r="D6048" s="1331"/>
      <c r="E6048" s="1331" t="s">
        <v>690</v>
      </c>
      <c r="F6048" s="1334">
        <v>0.26</v>
      </c>
      <c r="G6048" s="1104">
        <f>DUB!$I$310</f>
        <v>65500</v>
      </c>
      <c r="H6048" s="1106">
        <f>G6048*F6048</f>
        <v>17030</v>
      </c>
      <c r="J6048" s="1557"/>
      <c r="K6048" s="1557"/>
      <c r="L6048" s="1557"/>
      <c r="M6048" s="1566"/>
    </row>
    <row r="6049" spans="2:13" s="947" customFormat="1" hidden="1">
      <c r="B6049" s="1540"/>
      <c r="C6049" s="1125"/>
      <c r="D6049" s="1333"/>
      <c r="E6049" s="1333"/>
      <c r="F6049" s="2074" t="s">
        <v>702</v>
      </c>
      <c r="G6049" s="2074"/>
      <c r="H6049" s="1106">
        <f>SUM(H6048:H6048)</f>
        <v>17030</v>
      </c>
      <c r="J6049" s="1557"/>
      <c r="K6049" s="1557"/>
      <c r="L6049" s="1557"/>
      <c r="M6049" s="1566"/>
    </row>
    <row r="6050" spans="2:13" s="949" customFormat="1" hidden="1">
      <c r="B6050" s="1543" t="s">
        <v>703</v>
      </c>
      <c r="C6050" s="2075" t="s">
        <v>3764</v>
      </c>
      <c r="D6050" s="2075"/>
      <c r="E6050" s="2075"/>
      <c r="F6050" s="2075"/>
      <c r="G6050" s="2075"/>
      <c r="H6050" s="1107">
        <f>H6046+H6049</f>
        <v>30767</v>
      </c>
      <c r="J6050" s="1559"/>
      <c r="K6050" s="1559"/>
      <c r="L6050" s="1559"/>
      <c r="M6050" s="1635"/>
    </row>
    <row r="6051" spans="2:13" s="949" customFormat="1" hidden="1">
      <c r="B6051" s="1543" t="s">
        <v>706</v>
      </c>
      <c r="C6051" s="2076" t="s">
        <v>876</v>
      </c>
      <c r="D6051" s="2076"/>
      <c r="E6051" s="2076"/>
      <c r="F6051" s="2077" t="s">
        <v>3873</v>
      </c>
      <c r="G6051" s="2077"/>
      <c r="H6051" s="1107">
        <f>H6050*0.15</f>
        <v>4615.05</v>
      </c>
      <c r="J6051" s="1559"/>
      <c r="K6051" s="1559"/>
      <c r="L6051" s="1559"/>
      <c r="M6051" s="1635"/>
    </row>
    <row r="6052" spans="2:13" s="949" customFormat="1" hidden="1">
      <c r="B6052" s="1543" t="s">
        <v>708</v>
      </c>
      <c r="C6052" s="2078" t="s">
        <v>3765</v>
      </c>
      <c r="D6052" s="2078"/>
      <c r="E6052" s="2078"/>
      <c r="F6052" s="2078"/>
      <c r="G6052" s="2078"/>
      <c r="H6052" s="1107">
        <f>ROUND(SUM(H6050:H6051),2)</f>
        <v>35382.050000000003</v>
      </c>
      <c r="I6052" s="950">
        <f>SUM(H6050:H6051)</f>
        <v>35382.050000000003</v>
      </c>
      <c r="J6052" s="1561"/>
      <c r="K6052" s="1561"/>
      <c r="L6052" s="1559"/>
      <c r="M6052" s="1635"/>
    </row>
    <row r="6053" spans="2:13" s="947" customFormat="1" hidden="1">
      <c r="B6053" s="1143"/>
      <c r="C6053" s="1144"/>
      <c r="D6053" s="1143"/>
      <c r="E6053" s="1143"/>
      <c r="F6053" s="1145"/>
      <c r="G6053" s="1146"/>
      <c r="H6053" s="1147"/>
      <c r="J6053" s="1557"/>
      <c r="K6053" s="1557"/>
      <c r="L6053" s="1557"/>
      <c r="M6053" s="1566"/>
    </row>
    <row r="6054" spans="2:13" s="947" customFormat="1" hidden="1">
      <c r="B6054" s="1100" t="s">
        <v>4184</v>
      </c>
      <c r="C6054" s="1232" t="s">
        <v>4188</v>
      </c>
      <c r="D6054" s="1095"/>
      <c r="E6054" s="1095"/>
      <c r="F6054" s="1172"/>
      <c r="G6054" s="1173"/>
      <c r="H6054" s="1133"/>
      <c r="J6054" s="1557"/>
      <c r="K6054" s="1557"/>
      <c r="L6054" s="1557"/>
      <c r="M6054" s="1566"/>
    </row>
    <row r="6055" spans="2:13" s="948" customFormat="1" ht="24.9" hidden="1" customHeight="1">
      <c r="B6055" s="1748" t="s">
        <v>1003</v>
      </c>
      <c r="C6055" s="1101" t="s">
        <v>1004</v>
      </c>
      <c r="D6055" s="1101" t="s">
        <v>1005</v>
      </c>
      <c r="E6055" s="1101" t="s">
        <v>1006</v>
      </c>
      <c r="F6055" s="1102" t="s">
        <v>1007</v>
      </c>
      <c r="G6055" s="1109" t="s">
        <v>2637</v>
      </c>
      <c r="H6055" s="1110" t="s">
        <v>2638</v>
      </c>
      <c r="J6055" s="1625"/>
      <c r="K6055" s="1625"/>
      <c r="L6055" s="1625"/>
      <c r="M6055" s="1570"/>
    </row>
    <row r="6056" spans="2:13" s="947" customFormat="1" hidden="1">
      <c r="B6056" s="1543" t="s">
        <v>671</v>
      </c>
      <c r="C6056" s="1332" t="s">
        <v>672</v>
      </c>
      <c r="D6056" s="1331"/>
      <c r="E6056" s="1331"/>
      <c r="F6056" s="1334"/>
      <c r="G6056" s="1104"/>
      <c r="H6056" s="1106"/>
      <c r="J6056" s="1557"/>
      <c r="K6056" s="1557"/>
      <c r="L6056" s="1557"/>
      <c r="M6056" s="1566"/>
    </row>
    <row r="6057" spans="2:13" s="947" customFormat="1" hidden="1">
      <c r="B6057" s="1543"/>
      <c r="C6057" s="1332" t="s">
        <v>673</v>
      </c>
      <c r="D6057" s="1331" t="s">
        <v>674</v>
      </c>
      <c r="E6057" s="1331" t="s">
        <v>675</v>
      </c>
      <c r="F6057" s="1334">
        <v>2.8000000000000001E-2</v>
      </c>
      <c r="G6057" s="1104">
        <f>DUB!$I$10</f>
        <v>150000</v>
      </c>
      <c r="H6057" s="1106">
        <f>G6057*F6057</f>
        <v>4200</v>
      </c>
      <c r="J6057" s="1557"/>
      <c r="K6057" s="1557"/>
      <c r="L6057" s="1557"/>
      <c r="M6057" s="1566"/>
    </row>
    <row r="6058" spans="2:13" s="947" customFormat="1" hidden="1">
      <c r="B6058" s="1543"/>
      <c r="C6058" s="1332" t="s">
        <v>1368</v>
      </c>
      <c r="D6058" s="1331" t="s">
        <v>678</v>
      </c>
      <c r="E6058" s="1331" t="s">
        <v>675</v>
      </c>
      <c r="F6058" s="1334">
        <v>4.2000000000000003E-2</v>
      </c>
      <c r="G6058" s="1104">
        <f>DUB!$I$11</f>
        <v>187000</v>
      </c>
      <c r="H6058" s="1106">
        <f>G6058*F6058</f>
        <v>7854.0000000000009</v>
      </c>
      <c r="J6058" s="1557"/>
      <c r="K6058" s="1557"/>
      <c r="L6058" s="1557"/>
      <c r="M6058" s="1566"/>
    </row>
    <row r="6059" spans="2:13" s="947" customFormat="1" hidden="1">
      <c r="B6059" s="1543"/>
      <c r="C6059" s="1332" t="s">
        <v>751</v>
      </c>
      <c r="D6059" s="1331" t="s">
        <v>681</v>
      </c>
      <c r="E6059" s="1331" t="s">
        <v>675</v>
      </c>
      <c r="F6059" s="1334">
        <v>4.1999999999999997E-3</v>
      </c>
      <c r="G6059" s="1104">
        <f>DUB!$I$13</f>
        <v>240000</v>
      </c>
      <c r="H6059" s="1106">
        <f>G6059*F6059</f>
        <v>1007.9999999999999</v>
      </c>
      <c r="J6059" s="1557"/>
      <c r="K6059" s="1557"/>
      <c r="L6059" s="1557"/>
      <c r="M6059" s="1566"/>
    </row>
    <row r="6060" spans="2:13" s="947" customFormat="1" hidden="1">
      <c r="B6060" s="1543"/>
      <c r="C6060" s="1332" t="s">
        <v>683</v>
      </c>
      <c r="D6060" s="1331" t="s">
        <v>684</v>
      </c>
      <c r="E6060" s="1331" t="s">
        <v>675</v>
      </c>
      <c r="F6060" s="1334">
        <v>3.0000000000000001E-3</v>
      </c>
      <c r="G6060" s="1104">
        <f>DUB!$I$12</f>
        <v>225000</v>
      </c>
      <c r="H6060" s="1106">
        <f>G6060*F6060</f>
        <v>675</v>
      </c>
      <c r="J6060" s="1557"/>
      <c r="K6060" s="1557"/>
      <c r="L6060" s="1557"/>
      <c r="M6060" s="1566"/>
    </row>
    <row r="6061" spans="2:13" s="947" customFormat="1" hidden="1">
      <c r="B6061" s="1543"/>
      <c r="C6061" s="1332"/>
      <c r="D6061" s="1331"/>
      <c r="E6061" s="1331"/>
      <c r="F6061" s="2074" t="s">
        <v>685</v>
      </c>
      <c r="G6061" s="2074"/>
      <c r="H6061" s="1106">
        <f>SUM(H6057:H6060)</f>
        <v>13737</v>
      </c>
      <c r="J6061" s="1557"/>
      <c r="K6061" s="1557"/>
      <c r="L6061" s="1557"/>
      <c r="M6061" s="1566"/>
    </row>
    <row r="6062" spans="2:13" s="947" customFormat="1" hidden="1">
      <c r="B6062" s="1543" t="s">
        <v>686</v>
      </c>
      <c r="C6062" s="1332" t="s">
        <v>687</v>
      </c>
      <c r="D6062" s="1331"/>
      <c r="E6062" s="1331"/>
      <c r="F6062" s="1334"/>
      <c r="G6062" s="1104"/>
      <c r="H6062" s="1106"/>
      <c r="J6062" s="1557"/>
      <c r="K6062" s="1557"/>
      <c r="L6062" s="1557"/>
      <c r="M6062" s="1566"/>
    </row>
    <row r="6063" spans="2:13" s="947" customFormat="1" hidden="1">
      <c r="B6063" s="1543"/>
      <c r="C6063" s="1332" t="s">
        <v>3468</v>
      </c>
      <c r="D6063" s="1331"/>
      <c r="E6063" s="1331" t="s">
        <v>773</v>
      </c>
      <c r="F6063" s="1334">
        <v>0.1</v>
      </c>
      <c r="G6063" s="1104">
        <f>DUB!$I$322</f>
        <v>55960</v>
      </c>
      <c r="H6063" s="1106">
        <f>G6063*F6063</f>
        <v>5596</v>
      </c>
      <c r="J6063" s="1557"/>
      <c r="K6063" s="1557"/>
      <c r="L6063" s="1557"/>
      <c r="M6063" s="1566"/>
    </row>
    <row r="6064" spans="2:13" s="947" customFormat="1" hidden="1">
      <c r="B6064" s="1540"/>
      <c r="C6064" s="1332" t="s">
        <v>1371</v>
      </c>
      <c r="D6064" s="1331"/>
      <c r="E6064" s="1331" t="s">
        <v>690</v>
      </c>
      <c r="F6064" s="1334">
        <v>0.1</v>
      </c>
      <c r="G6064" s="1104">
        <f>DUB!$I$317</f>
        <v>55203</v>
      </c>
      <c r="H6064" s="1106">
        <f>G6064*F6064</f>
        <v>5520.3</v>
      </c>
      <c r="J6064" s="1557"/>
      <c r="K6064" s="1557"/>
      <c r="L6064" s="1557"/>
      <c r="M6064" s="1566"/>
    </row>
    <row r="6065" spans="2:13" s="947" customFormat="1" hidden="1">
      <c r="B6065" s="1540"/>
      <c r="C6065" s="1332" t="s">
        <v>1372</v>
      </c>
      <c r="D6065" s="1331"/>
      <c r="E6065" s="1331" t="s">
        <v>690</v>
      </c>
      <c r="F6065" s="1334">
        <v>0.26</v>
      </c>
      <c r="G6065" s="1104">
        <f>DUB!$I$309</f>
        <v>26775</v>
      </c>
      <c r="H6065" s="1106">
        <f>G6065*F6065</f>
        <v>6961.5</v>
      </c>
      <c r="J6065" s="1557"/>
      <c r="K6065" s="1557"/>
      <c r="L6065" s="1557"/>
      <c r="M6065" s="1566"/>
    </row>
    <row r="6066" spans="2:13" s="947" customFormat="1" hidden="1">
      <c r="B6066" s="1540"/>
      <c r="C6066" s="1125"/>
      <c r="D6066" s="1333"/>
      <c r="E6066" s="1333"/>
      <c r="F6066" s="2074" t="s">
        <v>702</v>
      </c>
      <c r="G6066" s="2074"/>
      <c r="H6066" s="1106">
        <f>SUM(H6063:H6065)</f>
        <v>18077.8</v>
      </c>
      <c r="J6066" s="1557"/>
      <c r="K6066" s="1557"/>
      <c r="L6066" s="1557"/>
      <c r="M6066" s="1566"/>
    </row>
    <row r="6067" spans="2:13" s="949" customFormat="1" hidden="1">
      <c r="B6067" s="1543" t="s">
        <v>703</v>
      </c>
      <c r="C6067" s="2075" t="s">
        <v>3764</v>
      </c>
      <c r="D6067" s="2075"/>
      <c r="E6067" s="2075"/>
      <c r="F6067" s="2075"/>
      <c r="G6067" s="2075"/>
      <c r="H6067" s="1107">
        <f>H6061+H6066</f>
        <v>31814.799999999999</v>
      </c>
      <c r="J6067" s="1559"/>
      <c r="K6067" s="1559"/>
      <c r="L6067" s="1559"/>
      <c r="M6067" s="1635"/>
    </row>
    <row r="6068" spans="2:13" s="949" customFormat="1" hidden="1">
      <c r="B6068" s="1543" t="s">
        <v>706</v>
      </c>
      <c r="C6068" s="2076" t="s">
        <v>876</v>
      </c>
      <c r="D6068" s="2076"/>
      <c r="E6068" s="2076"/>
      <c r="F6068" s="2077" t="s">
        <v>3873</v>
      </c>
      <c r="G6068" s="2077"/>
      <c r="H6068" s="1107">
        <f>H6067*0.15</f>
        <v>4772.2199999999993</v>
      </c>
      <c r="J6068" s="1559"/>
      <c r="K6068" s="1559"/>
      <c r="L6068" s="1559"/>
      <c r="M6068" s="1635"/>
    </row>
    <row r="6069" spans="2:13" s="949" customFormat="1" hidden="1">
      <c r="B6069" s="1543" t="s">
        <v>708</v>
      </c>
      <c r="C6069" s="2078" t="s">
        <v>3765</v>
      </c>
      <c r="D6069" s="2078"/>
      <c r="E6069" s="2078"/>
      <c r="F6069" s="2078"/>
      <c r="G6069" s="2078"/>
      <c r="H6069" s="1107">
        <f>ROUND(SUM(H6067:H6068),2)</f>
        <v>36587.019999999997</v>
      </c>
      <c r="I6069" s="950">
        <f>SUM(H6067:H6068)</f>
        <v>36587.019999999997</v>
      </c>
      <c r="J6069" s="1561"/>
      <c r="K6069" s="1561"/>
      <c r="L6069" s="1559"/>
      <c r="M6069" s="1635"/>
    </row>
    <row r="6070" spans="2:13" s="947" customFormat="1" hidden="1">
      <c r="B6070" s="1129"/>
      <c r="C6070" s="1130"/>
      <c r="D6070" s="1129"/>
      <c r="E6070" s="1130"/>
      <c r="F6070" s="1131"/>
      <c r="G6070" s="1132"/>
      <c r="H6070" s="1133"/>
      <c r="I6070" s="952"/>
      <c r="J6070" s="1562"/>
      <c r="K6070" s="1562"/>
      <c r="L6070" s="1557"/>
      <c r="M6070" s="1566"/>
    </row>
    <row r="6071" spans="2:13" s="947" customFormat="1" hidden="1">
      <c r="B6071" s="1100" t="s">
        <v>4185</v>
      </c>
      <c r="C6071" s="1232" t="s">
        <v>4189</v>
      </c>
      <c r="D6071" s="1095"/>
      <c r="E6071" s="1095"/>
      <c r="F6071" s="1172"/>
      <c r="G6071" s="1173"/>
      <c r="H6071" s="1133"/>
      <c r="J6071" s="1557"/>
      <c r="K6071" s="1557"/>
      <c r="L6071" s="1557"/>
      <c r="M6071" s="1566"/>
    </row>
    <row r="6072" spans="2:13" s="948" customFormat="1" ht="24.9" hidden="1" customHeight="1">
      <c r="B6072" s="1748" t="s">
        <v>1003</v>
      </c>
      <c r="C6072" s="1101" t="s">
        <v>1004</v>
      </c>
      <c r="D6072" s="1101" t="s">
        <v>1005</v>
      </c>
      <c r="E6072" s="1101" t="s">
        <v>1006</v>
      </c>
      <c r="F6072" s="1102" t="s">
        <v>1007</v>
      </c>
      <c r="G6072" s="1109" t="s">
        <v>2637</v>
      </c>
      <c r="H6072" s="1110" t="s">
        <v>2638</v>
      </c>
      <c r="J6072" s="1625"/>
      <c r="K6072" s="1625"/>
      <c r="L6072" s="1625"/>
      <c r="M6072" s="1570"/>
    </row>
    <row r="6073" spans="2:13" s="947" customFormat="1" hidden="1">
      <c r="B6073" s="1543" t="s">
        <v>671</v>
      </c>
      <c r="C6073" s="1332" t="s">
        <v>672</v>
      </c>
      <c r="D6073" s="1331"/>
      <c r="E6073" s="1331"/>
      <c r="F6073" s="1334"/>
      <c r="G6073" s="1104"/>
      <c r="H6073" s="1106"/>
      <c r="J6073" s="1557"/>
      <c r="K6073" s="1557"/>
      <c r="L6073" s="1557"/>
      <c r="M6073" s="1566"/>
    </row>
    <row r="6074" spans="2:13" s="947" customFormat="1" hidden="1">
      <c r="B6074" s="1543"/>
      <c r="C6074" s="1332" t="s">
        <v>673</v>
      </c>
      <c r="D6074" s="1331" t="s">
        <v>674</v>
      </c>
      <c r="E6074" s="1331" t="s">
        <v>675</v>
      </c>
      <c r="F6074" s="1334">
        <v>2.8000000000000001E-2</v>
      </c>
      <c r="G6074" s="1104">
        <f>DUB!$I$10</f>
        <v>150000</v>
      </c>
      <c r="H6074" s="1106">
        <f>G6074*F6074</f>
        <v>4200</v>
      </c>
      <c r="J6074" s="1557"/>
      <c r="K6074" s="1557"/>
      <c r="L6074" s="1557"/>
      <c r="M6074" s="1566"/>
    </row>
    <row r="6075" spans="2:13" s="947" customFormat="1" hidden="1">
      <c r="B6075" s="1543"/>
      <c r="C6075" s="1332" t="s">
        <v>1368</v>
      </c>
      <c r="D6075" s="1331" t="s">
        <v>678</v>
      </c>
      <c r="E6075" s="1331" t="s">
        <v>675</v>
      </c>
      <c r="F6075" s="1334">
        <v>4.2000000000000003E-2</v>
      </c>
      <c r="G6075" s="1104">
        <f>DUB!$I$11</f>
        <v>187000</v>
      </c>
      <c r="H6075" s="1106">
        <f>G6075*F6075</f>
        <v>7854.0000000000009</v>
      </c>
      <c r="J6075" s="1557"/>
      <c r="K6075" s="1557"/>
      <c r="L6075" s="1557"/>
      <c r="M6075" s="1566"/>
    </row>
    <row r="6076" spans="2:13" s="947" customFormat="1" hidden="1">
      <c r="B6076" s="1543"/>
      <c r="C6076" s="1332" t="s">
        <v>751</v>
      </c>
      <c r="D6076" s="1331" t="s">
        <v>681</v>
      </c>
      <c r="E6076" s="1331" t="s">
        <v>675</v>
      </c>
      <c r="F6076" s="1334">
        <v>4.1999999999999997E-3</v>
      </c>
      <c r="G6076" s="1104">
        <f>DUB!$I$13</f>
        <v>240000</v>
      </c>
      <c r="H6076" s="1106">
        <f>G6076*F6076</f>
        <v>1007.9999999999999</v>
      </c>
      <c r="J6076" s="1557"/>
      <c r="K6076" s="1557"/>
      <c r="L6076" s="1557"/>
      <c r="M6076" s="1566"/>
    </row>
    <row r="6077" spans="2:13" s="947" customFormat="1" hidden="1">
      <c r="B6077" s="1543"/>
      <c r="C6077" s="1332" t="s">
        <v>683</v>
      </c>
      <c r="D6077" s="1331" t="s">
        <v>684</v>
      </c>
      <c r="E6077" s="1331" t="s">
        <v>675</v>
      </c>
      <c r="F6077" s="1334">
        <v>3.0000000000000001E-3</v>
      </c>
      <c r="G6077" s="1104">
        <f>DUB!$I$12</f>
        <v>225000</v>
      </c>
      <c r="H6077" s="1106">
        <f>G6077*F6077</f>
        <v>675</v>
      </c>
      <c r="J6077" s="1557"/>
      <c r="K6077" s="1557"/>
      <c r="L6077" s="1557"/>
      <c r="M6077" s="1566"/>
    </row>
    <row r="6078" spans="2:13" s="947" customFormat="1" hidden="1">
      <c r="B6078" s="1543"/>
      <c r="C6078" s="1332"/>
      <c r="D6078" s="1331"/>
      <c r="E6078" s="1331"/>
      <c r="F6078" s="2074" t="s">
        <v>685</v>
      </c>
      <c r="G6078" s="2074"/>
      <c r="H6078" s="1106">
        <f>SUM(H6074:H6077)</f>
        <v>13737</v>
      </c>
      <c r="J6078" s="1557"/>
      <c r="K6078" s="1557"/>
      <c r="L6078" s="1557"/>
      <c r="M6078" s="1566"/>
    </row>
    <row r="6079" spans="2:13" s="947" customFormat="1" hidden="1">
      <c r="B6079" s="1543" t="s">
        <v>686</v>
      </c>
      <c r="C6079" s="1332" t="s">
        <v>687</v>
      </c>
      <c r="D6079" s="1331"/>
      <c r="E6079" s="1331"/>
      <c r="F6079" s="1334"/>
      <c r="G6079" s="1104"/>
      <c r="H6079" s="1106"/>
      <c r="J6079" s="1557"/>
      <c r="K6079" s="1557"/>
      <c r="L6079" s="1557"/>
      <c r="M6079" s="1566"/>
    </row>
    <row r="6080" spans="2:13" s="947" customFormat="1" hidden="1">
      <c r="B6080" s="1540"/>
      <c r="C6080" s="1332" t="s">
        <v>1371</v>
      </c>
      <c r="D6080" s="1331"/>
      <c r="E6080" s="1331" t="s">
        <v>690</v>
      </c>
      <c r="F6080" s="1334">
        <v>0.1</v>
      </c>
      <c r="G6080" s="1104">
        <f>DUB!$I$317</f>
        <v>55203</v>
      </c>
      <c r="H6080" s="1106">
        <f>G6080*F6080</f>
        <v>5520.3</v>
      </c>
      <c r="J6080" s="1557"/>
      <c r="K6080" s="1557"/>
      <c r="L6080" s="1557"/>
      <c r="M6080" s="1566"/>
    </row>
    <row r="6081" spans="2:13" s="947" customFormat="1" hidden="1">
      <c r="B6081" s="1540"/>
      <c r="C6081" s="1332" t="s">
        <v>1372</v>
      </c>
      <c r="D6081" s="1331"/>
      <c r="E6081" s="1331" t="s">
        <v>690</v>
      </c>
      <c r="F6081" s="1334">
        <v>0.26</v>
      </c>
      <c r="G6081" s="1104">
        <f>DUB!$I$309</f>
        <v>26775</v>
      </c>
      <c r="H6081" s="1106">
        <f>G6081*F6081</f>
        <v>6961.5</v>
      </c>
      <c r="J6081" s="1557"/>
      <c r="K6081" s="1557"/>
      <c r="L6081" s="1557"/>
      <c r="M6081" s="1566"/>
    </row>
    <row r="6082" spans="2:13" s="947" customFormat="1" hidden="1">
      <c r="B6082" s="1540"/>
      <c r="C6082" s="1125"/>
      <c r="D6082" s="1333"/>
      <c r="E6082" s="1333"/>
      <c r="F6082" s="2074" t="s">
        <v>702</v>
      </c>
      <c r="G6082" s="2074"/>
      <c r="H6082" s="1106">
        <f>SUM(H6080:H6081)</f>
        <v>12481.8</v>
      </c>
      <c r="J6082" s="1557"/>
      <c r="K6082" s="1557"/>
      <c r="L6082" s="1557"/>
      <c r="M6082" s="1566"/>
    </row>
    <row r="6083" spans="2:13" s="949" customFormat="1" hidden="1">
      <c r="B6083" s="1543" t="s">
        <v>703</v>
      </c>
      <c r="C6083" s="2075" t="s">
        <v>3764</v>
      </c>
      <c r="D6083" s="2075"/>
      <c r="E6083" s="2075"/>
      <c r="F6083" s="2075"/>
      <c r="G6083" s="2075"/>
      <c r="H6083" s="1107">
        <f>H6078+H6082</f>
        <v>26218.799999999999</v>
      </c>
      <c r="J6083" s="1559"/>
      <c r="K6083" s="1559"/>
      <c r="L6083" s="1559"/>
      <c r="M6083" s="1635"/>
    </row>
    <row r="6084" spans="2:13" s="949" customFormat="1" hidden="1">
      <c r="B6084" s="1543" t="s">
        <v>706</v>
      </c>
      <c r="C6084" s="2076" t="s">
        <v>876</v>
      </c>
      <c r="D6084" s="2076"/>
      <c r="E6084" s="2076"/>
      <c r="F6084" s="2077" t="s">
        <v>3873</v>
      </c>
      <c r="G6084" s="2077"/>
      <c r="H6084" s="1107">
        <f>H6083*0.15</f>
        <v>3932.8199999999997</v>
      </c>
      <c r="J6084" s="1559"/>
      <c r="K6084" s="1559"/>
      <c r="L6084" s="1559"/>
      <c r="M6084" s="1635"/>
    </row>
    <row r="6085" spans="2:13" s="949" customFormat="1" hidden="1">
      <c r="B6085" s="1543" t="s">
        <v>708</v>
      </c>
      <c r="C6085" s="2078" t="s">
        <v>3765</v>
      </c>
      <c r="D6085" s="2078"/>
      <c r="E6085" s="2078"/>
      <c r="F6085" s="2078"/>
      <c r="G6085" s="2078"/>
      <c r="H6085" s="1107">
        <f>ROUND(SUM(H6083:H6084),2)</f>
        <v>30151.62</v>
      </c>
      <c r="I6085" s="950">
        <f>SUM(H6083:H6084)</f>
        <v>30151.62</v>
      </c>
      <c r="J6085" s="1561"/>
      <c r="K6085" s="1561"/>
      <c r="L6085" s="1559"/>
      <c r="M6085" s="1635"/>
    </row>
    <row r="6086" spans="2:13" s="947" customFormat="1" hidden="1">
      <c r="B6086" s="1129"/>
      <c r="C6086" s="1130"/>
      <c r="D6086" s="1129"/>
      <c r="E6086" s="1130"/>
      <c r="F6086" s="1131"/>
      <c r="G6086" s="1132"/>
      <c r="H6086" s="1133"/>
      <c r="I6086" s="952"/>
      <c r="J6086" s="1562"/>
      <c r="K6086" s="1562"/>
      <c r="L6086" s="1557"/>
      <c r="M6086" s="1566"/>
    </row>
    <row r="6087" spans="2:13" s="947" customFormat="1" hidden="1">
      <c r="B6087" s="1100" t="s">
        <v>4186</v>
      </c>
      <c r="C6087" s="1232" t="s">
        <v>4190</v>
      </c>
      <c r="D6087" s="1095"/>
      <c r="E6087" s="1095"/>
      <c r="F6087" s="1172"/>
      <c r="G6087" s="1173"/>
      <c r="H6087" s="1133"/>
      <c r="J6087" s="1557"/>
      <c r="K6087" s="1557"/>
      <c r="L6087" s="1557"/>
      <c r="M6087" s="1566"/>
    </row>
    <row r="6088" spans="2:13" s="948" customFormat="1" ht="24.9" hidden="1" customHeight="1">
      <c r="B6088" s="1748" t="s">
        <v>1003</v>
      </c>
      <c r="C6088" s="1101" t="s">
        <v>1004</v>
      </c>
      <c r="D6088" s="1101" t="s">
        <v>1005</v>
      </c>
      <c r="E6088" s="1101" t="s">
        <v>1006</v>
      </c>
      <c r="F6088" s="1102" t="s">
        <v>1007</v>
      </c>
      <c r="G6088" s="1109" t="s">
        <v>2637</v>
      </c>
      <c r="H6088" s="1110" t="s">
        <v>2638</v>
      </c>
      <c r="J6088" s="1625"/>
      <c r="K6088" s="1625"/>
      <c r="L6088" s="1625"/>
      <c r="M6088" s="1570"/>
    </row>
    <row r="6089" spans="2:13" s="947" customFormat="1" hidden="1">
      <c r="B6089" s="1543" t="s">
        <v>671</v>
      </c>
      <c r="C6089" s="1332" t="s">
        <v>672</v>
      </c>
      <c r="D6089" s="1331"/>
      <c r="E6089" s="1331"/>
      <c r="F6089" s="1334"/>
      <c r="G6089" s="1104"/>
      <c r="H6089" s="1106"/>
      <c r="J6089" s="1557"/>
      <c r="K6089" s="1557"/>
      <c r="L6089" s="1557"/>
      <c r="M6089" s="1566"/>
    </row>
    <row r="6090" spans="2:13" s="947" customFormat="1" hidden="1">
      <c r="B6090" s="1543"/>
      <c r="C6090" s="1332" t="s">
        <v>673</v>
      </c>
      <c r="D6090" s="1331" t="s">
        <v>674</v>
      </c>
      <c r="E6090" s="1331" t="s">
        <v>675</v>
      </c>
      <c r="F6090" s="1334">
        <v>2.8000000000000001E-2</v>
      </c>
      <c r="G6090" s="1104">
        <f>DUB!$I$10</f>
        <v>150000</v>
      </c>
      <c r="H6090" s="1106">
        <f>G6090*F6090</f>
        <v>4200</v>
      </c>
      <c r="J6090" s="1557"/>
      <c r="K6090" s="1557"/>
      <c r="L6090" s="1557"/>
      <c r="M6090" s="1566"/>
    </row>
    <row r="6091" spans="2:13" s="947" customFormat="1" hidden="1">
      <c r="B6091" s="1543"/>
      <c r="C6091" s="1332" t="s">
        <v>1368</v>
      </c>
      <c r="D6091" s="1331" t="s">
        <v>678</v>
      </c>
      <c r="E6091" s="1331" t="s">
        <v>675</v>
      </c>
      <c r="F6091" s="1334">
        <v>4.2000000000000003E-2</v>
      </c>
      <c r="G6091" s="1104">
        <f>DUB!$I$11</f>
        <v>187000</v>
      </c>
      <c r="H6091" s="1106">
        <f>G6091*F6091</f>
        <v>7854.0000000000009</v>
      </c>
      <c r="J6091" s="1557"/>
      <c r="K6091" s="1557"/>
      <c r="L6091" s="1557"/>
      <c r="M6091" s="1566"/>
    </row>
    <row r="6092" spans="2:13" s="947" customFormat="1" hidden="1">
      <c r="B6092" s="1543"/>
      <c r="C6092" s="1332" t="s">
        <v>751</v>
      </c>
      <c r="D6092" s="1331" t="s">
        <v>681</v>
      </c>
      <c r="E6092" s="1331" t="s">
        <v>675</v>
      </c>
      <c r="F6092" s="1334">
        <v>4.1999999999999997E-3</v>
      </c>
      <c r="G6092" s="1104">
        <f>DUB!$I$13</f>
        <v>240000</v>
      </c>
      <c r="H6092" s="1106">
        <f>G6092*F6092</f>
        <v>1007.9999999999999</v>
      </c>
      <c r="J6092" s="1557"/>
      <c r="K6092" s="1557"/>
      <c r="L6092" s="1557"/>
      <c r="M6092" s="1566"/>
    </row>
    <row r="6093" spans="2:13" s="947" customFormat="1" hidden="1">
      <c r="B6093" s="1543"/>
      <c r="C6093" s="1332" t="s">
        <v>683</v>
      </c>
      <c r="D6093" s="1331" t="s">
        <v>684</v>
      </c>
      <c r="E6093" s="1331" t="s">
        <v>675</v>
      </c>
      <c r="F6093" s="1334">
        <v>3.0000000000000001E-3</v>
      </c>
      <c r="G6093" s="1104">
        <f>DUB!$I$12</f>
        <v>225000</v>
      </c>
      <c r="H6093" s="1106">
        <f>G6093*F6093</f>
        <v>675</v>
      </c>
      <c r="J6093" s="1557"/>
      <c r="K6093" s="1557"/>
      <c r="L6093" s="1557"/>
      <c r="M6093" s="1566"/>
    </row>
    <row r="6094" spans="2:13" s="947" customFormat="1" hidden="1">
      <c r="B6094" s="1543"/>
      <c r="C6094" s="1332"/>
      <c r="D6094" s="1331"/>
      <c r="E6094" s="1331"/>
      <c r="F6094" s="2074" t="s">
        <v>685</v>
      </c>
      <c r="G6094" s="2074"/>
      <c r="H6094" s="1106">
        <f>SUM(H6090:H6093)</f>
        <v>13737</v>
      </c>
      <c r="J6094" s="1557"/>
      <c r="K6094" s="1557"/>
      <c r="L6094" s="1557"/>
      <c r="M6094" s="1566"/>
    </row>
    <row r="6095" spans="2:13" s="947" customFormat="1" hidden="1">
      <c r="B6095" s="1543" t="s">
        <v>686</v>
      </c>
      <c r="C6095" s="1332" t="s">
        <v>687</v>
      </c>
      <c r="D6095" s="1331"/>
      <c r="E6095" s="1331"/>
      <c r="F6095" s="1334"/>
      <c r="G6095" s="1104"/>
      <c r="H6095" s="1106"/>
      <c r="J6095" s="1557"/>
      <c r="K6095" s="1557"/>
      <c r="L6095" s="1557"/>
      <c r="M6095" s="1566"/>
    </row>
    <row r="6096" spans="2:13" s="947" customFormat="1" hidden="1">
      <c r="B6096" s="1540"/>
      <c r="C6096" s="1332" t="s">
        <v>1372</v>
      </c>
      <c r="D6096" s="1331"/>
      <c r="E6096" s="1331" t="s">
        <v>690</v>
      </c>
      <c r="F6096" s="1334">
        <v>0.26</v>
      </c>
      <c r="G6096" s="1104">
        <f>DUB!$I$309</f>
        <v>26775</v>
      </c>
      <c r="H6096" s="1106">
        <f>G6096*F6096</f>
        <v>6961.5</v>
      </c>
      <c r="J6096" s="1557"/>
      <c r="K6096" s="1557"/>
      <c r="L6096" s="1557"/>
      <c r="M6096" s="1566"/>
    </row>
    <row r="6097" spans="2:13" s="947" customFormat="1" hidden="1">
      <c r="B6097" s="1540"/>
      <c r="C6097" s="1125"/>
      <c r="D6097" s="1333"/>
      <c r="E6097" s="1333"/>
      <c r="F6097" s="2074" t="s">
        <v>702</v>
      </c>
      <c r="G6097" s="2074"/>
      <c r="H6097" s="1106">
        <f>SUM(H6096:H6096)</f>
        <v>6961.5</v>
      </c>
      <c r="J6097" s="1557"/>
      <c r="K6097" s="1557"/>
      <c r="L6097" s="1557"/>
      <c r="M6097" s="1566"/>
    </row>
    <row r="6098" spans="2:13" s="949" customFormat="1" hidden="1">
      <c r="B6098" s="1543" t="s">
        <v>703</v>
      </c>
      <c r="C6098" s="2075" t="s">
        <v>3764</v>
      </c>
      <c r="D6098" s="2075"/>
      <c r="E6098" s="2075"/>
      <c r="F6098" s="2075"/>
      <c r="G6098" s="2075"/>
      <c r="H6098" s="1107">
        <f>H6094+H6097</f>
        <v>20698.5</v>
      </c>
      <c r="J6098" s="1559"/>
      <c r="K6098" s="1559"/>
      <c r="L6098" s="1559"/>
      <c r="M6098" s="1635"/>
    </row>
    <row r="6099" spans="2:13" s="949" customFormat="1" hidden="1">
      <c r="B6099" s="1543" t="s">
        <v>706</v>
      </c>
      <c r="C6099" s="2076" t="s">
        <v>876</v>
      </c>
      <c r="D6099" s="2076"/>
      <c r="E6099" s="2076"/>
      <c r="F6099" s="2077" t="s">
        <v>3873</v>
      </c>
      <c r="G6099" s="2077"/>
      <c r="H6099" s="1107">
        <f>H6098*0.15</f>
        <v>3104.7750000000001</v>
      </c>
      <c r="J6099" s="1559"/>
      <c r="K6099" s="1559"/>
      <c r="L6099" s="1559"/>
      <c r="M6099" s="1635"/>
    </row>
    <row r="6100" spans="2:13" s="949" customFormat="1" hidden="1">
      <c r="B6100" s="1543" t="s">
        <v>708</v>
      </c>
      <c r="C6100" s="2078" t="s">
        <v>3765</v>
      </c>
      <c r="D6100" s="2078"/>
      <c r="E6100" s="2078"/>
      <c r="F6100" s="2078"/>
      <c r="G6100" s="2078"/>
      <c r="H6100" s="1107">
        <f>ROUND(SUM(H6098:H6099),2)</f>
        <v>23803.279999999999</v>
      </c>
      <c r="I6100" s="950">
        <f>SUM(H6098:H6099)</f>
        <v>23803.275000000001</v>
      </c>
      <c r="J6100" s="1561"/>
      <c r="K6100" s="1561"/>
      <c r="L6100" s="1559"/>
      <c r="M6100" s="1635"/>
    </row>
    <row r="6101" spans="2:13" s="947" customFormat="1" hidden="1">
      <c r="B6101" s="1143"/>
      <c r="C6101" s="1144"/>
      <c r="D6101" s="1143"/>
      <c r="E6101" s="1143"/>
      <c r="F6101" s="1145"/>
      <c r="G6101" s="1146"/>
      <c r="H6101" s="1147"/>
      <c r="J6101" s="1557"/>
      <c r="K6101" s="1557"/>
      <c r="L6101" s="1557"/>
      <c r="M6101" s="1566"/>
    </row>
    <row r="6102" spans="2:13" s="947" customFormat="1" hidden="1">
      <c r="B6102" s="1100" t="s">
        <v>4191</v>
      </c>
      <c r="C6102" s="1112" t="s">
        <v>2742</v>
      </c>
      <c r="D6102" s="1129"/>
      <c r="E6102" s="1129"/>
      <c r="F6102" s="1131"/>
      <c r="G6102" s="1132"/>
      <c r="H6102" s="1115"/>
      <c r="J6102" s="1557"/>
      <c r="K6102" s="1557"/>
      <c r="L6102" s="1557"/>
      <c r="M6102" s="1566"/>
    </row>
    <row r="6103" spans="2:13" s="948" customFormat="1" ht="24.9" hidden="1" customHeight="1">
      <c r="B6103" s="1748" t="s">
        <v>1003</v>
      </c>
      <c r="C6103" s="1101" t="s">
        <v>1004</v>
      </c>
      <c r="D6103" s="1101" t="s">
        <v>1005</v>
      </c>
      <c r="E6103" s="1101" t="s">
        <v>1006</v>
      </c>
      <c r="F6103" s="1102" t="s">
        <v>1007</v>
      </c>
      <c r="G6103" s="1109" t="s">
        <v>2637</v>
      </c>
      <c r="H6103" s="1110" t="s">
        <v>2638</v>
      </c>
      <c r="J6103" s="1625"/>
      <c r="K6103" s="1625"/>
      <c r="L6103" s="1625"/>
      <c r="M6103" s="1570"/>
    </row>
    <row r="6104" spans="2:13" s="947" customFormat="1" hidden="1">
      <c r="B6104" s="1543" t="s">
        <v>671</v>
      </c>
      <c r="C6104" s="1332" t="s">
        <v>672</v>
      </c>
      <c r="D6104" s="1331"/>
      <c r="E6104" s="1331"/>
      <c r="F6104" s="1334"/>
      <c r="G6104" s="1104"/>
      <c r="H6104" s="1106"/>
      <c r="J6104" s="1557"/>
      <c r="K6104" s="1557"/>
      <c r="L6104" s="1557"/>
      <c r="M6104" s="1566"/>
    </row>
    <row r="6105" spans="2:13" s="947" customFormat="1" hidden="1">
      <c r="B6105" s="1543"/>
      <c r="C6105" s="1332" t="s">
        <v>673</v>
      </c>
      <c r="D6105" s="1331" t="s">
        <v>674</v>
      </c>
      <c r="E6105" s="1331" t="s">
        <v>675</v>
      </c>
      <c r="F6105" s="1334">
        <v>0.04</v>
      </c>
      <c r="G6105" s="1104">
        <f>DUB!$I$10</f>
        <v>150000</v>
      </c>
      <c r="H6105" s="1106">
        <f>G6105*F6105</f>
        <v>6000</v>
      </c>
      <c r="J6105" s="1557"/>
      <c r="K6105" s="1557"/>
      <c r="L6105" s="1557"/>
      <c r="M6105" s="1566"/>
    </row>
    <row r="6106" spans="2:13" s="947" customFormat="1" hidden="1">
      <c r="B6106" s="1543"/>
      <c r="C6106" s="1332" t="s">
        <v>1368</v>
      </c>
      <c r="D6106" s="1331" t="s">
        <v>678</v>
      </c>
      <c r="E6106" s="1331" t="s">
        <v>675</v>
      </c>
      <c r="F6106" s="1334">
        <v>5.0000000000000001E-3</v>
      </c>
      <c r="G6106" s="1104">
        <f>DUB!$I$11</f>
        <v>187000</v>
      </c>
      <c r="H6106" s="1106">
        <f>G6106*F6106</f>
        <v>935</v>
      </c>
      <c r="J6106" s="1557"/>
      <c r="K6106" s="1557"/>
      <c r="L6106" s="1557"/>
      <c r="M6106" s="1566"/>
    </row>
    <row r="6107" spans="2:13" s="947" customFormat="1" hidden="1">
      <c r="B6107" s="1543"/>
      <c r="C6107" s="1332" t="s">
        <v>751</v>
      </c>
      <c r="D6107" s="1331" t="s">
        <v>681</v>
      </c>
      <c r="E6107" s="1331" t="s">
        <v>675</v>
      </c>
      <c r="F6107" s="1334">
        <v>5.0000000000000001E-4</v>
      </c>
      <c r="G6107" s="1104">
        <f>DUB!$I$13</f>
        <v>240000</v>
      </c>
      <c r="H6107" s="1106">
        <f>G6107*F6107</f>
        <v>120</v>
      </c>
      <c r="J6107" s="1557"/>
      <c r="K6107" s="1557"/>
      <c r="L6107" s="1557"/>
      <c r="M6107" s="1566"/>
    </row>
    <row r="6108" spans="2:13" s="947" customFormat="1" hidden="1">
      <c r="B6108" s="1543"/>
      <c r="C6108" s="1332" t="s">
        <v>683</v>
      </c>
      <c r="D6108" s="1331" t="s">
        <v>684</v>
      </c>
      <c r="E6108" s="1331" t="s">
        <v>675</v>
      </c>
      <c r="F6108" s="1334">
        <v>2.5000000000000001E-3</v>
      </c>
      <c r="G6108" s="1104">
        <f>DUB!$I$12</f>
        <v>225000</v>
      </c>
      <c r="H6108" s="1106">
        <f>G6108*F6108</f>
        <v>562.5</v>
      </c>
      <c r="J6108" s="1557"/>
      <c r="K6108" s="1557"/>
      <c r="L6108" s="1557"/>
      <c r="M6108" s="1566"/>
    </row>
    <row r="6109" spans="2:13" s="947" customFormat="1" hidden="1">
      <c r="B6109" s="1543"/>
      <c r="C6109" s="1332"/>
      <c r="D6109" s="1331"/>
      <c r="E6109" s="1331"/>
      <c r="F6109" s="2074" t="s">
        <v>685</v>
      </c>
      <c r="G6109" s="2074"/>
      <c r="H6109" s="1106">
        <f>SUM(H6105:H6108)</f>
        <v>7617.5</v>
      </c>
      <c r="J6109" s="1557"/>
      <c r="K6109" s="1557"/>
      <c r="L6109" s="1557"/>
      <c r="M6109" s="1566"/>
    </row>
    <row r="6110" spans="2:13" s="947" customFormat="1" hidden="1">
      <c r="B6110" s="1543" t="s">
        <v>686</v>
      </c>
      <c r="C6110" s="1332" t="s">
        <v>687</v>
      </c>
      <c r="D6110" s="1331"/>
      <c r="E6110" s="1331"/>
      <c r="F6110" s="1334"/>
      <c r="G6110" s="1104"/>
      <c r="H6110" s="1106"/>
      <c r="J6110" s="1557"/>
      <c r="K6110" s="1557"/>
      <c r="L6110" s="1557"/>
      <c r="M6110" s="1566"/>
    </row>
    <row r="6111" spans="2:13" s="947" customFormat="1" hidden="1">
      <c r="B6111" s="1540"/>
      <c r="C6111" s="1332" t="s">
        <v>1389</v>
      </c>
      <c r="D6111" s="1331"/>
      <c r="E6111" s="1331" t="s">
        <v>690</v>
      </c>
      <c r="F6111" s="1334">
        <v>0.3</v>
      </c>
      <c r="G6111" s="1104">
        <f>DUB!$I$330</f>
        <v>12852</v>
      </c>
      <c r="H6111" s="1106">
        <f>G6111*F6111</f>
        <v>3855.6</v>
      </c>
      <c r="J6111" s="1557"/>
      <c r="K6111" s="1557"/>
      <c r="L6111" s="1557"/>
      <c r="M6111" s="1566"/>
    </row>
    <row r="6112" spans="2:13" s="947" customFormat="1" hidden="1">
      <c r="B6112" s="1540"/>
      <c r="C6112" s="1332" t="s">
        <v>1375</v>
      </c>
      <c r="D6112" s="1331"/>
      <c r="E6112" s="1331" t="s">
        <v>715</v>
      </c>
      <c r="F6112" s="1334">
        <v>0.2</v>
      </c>
      <c r="G6112" s="1104">
        <f>DUB!$I$464</f>
        <v>3744</v>
      </c>
      <c r="H6112" s="1106">
        <f>G6112*F6112</f>
        <v>748.80000000000007</v>
      </c>
      <c r="J6112" s="1557"/>
      <c r="K6112" s="1557"/>
      <c r="L6112" s="1557"/>
      <c r="M6112" s="1566"/>
    </row>
    <row r="6113" spans="2:13" s="947" customFormat="1" hidden="1">
      <c r="B6113" s="1540"/>
      <c r="C6113" s="1332" t="s">
        <v>1390</v>
      </c>
      <c r="D6113" s="1331"/>
      <c r="E6113" s="1331" t="s">
        <v>1391</v>
      </c>
      <c r="F6113" s="1334">
        <v>0.25</v>
      </c>
      <c r="G6113" s="1104">
        <f>DUB!$I$331</f>
        <v>10710</v>
      </c>
      <c r="H6113" s="1106">
        <f>G6113*F6113</f>
        <v>2677.5</v>
      </c>
      <c r="J6113" s="1557"/>
      <c r="K6113" s="1557"/>
      <c r="L6113" s="1557"/>
      <c r="M6113" s="1566"/>
    </row>
    <row r="6114" spans="2:13" s="947" customFormat="1" hidden="1">
      <c r="B6114" s="1540"/>
      <c r="C6114" s="1125"/>
      <c r="D6114" s="1333"/>
      <c r="E6114" s="1333"/>
      <c r="F6114" s="2074" t="s">
        <v>702</v>
      </c>
      <c r="G6114" s="2074"/>
      <c r="H6114" s="1106">
        <f>SUM(H6111:H6113)</f>
        <v>7281.9</v>
      </c>
      <c r="J6114" s="1557"/>
      <c r="K6114" s="1557"/>
      <c r="L6114" s="1557"/>
      <c r="M6114" s="1566"/>
    </row>
    <row r="6115" spans="2:13" s="949" customFormat="1" hidden="1">
      <c r="B6115" s="1543" t="s">
        <v>703</v>
      </c>
      <c r="C6115" s="2075" t="s">
        <v>3764</v>
      </c>
      <c r="D6115" s="2075"/>
      <c r="E6115" s="2075"/>
      <c r="F6115" s="2075"/>
      <c r="G6115" s="2075"/>
      <c r="H6115" s="1107">
        <f>H6109+H6114</f>
        <v>14899.4</v>
      </c>
      <c r="J6115" s="1559"/>
      <c r="K6115" s="1559"/>
      <c r="L6115" s="1559"/>
      <c r="M6115" s="1635"/>
    </row>
    <row r="6116" spans="2:13" s="949" customFormat="1" hidden="1">
      <c r="B6116" s="1543" t="s">
        <v>706</v>
      </c>
      <c r="C6116" s="2076" t="s">
        <v>876</v>
      </c>
      <c r="D6116" s="2076"/>
      <c r="E6116" s="2076"/>
      <c r="F6116" s="2077" t="s">
        <v>3873</v>
      </c>
      <c r="G6116" s="2077"/>
      <c r="H6116" s="1107">
        <f>H6115*0.15</f>
        <v>2234.91</v>
      </c>
      <c r="J6116" s="1559"/>
      <c r="K6116" s="1559"/>
      <c r="L6116" s="1559"/>
      <c r="M6116" s="1635"/>
    </row>
    <row r="6117" spans="2:13" s="949" customFormat="1" hidden="1">
      <c r="B6117" s="1543" t="s">
        <v>708</v>
      </c>
      <c r="C6117" s="2078" t="s">
        <v>3765</v>
      </c>
      <c r="D6117" s="2078"/>
      <c r="E6117" s="2078"/>
      <c r="F6117" s="2078"/>
      <c r="G6117" s="2078"/>
      <c r="H6117" s="1107">
        <f>ROUND(SUM(H6115:H6116),2)</f>
        <v>17134.310000000001</v>
      </c>
      <c r="I6117" s="950">
        <f>SUM(H6115:H6116)</f>
        <v>17134.309999999998</v>
      </c>
      <c r="J6117" s="1561"/>
      <c r="K6117" s="1561"/>
      <c r="L6117" s="1559"/>
      <c r="M6117" s="1635"/>
    </row>
    <row r="6118" spans="2:13" s="947" customFormat="1" hidden="1">
      <c r="B6118" s="1095"/>
      <c r="C6118" s="1096"/>
      <c r="D6118" s="1095"/>
      <c r="E6118" s="1095"/>
      <c r="F6118" s="1172"/>
      <c r="G6118" s="1173"/>
      <c r="H6118" s="1133"/>
      <c r="J6118" s="1557"/>
      <c r="K6118" s="1557"/>
      <c r="L6118" s="1557"/>
      <c r="M6118" s="1566"/>
    </row>
    <row r="6119" spans="2:13" s="947" customFormat="1" hidden="1">
      <c r="B6119" s="1143"/>
      <c r="C6119" s="1144"/>
      <c r="D6119" s="1143"/>
      <c r="E6119" s="1143"/>
      <c r="F6119" s="1145"/>
      <c r="G6119" s="1146"/>
      <c r="H6119" s="1147"/>
      <c r="J6119" s="1557"/>
      <c r="K6119" s="1557"/>
      <c r="L6119" s="1557"/>
      <c r="M6119" s="1566"/>
    </row>
    <row r="6120" spans="2:13" s="947" customFormat="1" hidden="1">
      <c r="B6120" s="1100" t="s">
        <v>4192</v>
      </c>
      <c r="C6120" s="1112" t="s">
        <v>2741</v>
      </c>
      <c r="D6120" s="1129"/>
      <c r="E6120" s="1129"/>
      <c r="F6120" s="1131"/>
      <c r="G6120" s="1132"/>
      <c r="H6120" s="1115"/>
      <c r="J6120" s="1557"/>
      <c r="K6120" s="1557"/>
      <c r="L6120" s="1557"/>
      <c r="M6120" s="1566"/>
    </row>
    <row r="6121" spans="2:13" s="948" customFormat="1" ht="24.9" hidden="1" customHeight="1">
      <c r="B6121" s="1748" t="s">
        <v>1003</v>
      </c>
      <c r="C6121" s="1101" t="s">
        <v>1004</v>
      </c>
      <c r="D6121" s="1101" t="s">
        <v>1005</v>
      </c>
      <c r="E6121" s="1101" t="s">
        <v>1006</v>
      </c>
      <c r="F6121" s="1102" t="s">
        <v>1007</v>
      </c>
      <c r="G6121" s="1109" t="s">
        <v>2637</v>
      </c>
      <c r="H6121" s="1110" t="s">
        <v>2638</v>
      </c>
      <c r="J6121" s="1625"/>
      <c r="K6121" s="1625"/>
      <c r="L6121" s="1625"/>
      <c r="M6121" s="1570"/>
    </row>
    <row r="6122" spans="2:13" s="947" customFormat="1" hidden="1">
      <c r="B6122" s="1543" t="s">
        <v>671</v>
      </c>
      <c r="C6122" s="1332" t="s">
        <v>672</v>
      </c>
      <c r="D6122" s="1331"/>
      <c r="E6122" s="1331"/>
      <c r="F6122" s="1334"/>
      <c r="G6122" s="1104"/>
      <c r="H6122" s="1106"/>
      <c r="J6122" s="1557"/>
      <c r="K6122" s="1557"/>
      <c r="L6122" s="1557"/>
      <c r="M6122" s="1566"/>
    </row>
    <row r="6123" spans="2:13" s="947" customFormat="1" hidden="1">
      <c r="B6123" s="1543"/>
      <c r="C6123" s="1332" t="s">
        <v>673</v>
      </c>
      <c r="D6123" s="1331" t="s">
        <v>674</v>
      </c>
      <c r="E6123" s="1331" t="s">
        <v>675</v>
      </c>
      <c r="F6123" s="1334">
        <v>0.02</v>
      </c>
      <c r="G6123" s="1104">
        <f>DUB!$I$10</f>
        <v>150000</v>
      </c>
      <c r="H6123" s="1106">
        <f>G6123*F6123</f>
        <v>3000</v>
      </c>
      <c r="J6123" s="1557"/>
      <c r="K6123" s="1557"/>
      <c r="L6123" s="1557"/>
      <c r="M6123" s="1566"/>
    </row>
    <row r="6124" spans="2:13" s="947" customFormat="1" hidden="1">
      <c r="B6124" s="1543"/>
      <c r="C6124" s="1332" t="s">
        <v>1368</v>
      </c>
      <c r="D6124" s="1331" t="s">
        <v>678</v>
      </c>
      <c r="E6124" s="1331" t="s">
        <v>675</v>
      </c>
      <c r="F6124" s="1334">
        <v>0.2</v>
      </c>
      <c r="G6124" s="1104">
        <f>DUB!$I$11</f>
        <v>187000</v>
      </c>
      <c r="H6124" s="1106">
        <f>G6124*F6124</f>
        <v>37400</v>
      </c>
      <c r="J6124" s="1557"/>
      <c r="K6124" s="1557"/>
      <c r="L6124" s="1557"/>
      <c r="M6124" s="1566"/>
    </row>
    <row r="6125" spans="2:13" s="947" customFormat="1" hidden="1">
      <c r="B6125" s="1543"/>
      <c r="C6125" s="1332" t="s">
        <v>751</v>
      </c>
      <c r="D6125" s="1331" t="s">
        <v>681</v>
      </c>
      <c r="E6125" s="1331" t="s">
        <v>675</v>
      </c>
      <c r="F6125" s="1334">
        <v>0.02</v>
      </c>
      <c r="G6125" s="1104">
        <f>DUB!$I$13</f>
        <v>240000</v>
      </c>
      <c r="H6125" s="1106">
        <f>G6125*F6125</f>
        <v>4800</v>
      </c>
      <c r="J6125" s="1557"/>
      <c r="K6125" s="1557"/>
      <c r="L6125" s="1557"/>
      <c r="M6125" s="1566"/>
    </row>
    <row r="6126" spans="2:13" s="947" customFormat="1" hidden="1">
      <c r="B6126" s="1543"/>
      <c r="C6126" s="1332" t="s">
        <v>683</v>
      </c>
      <c r="D6126" s="1331" t="s">
        <v>684</v>
      </c>
      <c r="E6126" s="1331" t="s">
        <v>675</v>
      </c>
      <c r="F6126" s="1334">
        <v>2.5000000000000001E-3</v>
      </c>
      <c r="G6126" s="1104">
        <f>DUB!$I$12</f>
        <v>225000</v>
      </c>
      <c r="H6126" s="1106">
        <f>G6126*F6126</f>
        <v>562.5</v>
      </c>
      <c r="J6126" s="1557"/>
      <c r="K6126" s="1557"/>
      <c r="L6126" s="1557"/>
      <c r="M6126" s="1566"/>
    </row>
    <row r="6127" spans="2:13" s="947" customFormat="1" hidden="1">
      <c r="B6127" s="1543"/>
      <c r="C6127" s="1332"/>
      <c r="D6127" s="1331"/>
      <c r="E6127" s="1331"/>
      <c r="F6127" s="2074" t="s">
        <v>685</v>
      </c>
      <c r="G6127" s="2074"/>
      <c r="H6127" s="1106">
        <f>SUM(H6123:H6126)</f>
        <v>45762.5</v>
      </c>
      <c r="J6127" s="1557"/>
      <c r="K6127" s="1557"/>
      <c r="L6127" s="1557"/>
      <c r="M6127" s="1566"/>
    </row>
    <row r="6128" spans="2:13" s="947" customFormat="1" hidden="1">
      <c r="B6128" s="1543" t="s">
        <v>686</v>
      </c>
      <c r="C6128" s="1332" t="s">
        <v>687</v>
      </c>
      <c r="D6128" s="1331"/>
      <c r="E6128" s="1331"/>
      <c r="F6128" s="1334"/>
      <c r="G6128" s="1104"/>
      <c r="H6128" s="1106"/>
      <c r="J6128" s="1557"/>
      <c r="K6128" s="1557"/>
      <c r="L6128" s="1557"/>
      <c r="M6128" s="1566"/>
    </row>
    <row r="6129" spans="2:13" s="947" customFormat="1" hidden="1">
      <c r="B6129" s="1543"/>
      <c r="C6129" s="1332" t="s">
        <v>1394</v>
      </c>
      <c r="D6129" s="1331"/>
      <c r="E6129" s="1331" t="s">
        <v>690</v>
      </c>
      <c r="F6129" s="1334">
        <v>0.1</v>
      </c>
      <c r="G6129" s="1104">
        <f>DUB!$I$315</f>
        <v>85293</v>
      </c>
      <c r="H6129" s="1106">
        <f>G6129*F6129</f>
        <v>8529.3000000000011</v>
      </c>
      <c r="J6129" s="1557"/>
      <c r="K6129" s="1557"/>
      <c r="L6129" s="1557"/>
      <c r="M6129" s="1566"/>
    </row>
    <row r="6130" spans="2:13" s="947" customFormat="1" hidden="1">
      <c r="B6130" s="1540"/>
      <c r="C6130" s="1332" t="s">
        <v>1395</v>
      </c>
      <c r="D6130" s="1331"/>
      <c r="E6130" s="1331" t="s">
        <v>743</v>
      </c>
      <c r="F6130" s="1334">
        <v>0.01</v>
      </c>
      <c r="G6130" s="1104">
        <f>DUB!$I$465</f>
        <v>27600</v>
      </c>
      <c r="H6130" s="1106">
        <f>G6130*F6130</f>
        <v>276</v>
      </c>
      <c r="J6130" s="1557"/>
      <c r="K6130" s="1557"/>
      <c r="L6130" s="1557"/>
      <c r="M6130" s="1566"/>
    </row>
    <row r="6131" spans="2:13" s="947" customFormat="1" hidden="1">
      <c r="B6131" s="1540"/>
      <c r="C6131" s="1125"/>
      <c r="D6131" s="1333"/>
      <c r="E6131" s="1333"/>
      <c r="F6131" s="2074" t="s">
        <v>702</v>
      </c>
      <c r="G6131" s="2074"/>
      <c r="H6131" s="1106">
        <f>SUM(H6129:H6130)</f>
        <v>8805.3000000000011</v>
      </c>
      <c r="J6131" s="1557"/>
      <c r="K6131" s="1557"/>
      <c r="L6131" s="1557"/>
      <c r="M6131" s="1566"/>
    </row>
    <row r="6132" spans="2:13" s="949" customFormat="1" hidden="1">
      <c r="B6132" s="1543" t="s">
        <v>703</v>
      </c>
      <c r="C6132" s="2075" t="s">
        <v>3764</v>
      </c>
      <c r="D6132" s="2075"/>
      <c r="E6132" s="2075"/>
      <c r="F6132" s="2075"/>
      <c r="G6132" s="2075"/>
      <c r="H6132" s="1107">
        <f>H6127+H6131</f>
        <v>54567.8</v>
      </c>
      <c r="J6132" s="1559"/>
      <c r="K6132" s="1559"/>
      <c r="L6132" s="1559"/>
      <c r="M6132" s="1635"/>
    </row>
    <row r="6133" spans="2:13" s="949" customFormat="1" hidden="1">
      <c r="B6133" s="1543" t="s">
        <v>706</v>
      </c>
      <c r="C6133" s="2076" t="s">
        <v>876</v>
      </c>
      <c r="D6133" s="2076"/>
      <c r="E6133" s="2076"/>
      <c r="F6133" s="2077" t="s">
        <v>3873</v>
      </c>
      <c r="G6133" s="2077"/>
      <c r="H6133" s="1107">
        <f>H6132*0.15</f>
        <v>8185.17</v>
      </c>
      <c r="J6133" s="1559"/>
      <c r="K6133" s="1559"/>
      <c r="L6133" s="1559"/>
      <c r="M6133" s="1635"/>
    </row>
    <row r="6134" spans="2:13" s="949" customFormat="1" hidden="1">
      <c r="B6134" s="1543" t="s">
        <v>708</v>
      </c>
      <c r="C6134" s="2078" t="s">
        <v>3765</v>
      </c>
      <c r="D6134" s="2078"/>
      <c r="E6134" s="2078"/>
      <c r="F6134" s="2078"/>
      <c r="G6134" s="2078"/>
      <c r="H6134" s="1107">
        <f>ROUND(SUM(H6132:H6133),2)</f>
        <v>62752.97</v>
      </c>
      <c r="I6134" s="950">
        <f>SUM(H6132:H6133)</f>
        <v>62752.97</v>
      </c>
      <c r="J6134" s="1561"/>
      <c r="K6134" s="1561"/>
      <c r="L6134" s="1559"/>
      <c r="M6134" s="1635"/>
    </row>
    <row r="6135" spans="2:13" s="947" customFormat="1" hidden="1">
      <c r="B6135" s="1129"/>
      <c r="C6135" s="1130"/>
      <c r="D6135" s="1129"/>
      <c r="E6135" s="1130"/>
      <c r="F6135" s="1131"/>
      <c r="G6135" s="1132"/>
      <c r="H6135" s="1133"/>
      <c r="I6135" s="952"/>
      <c r="J6135" s="1562"/>
      <c r="K6135" s="1562"/>
      <c r="L6135" s="1557"/>
      <c r="M6135" s="1566"/>
    </row>
    <row r="6136" spans="2:13" s="947" customFormat="1">
      <c r="B6136" s="1100" t="s">
        <v>4193</v>
      </c>
      <c r="C6136" s="1171" t="s">
        <v>5230</v>
      </c>
      <c r="D6136" s="1129"/>
      <c r="E6136" s="1129"/>
      <c r="F6136" s="1131"/>
      <c r="G6136" s="1132"/>
      <c r="H6136" s="1115"/>
      <c r="J6136" s="1557"/>
      <c r="K6136" s="1557"/>
      <c r="L6136" s="1557"/>
      <c r="M6136" s="1566"/>
    </row>
    <row r="6137" spans="2:13" s="948" customFormat="1" ht="24.9" customHeight="1">
      <c r="B6137" s="1101" t="s">
        <v>1003</v>
      </c>
      <c r="C6137" s="1101" t="s">
        <v>1004</v>
      </c>
      <c r="D6137" s="1101" t="s">
        <v>1005</v>
      </c>
      <c r="E6137" s="1101" t="s">
        <v>1006</v>
      </c>
      <c r="F6137" s="1102" t="s">
        <v>1007</v>
      </c>
      <c r="G6137" s="1109" t="s">
        <v>2637</v>
      </c>
      <c r="H6137" s="1110" t="s">
        <v>2638</v>
      </c>
      <c r="I6137" s="1840"/>
      <c r="J6137" s="1823" t="s">
        <v>5335</v>
      </c>
      <c r="K6137" s="1824" t="s">
        <v>5336</v>
      </c>
      <c r="L6137" s="1824" t="s">
        <v>5337</v>
      </c>
      <c r="M6137" s="1825" t="s">
        <v>5338</v>
      </c>
    </row>
    <row r="6138" spans="2:13" s="947" customFormat="1">
      <c r="B6138" s="1330" t="s">
        <v>671</v>
      </c>
      <c r="C6138" s="1332" t="s">
        <v>672</v>
      </c>
      <c r="D6138" s="1331"/>
      <c r="E6138" s="1331"/>
      <c r="F6138" s="1334"/>
      <c r="G6138" s="1104"/>
      <c r="H6138" s="1106"/>
      <c r="J6138" s="1597"/>
      <c r="K6138" s="1597"/>
      <c r="L6138" s="1597"/>
      <c r="M6138" s="1826"/>
    </row>
    <row r="6139" spans="2:13" s="947" customFormat="1">
      <c r="B6139" s="1330"/>
      <c r="C6139" s="1332" t="s">
        <v>673</v>
      </c>
      <c r="D6139" s="1331" t="s">
        <v>674</v>
      </c>
      <c r="E6139" s="1331" t="s">
        <v>675</v>
      </c>
      <c r="F6139" s="1334">
        <v>0.02</v>
      </c>
      <c r="G6139" s="1104">
        <f>DUB!$I$10</f>
        <v>150000</v>
      </c>
      <c r="H6139" s="1106">
        <f>G6139*F6139</f>
        <v>3000</v>
      </c>
      <c r="J6139" s="1609" t="s">
        <v>5339</v>
      </c>
      <c r="K6139" s="1611">
        <v>1</v>
      </c>
      <c r="L6139" s="1608" t="s">
        <v>5340</v>
      </c>
      <c r="M6139" s="1827">
        <f>H6139*K6139</f>
        <v>3000</v>
      </c>
    </row>
    <row r="6140" spans="2:13" s="947" customFormat="1">
      <c r="B6140" s="1330"/>
      <c r="C6140" s="1332" t="s">
        <v>1368</v>
      </c>
      <c r="D6140" s="1331" t="s">
        <v>678</v>
      </c>
      <c r="E6140" s="1331" t="s">
        <v>675</v>
      </c>
      <c r="F6140" s="1334">
        <v>6.3E-2</v>
      </c>
      <c r="G6140" s="1104">
        <f>DUB!$I$11</f>
        <v>187000</v>
      </c>
      <c r="H6140" s="1106">
        <f>G6140*F6140</f>
        <v>11781</v>
      </c>
      <c r="J6140" s="1609" t="s">
        <v>5339</v>
      </c>
      <c r="K6140" s="1611">
        <v>1</v>
      </c>
      <c r="L6140" s="1608" t="s">
        <v>5340</v>
      </c>
      <c r="M6140" s="1827">
        <f t="shared" ref="M6140" si="154">H6140*K6140</f>
        <v>11781</v>
      </c>
    </row>
    <row r="6141" spans="2:13" s="947" customFormat="1">
      <c r="B6141" s="1330"/>
      <c r="C6141" s="1332" t="s">
        <v>751</v>
      </c>
      <c r="D6141" s="1331" t="s">
        <v>681</v>
      </c>
      <c r="E6141" s="1331" t="s">
        <v>675</v>
      </c>
      <c r="F6141" s="1334">
        <v>6.3E-3</v>
      </c>
      <c r="G6141" s="1104">
        <f>DUB!$I$13</f>
        <v>240000</v>
      </c>
      <c r="H6141" s="1106">
        <f>G6141*F6141</f>
        <v>1512</v>
      </c>
      <c r="J6141" s="1609" t="s">
        <v>5339</v>
      </c>
      <c r="K6141" s="1611">
        <v>1</v>
      </c>
      <c r="L6141" s="1608" t="s">
        <v>5340</v>
      </c>
      <c r="M6141" s="1827">
        <f>H6141*K6141</f>
        <v>1512</v>
      </c>
    </row>
    <row r="6142" spans="2:13" s="947" customFormat="1">
      <c r="B6142" s="1330"/>
      <c r="C6142" s="1332" t="s">
        <v>683</v>
      </c>
      <c r="D6142" s="1331" t="s">
        <v>684</v>
      </c>
      <c r="E6142" s="1331" t="s">
        <v>675</v>
      </c>
      <c r="F6142" s="1334">
        <v>3.0000000000000001E-3</v>
      </c>
      <c r="G6142" s="1104">
        <f>DUB!$I$12</f>
        <v>225000</v>
      </c>
      <c r="H6142" s="1106">
        <f>G6142*F6142</f>
        <v>675</v>
      </c>
      <c r="J6142" s="1609" t="s">
        <v>5339</v>
      </c>
      <c r="K6142" s="1611">
        <v>1</v>
      </c>
      <c r="L6142" s="1608" t="s">
        <v>5340</v>
      </c>
      <c r="M6142" s="1827">
        <f t="shared" ref="M6142" si="155">H6142*K6142</f>
        <v>675</v>
      </c>
    </row>
    <row r="6143" spans="2:13" s="947" customFormat="1">
      <c r="B6143" s="1330"/>
      <c r="C6143" s="1332"/>
      <c r="D6143" s="1331"/>
      <c r="E6143" s="1331"/>
      <c r="F6143" s="2074" t="s">
        <v>685</v>
      </c>
      <c r="G6143" s="2074"/>
      <c r="H6143" s="1106">
        <f>SUM(H6139:H6142)</f>
        <v>16968</v>
      </c>
      <c r="J6143" s="1597"/>
      <c r="K6143" s="1597"/>
      <c r="L6143" s="1597"/>
      <c r="M6143" s="1107">
        <f>SUM(M6139:M6142)</f>
        <v>16968</v>
      </c>
    </row>
    <row r="6144" spans="2:13" s="947" customFormat="1">
      <c r="B6144" s="1330" t="s">
        <v>686</v>
      </c>
      <c r="C6144" s="1332" t="s">
        <v>687</v>
      </c>
      <c r="D6144" s="1331"/>
      <c r="E6144" s="1331"/>
      <c r="F6144" s="1334"/>
      <c r="G6144" s="1104"/>
      <c r="H6144" s="1106"/>
      <c r="J6144" s="1597"/>
      <c r="K6144" s="1597"/>
      <c r="L6144" s="1597"/>
      <c r="M6144" s="1826"/>
    </row>
    <row r="6145" spans="2:13" s="947" customFormat="1">
      <c r="B6145" s="1330"/>
      <c r="C6145" s="1332" t="str">
        <f>DUB!C315</f>
        <v>Cat Dasar Besi Dulux M.1000</v>
      </c>
      <c r="D6145" s="1331"/>
      <c r="E6145" s="1331" t="s">
        <v>690</v>
      </c>
      <c r="F6145" s="1334">
        <v>0.2</v>
      </c>
      <c r="G6145" s="1104">
        <f>DUB!$I$315</f>
        <v>85293</v>
      </c>
      <c r="H6145" s="1106">
        <f>G6145*F6145</f>
        <v>17058.600000000002</v>
      </c>
      <c r="J6145" s="1634" t="s">
        <v>4925</v>
      </c>
      <c r="K6145" s="1611">
        <v>0.70279999999999998</v>
      </c>
      <c r="L6145" s="1607" t="s">
        <v>5343</v>
      </c>
      <c r="M6145" s="1827">
        <f>H6145*K6145</f>
        <v>11988.784080000001</v>
      </c>
    </row>
    <row r="6146" spans="2:13" s="947" customFormat="1">
      <c r="B6146" s="1330"/>
      <c r="C6146" s="1332" t="str">
        <f>DUB!C308</f>
        <v>Cat Dulux Professional M.1000</v>
      </c>
      <c r="D6146" s="1331"/>
      <c r="E6146" s="1331" t="s">
        <v>773</v>
      </c>
      <c r="F6146" s="1334">
        <v>0.26</v>
      </c>
      <c r="G6146" s="1104">
        <f>DUB!$I$308</f>
        <v>77135</v>
      </c>
      <c r="H6146" s="1106">
        <f>G6146*F6146</f>
        <v>20055.100000000002</v>
      </c>
      <c r="J6146" s="1642" t="s">
        <v>4925</v>
      </c>
      <c r="K6146" s="1611">
        <v>0.72870000000000001</v>
      </c>
      <c r="L6146" s="1607" t="s">
        <v>5343</v>
      </c>
      <c r="M6146" s="1827">
        <f t="shared" ref="M6146:M6147" si="156">H6146*K6146</f>
        <v>14614.151370000001</v>
      </c>
    </row>
    <row r="6147" spans="2:13" s="947" customFormat="1">
      <c r="B6147" s="1330"/>
      <c r="C6147" s="1332" t="str">
        <f>DUB!C481</f>
        <v>Kuas cat</v>
      </c>
      <c r="D6147" s="1331"/>
      <c r="E6147" s="1331" t="s">
        <v>743</v>
      </c>
      <c r="F6147" s="1334">
        <v>0.01</v>
      </c>
      <c r="G6147" s="1104">
        <f>DUB!I481</f>
        <v>17000</v>
      </c>
      <c r="H6147" s="1106">
        <f>G6147*F6147</f>
        <v>170</v>
      </c>
      <c r="J6147" s="1642"/>
      <c r="K6147" s="1611"/>
      <c r="L6147" s="1607"/>
      <c r="M6147" s="1827">
        <f t="shared" si="156"/>
        <v>0</v>
      </c>
    </row>
    <row r="6148" spans="2:13" s="947" customFormat="1">
      <c r="B6148" s="1331"/>
      <c r="C6148" s="1125"/>
      <c r="D6148" s="1333"/>
      <c r="E6148" s="1333"/>
      <c r="F6148" s="2074" t="s">
        <v>702</v>
      </c>
      <c r="G6148" s="2074"/>
      <c r="H6148" s="1106">
        <f>SUM(H6145:H6147)</f>
        <v>37283.700000000004</v>
      </c>
      <c r="J6148" s="1597"/>
      <c r="K6148" s="1597"/>
      <c r="L6148" s="1597"/>
      <c r="M6148" s="1106">
        <f>SUM(M6145:M6147)</f>
        <v>26602.935450000004</v>
      </c>
    </row>
    <row r="6149" spans="2:13" s="949" customFormat="1">
      <c r="B6149" s="1330" t="s">
        <v>703</v>
      </c>
      <c r="C6149" s="2075" t="s">
        <v>3764</v>
      </c>
      <c r="D6149" s="2075"/>
      <c r="E6149" s="2075"/>
      <c r="F6149" s="2075"/>
      <c r="G6149" s="2075"/>
      <c r="H6149" s="1107">
        <f>H6143+H6148</f>
        <v>54251.700000000004</v>
      </c>
      <c r="J6149" s="1600"/>
      <c r="K6149" s="1633">
        <f>M6149/H6149</f>
        <v>0.80312571679781464</v>
      </c>
      <c r="L6149" s="1600"/>
      <c r="M6149" s="1107">
        <f>M6143+M6148</f>
        <v>43570.935450000004</v>
      </c>
    </row>
    <row r="6150" spans="2:13" s="949" customFormat="1">
      <c r="B6150" s="1330" t="s">
        <v>706</v>
      </c>
      <c r="C6150" s="2076" t="s">
        <v>876</v>
      </c>
      <c r="D6150" s="2076"/>
      <c r="E6150" s="2076"/>
      <c r="F6150" s="2077" t="s">
        <v>3873</v>
      </c>
      <c r="G6150" s="2077"/>
      <c r="H6150" s="1107">
        <f>H6149*0.15</f>
        <v>8137.7550000000001</v>
      </c>
      <c r="J6150" s="1600"/>
      <c r="K6150" s="1600"/>
      <c r="L6150" s="1600"/>
      <c r="M6150" s="1107">
        <f>M6149*0.15</f>
        <v>6535.6403175000005</v>
      </c>
    </row>
    <row r="6151" spans="2:13" s="949" customFormat="1">
      <c r="B6151" s="1330" t="s">
        <v>708</v>
      </c>
      <c r="C6151" s="2078" t="s">
        <v>3765</v>
      </c>
      <c r="D6151" s="2078"/>
      <c r="E6151" s="2078"/>
      <c r="F6151" s="2078"/>
      <c r="G6151" s="2078"/>
      <c r="H6151" s="1107">
        <f>ROUND(SUM(H6149:H6150),2)</f>
        <v>62389.46</v>
      </c>
      <c r="I6151" s="950">
        <f>SUM(H6149:H6150)</f>
        <v>62389.455000000002</v>
      </c>
      <c r="J6151" s="1636"/>
      <c r="K6151" s="1636"/>
      <c r="L6151" s="1637"/>
      <c r="M6151" s="1919">
        <f>ROUND(SUM(M6149:M6150),2)</f>
        <v>50106.58</v>
      </c>
    </row>
    <row r="6152" spans="2:13" s="947" customFormat="1">
      <c r="B6152" s="1129"/>
      <c r="C6152" s="1130"/>
      <c r="D6152" s="1129"/>
      <c r="E6152" s="1130"/>
      <c r="F6152" s="1131"/>
      <c r="G6152" s="1132"/>
      <c r="H6152" s="1133"/>
      <c r="I6152" s="952"/>
      <c r="J6152" s="1562"/>
      <c r="K6152" s="1562"/>
      <c r="L6152" s="1557"/>
      <c r="M6152" s="1566"/>
    </row>
    <row r="6153" spans="2:13" s="947" customFormat="1">
      <c r="B6153" s="1100" t="s">
        <v>4194</v>
      </c>
      <c r="C6153" s="1171" t="s">
        <v>5215</v>
      </c>
      <c r="D6153" s="1129"/>
      <c r="E6153" s="1129"/>
      <c r="F6153" s="1131"/>
      <c r="G6153" s="1132"/>
      <c r="H6153" s="1115"/>
      <c r="J6153" s="1557"/>
      <c r="K6153" s="1557"/>
      <c r="L6153" s="1557"/>
      <c r="M6153" s="1566"/>
    </row>
    <row r="6154" spans="2:13" s="507" customFormat="1" ht="24.9" customHeight="1">
      <c r="B6154" s="1101" t="s">
        <v>1003</v>
      </c>
      <c r="C6154" s="1101" t="s">
        <v>1004</v>
      </c>
      <c r="D6154" s="1101" t="s">
        <v>1005</v>
      </c>
      <c r="E6154" s="1101" t="s">
        <v>1006</v>
      </c>
      <c r="F6154" s="1102" t="s">
        <v>1007</v>
      </c>
      <c r="G6154" s="1109" t="s">
        <v>2637</v>
      </c>
      <c r="H6154" s="1110" t="s">
        <v>2638</v>
      </c>
      <c r="I6154" s="1834"/>
      <c r="J6154" s="1823" t="s">
        <v>5335</v>
      </c>
      <c r="K6154" s="1824" t="s">
        <v>5336</v>
      </c>
      <c r="L6154" s="1824" t="s">
        <v>5337</v>
      </c>
      <c r="M6154" s="1825" t="s">
        <v>5338</v>
      </c>
    </row>
    <row r="6155" spans="2:13">
      <c r="B6155" s="1330" t="s">
        <v>671</v>
      </c>
      <c r="C6155" s="1332" t="s">
        <v>672</v>
      </c>
      <c r="D6155" s="1331"/>
      <c r="E6155" s="1331"/>
      <c r="F6155" s="1334"/>
      <c r="G6155" s="1104"/>
      <c r="H6155" s="1106"/>
      <c r="J6155" s="1597"/>
      <c r="K6155" s="1597"/>
      <c r="L6155" s="1597"/>
      <c r="M6155" s="1826"/>
    </row>
    <row r="6156" spans="2:13">
      <c r="B6156" s="1330"/>
      <c r="C6156" s="1332" t="s">
        <v>673</v>
      </c>
      <c r="D6156" s="1331" t="s">
        <v>674</v>
      </c>
      <c r="E6156" s="1331" t="s">
        <v>675</v>
      </c>
      <c r="F6156" s="1334">
        <v>0.02</v>
      </c>
      <c r="G6156" s="1104">
        <f>DUB!$I$10</f>
        <v>150000</v>
      </c>
      <c r="H6156" s="1106">
        <f>G6156*F6156</f>
        <v>3000</v>
      </c>
      <c r="J6156" s="1609" t="s">
        <v>5339</v>
      </c>
      <c r="K6156" s="1611">
        <v>1</v>
      </c>
      <c r="L6156" s="1608" t="s">
        <v>5340</v>
      </c>
      <c r="M6156" s="1827">
        <f>H6156*K6156</f>
        <v>3000</v>
      </c>
    </row>
    <row r="6157" spans="2:13">
      <c r="B6157" s="1330"/>
      <c r="C6157" s="1332" t="s">
        <v>1368</v>
      </c>
      <c r="D6157" s="1331" t="s">
        <v>678</v>
      </c>
      <c r="E6157" s="1331" t="s">
        <v>675</v>
      </c>
      <c r="F6157" s="1334">
        <v>4.2999999999999997E-2</v>
      </c>
      <c r="G6157" s="1104">
        <f>DUB!$I$11</f>
        <v>187000</v>
      </c>
      <c r="H6157" s="1106">
        <f>G6157*F6157</f>
        <v>8040.9999999999991</v>
      </c>
      <c r="J6157" s="1609" t="s">
        <v>5339</v>
      </c>
      <c r="K6157" s="1611">
        <v>1</v>
      </c>
      <c r="L6157" s="1608" t="s">
        <v>5340</v>
      </c>
      <c r="M6157" s="1827">
        <f t="shared" ref="M6157" si="157">H6157*K6157</f>
        <v>8040.9999999999991</v>
      </c>
    </row>
    <row r="6158" spans="2:13">
      <c r="B6158" s="1330"/>
      <c r="C6158" s="1332" t="s">
        <v>751</v>
      </c>
      <c r="D6158" s="1331" t="s">
        <v>681</v>
      </c>
      <c r="E6158" s="1331" t="s">
        <v>675</v>
      </c>
      <c r="F6158" s="1334">
        <v>4.3E-3</v>
      </c>
      <c r="G6158" s="1104">
        <f>DUB!$I$13</f>
        <v>240000</v>
      </c>
      <c r="H6158" s="1106">
        <f>G6158*F6158</f>
        <v>1032</v>
      </c>
      <c r="J6158" s="1609" t="s">
        <v>5339</v>
      </c>
      <c r="K6158" s="1611">
        <v>1</v>
      </c>
      <c r="L6158" s="1608" t="s">
        <v>5340</v>
      </c>
      <c r="M6158" s="1827">
        <f>H6158*K6158</f>
        <v>1032</v>
      </c>
    </row>
    <row r="6159" spans="2:13">
      <c r="B6159" s="1330"/>
      <c r="C6159" s="1332" t="s">
        <v>683</v>
      </c>
      <c r="D6159" s="1331" t="s">
        <v>684</v>
      </c>
      <c r="E6159" s="1331" t="s">
        <v>675</v>
      </c>
      <c r="F6159" s="1334">
        <v>4.0000000000000001E-3</v>
      </c>
      <c r="G6159" s="1104">
        <f>DUB!$I$12</f>
        <v>225000</v>
      </c>
      <c r="H6159" s="1106">
        <f>G6159*F6159</f>
        <v>900</v>
      </c>
      <c r="J6159" s="1609" t="s">
        <v>5339</v>
      </c>
      <c r="K6159" s="1611">
        <v>1</v>
      </c>
      <c r="L6159" s="1608" t="s">
        <v>5340</v>
      </c>
      <c r="M6159" s="1827">
        <f t="shared" ref="M6159" si="158">H6159*K6159</f>
        <v>900</v>
      </c>
    </row>
    <row r="6160" spans="2:13">
      <c r="B6160" s="1330"/>
      <c r="C6160" s="1332"/>
      <c r="D6160" s="1331"/>
      <c r="E6160" s="1331"/>
      <c r="F6160" s="2074" t="s">
        <v>685</v>
      </c>
      <c r="G6160" s="2074"/>
      <c r="H6160" s="1106">
        <f>SUM(H6156:H6159)</f>
        <v>12973</v>
      </c>
      <c r="J6160" s="1597"/>
      <c r="K6160" s="1597"/>
      <c r="L6160" s="1597"/>
      <c r="M6160" s="1107">
        <f>SUM(M6156:M6159)</f>
        <v>12973</v>
      </c>
    </row>
    <row r="6161" spans="2:13">
      <c r="B6161" s="1330" t="s">
        <v>686</v>
      </c>
      <c r="C6161" s="1332" t="s">
        <v>687</v>
      </c>
      <c r="D6161" s="1331"/>
      <c r="E6161" s="1331"/>
      <c r="F6161" s="1334"/>
      <c r="G6161" s="1104"/>
      <c r="H6161" s="1106"/>
      <c r="J6161" s="1597"/>
      <c r="K6161" s="1597"/>
      <c r="L6161" s="1597"/>
      <c r="M6161" s="1826"/>
    </row>
    <row r="6162" spans="2:13">
      <c r="B6162" s="1330"/>
      <c r="C6162" s="1332" t="s">
        <v>3467</v>
      </c>
      <c r="D6162" s="1331"/>
      <c r="E6162" s="1331" t="s">
        <v>690</v>
      </c>
      <c r="F6162" s="1334">
        <v>0.1</v>
      </c>
      <c r="G6162" s="1104">
        <f>DUB!$I$317</f>
        <v>55203</v>
      </c>
      <c r="H6162" s="1106">
        <f>G6162*F6162</f>
        <v>5520.3</v>
      </c>
      <c r="J6162" s="1634" t="s">
        <v>4925</v>
      </c>
      <c r="K6162" s="1611">
        <v>0.70279999999999998</v>
      </c>
      <c r="L6162" s="1607" t="s">
        <v>5343</v>
      </c>
      <c r="M6162" s="1827">
        <f>H6162*K6162</f>
        <v>3879.6668399999999</v>
      </c>
    </row>
    <row r="6163" spans="2:13">
      <c r="B6163" s="1331"/>
      <c r="C6163" s="1332" t="s">
        <v>5216</v>
      </c>
      <c r="D6163" s="1331"/>
      <c r="E6163" s="1331" t="s">
        <v>773</v>
      </c>
      <c r="F6163" s="1334">
        <v>0.26</v>
      </c>
      <c r="G6163" s="1104">
        <f>DUB!$I$311</f>
        <v>106093</v>
      </c>
      <c r="H6163" s="1106">
        <f>G6163*F6163</f>
        <v>27584.18</v>
      </c>
      <c r="J6163" s="1642" t="s">
        <v>4925</v>
      </c>
      <c r="K6163" s="1611">
        <v>0.72870000000000001</v>
      </c>
      <c r="L6163" s="1607" t="s">
        <v>5343</v>
      </c>
      <c r="M6163" s="1827">
        <f t="shared" ref="M6163:M6164" si="159">H6163*K6163</f>
        <v>20100.591966</v>
      </c>
    </row>
    <row r="6164" spans="2:13">
      <c r="B6164" s="1331"/>
      <c r="C6164" s="1332" t="s">
        <v>5218</v>
      </c>
      <c r="D6164" s="1331"/>
      <c r="E6164" s="1331" t="s">
        <v>743</v>
      </c>
      <c r="F6164" s="1334">
        <v>0.01</v>
      </c>
      <c r="G6164" s="1104">
        <f>DUB!$I$465</f>
        <v>27600</v>
      </c>
      <c r="H6164" s="1106">
        <f>G6164*F6164</f>
        <v>276</v>
      </c>
      <c r="J6164" s="1642"/>
      <c r="K6164" s="1611"/>
      <c r="L6164" s="1607"/>
      <c r="M6164" s="1827">
        <f t="shared" si="159"/>
        <v>0</v>
      </c>
    </row>
    <row r="6165" spans="2:13">
      <c r="B6165" s="1331"/>
      <c r="C6165" s="1125"/>
      <c r="D6165" s="1333"/>
      <c r="E6165" s="1333"/>
      <c r="F6165" s="2074" t="s">
        <v>702</v>
      </c>
      <c r="G6165" s="2074"/>
      <c r="H6165" s="1106">
        <f>SUM(H6162:H6164)</f>
        <v>33380.480000000003</v>
      </c>
      <c r="J6165" s="1597"/>
      <c r="K6165" s="1597"/>
      <c r="L6165" s="1597"/>
      <c r="M6165" s="1106">
        <f>SUM(M6162:M6164)</f>
        <v>23980.258805999998</v>
      </c>
    </row>
    <row r="6166" spans="2:13" s="496" customFormat="1">
      <c r="B6166" s="1330" t="s">
        <v>703</v>
      </c>
      <c r="C6166" s="2075" t="s">
        <v>3764</v>
      </c>
      <c r="D6166" s="2075"/>
      <c r="E6166" s="2075"/>
      <c r="F6166" s="2075"/>
      <c r="G6166" s="2075"/>
      <c r="H6166" s="1107">
        <f>H6160+H6165</f>
        <v>46353.48</v>
      </c>
      <c r="J6166" s="1600"/>
      <c r="K6166" s="1633">
        <f>M6166/H6166</f>
        <v>0.79720570723061124</v>
      </c>
      <c r="L6166" s="1600"/>
      <c r="M6166" s="1107">
        <f>M6160+M6165</f>
        <v>36953.258805999998</v>
      </c>
    </row>
    <row r="6167" spans="2:13" s="496" customFormat="1">
      <c r="B6167" s="1330" t="s">
        <v>706</v>
      </c>
      <c r="C6167" s="2076" t="s">
        <v>876</v>
      </c>
      <c r="D6167" s="2076"/>
      <c r="E6167" s="2076"/>
      <c r="F6167" s="2077" t="s">
        <v>3873</v>
      </c>
      <c r="G6167" s="2077"/>
      <c r="H6167" s="1107">
        <f>H6166*0.15</f>
        <v>6953.0219999999999</v>
      </c>
      <c r="J6167" s="1600"/>
      <c r="K6167" s="1600"/>
      <c r="L6167" s="1600"/>
      <c r="M6167" s="1107">
        <f>M6166*0.15</f>
        <v>5542.9888208999992</v>
      </c>
    </row>
    <row r="6168" spans="2:13" s="496" customFormat="1">
      <c r="B6168" s="1330" t="s">
        <v>708</v>
      </c>
      <c r="C6168" s="2078" t="s">
        <v>3765</v>
      </c>
      <c r="D6168" s="2078"/>
      <c r="E6168" s="2078"/>
      <c r="F6168" s="2078"/>
      <c r="G6168" s="2078"/>
      <c r="H6168" s="1107">
        <f>ROUND(SUM(H6166:H6167),2)</f>
        <v>53306.5</v>
      </c>
      <c r="I6168" s="506">
        <f>SUM(H6166:H6167)</f>
        <v>53306.502</v>
      </c>
      <c r="J6168" s="1636"/>
      <c r="K6168" s="1636"/>
      <c r="L6168" s="1637"/>
      <c r="M6168" s="1919">
        <f>ROUND(SUM(M6166:M6167),2)</f>
        <v>42496.25</v>
      </c>
    </row>
    <row r="6169" spans="2:13">
      <c r="F6169" s="1172"/>
      <c r="G6169" s="1173"/>
      <c r="H6169" s="1133"/>
      <c r="M6169" s="1566"/>
    </row>
    <row r="6170" spans="2:13" hidden="1">
      <c r="B6170" s="1100" t="s">
        <v>4195</v>
      </c>
      <c r="C6170" s="1232" t="s">
        <v>2740</v>
      </c>
      <c r="F6170" s="1172"/>
      <c r="G6170" s="1173"/>
      <c r="H6170" s="1133"/>
      <c r="M6170" s="1566"/>
    </row>
    <row r="6171" spans="2:13" s="507" customFormat="1" ht="24.9" hidden="1" customHeight="1">
      <c r="B6171" s="1748" t="s">
        <v>1003</v>
      </c>
      <c r="C6171" s="1101" t="s">
        <v>1004</v>
      </c>
      <c r="D6171" s="1101" t="s">
        <v>1005</v>
      </c>
      <c r="E6171" s="1101" t="s">
        <v>1006</v>
      </c>
      <c r="F6171" s="1102" t="s">
        <v>1007</v>
      </c>
      <c r="G6171" s="1109" t="s">
        <v>2637</v>
      </c>
      <c r="H6171" s="1110" t="s">
        <v>2638</v>
      </c>
      <c r="J6171" s="1625"/>
      <c r="K6171" s="1625"/>
      <c r="L6171" s="1625"/>
      <c r="M6171" s="1570"/>
    </row>
    <row r="6172" spans="2:13" hidden="1">
      <c r="B6172" s="1543" t="s">
        <v>671</v>
      </c>
      <c r="C6172" s="1332" t="s">
        <v>672</v>
      </c>
      <c r="D6172" s="1331"/>
      <c r="E6172" s="1331"/>
      <c r="F6172" s="1334"/>
      <c r="G6172" s="1104"/>
      <c r="H6172" s="1106"/>
      <c r="M6172" s="1566"/>
    </row>
    <row r="6173" spans="2:13" hidden="1">
      <c r="B6173" s="1543"/>
      <c r="C6173" s="1332" t="s">
        <v>673</v>
      </c>
      <c r="D6173" s="1331" t="s">
        <v>674</v>
      </c>
      <c r="E6173" s="1331" t="s">
        <v>675</v>
      </c>
      <c r="F6173" s="1334">
        <v>0.25</v>
      </c>
      <c r="G6173" s="1104">
        <f>DUB!$I$10</f>
        <v>150000</v>
      </c>
      <c r="H6173" s="1106">
        <f>G6173*F6173</f>
        <v>37500</v>
      </c>
      <c r="M6173" s="1566"/>
    </row>
    <row r="6174" spans="2:13" hidden="1">
      <c r="B6174" s="1543"/>
      <c r="C6174" s="1332" t="s">
        <v>1368</v>
      </c>
      <c r="D6174" s="1331" t="s">
        <v>678</v>
      </c>
      <c r="E6174" s="1331" t="s">
        <v>675</v>
      </c>
      <c r="F6174" s="1334">
        <v>0.22500000000000001</v>
      </c>
      <c r="G6174" s="1104">
        <f>DUB!$I$11</f>
        <v>187000</v>
      </c>
      <c r="H6174" s="1106">
        <f>G6174*F6174</f>
        <v>42075</v>
      </c>
      <c r="M6174" s="1566"/>
    </row>
    <row r="6175" spans="2:13" hidden="1">
      <c r="B6175" s="1543"/>
      <c r="C6175" s="1332" t="s">
        <v>751</v>
      </c>
      <c r="D6175" s="1331" t="s">
        <v>678</v>
      </c>
      <c r="E6175" s="1331" t="s">
        <v>675</v>
      </c>
      <c r="F6175" s="1334">
        <v>2.2499999999999999E-2</v>
      </c>
      <c r="G6175" s="1104">
        <f>DUB!$I$13</f>
        <v>240000</v>
      </c>
      <c r="H6175" s="1106">
        <f>G6175*F6175</f>
        <v>5400</v>
      </c>
      <c r="M6175" s="1566"/>
    </row>
    <row r="6176" spans="2:13" hidden="1">
      <c r="B6176" s="1543"/>
      <c r="C6176" s="1332" t="s">
        <v>683</v>
      </c>
      <c r="D6176" s="1331" t="s">
        <v>684</v>
      </c>
      <c r="E6176" s="1331" t="s">
        <v>675</v>
      </c>
      <c r="F6176" s="1334">
        <v>7.4999999999999997E-3</v>
      </c>
      <c r="G6176" s="1104">
        <f>DUB!$I$12</f>
        <v>225000</v>
      </c>
      <c r="H6176" s="1106">
        <f>G6176*F6176</f>
        <v>1687.5</v>
      </c>
      <c r="M6176" s="1566"/>
    </row>
    <row r="6177" spans="2:13" hidden="1">
      <c r="B6177" s="1543"/>
      <c r="C6177" s="1332"/>
      <c r="D6177" s="1331"/>
      <c r="E6177" s="1331"/>
      <c r="F6177" s="2074" t="s">
        <v>685</v>
      </c>
      <c r="G6177" s="2074"/>
      <c r="H6177" s="1106">
        <f>SUM(H6173:H6176)</f>
        <v>86662.5</v>
      </c>
      <c r="M6177" s="1566"/>
    </row>
    <row r="6178" spans="2:13" hidden="1">
      <c r="B6178" s="1543" t="s">
        <v>686</v>
      </c>
      <c r="C6178" s="1332" t="s">
        <v>687</v>
      </c>
      <c r="D6178" s="1331"/>
      <c r="E6178" s="1331"/>
      <c r="F6178" s="1334"/>
      <c r="G6178" s="1104"/>
      <c r="H6178" s="1106"/>
      <c r="M6178" s="1566"/>
    </row>
    <row r="6179" spans="2:13" hidden="1">
      <c r="B6179" s="1540"/>
      <c r="C6179" s="1332" t="s">
        <v>1394</v>
      </c>
      <c r="D6179" s="1331"/>
      <c r="E6179" s="1331" t="s">
        <v>690</v>
      </c>
      <c r="F6179" s="1334">
        <v>0.1</v>
      </c>
      <c r="G6179" s="1104">
        <f>DUB!$I$315</f>
        <v>85293</v>
      </c>
      <c r="H6179" s="1106">
        <f>G6179*F6179</f>
        <v>8529.3000000000011</v>
      </c>
      <c r="M6179" s="1566"/>
    </row>
    <row r="6180" spans="2:13" hidden="1">
      <c r="B6180" s="1540"/>
      <c r="C6180" s="1332" t="s">
        <v>1374</v>
      </c>
      <c r="D6180" s="1331"/>
      <c r="E6180" s="1331" t="s">
        <v>896</v>
      </c>
      <c r="F6180" s="1334">
        <v>0.01</v>
      </c>
      <c r="G6180" s="1136">
        <f>DUB!$I$327</f>
        <v>28721.7</v>
      </c>
      <c r="H6180" s="1106">
        <f>G6180*F6180</f>
        <v>287.21700000000004</v>
      </c>
      <c r="M6180" s="1566"/>
    </row>
    <row r="6181" spans="2:13" hidden="1">
      <c r="B6181" s="1540"/>
      <c r="C6181" s="1332" t="s">
        <v>1395</v>
      </c>
      <c r="D6181" s="1331"/>
      <c r="E6181" s="1331" t="s">
        <v>743</v>
      </c>
      <c r="F6181" s="1334">
        <v>0.01</v>
      </c>
      <c r="G6181" s="1104">
        <f>DUB!$I$465</f>
        <v>27600</v>
      </c>
      <c r="H6181" s="1106">
        <f>G6181*F6181</f>
        <v>276</v>
      </c>
      <c r="M6181" s="1566"/>
    </row>
    <row r="6182" spans="2:13" hidden="1">
      <c r="B6182" s="1540"/>
      <c r="C6182" s="1332" t="s">
        <v>1397</v>
      </c>
      <c r="D6182" s="1331"/>
      <c r="E6182" s="1331" t="s">
        <v>2646</v>
      </c>
      <c r="F6182" s="1334">
        <v>2E-3</v>
      </c>
      <c r="G6182" s="1104">
        <f>DUB!$I$85</f>
        <v>6250000</v>
      </c>
      <c r="H6182" s="1106">
        <f>G6182*F6182</f>
        <v>12500</v>
      </c>
      <c r="M6182" s="1566"/>
    </row>
    <row r="6183" spans="2:13" hidden="1">
      <c r="B6183" s="1540"/>
      <c r="C6183" s="1125"/>
      <c r="D6183" s="1333"/>
      <c r="E6183" s="1333"/>
      <c r="F6183" s="2074" t="s">
        <v>702</v>
      </c>
      <c r="G6183" s="2074"/>
      <c r="H6183" s="1106">
        <f>SUM(H6179:H6182)</f>
        <v>21592.517</v>
      </c>
      <c r="M6183" s="1566"/>
    </row>
    <row r="6184" spans="2:13" s="496" customFormat="1" hidden="1">
      <c r="B6184" s="1543" t="s">
        <v>703</v>
      </c>
      <c r="C6184" s="2075" t="s">
        <v>3764</v>
      </c>
      <c r="D6184" s="2075"/>
      <c r="E6184" s="2075"/>
      <c r="F6184" s="2075"/>
      <c r="G6184" s="2075"/>
      <c r="H6184" s="1107">
        <f>H6177+H6183</f>
        <v>108255.01699999999</v>
      </c>
      <c r="J6184" s="1559"/>
      <c r="K6184" s="1559"/>
      <c r="L6184" s="1559"/>
      <c r="M6184" s="1635"/>
    </row>
    <row r="6185" spans="2:13" s="496" customFormat="1" hidden="1">
      <c r="B6185" s="1543" t="s">
        <v>706</v>
      </c>
      <c r="C6185" s="2076" t="s">
        <v>876</v>
      </c>
      <c r="D6185" s="2076"/>
      <c r="E6185" s="2076"/>
      <c r="F6185" s="2077" t="s">
        <v>3873</v>
      </c>
      <c r="G6185" s="2077"/>
      <c r="H6185" s="1107">
        <f>H6184*0.15</f>
        <v>16238.252549999997</v>
      </c>
      <c r="J6185" s="1559"/>
      <c r="K6185" s="1559"/>
      <c r="L6185" s="1559"/>
      <c r="M6185" s="1635"/>
    </row>
    <row r="6186" spans="2:13" s="496" customFormat="1" hidden="1">
      <c r="B6186" s="1543" t="s">
        <v>708</v>
      </c>
      <c r="C6186" s="2078" t="s">
        <v>3765</v>
      </c>
      <c r="D6186" s="2078"/>
      <c r="E6186" s="2078"/>
      <c r="F6186" s="2078"/>
      <c r="G6186" s="2078"/>
      <c r="H6186" s="1107">
        <f>ROUND(SUM(H6184:H6185),2)</f>
        <v>124493.27</v>
      </c>
      <c r="I6186" s="506">
        <f>SUM(H6184:H6185)</f>
        <v>124493.26955</v>
      </c>
      <c r="J6186" s="1561"/>
      <c r="K6186" s="1561"/>
      <c r="L6186" s="1559"/>
      <c r="M6186" s="1635"/>
    </row>
    <row r="6187" spans="2:13" hidden="1">
      <c r="B6187" s="1143"/>
      <c r="C6187" s="1144"/>
      <c r="D6187" s="1143"/>
      <c r="E6187" s="1143"/>
      <c r="F6187" s="1145"/>
      <c r="G6187" s="1146"/>
      <c r="H6187" s="1147"/>
      <c r="M6187" s="1566"/>
    </row>
    <row r="6188" spans="2:13" hidden="1">
      <c r="B6188" s="1100" t="s">
        <v>4196</v>
      </c>
      <c r="C6188" s="1112" t="s">
        <v>2739</v>
      </c>
      <c r="D6188" s="1129"/>
      <c r="E6188" s="1129"/>
      <c r="F6188" s="1131"/>
      <c r="G6188" s="1132"/>
      <c r="H6188" s="1115"/>
      <c r="M6188" s="1566"/>
    </row>
    <row r="6189" spans="2:13" s="507" customFormat="1" ht="24.9" hidden="1" customHeight="1">
      <c r="B6189" s="1748" t="s">
        <v>1003</v>
      </c>
      <c r="C6189" s="1101" t="s">
        <v>1004</v>
      </c>
      <c r="D6189" s="1101" t="s">
        <v>1005</v>
      </c>
      <c r="E6189" s="1101" t="s">
        <v>1006</v>
      </c>
      <c r="F6189" s="1102" t="s">
        <v>1007</v>
      </c>
      <c r="G6189" s="1109" t="s">
        <v>2637</v>
      </c>
      <c r="H6189" s="1110" t="s">
        <v>2638</v>
      </c>
      <c r="J6189" s="1625"/>
      <c r="K6189" s="1625"/>
      <c r="L6189" s="1625"/>
      <c r="M6189" s="1570"/>
    </row>
    <row r="6190" spans="2:13" hidden="1">
      <c r="B6190" s="1543" t="s">
        <v>671</v>
      </c>
      <c r="C6190" s="1332" t="s">
        <v>672</v>
      </c>
      <c r="D6190" s="1331"/>
      <c r="E6190" s="1331"/>
      <c r="F6190" s="1334"/>
      <c r="G6190" s="1104"/>
      <c r="H6190" s="1106"/>
      <c r="M6190" s="1566"/>
    </row>
    <row r="6191" spans="2:13" hidden="1">
      <c r="B6191" s="1543"/>
      <c r="C6191" s="1332" t="s">
        <v>673</v>
      </c>
      <c r="D6191" s="1331" t="s">
        <v>674</v>
      </c>
      <c r="E6191" s="1331" t="s">
        <v>675</v>
      </c>
      <c r="F6191" s="1334">
        <v>0.25</v>
      </c>
      <c r="G6191" s="1104">
        <f>DUB!$I$10</f>
        <v>150000</v>
      </c>
      <c r="H6191" s="1106">
        <f>G6191*F6191</f>
        <v>37500</v>
      </c>
      <c r="M6191" s="1566"/>
    </row>
    <row r="6192" spans="2:13" hidden="1">
      <c r="B6192" s="1543"/>
      <c r="C6192" s="1332" t="s">
        <v>1368</v>
      </c>
      <c r="D6192" s="1331" t="s">
        <v>678</v>
      </c>
      <c r="E6192" s="1331" t="s">
        <v>675</v>
      </c>
      <c r="F6192" s="1334">
        <v>0.25</v>
      </c>
      <c r="G6192" s="1104">
        <f>DUB!$I$11</f>
        <v>187000</v>
      </c>
      <c r="H6192" s="1106">
        <f>G6192*F6192</f>
        <v>46750</v>
      </c>
      <c r="M6192" s="1566"/>
    </row>
    <row r="6193" spans="2:13" hidden="1">
      <c r="B6193" s="1543"/>
      <c r="C6193" s="1332" t="s">
        <v>751</v>
      </c>
      <c r="D6193" s="1331" t="s">
        <v>681</v>
      </c>
      <c r="E6193" s="1331" t="s">
        <v>675</v>
      </c>
      <c r="F6193" s="1334">
        <v>2.5000000000000001E-2</v>
      </c>
      <c r="G6193" s="1104">
        <f>DUB!$I$13</f>
        <v>240000</v>
      </c>
      <c r="H6193" s="1106">
        <f>G6193*F6193</f>
        <v>6000</v>
      </c>
      <c r="M6193" s="1566"/>
    </row>
    <row r="6194" spans="2:13" hidden="1">
      <c r="B6194" s="1543"/>
      <c r="C6194" s="1332" t="s">
        <v>683</v>
      </c>
      <c r="D6194" s="1331" t="s">
        <v>684</v>
      </c>
      <c r="E6194" s="1331" t="s">
        <v>675</v>
      </c>
      <c r="F6194" s="1334">
        <v>1.2999999999999999E-3</v>
      </c>
      <c r="G6194" s="1104">
        <f>DUB!$I$12</f>
        <v>225000</v>
      </c>
      <c r="H6194" s="1106">
        <f>G6194*F6194</f>
        <v>292.5</v>
      </c>
      <c r="M6194" s="1566"/>
    </row>
    <row r="6195" spans="2:13" hidden="1">
      <c r="B6195" s="1543"/>
      <c r="C6195" s="1332"/>
      <c r="D6195" s="1331"/>
      <c r="E6195" s="1331"/>
      <c r="F6195" s="2074" t="s">
        <v>685</v>
      </c>
      <c r="G6195" s="2074"/>
      <c r="H6195" s="1106">
        <f>SUM(H6191:H6194)</f>
        <v>90542.5</v>
      </c>
      <c r="M6195" s="1566"/>
    </row>
    <row r="6196" spans="2:13" hidden="1">
      <c r="B6196" s="1543" t="s">
        <v>686</v>
      </c>
      <c r="C6196" s="1332" t="s">
        <v>687</v>
      </c>
      <c r="D6196" s="1331"/>
      <c r="E6196" s="1331"/>
      <c r="F6196" s="1334"/>
      <c r="G6196" s="1104"/>
      <c r="H6196" s="1106"/>
      <c r="M6196" s="1566"/>
    </row>
    <row r="6197" spans="2:13" hidden="1">
      <c r="B6197" s="1540"/>
      <c r="C6197" s="1332" t="s">
        <v>1398</v>
      </c>
      <c r="D6197" s="1331"/>
      <c r="E6197" s="1331" t="s">
        <v>690</v>
      </c>
      <c r="F6197" s="1334">
        <v>0.1</v>
      </c>
      <c r="G6197" s="1104">
        <f>DUB!$I$315</f>
        <v>85293</v>
      </c>
      <c r="H6197" s="1106">
        <f>G6197*F6197</f>
        <v>8529.3000000000011</v>
      </c>
      <c r="M6197" s="1566"/>
    </row>
    <row r="6198" spans="2:13" hidden="1">
      <c r="B6198" s="1540"/>
      <c r="C6198" s="1332" t="s">
        <v>1399</v>
      </c>
      <c r="D6198" s="1331"/>
      <c r="E6198" s="1331" t="s">
        <v>690</v>
      </c>
      <c r="F6198" s="1334">
        <v>0.1</v>
      </c>
      <c r="G6198" s="1104">
        <f>DUB!$I$315</f>
        <v>85293</v>
      </c>
      <c r="H6198" s="1106">
        <f>G6198*F6198</f>
        <v>8529.3000000000011</v>
      </c>
      <c r="M6198" s="1566"/>
    </row>
    <row r="6199" spans="2:13" hidden="1">
      <c r="B6199" s="1540"/>
      <c r="C6199" s="1332" t="s">
        <v>1400</v>
      </c>
      <c r="D6199" s="1331"/>
      <c r="E6199" s="1331" t="s">
        <v>690</v>
      </c>
      <c r="F6199" s="1334">
        <v>0.08</v>
      </c>
      <c r="G6199" s="1104">
        <f>DUB!$I$307</f>
        <v>74970</v>
      </c>
      <c r="H6199" s="1106">
        <f>G6199*F6199</f>
        <v>5997.6</v>
      </c>
      <c r="M6199" s="1566"/>
    </row>
    <row r="6200" spans="2:13" hidden="1">
      <c r="B6200" s="1540"/>
      <c r="C6200" s="1332" t="s">
        <v>1395</v>
      </c>
      <c r="D6200" s="1331"/>
      <c r="E6200" s="1331" t="s">
        <v>743</v>
      </c>
      <c r="F6200" s="1334">
        <v>0.01</v>
      </c>
      <c r="G6200" s="1104">
        <f>DUB!$I$465</f>
        <v>27600</v>
      </c>
      <c r="H6200" s="1106">
        <f>G6200*F6200</f>
        <v>276</v>
      </c>
      <c r="M6200" s="1566"/>
    </row>
    <row r="6201" spans="2:13" hidden="1">
      <c r="B6201" s="1540"/>
      <c r="C6201" s="1332" t="s">
        <v>1374</v>
      </c>
      <c r="D6201" s="1331"/>
      <c r="E6201" s="1331" t="s">
        <v>896</v>
      </c>
      <c r="F6201" s="1334">
        <v>0.01</v>
      </c>
      <c r="G6201" s="1104">
        <f>DUB!$I$327</f>
        <v>28721.7</v>
      </c>
      <c r="H6201" s="1106">
        <f>G6201*F6201</f>
        <v>287.21700000000004</v>
      </c>
      <c r="M6201" s="1566"/>
    </row>
    <row r="6202" spans="2:13" hidden="1">
      <c r="B6202" s="1540"/>
      <c r="C6202" s="1332"/>
      <c r="D6202" s="1331"/>
      <c r="E6202" s="1331"/>
      <c r="F6202" s="2090" t="s">
        <v>702</v>
      </c>
      <c r="G6202" s="2090"/>
      <c r="H6202" s="1106">
        <f>SUM(H6197:H6201)</f>
        <v>23619.417000000005</v>
      </c>
      <c r="M6202" s="1566"/>
    </row>
    <row r="6203" spans="2:13" s="496" customFormat="1" hidden="1">
      <c r="B6203" s="1543" t="s">
        <v>703</v>
      </c>
      <c r="C6203" s="2089" t="s">
        <v>3764</v>
      </c>
      <c r="D6203" s="2089"/>
      <c r="E6203" s="2089"/>
      <c r="F6203" s="2089"/>
      <c r="G6203" s="2089"/>
      <c r="H6203" s="1107">
        <f>H6195+H6202</f>
        <v>114161.917</v>
      </c>
      <c r="J6203" s="1559"/>
      <c r="K6203" s="1559"/>
      <c r="L6203" s="1559"/>
      <c r="M6203" s="1635"/>
    </row>
    <row r="6204" spans="2:13" s="496" customFormat="1" hidden="1">
      <c r="B6204" s="1543" t="s">
        <v>706</v>
      </c>
      <c r="C6204" s="2076" t="s">
        <v>876</v>
      </c>
      <c r="D6204" s="2076"/>
      <c r="E6204" s="2076"/>
      <c r="F6204" s="2077" t="s">
        <v>3873</v>
      </c>
      <c r="G6204" s="2077"/>
      <c r="H6204" s="1107">
        <f>H6203*0.15</f>
        <v>17124.287550000001</v>
      </c>
      <c r="J6204" s="1559"/>
      <c r="K6204" s="1559"/>
      <c r="L6204" s="1559"/>
      <c r="M6204" s="1635"/>
    </row>
    <row r="6205" spans="2:13" s="496" customFormat="1" hidden="1">
      <c r="B6205" s="1543" t="s">
        <v>708</v>
      </c>
      <c r="C6205" s="2078" t="s">
        <v>3765</v>
      </c>
      <c r="D6205" s="2078"/>
      <c r="E6205" s="2078"/>
      <c r="F6205" s="2078"/>
      <c r="G6205" s="2078"/>
      <c r="H6205" s="1107">
        <f>ROUND(SUM(H6203:H6204),2)</f>
        <v>131286.20000000001</v>
      </c>
      <c r="I6205" s="506">
        <f>SUM(H6203:H6204)</f>
        <v>131286.20454999999</v>
      </c>
      <c r="J6205" s="1561"/>
      <c r="K6205" s="1561"/>
      <c r="L6205" s="1559"/>
      <c r="M6205" s="1635"/>
    </row>
    <row r="6206" spans="2:13" hidden="1">
      <c r="F6206" s="1172"/>
      <c r="G6206" s="1173"/>
      <c r="H6206" s="1133"/>
      <c r="M6206" s="1566"/>
    </row>
    <row r="6207" spans="2:13" hidden="1">
      <c r="B6207" s="1150" t="s">
        <v>4197</v>
      </c>
      <c r="C6207" s="1232" t="s">
        <v>4461</v>
      </c>
      <c r="F6207" s="1172"/>
      <c r="G6207" s="1173"/>
      <c r="H6207" s="1133"/>
      <c r="M6207" s="1566"/>
    </row>
    <row r="6208" spans="2:13" s="507" customFormat="1" ht="24.9" hidden="1" customHeight="1">
      <c r="B6208" s="1748" t="s">
        <v>1003</v>
      </c>
      <c r="C6208" s="1101" t="s">
        <v>1004</v>
      </c>
      <c r="D6208" s="1101" t="s">
        <v>1005</v>
      </c>
      <c r="E6208" s="1101" t="s">
        <v>1006</v>
      </c>
      <c r="F6208" s="1102" t="s">
        <v>1007</v>
      </c>
      <c r="G6208" s="1109" t="s">
        <v>2637</v>
      </c>
      <c r="H6208" s="1110" t="s">
        <v>2638</v>
      </c>
      <c r="J6208" s="1625"/>
      <c r="K6208" s="1625"/>
      <c r="L6208" s="1625"/>
      <c r="M6208" s="1570"/>
    </row>
    <row r="6209" spans="2:13" hidden="1">
      <c r="B6209" s="1543" t="s">
        <v>671</v>
      </c>
      <c r="C6209" s="1332" t="s">
        <v>672</v>
      </c>
      <c r="D6209" s="1331"/>
      <c r="E6209" s="1331"/>
      <c r="F6209" s="1334"/>
      <c r="G6209" s="1104"/>
      <c r="H6209" s="1106"/>
      <c r="M6209" s="1566"/>
    </row>
    <row r="6210" spans="2:13" hidden="1">
      <c r="B6210" s="1543"/>
      <c r="C6210" s="1332" t="s">
        <v>673</v>
      </c>
      <c r="D6210" s="1331" t="s">
        <v>674</v>
      </c>
      <c r="E6210" s="1331" t="s">
        <v>675</v>
      </c>
      <c r="F6210" s="1334">
        <v>0.06</v>
      </c>
      <c r="G6210" s="1104">
        <f>DUB!$I$10</f>
        <v>150000</v>
      </c>
      <c r="H6210" s="1106">
        <f>G6210*F6210</f>
        <v>9000</v>
      </c>
      <c r="M6210" s="1566"/>
    </row>
    <row r="6211" spans="2:13" hidden="1">
      <c r="B6211" s="1543"/>
      <c r="C6211" s="1332" t="s">
        <v>1368</v>
      </c>
      <c r="D6211" s="1331" t="s">
        <v>678</v>
      </c>
      <c r="E6211" s="1331" t="s">
        <v>675</v>
      </c>
      <c r="F6211" s="1334">
        <v>0.06</v>
      </c>
      <c r="G6211" s="1104">
        <f>DUB!$I$11</f>
        <v>187000</v>
      </c>
      <c r="H6211" s="1106">
        <f>G6211*F6211</f>
        <v>11220</v>
      </c>
      <c r="M6211" s="1566"/>
    </row>
    <row r="6212" spans="2:13" hidden="1">
      <c r="B6212" s="1543"/>
      <c r="C6212" s="1332" t="s">
        <v>751</v>
      </c>
      <c r="D6212" s="1331" t="s">
        <v>681</v>
      </c>
      <c r="E6212" s="1331" t="s">
        <v>675</v>
      </c>
      <c r="F6212" s="1334">
        <v>1.2E-2</v>
      </c>
      <c r="G6212" s="1104">
        <f>DUB!$I$13</f>
        <v>240000</v>
      </c>
      <c r="H6212" s="1106">
        <f>G6212*F6212</f>
        <v>2880</v>
      </c>
      <c r="M6212" s="1566"/>
    </row>
    <row r="6213" spans="2:13" hidden="1">
      <c r="B6213" s="1543"/>
      <c r="C6213" s="1332" t="s">
        <v>683</v>
      </c>
      <c r="D6213" s="1331" t="s">
        <v>684</v>
      </c>
      <c r="E6213" s="1331" t="s">
        <v>675</v>
      </c>
      <c r="F6213" s="1334">
        <v>3.0000000000000001E-3</v>
      </c>
      <c r="G6213" s="1104">
        <f>DUB!$I$12</f>
        <v>225000</v>
      </c>
      <c r="H6213" s="1106">
        <f>G6213*F6213</f>
        <v>675</v>
      </c>
      <c r="M6213" s="1566"/>
    </row>
    <row r="6214" spans="2:13" hidden="1">
      <c r="B6214" s="1543"/>
      <c r="C6214" s="1332"/>
      <c r="D6214" s="1331"/>
      <c r="E6214" s="1331"/>
      <c r="F6214" s="2074" t="s">
        <v>685</v>
      </c>
      <c r="G6214" s="2074"/>
      <c r="H6214" s="1106">
        <f>SUM(H6210:H6213)</f>
        <v>23775</v>
      </c>
      <c r="M6214" s="1566"/>
    </row>
    <row r="6215" spans="2:13" hidden="1">
      <c r="B6215" s="1543" t="s">
        <v>686</v>
      </c>
      <c r="C6215" s="1332" t="s">
        <v>687</v>
      </c>
      <c r="D6215" s="1331"/>
      <c r="E6215" s="1331"/>
      <c r="F6215" s="1334"/>
      <c r="G6215" s="1104"/>
      <c r="H6215" s="1106"/>
      <c r="M6215" s="1566"/>
    </row>
    <row r="6216" spans="2:13" hidden="1">
      <c r="B6216" s="1540"/>
      <c r="C6216" s="1332" t="s">
        <v>1400</v>
      </c>
      <c r="D6216" s="1331"/>
      <c r="E6216" s="1331" t="s">
        <v>690</v>
      </c>
      <c r="F6216" s="1334">
        <v>0.3</v>
      </c>
      <c r="G6216" s="1104">
        <f>DUB!$I$307</f>
        <v>74970</v>
      </c>
      <c r="H6216" s="1106">
        <f>G6216*F6216</f>
        <v>22491</v>
      </c>
      <c r="M6216" s="1566"/>
    </row>
    <row r="6217" spans="2:13" hidden="1">
      <c r="B6217" s="1540"/>
      <c r="C6217" s="1332" t="s">
        <v>1395</v>
      </c>
      <c r="D6217" s="1331"/>
      <c r="E6217" s="1331" t="s">
        <v>743</v>
      </c>
      <c r="F6217" s="1334">
        <v>0.01</v>
      </c>
      <c r="G6217" s="1104">
        <f>DUB!$I$465</f>
        <v>27600</v>
      </c>
      <c r="H6217" s="1106">
        <f>G6217*F6217</f>
        <v>276</v>
      </c>
      <c r="M6217" s="1566"/>
    </row>
    <row r="6218" spans="2:13" hidden="1">
      <c r="B6218" s="1540"/>
      <c r="C6218" s="1332" t="s">
        <v>1374</v>
      </c>
      <c r="D6218" s="1331"/>
      <c r="E6218" s="1331" t="s">
        <v>896</v>
      </c>
      <c r="F6218" s="1334">
        <v>0.01</v>
      </c>
      <c r="G6218" s="1104">
        <f>DUB!$I$327</f>
        <v>28721.7</v>
      </c>
      <c r="H6218" s="1106">
        <f>G6218*F6218</f>
        <v>287.21700000000004</v>
      </c>
      <c r="M6218" s="1566"/>
    </row>
    <row r="6219" spans="2:13" hidden="1">
      <c r="B6219" s="1540"/>
      <c r="C6219" s="1125"/>
      <c r="D6219" s="1333"/>
      <c r="E6219" s="1333"/>
      <c r="F6219" s="2074" t="s">
        <v>702</v>
      </c>
      <c r="G6219" s="2074"/>
      <c r="H6219" s="1106">
        <f>SUM(H6216:H6218)</f>
        <v>23054.217000000001</v>
      </c>
      <c r="M6219" s="1566"/>
    </row>
    <row r="6220" spans="2:13" s="496" customFormat="1" hidden="1">
      <c r="B6220" s="1543" t="s">
        <v>703</v>
      </c>
      <c r="C6220" s="2075" t="s">
        <v>3764</v>
      </c>
      <c r="D6220" s="2075"/>
      <c r="E6220" s="2075"/>
      <c r="F6220" s="2075"/>
      <c r="G6220" s="2075"/>
      <c r="H6220" s="1107">
        <f>H6214+H6219</f>
        <v>46829.217000000004</v>
      </c>
      <c r="J6220" s="1559"/>
      <c r="K6220" s="1559"/>
      <c r="L6220" s="1559"/>
      <c r="M6220" s="1635"/>
    </row>
    <row r="6221" spans="2:13" s="496" customFormat="1" hidden="1">
      <c r="B6221" s="1543" t="s">
        <v>706</v>
      </c>
      <c r="C6221" s="2076" t="s">
        <v>876</v>
      </c>
      <c r="D6221" s="2076"/>
      <c r="E6221" s="2076"/>
      <c r="F6221" s="2077" t="s">
        <v>3873</v>
      </c>
      <c r="G6221" s="2077"/>
      <c r="H6221" s="1107">
        <f>H6220*0.15</f>
        <v>7024.3825500000003</v>
      </c>
      <c r="J6221" s="1559"/>
      <c r="K6221" s="1559"/>
      <c r="L6221" s="1559"/>
      <c r="M6221" s="1635"/>
    </row>
    <row r="6222" spans="2:13" s="496" customFormat="1" hidden="1">
      <c r="B6222" s="1543" t="s">
        <v>708</v>
      </c>
      <c r="C6222" s="2078" t="s">
        <v>3765</v>
      </c>
      <c r="D6222" s="2078"/>
      <c r="E6222" s="2078"/>
      <c r="F6222" s="2078"/>
      <c r="G6222" s="2078"/>
      <c r="H6222" s="1107">
        <f>ROUND(SUM(H6220:H6221),2)</f>
        <v>53853.599999999999</v>
      </c>
      <c r="I6222" s="506">
        <f>SUM(H6220:H6221)</f>
        <v>53853.599550000006</v>
      </c>
      <c r="J6222" s="1561"/>
      <c r="K6222" s="1561"/>
      <c r="L6222" s="1559"/>
      <c r="M6222" s="1635"/>
    </row>
    <row r="6223" spans="2:13" hidden="1">
      <c r="B6223" s="1143"/>
      <c r="C6223" s="1144"/>
      <c r="D6223" s="1143"/>
      <c r="E6223" s="1143"/>
      <c r="F6223" s="1145"/>
      <c r="G6223" s="1146"/>
      <c r="H6223" s="1147"/>
      <c r="M6223" s="1566"/>
    </row>
    <row r="6224" spans="2:13" hidden="1">
      <c r="B6224" s="1100" t="s">
        <v>4198</v>
      </c>
      <c r="C6224" s="1112" t="s">
        <v>4460</v>
      </c>
      <c r="D6224" s="1129"/>
      <c r="E6224" s="1129"/>
      <c r="F6224" s="1131"/>
      <c r="G6224" s="1132"/>
      <c r="H6224" s="1115"/>
      <c r="M6224" s="1566"/>
    </row>
    <row r="6225" spans="2:13" s="507" customFormat="1" ht="24.9" hidden="1" customHeight="1">
      <c r="B6225" s="1748" t="s">
        <v>1003</v>
      </c>
      <c r="C6225" s="1101" t="s">
        <v>1004</v>
      </c>
      <c r="D6225" s="1101" t="s">
        <v>1005</v>
      </c>
      <c r="E6225" s="1101" t="s">
        <v>1006</v>
      </c>
      <c r="F6225" s="1102" t="s">
        <v>1007</v>
      </c>
      <c r="G6225" s="1109" t="s">
        <v>2637</v>
      </c>
      <c r="H6225" s="1110" t="s">
        <v>2638</v>
      </c>
      <c r="J6225" s="1625"/>
      <c r="K6225" s="1625"/>
      <c r="L6225" s="1625"/>
      <c r="M6225" s="1570"/>
    </row>
    <row r="6226" spans="2:13" hidden="1">
      <c r="B6226" s="1543" t="s">
        <v>671</v>
      </c>
      <c r="C6226" s="1332" t="s">
        <v>672</v>
      </c>
      <c r="D6226" s="1331"/>
      <c r="E6226" s="1331"/>
      <c r="F6226" s="1334"/>
      <c r="G6226" s="1104"/>
      <c r="H6226" s="1106"/>
      <c r="M6226" s="1566"/>
    </row>
    <row r="6227" spans="2:13" hidden="1">
      <c r="B6227" s="1543"/>
      <c r="C6227" s="1332" t="s">
        <v>673</v>
      </c>
      <c r="D6227" s="1331" t="s">
        <v>674</v>
      </c>
      <c r="E6227" s="1331" t="s">
        <v>675</v>
      </c>
      <c r="F6227" s="1334">
        <v>0.4</v>
      </c>
      <c r="G6227" s="1104">
        <f>DUB!$I$10</f>
        <v>150000</v>
      </c>
      <c r="H6227" s="1106">
        <f>G6227*F6227</f>
        <v>60000</v>
      </c>
      <c r="M6227" s="1566"/>
    </row>
    <row r="6228" spans="2:13" hidden="1">
      <c r="B6228" s="1543"/>
      <c r="C6228" s="1332" t="s">
        <v>1368</v>
      </c>
      <c r="D6228" s="1331" t="s">
        <v>678</v>
      </c>
      <c r="E6228" s="1331" t="s">
        <v>675</v>
      </c>
      <c r="F6228" s="1334">
        <v>0.8</v>
      </c>
      <c r="G6228" s="1104">
        <f>DUB!$I$11</f>
        <v>187000</v>
      </c>
      <c r="H6228" s="1106">
        <f>G6228*F6228</f>
        <v>149600</v>
      </c>
      <c r="M6228" s="1566"/>
    </row>
    <row r="6229" spans="2:13" hidden="1">
      <c r="B6229" s="1543"/>
      <c r="C6229" s="1332" t="s">
        <v>751</v>
      </c>
      <c r="D6229" s="1331" t="s">
        <v>681</v>
      </c>
      <c r="E6229" s="1331" t="s">
        <v>675</v>
      </c>
      <c r="F6229" s="1334">
        <v>0.08</v>
      </c>
      <c r="G6229" s="1104">
        <f>DUB!$I$13</f>
        <v>240000</v>
      </c>
      <c r="H6229" s="1106">
        <f>G6229*F6229</f>
        <v>19200</v>
      </c>
      <c r="M6229" s="1566"/>
    </row>
    <row r="6230" spans="2:13" hidden="1">
      <c r="B6230" s="1543"/>
      <c r="C6230" s="1332" t="s">
        <v>683</v>
      </c>
      <c r="D6230" s="1331" t="s">
        <v>684</v>
      </c>
      <c r="E6230" s="1331" t="s">
        <v>675</v>
      </c>
      <c r="F6230" s="1334">
        <v>0.02</v>
      </c>
      <c r="G6230" s="1104">
        <f>DUB!$I$12</f>
        <v>225000</v>
      </c>
      <c r="H6230" s="1106">
        <f>G6230*F6230</f>
        <v>4500</v>
      </c>
      <c r="M6230" s="1566"/>
    </row>
    <row r="6231" spans="2:13" hidden="1">
      <c r="B6231" s="1543"/>
      <c r="C6231" s="1332"/>
      <c r="D6231" s="1331"/>
      <c r="E6231" s="1331"/>
      <c r="F6231" s="2074" t="s">
        <v>685</v>
      </c>
      <c r="G6231" s="2074"/>
      <c r="H6231" s="1106">
        <f>SUM(H6227:H6230)</f>
        <v>233300</v>
      </c>
      <c r="M6231" s="1566"/>
    </row>
    <row r="6232" spans="2:13" hidden="1">
      <c r="B6232" s="1543" t="s">
        <v>686</v>
      </c>
      <c r="C6232" s="1332" t="s">
        <v>687</v>
      </c>
      <c r="D6232" s="1331"/>
      <c r="E6232" s="1331"/>
      <c r="F6232" s="1334"/>
      <c r="G6232" s="1104"/>
      <c r="H6232" s="1106"/>
      <c r="M6232" s="1566"/>
    </row>
    <row r="6233" spans="2:13" hidden="1">
      <c r="B6233" s="1540"/>
      <c r="C6233" s="1332" t="s">
        <v>1371</v>
      </c>
      <c r="D6233" s="1331"/>
      <c r="E6233" s="1331" t="s">
        <v>690</v>
      </c>
      <c r="F6233" s="1334">
        <v>0.11</v>
      </c>
      <c r="G6233" s="1104">
        <f>DUB!$I$317</f>
        <v>55203</v>
      </c>
      <c r="H6233" s="1106">
        <f>G6233*F6233</f>
        <v>6072.33</v>
      </c>
      <c r="M6233" s="1566"/>
    </row>
    <row r="6234" spans="2:13" hidden="1">
      <c r="B6234" s="1540"/>
      <c r="C6234" s="1332" t="s">
        <v>1402</v>
      </c>
      <c r="D6234" s="1331"/>
      <c r="E6234" s="1331" t="s">
        <v>690</v>
      </c>
      <c r="F6234" s="1334">
        <v>0.17</v>
      </c>
      <c r="G6234" s="1104">
        <f>DUB!$I$315</f>
        <v>85293</v>
      </c>
      <c r="H6234" s="1106">
        <f>G6234*F6234</f>
        <v>14499.810000000001</v>
      </c>
      <c r="M6234" s="1566"/>
    </row>
    <row r="6235" spans="2:13" hidden="1">
      <c r="B6235" s="1540"/>
      <c r="C6235" s="1332" t="s">
        <v>1372</v>
      </c>
      <c r="D6235" s="1331"/>
      <c r="E6235" s="1331" t="s">
        <v>690</v>
      </c>
      <c r="F6235" s="1334">
        <v>0.08</v>
      </c>
      <c r="G6235" s="1104">
        <f>DUB!$I$307</f>
        <v>74970</v>
      </c>
      <c r="H6235" s="1106">
        <f>G6235*F6235</f>
        <v>5997.6</v>
      </c>
      <c r="M6235" s="1566"/>
    </row>
    <row r="6236" spans="2:13" hidden="1">
      <c r="B6236" s="1540"/>
      <c r="C6236" s="1332" t="s">
        <v>1395</v>
      </c>
      <c r="D6236" s="1331"/>
      <c r="E6236" s="1331" t="s">
        <v>743</v>
      </c>
      <c r="F6236" s="1334">
        <v>0.01</v>
      </c>
      <c r="G6236" s="1104">
        <f>DUB!$I$465</f>
        <v>27600</v>
      </c>
      <c r="H6236" s="1106">
        <f>G6236*F6236</f>
        <v>276</v>
      </c>
      <c r="M6236" s="1566"/>
    </row>
    <row r="6237" spans="2:13" hidden="1">
      <c r="B6237" s="1540"/>
      <c r="C6237" s="1332" t="s">
        <v>1374</v>
      </c>
      <c r="D6237" s="1331"/>
      <c r="E6237" s="1331" t="s">
        <v>896</v>
      </c>
      <c r="F6237" s="1334">
        <v>0.01</v>
      </c>
      <c r="G6237" s="1104">
        <f>DUB!$I$327</f>
        <v>28721.7</v>
      </c>
      <c r="H6237" s="1106">
        <f>G6237*F6237</f>
        <v>287.21700000000004</v>
      </c>
      <c r="M6237" s="1566"/>
    </row>
    <row r="6238" spans="2:13" hidden="1">
      <c r="B6238" s="1540"/>
      <c r="C6238" s="1125"/>
      <c r="D6238" s="1333"/>
      <c r="E6238" s="1333"/>
      <c r="F6238" s="2074" t="s">
        <v>702</v>
      </c>
      <c r="G6238" s="2074"/>
      <c r="H6238" s="1106">
        <f>SUM(H6233:H6237)</f>
        <v>27132.956999999999</v>
      </c>
      <c r="M6238" s="1566"/>
    </row>
    <row r="6239" spans="2:13" s="496" customFormat="1" hidden="1">
      <c r="B6239" s="1543" t="s">
        <v>703</v>
      </c>
      <c r="C6239" s="2075" t="s">
        <v>3764</v>
      </c>
      <c r="D6239" s="2075"/>
      <c r="E6239" s="2075"/>
      <c r="F6239" s="2075"/>
      <c r="G6239" s="2075"/>
      <c r="H6239" s="1107">
        <f>H6231+H6238</f>
        <v>260432.95699999999</v>
      </c>
      <c r="J6239" s="1559"/>
      <c r="K6239" s="1559"/>
      <c r="L6239" s="1559"/>
      <c r="M6239" s="1635"/>
    </row>
    <row r="6240" spans="2:13" s="496" customFormat="1" hidden="1">
      <c r="B6240" s="1543" t="s">
        <v>706</v>
      </c>
      <c r="C6240" s="2076" t="s">
        <v>876</v>
      </c>
      <c r="D6240" s="2076"/>
      <c r="E6240" s="2076"/>
      <c r="F6240" s="2077" t="s">
        <v>3873</v>
      </c>
      <c r="G6240" s="2077"/>
      <c r="H6240" s="1107">
        <f>H6239*0.15</f>
        <v>39064.943549999996</v>
      </c>
      <c r="J6240" s="1559"/>
      <c r="K6240" s="1559"/>
      <c r="L6240" s="1559"/>
      <c r="M6240" s="1635"/>
    </row>
    <row r="6241" spans="2:13" s="496" customFormat="1" hidden="1">
      <c r="B6241" s="1543" t="s">
        <v>708</v>
      </c>
      <c r="C6241" s="2078" t="s">
        <v>3765</v>
      </c>
      <c r="D6241" s="2078"/>
      <c r="E6241" s="2078"/>
      <c r="F6241" s="2078"/>
      <c r="G6241" s="2078"/>
      <c r="H6241" s="1107">
        <f>ROUND(SUM(H6239:H6240),2)</f>
        <v>299497.90000000002</v>
      </c>
      <c r="I6241" s="506">
        <f>SUM(H6239:H6240)</f>
        <v>299497.90055000002</v>
      </c>
      <c r="J6241" s="1561"/>
      <c r="K6241" s="1561"/>
      <c r="L6241" s="1559"/>
      <c r="M6241" s="1635"/>
    </row>
    <row r="6242" spans="2:13" hidden="1">
      <c r="F6242" s="1172"/>
      <c r="G6242" s="1173"/>
      <c r="H6242" s="1133"/>
      <c r="M6242" s="1566"/>
    </row>
    <row r="6243" spans="2:13" hidden="1">
      <c r="B6243" s="1150" t="s">
        <v>4199</v>
      </c>
      <c r="C6243" s="1232" t="s">
        <v>2738</v>
      </c>
      <c r="F6243" s="1172"/>
      <c r="G6243" s="1173"/>
      <c r="H6243" s="1133"/>
      <c r="M6243" s="1566"/>
    </row>
    <row r="6244" spans="2:13" s="507" customFormat="1" ht="24.9" hidden="1" customHeight="1">
      <c r="B6244" s="1748" t="s">
        <v>1003</v>
      </c>
      <c r="C6244" s="1101" t="s">
        <v>1004</v>
      </c>
      <c r="D6244" s="1101" t="s">
        <v>1005</v>
      </c>
      <c r="E6244" s="1101" t="s">
        <v>1006</v>
      </c>
      <c r="F6244" s="1102" t="s">
        <v>1007</v>
      </c>
      <c r="G6244" s="1109" t="s">
        <v>2637</v>
      </c>
      <c r="H6244" s="1110" t="s">
        <v>2638</v>
      </c>
      <c r="J6244" s="1625"/>
      <c r="K6244" s="1625"/>
      <c r="L6244" s="1625"/>
      <c r="M6244" s="1570"/>
    </row>
    <row r="6245" spans="2:13" hidden="1">
      <c r="B6245" s="1543" t="s">
        <v>671</v>
      </c>
      <c r="C6245" s="1332" t="s">
        <v>672</v>
      </c>
      <c r="D6245" s="1331"/>
      <c r="E6245" s="1331"/>
      <c r="F6245" s="1334"/>
      <c r="G6245" s="1104"/>
      <c r="H6245" s="1106"/>
      <c r="M6245" s="1566"/>
    </row>
    <row r="6246" spans="2:13" hidden="1">
      <c r="B6246" s="1543"/>
      <c r="C6246" s="1332" t="s">
        <v>673</v>
      </c>
      <c r="D6246" s="1331" t="s">
        <v>674</v>
      </c>
      <c r="E6246" s="1331" t="s">
        <v>675</v>
      </c>
      <c r="F6246" s="1334">
        <v>0.4</v>
      </c>
      <c r="G6246" s="1104">
        <f>DUB!$I$10</f>
        <v>150000</v>
      </c>
      <c r="H6246" s="1106">
        <f>G6246*F6246</f>
        <v>60000</v>
      </c>
      <c r="M6246" s="1566"/>
    </row>
    <row r="6247" spans="2:13" hidden="1">
      <c r="B6247" s="1543"/>
      <c r="C6247" s="1332" t="s">
        <v>1368</v>
      </c>
      <c r="D6247" s="1331" t="s">
        <v>678</v>
      </c>
      <c r="E6247" s="1331" t="s">
        <v>675</v>
      </c>
      <c r="F6247" s="1334">
        <v>0.7</v>
      </c>
      <c r="G6247" s="1104">
        <f>DUB!$I$11</f>
        <v>187000</v>
      </c>
      <c r="H6247" s="1106">
        <f>G6247*F6247</f>
        <v>130899.99999999999</v>
      </c>
      <c r="M6247" s="1566"/>
    </row>
    <row r="6248" spans="2:13" hidden="1">
      <c r="B6248" s="1543"/>
      <c r="C6248" s="1332" t="s">
        <v>751</v>
      </c>
      <c r="D6248" s="1331" t="s">
        <v>681</v>
      </c>
      <c r="E6248" s="1331" t="s">
        <v>675</v>
      </c>
      <c r="F6248" s="1334">
        <v>7.0000000000000007E-2</v>
      </c>
      <c r="G6248" s="1104">
        <f>DUB!$I$13</f>
        <v>240000</v>
      </c>
      <c r="H6248" s="1106">
        <f>G6248*F6248</f>
        <v>16800</v>
      </c>
      <c r="M6248" s="1566"/>
    </row>
    <row r="6249" spans="2:13" hidden="1">
      <c r="B6249" s="1543"/>
      <c r="C6249" s="1332" t="s">
        <v>683</v>
      </c>
      <c r="D6249" s="1331" t="s">
        <v>684</v>
      </c>
      <c r="E6249" s="1331" t="s">
        <v>675</v>
      </c>
      <c r="F6249" s="1334">
        <v>0.02</v>
      </c>
      <c r="G6249" s="1104">
        <f>DUB!$I$12</f>
        <v>225000</v>
      </c>
      <c r="H6249" s="1106">
        <f>G6249*F6249</f>
        <v>4500</v>
      </c>
      <c r="M6249" s="1566"/>
    </row>
    <row r="6250" spans="2:13" hidden="1">
      <c r="B6250" s="1543"/>
      <c r="C6250" s="1332"/>
      <c r="D6250" s="1331"/>
      <c r="E6250" s="1331"/>
      <c r="F6250" s="2074" t="s">
        <v>685</v>
      </c>
      <c r="G6250" s="2074"/>
      <c r="H6250" s="1106">
        <f>SUM(H6246:H6249)</f>
        <v>212200</v>
      </c>
      <c r="M6250" s="1566"/>
    </row>
    <row r="6251" spans="2:13" hidden="1">
      <c r="B6251" s="1543" t="s">
        <v>686</v>
      </c>
      <c r="C6251" s="1332" t="s">
        <v>687</v>
      </c>
      <c r="D6251" s="1331"/>
      <c r="E6251" s="1331"/>
      <c r="F6251" s="1334"/>
      <c r="G6251" s="1104"/>
      <c r="H6251" s="1106"/>
      <c r="M6251" s="1566"/>
    </row>
    <row r="6252" spans="2:13" hidden="1">
      <c r="B6252" s="1540"/>
      <c r="C6252" s="1332" t="s">
        <v>1371</v>
      </c>
      <c r="D6252" s="1331"/>
      <c r="E6252" s="1331" t="s">
        <v>690</v>
      </c>
      <c r="F6252" s="1334">
        <v>0.3</v>
      </c>
      <c r="G6252" s="1104">
        <f>DUB!$I$317</f>
        <v>55203</v>
      </c>
      <c r="H6252" s="1106">
        <f>G6252*F6252</f>
        <v>16560.899999999998</v>
      </c>
      <c r="M6252" s="1566"/>
    </row>
    <row r="6253" spans="2:13" hidden="1">
      <c r="B6253" s="1540"/>
      <c r="C6253" s="1332" t="s">
        <v>1374</v>
      </c>
      <c r="D6253" s="1331"/>
      <c r="E6253" s="1331" t="s">
        <v>896</v>
      </c>
      <c r="F6253" s="1334">
        <v>0.01</v>
      </c>
      <c r="G6253" s="1104">
        <f>DUB!$I$327</f>
        <v>28721.7</v>
      </c>
      <c r="H6253" s="1106">
        <f>G6253*F6253</f>
        <v>287.21700000000004</v>
      </c>
      <c r="M6253" s="1566"/>
    </row>
    <row r="6254" spans="2:13" hidden="1">
      <c r="B6254" s="1540"/>
      <c r="C6254" s="1125"/>
      <c r="D6254" s="1333"/>
      <c r="E6254" s="1333"/>
      <c r="F6254" s="2074" t="s">
        <v>702</v>
      </c>
      <c r="G6254" s="2074"/>
      <c r="H6254" s="1106">
        <f>SUM(H6252:H6253)</f>
        <v>16848.116999999998</v>
      </c>
      <c r="M6254" s="1566"/>
    </row>
    <row r="6255" spans="2:13" s="496" customFormat="1" hidden="1">
      <c r="B6255" s="1543" t="s">
        <v>703</v>
      </c>
      <c r="C6255" s="2075" t="s">
        <v>3764</v>
      </c>
      <c r="D6255" s="2075"/>
      <c r="E6255" s="2075"/>
      <c r="F6255" s="2075"/>
      <c r="G6255" s="2075"/>
      <c r="H6255" s="1107">
        <f>H6250+H6254</f>
        <v>229048.117</v>
      </c>
      <c r="J6255" s="1559"/>
      <c r="K6255" s="1559"/>
      <c r="L6255" s="1559"/>
      <c r="M6255" s="1635"/>
    </row>
    <row r="6256" spans="2:13" s="496" customFormat="1" hidden="1">
      <c r="B6256" s="1543" t="s">
        <v>706</v>
      </c>
      <c r="C6256" s="2076" t="s">
        <v>876</v>
      </c>
      <c r="D6256" s="2076"/>
      <c r="E6256" s="2076"/>
      <c r="F6256" s="2077" t="s">
        <v>3873</v>
      </c>
      <c r="G6256" s="2077"/>
      <c r="H6256" s="1107">
        <f>H6255*0.15</f>
        <v>34357.217550000001</v>
      </c>
      <c r="J6256" s="1559"/>
      <c r="K6256" s="1559"/>
      <c r="L6256" s="1559"/>
      <c r="M6256" s="1635"/>
    </row>
    <row r="6257" spans="2:13" s="496" customFormat="1" hidden="1">
      <c r="B6257" s="1543" t="s">
        <v>708</v>
      </c>
      <c r="C6257" s="2078" t="s">
        <v>3765</v>
      </c>
      <c r="D6257" s="2078"/>
      <c r="E6257" s="2078"/>
      <c r="F6257" s="2078"/>
      <c r="G6257" s="2078"/>
      <c r="H6257" s="1107">
        <f>ROUND(SUM(H6255:H6256),2)</f>
        <v>263405.33</v>
      </c>
      <c r="I6257" s="506">
        <f>SUM(H6255:H6256)</f>
        <v>263405.33455000003</v>
      </c>
      <c r="J6257" s="1561"/>
      <c r="K6257" s="1561"/>
      <c r="L6257" s="1559"/>
      <c r="M6257" s="1635"/>
    </row>
    <row r="6258" spans="2:13" hidden="1">
      <c r="F6258" s="1172"/>
      <c r="G6258" s="1173"/>
      <c r="H6258" s="1133"/>
      <c r="M6258" s="1566"/>
    </row>
    <row r="6259" spans="2:13" hidden="1">
      <c r="B6259" s="1150" t="s">
        <v>4900</v>
      </c>
      <c r="C6259" s="1232" t="s">
        <v>4901</v>
      </c>
      <c r="F6259" s="1172"/>
      <c r="G6259" s="1173"/>
      <c r="H6259" s="1133"/>
      <c r="M6259" s="1566"/>
    </row>
    <row r="6260" spans="2:13" ht="24.9" hidden="1" customHeight="1">
      <c r="B6260" s="1748" t="s">
        <v>1003</v>
      </c>
      <c r="C6260" s="1101" t="s">
        <v>1004</v>
      </c>
      <c r="D6260" s="1101" t="s">
        <v>1005</v>
      </c>
      <c r="E6260" s="1101" t="s">
        <v>1006</v>
      </c>
      <c r="F6260" s="1102" t="s">
        <v>1007</v>
      </c>
      <c r="G6260" s="1109" t="s">
        <v>2637</v>
      </c>
      <c r="H6260" s="1110" t="s">
        <v>2638</v>
      </c>
      <c r="I6260" s="507"/>
      <c r="J6260" s="1625"/>
      <c r="K6260" s="1625"/>
      <c r="M6260" s="1566"/>
    </row>
    <row r="6261" spans="2:13" hidden="1">
      <c r="B6261" s="1543" t="s">
        <v>671</v>
      </c>
      <c r="C6261" s="1332" t="s">
        <v>672</v>
      </c>
      <c r="D6261" s="1331"/>
      <c r="E6261" s="1331"/>
      <c r="F6261" s="1334"/>
      <c r="G6261" s="1104"/>
      <c r="H6261" s="1106"/>
      <c r="M6261" s="1566"/>
    </row>
    <row r="6262" spans="2:13" hidden="1">
      <c r="B6262" s="1543"/>
      <c r="C6262" s="1332" t="s">
        <v>673</v>
      </c>
      <c r="D6262" s="1331" t="s">
        <v>674</v>
      </c>
      <c r="E6262" s="1331" t="s">
        <v>675</v>
      </c>
      <c r="F6262" s="1334">
        <v>0.4</v>
      </c>
      <c r="G6262" s="1104">
        <f>DUB!$I$10</f>
        <v>150000</v>
      </c>
      <c r="H6262" s="1106">
        <f>G6262*F6262</f>
        <v>60000</v>
      </c>
      <c r="M6262" s="1566"/>
    </row>
    <row r="6263" spans="2:13" hidden="1">
      <c r="B6263" s="1543"/>
      <c r="C6263" s="1332" t="s">
        <v>1368</v>
      </c>
      <c r="D6263" s="1331" t="s">
        <v>678</v>
      </c>
      <c r="E6263" s="1331" t="s">
        <v>675</v>
      </c>
      <c r="F6263" s="1334">
        <v>0.7</v>
      </c>
      <c r="G6263" s="1104">
        <f>DUB!$I$11</f>
        <v>187000</v>
      </c>
      <c r="H6263" s="1106">
        <f>G6263*F6263</f>
        <v>130899.99999999999</v>
      </c>
      <c r="M6263" s="1566"/>
    </row>
    <row r="6264" spans="2:13" hidden="1">
      <c r="B6264" s="1543"/>
      <c r="C6264" s="1332" t="s">
        <v>751</v>
      </c>
      <c r="D6264" s="1331" t="s">
        <v>681</v>
      </c>
      <c r="E6264" s="1331" t="s">
        <v>675</v>
      </c>
      <c r="F6264" s="1334">
        <v>7.0000000000000007E-2</v>
      </c>
      <c r="G6264" s="1104">
        <f>DUB!$I$13</f>
        <v>240000</v>
      </c>
      <c r="H6264" s="1106">
        <f>G6264*F6264</f>
        <v>16800</v>
      </c>
      <c r="M6264" s="1566"/>
    </row>
    <row r="6265" spans="2:13" hidden="1">
      <c r="B6265" s="1543"/>
      <c r="C6265" s="1332" t="s">
        <v>683</v>
      </c>
      <c r="D6265" s="1331" t="s">
        <v>684</v>
      </c>
      <c r="E6265" s="1331" t="s">
        <v>675</v>
      </c>
      <c r="F6265" s="1334">
        <v>0.02</v>
      </c>
      <c r="G6265" s="1104">
        <f>DUB!$I$12</f>
        <v>225000</v>
      </c>
      <c r="H6265" s="1106">
        <f>G6265*F6265</f>
        <v>4500</v>
      </c>
      <c r="M6265" s="1566"/>
    </row>
    <row r="6266" spans="2:13" hidden="1">
      <c r="B6266" s="1543"/>
      <c r="C6266" s="1332"/>
      <c r="D6266" s="1331"/>
      <c r="E6266" s="1331"/>
      <c r="F6266" s="2074" t="s">
        <v>685</v>
      </c>
      <c r="G6266" s="2074"/>
      <c r="H6266" s="1106">
        <f>SUM(H6262:H6265)</f>
        <v>212200</v>
      </c>
      <c r="M6266" s="1566"/>
    </row>
    <row r="6267" spans="2:13" hidden="1">
      <c r="B6267" s="1543" t="s">
        <v>686</v>
      </c>
      <c r="C6267" s="1332" t="s">
        <v>687</v>
      </c>
      <c r="D6267" s="1331"/>
      <c r="E6267" s="1331"/>
      <c r="F6267" s="1334"/>
      <c r="G6267" s="1104"/>
      <c r="H6267" s="1106"/>
      <c r="M6267" s="1566"/>
    </row>
    <row r="6268" spans="2:13" hidden="1">
      <c r="B6268" s="1540"/>
      <c r="C6268" s="1332" t="s">
        <v>4902</v>
      </c>
      <c r="D6268" s="1331"/>
      <c r="E6268" s="1331" t="s">
        <v>690</v>
      </c>
      <c r="F6268" s="1334">
        <v>0.3</v>
      </c>
      <c r="G6268" s="1104">
        <f>DUB!I332</f>
        <v>59400</v>
      </c>
      <c r="H6268" s="1106">
        <f>G6268*F6268</f>
        <v>17820</v>
      </c>
      <c r="M6268" s="1566"/>
    </row>
    <row r="6269" spans="2:13" hidden="1">
      <c r="B6269" s="1540"/>
      <c r="C6269" s="1332" t="s">
        <v>3145</v>
      </c>
      <c r="D6269" s="1331"/>
      <c r="E6269" s="1331" t="s">
        <v>715</v>
      </c>
      <c r="F6269" s="1334">
        <v>0.1</v>
      </c>
      <c r="G6269" s="1104">
        <f>DUB!I464</f>
        <v>3744</v>
      </c>
      <c r="H6269" s="1106">
        <f>G6269*F6269</f>
        <v>374.40000000000003</v>
      </c>
      <c r="M6269" s="1566"/>
    </row>
    <row r="6270" spans="2:13" hidden="1">
      <c r="B6270" s="1540"/>
      <c r="C6270" s="1125"/>
      <c r="D6270" s="1333"/>
      <c r="E6270" s="1333"/>
      <c r="F6270" s="2074" t="s">
        <v>702</v>
      </c>
      <c r="G6270" s="2074"/>
      <c r="H6270" s="1106">
        <f>SUM(H6268:H6269)</f>
        <v>18194.400000000001</v>
      </c>
      <c r="M6270" s="1566"/>
    </row>
    <row r="6271" spans="2:13" hidden="1">
      <c r="B6271" s="1543" t="s">
        <v>703</v>
      </c>
      <c r="C6271" s="2075" t="s">
        <v>3764</v>
      </c>
      <c r="D6271" s="2075"/>
      <c r="E6271" s="2075"/>
      <c r="F6271" s="2075"/>
      <c r="G6271" s="2075"/>
      <c r="H6271" s="1107">
        <f>H6266+H6270</f>
        <v>230394.4</v>
      </c>
      <c r="I6271" s="496"/>
      <c r="J6271" s="1559"/>
      <c r="K6271" s="1559"/>
      <c r="M6271" s="1566"/>
    </row>
    <row r="6272" spans="2:13" hidden="1">
      <c r="B6272" s="1543" t="s">
        <v>706</v>
      </c>
      <c r="C6272" s="2076" t="s">
        <v>876</v>
      </c>
      <c r="D6272" s="2076"/>
      <c r="E6272" s="2076"/>
      <c r="F6272" s="2077" t="s">
        <v>3873</v>
      </c>
      <c r="G6272" s="2077"/>
      <c r="H6272" s="1107">
        <f>H6271*0.15</f>
        <v>34559.159999999996</v>
      </c>
      <c r="I6272" s="496"/>
      <c r="J6272" s="1559"/>
      <c r="K6272" s="1559"/>
      <c r="M6272" s="1566"/>
    </row>
    <row r="6273" spans="2:13" hidden="1">
      <c r="B6273" s="1543" t="s">
        <v>708</v>
      </c>
      <c r="C6273" s="2078" t="s">
        <v>3765</v>
      </c>
      <c r="D6273" s="2078"/>
      <c r="E6273" s="2078"/>
      <c r="F6273" s="2078"/>
      <c r="G6273" s="2078"/>
      <c r="H6273" s="1107">
        <f>ROUND(SUM(H6271:H6272),2)</f>
        <v>264953.56</v>
      </c>
      <c r="I6273" s="506">
        <f>SUM(H6271:H6272)</f>
        <v>264953.56</v>
      </c>
      <c r="J6273" s="1561"/>
      <c r="K6273" s="1561"/>
      <c r="M6273" s="1566"/>
    </row>
    <row r="6274" spans="2:13" hidden="1">
      <c r="F6274" s="1172"/>
      <c r="G6274" s="1173"/>
      <c r="H6274" s="1133"/>
      <c r="M6274" s="1566"/>
    </row>
    <row r="6275" spans="2:13" hidden="1">
      <c r="B6275" s="1150" t="s">
        <v>4200</v>
      </c>
      <c r="C6275" s="1112" t="s">
        <v>2737</v>
      </c>
      <c r="E6275" s="1129"/>
      <c r="F6275" s="1131"/>
      <c r="G6275" s="1132"/>
      <c r="H6275" s="1115"/>
      <c r="M6275" s="1566"/>
    </row>
    <row r="6276" spans="2:13" hidden="1">
      <c r="B6276" s="1100" t="s">
        <v>4201</v>
      </c>
      <c r="C6276" s="1112" t="s">
        <v>2736</v>
      </c>
      <c r="D6276" s="1129"/>
      <c r="E6276" s="1129"/>
      <c r="F6276" s="1131"/>
      <c r="G6276" s="1132"/>
      <c r="H6276" s="1115"/>
      <c r="M6276" s="1566"/>
    </row>
    <row r="6277" spans="2:13" s="507" customFormat="1" ht="24.9" hidden="1" customHeight="1">
      <c r="B6277" s="1748" t="s">
        <v>1003</v>
      </c>
      <c r="C6277" s="1101" t="s">
        <v>1004</v>
      </c>
      <c r="D6277" s="1101" t="s">
        <v>1005</v>
      </c>
      <c r="E6277" s="1101" t="s">
        <v>1006</v>
      </c>
      <c r="F6277" s="1102" t="s">
        <v>1007</v>
      </c>
      <c r="G6277" s="1109" t="s">
        <v>2637</v>
      </c>
      <c r="H6277" s="1110" t="s">
        <v>2638</v>
      </c>
      <c r="J6277" s="1625"/>
      <c r="K6277" s="1625"/>
      <c r="L6277" s="1625"/>
      <c r="M6277" s="1570"/>
    </row>
    <row r="6278" spans="2:13" hidden="1">
      <c r="B6278" s="1543" t="s">
        <v>671</v>
      </c>
      <c r="C6278" s="1332" t="s">
        <v>672</v>
      </c>
      <c r="D6278" s="1331"/>
      <c r="E6278" s="1331"/>
      <c r="F6278" s="1334"/>
      <c r="G6278" s="1104"/>
      <c r="H6278" s="1106"/>
      <c r="M6278" s="1566"/>
    </row>
    <row r="6279" spans="2:13" hidden="1">
      <c r="B6279" s="1543"/>
      <c r="C6279" s="1332" t="s">
        <v>673</v>
      </c>
      <c r="D6279" s="1331" t="s">
        <v>674</v>
      </c>
      <c r="E6279" s="1331" t="s">
        <v>675</v>
      </c>
      <c r="F6279" s="1334">
        <v>3.3</v>
      </c>
      <c r="G6279" s="1104">
        <f>DUB!$I$10</f>
        <v>150000</v>
      </c>
      <c r="H6279" s="1106">
        <f>G6279*F6279</f>
        <v>495000</v>
      </c>
      <c r="M6279" s="1566"/>
    </row>
    <row r="6280" spans="2:13" hidden="1">
      <c r="B6280" s="1543"/>
      <c r="C6280" s="1332" t="s">
        <v>731</v>
      </c>
      <c r="D6280" s="1331" t="s">
        <v>678</v>
      </c>
      <c r="E6280" s="1331" t="s">
        <v>675</v>
      </c>
      <c r="F6280" s="1334">
        <v>1.1000000000000001</v>
      </c>
      <c r="G6280" s="1104">
        <f>DUB!$I$11</f>
        <v>187000</v>
      </c>
      <c r="H6280" s="1106">
        <f>G6280*F6280</f>
        <v>205700.00000000003</v>
      </c>
      <c r="M6280" s="1566"/>
    </row>
    <row r="6281" spans="2:13" hidden="1">
      <c r="B6281" s="1543"/>
      <c r="C6281" s="1332" t="s">
        <v>751</v>
      </c>
      <c r="D6281" s="1331" t="s">
        <v>681</v>
      </c>
      <c r="E6281" s="1331" t="s">
        <v>675</v>
      </c>
      <c r="F6281" s="1334">
        <v>0.01</v>
      </c>
      <c r="G6281" s="1104">
        <f>DUB!$I$13</f>
        <v>240000</v>
      </c>
      <c r="H6281" s="1106">
        <f>G6281*F6281</f>
        <v>2400</v>
      </c>
      <c r="M6281" s="1566"/>
    </row>
    <row r="6282" spans="2:13" hidden="1">
      <c r="B6282" s="1543"/>
      <c r="C6282" s="1332" t="s">
        <v>683</v>
      </c>
      <c r="D6282" s="1331" t="s">
        <v>684</v>
      </c>
      <c r="E6282" s="1331" t="s">
        <v>675</v>
      </c>
      <c r="F6282" s="1334">
        <v>0.16</v>
      </c>
      <c r="G6282" s="1104">
        <f>DUB!$I$12</f>
        <v>225000</v>
      </c>
      <c r="H6282" s="1106">
        <f>G6282*F6282</f>
        <v>36000</v>
      </c>
      <c r="M6282" s="1566"/>
    </row>
    <row r="6283" spans="2:13" hidden="1">
      <c r="B6283" s="1543"/>
      <c r="C6283" s="1332"/>
      <c r="D6283" s="1331"/>
      <c r="E6283" s="1331"/>
      <c r="F6283" s="2074" t="s">
        <v>685</v>
      </c>
      <c r="G6283" s="2074"/>
      <c r="H6283" s="1106">
        <f>SUM(H6279:H6282)</f>
        <v>739100</v>
      </c>
      <c r="M6283" s="1566"/>
    </row>
    <row r="6284" spans="2:13" hidden="1">
      <c r="B6284" s="1543" t="s">
        <v>686</v>
      </c>
      <c r="C6284" s="1332" t="s">
        <v>687</v>
      </c>
      <c r="D6284" s="1331"/>
      <c r="E6284" s="1331"/>
      <c r="F6284" s="1334"/>
      <c r="G6284" s="1104"/>
      <c r="H6284" s="1106"/>
      <c r="M6284" s="1566"/>
    </row>
    <row r="6285" spans="2:13" hidden="1">
      <c r="B6285" s="1540"/>
      <c r="C6285" s="1332" t="s">
        <v>1404</v>
      </c>
      <c r="D6285" s="1331"/>
      <c r="E6285" s="1331" t="s">
        <v>1405</v>
      </c>
      <c r="F6285" s="1334">
        <v>1</v>
      </c>
      <c r="G6285" s="1104">
        <f>DUB!$I$341</f>
        <v>1606500</v>
      </c>
      <c r="H6285" s="1106">
        <f>G6285*F6285</f>
        <v>1606500</v>
      </c>
      <c r="M6285" s="1566"/>
    </row>
    <row r="6286" spans="2:13" hidden="1">
      <c r="B6286" s="1540"/>
      <c r="C6286" s="1332" t="s">
        <v>1406</v>
      </c>
      <c r="D6286" s="1331"/>
      <c r="E6286" s="1331" t="s">
        <v>1011</v>
      </c>
      <c r="F6286" s="1334" t="s">
        <v>1407</v>
      </c>
      <c r="G6286" s="1104">
        <f>6%*$H$6285</f>
        <v>96390</v>
      </c>
      <c r="H6286" s="1106">
        <f>G6286</f>
        <v>96390</v>
      </c>
      <c r="M6286" s="1566"/>
    </row>
    <row r="6287" spans="2:13" hidden="1">
      <c r="B6287" s="1540"/>
      <c r="C6287" s="1125"/>
      <c r="D6287" s="1333"/>
      <c r="E6287" s="1333"/>
      <c r="F6287" s="2074" t="s">
        <v>702</v>
      </c>
      <c r="G6287" s="2074"/>
      <c r="H6287" s="1106">
        <f>SUM(H6285:H6286)</f>
        <v>1702890</v>
      </c>
      <c r="M6287" s="1566"/>
    </row>
    <row r="6288" spans="2:13" s="496" customFormat="1" hidden="1">
      <c r="B6288" s="1543" t="s">
        <v>703</v>
      </c>
      <c r="C6288" s="2075" t="s">
        <v>3764</v>
      </c>
      <c r="D6288" s="2075"/>
      <c r="E6288" s="2075"/>
      <c r="F6288" s="2075"/>
      <c r="G6288" s="2075"/>
      <c r="H6288" s="1107">
        <f>H6283+H6287</f>
        <v>2441990</v>
      </c>
      <c r="J6288" s="1559"/>
      <c r="K6288" s="1559"/>
      <c r="L6288" s="1559"/>
      <c r="M6288" s="1635"/>
    </row>
    <row r="6289" spans="2:13" s="496" customFormat="1" hidden="1">
      <c r="B6289" s="1543" t="s">
        <v>706</v>
      </c>
      <c r="C6289" s="2076" t="s">
        <v>876</v>
      </c>
      <c r="D6289" s="2076"/>
      <c r="E6289" s="2076"/>
      <c r="F6289" s="2077" t="s">
        <v>3873</v>
      </c>
      <c r="G6289" s="2077"/>
      <c r="H6289" s="1107">
        <f>H6288*0.15</f>
        <v>366298.5</v>
      </c>
      <c r="J6289" s="1559"/>
      <c r="K6289" s="1559"/>
      <c r="L6289" s="1559"/>
      <c r="M6289" s="1635"/>
    </row>
    <row r="6290" spans="2:13" s="496" customFormat="1" hidden="1">
      <c r="B6290" s="1543" t="s">
        <v>708</v>
      </c>
      <c r="C6290" s="2078" t="s">
        <v>3765</v>
      </c>
      <c r="D6290" s="2078"/>
      <c r="E6290" s="2078"/>
      <c r="F6290" s="2078"/>
      <c r="G6290" s="2078"/>
      <c r="H6290" s="1107">
        <f>ROUND(SUM(H6288:H6289),2)</f>
        <v>2808288.5</v>
      </c>
      <c r="I6290" s="506">
        <f>SUM(H6288:H6289)</f>
        <v>2808288.5</v>
      </c>
      <c r="J6290" s="1561"/>
      <c r="K6290" s="1561"/>
      <c r="L6290" s="1559"/>
      <c r="M6290" s="1635"/>
    </row>
    <row r="6291" spans="2:13" hidden="1">
      <c r="B6291" s="1129"/>
      <c r="C6291" s="1130"/>
      <c r="D6291" s="1129"/>
      <c r="E6291" s="1130"/>
      <c r="F6291" s="1131"/>
      <c r="G6291" s="1132"/>
      <c r="H6291" s="1133"/>
      <c r="I6291" s="526"/>
      <c r="J6291" s="1562"/>
      <c r="K6291" s="1562"/>
      <c r="M6291" s="1566"/>
    </row>
    <row r="6292" spans="2:13">
      <c r="B6292" s="1100" t="s">
        <v>4202</v>
      </c>
      <c r="C6292" s="1171" t="s">
        <v>5238</v>
      </c>
      <c r="D6292" s="1129"/>
      <c r="E6292" s="1129"/>
      <c r="F6292" s="1131"/>
      <c r="G6292" s="1132"/>
      <c r="H6292" s="1115"/>
      <c r="M6292" s="1566"/>
    </row>
    <row r="6293" spans="2:13" s="507" customFormat="1" ht="24.9" customHeight="1">
      <c r="B6293" s="1101" t="s">
        <v>1003</v>
      </c>
      <c r="C6293" s="1101" t="s">
        <v>1004</v>
      </c>
      <c r="D6293" s="1101" t="s">
        <v>1005</v>
      </c>
      <c r="E6293" s="1101" t="s">
        <v>1006</v>
      </c>
      <c r="F6293" s="1102" t="s">
        <v>1007</v>
      </c>
      <c r="G6293" s="1109" t="s">
        <v>2637</v>
      </c>
      <c r="H6293" s="1110" t="s">
        <v>2638</v>
      </c>
      <c r="I6293" s="1834"/>
      <c r="J6293" s="1823" t="s">
        <v>5335</v>
      </c>
      <c r="K6293" s="1824" t="s">
        <v>5336</v>
      </c>
      <c r="L6293" s="1824" t="s">
        <v>5337</v>
      </c>
      <c r="M6293" s="1825" t="s">
        <v>5338</v>
      </c>
    </row>
    <row r="6294" spans="2:13">
      <c r="B6294" s="1330" t="s">
        <v>671</v>
      </c>
      <c r="C6294" s="1332" t="s">
        <v>672</v>
      </c>
      <c r="D6294" s="1331"/>
      <c r="E6294" s="1331"/>
      <c r="F6294" s="1334"/>
      <c r="G6294" s="1104"/>
      <c r="H6294" s="1106"/>
      <c r="J6294" s="1597"/>
      <c r="K6294" s="1597"/>
      <c r="L6294" s="1597"/>
      <c r="M6294" s="1826"/>
    </row>
    <row r="6295" spans="2:13">
      <c r="B6295" s="1330"/>
      <c r="C6295" s="1332" t="s">
        <v>673</v>
      </c>
      <c r="D6295" s="1331" t="s">
        <v>674</v>
      </c>
      <c r="E6295" s="1331" t="s">
        <v>675</v>
      </c>
      <c r="F6295" s="1334">
        <v>3.3</v>
      </c>
      <c r="G6295" s="1104">
        <f>DUB!$I$10</f>
        <v>150000</v>
      </c>
      <c r="H6295" s="1106">
        <f>G6295*F6295</f>
        <v>495000</v>
      </c>
      <c r="J6295" s="1609" t="s">
        <v>5339</v>
      </c>
      <c r="K6295" s="1611">
        <v>1</v>
      </c>
      <c r="L6295" s="1608" t="s">
        <v>5340</v>
      </c>
      <c r="M6295" s="1827">
        <f>H6295*K6295</f>
        <v>495000</v>
      </c>
    </row>
    <row r="6296" spans="2:13">
      <c r="B6296" s="1330"/>
      <c r="C6296" s="1332" t="s">
        <v>731</v>
      </c>
      <c r="D6296" s="1331" t="s">
        <v>678</v>
      </c>
      <c r="E6296" s="1331" t="s">
        <v>675</v>
      </c>
      <c r="F6296" s="1334">
        <v>1.1000000000000001</v>
      </c>
      <c r="G6296" s="1104">
        <f>DUB!$I$11</f>
        <v>187000</v>
      </c>
      <c r="H6296" s="1106">
        <f>G6296*F6296</f>
        <v>205700.00000000003</v>
      </c>
      <c r="J6296" s="1609" t="s">
        <v>5339</v>
      </c>
      <c r="K6296" s="1611">
        <v>1</v>
      </c>
      <c r="L6296" s="1608" t="s">
        <v>5340</v>
      </c>
      <c r="M6296" s="1827">
        <f t="shared" ref="M6296" si="160">H6296*K6296</f>
        <v>205700.00000000003</v>
      </c>
    </row>
    <row r="6297" spans="2:13">
      <c r="B6297" s="1330"/>
      <c r="C6297" s="1332" t="s">
        <v>751</v>
      </c>
      <c r="D6297" s="1331" t="s">
        <v>681</v>
      </c>
      <c r="E6297" s="1331" t="s">
        <v>675</v>
      </c>
      <c r="F6297" s="1334">
        <v>0.01</v>
      </c>
      <c r="G6297" s="1104">
        <f>DUB!$I$13</f>
        <v>240000</v>
      </c>
      <c r="H6297" s="1106">
        <f>G6297*F6297</f>
        <v>2400</v>
      </c>
      <c r="J6297" s="1609" t="s">
        <v>5339</v>
      </c>
      <c r="K6297" s="1611">
        <v>1</v>
      </c>
      <c r="L6297" s="1608" t="s">
        <v>5340</v>
      </c>
      <c r="M6297" s="1827">
        <f>H6297*K6297</f>
        <v>2400</v>
      </c>
    </row>
    <row r="6298" spans="2:13">
      <c r="B6298" s="1330"/>
      <c r="C6298" s="1332" t="s">
        <v>683</v>
      </c>
      <c r="D6298" s="1331" t="s">
        <v>684</v>
      </c>
      <c r="E6298" s="1331" t="s">
        <v>675</v>
      </c>
      <c r="F6298" s="1334">
        <v>0.16</v>
      </c>
      <c r="G6298" s="1104">
        <f>DUB!$I$12</f>
        <v>225000</v>
      </c>
      <c r="H6298" s="1106">
        <f>G6298*F6298</f>
        <v>36000</v>
      </c>
      <c r="J6298" s="1609" t="s">
        <v>5339</v>
      </c>
      <c r="K6298" s="1611">
        <v>1</v>
      </c>
      <c r="L6298" s="1608" t="s">
        <v>5340</v>
      </c>
      <c r="M6298" s="1827">
        <f t="shared" ref="M6298" si="161">H6298*K6298</f>
        <v>36000</v>
      </c>
    </row>
    <row r="6299" spans="2:13">
      <c r="B6299" s="1330"/>
      <c r="C6299" s="1332"/>
      <c r="D6299" s="1331"/>
      <c r="E6299" s="1331"/>
      <c r="F6299" s="2074" t="s">
        <v>685</v>
      </c>
      <c r="G6299" s="2074"/>
      <c r="H6299" s="1106">
        <f>SUM(H6295:H6298)</f>
        <v>739100</v>
      </c>
      <c r="J6299" s="1597"/>
      <c r="K6299" s="1597"/>
      <c r="L6299" s="1597"/>
      <c r="M6299" s="1107">
        <f>SUM(M6295:M6298)</f>
        <v>739100</v>
      </c>
    </row>
    <row r="6300" spans="2:13">
      <c r="B6300" s="1330" t="s">
        <v>686</v>
      </c>
      <c r="C6300" s="1332" t="s">
        <v>687</v>
      </c>
      <c r="D6300" s="1331"/>
      <c r="E6300" s="1331"/>
      <c r="F6300" s="1334"/>
      <c r="G6300" s="1104"/>
      <c r="H6300" s="1106"/>
      <c r="J6300" s="1597"/>
      <c r="K6300" s="1597"/>
      <c r="L6300" s="1597"/>
      <c r="M6300" s="1826"/>
    </row>
    <row r="6301" spans="2:13">
      <c r="B6301" s="1330"/>
      <c r="C6301" s="1332" t="s">
        <v>5239</v>
      </c>
      <c r="D6301" s="1331"/>
      <c r="E6301" s="1331" t="s">
        <v>1405</v>
      </c>
      <c r="F6301" s="1334">
        <v>1</v>
      </c>
      <c r="G6301" s="1104">
        <f>DUB!I342</f>
        <v>3091000</v>
      </c>
      <c r="H6301" s="1106">
        <f>G6301*F6301</f>
        <v>3091000</v>
      </c>
      <c r="J6301" s="1634" t="s">
        <v>4925</v>
      </c>
      <c r="K6301" s="1611">
        <v>0.52880000000000005</v>
      </c>
      <c r="L6301" s="1607" t="s">
        <v>5343</v>
      </c>
      <c r="M6301" s="1827">
        <f>H6301*K6301</f>
        <v>1634520.8</v>
      </c>
    </row>
    <row r="6302" spans="2:13">
      <c r="B6302" s="1331"/>
      <c r="C6302" s="1332" t="s">
        <v>1406</v>
      </c>
      <c r="D6302" s="1331"/>
      <c r="E6302" s="1331" t="s">
        <v>1011</v>
      </c>
      <c r="F6302" s="1334" t="s">
        <v>1407</v>
      </c>
      <c r="G6302" s="1104">
        <f>6%*H6301</f>
        <v>185460</v>
      </c>
      <c r="H6302" s="1106">
        <f>G6302</f>
        <v>185460</v>
      </c>
      <c r="J6302" s="1634" t="s">
        <v>4925</v>
      </c>
      <c r="K6302" s="1611">
        <v>1</v>
      </c>
      <c r="L6302" s="1634" t="s">
        <v>4925</v>
      </c>
      <c r="M6302" s="1827">
        <f t="shared" ref="M6302" si="162">H6302*K6302</f>
        <v>185460</v>
      </c>
    </row>
    <row r="6303" spans="2:13">
      <c r="B6303" s="1331"/>
      <c r="C6303" s="1125"/>
      <c r="D6303" s="1333"/>
      <c r="E6303" s="1333"/>
      <c r="F6303" s="2074" t="s">
        <v>702</v>
      </c>
      <c r="G6303" s="2074"/>
      <c r="H6303" s="1106">
        <f>SUM(H6301:H6302)</f>
        <v>3276460</v>
      </c>
      <c r="J6303" s="1642"/>
      <c r="K6303" s="1611"/>
      <c r="L6303" s="1607"/>
      <c r="M6303" s="1106">
        <f>SUM(M6301:M6302)</f>
        <v>1819980.8</v>
      </c>
    </row>
    <row r="6304" spans="2:13" s="496" customFormat="1">
      <c r="B6304" s="1330" t="s">
        <v>703</v>
      </c>
      <c r="C6304" s="2075" t="s">
        <v>3764</v>
      </c>
      <c r="D6304" s="2075"/>
      <c r="E6304" s="2075"/>
      <c r="F6304" s="2075"/>
      <c r="G6304" s="2075"/>
      <c r="H6304" s="1107">
        <f>H6299+H6303</f>
        <v>4015560</v>
      </c>
      <c r="J6304" s="1597"/>
      <c r="K6304" s="1633">
        <f>M6304/H6304</f>
        <v>0.63729113747522137</v>
      </c>
      <c r="L6304" s="1597"/>
      <c r="M6304" s="1107">
        <f>M6299+M6303</f>
        <v>2559080.7999999998</v>
      </c>
    </row>
    <row r="6305" spans="2:13" s="496" customFormat="1">
      <c r="B6305" s="1330" t="s">
        <v>706</v>
      </c>
      <c r="C6305" s="2076" t="s">
        <v>876</v>
      </c>
      <c r="D6305" s="2076"/>
      <c r="E6305" s="2076"/>
      <c r="F6305" s="2077" t="s">
        <v>3873</v>
      </c>
      <c r="G6305" s="2077"/>
      <c r="H6305" s="1107">
        <f>H6304*0.15</f>
        <v>602334</v>
      </c>
      <c r="J6305" s="1600"/>
      <c r="K6305" s="1633"/>
      <c r="L6305" s="1600"/>
      <c r="M6305" s="1107">
        <f>M6304*0.15</f>
        <v>383862.11999999994</v>
      </c>
    </row>
    <row r="6306" spans="2:13" s="496" customFormat="1">
      <c r="B6306" s="1330" t="s">
        <v>708</v>
      </c>
      <c r="C6306" s="2078" t="s">
        <v>3765</v>
      </c>
      <c r="D6306" s="2078"/>
      <c r="E6306" s="2078"/>
      <c r="F6306" s="2078"/>
      <c r="G6306" s="2078"/>
      <c r="H6306" s="1107">
        <f>ROUND(SUM(H6304:H6305),2)</f>
        <v>4617894</v>
      </c>
      <c r="I6306" s="506">
        <f>SUM(H6304:H6305)</f>
        <v>4617894</v>
      </c>
      <c r="J6306" s="1637"/>
      <c r="K6306" s="1637"/>
      <c r="L6306" s="1637"/>
      <c r="M6306" s="1107">
        <f>ROUND(SUM(M6304:M6305),2)</f>
        <v>2942942.92</v>
      </c>
    </row>
    <row r="6307" spans="2:13">
      <c r="F6307" s="1172"/>
      <c r="G6307" s="1173"/>
      <c r="H6307" s="1133"/>
      <c r="J6307" s="1561"/>
      <c r="K6307" s="1561"/>
      <c r="L6307" s="1559"/>
      <c r="M6307" s="1176"/>
    </row>
    <row r="6308" spans="2:13" hidden="1">
      <c r="B6308" s="1100" t="s">
        <v>4205</v>
      </c>
      <c r="C6308" s="1232" t="s">
        <v>2735</v>
      </c>
      <c r="F6308" s="1172"/>
      <c r="G6308" s="1173"/>
      <c r="H6308" s="1133"/>
      <c r="M6308" s="1566"/>
    </row>
    <row r="6309" spans="2:13" s="507" customFormat="1" ht="24.9" hidden="1" customHeight="1">
      <c r="B6309" s="1748" t="s">
        <v>1003</v>
      </c>
      <c r="C6309" s="1101" t="s">
        <v>1004</v>
      </c>
      <c r="D6309" s="1101" t="s">
        <v>1005</v>
      </c>
      <c r="E6309" s="1101" t="s">
        <v>1006</v>
      </c>
      <c r="F6309" s="1102" t="s">
        <v>1007</v>
      </c>
      <c r="G6309" s="1109" t="s">
        <v>2637</v>
      </c>
      <c r="H6309" s="1110" t="s">
        <v>2638</v>
      </c>
      <c r="J6309" s="1625"/>
      <c r="K6309" s="1625"/>
      <c r="L6309" s="1625"/>
      <c r="M6309" s="1570"/>
    </row>
    <row r="6310" spans="2:13" hidden="1">
      <c r="B6310" s="1543" t="s">
        <v>671</v>
      </c>
      <c r="C6310" s="1332" t="s">
        <v>672</v>
      </c>
      <c r="D6310" s="1331"/>
      <c r="E6310" s="1331"/>
      <c r="F6310" s="1334"/>
      <c r="G6310" s="1104"/>
      <c r="H6310" s="1106"/>
      <c r="M6310" s="1566"/>
    </row>
    <row r="6311" spans="2:13" hidden="1">
      <c r="B6311" s="1543"/>
      <c r="C6311" s="1332" t="s">
        <v>673</v>
      </c>
      <c r="D6311" s="1331" t="s">
        <v>674</v>
      </c>
      <c r="E6311" s="1331" t="s">
        <v>675</v>
      </c>
      <c r="F6311" s="1334">
        <v>1</v>
      </c>
      <c r="G6311" s="1104">
        <f>DUB!$I$10</f>
        <v>150000</v>
      </c>
      <c r="H6311" s="1106">
        <f>G6311*F6311</f>
        <v>150000</v>
      </c>
      <c r="M6311" s="1566"/>
    </row>
    <row r="6312" spans="2:13" hidden="1">
      <c r="B6312" s="1543"/>
      <c r="C6312" s="1332" t="s">
        <v>731</v>
      </c>
      <c r="D6312" s="1331" t="s">
        <v>678</v>
      </c>
      <c r="E6312" s="1331" t="s">
        <v>675</v>
      </c>
      <c r="F6312" s="1334">
        <v>1.5</v>
      </c>
      <c r="G6312" s="1104">
        <f>DUB!$I$11</f>
        <v>187000</v>
      </c>
      <c r="H6312" s="1106">
        <f>G6312*F6312</f>
        <v>280500</v>
      </c>
      <c r="M6312" s="1566"/>
    </row>
    <row r="6313" spans="2:13" hidden="1">
      <c r="B6313" s="1543"/>
      <c r="C6313" s="1332" t="s">
        <v>751</v>
      </c>
      <c r="D6313" s="1331" t="s">
        <v>681</v>
      </c>
      <c r="E6313" s="1331" t="s">
        <v>675</v>
      </c>
      <c r="F6313" s="1334">
        <v>0.15</v>
      </c>
      <c r="G6313" s="1104">
        <f>DUB!$I$13</f>
        <v>240000</v>
      </c>
      <c r="H6313" s="1106">
        <f>G6313*F6313</f>
        <v>36000</v>
      </c>
      <c r="M6313" s="1566"/>
    </row>
    <row r="6314" spans="2:13" hidden="1">
      <c r="B6314" s="1543"/>
      <c r="C6314" s="1332" t="s">
        <v>683</v>
      </c>
      <c r="D6314" s="1331" t="s">
        <v>684</v>
      </c>
      <c r="E6314" s="1331" t="s">
        <v>675</v>
      </c>
      <c r="F6314" s="1334">
        <v>0.16</v>
      </c>
      <c r="G6314" s="1104">
        <f>DUB!$I$12</f>
        <v>225000</v>
      </c>
      <c r="H6314" s="1106">
        <f>G6314*F6314</f>
        <v>36000</v>
      </c>
      <c r="M6314" s="1566"/>
    </row>
    <row r="6315" spans="2:13" hidden="1">
      <c r="B6315" s="1543"/>
      <c r="C6315" s="1332"/>
      <c r="D6315" s="1331"/>
      <c r="E6315" s="1331"/>
      <c r="F6315" s="2074" t="s">
        <v>685</v>
      </c>
      <c r="G6315" s="2074"/>
      <c r="H6315" s="1106">
        <f>SUM(H6311:H6314)</f>
        <v>502500</v>
      </c>
      <c r="M6315" s="1566"/>
    </row>
    <row r="6316" spans="2:13" hidden="1">
      <c r="B6316" s="1543" t="s">
        <v>686</v>
      </c>
      <c r="C6316" s="1332" t="s">
        <v>687</v>
      </c>
      <c r="D6316" s="1331"/>
      <c r="E6316" s="1331"/>
      <c r="F6316" s="1334"/>
      <c r="G6316" s="1104"/>
      <c r="H6316" s="1106"/>
      <c r="M6316" s="1566"/>
    </row>
    <row r="6317" spans="2:13" hidden="1">
      <c r="B6317" s="1540"/>
      <c r="C6317" s="1332" t="s">
        <v>1408</v>
      </c>
      <c r="D6317" s="1331"/>
      <c r="E6317" s="1331" t="s">
        <v>1405</v>
      </c>
      <c r="F6317" s="1334">
        <v>1</v>
      </c>
      <c r="G6317" s="1104">
        <f>DUB!I343</f>
        <v>154224</v>
      </c>
      <c r="H6317" s="1106">
        <f>G6317*F6317</f>
        <v>154224</v>
      </c>
      <c r="M6317" s="1566"/>
    </row>
    <row r="6318" spans="2:13" hidden="1">
      <c r="B6318" s="1540"/>
      <c r="C6318" s="1332" t="s">
        <v>738</v>
      </c>
      <c r="D6318" s="1331"/>
      <c r="E6318" s="1331" t="s">
        <v>690</v>
      </c>
      <c r="F6318" s="1334">
        <v>6</v>
      </c>
      <c r="G6318" s="1104">
        <f>DUB!$I$65</f>
        <v>1575</v>
      </c>
      <c r="H6318" s="1106">
        <f>G6318*F6318</f>
        <v>9450</v>
      </c>
      <c r="M6318" s="1566"/>
    </row>
    <row r="6319" spans="2:13" hidden="1">
      <c r="B6319" s="1540"/>
      <c r="C6319" s="1332" t="s">
        <v>739</v>
      </c>
      <c r="D6319" s="1331"/>
      <c r="E6319" s="1331" t="s">
        <v>881</v>
      </c>
      <c r="F6319" s="1334">
        <v>0.01</v>
      </c>
      <c r="G6319" s="1104">
        <f>DUB!$I$59</f>
        <v>208463</v>
      </c>
      <c r="H6319" s="1106">
        <f>G6319*F6319</f>
        <v>2084.63</v>
      </c>
      <c r="M6319" s="1566"/>
    </row>
    <row r="6320" spans="2:13" hidden="1">
      <c r="B6320" s="1540"/>
      <c r="C6320" s="1125"/>
      <c r="D6320" s="1333"/>
      <c r="E6320" s="1333"/>
      <c r="F6320" s="2074" t="s">
        <v>702</v>
      </c>
      <c r="G6320" s="2074"/>
      <c r="H6320" s="1106">
        <f>SUM(H6317:H6319)</f>
        <v>165758.63</v>
      </c>
      <c r="M6320" s="1566"/>
    </row>
    <row r="6321" spans="2:13" s="496" customFormat="1" hidden="1">
      <c r="B6321" s="1543" t="s">
        <v>703</v>
      </c>
      <c r="C6321" s="2075" t="s">
        <v>3764</v>
      </c>
      <c r="D6321" s="2075"/>
      <c r="E6321" s="2075"/>
      <c r="F6321" s="2075"/>
      <c r="G6321" s="2075"/>
      <c r="H6321" s="1107">
        <f>H6315+H6320</f>
        <v>668258.63</v>
      </c>
      <c r="J6321" s="1559"/>
      <c r="K6321" s="1559"/>
      <c r="L6321" s="1559"/>
      <c r="M6321" s="1635"/>
    </row>
    <row r="6322" spans="2:13" s="496" customFormat="1" hidden="1">
      <c r="B6322" s="1543" t="s">
        <v>706</v>
      </c>
      <c r="C6322" s="2076" t="s">
        <v>876</v>
      </c>
      <c r="D6322" s="2076"/>
      <c r="E6322" s="2076"/>
      <c r="F6322" s="2077" t="s">
        <v>3873</v>
      </c>
      <c r="G6322" s="2077"/>
      <c r="H6322" s="1107">
        <f>H6321*0.15</f>
        <v>100238.7945</v>
      </c>
      <c r="J6322" s="1559"/>
      <c r="K6322" s="1559"/>
      <c r="L6322" s="1559"/>
      <c r="M6322" s="1635"/>
    </row>
    <row r="6323" spans="2:13" s="496" customFormat="1" hidden="1">
      <c r="B6323" s="1543" t="s">
        <v>708</v>
      </c>
      <c r="C6323" s="2078" t="s">
        <v>3765</v>
      </c>
      <c r="D6323" s="2078"/>
      <c r="E6323" s="2078"/>
      <c r="F6323" s="2078"/>
      <c r="G6323" s="2078"/>
      <c r="H6323" s="1107">
        <f>ROUND(SUM(H6321:H6322),2)</f>
        <v>768497.42</v>
      </c>
      <c r="I6323" s="506">
        <f>SUM(H6321:H6322)</f>
        <v>768497.42449999996</v>
      </c>
      <c r="J6323" s="1561"/>
      <c r="K6323" s="1561"/>
      <c r="L6323" s="1559"/>
      <c r="M6323" s="1635"/>
    </row>
    <row r="6324" spans="2:13" hidden="1">
      <c r="B6324" s="1129"/>
      <c r="C6324" s="1130"/>
      <c r="D6324" s="1129"/>
      <c r="E6324" s="1130"/>
      <c r="F6324" s="1131"/>
      <c r="G6324" s="1132"/>
      <c r="H6324" s="1133"/>
      <c r="I6324" s="526"/>
      <c r="J6324" s="1562"/>
      <c r="K6324" s="1562"/>
      <c r="M6324" s="1566"/>
    </row>
    <row r="6325" spans="2:13" hidden="1">
      <c r="B6325" s="1100" t="s">
        <v>4204</v>
      </c>
      <c r="C6325" s="1232" t="s">
        <v>3501</v>
      </c>
      <c r="F6325" s="1172"/>
      <c r="G6325" s="1173"/>
      <c r="H6325" s="1133"/>
      <c r="M6325" s="1566"/>
    </row>
    <row r="6326" spans="2:13" s="507" customFormat="1" ht="24.9" hidden="1" customHeight="1">
      <c r="B6326" s="1748" t="s">
        <v>1003</v>
      </c>
      <c r="C6326" s="1101" t="s">
        <v>1004</v>
      </c>
      <c r="D6326" s="1101" t="s">
        <v>1005</v>
      </c>
      <c r="E6326" s="1101" t="s">
        <v>1006</v>
      </c>
      <c r="F6326" s="1102" t="s">
        <v>1007</v>
      </c>
      <c r="G6326" s="1109" t="s">
        <v>2637</v>
      </c>
      <c r="H6326" s="1110" t="s">
        <v>2638</v>
      </c>
      <c r="J6326" s="1625"/>
      <c r="K6326" s="1625"/>
      <c r="L6326" s="1625"/>
      <c r="M6326" s="1570"/>
    </row>
    <row r="6327" spans="2:13" hidden="1">
      <c r="B6327" s="1543" t="s">
        <v>671</v>
      </c>
      <c r="C6327" s="1332" t="s">
        <v>672</v>
      </c>
      <c r="D6327" s="1331"/>
      <c r="E6327" s="1331"/>
      <c r="F6327" s="1334"/>
      <c r="G6327" s="1104"/>
      <c r="H6327" s="1106"/>
      <c r="M6327" s="1566"/>
    </row>
    <row r="6328" spans="2:13" hidden="1">
      <c r="B6328" s="1543"/>
      <c r="C6328" s="1332" t="s">
        <v>673</v>
      </c>
      <c r="D6328" s="1331" t="s">
        <v>674</v>
      </c>
      <c r="E6328" s="1331" t="s">
        <v>675</v>
      </c>
      <c r="F6328" s="1334">
        <v>1</v>
      </c>
      <c r="G6328" s="1104">
        <f>DUB!$I$10</f>
        <v>150000</v>
      </c>
      <c r="H6328" s="1106">
        <f>G6328*F6328</f>
        <v>150000</v>
      </c>
      <c r="M6328" s="1566"/>
    </row>
    <row r="6329" spans="2:13" hidden="1">
      <c r="B6329" s="1543"/>
      <c r="C6329" s="1332" t="s">
        <v>731</v>
      </c>
      <c r="D6329" s="1331" t="s">
        <v>678</v>
      </c>
      <c r="E6329" s="1331" t="s">
        <v>675</v>
      </c>
      <c r="F6329" s="1334">
        <v>1.5</v>
      </c>
      <c r="G6329" s="1104">
        <f>DUB!$I$11</f>
        <v>187000</v>
      </c>
      <c r="H6329" s="1106">
        <f>G6329*F6329</f>
        <v>280500</v>
      </c>
      <c r="M6329" s="1566"/>
    </row>
    <row r="6330" spans="2:13" hidden="1">
      <c r="B6330" s="1543"/>
      <c r="C6330" s="1332" t="s">
        <v>751</v>
      </c>
      <c r="D6330" s="1331" t="s">
        <v>681</v>
      </c>
      <c r="E6330" s="1331" t="s">
        <v>675</v>
      </c>
      <c r="F6330" s="1334">
        <v>0.15</v>
      </c>
      <c r="G6330" s="1104">
        <f>DUB!$I$13</f>
        <v>240000</v>
      </c>
      <c r="H6330" s="1106">
        <f>G6330*F6330</f>
        <v>36000</v>
      </c>
      <c r="M6330" s="1566"/>
    </row>
    <row r="6331" spans="2:13" hidden="1">
      <c r="B6331" s="1543"/>
      <c r="C6331" s="1332" t="s">
        <v>683</v>
      </c>
      <c r="D6331" s="1331" t="s">
        <v>684</v>
      </c>
      <c r="E6331" s="1331" t="s">
        <v>675</v>
      </c>
      <c r="F6331" s="1334">
        <v>0.16</v>
      </c>
      <c r="G6331" s="1104">
        <f>DUB!$I$12</f>
        <v>225000</v>
      </c>
      <c r="H6331" s="1106">
        <f>G6331*F6331</f>
        <v>36000</v>
      </c>
      <c r="M6331" s="1566"/>
    </row>
    <row r="6332" spans="2:13" hidden="1">
      <c r="B6332" s="1543"/>
      <c r="C6332" s="1332"/>
      <c r="D6332" s="1331"/>
      <c r="E6332" s="1331"/>
      <c r="F6332" s="2074" t="s">
        <v>685</v>
      </c>
      <c r="G6332" s="2074"/>
      <c r="H6332" s="1106">
        <f>SUM(H6328:H6331)</f>
        <v>502500</v>
      </c>
      <c r="M6332" s="1566"/>
    </row>
    <row r="6333" spans="2:13" hidden="1">
      <c r="B6333" s="1543" t="s">
        <v>686</v>
      </c>
      <c r="C6333" s="1332" t="s">
        <v>687</v>
      </c>
      <c r="D6333" s="1331"/>
      <c r="E6333" s="1331"/>
      <c r="F6333" s="1334"/>
      <c r="G6333" s="1104"/>
      <c r="H6333" s="1106"/>
      <c r="M6333" s="1566"/>
    </row>
    <row r="6334" spans="2:13" hidden="1">
      <c r="B6334" s="1543"/>
      <c r="C6334" s="1332" t="s">
        <v>1408</v>
      </c>
      <c r="D6334" s="1331"/>
      <c r="E6334" s="1331" t="s">
        <v>1405</v>
      </c>
      <c r="F6334" s="1334">
        <v>1</v>
      </c>
      <c r="G6334" s="1104">
        <f>DUB!I345</f>
        <v>2585394</v>
      </c>
      <c r="H6334" s="1106">
        <f>G6334*F6334</f>
        <v>2585394</v>
      </c>
      <c r="M6334" s="1566"/>
    </row>
    <row r="6335" spans="2:13" hidden="1">
      <c r="B6335" s="1540"/>
      <c r="C6335" s="1332" t="s">
        <v>738</v>
      </c>
      <c r="D6335" s="1331"/>
      <c r="E6335" s="1331" t="s">
        <v>690</v>
      </c>
      <c r="F6335" s="1334">
        <v>6</v>
      </c>
      <c r="G6335" s="1104">
        <f>DUB!$I$65</f>
        <v>1575</v>
      </c>
      <c r="H6335" s="1106">
        <f>G6335*F6335</f>
        <v>9450</v>
      </c>
      <c r="M6335" s="1566"/>
    </row>
    <row r="6336" spans="2:13" hidden="1">
      <c r="B6336" s="1540"/>
      <c r="C6336" s="1332" t="s">
        <v>739</v>
      </c>
      <c r="D6336" s="1331"/>
      <c r="E6336" s="1331" t="s">
        <v>881</v>
      </c>
      <c r="F6336" s="1334">
        <v>0.01</v>
      </c>
      <c r="G6336" s="1104">
        <f>DUB!$I$59</f>
        <v>208463</v>
      </c>
      <c r="H6336" s="1106">
        <f>G6336*F6336</f>
        <v>2084.63</v>
      </c>
      <c r="M6336" s="1566"/>
    </row>
    <row r="6337" spans="2:13" hidden="1">
      <c r="B6337" s="1540"/>
      <c r="C6337" s="1125"/>
      <c r="D6337" s="1333"/>
      <c r="E6337" s="1333"/>
      <c r="F6337" s="2074" t="s">
        <v>702</v>
      </c>
      <c r="G6337" s="2074"/>
      <c r="H6337" s="1106">
        <f>SUM(H6334:H6336)</f>
        <v>2596928.63</v>
      </c>
      <c r="M6337" s="1566"/>
    </row>
    <row r="6338" spans="2:13" s="496" customFormat="1" hidden="1">
      <c r="B6338" s="1543" t="s">
        <v>703</v>
      </c>
      <c r="C6338" s="2075" t="s">
        <v>3764</v>
      </c>
      <c r="D6338" s="2075"/>
      <c r="E6338" s="2075"/>
      <c r="F6338" s="2075"/>
      <c r="G6338" s="2075"/>
      <c r="H6338" s="1107">
        <f>H6332+H6337</f>
        <v>3099428.63</v>
      </c>
      <c r="J6338" s="1559"/>
      <c r="K6338" s="1559"/>
      <c r="L6338" s="1559"/>
      <c r="M6338" s="1635"/>
    </row>
    <row r="6339" spans="2:13" s="496" customFormat="1" hidden="1">
      <c r="B6339" s="1543" t="s">
        <v>706</v>
      </c>
      <c r="C6339" s="2076" t="s">
        <v>876</v>
      </c>
      <c r="D6339" s="2076"/>
      <c r="E6339" s="2076"/>
      <c r="F6339" s="2077" t="s">
        <v>3873</v>
      </c>
      <c r="G6339" s="2077"/>
      <c r="H6339" s="1107">
        <f>H6338*0.15</f>
        <v>464914.29449999996</v>
      </c>
      <c r="J6339" s="1559"/>
      <c r="K6339" s="1559"/>
      <c r="L6339" s="1559"/>
      <c r="M6339" s="1635"/>
    </row>
    <row r="6340" spans="2:13" s="496" customFormat="1" hidden="1">
      <c r="B6340" s="1543" t="s">
        <v>708</v>
      </c>
      <c r="C6340" s="2078" t="s">
        <v>3765</v>
      </c>
      <c r="D6340" s="2078"/>
      <c r="E6340" s="2078"/>
      <c r="F6340" s="2078"/>
      <c r="G6340" s="2078"/>
      <c r="H6340" s="1107">
        <f>ROUND(SUM(H6338:H6339),2)</f>
        <v>3564342.92</v>
      </c>
      <c r="I6340" s="506">
        <f>SUM(H6338:H6339)</f>
        <v>3564342.9244999997</v>
      </c>
      <c r="J6340" s="1561"/>
      <c r="K6340" s="1561"/>
      <c r="L6340" s="1559"/>
      <c r="M6340" s="1635"/>
    </row>
    <row r="6341" spans="2:13" hidden="1">
      <c r="B6341" s="1129"/>
      <c r="C6341" s="1130"/>
      <c r="D6341" s="1129"/>
      <c r="E6341" s="1130"/>
      <c r="F6341" s="1131"/>
      <c r="G6341" s="1132"/>
      <c r="H6341" s="1133"/>
      <c r="I6341" s="526"/>
      <c r="J6341" s="1562"/>
      <c r="K6341" s="1562"/>
      <c r="M6341" s="1566"/>
    </row>
    <row r="6342" spans="2:13">
      <c r="B6342" s="1100" t="s">
        <v>4203</v>
      </c>
      <c r="C6342" s="1232" t="s">
        <v>5241</v>
      </c>
      <c r="F6342" s="1172"/>
      <c r="G6342" s="1173"/>
      <c r="H6342" s="1133"/>
      <c r="M6342" s="1566"/>
    </row>
    <row r="6343" spans="2:13" s="507" customFormat="1" ht="24.9" customHeight="1">
      <c r="B6343" s="1101" t="s">
        <v>1003</v>
      </c>
      <c r="C6343" s="1101" t="s">
        <v>1004</v>
      </c>
      <c r="D6343" s="1101" t="s">
        <v>1005</v>
      </c>
      <c r="E6343" s="1101" t="s">
        <v>1006</v>
      </c>
      <c r="F6343" s="1102" t="s">
        <v>1007</v>
      </c>
      <c r="G6343" s="1109" t="s">
        <v>2637</v>
      </c>
      <c r="H6343" s="1110" t="s">
        <v>2638</v>
      </c>
      <c r="I6343" s="1834"/>
      <c r="J6343" s="1823" t="s">
        <v>5335</v>
      </c>
      <c r="K6343" s="1824" t="s">
        <v>5336</v>
      </c>
      <c r="L6343" s="1824" t="s">
        <v>5337</v>
      </c>
      <c r="M6343" s="1825" t="s">
        <v>5338</v>
      </c>
    </row>
    <row r="6344" spans="2:13">
      <c r="B6344" s="1330" t="s">
        <v>671</v>
      </c>
      <c r="C6344" s="1332" t="s">
        <v>672</v>
      </c>
      <c r="D6344" s="1331"/>
      <c r="E6344" s="1331"/>
      <c r="F6344" s="1334"/>
      <c r="G6344" s="1104"/>
      <c r="H6344" s="1106"/>
      <c r="J6344" s="1597"/>
      <c r="K6344" s="1597"/>
      <c r="L6344" s="1597"/>
      <c r="M6344" s="1826"/>
    </row>
    <row r="6345" spans="2:13">
      <c r="B6345" s="1330"/>
      <c r="C6345" s="1332" t="s">
        <v>673</v>
      </c>
      <c r="D6345" s="1331" t="s">
        <v>674</v>
      </c>
      <c r="E6345" s="1331" t="s">
        <v>675</v>
      </c>
      <c r="F6345" s="1334">
        <v>1</v>
      </c>
      <c r="G6345" s="1104">
        <f>DUB!$I$10</f>
        <v>150000</v>
      </c>
      <c r="H6345" s="1106">
        <f>G6345*F6345</f>
        <v>150000</v>
      </c>
      <c r="J6345" s="1609" t="s">
        <v>5339</v>
      </c>
      <c r="K6345" s="1611">
        <v>1</v>
      </c>
      <c r="L6345" s="1608" t="s">
        <v>5340</v>
      </c>
      <c r="M6345" s="1827">
        <f>H6345*K6345</f>
        <v>150000</v>
      </c>
    </row>
    <row r="6346" spans="2:13">
      <c r="B6346" s="1330"/>
      <c r="C6346" s="1332" t="s">
        <v>731</v>
      </c>
      <c r="D6346" s="1331" t="s">
        <v>678</v>
      </c>
      <c r="E6346" s="1331" t="s">
        <v>675</v>
      </c>
      <c r="F6346" s="1334">
        <v>1.5</v>
      </c>
      <c r="G6346" s="1104">
        <f>DUB!$I$11</f>
        <v>187000</v>
      </c>
      <c r="H6346" s="1106">
        <f>G6346*F6346</f>
        <v>280500</v>
      </c>
      <c r="J6346" s="1609" t="s">
        <v>5339</v>
      </c>
      <c r="K6346" s="1611">
        <v>1</v>
      </c>
      <c r="L6346" s="1608" t="s">
        <v>5340</v>
      </c>
      <c r="M6346" s="1827">
        <f t="shared" ref="M6346" si="163">H6346*K6346</f>
        <v>280500</v>
      </c>
    </row>
    <row r="6347" spans="2:13">
      <c r="B6347" s="1330"/>
      <c r="C6347" s="1332" t="s">
        <v>751</v>
      </c>
      <c r="D6347" s="1331" t="s">
        <v>681</v>
      </c>
      <c r="E6347" s="1331" t="s">
        <v>675</v>
      </c>
      <c r="F6347" s="1334">
        <v>0.15</v>
      </c>
      <c r="G6347" s="1104">
        <f>DUB!$I$13</f>
        <v>240000</v>
      </c>
      <c r="H6347" s="1106">
        <f>G6347*F6347</f>
        <v>36000</v>
      </c>
      <c r="J6347" s="1609" t="s">
        <v>5339</v>
      </c>
      <c r="K6347" s="1611">
        <v>1</v>
      </c>
      <c r="L6347" s="1608" t="s">
        <v>5340</v>
      </c>
      <c r="M6347" s="1827">
        <f>H6347*K6347</f>
        <v>36000</v>
      </c>
    </row>
    <row r="6348" spans="2:13">
      <c r="B6348" s="1330"/>
      <c r="C6348" s="1332" t="s">
        <v>683</v>
      </c>
      <c r="D6348" s="1331" t="s">
        <v>684</v>
      </c>
      <c r="E6348" s="1331" t="s">
        <v>675</v>
      </c>
      <c r="F6348" s="1334">
        <v>0.16</v>
      </c>
      <c r="G6348" s="1104">
        <f>DUB!$I$12</f>
        <v>225000</v>
      </c>
      <c r="H6348" s="1106">
        <f>G6348*F6348</f>
        <v>36000</v>
      </c>
      <c r="J6348" s="1609" t="s">
        <v>5339</v>
      </c>
      <c r="K6348" s="1611">
        <v>1</v>
      </c>
      <c r="L6348" s="1608" t="s">
        <v>5340</v>
      </c>
      <c r="M6348" s="1827">
        <f t="shared" ref="M6348" si="164">H6348*K6348</f>
        <v>36000</v>
      </c>
    </row>
    <row r="6349" spans="2:13">
      <c r="B6349" s="1330"/>
      <c r="C6349" s="1332"/>
      <c r="D6349" s="1331"/>
      <c r="E6349" s="1331"/>
      <c r="F6349" s="2074" t="s">
        <v>685</v>
      </c>
      <c r="G6349" s="2074"/>
      <c r="H6349" s="1106">
        <f>SUM(H6345:H6348)</f>
        <v>502500</v>
      </c>
      <c r="J6349" s="1597"/>
      <c r="K6349" s="1597"/>
      <c r="L6349" s="1597"/>
      <c r="M6349" s="1107">
        <f>SUM(M6345:M6348)</f>
        <v>502500</v>
      </c>
    </row>
    <row r="6350" spans="2:13">
      <c r="B6350" s="1330" t="s">
        <v>686</v>
      </c>
      <c r="C6350" s="1332" t="s">
        <v>687</v>
      </c>
      <c r="D6350" s="1331"/>
      <c r="E6350" s="1331"/>
      <c r="F6350" s="1334"/>
      <c r="G6350" s="1104"/>
      <c r="H6350" s="1106"/>
      <c r="J6350" s="1597"/>
      <c r="K6350" s="1597"/>
      <c r="L6350" s="1597"/>
      <c r="M6350" s="1826"/>
    </row>
    <row r="6351" spans="2:13">
      <c r="B6351" s="1331"/>
      <c r="C6351" s="1332" t="s">
        <v>5242</v>
      </c>
      <c r="D6351" s="1331"/>
      <c r="E6351" s="1331" t="s">
        <v>1405</v>
      </c>
      <c r="F6351" s="1334">
        <v>1</v>
      </c>
      <c r="G6351" s="1104">
        <f>DUB!$I$344</f>
        <v>425000</v>
      </c>
      <c r="H6351" s="1106">
        <f>G6351*F6351</f>
        <v>425000</v>
      </c>
      <c r="J6351" s="1634" t="s">
        <v>4925</v>
      </c>
      <c r="K6351" s="1611">
        <v>0.83689999999999998</v>
      </c>
      <c r="L6351" s="1607" t="s">
        <v>5343</v>
      </c>
      <c r="M6351" s="1827">
        <f>H6351*K6351</f>
        <v>355682.5</v>
      </c>
    </row>
    <row r="6352" spans="2:13">
      <c r="B6352" s="1331"/>
      <c r="C6352" s="1332" t="s">
        <v>738</v>
      </c>
      <c r="D6352" s="1331"/>
      <c r="E6352" s="1331" t="s">
        <v>690</v>
      </c>
      <c r="F6352" s="1334">
        <v>6</v>
      </c>
      <c r="G6352" s="1104">
        <f>DUB!$I$65</f>
        <v>1575</v>
      </c>
      <c r="H6352" s="1106">
        <f>G6352*F6352</f>
        <v>9450</v>
      </c>
      <c r="J6352" s="1642" t="s">
        <v>4925</v>
      </c>
      <c r="K6352" s="1611">
        <v>0.97009999999999996</v>
      </c>
      <c r="L6352" s="1607" t="s">
        <v>5343</v>
      </c>
      <c r="M6352" s="1827">
        <f t="shared" ref="M6352:M6353" si="165">H6352*K6352</f>
        <v>9167.4449999999997</v>
      </c>
    </row>
    <row r="6353" spans="2:13">
      <c r="B6353" s="1331"/>
      <c r="C6353" s="1332" t="s">
        <v>739</v>
      </c>
      <c r="D6353" s="1331"/>
      <c r="E6353" s="1331" t="s">
        <v>881</v>
      </c>
      <c r="F6353" s="1334">
        <v>0.01</v>
      </c>
      <c r="G6353" s="1104">
        <f>DUB!$I$59</f>
        <v>208463</v>
      </c>
      <c r="H6353" s="1106">
        <f>G6353*F6353</f>
        <v>2084.63</v>
      </c>
      <c r="J6353" s="1607" t="s">
        <v>5341</v>
      </c>
      <c r="K6353" s="1611">
        <v>1</v>
      </c>
      <c r="L6353" s="1607" t="s">
        <v>5341</v>
      </c>
      <c r="M6353" s="1827">
        <f t="shared" si="165"/>
        <v>2084.63</v>
      </c>
    </row>
    <row r="6354" spans="2:13">
      <c r="B6354" s="1331"/>
      <c r="C6354" s="1125"/>
      <c r="D6354" s="1333"/>
      <c r="E6354" s="1333"/>
      <c r="F6354" s="2074" t="s">
        <v>702</v>
      </c>
      <c r="G6354" s="2074"/>
      <c r="H6354" s="1106">
        <f>SUM(H6351:H6353)</f>
        <v>436534.63</v>
      </c>
      <c r="J6354" s="1597"/>
      <c r="K6354" s="1597"/>
      <c r="L6354" s="1597"/>
      <c r="M6354" s="1106">
        <f>SUM(M6351:M6353)</f>
        <v>366934.57500000001</v>
      </c>
    </row>
    <row r="6355" spans="2:13" s="496" customFormat="1">
      <c r="B6355" s="1330" t="s">
        <v>703</v>
      </c>
      <c r="C6355" s="2075" t="s">
        <v>3764</v>
      </c>
      <c r="D6355" s="2075"/>
      <c r="E6355" s="2075"/>
      <c r="F6355" s="2075"/>
      <c r="G6355" s="2075"/>
      <c r="H6355" s="1107">
        <f>H6349+H6354</f>
        <v>939034.63</v>
      </c>
      <c r="J6355" s="1600"/>
      <c r="K6355" s="1633">
        <f>M6355/H6355</f>
        <v>0.9258812691497863</v>
      </c>
      <c r="L6355" s="1600"/>
      <c r="M6355" s="1107">
        <f>M6349+M6354</f>
        <v>869434.57499999995</v>
      </c>
    </row>
    <row r="6356" spans="2:13" s="496" customFormat="1">
      <c r="B6356" s="1330" t="s">
        <v>706</v>
      </c>
      <c r="C6356" s="2076" t="s">
        <v>876</v>
      </c>
      <c r="D6356" s="2076"/>
      <c r="E6356" s="2076"/>
      <c r="F6356" s="2077" t="s">
        <v>3873</v>
      </c>
      <c r="G6356" s="2077"/>
      <c r="H6356" s="1107">
        <f>H6355*0.15</f>
        <v>140855.19449999998</v>
      </c>
      <c r="J6356" s="1600"/>
      <c r="K6356" s="1600"/>
      <c r="L6356" s="1600"/>
      <c r="M6356" s="1107">
        <f>M6355*0.15</f>
        <v>130415.18624999998</v>
      </c>
    </row>
    <row r="6357" spans="2:13" s="496" customFormat="1">
      <c r="B6357" s="1330" t="s">
        <v>708</v>
      </c>
      <c r="C6357" s="2078" t="s">
        <v>3765</v>
      </c>
      <c r="D6357" s="2078"/>
      <c r="E6357" s="2078"/>
      <c r="F6357" s="2078"/>
      <c r="G6357" s="2078"/>
      <c r="H6357" s="1107">
        <f>ROUND(SUM(H6355:H6356),2)</f>
        <v>1079889.82</v>
      </c>
      <c r="I6357" s="506">
        <f>SUM(H6355:H6356)</f>
        <v>1079889.8245000001</v>
      </c>
      <c r="J6357" s="1636"/>
      <c r="K6357" s="1636"/>
      <c r="L6357" s="1637"/>
      <c r="M6357" s="1919">
        <f>ROUND(SUM(M6355:M6356),2)</f>
        <v>999849.76</v>
      </c>
    </row>
    <row r="6358" spans="2:13">
      <c r="B6358" s="1129"/>
      <c r="C6358" s="1130"/>
      <c r="D6358" s="1129"/>
      <c r="E6358" s="1129"/>
      <c r="F6358" s="1131"/>
      <c r="G6358" s="1132"/>
      <c r="H6358" s="1115"/>
      <c r="M6358" s="1566"/>
    </row>
    <row r="6359" spans="2:13">
      <c r="B6359" s="1150" t="s">
        <v>4206</v>
      </c>
      <c r="C6359" s="1232" t="s">
        <v>5246</v>
      </c>
      <c r="F6359" s="1172"/>
      <c r="G6359" s="1173"/>
      <c r="H6359" s="1133"/>
      <c r="M6359" s="1566"/>
    </row>
    <row r="6360" spans="2:13" s="507" customFormat="1" ht="24.9" customHeight="1">
      <c r="B6360" s="1101" t="s">
        <v>1003</v>
      </c>
      <c r="C6360" s="1101" t="s">
        <v>1004</v>
      </c>
      <c r="D6360" s="1101" t="s">
        <v>1005</v>
      </c>
      <c r="E6360" s="1101" t="s">
        <v>1006</v>
      </c>
      <c r="F6360" s="1102" t="s">
        <v>1007</v>
      </c>
      <c r="G6360" s="1109" t="s">
        <v>2637</v>
      </c>
      <c r="H6360" s="1110" t="s">
        <v>2638</v>
      </c>
      <c r="I6360" s="1834"/>
      <c r="J6360" s="1823" t="s">
        <v>5335</v>
      </c>
      <c r="K6360" s="1824" t="s">
        <v>5336</v>
      </c>
      <c r="L6360" s="1824" t="s">
        <v>5337</v>
      </c>
      <c r="M6360" s="1825" t="s">
        <v>5338</v>
      </c>
    </row>
    <row r="6361" spans="2:13">
      <c r="B6361" s="1330" t="s">
        <v>671</v>
      </c>
      <c r="C6361" s="1332" t="s">
        <v>672</v>
      </c>
      <c r="D6361" s="1331"/>
      <c r="E6361" s="1331"/>
      <c r="F6361" s="1334"/>
      <c r="G6361" s="1104"/>
      <c r="H6361" s="1106"/>
      <c r="J6361" s="1597"/>
      <c r="K6361" s="1597"/>
      <c r="L6361" s="1597"/>
      <c r="M6361" s="1826"/>
    </row>
    <row r="6362" spans="2:13">
      <c r="B6362" s="1330"/>
      <c r="C6362" s="1332" t="s">
        <v>673</v>
      </c>
      <c r="D6362" s="1331" t="s">
        <v>674</v>
      </c>
      <c r="E6362" s="1331" t="s">
        <v>675</v>
      </c>
      <c r="F6362" s="1334">
        <v>1</v>
      </c>
      <c r="G6362" s="1104">
        <f>DUB!$I$10</f>
        <v>150000</v>
      </c>
      <c r="H6362" s="1106">
        <f>G6362*F6362</f>
        <v>150000</v>
      </c>
      <c r="J6362" s="1609" t="s">
        <v>5339</v>
      </c>
      <c r="K6362" s="1611">
        <v>1</v>
      </c>
      <c r="L6362" s="1608" t="s">
        <v>5340</v>
      </c>
      <c r="M6362" s="1827">
        <f>H6362*K6362</f>
        <v>150000</v>
      </c>
    </row>
    <row r="6363" spans="2:13">
      <c r="B6363" s="1330"/>
      <c r="C6363" s="1332" t="s">
        <v>731</v>
      </c>
      <c r="D6363" s="1331" t="s">
        <v>678</v>
      </c>
      <c r="E6363" s="1331" t="s">
        <v>675</v>
      </c>
      <c r="F6363" s="1334">
        <v>1</v>
      </c>
      <c r="G6363" s="1104">
        <f>DUB!$I$11</f>
        <v>187000</v>
      </c>
      <c r="H6363" s="1106">
        <f>G6363*F6363</f>
        <v>187000</v>
      </c>
      <c r="J6363" s="1609" t="s">
        <v>5339</v>
      </c>
      <c r="K6363" s="1611">
        <v>1</v>
      </c>
      <c r="L6363" s="1608" t="s">
        <v>5340</v>
      </c>
      <c r="M6363" s="1827">
        <f t="shared" ref="M6363" si="166">H6363*K6363</f>
        <v>187000</v>
      </c>
    </row>
    <row r="6364" spans="2:13">
      <c r="B6364" s="1330"/>
      <c r="C6364" s="1332" t="s">
        <v>751</v>
      </c>
      <c r="D6364" s="1331" t="s">
        <v>681</v>
      </c>
      <c r="E6364" s="1331" t="s">
        <v>675</v>
      </c>
      <c r="F6364" s="1334">
        <v>0.1</v>
      </c>
      <c r="G6364" s="1104">
        <f>DUB!$I$13</f>
        <v>240000</v>
      </c>
      <c r="H6364" s="1106">
        <f>G6364*F6364</f>
        <v>24000</v>
      </c>
      <c r="J6364" s="1609" t="s">
        <v>5339</v>
      </c>
      <c r="K6364" s="1611">
        <v>1</v>
      </c>
      <c r="L6364" s="1608" t="s">
        <v>5340</v>
      </c>
      <c r="M6364" s="1827">
        <f>H6364*K6364</f>
        <v>24000</v>
      </c>
    </row>
    <row r="6365" spans="2:13">
      <c r="B6365" s="1330"/>
      <c r="C6365" s="1332" t="s">
        <v>683</v>
      </c>
      <c r="D6365" s="1331" t="s">
        <v>684</v>
      </c>
      <c r="E6365" s="1331" t="s">
        <v>675</v>
      </c>
      <c r="F6365" s="1334">
        <v>0.05</v>
      </c>
      <c r="G6365" s="1104">
        <f>DUB!$I$12</f>
        <v>225000</v>
      </c>
      <c r="H6365" s="1106">
        <f>G6365*F6365</f>
        <v>11250</v>
      </c>
      <c r="J6365" s="1609" t="s">
        <v>5339</v>
      </c>
      <c r="K6365" s="1611">
        <v>1</v>
      </c>
      <c r="L6365" s="1608" t="s">
        <v>5340</v>
      </c>
      <c r="M6365" s="1827">
        <f t="shared" ref="M6365" si="167">H6365*K6365</f>
        <v>11250</v>
      </c>
    </row>
    <row r="6366" spans="2:13">
      <c r="B6366" s="1330"/>
      <c r="C6366" s="1332"/>
      <c r="D6366" s="1331"/>
      <c r="E6366" s="1331"/>
      <c r="F6366" s="2074" t="s">
        <v>685</v>
      </c>
      <c r="G6366" s="2074"/>
      <c r="H6366" s="1106">
        <f>SUM(H6362:H6365)</f>
        <v>372250</v>
      </c>
      <c r="J6366" s="1597"/>
      <c r="K6366" s="1597"/>
      <c r="L6366" s="1597"/>
      <c r="M6366" s="1107">
        <f>SUM(M6362:M6365)</f>
        <v>372250</v>
      </c>
    </row>
    <row r="6367" spans="2:13">
      <c r="B6367" s="1330" t="s">
        <v>686</v>
      </c>
      <c r="C6367" s="1332" t="s">
        <v>687</v>
      </c>
      <c r="D6367" s="1331"/>
      <c r="E6367" s="1331"/>
      <c r="F6367" s="1334"/>
      <c r="G6367" s="1104"/>
      <c r="H6367" s="1106"/>
      <c r="J6367" s="1837"/>
      <c r="K6367" s="1838"/>
      <c r="L6367" s="1838"/>
      <c r="M6367" s="1839"/>
    </row>
    <row r="6368" spans="2:13">
      <c r="B6368" s="1331"/>
      <c r="C6368" s="1332" t="s">
        <v>5247</v>
      </c>
      <c r="D6368" s="1331"/>
      <c r="E6368" s="1331" t="s">
        <v>1405</v>
      </c>
      <c r="F6368" s="1334">
        <v>1</v>
      </c>
      <c r="G6368" s="1104">
        <f>DUB!I358</f>
        <v>2644000</v>
      </c>
      <c r="H6368" s="1106">
        <f>G6368*F6368</f>
        <v>2644000</v>
      </c>
      <c r="J6368" s="1634" t="s">
        <v>4925</v>
      </c>
      <c r="K6368" s="1611">
        <v>0.72009999999999996</v>
      </c>
      <c r="L6368" s="1607" t="s">
        <v>5343</v>
      </c>
      <c r="M6368" s="1827">
        <f>H6368*K6368</f>
        <v>1903944.4</v>
      </c>
    </row>
    <row r="6369" spans="2:13">
      <c r="B6369" s="1331"/>
      <c r="C6369" s="1332" t="s">
        <v>738</v>
      </c>
      <c r="D6369" s="1331"/>
      <c r="E6369" s="1331" t="s">
        <v>690</v>
      </c>
      <c r="F6369" s="1334">
        <v>6</v>
      </c>
      <c r="G6369" s="1104">
        <f>DUB!$I$65</f>
        <v>1575</v>
      </c>
      <c r="H6369" s="1106">
        <f>G6369*F6369</f>
        <v>9450</v>
      </c>
      <c r="J6369" s="1634" t="s">
        <v>4925</v>
      </c>
      <c r="K6369" s="1611">
        <v>0.97009999999999996</v>
      </c>
      <c r="L6369" s="1607" t="s">
        <v>5343</v>
      </c>
      <c r="M6369" s="1827">
        <f>H6369*K6369</f>
        <v>9167.4449999999997</v>
      </c>
    </row>
    <row r="6370" spans="2:13">
      <c r="B6370" s="1331"/>
      <c r="C6370" s="1332" t="s">
        <v>739</v>
      </c>
      <c r="D6370" s="1331"/>
      <c r="E6370" s="1331" t="s">
        <v>881</v>
      </c>
      <c r="F6370" s="1334">
        <v>0.01</v>
      </c>
      <c r="G6370" s="1104">
        <f>DUB!$I$59</f>
        <v>208463</v>
      </c>
      <c r="H6370" s="1106">
        <f>G6370*F6370</f>
        <v>2084.63</v>
      </c>
      <c r="J6370" s="1642" t="s">
        <v>4925</v>
      </c>
      <c r="K6370" s="1611">
        <v>1</v>
      </c>
      <c r="L6370" s="1607" t="s">
        <v>5341</v>
      </c>
      <c r="M6370" s="1827">
        <f t="shared" ref="M6370:M6371" si="168">H6370*K6370</f>
        <v>2084.63</v>
      </c>
    </row>
    <row r="6371" spans="2:13">
      <c r="B6371" s="1331"/>
      <c r="C6371" s="1332" t="s">
        <v>1406</v>
      </c>
      <c r="D6371" s="1331"/>
      <c r="E6371" s="1331" t="s">
        <v>1411</v>
      </c>
      <c r="F6371" s="1334" t="s">
        <v>3376</v>
      </c>
      <c r="G6371" s="1104">
        <f>30%*H6368</f>
        <v>793200</v>
      </c>
      <c r="H6371" s="1106">
        <f>G6371</f>
        <v>793200</v>
      </c>
      <c r="J6371" s="1607"/>
      <c r="K6371" s="1611">
        <v>1</v>
      </c>
      <c r="L6371" s="1607"/>
      <c r="M6371" s="1827">
        <f t="shared" si="168"/>
        <v>793200</v>
      </c>
    </row>
    <row r="6372" spans="2:13">
      <c r="B6372" s="1331"/>
      <c r="C6372" s="1125"/>
      <c r="D6372" s="1333"/>
      <c r="E6372" s="1333"/>
      <c r="F6372" s="2074" t="s">
        <v>702</v>
      </c>
      <c r="G6372" s="2074"/>
      <c r="H6372" s="1106">
        <f>SUM(H6368:H6371)</f>
        <v>3448734.63</v>
      </c>
      <c r="J6372" s="1597"/>
      <c r="K6372" s="1597"/>
      <c r="L6372" s="1597"/>
      <c r="M6372" s="1106">
        <f>SUM(M6368:M6371)</f>
        <v>2708396.4749999996</v>
      </c>
    </row>
    <row r="6373" spans="2:13" s="496" customFormat="1">
      <c r="B6373" s="1330" t="s">
        <v>703</v>
      </c>
      <c r="C6373" s="2075" t="s">
        <v>3764</v>
      </c>
      <c r="D6373" s="2075"/>
      <c r="E6373" s="2075"/>
      <c r="F6373" s="2075"/>
      <c r="G6373" s="2075"/>
      <c r="H6373" s="1107">
        <f>H6366+H6372</f>
        <v>3820984.63</v>
      </c>
      <c r="J6373" s="1600"/>
      <c r="K6373" s="1633">
        <f>M6373/H6373</f>
        <v>0.70882160941851258</v>
      </c>
      <c r="L6373" s="1600"/>
      <c r="M6373" s="1107">
        <f>M63667+M6372</f>
        <v>2708396.4749999996</v>
      </c>
    </row>
    <row r="6374" spans="2:13" s="496" customFormat="1">
      <c r="B6374" s="1330" t="s">
        <v>706</v>
      </c>
      <c r="C6374" s="2076" t="s">
        <v>876</v>
      </c>
      <c r="D6374" s="2076"/>
      <c r="E6374" s="2076"/>
      <c r="F6374" s="2077" t="s">
        <v>3873</v>
      </c>
      <c r="G6374" s="2077"/>
      <c r="H6374" s="1107">
        <f>H6373*0.15</f>
        <v>573147.69449999998</v>
      </c>
      <c r="J6374" s="1600"/>
      <c r="K6374" s="1600"/>
      <c r="L6374" s="1600"/>
      <c r="M6374" s="1107">
        <f>M6373*0.15</f>
        <v>406259.47124999994</v>
      </c>
    </row>
    <row r="6375" spans="2:13" s="496" customFormat="1">
      <c r="B6375" s="1330" t="s">
        <v>708</v>
      </c>
      <c r="C6375" s="2078" t="s">
        <v>3765</v>
      </c>
      <c r="D6375" s="2078"/>
      <c r="E6375" s="2078"/>
      <c r="F6375" s="2078"/>
      <c r="G6375" s="2078"/>
      <c r="H6375" s="1107">
        <f>ROUND(SUM(H6373:H6374),2)</f>
        <v>4394132.32</v>
      </c>
      <c r="I6375" s="506">
        <f>SUM(H6373:H6374)</f>
        <v>4394132.3245000001</v>
      </c>
      <c r="J6375" s="1636"/>
      <c r="K6375" s="1636"/>
      <c r="L6375" s="1637"/>
      <c r="M6375" s="1107">
        <f>ROUND(SUM(M6373:M6374),2)</f>
        <v>3114655.95</v>
      </c>
    </row>
    <row r="6376" spans="2:13">
      <c r="B6376" s="1129"/>
      <c r="C6376" s="1130"/>
      <c r="D6376" s="1129"/>
      <c r="E6376" s="1129"/>
      <c r="F6376" s="1131"/>
      <c r="G6376" s="1132"/>
      <c r="H6376" s="1115"/>
      <c r="M6376" s="1566"/>
    </row>
    <row r="6377" spans="2:13" hidden="1">
      <c r="B6377" s="1100" t="s">
        <v>4207</v>
      </c>
      <c r="C6377" s="1112" t="s">
        <v>2734</v>
      </c>
      <c r="D6377" s="1129"/>
      <c r="E6377" s="1129"/>
      <c r="F6377" s="1131"/>
      <c r="G6377" s="1132"/>
      <c r="H6377" s="1115"/>
      <c r="M6377" s="1566"/>
    </row>
    <row r="6378" spans="2:13" s="507" customFormat="1" ht="24.9" hidden="1" customHeight="1">
      <c r="B6378" s="1748" t="s">
        <v>1003</v>
      </c>
      <c r="C6378" s="1101" t="s">
        <v>1004</v>
      </c>
      <c r="D6378" s="1101" t="s">
        <v>1005</v>
      </c>
      <c r="E6378" s="1101" t="s">
        <v>1006</v>
      </c>
      <c r="F6378" s="1102" t="s">
        <v>1007</v>
      </c>
      <c r="G6378" s="1109" t="s">
        <v>2637</v>
      </c>
      <c r="H6378" s="1110" t="s">
        <v>2638</v>
      </c>
      <c r="J6378" s="1625"/>
      <c r="K6378" s="1625"/>
      <c r="L6378" s="1625"/>
      <c r="M6378" s="1570"/>
    </row>
    <row r="6379" spans="2:13" hidden="1">
      <c r="B6379" s="1543" t="s">
        <v>671</v>
      </c>
      <c r="C6379" s="1332" t="s">
        <v>672</v>
      </c>
      <c r="D6379" s="1331"/>
      <c r="E6379" s="1331"/>
      <c r="F6379" s="1334"/>
      <c r="G6379" s="1104"/>
      <c r="H6379" s="1106"/>
      <c r="M6379" s="1566"/>
    </row>
    <row r="6380" spans="2:13" hidden="1">
      <c r="B6380" s="1543"/>
      <c r="C6380" s="1332" t="s">
        <v>673</v>
      </c>
      <c r="D6380" s="1331" t="s">
        <v>674</v>
      </c>
      <c r="E6380" s="1331" t="s">
        <v>675</v>
      </c>
      <c r="F6380" s="1334">
        <v>1.2</v>
      </c>
      <c r="G6380" s="1104">
        <f>DUB!$I$10</f>
        <v>150000</v>
      </c>
      <c r="H6380" s="1106">
        <f>G6380*F6380</f>
        <v>180000</v>
      </c>
      <c r="M6380" s="1566"/>
    </row>
    <row r="6381" spans="2:13" hidden="1">
      <c r="B6381" s="1543"/>
      <c r="C6381" s="1332" t="s">
        <v>731</v>
      </c>
      <c r="D6381" s="1331" t="s">
        <v>678</v>
      </c>
      <c r="E6381" s="1331" t="s">
        <v>675</v>
      </c>
      <c r="F6381" s="1334">
        <v>1.45</v>
      </c>
      <c r="G6381" s="1104">
        <f>DUB!$I$11</f>
        <v>187000</v>
      </c>
      <c r="H6381" s="1106">
        <f>G6381*F6381</f>
        <v>271150</v>
      </c>
      <c r="M6381" s="1566"/>
    </row>
    <row r="6382" spans="2:13" hidden="1">
      <c r="B6382" s="1543"/>
      <c r="C6382" s="1332" t="s">
        <v>751</v>
      </c>
      <c r="D6382" s="1331" t="s">
        <v>681</v>
      </c>
      <c r="E6382" s="1331" t="s">
        <v>675</v>
      </c>
      <c r="F6382" s="1334">
        <v>0.15</v>
      </c>
      <c r="G6382" s="1104">
        <f>DUB!$I$13</f>
        <v>240000</v>
      </c>
      <c r="H6382" s="1106">
        <f>G6382*F6382</f>
        <v>36000</v>
      </c>
      <c r="M6382" s="1566"/>
    </row>
    <row r="6383" spans="2:13" hidden="1">
      <c r="B6383" s="1543"/>
      <c r="C6383" s="1332" t="s">
        <v>683</v>
      </c>
      <c r="D6383" s="1331" t="s">
        <v>684</v>
      </c>
      <c r="E6383" s="1331" t="s">
        <v>675</v>
      </c>
      <c r="F6383" s="1334">
        <v>0.06</v>
      </c>
      <c r="G6383" s="1104">
        <f>DUB!$I$12</f>
        <v>225000</v>
      </c>
      <c r="H6383" s="1106">
        <f>G6383*F6383</f>
        <v>13500</v>
      </c>
      <c r="M6383" s="1566"/>
    </row>
    <row r="6384" spans="2:13" hidden="1">
      <c r="B6384" s="1543"/>
      <c r="C6384" s="1332"/>
      <c r="D6384" s="1331"/>
      <c r="E6384" s="1331"/>
      <c r="F6384" s="2074" t="s">
        <v>685</v>
      </c>
      <c r="G6384" s="2074"/>
      <c r="H6384" s="1106">
        <f>SUM(H6380:H6383)</f>
        <v>500650</v>
      </c>
      <c r="M6384" s="1566"/>
    </row>
    <row r="6385" spans="2:13" hidden="1">
      <c r="B6385" s="1543" t="s">
        <v>686</v>
      </c>
      <c r="C6385" s="1332" t="s">
        <v>687</v>
      </c>
      <c r="D6385" s="1331"/>
      <c r="E6385" s="1331"/>
      <c r="F6385" s="1334"/>
      <c r="G6385" s="1104"/>
      <c r="H6385" s="1106"/>
      <c r="M6385" s="1566"/>
    </row>
    <row r="6386" spans="2:13" hidden="1">
      <c r="B6386" s="1543"/>
      <c r="C6386" s="1332" t="s">
        <v>1413</v>
      </c>
      <c r="D6386" s="1331"/>
      <c r="E6386" s="1331" t="s">
        <v>1405</v>
      </c>
      <c r="F6386" s="1334">
        <v>1</v>
      </c>
      <c r="G6386" s="1104">
        <f>DUB!I359</f>
        <v>746487</v>
      </c>
      <c r="H6386" s="1106">
        <f>G6386*F6386</f>
        <v>746487</v>
      </c>
      <c r="M6386" s="1566"/>
    </row>
    <row r="6387" spans="2:13" hidden="1">
      <c r="B6387" s="1543"/>
      <c r="C6387" s="1332" t="s">
        <v>738</v>
      </c>
      <c r="D6387" s="1331"/>
      <c r="E6387" s="1331" t="s">
        <v>690</v>
      </c>
      <c r="F6387" s="1334">
        <v>6</v>
      </c>
      <c r="G6387" s="1104">
        <f>DUB!$I$65</f>
        <v>1575</v>
      </c>
      <c r="H6387" s="1106">
        <f>G6387*F6387</f>
        <v>9450</v>
      </c>
      <c r="M6387" s="1566"/>
    </row>
    <row r="6388" spans="2:13" hidden="1">
      <c r="B6388" s="1543"/>
      <c r="C6388" s="1332" t="s">
        <v>739</v>
      </c>
      <c r="D6388" s="1331"/>
      <c r="E6388" s="1331" t="s">
        <v>881</v>
      </c>
      <c r="F6388" s="1334">
        <v>0.01</v>
      </c>
      <c r="G6388" s="1104">
        <f>DUB!$I$59</f>
        <v>208463</v>
      </c>
      <c r="H6388" s="1106">
        <f>G6388*F6388</f>
        <v>2084.63</v>
      </c>
      <c r="M6388" s="1566"/>
    </row>
    <row r="6389" spans="2:13" hidden="1">
      <c r="B6389" s="1543"/>
      <c r="C6389" s="1332" t="s">
        <v>1406</v>
      </c>
      <c r="D6389" s="1331"/>
      <c r="E6389" s="1331" t="s">
        <v>1411</v>
      </c>
      <c r="F6389" s="1334" t="s">
        <v>3472</v>
      </c>
      <c r="G6389" s="1104">
        <f>12%*H6386</f>
        <v>89578.44</v>
      </c>
      <c r="H6389" s="1106">
        <f>G6389</f>
        <v>89578.44</v>
      </c>
      <c r="M6389" s="1566"/>
    </row>
    <row r="6390" spans="2:13" hidden="1">
      <c r="B6390" s="1543"/>
      <c r="C6390" s="1125"/>
      <c r="D6390" s="1333"/>
      <c r="E6390" s="1333"/>
      <c r="F6390" s="2074" t="s">
        <v>702</v>
      </c>
      <c r="G6390" s="2074"/>
      <c r="H6390" s="1106">
        <f>SUM(H6386:H6389)</f>
        <v>847600.07000000007</v>
      </c>
      <c r="M6390" s="1566"/>
    </row>
    <row r="6391" spans="2:13" s="496" customFormat="1" hidden="1">
      <c r="B6391" s="1543" t="s">
        <v>703</v>
      </c>
      <c r="C6391" s="2075" t="s">
        <v>3764</v>
      </c>
      <c r="D6391" s="2075"/>
      <c r="E6391" s="2075"/>
      <c r="F6391" s="2075"/>
      <c r="G6391" s="2075"/>
      <c r="H6391" s="1107">
        <f>H6384+H6390</f>
        <v>1348250.07</v>
      </c>
      <c r="J6391" s="1559"/>
      <c r="K6391" s="1559"/>
      <c r="L6391" s="1559"/>
      <c r="M6391" s="1635"/>
    </row>
    <row r="6392" spans="2:13" s="496" customFormat="1" hidden="1">
      <c r="B6392" s="1543" t="s">
        <v>706</v>
      </c>
      <c r="C6392" s="2076" t="s">
        <v>876</v>
      </c>
      <c r="D6392" s="2076"/>
      <c r="E6392" s="2076"/>
      <c r="F6392" s="2077" t="s">
        <v>3873</v>
      </c>
      <c r="G6392" s="2077"/>
      <c r="H6392" s="1107">
        <f>H6391*0.15</f>
        <v>202237.5105</v>
      </c>
      <c r="J6392" s="1559"/>
      <c r="K6392" s="1559"/>
      <c r="L6392" s="1559"/>
      <c r="M6392" s="1635"/>
    </row>
    <row r="6393" spans="2:13" s="496" customFormat="1" hidden="1">
      <c r="B6393" s="1543" t="s">
        <v>708</v>
      </c>
      <c r="C6393" s="2078" t="s">
        <v>3765</v>
      </c>
      <c r="D6393" s="2078"/>
      <c r="E6393" s="2078"/>
      <c r="F6393" s="2078"/>
      <c r="G6393" s="2078"/>
      <c r="H6393" s="1107">
        <f>ROUND(SUM(H6391:H6392),2)</f>
        <v>1550487.58</v>
      </c>
      <c r="I6393" s="506">
        <f>SUM(H6391:H6392)</f>
        <v>1550487.5805000002</v>
      </c>
      <c r="J6393" s="1561"/>
      <c r="K6393" s="1561"/>
      <c r="L6393" s="1559"/>
      <c r="M6393" s="1635"/>
    </row>
    <row r="6394" spans="2:13" hidden="1">
      <c r="B6394" s="1129"/>
      <c r="C6394" s="1130"/>
      <c r="D6394" s="1129"/>
      <c r="E6394" s="1130"/>
      <c r="F6394" s="1131"/>
      <c r="G6394" s="1132"/>
      <c r="H6394" s="1133"/>
      <c r="I6394" s="526"/>
      <c r="J6394" s="1562"/>
      <c r="K6394" s="1562"/>
      <c r="M6394" s="1566"/>
    </row>
    <row r="6395" spans="2:13">
      <c r="B6395" s="1100" t="s">
        <v>4208</v>
      </c>
      <c r="C6395" s="1171" t="s">
        <v>5249</v>
      </c>
      <c r="D6395" s="1129"/>
      <c r="E6395" s="1129"/>
      <c r="F6395" s="1131"/>
      <c r="G6395" s="1132"/>
      <c r="H6395" s="1115"/>
      <c r="M6395" s="1566"/>
    </row>
    <row r="6396" spans="2:13" s="507" customFormat="1" ht="24.9" customHeight="1">
      <c r="B6396" s="1101" t="s">
        <v>1003</v>
      </c>
      <c r="C6396" s="1101" t="s">
        <v>1004</v>
      </c>
      <c r="D6396" s="1101" t="s">
        <v>1005</v>
      </c>
      <c r="E6396" s="1101" t="s">
        <v>1006</v>
      </c>
      <c r="F6396" s="1102" t="s">
        <v>1007</v>
      </c>
      <c r="G6396" s="1109" t="s">
        <v>2637</v>
      </c>
      <c r="H6396" s="1110" t="s">
        <v>2638</v>
      </c>
      <c r="I6396" s="1834"/>
      <c r="J6396" s="1823" t="s">
        <v>5335</v>
      </c>
      <c r="K6396" s="1824" t="s">
        <v>5336</v>
      </c>
      <c r="L6396" s="1824" t="s">
        <v>5337</v>
      </c>
      <c r="M6396" s="1825" t="s">
        <v>5338</v>
      </c>
    </row>
    <row r="6397" spans="2:13">
      <c r="B6397" s="1330" t="s">
        <v>671</v>
      </c>
      <c r="C6397" s="1332" t="s">
        <v>672</v>
      </c>
      <c r="D6397" s="1331"/>
      <c r="E6397" s="1331"/>
      <c r="F6397" s="1334"/>
      <c r="G6397" s="1104"/>
      <c r="H6397" s="1106"/>
      <c r="J6397" s="1597"/>
      <c r="K6397" s="1597"/>
      <c r="L6397" s="1597"/>
      <c r="M6397" s="1826"/>
    </row>
    <row r="6398" spans="2:13">
      <c r="B6398" s="1330"/>
      <c r="C6398" s="1332" t="s">
        <v>673</v>
      </c>
      <c r="D6398" s="1331" t="s">
        <v>674</v>
      </c>
      <c r="E6398" s="1331" t="s">
        <v>675</v>
      </c>
      <c r="F6398" s="1334">
        <v>1.2</v>
      </c>
      <c r="G6398" s="1104">
        <f>DUB!$I$10</f>
        <v>150000</v>
      </c>
      <c r="H6398" s="1106">
        <f>G6398*F6398</f>
        <v>180000</v>
      </c>
      <c r="J6398" s="1609" t="s">
        <v>5339</v>
      </c>
      <c r="K6398" s="1611">
        <v>1</v>
      </c>
      <c r="L6398" s="1608" t="s">
        <v>5340</v>
      </c>
      <c r="M6398" s="1827">
        <f>H6398*K6398</f>
        <v>180000</v>
      </c>
    </row>
    <row r="6399" spans="2:13">
      <c r="B6399" s="1330"/>
      <c r="C6399" s="1332" t="s">
        <v>731</v>
      </c>
      <c r="D6399" s="1331" t="s">
        <v>678</v>
      </c>
      <c r="E6399" s="1331" t="s">
        <v>675</v>
      </c>
      <c r="F6399" s="1334">
        <v>1.45</v>
      </c>
      <c r="G6399" s="1104">
        <f>DUB!$I$11</f>
        <v>187000</v>
      </c>
      <c r="H6399" s="1106">
        <f>G6399*F6399</f>
        <v>271150</v>
      </c>
      <c r="J6399" s="1609" t="s">
        <v>5339</v>
      </c>
      <c r="K6399" s="1611">
        <v>1</v>
      </c>
      <c r="L6399" s="1608" t="s">
        <v>5340</v>
      </c>
      <c r="M6399" s="1827">
        <f t="shared" ref="M6399" si="169">H6399*K6399</f>
        <v>271150</v>
      </c>
    </row>
    <row r="6400" spans="2:13">
      <c r="B6400" s="1330"/>
      <c r="C6400" s="1332" t="s">
        <v>751</v>
      </c>
      <c r="D6400" s="1331" t="s">
        <v>681</v>
      </c>
      <c r="E6400" s="1331" t="s">
        <v>675</v>
      </c>
      <c r="F6400" s="1334">
        <v>0.15</v>
      </c>
      <c r="G6400" s="1104">
        <f>DUB!$I$13</f>
        <v>240000</v>
      </c>
      <c r="H6400" s="1106">
        <f>G6400*F6400</f>
        <v>36000</v>
      </c>
      <c r="J6400" s="1609" t="s">
        <v>5339</v>
      </c>
      <c r="K6400" s="1611">
        <v>1</v>
      </c>
      <c r="L6400" s="1608" t="s">
        <v>5340</v>
      </c>
      <c r="M6400" s="1827">
        <f>H6400*K6400</f>
        <v>36000</v>
      </c>
    </row>
    <row r="6401" spans="2:13">
      <c r="B6401" s="1330"/>
      <c r="C6401" s="1332" t="s">
        <v>683</v>
      </c>
      <c r="D6401" s="1331" t="s">
        <v>684</v>
      </c>
      <c r="E6401" s="1331" t="s">
        <v>675</v>
      </c>
      <c r="F6401" s="1334">
        <v>0.06</v>
      </c>
      <c r="G6401" s="1104">
        <f>DUB!$I$12</f>
        <v>225000</v>
      </c>
      <c r="H6401" s="1106">
        <f>G6401*F6401</f>
        <v>13500</v>
      </c>
      <c r="J6401" s="1609" t="s">
        <v>5339</v>
      </c>
      <c r="K6401" s="1611">
        <v>1</v>
      </c>
      <c r="L6401" s="1608" t="s">
        <v>5340</v>
      </c>
      <c r="M6401" s="1827">
        <f t="shared" ref="M6401" si="170">H6401*K6401</f>
        <v>13500</v>
      </c>
    </row>
    <row r="6402" spans="2:13">
      <c r="B6402" s="1330"/>
      <c r="C6402" s="1332"/>
      <c r="D6402" s="1331"/>
      <c r="E6402" s="1331"/>
      <c r="F6402" s="2074" t="s">
        <v>685</v>
      </c>
      <c r="G6402" s="2074"/>
      <c r="H6402" s="1106">
        <f>SUM(H6398:H6401)</f>
        <v>500650</v>
      </c>
      <c r="J6402" s="1597"/>
      <c r="K6402" s="1597"/>
      <c r="L6402" s="1597"/>
      <c r="M6402" s="1107">
        <f>SUM(M6398:M6401)</f>
        <v>500650</v>
      </c>
    </row>
    <row r="6403" spans="2:13">
      <c r="B6403" s="1330" t="s">
        <v>686</v>
      </c>
      <c r="C6403" s="1332" t="s">
        <v>687</v>
      </c>
      <c r="D6403" s="1331"/>
      <c r="E6403" s="1331"/>
      <c r="F6403" s="1334"/>
      <c r="G6403" s="1104"/>
      <c r="H6403" s="1106"/>
      <c r="J6403" s="1646"/>
      <c r="K6403" s="1647"/>
      <c r="L6403" s="1647"/>
      <c r="M6403" s="1836"/>
    </row>
    <row r="6404" spans="2:13">
      <c r="B6404" s="1330"/>
      <c r="C6404" s="1332" t="s">
        <v>5250</v>
      </c>
      <c r="D6404" s="1331"/>
      <c r="E6404" s="1331" t="s">
        <v>1405</v>
      </c>
      <c r="F6404" s="1334">
        <v>1</v>
      </c>
      <c r="G6404" s="1104">
        <f>DUB!I360</f>
        <v>1122000</v>
      </c>
      <c r="H6404" s="1106">
        <f>G6404*F6404</f>
        <v>1122000</v>
      </c>
      <c r="J6404" s="1634" t="s">
        <v>4925</v>
      </c>
      <c r="K6404" s="1611">
        <v>0.61329999999999996</v>
      </c>
      <c r="L6404" s="1607" t="s">
        <v>5343</v>
      </c>
      <c r="M6404" s="1827">
        <f>H6404*K6404</f>
        <v>688122.6</v>
      </c>
    </row>
    <row r="6405" spans="2:13">
      <c r="B6405" s="1331"/>
      <c r="C6405" s="1332" t="s">
        <v>738</v>
      </c>
      <c r="D6405" s="1331"/>
      <c r="E6405" s="1331" t="s">
        <v>690</v>
      </c>
      <c r="F6405" s="1334">
        <v>6</v>
      </c>
      <c r="G6405" s="1104">
        <f>DUB!$I$65</f>
        <v>1575</v>
      </c>
      <c r="H6405" s="1106">
        <f>G6405*F6405</f>
        <v>9450</v>
      </c>
      <c r="J6405" s="1634" t="s">
        <v>4925</v>
      </c>
      <c r="K6405" s="1611">
        <v>0.97009999999999996</v>
      </c>
      <c r="L6405" s="1607" t="s">
        <v>5343</v>
      </c>
      <c r="M6405" s="1827">
        <f>H6405*K6405</f>
        <v>9167.4449999999997</v>
      </c>
    </row>
    <row r="6406" spans="2:13">
      <c r="B6406" s="1331"/>
      <c r="C6406" s="1332" t="s">
        <v>739</v>
      </c>
      <c r="D6406" s="1331"/>
      <c r="E6406" s="1331" t="s">
        <v>881</v>
      </c>
      <c r="F6406" s="1334">
        <v>0.01</v>
      </c>
      <c r="G6406" s="1104">
        <f>DUB!$I$59</f>
        <v>208463</v>
      </c>
      <c r="H6406" s="1106">
        <f>G6406*F6406</f>
        <v>2084.63</v>
      </c>
      <c r="J6406" s="1642" t="s">
        <v>4925</v>
      </c>
      <c r="K6406" s="1611">
        <v>1</v>
      </c>
      <c r="L6406" s="1607" t="s">
        <v>5341</v>
      </c>
      <c r="M6406" s="1827">
        <f t="shared" ref="M6406:M6407" si="171">H6406*K6406</f>
        <v>2084.63</v>
      </c>
    </row>
    <row r="6407" spans="2:13">
      <c r="B6407" s="1331"/>
      <c r="C6407" s="1332" t="s">
        <v>1406</v>
      </c>
      <c r="D6407" s="1331"/>
      <c r="E6407" s="1331" t="s">
        <v>1411</v>
      </c>
      <c r="F6407" s="1334" t="s">
        <v>3472</v>
      </c>
      <c r="G6407" s="1104">
        <f>12%*H6404</f>
        <v>134640</v>
      </c>
      <c r="H6407" s="1106">
        <f>G6407</f>
        <v>134640</v>
      </c>
      <c r="J6407" s="1607"/>
      <c r="K6407" s="1611">
        <v>1</v>
      </c>
      <c r="L6407" s="1607"/>
      <c r="M6407" s="1827">
        <f t="shared" si="171"/>
        <v>134640</v>
      </c>
    </row>
    <row r="6408" spans="2:13">
      <c r="B6408" s="1331"/>
      <c r="C6408" s="1125"/>
      <c r="D6408" s="1333"/>
      <c r="E6408" s="1333"/>
      <c r="F6408" s="2074" t="s">
        <v>702</v>
      </c>
      <c r="G6408" s="2074"/>
      <c r="H6408" s="1106">
        <f>SUM(H6404:H6407)</f>
        <v>1268174.6299999999</v>
      </c>
      <c r="J6408" s="1597"/>
      <c r="K6408" s="1597"/>
      <c r="L6408" s="1597"/>
      <c r="M6408" s="1106">
        <f>SUM(M6404:M6407)</f>
        <v>834014.67499999993</v>
      </c>
    </row>
    <row r="6409" spans="2:13" s="496" customFormat="1">
      <c r="B6409" s="1330" t="s">
        <v>703</v>
      </c>
      <c r="C6409" s="2075" t="s">
        <v>3764</v>
      </c>
      <c r="D6409" s="2075"/>
      <c r="E6409" s="2075"/>
      <c r="F6409" s="2075"/>
      <c r="G6409" s="2075"/>
      <c r="H6409" s="1107">
        <f>H6402+H6408</f>
        <v>1768824.63</v>
      </c>
      <c r="J6409" s="1600"/>
      <c r="K6409" s="1633">
        <f>M6409/H6409</f>
        <v>0.47150783681703934</v>
      </c>
      <c r="L6409" s="1600"/>
      <c r="M6409" s="1107">
        <f>M63703+M6408</f>
        <v>834014.67499999993</v>
      </c>
    </row>
    <row r="6410" spans="2:13" s="496" customFormat="1">
      <c r="B6410" s="1330" t="s">
        <v>706</v>
      </c>
      <c r="C6410" s="2076" t="s">
        <v>876</v>
      </c>
      <c r="D6410" s="2076"/>
      <c r="E6410" s="2076"/>
      <c r="F6410" s="2077" t="s">
        <v>3873</v>
      </c>
      <c r="G6410" s="2077"/>
      <c r="H6410" s="1107">
        <f>H6409*0.15</f>
        <v>265323.69449999998</v>
      </c>
      <c r="J6410" s="1600"/>
      <c r="K6410" s="1600"/>
      <c r="L6410" s="1600"/>
      <c r="M6410" s="1107">
        <f>M6409*0.15</f>
        <v>125102.20124999998</v>
      </c>
    </row>
    <row r="6411" spans="2:13" s="496" customFormat="1">
      <c r="B6411" s="1330" t="s">
        <v>708</v>
      </c>
      <c r="C6411" s="2078" t="s">
        <v>3765</v>
      </c>
      <c r="D6411" s="2078"/>
      <c r="E6411" s="2078"/>
      <c r="F6411" s="2078"/>
      <c r="G6411" s="2078"/>
      <c r="H6411" s="1107">
        <f>ROUND(SUM(H6409:H6410),2)</f>
        <v>2034148.32</v>
      </c>
      <c r="I6411" s="506">
        <f>SUM(H6409:H6410)</f>
        <v>2034148.3244999999</v>
      </c>
      <c r="J6411" s="1636"/>
      <c r="K6411" s="1636"/>
      <c r="L6411" s="1637"/>
      <c r="M6411" s="1919">
        <f>ROUND(SUM(M6409:M6410),2)</f>
        <v>959116.88</v>
      </c>
    </row>
    <row r="6412" spans="2:13">
      <c r="B6412" s="1129"/>
      <c r="C6412" s="1130"/>
      <c r="D6412" s="1129"/>
      <c r="E6412" s="1130"/>
      <c r="F6412" s="1131"/>
      <c r="G6412" s="1132"/>
      <c r="H6412" s="1133"/>
      <c r="I6412" s="526"/>
      <c r="J6412" s="1562"/>
      <c r="K6412" s="1562"/>
      <c r="M6412" s="1566"/>
    </row>
    <row r="6413" spans="2:13" ht="18.75" hidden="1" customHeight="1">
      <c r="B6413" s="1150" t="s">
        <v>4209</v>
      </c>
      <c r="C6413" s="1232" t="s">
        <v>2733</v>
      </c>
      <c r="F6413" s="1172"/>
      <c r="G6413" s="1173"/>
      <c r="H6413" s="1133"/>
      <c r="M6413" s="1566"/>
    </row>
    <row r="6414" spans="2:13" s="507" customFormat="1" ht="24.9" hidden="1" customHeight="1">
      <c r="B6414" s="1748" t="s">
        <v>1003</v>
      </c>
      <c r="C6414" s="1101" t="s">
        <v>1004</v>
      </c>
      <c r="D6414" s="1101" t="s">
        <v>1005</v>
      </c>
      <c r="E6414" s="1101" t="s">
        <v>1006</v>
      </c>
      <c r="F6414" s="1102" t="s">
        <v>1007</v>
      </c>
      <c r="G6414" s="1109" t="s">
        <v>2637</v>
      </c>
      <c r="H6414" s="1110" t="s">
        <v>2638</v>
      </c>
      <c r="J6414" s="1625"/>
      <c r="K6414" s="1625"/>
      <c r="L6414" s="1625"/>
      <c r="M6414" s="1570"/>
    </row>
    <row r="6415" spans="2:13" hidden="1">
      <c r="B6415" s="1543" t="s">
        <v>671</v>
      </c>
      <c r="C6415" s="1332" t="s">
        <v>672</v>
      </c>
      <c r="D6415" s="1331"/>
      <c r="E6415" s="1331"/>
      <c r="F6415" s="1334"/>
      <c r="G6415" s="1104"/>
      <c r="H6415" s="1106"/>
      <c r="M6415" s="1566"/>
    </row>
    <row r="6416" spans="2:13" hidden="1">
      <c r="B6416" s="1543"/>
      <c r="C6416" s="1332" t="s">
        <v>673</v>
      </c>
      <c r="D6416" s="1331" t="s">
        <v>674</v>
      </c>
      <c r="E6416" s="1331" t="s">
        <v>675</v>
      </c>
      <c r="F6416" s="1334">
        <v>7.4999999999999997E-2</v>
      </c>
      <c r="G6416" s="1104">
        <f>DUB!$I$10</f>
        <v>150000</v>
      </c>
      <c r="H6416" s="1106">
        <f>G6416*F6416</f>
        <v>11250</v>
      </c>
      <c r="M6416" s="1566"/>
    </row>
    <row r="6417" spans="2:13" hidden="1">
      <c r="B6417" s="1543"/>
      <c r="C6417" s="1332" t="s">
        <v>731</v>
      </c>
      <c r="D6417" s="1331" t="s">
        <v>678</v>
      </c>
      <c r="E6417" s="1331" t="s">
        <v>675</v>
      </c>
      <c r="F6417" s="1334">
        <v>0.75</v>
      </c>
      <c r="G6417" s="1104">
        <f>DUB!$I$11</f>
        <v>187000</v>
      </c>
      <c r="H6417" s="1106">
        <f>G6417*F6417</f>
        <v>140250</v>
      </c>
      <c r="M6417" s="1566"/>
    </row>
    <row r="6418" spans="2:13" hidden="1">
      <c r="B6418" s="1543"/>
      <c r="C6418" s="1332" t="s">
        <v>751</v>
      </c>
      <c r="D6418" s="1331" t="s">
        <v>681</v>
      </c>
      <c r="E6418" s="1331" t="s">
        <v>675</v>
      </c>
      <c r="F6418" s="1334">
        <v>7.4999999999999997E-2</v>
      </c>
      <c r="G6418" s="1104">
        <f>DUB!$I$13</f>
        <v>240000</v>
      </c>
      <c r="H6418" s="1106">
        <f>G6418*F6418</f>
        <v>18000</v>
      </c>
      <c r="M6418" s="1566"/>
    </row>
    <row r="6419" spans="2:13" hidden="1">
      <c r="B6419" s="1543"/>
      <c r="C6419" s="1332" t="s">
        <v>683</v>
      </c>
      <c r="D6419" s="1331" t="s">
        <v>684</v>
      </c>
      <c r="E6419" s="1331" t="s">
        <v>675</v>
      </c>
      <c r="F6419" s="1334">
        <v>3.0000000000000001E-3</v>
      </c>
      <c r="G6419" s="1104">
        <f>DUB!$I$12</f>
        <v>225000</v>
      </c>
      <c r="H6419" s="1106">
        <f>G6419*F6419</f>
        <v>675</v>
      </c>
      <c r="M6419" s="1566"/>
    </row>
    <row r="6420" spans="2:13" hidden="1">
      <c r="B6420" s="1543"/>
      <c r="C6420" s="1332"/>
      <c r="D6420" s="1331"/>
      <c r="E6420" s="1331"/>
      <c r="F6420" s="2074" t="s">
        <v>685</v>
      </c>
      <c r="G6420" s="2074"/>
      <c r="H6420" s="1106">
        <f>SUM(H6416:H6419)</f>
        <v>170175</v>
      </c>
      <c r="M6420" s="1566"/>
    </row>
    <row r="6421" spans="2:13" hidden="1">
      <c r="B6421" s="1543" t="s">
        <v>686</v>
      </c>
      <c r="C6421" s="1332" t="s">
        <v>687</v>
      </c>
      <c r="D6421" s="1331"/>
      <c r="E6421" s="1331"/>
      <c r="F6421" s="1334"/>
      <c r="G6421" s="1104"/>
      <c r="H6421" s="1106"/>
      <c r="M6421" s="1566"/>
    </row>
    <row r="6422" spans="2:13" hidden="1">
      <c r="B6422" s="1543"/>
      <c r="C6422" s="1332" t="s">
        <v>1414</v>
      </c>
      <c r="D6422" s="1331"/>
      <c r="E6422" s="1331" t="s">
        <v>1405</v>
      </c>
      <c r="F6422" s="1334">
        <v>1</v>
      </c>
      <c r="G6422" s="1104">
        <f>DUB!I362</f>
        <v>5355000</v>
      </c>
      <c r="H6422" s="1106">
        <f>G6422*F6422</f>
        <v>5355000</v>
      </c>
      <c r="M6422" s="1566"/>
    </row>
    <row r="6423" spans="2:13" hidden="1">
      <c r="B6423" s="1540"/>
      <c r="C6423" s="1332" t="s">
        <v>1406</v>
      </c>
      <c r="D6423" s="1331"/>
      <c r="E6423" s="1331" t="s">
        <v>1411</v>
      </c>
      <c r="F6423" s="1334" t="s">
        <v>3487</v>
      </c>
      <c r="G6423" s="1104">
        <f>H6422*20%</f>
        <v>1071000</v>
      </c>
      <c r="H6423" s="1106">
        <f>G6423</f>
        <v>1071000</v>
      </c>
      <c r="M6423" s="1566"/>
    </row>
    <row r="6424" spans="2:13" hidden="1">
      <c r="B6424" s="1540"/>
      <c r="C6424" s="1332"/>
      <c r="D6424" s="1331"/>
      <c r="E6424" s="1331"/>
      <c r="F6424" s="2090" t="s">
        <v>702</v>
      </c>
      <c r="G6424" s="2090"/>
      <c r="H6424" s="1106">
        <f>SUM(H6422:H6423)</f>
        <v>6426000</v>
      </c>
      <c r="M6424" s="1566"/>
    </row>
    <row r="6425" spans="2:13" s="496" customFormat="1" hidden="1">
      <c r="B6425" s="1543" t="s">
        <v>703</v>
      </c>
      <c r="C6425" s="2089" t="s">
        <v>3764</v>
      </c>
      <c r="D6425" s="2089"/>
      <c r="E6425" s="2089"/>
      <c r="F6425" s="2089"/>
      <c r="G6425" s="2089"/>
      <c r="H6425" s="1107">
        <f>H6420+H6424</f>
        <v>6596175</v>
      </c>
      <c r="J6425" s="1559"/>
      <c r="K6425" s="1559"/>
      <c r="L6425" s="1559"/>
      <c r="M6425" s="1635"/>
    </row>
    <row r="6426" spans="2:13" s="496" customFormat="1" hidden="1">
      <c r="B6426" s="1543" t="s">
        <v>706</v>
      </c>
      <c r="C6426" s="2076" t="s">
        <v>876</v>
      </c>
      <c r="D6426" s="2076"/>
      <c r="E6426" s="2076"/>
      <c r="F6426" s="2077" t="s">
        <v>3873</v>
      </c>
      <c r="G6426" s="2077"/>
      <c r="H6426" s="1107">
        <f>H6425*0.15</f>
        <v>989426.25</v>
      </c>
      <c r="J6426" s="1559"/>
      <c r="K6426" s="1559"/>
      <c r="L6426" s="1559"/>
      <c r="M6426" s="1635"/>
    </row>
    <row r="6427" spans="2:13" s="496" customFormat="1" hidden="1">
      <c r="B6427" s="1543" t="s">
        <v>708</v>
      </c>
      <c r="C6427" s="2078" t="s">
        <v>3765</v>
      </c>
      <c r="D6427" s="2078"/>
      <c r="E6427" s="2078"/>
      <c r="F6427" s="2078"/>
      <c r="G6427" s="2078"/>
      <c r="H6427" s="1107">
        <f>ROUND(SUM(H6425:H6426),2)</f>
        <v>7585601.25</v>
      </c>
      <c r="I6427" s="506">
        <f>SUM(H6425:H6426)</f>
        <v>7585601.25</v>
      </c>
      <c r="J6427" s="1561"/>
      <c r="K6427" s="1561"/>
      <c r="L6427" s="1559"/>
      <c r="M6427" s="1635"/>
    </row>
    <row r="6428" spans="2:13" hidden="1">
      <c r="B6428" s="1143"/>
      <c r="C6428" s="1144"/>
      <c r="D6428" s="1143"/>
      <c r="E6428" s="1143"/>
      <c r="F6428" s="1145"/>
      <c r="G6428" s="1146"/>
      <c r="H6428" s="1147"/>
      <c r="M6428" s="1566"/>
    </row>
    <row r="6429" spans="2:13" hidden="1">
      <c r="B6429" s="1100" t="s">
        <v>4210</v>
      </c>
      <c r="C6429" s="1112" t="s">
        <v>3474</v>
      </c>
      <c r="D6429" s="1129"/>
      <c r="E6429" s="1129"/>
      <c r="F6429" s="1131"/>
      <c r="G6429" s="1132"/>
      <c r="H6429" s="1115"/>
      <c r="M6429" s="1566"/>
    </row>
    <row r="6430" spans="2:13" s="507" customFormat="1" ht="24.9" hidden="1" customHeight="1">
      <c r="B6430" s="1748" t="s">
        <v>1003</v>
      </c>
      <c r="C6430" s="1101" t="s">
        <v>1004</v>
      </c>
      <c r="D6430" s="1101" t="s">
        <v>1005</v>
      </c>
      <c r="E6430" s="1101" t="s">
        <v>1006</v>
      </c>
      <c r="F6430" s="1102" t="s">
        <v>1007</v>
      </c>
      <c r="G6430" s="1109" t="s">
        <v>2637</v>
      </c>
      <c r="H6430" s="1110" t="s">
        <v>2638</v>
      </c>
      <c r="J6430" s="1625"/>
      <c r="K6430" s="1625"/>
      <c r="L6430" s="1625"/>
      <c r="M6430" s="1570"/>
    </row>
    <row r="6431" spans="2:13" hidden="1">
      <c r="B6431" s="1543" t="s">
        <v>671</v>
      </c>
      <c r="C6431" s="1332" t="s">
        <v>672</v>
      </c>
      <c r="D6431" s="1331"/>
      <c r="E6431" s="1331"/>
      <c r="F6431" s="1334"/>
      <c r="G6431" s="1104"/>
      <c r="H6431" s="1106"/>
      <c r="M6431" s="1566"/>
    </row>
    <row r="6432" spans="2:13" hidden="1">
      <c r="B6432" s="1543"/>
      <c r="C6432" s="1332" t="s">
        <v>673</v>
      </c>
      <c r="D6432" s="1331" t="s">
        <v>674</v>
      </c>
      <c r="E6432" s="1331" t="s">
        <v>675</v>
      </c>
      <c r="F6432" s="1334">
        <v>0.18</v>
      </c>
      <c r="G6432" s="1104">
        <f>DUB!$I$10</f>
        <v>150000</v>
      </c>
      <c r="H6432" s="1106">
        <f>G6432*F6432</f>
        <v>27000</v>
      </c>
      <c r="M6432" s="1566"/>
    </row>
    <row r="6433" spans="2:13" hidden="1">
      <c r="B6433" s="1543"/>
      <c r="C6433" s="1332" t="s">
        <v>731</v>
      </c>
      <c r="D6433" s="1331" t="s">
        <v>678</v>
      </c>
      <c r="E6433" s="1331" t="s">
        <v>675</v>
      </c>
      <c r="F6433" s="1334">
        <v>5.3999999999999999E-2</v>
      </c>
      <c r="G6433" s="1104">
        <f>DUB!$I$11</f>
        <v>187000</v>
      </c>
      <c r="H6433" s="1106">
        <f>G6433*F6433</f>
        <v>10098</v>
      </c>
      <c r="M6433" s="1566"/>
    </row>
    <row r="6434" spans="2:13" hidden="1">
      <c r="B6434" s="1543"/>
      <c r="C6434" s="1332" t="s">
        <v>751</v>
      </c>
      <c r="D6434" s="1331" t="s">
        <v>681</v>
      </c>
      <c r="E6434" s="1331" t="s">
        <v>675</v>
      </c>
      <c r="F6434" s="1334">
        <v>5.0000000000000001E-3</v>
      </c>
      <c r="G6434" s="1104">
        <f>DUB!$I$13</f>
        <v>240000</v>
      </c>
      <c r="H6434" s="1106">
        <f>G6434*F6434</f>
        <v>1200</v>
      </c>
      <c r="M6434" s="1566"/>
    </row>
    <row r="6435" spans="2:13" hidden="1">
      <c r="B6435" s="1543"/>
      <c r="C6435" s="1332" t="s">
        <v>683</v>
      </c>
      <c r="D6435" s="1331" t="s">
        <v>684</v>
      </c>
      <c r="E6435" s="1331" t="s">
        <v>675</v>
      </c>
      <c r="F6435" s="1334">
        <v>1.0999999999999999E-2</v>
      </c>
      <c r="G6435" s="1104">
        <f>DUB!$I$12</f>
        <v>225000</v>
      </c>
      <c r="H6435" s="1106">
        <f>G6435*F6435</f>
        <v>2475</v>
      </c>
      <c r="M6435" s="1566"/>
    </row>
    <row r="6436" spans="2:13" hidden="1">
      <c r="B6436" s="1543"/>
      <c r="C6436" s="1332"/>
      <c r="D6436" s="1331"/>
      <c r="E6436" s="1331"/>
      <c r="F6436" s="2074" t="s">
        <v>685</v>
      </c>
      <c r="G6436" s="2074"/>
      <c r="H6436" s="1106">
        <f>SUM(H6432:H6435)</f>
        <v>40773</v>
      </c>
      <c r="M6436" s="1566"/>
    </row>
    <row r="6437" spans="2:13" hidden="1">
      <c r="B6437" s="1543" t="s">
        <v>686</v>
      </c>
      <c r="C6437" s="1332" t="s">
        <v>687</v>
      </c>
      <c r="D6437" s="1331"/>
      <c r="E6437" s="1331"/>
      <c r="F6437" s="1334"/>
      <c r="G6437" s="1104"/>
      <c r="H6437" s="1106"/>
      <c r="M6437" s="1566"/>
    </row>
    <row r="6438" spans="2:13" hidden="1">
      <c r="B6438" s="1543"/>
      <c r="C6438" s="1332" t="s">
        <v>1417</v>
      </c>
      <c r="D6438" s="1331"/>
      <c r="E6438" s="1331" t="s">
        <v>1405</v>
      </c>
      <c r="F6438" s="1334">
        <v>1</v>
      </c>
      <c r="G6438" s="1104">
        <f>DUB!I335</f>
        <v>439110</v>
      </c>
      <c r="H6438" s="1106">
        <f>G6438*F6438</f>
        <v>439110</v>
      </c>
      <c r="M6438" s="1566"/>
    </row>
    <row r="6439" spans="2:13" hidden="1">
      <c r="B6439" s="1543"/>
      <c r="C6439" s="1332" t="s">
        <v>1406</v>
      </c>
      <c r="D6439" s="1331"/>
      <c r="E6439" s="1331" t="s">
        <v>1011</v>
      </c>
      <c r="F6439" s="1334" t="s">
        <v>3473</v>
      </c>
      <c r="G6439" s="1104">
        <f>12%*H6438</f>
        <v>52693.2</v>
      </c>
      <c r="H6439" s="1106">
        <f>G6439</f>
        <v>52693.2</v>
      </c>
      <c r="M6439" s="1566"/>
    </row>
    <row r="6440" spans="2:13" hidden="1">
      <c r="B6440" s="1543"/>
      <c r="C6440" s="1125"/>
      <c r="D6440" s="1333"/>
      <c r="E6440" s="1333"/>
      <c r="F6440" s="2074" t="s">
        <v>702</v>
      </c>
      <c r="G6440" s="2074"/>
      <c r="H6440" s="1106">
        <f>SUM(H6438:H6439)</f>
        <v>491803.2</v>
      </c>
      <c r="M6440" s="1566"/>
    </row>
    <row r="6441" spans="2:13" s="496" customFormat="1" hidden="1">
      <c r="B6441" s="1543" t="s">
        <v>703</v>
      </c>
      <c r="C6441" s="2075" t="s">
        <v>3764</v>
      </c>
      <c r="D6441" s="2075"/>
      <c r="E6441" s="2075"/>
      <c r="F6441" s="2075"/>
      <c r="G6441" s="2075"/>
      <c r="H6441" s="1107">
        <f>H6436+H6440</f>
        <v>532576.19999999995</v>
      </c>
      <c r="J6441" s="1559"/>
      <c r="K6441" s="1559"/>
      <c r="L6441" s="1559"/>
      <c r="M6441" s="1635"/>
    </row>
    <row r="6442" spans="2:13" s="496" customFormat="1" hidden="1">
      <c r="B6442" s="1543" t="s">
        <v>706</v>
      </c>
      <c r="C6442" s="2076" t="s">
        <v>876</v>
      </c>
      <c r="D6442" s="2076"/>
      <c r="E6442" s="2076"/>
      <c r="F6442" s="2077" t="s">
        <v>3873</v>
      </c>
      <c r="G6442" s="2077"/>
      <c r="H6442" s="1107">
        <f>H6441*0.15</f>
        <v>79886.429999999993</v>
      </c>
      <c r="J6442" s="1559"/>
      <c r="K6442" s="1559"/>
      <c r="L6442" s="1559"/>
      <c r="M6442" s="1635"/>
    </row>
    <row r="6443" spans="2:13" s="496" customFormat="1" hidden="1">
      <c r="B6443" s="1543" t="s">
        <v>708</v>
      </c>
      <c r="C6443" s="2078" t="s">
        <v>3765</v>
      </c>
      <c r="D6443" s="2078"/>
      <c r="E6443" s="2078"/>
      <c r="F6443" s="2078"/>
      <c r="G6443" s="2078"/>
      <c r="H6443" s="1107">
        <f>ROUND(SUM(H6441:H6442),2)</f>
        <v>612462.63</v>
      </c>
      <c r="I6443" s="506">
        <f>SUM(H6441:H6442)</f>
        <v>612462.62999999989</v>
      </c>
      <c r="J6443" s="1561"/>
      <c r="K6443" s="1561"/>
      <c r="L6443" s="1559"/>
      <c r="M6443" s="1635"/>
    </row>
    <row r="6444" spans="2:13" hidden="1">
      <c r="F6444" s="1172"/>
      <c r="G6444" s="1173"/>
      <c r="H6444" s="1133"/>
      <c r="M6444" s="1566"/>
    </row>
    <row r="6445" spans="2:13" hidden="1">
      <c r="B6445" s="1100" t="s">
        <v>4211</v>
      </c>
      <c r="C6445" s="1232" t="s">
        <v>2732</v>
      </c>
      <c r="F6445" s="1172"/>
      <c r="G6445" s="1173"/>
      <c r="H6445" s="1133"/>
      <c r="M6445" s="1566"/>
    </row>
    <row r="6446" spans="2:13" s="507" customFormat="1" ht="24.9" hidden="1" customHeight="1">
      <c r="B6446" s="1748" t="s">
        <v>1003</v>
      </c>
      <c r="C6446" s="1101" t="s">
        <v>1004</v>
      </c>
      <c r="D6446" s="1101" t="s">
        <v>1005</v>
      </c>
      <c r="E6446" s="1101" t="s">
        <v>1006</v>
      </c>
      <c r="F6446" s="1102" t="s">
        <v>1007</v>
      </c>
      <c r="G6446" s="1109" t="s">
        <v>2637</v>
      </c>
      <c r="H6446" s="1110" t="s">
        <v>2638</v>
      </c>
      <c r="J6446" s="1625"/>
      <c r="K6446" s="1625"/>
      <c r="L6446" s="1625"/>
      <c r="M6446" s="1570"/>
    </row>
    <row r="6447" spans="2:13" hidden="1">
      <c r="B6447" s="1543" t="s">
        <v>671</v>
      </c>
      <c r="C6447" s="1332" t="s">
        <v>672</v>
      </c>
      <c r="D6447" s="1331"/>
      <c r="E6447" s="1331"/>
      <c r="F6447" s="1334"/>
      <c r="G6447" s="1104"/>
      <c r="H6447" s="1106"/>
      <c r="M6447" s="1566"/>
    </row>
    <row r="6448" spans="2:13" hidden="1">
      <c r="B6448" s="1543"/>
      <c r="C6448" s="1332" t="s">
        <v>673</v>
      </c>
      <c r="D6448" s="1331" t="s">
        <v>674</v>
      </c>
      <c r="E6448" s="1331" t="s">
        <v>675</v>
      </c>
      <c r="F6448" s="1334">
        <v>6</v>
      </c>
      <c r="G6448" s="1104">
        <f>DUB!$I$10</f>
        <v>150000</v>
      </c>
      <c r="H6448" s="1106">
        <f>G6448*F6448</f>
        <v>900000</v>
      </c>
      <c r="M6448" s="1566"/>
    </row>
    <row r="6449" spans="2:13" hidden="1">
      <c r="B6449" s="1543"/>
      <c r="C6449" s="1332" t="s">
        <v>731</v>
      </c>
      <c r="D6449" s="1331" t="s">
        <v>678</v>
      </c>
      <c r="E6449" s="1331" t="s">
        <v>675</v>
      </c>
      <c r="F6449" s="1334">
        <v>3</v>
      </c>
      <c r="G6449" s="1104">
        <f>DUB!$I$11</f>
        <v>187000</v>
      </c>
      <c r="H6449" s="1106">
        <f>G6449*F6449</f>
        <v>561000</v>
      </c>
      <c r="M6449" s="1566"/>
    </row>
    <row r="6450" spans="2:13" hidden="1">
      <c r="B6450" s="1543"/>
      <c r="C6450" s="1332" t="s">
        <v>751</v>
      </c>
      <c r="D6450" s="1331" t="s">
        <v>681</v>
      </c>
      <c r="E6450" s="1331" t="s">
        <v>675</v>
      </c>
      <c r="F6450" s="1334">
        <v>0.3</v>
      </c>
      <c r="G6450" s="1104">
        <f>DUB!$I$13</f>
        <v>240000</v>
      </c>
      <c r="H6450" s="1106">
        <f>G6450*F6450</f>
        <v>72000</v>
      </c>
      <c r="M6450" s="1566"/>
    </row>
    <row r="6451" spans="2:13" hidden="1">
      <c r="B6451" s="1543"/>
      <c r="C6451" s="1332" t="s">
        <v>683</v>
      </c>
      <c r="D6451" s="1331" t="s">
        <v>684</v>
      </c>
      <c r="E6451" s="1331" t="s">
        <v>675</v>
      </c>
      <c r="F6451" s="1334">
        <v>0.03</v>
      </c>
      <c r="G6451" s="1104">
        <f>DUB!$I$12</f>
        <v>225000</v>
      </c>
      <c r="H6451" s="1106">
        <f>G6451*F6451</f>
        <v>6750</v>
      </c>
      <c r="M6451" s="1566"/>
    </row>
    <row r="6452" spans="2:13" hidden="1">
      <c r="B6452" s="1543"/>
      <c r="C6452" s="1332"/>
      <c r="D6452" s="1331"/>
      <c r="E6452" s="1331"/>
      <c r="F6452" s="2074" t="s">
        <v>685</v>
      </c>
      <c r="G6452" s="2074"/>
      <c r="H6452" s="1106">
        <f>SUM(H6448:H6451)</f>
        <v>1539750</v>
      </c>
      <c r="M6452" s="1566"/>
    </row>
    <row r="6453" spans="2:13" hidden="1">
      <c r="B6453" s="1543" t="s">
        <v>686</v>
      </c>
      <c r="C6453" s="1332" t="s">
        <v>687</v>
      </c>
      <c r="D6453" s="1331"/>
      <c r="E6453" s="1331"/>
      <c r="F6453" s="1334"/>
      <c r="G6453" s="1104"/>
      <c r="H6453" s="1106"/>
      <c r="M6453" s="1566"/>
    </row>
    <row r="6454" spans="2:13" hidden="1">
      <c r="B6454" s="1543"/>
      <c r="C6454" s="1332" t="s">
        <v>742</v>
      </c>
      <c r="D6454" s="1331"/>
      <c r="E6454" s="1331" t="s">
        <v>881</v>
      </c>
      <c r="F6454" s="1334">
        <v>150</v>
      </c>
      <c r="G6454" s="1104">
        <f>DUB!I49</f>
        <v>590</v>
      </c>
      <c r="H6454" s="1106">
        <f>G6454*F6454</f>
        <v>88500</v>
      </c>
      <c r="M6454" s="1566"/>
    </row>
    <row r="6455" spans="2:13" hidden="1">
      <c r="B6455" s="1540"/>
      <c r="C6455" s="1332" t="s">
        <v>1420</v>
      </c>
      <c r="D6455" s="1331"/>
      <c r="E6455" s="1331" t="s">
        <v>690</v>
      </c>
      <c r="F6455" s="1334">
        <v>120</v>
      </c>
      <c r="G6455" s="1104">
        <f>DUB!$I$65</f>
        <v>1575</v>
      </c>
      <c r="H6455" s="1106">
        <f>G6455*F6455</f>
        <v>189000</v>
      </c>
      <c r="M6455" s="1566"/>
    </row>
    <row r="6456" spans="2:13" hidden="1">
      <c r="B6456" s="1540"/>
      <c r="C6456" s="1332" t="s">
        <v>739</v>
      </c>
      <c r="D6456" s="1331"/>
      <c r="E6456" s="1331" t="s">
        <v>881</v>
      </c>
      <c r="F6456" s="1334">
        <v>0.3</v>
      </c>
      <c r="G6456" s="1104">
        <f>DUB!$I$59</f>
        <v>208463</v>
      </c>
      <c r="H6456" s="1106">
        <f>G6456*F6456</f>
        <v>62538.899999999994</v>
      </c>
      <c r="M6456" s="1566"/>
    </row>
    <row r="6457" spans="2:13" hidden="1">
      <c r="B6457" s="1540"/>
      <c r="C6457" s="1332" t="s">
        <v>3475</v>
      </c>
      <c r="D6457" s="1331"/>
      <c r="E6457" s="1331" t="s">
        <v>1423</v>
      </c>
      <c r="F6457" s="1334">
        <v>63</v>
      </c>
      <c r="G6457" s="1104">
        <f>DUB!I183</f>
        <v>2403</v>
      </c>
      <c r="H6457" s="1106">
        <f>G6457*F6457</f>
        <v>151389</v>
      </c>
      <c r="M6457" s="1566"/>
    </row>
    <row r="6458" spans="2:13" hidden="1">
      <c r="B6458" s="1540"/>
      <c r="C6458" s="1332" t="s">
        <v>1100</v>
      </c>
      <c r="D6458" s="1331"/>
      <c r="E6458" s="1331" t="s">
        <v>690</v>
      </c>
      <c r="F6458" s="1334">
        <v>6</v>
      </c>
      <c r="G6458" s="1104">
        <f>DUB!I62/40</f>
        <v>2750</v>
      </c>
      <c r="H6458" s="1106">
        <f>G6458*F6458</f>
        <v>16500</v>
      </c>
      <c r="M6458" s="1566"/>
    </row>
    <row r="6459" spans="2:13" hidden="1">
      <c r="B6459" s="1540"/>
      <c r="C6459" s="1332"/>
      <c r="D6459" s="1331"/>
      <c r="E6459" s="1331"/>
      <c r="F6459" s="2090" t="s">
        <v>702</v>
      </c>
      <c r="G6459" s="2090"/>
      <c r="H6459" s="1106">
        <f>SUM(H6454:H6458)</f>
        <v>507927.9</v>
      </c>
      <c r="M6459" s="1566"/>
    </row>
    <row r="6460" spans="2:13" s="496" customFormat="1" hidden="1">
      <c r="B6460" s="1543" t="s">
        <v>703</v>
      </c>
      <c r="C6460" s="2089" t="s">
        <v>3764</v>
      </c>
      <c r="D6460" s="2089"/>
      <c r="E6460" s="2089"/>
      <c r="F6460" s="2089"/>
      <c r="G6460" s="2089"/>
      <c r="H6460" s="1107">
        <f>H6452+H6459</f>
        <v>2047677.9</v>
      </c>
      <c r="J6460" s="1559"/>
      <c r="K6460" s="1559"/>
      <c r="L6460" s="1559"/>
      <c r="M6460" s="1635"/>
    </row>
    <row r="6461" spans="2:13" s="496" customFormat="1" hidden="1">
      <c r="B6461" s="1543" t="s">
        <v>706</v>
      </c>
      <c r="C6461" s="2076" t="s">
        <v>876</v>
      </c>
      <c r="D6461" s="2076"/>
      <c r="E6461" s="2076"/>
      <c r="F6461" s="2077" t="s">
        <v>3873</v>
      </c>
      <c r="G6461" s="2077"/>
      <c r="H6461" s="1107">
        <f>H6460*0.15</f>
        <v>307151.685</v>
      </c>
      <c r="J6461" s="1559"/>
      <c r="K6461" s="1559"/>
      <c r="L6461" s="1559"/>
      <c r="M6461" s="1635"/>
    </row>
    <row r="6462" spans="2:13" s="496" customFormat="1" hidden="1">
      <c r="B6462" s="1543" t="s">
        <v>708</v>
      </c>
      <c r="C6462" s="2078" t="s">
        <v>3765</v>
      </c>
      <c r="D6462" s="2078"/>
      <c r="E6462" s="2078"/>
      <c r="F6462" s="2078"/>
      <c r="G6462" s="2078"/>
      <c r="H6462" s="1107">
        <f>ROUND(SUM(H6460:H6461),2)</f>
        <v>2354829.59</v>
      </c>
      <c r="I6462" s="506">
        <f>SUM(H6460:H6461)</f>
        <v>2354829.585</v>
      </c>
      <c r="J6462" s="1561"/>
      <c r="K6462" s="1561"/>
      <c r="L6462" s="1559"/>
      <c r="M6462" s="1635"/>
    </row>
    <row r="6463" spans="2:13" hidden="1">
      <c r="B6463" s="1143"/>
      <c r="C6463" s="1144"/>
      <c r="D6463" s="1143"/>
      <c r="E6463" s="1143"/>
      <c r="F6463" s="1145"/>
      <c r="G6463" s="1146"/>
      <c r="H6463" s="1147"/>
      <c r="M6463" s="1566"/>
    </row>
    <row r="6464" spans="2:13" hidden="1">
      <c r="B6464" s="1100" t="s">
        <v>4212</v>
      </c>
      <c r="C6464" s="1232" t="s">
        <v>2731</v>
      </c>
      <c r="F6464" s="1172"/>
      <c r="G6464" s="1173"/>
      <c r="H6464" s="1133"/>
      <c r="M6464" s="1566"/>
    </row>
    <row r="6465" spans="2:13" s="507" customFormat="1" ht="24.9" hidden="1" customHeight="1">
      <c r="B6465" s="1748" t="s">
        <v>1003</v>
      </c>
      <c r="C6465" s="1101" t="s">
        <v>1004</v>
      </c>
      <c r="D6465" s="1101" t="s">
        <v>1005</v>
      </c>
      <c r="E6465" s="1101" t="s">
        <v>1006</v>
      </c>
      <c r="F6465" s="1102" t="s">
        <v>1007</v>
      </c>
      <c r="G6465" s="1109" t="s">
        <v>2637</v>
      </c>
      <c r="H6465" s="1110" t="s">
        <v>2638</v>
      </c>
      <c r="J6465" s="1625"/>
      <c r="K6465" s="1625"/>
      <c r="L6465" s="1625"/>
      <c r="M6465" s="1570"/>
    </row>
    <row r="6466" spans="2:13" hidden="1">
      <c r="B6466" s="1543" t="s">
        <v>671</v>
      </c>
      <c r="C6466" s="1332" t="s">
        <v>672</v>
      </c>
      <c r="D6466" s="1331"/>
      <c r="E6466" s="1331"/>
      <c r="F6466" s="1334"/>
      <c r="G6466" s="1104"/>
      <c r="H6466" s="1106"/>
      <c r="M6466" s="1566"/>
    </row>
    <row r="6467" spans="2:13" hidden="1">
      <c r="B6467" s="1543"/>
      <c r="C6467" s="1332" t="s">
        <v>673</v>
      </c>
      <c r="D6467" s="1331" t="s">
        <v>674</v>
      </c>
      <c r="E6467" s="1331" t="s">
        <v>675</v>
      </c>
      <c r="F6467" s="1334">
        <v>0.18</v>
      </c>
      <c r="G6467" s="1104">
        <f>DUB!$I$10</f>
        <v>150000</v>
      </c>
      <c r="H6467" s="1106">
        <f>G6467*F6467</f>
        <v>27000</v>
      </c>
      <c r="M6467" s="1566"/>
    </row>
    <row r="6468" spans="2:13" hidden="1">
      <c r="B6468" s="1543"/>
      <c r="C6468" s="1332" t="s">
        <v>731</v>
      </c>
      <c r="D6468" s="1331" t="s">
        <v>678</v>
      </c>
      <c r="E6468" s="1331" t="s">
        <v>675</v>
      </c>
      <c r="F6468" s="1334">
        <v>5.3999999999999999E-2</v>
      </c>
      <c r="G6468" s="1104">
        <f>DUB!$I$11</f>
        <v>187000</v>
      </c>
      <c r="H6468" s="1106">
        <f>G6468*F6468</f>
        <v>10098</v>
      </c>
      <c r="M6468" s="1566"/>
    </row>
    <row r="6469" spans="2:13" hidden="1">
      <c r="B6469" s="1543"/>
      <c r="C6469" s="1332" t="s">
        <v>751</v>
      </c>
      <c r="D6469" s="1331" t="s">
        <v>681</v>
      </c>
      <c r="E6469" s="1331" t="s">
        <v>675</v>
      </c>
      <c r="F6469" s="1334">
        <v>5.0000000000000001E-3</v>
      </c>
      <c r="G6469" s="1104">
        <f>DUB!$I$13</f>
        <v>240000</v>
      </c>
      <c r="H6469" s="1106">
        <f>G6469*F6469</f>
        <v>1200</v>
      </c>
      <c r="M6469" s="1566"/>
    </row>
    <row r="6470" spans="2:13" hidden="1">
      <c r="B6470" s="1543"/>
      <c r="C6470" s="1332" t="s">
        <v>683</v>
      </c>
      <c r="D6470" s="1331" t="s">
        <v>684</v>
      </c>
      <c r="E6470" s="1331" t="s">
        <v>675</v>
      </c>
      <c r="F6470" s="1334">
        <v>1.0999999999999999E-2</v>
      </c>
      <c r="G6470" s="1104">
        <f>DUB!$I$12</f>
        <v>225000</v>
      </c>
      <c r="H6470" s="1106">
        <f>G6470*F6470</f>
        <v>2475</v>
      </c>
      <c r="M6470" s="1566"/>
    </row>
    <row r="6471" spans="2:13" hidden="1">
      <c r="B6471" s="1543"/>
      <c r="C6471" s="1332"/>
      <c r="D6471" s="1331"/>
      <c r="E6471" s="1331"/>
      <c r="F6471" s="2074" t="s">
        <v>685</v>
      </c>
      <c r="G6471" s="2074"/>
      <c r="H6471" s="1106">
        <f>SUM(H6467:H6470)</f>
        <v>40773</v>
      </c>
      <c r="M6471" s="1566"/>
    </row>
    <row r="6472" spans="2:13" hidden="1">
      <c r="B6472" s="1543" t="s">
        <v>686</v>
      </c>
      <c r="C6472" s="1332" t="s">
        <v>687</v>
      </c>
      <c r="D6472" s="1331"/>
      <c r="E6472" s="1331"/>
      <c r="F6472" s="1334"/>
      <c r="G6472" s="1104"/>
      <c r="H6472" s="1106"/>
      <c r="M6472" s="1566"/>
    </row>
    <row r="6473" spans="2:13" hidden="1">
      <c r="B6473" s="1543"/>
      <c r="C6473" s="1332" t="s">
        <v>5306</v>
      </c>
      <c r="D6473" s="1331"/>
      <c r="E6473" s="1331" t="s">
        <v>1405</v>
      </c>
      <c r="F6473" s="1334">
        <v>1</v>
      </c>
      <c r="G6473" s="1104">
        <f>DUB!$I$335</f>
        <v>439110</v>
      </c>
      <c r="H6473" s="1106">
        <f>G6473*F6473</f>
        <v>439110</v>
      </c>
      <c r="M6473" s="1566"/>
    </row>
    <row r="6474" spans="2:13" hidden="1">
      <c r="B6474" s="1543"/>
      <c r="C6474" s="1332" t="s">
        <v>1406</v>
      </c>
      <c r="D6474" s="1331"/>
      <c r="E6474" s="1331" t="s">
        <v>1011</v>
      </c>
      <c r="F6474" s="1334" t="s">
        <v>3473</v>
      </c>
      <c r="G6474" s="1104">
        <f>12%*H6473</f>
        <v>52693.2</v>
      </c>
      <c r="H6474" s="1106">
        <f>G6474</f>
        <v>52693.2</v>
      </c>
      <c r="M6474" s="1566"/>
    </row>
    <row r="6475" spans="2:13" hidden="1">
      <c r="B6475" s="1540"/>
      <c r="C6475" s="1125"/>
      <c r="D6475" s="1333"/>
      <c r="E6475" s="1333"/>
      <c r="F6475" s="2074" t="s">
        <v>702</v>
      </c>
      <c r="G6475" s="2074"/>
      <c r="H6475" s="1106">
        <f>SUM(H6473:H6474)</f>
        <v>491803.2</v>
      </c>
      <c r="M6475" s="1566"/>
    </row>
    <row r="6476" spans="2:13" s="496" customFormat="1" hidden="1">
      <c r="B6476" s="1543" t="s">
        <v>703</v>
      </c>
      <c r="C6476" s="2075" t="s">
        <v>3764</v>
      </c>
      <c r="D6476" s="2075"/>
      <c r="E6476" s="2075"/>
      <c r="F6476" s="2075"/>
      <c r="G6476" s="2075"/>
      <c r="H6476" s="1107">
        <f>H6471+H6475</f>
        <v>532576.19999999995</v>
      </c>
      <c r="J6476" s="1559"/>
      <c r="K6476" s="1559"/>
      <c r="L6476" s="1559"/>
      <c r="M6476" s="1635"/>
    </row>
    <row r="6477" spans="2:13" s="496" customFormat="1" hidden="1">
      <c r="B6477" s="1543" t="s">
        <v>706</v>
      </c>
      <c r="C6477" s="2076" t="s">
        <v>876</v>
      </c>
      <c r="D6477" s="2076"/>
      <c r="E6477" s="2076"/>
      <c r="F6477" s="2077" t="s">
        <v>3873</v>
      </c>
      <c r="G6477" s="2077"/>
      <c r="H6477" s="1107">
        <f>H6476*0.15</f>
        <v>79886.429999999993</v>
      </c>
      <c r="J6477" s="1559"/>
      <c r="K6477" s="1559"/>
      <c r="L6477" s="1559"/>
      <c r="M6477" s="1635"/>
    </row>
    <row r="6478" spans="2:13" s="496" customFormat="1" hidden="1">
      <c r="B6478" s="1543" t="s">
        <v>708</v>
      </c>
      <c r="C6478" s="2078" t="s">
        <v>3765</v>
      </c>
      <c r="D6478" s="2078"/>
      <c r="E6478" s="2078"/>
      <c r="F6478" s="2078"/>
      <c r="G6478" s="2078"/>
      <c r="H6478" s="1107">
        <f>ROUND(SUM(H6476:H6477),2)</f>
        <v>612462.63</v>
      </c>
      <c r="J6478" s="1559"/>
      <c r="K6478" s="1559"/>
      <c r="L6478" s="1559"/>
      <c r="M6478" s="1635"/>
    </row>
    <row r="6479" spans="2:13" hidden="1">
      <c r="B6479" s="1143"/>
      <c r="C6479" s="1144"/>
      <c r="D6479" s="1143"/>
      <c r="E6479" s="1143"/>
      <c r="F6479" s="1145"/>
      <c r="G6479" s="1146"/>
      <c r="H6479" s="1147"/>
      <c r="M6479" s="1566"/>
    </row>
    <row r="6480" spans="2:13" hidden="1">
      <c r="B6480" s="1100" t="s">
        <v>4213</v>
      </c>
      <c r="C6480" s="1112" t="s">
        <v>2730</v>
      </c>
      <c r="D6480" s="1129"/>
      <c r="E6480" s="1129"/>
      <c r="F6480" s="1131"/>
      <c r="G6480" s="1132"/>
      <c r="H6480" s="1115"/>
      <c r="M6480" s="1566"/>
    </row>
    <row r="6481" spans="2:13" s="507" customFormat="1" ht="24.9" hidden="1" customHeight="1">
      <c r="B6481" s="1748" t="s">
        <v>1003</v>
      </c>
      <c r="C6481" s="1101" t="s">
        <v>1004</v>
      </c>
      <c r="D6481" s="1101" t="s">
        <v>1005</v>
      </c>
      <c r="E6481" s="1101" t="s">
        <v>1006</v>
      </c>
      <c r="F6481" s="1102" t="s">
        <v>1007</v>
      </c>
      <c r="G6481" s="1109" t="s">
        <v>2637</v>
      </c>
      <c r="H6481" s="1110" t="s">
        <v>2638</v>
      </c>
      <c r="J6481" s="1625"/>
      <c r="K6481" s="1625"/>
      <c r="L6481" s="1625"/>
      <c r="M6481" s="1570"/>
    </row>
    <row r="6482" spans="2:13" hidden="1">
      <c r="B6482" s="1543" t="s">
        <v>671</v>
      </c>
      <c r="C6482" s="1332" t="s">
        <v>672</v>
      </c>
      <c r="D6482" s="1331"/>
      <c r="E6482" s="1331"/>
      <c r="F6482" s="1334"/>
      <c r="G6482" s="1104"/>
      <c r="H6482" s="1106"/>
      <c r="M6482" s="1566"/>
    </row>
    <row r="6483" spans="2:13" hidden="1">
      <c r="B6483" s="1543"/>
      <c r="C6483" s="1332" t="s">
        <v>673</v>
      </c>
      <c r="D6483" s="1331" t="s">
        <v>674</v>
      </c>
      <c r="E6483" s="1331" t="s">
        <v>675</v>
      </c>
      <c r="F6483" s="1334">
        <v>3.5</v>
      </c>
      <c r="G6483" s="1104">
        <f>DUB!$I$10</f>
        <v>150000</v>
      </c>
      <c r="H6483" s="1106">
        <f>G6483*F6483</f>
        <v>525000</v>
      </c>
      <c r="M6483" s="1566"/>
    </row>
    <row r="6484" spans="2:13" hidden="1">
      <c r="B6484" s="1543"/>
      <c r="C6484" s="1332" t="s">
        <v>731</v>
      </c>
      <c r="D6484" s="1331" t="s">
        <v>678</v>
      </c>
      <c r="E6484" s="1331" t="s">
        <v>675</v>
      </c>
      <c r="F6484" s="1334">
        <v>4.5</v>
      </c>
      <c r="G6484" s="1104">
        <f>DUB!$I$11</f>
        <v>187000</v>
      </c>
      <c r="H6484" s="1106">
        <f>G6484*F6484</f>
        <v>841500</v>
      </c>
      <c r="M6484" s="1566"/>
    </row>
    <row r="6485" spans="2:13" hidden="1">
      <c r="B6485" s="1543"/>
      <c r="C6485" s="1332" t="s">
        <v>751</v>
      </c>
      <c r="D6485" s="1331" t="s">
        <v>681</v>
      </c>
      <c r="E6485" s="1331" t="s">
        <v>675</v>
      </c>
      <c r="F6485" s="1334">
        <v>0.05</v>
      </c>
      <c r="G6485" s="1104">
        <f>DUB!$I$13</f>
        <v>240000</v>
      </c>
      <c r="H6485" s="1106">
        <f>G6485*F6485</f>
        <v>12000</v>
      </c>
      <c r="M6485" s="1566"/>
    </row>
    <row r="6486" spans="2:13" hidden="1">
      <c r="B6486" s="1543"/>
      <c r="C6486" s="1332" t="s">
        <v>683</v>
      </c>
      <c r="D6486" s="1331" t="s">
        <v>684</v>
      </c>
      <c r="E6486" s="1331" t="s">
        <v>675</v>
      </c>
      <c r="F6486" s="1334">
        <v>1.7999999999999999E-2</v>
      </c>
      <c r="G6486" s="1104">
        <f>DUB!$I$12</f>
        <v>225000</v>
      </c>
      <c r="H6486" s="1106">
        <f>G6486*F6486</f>
        <v>4049.9999999999995</v>
      </c>
      <c r="M6486" s="1566"/>
    </row>
    <row r="6487" spans="2:13" hidden="1">
      <c r="B6487" s="1543"/>
      <c r="C6487" s="1332"/>
      <c r="D6487" s="1331"/>
      <c r="E6487" s="1331"/>
      <c r="F6487" s="2074" t="s">
        <v>685</v>
      </c>
      <c r="G6487" s="2074"/>
      <c r="H6487" s="1106">
        <f>SUM(H6483:H6486)</f>
        <v>1382550</v>
      </c>
      <c r="M6487" s="1566"/>
    </row>
    <row r="6488" spans="2:13" hidden="1">
      <c r="B6488" s="1543" t="s">
        <v>686</v>
      </c>
      <c r="C6488" s="1332" t="s">
        <v>687</v>
      </c>
      <c r="D6488" s="1331"/>
      <c r="E6488" s="1331"/>
      <c r="F6488" s="1334"/>
      <c r="G6488" s="1104"/>
      <c r="H6488" s="1106"/>
      <c r="M6488" s="1566"/>
    </row>
    <row r="6489" spans="2:13" hidden="1">
      <c r="B6489" s="1543"/>
      <c r="C6489" s="1332" t="s">
        <v>3476</v>
      </c>
      <c r="D6489" s="1331"/>
      <c r="E6489" s="1331" t="s">
        <v>881</v>
      </c>
      <c r="F6489" s="1334">
        <v>0.9</v>
      </c>
      <c r="G6489" s="1104">
        <f>I793</f>
        <v>1477199.0119999999</v>
      </c>
      <c r="H6489" s="1106">
        <f>G6489*F6489</f>
        <v>1329479.1107999999</v>
      </c>
      <c r="I6489" s="494" t="s">
        <v>3377</v>
      </c>
      <c r="M6489" s="1566"/>
    </row>
    <row r="6490" spans="2:13" hidden="1">
      <c r="B6490" s="1543"/>
      <c r="C6490" s="1332" t="s">
        <v>1428</v>
      </c>
      <c r="D6490" s="1331"/>
      <c r="E6490" s="1331" t="s">
        <v>690</v>
      </c>
      <c r="F6490" s="1334">
        <v>180</v>
      </c>
      <c r="G6490" s="1104">
        <f>DUB!I101</f>
        <v>15300</v>
      </c>
      <c r="H6490" s="1106">
        <f>G6490*F6490</f>
        <v>2754000</v>
      </c>
      <c r="M6490" s="1566"/>
    </row>
    <row r="6491" spans="2:13" hidden="1">
      <c r="B6491" s="1543"/>
      <c r="C6491" s="1332" t="s">
        <v>1430</v>
      </c>
      <c r="D6491" s="1331"/>
      <c r="E6491" s="1331" t="s">
        <v>1264</v>
      </c>
      <c r="F6491" s="1334">
        <v>8</v>
      </c>
      <c r="G6491" s="1104">
        <f>I1267</f>
        <v>774404.45699999994</v>
      </c>
      <c r="H6491" s="1106">
        <f>G6491*F6491</f>
        <v>6195235.6559999995</v>
      </c>
      <c r="I6491" s="1723">
        <f>8*429188.63</f>
        <v>3433509.04</v>
      </c>
      <c r="J6491" s="1724"/>
      <c r="K6491" s="1724"/>
      <c r="M6491" s="1566"/>
    </row>
    <row r="6492" spans="2:13" hidden="1">
      <c r="B6492" s="1543"/>
      <c r="C6492" s="1332" t="s">
        <v>1431</v>
      </c>
      <c r="D6492" s="1331"/>
      <c r="E6492" s="1331" t="s">
        <v>743</v>
      </c>
      <c r="F6492" s="1334">
        <v>500</v>
      </c>
      <c r="G6492" s="1104">
        <f>G6457</f>
        <v>2403</v>
      </c>
      <c r="H6492" s="1106">
        <f>G6492*F6492</f>
        <v>1201500</v>
      </c>
      <c r="M6492" s="1566"/>
    </row>
    <row r="6493" spans="2:13" hidden="1">
      <c r="B6493" s="1543"/>
      <c r="C6493" s="1332" t="s">
        <v>1406</v>
      </c>
      <c r="D6493" s="1331"/>
      <c r="E6493" s="1331" t="s">
        <v>1411</v>
      </c>
      <c r="F6493" s="1334" t="s">
        <v>3477</v>
      </c>
      <c r="G6493" s="1104">
        <f>10%*SUM($H$6489:$H$6492)</f>
        <v>1148021.4766800001</v>
      </c>
      <c r="H6493" s="1106">
        <f>G6493</f>
        <v>1148021.4766800001</v>
      </c>
      <c r="I6493" s="1725">
        <f>H6489+H6490+H6491+H6492</f>
        <v>11480214.766799999</v>
      </c>
      <c r="J6493" s="1653"/>
      <c r="K6493" s="1653"/>
      <c r="M6493" s="1566"/>
    </row>
    <row r="6494" spans="2:13" hidden="1">
      <c r="B6494" s="1540"/>
      <c r="C6494" s="1125"/>
      <c r="D6494" s="1333"/>
      <c r="E6494" s="1333"/>
      <c r="F6494" s="2074" t="s">
        <v>702</v>
      </c>
      <c r="G6494" s="2074"/>
      <c r="H6494" s="1106">
        <f>SUM(H6489:H6493)</f>
        <v>12628236.243479999</v>
      </c>
      <c r="M6494" s="1566"/>
    </row>
    <row r="6495" spans="2:13" s="496" customFormat="1" hidden="1">
      <c r="B6495" s="1543" t="s">
        <v>703</v>
      </c>
      <c r="C6495" s="2075" t="s">
        <v>3764</v>
      </c>
      <c r="D6495" s="2075"/>
      <c r="E6495" s="2075"/>
      <c r="F6495" s="2075"/>
      <c r="G6495" s="2075"/>
      <c r="H6495" s="1107">
        <f>H6487+H6494</f>
        <v>14010786.243479999</v>
      </c>
      <c r="J6495" s="1559"/>
      <c r="K6495" s="1559"/>
      <c r="L6495" s="1559"/>
      <c r="M6495" s="1635"/>
    </row>
    <row r="6496" spans="2:13" s="496" customFormat="1" hidden="1">
      <c r="B6496" s="1543" t="s">
        <v>706</v>
      </c>
      <c r="C6496" s="2076" t="s">
        <v>876</v>
      </c>
      <c r="D6496" s="2076"/>
      <c r="E6496" s="2076"/>
      <c r="F6496" s="2077" t="s">
        <v>3873</v>
      </c>
      <c r="G6496" s="2077"/>
      <c r="H6496" s="1107">
        <f>H6495*0.15</f>
        <v>2101617.9365219995</v>
      </c>
      <c r="J6496" s="1559"/>
      <c r="K6496" s="1559"/>
      <c r="L6496" s="1559"/>
      <c r="M6496" s="1635"/>
    </row>
    <row r="6497" spans="2:13" s="496" customFormat="1" hidden="1">
      <c r="B6497" s="1543" t="s">
        <v>708</v>
      </c>
      <c r="C6497" s="2078" t="s">
        <v>3765</v>
      </c>
      <c r="D6497" s="2078"/>
      <c r="E6497" s="2078"/>
      <c r="F6497" s="2078"/>
      <c r="G6497" s="2078"/>
      <c r="H6497" s="1107">
        <f>ROUND(SUM(H6495:H6496),2)</f>
        <v>16112404.18</v>
      </c>
      <c r="I6497" s="506">
        <f>8846501.25+1326975.19</f>
        <v>10173476.439999999</v>
      </c>
      <c r="J6497" s="1561"/>
      <c r="K6497" s="1561"/>
      <c r="L6497" s="1559"/>
      <c r="M6497" s="1635"/>
    </row>
    <row r="6498" spans="2:13" hidden="1">
      <c r="F6498" s="1172"/>
      <c r="G6498" s="1173"/>
      <c r="H6498" s="1133"/>
      <c r="M6498" s="1566"/>
    </row>
    <row r="6499" spans="2:13" hidden="1">
      <c r="B6499" s="1150" t="s">
        <v>4214</v>
      </c>
      <c r="C6499" s="1232" t="s">
        <v>2729</v>
      </c>
      <c r="F6499" s="1172"/>
      <c r="G6499" s="1173"/>
      <c r="H6499" s="1133"/>
      <c r="M6499" s="1566"/>
    </row>
    <row r="6500" spans="2:13" s="507" customFormat="1" ht="24.9" hidden="1" customHeight="1">
      <c r="B6500" s="1748" t="s">
        <v>1003</v>
      </c>
      <c r="C6500" s="1101" t="s">
        <v>1004</v>
      </c>
      <c r="D6500" s="1101" t="s">
        <v>1005</v>
      </c>
      <c r="E6500" s="1101" t="s">
        <v>1006</v>
      </c>
      <c r="F6500" s="1102" t="s">
        <v>1007</v>
      </c>
      <c r="G6500" s="1109" t="s">
        <v>2637</v>
      </c>
      <c r="H6500" s="1110" t="s">
        <v>2638</v>
      </c>
      <c r="J6500" s="1625"/>
      <c r="K6500" s="1625"/>
      <c r="L6500" s="1625"/>
      <c r="M6500" s="1570"/>
    </row>
    <row r="6501" spans="2:13" hidden="1">
      <c r="B6501" s="1543" t="s">
        <v>671</v>
      </c>
      <c r="C6501" s="1332" t="s">
        <v>672</v>
      </c>
      <c r="D6501" s="1331"/>
      <c r="E6501" s="1331"/>
      <c r="F6501" s="1334"/>
      <c r="G6501" s="1104"/>
      <c r="H6501" s="1106"/>
      <c r="M6501" s="1566"/>
    </row>
    <row r="6502" spans="2:13" hidden="1">
      <c r="B6502" s="1543"/>
      <c r="C6502" s="1332" t="s">
        <v>673</v>
      </c>
      <c r="D6502" s="1331" t="s">
        <v>674</v>
      </c>
      <c r="E6502" s="1331" t="s">
        <v>675</v>
      </c>
      <c r="F6502" s="1334">
        <v>0.03</v>
      </c>
      <c r="G6502" s="1104">
        <f>DUB!$I$10</f>
        <v>150000</v>
      </c>
      <c r="H6502" s="1106">
        <f>G6502*F6502</f>
        <v>4500</v>
      </c>
      <c r="M6502" s="1566"/>
    </row>
    <row r="6503" spans="2:13" hidden="1">
      <c r="B6503" s="1543"/>
      <c r="C6503" s="1332" t="s">
        <v>731</v>
      </c>
      <c r="D6503" s="1331" t="s">
        <v>678</v>
      </c>
      <c r="E6503" s="1331" t="s">
        <v>675</v>
      </c>
      <c r="F6503" s="1334">
        <v>0.3</v>
      </c>
      <c r="G6503" s="1104">
        <f>DUB!$I$11</f>
        <v>187000</v>
      </c>
      <c r="H6503" s="1106">
        <f>G6503*F6503</f>
        <v>56100</v>
      </c>
      <c r="M6503" s="1566"/>
    </row>
    <row r="6504" spans="2:13" hidden="1">
      <c r="B6504" s="1543"/>
      <c r="C6504" s="1332" t="s">
        <v>751</v>
      </c>
      <c r="D6504" s="1331" t="s">
        <v>681</v>
      </c>
      <c r="E6504" s="1331" t="s">
        <v>675</v>
      </c>
      <c r="F6504" s="1334">
        <v>0.03</v>
      </c>
      <c r="G6504" s="1104">
        <f>DUB!$I$13</f>
        <v>240000</v>
      </c>
      <c r="H6504" s="1106">
        <f>G6504*F6504</f>
        <v>7200</v>
      </c>
      <c r="M6504" s="1566"/>
    </row>
    <row r="6505" spans="2:13" hidden="1">
      <c r="B6505" s="1543"/>
      <c r="C6505" s="1332" t="s">
        <v>683</v>
      </c>
      <c r="D6505" s="1331" t="s">
        <v>684</v>
      </c>
      <c r="E6505" s="1331" t="s">
        <v>675</v>
      </c>
      <c r="F6505" s="1334">
        <v>1.4999999999999999E-2</v>
      </c>
      <c r="G6505" s="1104">
        <f>DUB!$I$12</f>
        <v>225000</v>
      </c>
      <c r="H6505" s="1106">
        <f>G6505*F6505</f>
        <v>3375</v>
      </c>
      <c r="M6505" s="1566"/>
    </row>
    <row r="6506" spans="2:13" hidden="1">
      <c r="B6506" s="1543"/>
      <c r="C6506" s="1332"/>
      <c r="D6506" s="1331"/>
      <c r="E6506" s="1331"/>
      <c r="F6506" s="2074" t="s">
        <v>685</v>
      </c>
      <c r="G6506" s="2074"/>
      <c r="H6506" s="1106">
        <f>SUM(H6502:H6505)</f>
        <v>71175</v>
      </c>
      <c r="M6506" s="1566"/>
    </row>
    <row r="6507" spans="2:13" hidden="1">
      <c r="B6507" s="1543" t="s">
        <v>686</v>
      </c>
      <c r="C6507" s="1332" t="s">
        <v>687</v>
      </c>
      <c r="D6507" s="1331"/>
      <c r="E6507" s="1331"/>
      <c r="F6507" s="1334"/>
      <c r="G6507" s="1104"/>
      <c r="H6507" s="1106"/>
      <c r="M6507" s="1566"/>
    </row>
    <row r="6508" spans="2:13" hidden="1">
      <c r="B6508" s="1540"/>
      <c r="C6508" s="1332" t="s">
        <v>1433</v>
      </c>
      <c r="D6508" s="1331"/>
      <c r="E6508" s="1331" t="s">
        <v>1405</v>
      </c>
      <c r="F6508" s="1334">
        <v>1</v>
      </c>
      <c r="G6508" s="1104">
        <f>DUB!I336</f>
        <v>846090</v>
      </c>
      <c r="H6508" s="1106">
        <f>G6508*F6508</f>
        <v>846090</v>
      </c>
      <c r="M6508" s="1566"/>
    </row>
    <row r="6509" spans="2:13" hidden="1">
      <c r="B6509" s="1540"/>
      <c r="C6509" s="1544" t="s">
        <v>1434</v>
      </c>
      <c r="D6509" s="1331"/>
      <c r="E6509" s="1331" t="s">
        <v>743</v>
      </c>
      <c r="F6509" s="1334">
        <v>1</v>
      </c>
      <c r="G6509" s="1104">
        <f>DUB!I339</f>
        <v>32130</v>
      </c>
      <c r="H6509" s="1106">
        <f>G6509*F6509</f>
        <v>32130</v>
      </c>
      <c r="M6509" s="1566"/>
    </row>
    <row r="6510" spans="2:13" hidden="1">
      <c r="B6510" s="1540"/>
      <c r="C6510" s="1332"/>
      <c r="D6510" s="1331"/>
      <c r="E6510" s="1331"/>
      <c r="F6510" s="2090" t="s">
        <v>702</v>
      </c>
      <c r="G6510" s="2090"/>
      <c r="H6510" s="1106">
        <f>SUM(H6508:H6509)</f>
        <v>878220</v>
      </c>
      <c r="M6510" s="1566"/>
    </row>
    <row r="6511" spans="2:13" s="496" customFormat="1" hidden="1">
      <c r="B6511" s="1543" t="s">
        <v>703</v>
      </c>
      <c r="C6511" s="2089" t="s">
        <v>3764</v>
      </c>
      <c r="D6511" s="2089"/>
      <c r="E6511" s="2089"/>
      <c r="F6511" s="2089"/>
      <c r="G6511" s="2089"/>
      <c r="H6511" s="1107">
        <f>H6506+H6510</f>
        <v>949395</v>
      </c>
      <c r="J6511" s="1559"/>
      <c r="K6511" s="1559"/>
      <c r="L6511" s="1559"/>
      <c r="M6511" s="1635"/>
    </row>
    <row r="6512" spans="2:13" s="496" customFormat="1" hidden="1">
      <c r="B6512" s="1543" t="s">
        <v>706</v>
      </c>
      <c r="C6512" s="2076" t="s">
        <v>876</v>
      </c>
      <c r="D6512" s="2076"/>
      <c r="E6512" s="2076"/>
      <c r="F6512" s="2077" t="s">
        <v>3873</v>
      </c>
      <c r="G6512" s="2077"/>
      <c r="H6512" s="1107">
        <f>H6511*0.15</f>
        <v>142409.25</v>
      </c>
      <c r="J6512" s="1559"/>
      <c r="K6512" s="1559"/>
      <c r="L6512" s="1559"/>
      <c r="M6512" s="1635"/>
    </row>
    <row r="6513" spans="2:13" s="496" customFormat="1" hidden="1">
      <c r="B6513" s="1543" t="s">
        <v>708</v>
      </c>
      <c r="C6513" s="2078" t="s">
        <v>3765</v>
      </c>
      <c r="D6513" s="2078"/>
      <c r="E6513" s="2078"/>
      <c r="F6513" s="2078"/>
      <c r="G6513" s="2078"/>
      <c r="H6513" s="1107">
        <f>ROUND(SUM(H6511:H6512),2)</f>
        <v>1091804.25</v>
      </c>
      <c r="I6513" s="506">
        <f>SUM(H6511:H6512)</f>
        <v>1091804.25</v>
      </c>
      <c r="J6513" s="1561"/>
      <c r="K6513" s="1561"/>
      <c r="L6513" s="1559"/>
      <c r="M6513" s="1635"/>
    </row>
    <row r="6514" spans="2:13" hidden="1">
      <c r="B6514" s="1143"/>
      <c r="C6514" s="1144"/>
      <c r="D6514" s="1143"/>
      <c r="E6514" s="1143"/>
      <c r="F6514" s="1145"/>
      <c r="G6514" s="1146"/>
      <c r="H6514" s="1147"/>
      <c r="M6514" s="1566"/>
    </row>
    <row r="6515" spans="2:13" hidden="1">
      <c r="B6515" s="1100" t="s">
        <v>4215</v>
      </c>
      <c r="C6515" s="1112" t="s">
        <v>2728</v>
      </c>
      <c r="D6515" s="1129"/>
      <c r="E6515" s="1129"/>
      <c r="F6515" s="1131"/>
      <c r="G6515" s="1132"/>
      <c r="H6515" s="1115"/>
      <c r="M6515" s="1566"/>
    </row>
    <row r="6516" spans="2:13" s="507" customFormat="1" ht="24.9" hidden="1" customHeight="1">
      <c r="B6516" s="1748" t="s">
        <v>1003</v>
      </c>
      <c r="C6516" s="1101" t="s">
        <v>1004</v>
      </c>
      <c r="D6516" s="1101" t="s">
        <v>1005</v>
      </c>
      <c r="E6516" s="1101" t="s">
        <v>1006</v>
      </c>
      <c r="F6516" s="1102" t="s">
        <v>1007</v>
      </c>
      <c r="G6516" s="1109" t="s">
        <v>2637</v>
      </c>
      <c r="H6516" s="1110" t="s">
        <v>2638</v>
      </c>
      <c r="J6516" s="1625"/>
      <c r="K6516" s="1625"/>
      <c r="L6516" s="1625"/>
      <c r="M6516" s="1570"/>
    </row>
    <row r="6517" spans="2:13" hidden="1">
      <c r="B6517" s="1543" t="s">
        <v>671</v>
      </c>
      <c r="C6517" s="1332" t="s">
        <v>672</v>
      </c>
      <c r="D6517" s="1331"/>
      <c r="E6517" s="1331"/>
      <c r="F6517" s="1334"/>
      <c r="G6517" s="1104"/>
      <c r="H6517" s="1106"/>
      <c r="M6517" s="1566"/>
    </row>
    <row r="6518" spans="2:13" hidden="1">
      <c r="B6518" s="1543"/>
      <c r="C6518" s="1332" t="s">
        <v>673</v>
      </c>
      <c r="D6518" s="1331" t="s">
        <v>674</v>
      </c>
      <c r="E6518" s="1331" t="s">
        <v>675</v>
      </c>
      <c r="F6518" s="1334">
        <v>0.05</v>
      </c>
      <c r="G6518" s="1104">
        <f>DUB!$I$10</f>
        <v>150000</v>
      </c>
      <c r="H6518" s="1106">
        <f>G6518*F6518</f>
        <v>7500</v>
      </c>
      <c r="M6518" s="1566"/>
    </row>
    <row r="6519" spans="2:13" hidden="1">
      <c r="B6519" s="1543"/>
      <c r="C6519" s="1332" t="s">
        <v>731</v>
      </c>
      <c r="D6519" s="1331" t="s">
        <v>678</v>
      </c>
      <c r="E6519" s="1331" t="s">
        <v>675</v>
      </c>
      <c r="F6519" s="1334">
        <v>0.5</v>
      </c>
      <c r="G6519" s="1104">
        <f>DUB!$I$11</f>
        <v>187000</v>
      </c>
      <c r="H6519" s="1106">
        <f>G6519*F6519</f>
        <v>93500</v>
      </c>
      <c r="M6519" s="1566"/>
    </row>
    <row r="6520" spans="2:13" hidden="1">
      <c r="B6520" s="1543"/>
      <c r="C6520" s="1332" t="s">
        <v>751</v>
      </c>
      <c r="D6520" s="1331" t="s">
        <v>681</v>
      </c>
      <c r="E6520" s="1331" t="s">
        <v>675</v>
      </c>
      <c r="F6520" s="1334">
        <v>0.05</v>
      </c>
      <c r="G6520" s="1104">
        <f>DUB!$I$13</f>
        <v>240000</v>
      </c>
      <c r="H6520" s="1106">
        <f>G6520*F6520</f>
        <v>12000</v>
      </c>
      <c r="M6520" s="1566"/>
    </row>
    <row r="6521" spans="2:13" hidden="1">
      <c r="B6521" s="1543"/>
      <c r="C6521" s="1332" t="s">
        <v>683</v>
      </c>
      <c r="D6521" s="1331" t="s">
        <v>684</v>
      </c>
      <c r="E6521" s="1331" t="s">
        <v>675</v>
      </c>
      <c r="F6521" s="1334">
        <v>2.5000000000000001E-2</v>
      </c>
      <c r="G6521" s="1104">
        <f>DUB!$I$12</f>
        <v>225000</v>
      </c>
      <c r="H6521" s="1106">
        <f>G6521*F6521</f>
        <v>5625</v>
      </c>
      <c r="M6521" s="1566"/>
    </row>
    <row r="6522" spans="2:13" hidden="1">
      <c r="B6522" s="1543"/>
      <c r="C6522" s="1332"/>
      <c r="D6522" s="1331"/>
      <c r="E6522" s="1331"/>
      <c r="F6522" s="2074" t="s">
        <v>685</v>
      </c>
      <c r="G6522" s="2074"/>
      <c r="H6522" s="1106">
        <f>SUM(H6518:H6521)</f>
        <v>118625</v>
      </c>
      <c r="M6522" s="1566"/>
    </row>
    <row r="6523" spans="2:13" hidden="1">
      <c r="B6523" s="1543" t="s">
        <v>686</v>
      </c>
      <c r="C6523" s="1332" t="s">
        <v>687</v>
      </c>
      <c r="D6523" s="1331"/>
      <c r="E6523" s="1331"/>
      <c r="F6523" s="1334"/>
      <c r="G6523" s="1104"/>
      <c r="H6523" s="1106"/>
      <c r="M6523" s="1566"/>
    </row>
    <row r="6524" spans="2:13" hidden="1">
      <c r="B6524" s="1543"/>
      <c r="C6524" s="1332" t="s">
        <v>1433</v>
      </c>
      <c r="D6524" s="1331"/>
      <c r="E6524" s="1331" t="s">
        <v>1405</v>
      </c>
      <c r="F6524" s="1334">
        <v>1</v>
      </c>
      <c r="G6524" s="1104">
        <f>DUB!I336</f>
        <v>846090</v>
      </c>
      <c r="H6524" s="1106">
        <f>G6524*F6524</f>
        <v>846090</v>
      </c>
      <c r="M6524" s="1566"/>
    </row>
    <row r="6525" spans="2:13" hidden="1">
      <c r="B6525" s="1543"/>
      <c r="C6525" s="1544" t="s">
        <v>1434</v>
      </c>
      <c r="D6525" s="1331"/>
      <c r="E6525" s="1331" t="s">
        <v>743</v>
      </c>
      <c r="F6525" s="1334">
        <v>1</v>
      </c>
      <c r="G6525" s="1104">
        <f>DUB!I339</f>
        <v>32130</v>
      </c>
      <c r="H6525" s="1106">
        <f>G6525*F6525</f>
        <v>32130</v>
      </c>
      <c r="M6525" s="1566"/>
    </row>
    <row r="6526" spans="2:13" hidden="1">
      <c r="B6526" s="1543"/>
      <c r="C6526" s="1332" t="s">
        <v>689</v>
      </c>
      <c r="D6526" s="1331"/>
      <c r="E6526" s="1331" t="s">
        <v>690</v>
      </c>
      <c r="F6526" s="1334">
        <v>20</v>
      </c>
      <c r="G6526" s="1104">
        <f>DUB!$I$65</f>
        <v>1575</v>
      </c>
      <c r="H6526" s="1106">
        <f>G6526*F6526</f>
        <v>31500</v>
      </c>
      <c r="M6526" s="1566"/>
    </row>
    <row r="6527" spans="2:13" hidden="1">
      <c r="B6527" s="1543"/>
      <c r="C6527" s="1332" t="s">
        <v>739</v>
      </c>
      <c r="D6527" s="1331"/>
      <c r="E6527" s="1331" t="s">
        <v>881</v>
      </c>
      <c r="F6527" s="1334">
        <v>0.05</v>
      </c>
      <c r="G6527" s="1104">
        <f>DUB!$I$59</f>
        <v>208463</v>
      </c>
      <c r="H6527" s="1106">
        <f>G6527*F6527</f>
        <v>10423.150000000001</v>
      </c>
      <c r="M6527" s="1566"/>
    </row>
    <row r="6528" spans="2:13" hidden="1">
      <c r="B6528" s="1540"/>
      <c r="C6528" s="1125"/>
      <c r="D6528" s="1333"/>
      <c r="E6528" s="1333"/>
      <c r="F6528" s="2074" t="s">
        <v>702</v>
      </c>
      <c r="G6528" s="2074"/>
      <c r="H6528" s="1106">
        <f>SUM(H6524:H6527)</f>
        <v>920143.15</v>
      </c>
      <c r="M6528" s="1566"/>
    </row>
    <row r="6529" spans="2:13" s="496" customFormat="1" hidden="1">
      <c r="B6529" s="1543" t="s">
        <v>703</v>
      </c>
      <c r="C6529" s="2075" t="s">
        <v>3764</v>
      </c>
      <c r="D6529" s="2075"/>
      <c r="E6529" s="2075"/>
      <c r="F6529" s="2075"/>
      <c r="G6529" s="2075"/>
      <c r="H6529" s="1107">
        <f>H6522+H6528</f>
        <v>1038768.15</v>
      </c>
      <c r="J6529" s="1559"/>
      <c r="K6529" s="1559"/>
      <c r="L6529" s="1559"/>
      <c r="M6529" s="1635"/>
    </row>
    <row r="6530" spans="2:13" s="496" customFormat="1" hidden="1">
      <c r="B6530" s="1543" t="s">
        <v>706</v>
      </c>
      <c r="C6530" s="2076" t="s">
        <v>876</v>
      </c>
      <c r="D6530" s="2076"/>
      <c r="E6530" s="2076"/>
      <c r="F6530" s="2077" t="s">
        <v>3873</v>
      </c>
      <c r="G6530" s="2077"/>
      <c r="H6530" s="1107">
        <f>H6529*0.15</f>
        <v>155815.2225</v>
      </c>
      <c r="J6530" s="1559"/>
      <c r="K6530" s="1559"/>
      <c r="L6530" s="1559"/>
      <c r="M6530" s="1635"/>
    </row>
    <row r="6531" spans="2:13" s="496" customFormat="1" hidden="1">
      <c r="B6531" s="1543" t="s">
        <v>708</v>
      </c>
      <c r="C6531" s="2078" t="s">
        <v>3765</v>
      </c>
      <c r="D6531" s="2078"/>
      <c r="E6531" s="2078"/>
      <c r="F6531" s="2078"/>
      <c r="G6531" s="2078"/>
      <c r="H6531" s="1107">
        <f>ROUND(SUM(H6529:H6530),2)</f>
        <v>1194583.3700000001</v>
      </c>
      <c r="I6531" s="506">
        <f>SUM(H6529:H6530)</f>
        <v>1194583.3725000001</v>
      </c>
      <c r="J6531" s="1561"/>
      <c r="K6531" s="1561"/>
      <c r="L6531" s="1559"/>
      <c r="M6531" s="1635"/>
    </row>
    <row r="6532" spans="2:13" hidden="1">
      <c r="F6532" s="1172"/>
      <c r="G6532" s="1173"/>
      <c r="H6532" s="1133"/>
      <c r="M6532" s="1566"/>
    </row>
    <row r="6533" spans="2:13">
      <c r="B6533" s="1100" t="s">
        <v>4216</v>
      </c>
      <c r="C6533" s="1232" t="s">
        <v>2727</v>
      </c>
      <c r="F6533" s="1172"/>
      <c r="G6533" s="1173"/>
      <c r="H6533" s="1133"/>
      <c r="M6533" s="1566"/>
    </row>
    <row r="6534" spans="2:13" s="507" customFormat="1" ht="24.9" customHeight="1">
      <c r="B6534" s="1101" t="s">
        <v>1003</v>
      </c>
      <c r="C6534" s="1101" t="s">
        <v>1004</v>
      </c>
      <c r="D6534" s="1101" t="s">
        <v>1005</v>
      </c>
      <c r="E6534" s="1101" t="s">
        <v>1006</v>
      </c>
      <c r="F6534" s="1102" t="s">
        <v>1007</v>
      </c>
      <c r="G6534" s="1109" t="s">
        <v>2637</v>
      </c>
      <c r="H6534" s="1110" t="s">
        <v>2638</v>
      </c>
      <c r="I6534" s="1834"/>
      <c r="J6534" s="1823" t="s">
        <v>5335</v>
      </c>
      <c r="K6534" s="1824" t="s">
        <v>5336</v>
      </c>
      <c r="L6534" s="1824" t="s">
        <v>5337</v>
      </c>
      <c r="M6534" s="1825" t="s">
        <v>5338</v>
      </c>
    </row>
    <row r="6535" spans="2:13">
      <c r="B6535" s="1330" t="s">
        <v>671</v>
      </c>
      <c r="C6535" s="1332" t="s">
        <v>672</v>
      </c>
      <c r="D6535" s="1331"/>
      <c r="E6535" s="1331"/>
      <c r="F6535" s="1334"/>
      <c r="G6535" s="1104"/>
      <c r="H6535" s="1106"/>
      <c r="J6535" s="1597"/>
      <c r="K6535" s="1597"/>
      <c r="L6535" s="1597"/>
      <c r="M6535" s="1826"/>
    </row>
    <row r="6536" spans="2:13">
      <c r="B6536" s="1330"/>
      <c r="C6536" s="1332" t="s">
        <v>673</v>
      </c>
      <c r="D6536" s="1331" t="s">
        <v>674</v>
      </c>
      <c r="E6536" s="1331" t="s">
        <v>675</v>
      </c>
      <c r="F6536" s="1334">
        <v>0.01</v>
      </c>
      <c r="G6536" s="1104">
        <f>DUB!$I$10</f>
        <v>150000</v>
      </c>
      <c r="H6536" s="1106">
        <f>G6536*F6536</f>
        <v>1500</v>
      </c>
      <c r="J6536" s="1609" t="s">
        <v>5339</v>
      </c>
      <c r="K6536" s="1611">
        <v>1</v>
      </c>
      <c r="L6536" s="1608" t="s">
        <v>5340</v>
      </c>
      <c r="M6536" s="1827">
        <f>H6536*K6536</f>
        <v>1500</v>
      </c>
    </row>
    <row r="6537" spans="2:13">
      <c r="B6537" s="1330"/>
      <c r="C6537" s="1332" t="s">
        <v>731</v>
      </c>
      <c r="D6537" s="1331" t="s">
        <v>678</v>
      </c>
      <c r="E6537" s="1331" t="s">
        <v>675</v>
      </c>
      <c r="F6537" s="1334">
        <v>0.1</v>
      </c>
      <c r="G6537" s="1104">
        <f>DUB!$I$11</f>
        <v>187000</v>
      </c>
      <c r="H6537" s="1106">
        <f>G6537*F6537</f>
        <v>18700</v>
      </c>
      <c r="J6537" s="1609" t="s">
        <v>5339</v>
      </c>
      <c r="K6537" s="1611">
        <v>1</v>
      </c>
      <c r="L6537" s="1608" t="s">
        <v>5340</v>
      </c>
      <c r="M6537" s="1827">
        <f t="shared" ref="M6537" si="172">H6537*K6537</f>
        <v>18700</v>
      </c>
    </row>
    <row r="6538" spans="2:13">
      <c r="B6538" s="1330"/>
      <c r="C6538" s="1332" t="s">
        <v>751</v>
      </c>
      <c r="D6538" s="1331" t="s">
        <v>681</v>
      </c>
      <c r="E6538" s="1331" t="s">
        <v>675</v>
      </c>
      <c r="F6538" s="1334">
        <v>0.01</v>
      </c>
      <c r="G6538" s="1104">
        <f>DUB!$I$13</f>
        <v>240000</v>
      </c>
      <c r="H6538" s="1106">
        <f>G6538*F6538</f>
        <v>2400</v>
      </c>
      <c r="J6538" s="1609" t="s">
        <v>5339</v>
      </c>
      <c r="K6538" s="1611">
        <v>1</v>
      </c>
      <c r="L6538" s="1608" t="s">
        <v>5340</v>
      </c>
      <c r="M6538" s="1827">
        <f>H6538*K6538</f>
        <v>2400</v>
      </c>
    </row>
    <row r="6539" spans="2:13">
      <c r="B6539" s="1330"/>
      <c r="C6539" s="1332" t="s">
        <v>683</v>
      </c>
      <c r="D6539" s="1331" t="s">
        <v>684</v>
      </c>
      <c r="E6539" s="1331" t="s">
        <v>675</v>
      </c>
      <c r="F6539" s="1334">
        <v>5.0000000000000001E-3</v>
      </c>
      <c r="G6539" s="1104">
        <f>DUB!$I$12</f>
        <v>225000</v>
      </c>
      <c r="H6539" s="1106">
        <f>G6539*F6539</f>
        <v>1125</v>
      </c>
      <c r="J6539" s="1609" t="s">
        <v>5339</v>
      </c>
      <c r="K6539" s="1611">
        <v>1</v>
      </c>
      <c r="L6539" s="1608" t="s">
        <v>5340</v>
      </c>
      <c r="M6539" s="1827">
        <f t="shared" ref="M6539" si="173">H6539*K6539</f>
        <v>1125</v>
      </c>
    </row>
    <row r="6540" spans="2:13">
      <c r="B6540" s="1330"/>
      <c r="C6540" s="1332"/>
      <c r="D6540" s="1331"/>
      <c r="E6540" s="1331"/>
      <c r="F6540" s="2074" t="s">
        <v>685</v>
      </c>
      <c r="G6540" s="2074"/>
      <c r="H6540" s="1106">
        <f>SUM(H6536:H6539)</f>
        <v>23725</v>
      </c>
      <c r="J6540" s="1597"/>
      <c r="K6540" s="1597"/>
      <c r="L6540" s="1597"/>
      <c r="M6540" s="1107">
        <f>SUM(M6536:M6539)</f>
        <v>23725</v>
      </c>
    </row>
    <row r="6541" spans="2:13">
      <c r="B6541" s="1330" t="s">
        <v>686</v>
      </c>
      <c r="C6541" s="1332" t="s">
        <v>687</v>
      </c>
      <c r="D6541" s="1331"/>
      <c r="E6541" s="1331"/>
      <c r="F6541" s="1334"/>
      <c r="G6541" s="1104"/>
      <c r="H6541" s="1106"/>
      <c r="J6541" s="1634"/>
      <c r="K6541" s="1611"/>
      <c r="L6541" s="1607"/>
      <c r="M6541" s="1827"/>
    </row>
    <row r="6542" spans="2:13">
      <c r="B6542" s="1331"/>
      <c r="C6542" s="1544" t="s">
        <v>1435</v>
      </c>
      <c r="D6542" s="1331"/>
      <c r="E6542" s="1331" t="s">
        <v>1405</v>
      </c>
      <c r="F6542" s="1334">
        <v>1</v>
      </c>
      <c r="G6542" s="1104">
        <f>DUB!I338</f>
        <v>30951</v>
      </c>
      <c r="H6542" s="1106">
        <f>G6542*F6542</f>
        <v>30951</v>
      </c>
      <c r="J6542" s="1642" t="s">
        <v>4925</v>
      </c>
      <c r="K6542" s="1611">
        <v>0.91579999999999995</v>
      </c>
      <c r="L6542" s="1607" t="s">
        <v>5343</v>
      </c>
      <c r="M6542" s="1827">
        <f t="shared" ref="M6542" si="174">H6542*K6542</f>
        <v>28344.925799999997</v>
      </c>
    </row>
    <row r="6543" spans="2:13">
      <c r="B6543" s="1331"/>
      <c r="C6543" s="1125"/>
      <c r="D6543" s="1333"/>
      <c r="E6543" s="1333"/>
      <c r="F6543" s="2074" t="s">
        <v>702</v>
      </c>
      <c r="G6543" s="2074"/>
      <c r="H6543" s="1106">
        <f>SUM(H6542)</f>
        <v>30951</v>
      </c>
      <c r="J6543" s="1642"/>
      <c r="K6543" s="1611"/>
      <c r="L6543" s="1607"/>
      <c r="M6543" s="1106">
        <f>SUM(M6542)</f>
        <v>28344.925799999997</v>
      </c>
    </row>
    <row r="6544" spans="2:13" s="496" customFormat="1">
      <c r="B6544" s="1330" t="s">
        <v>703</v>
      </c>
      <c r="C6544" s="2075" t="s">
        <v>3764</v>
      </c>
      <c r="D6544" s="2075"/>
      <c r="E6544" s="2075"/>
      <c r="F6544" s="2075"/>
      <c r="G6544" s="2075"/>
      <c r="H6544" s="1107">
        <f>H6540+H6543</f>
        <v>54676</v>
      </c>
      <c r="J6544" s="1597"/>
      <c r="K6544" s="1633">
        <f>M6544/H6544</f>
        <v>0.95233604872338862</v>
      </c>
      <c r="L6544" s="1597"/>
      <c r="M6544" s="1107">
        <f>M6540+M6543</f>
        <v>52069.925799999997</v>
      </c>
    </row>
    <row r="6545" spans="2:13" s="496" customFormat="1">
      <c r="B6545" s="1330" t="s">
        <v>706</v>
      </c>
      <c r="C6545" s="2076" t="s">
        <v>876</v>
      </c>
      <c r="D6545" s="2076"/>
      <c r="E6545" s="2076"/>
      <c r="F6545" s="2077" t="s">
        <v>3873</v>
      </c>
      <c r="G6545" s="2077"/>
      <c r="H6545" s="1107">
        <f>H6544*0.15</f>
        <v>8201.4</v>
      </c>
      <c r="J6545" s="1600"/>
      <c r="K6545" s="1633"/>
      <c r="L6545" s="1600"/>
      <c r="M6545" s="1107">
        <f>M6544*0.15</f>
        <v>7810.4888699999992</v>
      </c>
    </row>
    <row r="6546" spans="2:13" s="496" customFormat="1">
      <c r="B6546" s="1330" t="s">
        <v>708</v>
      </c>
      <c r="C6546" s="2078" t="s">
        <v>3765</v>
      </c>
      <c r="D6546" s="2078"/>
      <c r="E6546" s="2078"/>
      <c r="F6546" s="2078"/>
      <c r="G6546" s="2078"/>
      <c r="H6546" s="1107">
        <f>ROUND(SUM(H6544:H6545),2)</f>
        <v>62877.4</v>
      </c>
      <c r="I6546" s="506">
        <f>SUM(H6544:H6545)</f>
        <v>62877.4</v>
      </c>
      <c r="J6546" s="1637"/>
      <c r="K6546" s="1637"/>
      <c r="L6546" s="1637"/>
      <c r="M6546" s="1919">
        <f>ROUND(SUM(M6544:M6545),2)</f>
        <v>59880.41</v>
      </c>
    </row>
    <row r="6547" spans="2:13">
      <c r="B6547" s="1129"/>
      <c r="C6547" s="1130"/>
      <c r="D6547" s="1129"/>
      <c r="E6547" s="1129"/>
      <c r="F6547" s="1131"/>
      <c r="G6547" s="1132"/>
      <c r="H6547" s="1115"/>
      <c r="J6547" s="1561"/>
      <c r="K6547" s="1561"/>
      <c r="L6547" s="1559"/>
      <c r="M6547" s="1176"/>
    </row>
    <row r="6548" spans="2:13">
      <c r="B6548" s="1100" t="s">
        <v>4217</v>
      </c>
      <c r="C6548" s="1112" t="s">
        <v>4481</v>
      </c>
      <c r="D6548" s="1129"/>
      <c r="E6548" s="1129"/>
      <c r="F6548" s="1131"/>
      <c r="G6548" s="1132"/>
      <c r="H6548" s="1115"/>
      <c r="M6548" s="1566"/>
    </row>
    <row r="6549" spans="2:13" s="507" customFormat="1" ht="24.9" customHeight="1">
      <c r="B6549" s="1101" t="s">
        <v>1003</v>
      </c>
      <c r="C6549" s="1101" t="s">
        <v>1004</v>
      </c>
      <c r="D6549" s="1101" t="s">
        <v>1005</v>
      </c>
      <c r="E6549" s="1101" t="s">
        <v>1006</v>
      </c>
      <c r="F6549" s="1102" t="s">
        <v>1007</v>
      </c>
      <c r="G6549" s="1109" t="s">
        <v>2637</v>
      </c>
      <c r="H6549" s="1110" t="s">
        <v>2638</v>
      </c>
      <c r="I6549" s="1834"/>
      <c r="J6549" s="1823" t="s">
        <v>5335</v>
      </c>
      <c r="K6549" s="1824" t="s">
        <v>5336</v>
      </c>
      <c r="L6549" s="1824" t="s">
        <v>5337</v>
      </c>
      <c r="M6549" s="1825" t="s">
        <v>5338</v>
      </c>
    </row>
    <row r="6550" spans="2:13">
      <c r="B6550" s="1330" t="s">
        <v>671</v>
      </c>
      <c r="C6550" s="1332" t="s">
        <v>1332</v>
      </c>
      <c r="D6550" s="1331"/>
      <c r="E6550" s="1331"/>
      <c r="F6550" s="1334"/>
      <c r="G6550" s="1104"/>
      <c r="H6550" s="1106"/>
      <c r="J6550" s="1597"/>
      <c r="K6550" s="1597"/>
      <c r="L6550" s="1597"/>
      <c r="M6550" s="1826"/>
    </row>
    <row r="6551" spans="2:13">
      <c r="B6551" s="1330"/>
      <c r="C6551" s="1332" t="s">
        <v>673</v>
      </c>
      <c r="D6551" s="1331" t="s">
        <v>674</v>
      </c>
      <c r="E6551" s="1331" t="s">
        <v>675</v>
      </c>
      <c r="F6551" s="1334">
        <v>0.01</v>
      </c>
      <c r="G6551" s="1104">
        <f>DUB!$I$10</f>
        <v>150000</v>
      </c>
      <c r="H6551" s="1106">
        <f>G6551*F6551</f>
        <v>1500</v>
      </c>
      <c r="J6551" s="1609" t="s">
        <v>5339</v>
      </c>
      <c r="K6551" s="1611">
        <v>1</v>
      </c>
      <c r="L6551" s="1608" t="s">
        <v>5340</v>
      </c>
      <c r="M6551" s="1827">
        <f>H6551*K6551</f>
        <v>1500</v>
      </c>
    </row>
    <row r="6552" spans="2:13">
      <c r="B6552" s="1330"/>
      <c r="C6552" s="1332" t="s">
        <v>731</v>
      </c>
      <c r="D6552" s="1331" t="s">
        <v>678</v>
      </c>
      <c r="E6552" s="1331" t="s">
        <v>675</v>
      </c>
      <c r="F6552" s="1334">
        <v>0.4</v>
      </c>
      <c r="G6552" s="1104">
        <f>DUB!$I$11</f>
        <v>187000</v>
      </c>
      <c r="H6552" s="1106">
        <f>G6552*F6552</f>
        <v>74800</v>
      </c>
      <c r="J6552" s="1609" t="s">
        <v>5339</v>
      </c>
      <c r="K6552" s="1611">
        <v>1</v>
      </c>
      <c r="L6552" s="1608" t="s">
        <v>5340</v>
      </c>
      <c r="M6552" s="1827">
        <f t="shared" ref="M6552" si="175">H6552*K6552</f>
        <v>74800</v>
      </c>
    </row>
    <row r="6553" spans="2:13">
      <c r="B6553" s="1330"/>
      <c r="C6553" s="1332" t="s">
        <v>751</v>
      </c>
      <c r="D6553" s="1331" t="s">
        <v>681</v>
      </c>
      <c r="E6553" s="1331" t="s">
        <v>675</v>
      </c>
      <c r="F6553" s="1334">
        <v>0.04</v>
      </c>
      <c r="G6553" s="1104">
        <f>DUB!$I$13</f>
        <v>240000</v>
      </c>
      <c r="H6553" s="1106">
        <f>G6553*F6553</f>
        <v>9600</v>
      </c>
      <c r="J6553" s="1609" t="s">
        <v>5339</v>
      </c>
      <c r="K6553" s="1611">
        <v>1</v>
      </c>
      <c r="L6553" s="1608" t="s">
        <v>5340</v>
      </c>
      <c r="M6553" s="1827">
        <f>H6553*K6553</f>
        <v>9600</v>
      </c>
    </row>
    <row r="6554" spans="2:13">
      <c r="B6554" s="1330"/>
      <c r="C6554" s="1332" t="s">
        <v>683</v>
      </c>
      <c r="D6554" s="1331" t="s">
        <v>684</v>
      </c>
      <c r="E6554" s="1331" t="s">
        <v>675</v>
      </c>
      <c r="F6554" s="1334">
        <v>5.0000000000000001E-3</v>
      </c>
      <c r="G6554" s="1104">
        <f>DUB!$I$12</f>
        <v>225000</v>
      </c>
      <c r="H6554" s="1106">
        <f>G6554*F6554</f>
        <v>1125</v>
      </c>
      <c r="J6554" s="1609" t="s">
        <v>5339</v>
      </c>
      <c r="K6554" s="1611">
        <v>1</v>
      </c>
      <c r="L6554" s="1608" t="s">
        <v>5340</v>
      </c>
      <c r="M6554" s="1827">
        <f t="shared" ref="M6554" si="176">H6554*K6554</f>
        <v>1125</v>
      </c>
    </row>
    <row r="6555" spans="2:13">
      <c r="B6555" s="1330"/>
      <c r="C6555" s="1332"/>
      <c r="D6555" s="1331"/>
      <c r="E6555" s="1331"/>
      <c r="F6555" s="2074" t="s">
        <v>685</v>
      </c>
      <c r="G6555" s="2074"/>
      <c r="H6555" s="1106">
        <f>SUM(H6551:H6554)</f>
        <v>87025</v>
      </c>
      <c r="J6555" s="1597"/>
      <c r="K6555" s="1597"/>
      <c r="L6555" s="1597"/>
      <c r="M6555" s="1107">
        <f>SUM(M6551:M6554)</f>
        <v>87025</v>
      </c>
    </row>
    <row r="6556" spans="2:13">
      <c r="B6556" s="1330" t="s">
        <v>686</v>
      </c>
      <c r="C6556" s="1332" t="s">
        <v>687</v>
      </c>
      <c r="D6556" s="1331"/>
      <c r="E6556" s="1331"/>
      <c r="F6556" s="1334"/>
      <c r="G6556" s="1104"/>
      <c r="H6556" s="1106"/>
      <c r="J6556" s="1597"/>
      <c r="K6556" s="1597"/>
      <c r="L6556" s="1597"/>
      <c r="M6556" s="1826"/>
    </row>
    <row r="6557" spans="2:13">
      <c r="B6557" s="1330"/>
      <c r="C6557" s="1332" t="s">
        <v>1455</v>
      </c>
      <c r="D6557" s="1331"/>
      <c r="E6557" s="1331" t="s">
        <v>866</v>
      </c>
      <c r="F6557" s="1334">
        <v>1</v>
      </c>
      <c r="G6557" s="1104">
        <f>DUB!I346</f>
        <v>14994</v>
      </c>
      <c r="H6557" s="1106">
        <f>G6557*F6557</f>
        <v>14994</v>
      </c>
      <c r="J6557" s="1634" t="s">
        <v>4925</v>
      </c>
      <c r="K6557" s="1611">
        <v>0.42470000000000002</v>
      </c>
      <c r="L6557" s="1607" t="s">
        <v>5343</v>
      </c>
      <c r="M6557" s="1827">
        <f>H6557*K6557</f>
        <v>6367.9518000000007</v>
      </c>
    </row>
    <row r="6558" spans="2:13">
      <c r="B6558" s="1331"/>
      <c r="C6558" s="1332" t="s">
        <v>1456</v>
      </c>
      <c r="D6558" s="1331"/>
      <c r="E6558" s="1331" t="s">
        <v>866</v>
      </c>
      <c r="F6558" s="1334">
        <v>2.5000000000000001E-2</v>
      </c>
      <c r="G6558" s="1104">
        <f>DUB!$I$361</f>
        <v>4284</v>
      </c>
      <c r="H6558" s="1106">
        <f>G6558*F6558</f>
        <v>107.10000000000001</v>
      </c>
      <c r="J6558" s="1634" t="s">
        <v>4925</v>
      </c>
      <c r="K6558" s="1611">
        <v>1</v>
      </c>
      <c r="L6558" s="1634" t="s">
        <v>4925</v>
      </c>
      <c r="M6558" s="1827">
        <f t="shared" ref="M6558" si="177">H6558*K6558</f>
        <v>107.10000000000001</v>
      </c>
    </row>
    <row r="6559" spans="2:13">
      <c r="B6559" s="1331"/>
      <c r="C6559" s="1125"/>
      <c r="D6559" s="1333"/>
      <c r="E6559" s="1333"/>
      <c r="F6559" s="2074" t="s">
        <v>702</v>
      </c>
      <c r="G6559" s="2074"/>
      <c r="H6559" s="1106">
        <f>SUM(H6557:H6558)</f>
        <v>15101.1</v>
      </c>
      <c r="J6559" s="1642"/>
      <c r="K6559" s="1611"/>
      <c r="L6559" s="1607"/>
      <c r="M6559" s="1106">
        <f>SUM(M6557:M6558)</f>
        <v>6475.0518000000011</v>
      </c>
    </row>
    <row r="6560" spans="2:13" s="496" customFormat="1">
      <c r="B6560" s="1330" t="s">
        <v>703</v>
      </c>
      <c r="C6560" s="2075" t="s">
        <v>3764</v>
      </c>
      <c r="D6560" s="2075"/>
      <c r="E6560" s="2075"/>
      <c r="F6560" s="2075"/>
      <c r="G6560" s="2075"/>
      <c r="H6560" s="1107">
        <f>H6555+H6559</f>
        <v>102126.1</v>
      </c>
      <c r="J6560" s="1597"/>
      <c r="K6560" s="1633">
        <f>M6560/H6560</f>
        <v>0.91553532152897243</v>
      </c>
      <c r="L6560" s="1597"/>
      <c r="M6560" s="1107">
        <f>M6555+M6559</f>
        <v>93500.051800000001</v>
      </c>
    </row>
    <row r="6561" spans="2:13" s="496" customFormat="1">
      <c r="B6561" s="1330" t="s">
        <v>706</v>
      </c>
      <c r="C6561" s="2076" t="s">
        <v>876</v>
      </c>
      <c r="D6561" s="2076"/>
      <c r="E6561" s="2076"/>
      <c r="F6561" s="2077" t="s">
        <v>3873</v>
      </c>
      <c r="G6561" s="2077"/>
      <c r="H6561" s="1107">
        <f>H6560*0.15</f>
        <v>15318.915000000001</v>
      </c>
      <c r="J6561" s="1600"/>
      <c r="K6561" s="1633"/>
      <c r="L6561" s="1600"/>
      <c r="M6561" s="1107">
        <f>M6560*0.15</f>
        <v>14025.00777</v>
      </c>
    </row>
    <row r="6562" spans="2:13" s="496" customFormat="1">
      <c r="B6562" s="1330" t="s">
        <v>708</v>
      </c>
      <c r="C6562" s="2078" t="s">
        <v>3765</v>
      </c>
      <c r="D6562" s="2078"/>
      <c r="E6562" s="2078"/>
      <c r="F6562" s="2078"/>
      <c r="G6562" s="2078"/>
      <c r="H6562" s="1107">
        <f>ROUND(SUM(H6560:H6561),2)</f>
        <v>117445.02</v>
      </c>
      <c r="I6562" s="506">
        <f>SUM(H6560:H6561)</f>
        <v>117445.01500000001</v>
      </c>
      <c r="J6562" s="1637"/>
      <c r="K6562" s="1637"/>
      <c r="L6562" s="1637"/>
      <c r="M6562" s="1919">
        <f>ROUND(SUM(M6560:M6561),2)</f>
        <v>107525.06</v>
      </c>
    </row>
    <row r="6563" spans="2:13" hidden="1">
      <c r="B6563" s="1623"/>
      <c r="C6563" s="1130"/>
      <c r="D6563" s="1129"/>
      <c r="E6563" s="1130"/>
      <c r="F6563" s="1131"/>
      <c r="G6563" s="1132"/>
      <c r="H6563" s="1133"/>
      <c r="I6563" s="526"/>
      <c r="J6563" s="1562"/>
      <c r="K6563" s="1562"/>
      <c r="M6563" s="1619"/>
    </row>
    <row r="6564" spans="2:13" hidden="1">
      <c r="B6564" s="1613" t="s">
        <v>4462</v>
      </c>
      <c r="C6564" s="1171" t="s">
        <v>4482</v>
      </c>
      <c r="D6564" s="1129"/>
      <c r="E6564" s="1129"/>
      <c r="F6564" s="1131"/>
      <c r="G6564" s="1132"/>
      <c r="H6564" s="1115"/>
      <c r="M6564" s="1619"/>
    </row>
    <row r="6565" spans="2:13" s="507" customFormat="1" ht="24.9" hidden="1" customHeight="1">
      <c r="B6565" s="1648" t="s">
        <v>1003</v>
      </c>
      <c r="C6565" s="1101" t="s">
        <v>1004</v>
      </c>
      <c r="D6565" s="1101" t="s">
        <v>1005</v>
      </c>
      <c r="E6565" s="1101" t="s">
        <v>1006</v>
      </c>
      <c r="F6565" s="1102" t="s">
        <v>1007</v>
      </c>
      <c r="G6565" s="1109" t="s">
        <v>2637</v>
      </c>
      <c r="H6565" s="1110" t="s">
        <v>2638</v>
      </c>
      <c r="J6565" s="1625"/>
      <c r="K6565" s="1625"/>
      <c r="L6565" s="1625"/>
      <c r="M6565" s="1626"/>
    </row>
    <row r="6566" spans="2:13" hidden="1">
      <c r="B6566" s="1649" t="s">
        <v>671</v>
      </c>
      <c r="C6566" s="1332" t="s">
        <v>1332</v>
      </c>
      <c r="D6566" s="1331"/>
      <c r="E6566" s="1331"/>
      <c r="F6566" s="1334"/>
      <c r="G6566" s="1104"/>
      <c r="H6566" s="1106"/>
      <c r="M6566" s="1619"/>
    </row>
    <row r="6567" spans="2:13" hidden="1">
      <c r="B6567" s="1649"/>
      <c r="C6567" s="1332" t="s">
        <v>673</v>
      </c>
      <c r="D6567" s="1331" t="s">
        <v>674</v>
      </c>
      <c r="E6567" s="1331" t="s">
        <v>675</v>
      </c>
      <c r="F6567" s="1334">
        <v>0.01</v>
      </c>
      <c r="G6567" s="1104">
        <f>DUB!$I$10</f>
        <v>150000</v>
      </c>
      <c r="H6567" s="1106">
        <f>G6567*F6567</f>
        <v>1500</v>
      </c>
      <c r="M6567" s="1619"/>
    </row>
    <row r="6568" spans="2:13" hidden="1">
      <c r="B6568" s="1649"/>
      <c r="C6568" s="1332" t="s">
        <v>731</v>
      </c>
      <c r="D6568" s="1331" t="s">
        <v>678</v>
      </c>
      <c r="E6568" s="1331" t="s">
        <v>675</v>
      </c>
      <c r="F6568" s="1334">
        <v>0.4</v>
      </c>
      <c r="G6568" s="1104">
        <f>DUB!$I$11</f>
        <v>187000</v>
      </c>
      <c r="H6568" s="1106">
        <f>G6568*F6568</f>
        <v>74800</v>
      </c>
      <c r="M6568" s="1619"/>
    </row>
    <row r="6569" spans="2:13" hidden="1">
      <c r="B6569" s="1649"/>
      <c r="C6569" s="1332" t="s">
        <v>751</v>
      </c>
      <c r="D6569" s="1331" t="s">
        <v>681</v>
      </c>
      <c r="E6569" s="1331" t="s">
        <v>675</v>
      </c>
      <c r="F6569" s="1334">
        <v>0.04</v>
      </c>
      <c r="G6569" s="1104">
        <f>DUB!$I$13</f>
        <v>240000</v>
      </c>
      <c r="H6569" s="1106">
        <f>G6569*F6569</f>
        <v>9600</v>
      </c>
      <c r="M6569" s="1619"/>
    </row>
    <row r="6570" spans="2:13" hidden="1">
      <c r="B6570" s="1649"/>
      <c r="C6570" s="1332" t="s">
        <v>683</v>
      </c>
      <c r="D6570" s="1331" t="s">
        <v>684</v>
      </c>
      <c r="E6570" s="1331" t="s">
        <v>675</v>
      </c>
      <c r="F6570" s="1334">
        <v>5.0000000000000001E-3</v>
      </c>
      <c r="G6570" s="1104">
        <f>DUB!$I$12</f>
        <v>225000</v>
      </c>
      <c r="H6570" s="1106">
        <f>G6570*F6570</f>
        <v>1125</v>
      </c>
      <c r="M6570" s="1619"/>
    </row>
    <row r="6571" spans="2:13" hidden="1">
      <c r="B6571" s="1649"/>
      <c r="C6571" s="1332"/>
      <c r="D6571" s="1331"/>
      <c r="E6571" s="1331"/>
      <c r="F6571" s="2074" t="s">
        <v>685</v>
      </c>
      <c r="G6571" s="2074"/>
      <c r="H6571" s="1106">
        <f>SUM(H6567:H6570)</f>
        <v>87025</v>
      </c>
      <c r="M6571" s="1619"/>
    </row>
    <row r="6572" spans="2:13" hidden="1">
      <c r="B6572" s="1649" t="s">
        <v>686</v>
      </c>
      <c r="C6572" s="1332" t="s">
        <v>687</v>
      </c>
      <c r="D6572" s="1331"/>
      <c r="E6572" s="1331"/>
      <c r="F6572" s="1334"/>
      <c r="G6572" s="1104"/>
      <c r="H6572" s="1106"/>
      <c r="M6572" s="1619"/>
    </row>
    <row r="6573" spans="2:13" hidden="1">
      <c r="B6573" s="1650"/>
      <c r="C6573" s="1332" t="s">
        <v>3447</v>
      </c>
      <c r="D6573" s="1331"/>
      <c r="E6573" s="1331" t="s">
        <v>1423</v>
      </c>
      <c r="F6573" s="1334">
        <v>1</v>
      </c>
      <c r="G6573" s="1104">
        <f>DUB!I352</f>
        <v>24633</v>
      </c>
      <c r="H6573" s="1106">
        <f>G6573*F6573</f>
        <v>24633</v>
      </c>
      <c r="M6573" s="1619"/>
    </row>
    <row r="6574" spans="2:13" hidden="1">
      <c r="B6574" s="1650"/>
      <c r="C6574" s="1332" t="s">
        <v>1456</v>
      </c>
      <c r="D6574" s="1331"/>
      <c r="E6574" s="1331" t="s">
        <v>866</v>
      </c>
      <c r="F6574" s="1334">
        <v>2.5000000000000001E-2</v>
      </c>
      <c r="G6574" s="1104">
        <f>DUB!$I$361</f>
        <v>4284</v>
      </c>
      <c r="H6574" s="1106">
        <f>G6574*F6574</f>
        <v>107.10000000000001</v>
      </c>
      <c r="M6574" s="1619"/>
    </row>
    <row r="6575" spans="2:13" hidden="1">
      <c r="B6575" s="1650"/>
      <c r="C6575" s="1125"/>
      <c r="D6575" s="1333"/>
      <c r="E6575" s="1333"/>
      <c r="F6575" s="2074" t="s">
        <v>702</v>
      </c>
      <c r="G6575" s="2074"/>
      <c r="H6575" s="1106">
        <f>SUM(H6573:H6574)</f>
        <v>24740.1</v>
      </c>
      <c r="M6575" s="1619"/>
    </row>
    <row r="6576" spans="2:13" s="496" customFormat="1" hidden="1">
      <c r="B6576" s="1649" t="s">
        <v>703</v>
      </c>
      <c r="C6576" s="2075" t="s">
        <v>3764</v>
      </c>
      <c r="D6576" s="2075"/>
      <c r="E6576" s="2075"/>
      <c r="F6576" s="2075"/>
      <c r="G6576" s="2075"/>
      <c r="H6576" s="1107">
        <f>H6571+H6575</f>
        <v>111765.1</v>
      </c>
      <c r="J6576" s="1559"/>
      <c r="K6576" s="1559"/>
      <c r="L6576" s="1559"/>
      <c r="M6576" s="1614"/>
    </row>
    <row r="6577" spans="2:13" s="496" customFormat="1" hidden="1">
      <c r="B6577" s="1649" t="s">
        <v>706</v>
      </c>
      <c r="C6577" s="2076" t="s">
        <v>876</v>
      </c>
      <c r="D6577" s="2076"/>
      <c r="E6577" s="2076"/>
      <c r="F6577" s="2077" t="s">
        <v>3873</v>
      </c>
      <c r="G6577" s="2077"/>
      <c r="H6577" s="1107">
        <f>H6576*0.15</f>
        <v>16764.764999999999</v>
      </c>
      <c r="J6577" s="1559"/>
      <c r="K6577" s="1559"/>
      <c r="L6577" s="1559"/>
      <c r="M6577" s="1614"/>
    </row>
    <row r="6578" spans="2:13" s="496" customFormat="1" hidden="1">
      <c r="B6578" s="1649" t="s">
        <v>708</v>
      </c>
      <c r="C6578" s="2078" t="s">
        <v>3765</v>
      </c>
      <c r="D6578" s="2078"/>
      <c r="E6578" s="2078"/>
      <c r="F6578" s="2078"/>
      <c r="G6578" s="2078"/>
      <c r="H6578" s="1107">
        <f>ROUND(SUM(H6576:H6577),2)</f>
        <v>128529.87</v>
      </c>
      <c r="I6578" s="506">
        <f>SUM(H6576:H6577)</f>
        <v>128529.86500000001</v>
      </c>
      <c r="J6578" s="1561"/>
      <c r="K6578" s="1561"/>
      <c r="L6578" s="1559"/>
      <c r="M6578" s="1614"/>
    </row>
    <row r="6579" spans="2:13" hidden="1">
      <c r="B6579" s="1624"/>
      <c r="F6579" s="1172"/>
      <c r="G6579" s="1173"/>
      <c r="H6579" s="1133"/>
      <c r="M6579" s="1619"/>
    </row>
    <row r="6580" spans="2:13">
      <c r="B6580" s="1741"/>
      <c r="C6580" s="1742"/>
      <c r="D6580" s="1741"/>
      <c r="E6580" s="1741"/>
      <c r="F6580" s="1743"/>
      <c r="G6580" s="1744"/>
      <c r="H6580" s="1745"/>
      <c r="I6580" s="1746"/>
      <c r="J6580" s="1641"/>
      <c r="K6580" s="1641"/>
      <c r="L6580" s="1641"/>
      <c r="M6580" s="1747"/>
    </row>
    <row r="6581" spans="2:13">
      <c r="B6581" s="1100" t="s">
        <v>4465</v>
      </c>
      <c r="C6581" s="1171" t="s">
        <v>5254</v>
      </c>
      <c r="D6581" s="1129"/>
      <c r="E6581" s="1129"/>
      <c r="F6581" s="1131"/>
      <c r="G6581" s="1132"/>
      <c r="H6581" s="1115"/>
      <c r="M6581" s="1566"/>
    </row>
    <row r="6582" spans="2:13" ht="24.9" customHeight="1">
      <c r="B6582" s="1101" t="s">
        <v>1003</v>
      </c>
      <c r="C6582" s="1101" t="s">
        <v>1004</v>
      </c>
      <c r="D6582" s="1101" t="s">
        <v>1005</v>
      </c>
      <c r="E6582" s="1101" t="s">
        <v>1006</v>
      </c>
      <c r="F6582" s="1102" t="s">
        <v>1007</v>
      </c>
      <c r="G6582" s="1109" t="s">
        <v>2637</v>
      </c>
      <c r="H6582" s="1110" t="s">
        <v>2638</v>
      </c>
      <c r="I6582" s="1822"/>
      <c r="J6582" s="1823" t="s">
        <v>5335</v>
      </c>
      <c r="K6582" s="1824" t="s">
        <v>5336</v>
      </c>
      <c r="L6582" s="1824" t="s">
        <v>5337</v>
      </c>
      <c r="M6582" s="1825" t="s">
        <v>5338</v>
      </c>
    </row>
    <row r="6583" spans="2:13">
      <c r="B6583" s="1330" t="s">
        <v>671</v>
      </c>
      <c r="C6583" s="1332" t="s">
        <v>1332</v>
      </c>
      <c r="D6583" s="1331"/>
      <c r="E6583" s="1331"/>
      <c r="F6583" s="1334"/>
      <c r="G6583" s="1104"/>
      <c r="H6583" s="1106"/>
      <c r="J6583" s="1597"/>
      <c r="K6583" s="1597"/>
      <c r="L6583" s="1597"/>
      <c r="M6583" s="1826"/>
    </row>
    <row r="6584" spans="2:13">
      <c r="B6584" s="1330"/>
      <c r="C6584" s="1332" t="s">
        <v>673</v>
      </c>
      <c r="D6584" s="1331" t="s">
        <v>674</v>
      </c>
      <c r="E6584" s="1331" t="s">
        <v>675</v>
      </c>
      <c r="F6584" s="1334">
        <v>0.01</v>
      </c>
      <c r="G6584" s="1104">
        <f>DUB!$I$10</f>
        <v>150000</v>
      </c>
      <c r="H6584" s="1106">
        <f>G6584*F6584</f>
        <v>1500</v>
      </c>
      <c r="J6584" s="1609" t="s">
        <v>5339</v>
      </c>
      <c r="K6584" s="1611">
        <v>1</v>
      </c>
      <c r="L6584" s="1608" t="s">
        <v>5340</v>
      </c>
      <c r="M6584" s="1827">
        <f>H6584*K6584</f>
        <v>1500</v>
      </c>
    </row>
    <row r="6585" spans="2:13">
      <c r="B6585" s="1330"/>
      <c r="C6585" s="1332" t="s">
        <v>731</v>
      </c>
      <c r="D6585" s="1331" t="s">
        <v>678</v>
      </c>
      <c r="E6585" s="1331" t="s">
        <v>675</v>
      </c>
      <c r="F6585" s="1334">
        <v>0.4</v>
      </c>
      <c r="G6585" s="1104">
        <f>DUB!$I$11</f>
        <v>187000</v>
      </c>
      <c r="H6585" s="1106">
        <f>G6585*F6585</f>
        <v>74800</v>
      </c>
      <c r="J6585" s="1609" t="s">
        <v>5339</v>
      </c>
      <c r="K6585" s="1611">
        <v>1</v>
      </c>
      <c r="L6585" s="1608" t="s">
        <v>5340</v>
      </c>
      <c r="M6585" s="1827">
        <f t="shared" ref="M6585" si="178">H6585*K6585</f>
        <v>74800</v>
      </c>
    </row>
    <row r="6586" spans="2:13">
      <c r="B6586" s="1330"/>
      <c r="C6586" s="1332" t="s">
        <v>751</v>
      </c>
      <c r="D6586" s="1331" t="s">
        <v>681</v>
      </c>
      <c r="E6586" s="1331" t="s">
        <v>675</v>
      </c>
      <c r="F6586" s="1334">
        <v>0.04</v>
      </c>
      <c r="G6586" s="1104">
        <f>DUB!$I$13</f>
        <v>240000</v>
      </c>
      <c r="H6586" s="1106">
        <f>G6586*F6586</f>
        <v>9600</v>
      </c>
      <c r="J6586" s="1609" t="s">
        <v>5339</v>
      </c>
      <c r="K6586" s="1611">
        <v>1</v>
      </c>
      <c r="L6586" s="1608" t="s">
        <v>5340</v>
      </c>
      <c r="M6586" s="1827">
        <f>H6586*K6586</f>
        <v>9600</v>
      </c>
    </row>
    <row r="6587" spans="2:13">
      <c r="B6587" s="1330"/>
      <c r="C6587" s="1332" t="s">
        <v>683</v>
      </c>
      <c r="D6587" s="1331" t="s">
        <v>684</v>
      </c>
      <c r="E6587" s="1331" t="s">
        <v>675</v>
      </c>
      <c r="F6587" s="1334">
        <v>5.0000000000000001E-3</v>
      </c>
      <c r="G6587" s="1104">
        <f>DUB!$I$12</f>
        <v>225000</v>
      </c>
      <c r="H6587" s="1106">
        <f>G6587*F6587</f>
        <v>1125</v>
      </c>
      <c r="J6587" s="1609" t="s">
        <v>5339</v>
      </c>
      <c r="K6587" s="1611">
        <v>1</v>
      </c>
      <c r="L6587" s="1608" t="s">
        <v>5340</v>
      </c>
      <c r="M6587" s="1827">
        <f t="shared" ref="M6587" si="179">H6587*K6587</f>
        <v>1125</v>
      </c>
    </row>
    <row r="6588" spans="2:13">
      <c r="B6588" s="1330"/>
      <c r="C6588" s="1332"/>
      <c r="D6588" s="1331"/>
      <c r="E6588" s="1331"/>
      <c r="F6588" s="2074" t="s">
        <v>685</v>
      </c>
      <c r="G6588" s="2074"/>
      <c r="H6588" s="1106">
        <f>SUM(H6584:H6587)</f>
        <v>87025</v>
      </c>
      <c r="J6588" s="1597"/>
      <c r="K6588" s="1597"/>
      <c r="L6588" s="1597"/>
      <c r="M6588" s="1107">
        <f>SUM(M6584:M6587)</f>
        <v>87025</v>
      </c>
    </row>
    <row r="6589" spans="2:13">
      <c r="B6589" s="1330" t="s">
        <v>686</v>
      </c>
      <c r="C6589" s="1332" t="s">
        <v>687</v>
      </c>
      <c r="D6589" s="1331"/>
      <c r="E6589" s="1331"/>
      <c r="F6589" s="1334"/>
      <c r="G6589" s="1104"/>
      <c r="H6589" s="1106"/>
      <c r="J6589" s="1597"/>
      <c r="K6589" s="1597"/>
      <c r="L6589" s="1597"/>
      <c r="M6589" s="1826"/>
    </row>
    <row r="6590" spans="2:13">
      <c r="B6590" s="1331"/>
      <c r="C6590" s="1332" t="str">
        <f>DUB!C353</f>
        <v>Shower + Kran ROCA Victoria Wall</v>
      </c>
      <c r="D6590" s="1331"/>
      <c r="E6590" s="1331" t="s">
        <v>1423</v>
      </c>
      <c r="F6590" s="1334">
        <v>1</v>
      </c>
      <c r="G6590" s="1104">
        <f>DUB!$I$353</f>
        <v>1865000</v>
      </c>
      <c r="H6590" s="1106">
        <f>G6590*F6590</f>
        <v>1865000</v>
      </c>
      <c r="J6590" s="1634" t="s">
        <v>4925</v>
      </c>
      <c r="K6590" s="1611">
        <v>0.51970000000000005</v>
      </c>
      <c r="L6590" s="1607" t="s">
        <v>5343</v>
      </c>
      <c r="M6590" s="1827">
        <f>H6590*K6590</f>
        <v>969240.50000000012</v>
      </c>
    </row>
    <row r="6591" spans="2:13">
      <c r="B6591" s="1331"/>
      <c r="C6591" s="1332" t="s">
        <v>1456</v>
      </c>
      <c r="D6591" s="1331"/>
      <c r="E6591" s="1331" t="s">
        <v>866</v>
      </c>
      <c r="F6591" s="1334">
        <v>2.5000000000000001E-2</v>
      </c>
      <c r="G6591" s="1104">
        <f>DUB!$I$361</f>
        <v>4284</v>
      </c>
      <c r="H6591" s="1106">
        <f>G6591*F6591</f>
        <v>107.10000000000001</v>
      </c>
      <c r="J6591" s="1634" t="s">
        <v>4925</v>
      </c>
      <c r="K6591" s="1611">
        <v>1</v>
      </c>
      <c r="L6591" s="1634" t="s">
        <v>4925</v>
      </c>
      <c r="M6591" s="1827">
        <f t="shared" ref="M6591" si="180">H6591*K6591</f>
        <v>107.10000000000001</v>
      </c>
    </row>
    <row r="6592" spans="2:13">
      <c r="B6592" s="1331"/>
      <c r="C6592" s="1125"/>
      <c r="D6592" s="1333"/>
      <c r="E6592" s="1333"/>
      <c r="F6592" s="2074" t="s">
        <v>702</v>
      </c>
      <c r="G6592" s="2074"/>
      <c r="H6592" s="1106">
        <f>SUM(H6590:H6591)</f>
        <v>1865107.1</v>
      </c>
      <c r="J6592" s="1642"/>
      <c r="K6592" s="1611"/>
      <c r="L6592" s="1607"/>
      <c r="M6592" s="1106">
        <f>SUM(M6590:M6591)</f>
        <v>969347.60000000009</v>
      </c>
    </row>
    <row r="6593" spans="2:13">
      <c r="B6593" s="1330" t="s">
        <v>703</v>
      </c>
      <c r="C6593" s="2075" t="s">
        <v>3764</v>
      </c>
      <c r="D6593" s="2075"/>
      <c r="E6593" s="2075"/>
      <c r="F6593" s="2075"/>
      <c r="G6593" s="2075"/>
      <c r="H6593" s="1107">
        <f>H6588+H6592</f>
        <v>1952132.1</v>
      </c>
      <c r="J6593" s="1597"/>
      <c r="K6593" s="1633">
        <f>M6593/H6593</f>
        <v>0.54113786664334862</v>
      </c>
      <c r="L6593" s="1597"/>
      <c r="M6593" s="1107">
        <f>M6588+M6592</f>
        <v>1056372.6000000001</v>
      </c>
    </row>
    <row r="6594" spans="2:13">
      <c r="B6594" s="1330" t="s">
        <v>706</v>
      </c>
      <c r="C6594" s="2076" t="s">
        <v>876</v>
      </c>
      <c r="D6594" s="2076"/>
      <c r="E6594" s="2076"/>
      <c r="F6594" s="2077" t="s">
        <v>3873</v>
      </c>
      <c r="G6594" s="2077"/>
      <c r="H6594" s="1107">
        <f>H6593*0.15</f>
        <v>292819.815</v>
      </c>
      <c r="J6594" s="1600"/>
      <c r="K6594" s="1633"/>
      <c r="L6594" s="1600"/>
      <c r="M6594" s="1107">
        <f>M6593*0.15</f>
        <v>158455.89000000001</v>
      </c>
    </row>
    <row r="6595" spans="2:13">
      <c r="B6595" s="1330" t="s">
        <v>708</v>
      </c>
      <c r="C6595" s="2078" t="s">
        <v>3765</v>
      </c>
      <c r="D6595" s="2078"/>
      <c r="E6595" s="2078"/>
      <c r="F6595" s="2078"/>
      <c r="G6595" s="2078"/>
      <c r="H6595" s="1107">
        <f>ROUND(SUM(H6593:H6594),2)</f>
        <v>2244951.92</v>
      </c>
      <c r="I6595" s="1828"/>
      <c r="J6595" s="1637"/>
      <c r="K6595" s="1637"/>
      <c r="L6595" s="1637"/>
      <c r="M6595" s="1919">
        <f>ROUND(SUM(M6593:M6594),2)</f>
        <v>1214828.49</v>
      </c>
    </row>
    <row r="6596" spans="2:13">
      <c r="F6596" s="1172"/>
      <c r="G6596" s="1173"/>
      <c r="H6596" s="1133"/>
      <c r="M6596" s="1566"/>
    </row>
    <row r="6597" spans="2:13" hidden="1">
      <c r="B6597" s="1100" t="s">
        <v>4466</v>
      </c>
      <c r="C6597" s="1171" t="s">
        <v>4483</v>
      </c>
      <c r="D6597" s="1129"/>
      <c r="E6597" s="1129"/>
      <c r="F6597" s="1131"/>
      <c r="G6597" s="1132"/>
      <c r="H6597" s="1115"/>
      <c r="M6597" s="1566"/>
    </row>
    <row r="6598" spans="2:13" ht="24.9" hidden="1" customHeight="1">
      <c r="B6598" s="1748" t="s">
        <v>1003</v>
      </c>
      <c r="C6598" s="1101" t="s">
        <v>1004</v>
      </c>
      <c r="D6598" s="1101" t="s">
        <v>1005</v>
      </c>
      <c r="E6598" s="1101" t="s">
        <v>1006</v>
      </c>
      <c r="F6598" s="1102" t="s">
        <v>1007</v>
      </c>
      <c r="G6598" s="1109" t="s">
        <v>2637</v>
      </c>
      <c r="H6598" s="1110" t="s">
        <v>2638</v>
      </c>
      <c r="M6598" s="1566"/>
    </row>
    <row r="6599" spans="2:13" hidden="1">
      <c r="B6599" s="1543" t="s">
        <v>671</v>
      </c>
      <c r="C6599" s="1332" t="s">
        <v>1332</v>
      </c>
      <c r="D6599" s="1331"/>
      <c r="E6599" s="1331"/>
      <c r="F6599" s="1334"/>
      <c r="G6599" s="1104"/>
      <c r="H6599" s="1106"/>
      <c r="M6599" s="1566"/>
    </row>
    <row r="6600" spans="2:13" hidden="1">
      <c r="B6600" s="1543"/>
      <c r="C6600" s="1332" t="s">
        <v>673</v>
      </c>
      <c r="D6600" s="1331" t="s">
        <v>674</v>
      </c>
      <c r="E6600" s="1331" t="s">
        <v>675</v>
      </c>
      <c r="F6600" s="1334">
        <v>0.01</v>
      </c>
      <c r="G6600" s="1104">
        <f>DUB!$I$10</f>
        <v>150000</v>
      </c>
      <c r="H6600" s="1106">
        <f>G6600*F6600</f>
        <v>1500</v>
      </c>
      <c r="M6600" s="1566"/>
    </row>
    <row r="6601" spans="2:13" hidden="1">
      <c r="B6601" s="1543"/>
      <c r="C6601" s="1332" t="s">
        <v>731</v>
      </c>
      <c r="D6601" s="1331" t="s">
        <v>678</v>
      </c>
      <c r="E6601" s="1331" t="s">
        <v>675</v>
      </c>
      <c r="F6601" s="1334">
        <v>0.4</v>
      </c>
      <c r="G6601" s="1104">
        <f>DUB!$I$11</f>
        <v>187000</v>
      </c>
      <c r="H6601" s="1106">
        <f>G6601*F6601</f>
        <v>74800</v>
      </c>
      <c r="M6601" s="1566"/>
    </row>
    <row r="6602" spans="2:13" hidden="1">
      <c r="B6602" s="1543"/>
      <c r="C6602" s="1332" t="s">
        <v>751</v>
      </c>
      <c r="D6602" s="1331" t="s">
        <v>681</v>
      </c>
      <c r="E6602" s="1331" t="s">
        <v>675</v>
      </c>
      <c r="F6602" s="1334">
        <v>0.04</v>
      </c>
      <c r="G6602" s="1104">
        <f>DUB!$I$13</f>
        <v>240000</v>
      </c>
      <c r="H6602" s="1106">
        <f>G6602*F6602</f>
        <v>9600</v>
      </c>
      <c r="M6602" s="1566"/>
    </row>
    <row r="6603" spans="2:13" hidden="1">
      <c r="B6603" s="1543"/>
      <c r="C6603" s="1332" t="s">
        <v>683</v>
      </c>
      <c r="D6603" s="1331" t="s">
        <v>684</v>
      </c>
      <c r="E6603" s="1331" t="s">
        <v>675</v>
      </c>
      <c r="F6603" s="1334">
        <v>5.0000000000000001E-3</v>
      </c>
      <c r="G6603" s="1104">
        <f>DUB!$I$12</f>
        <v>225000</v>
      </c>
      <c r="H6603" s="1106">
        <f>G6603*F6603</f>
        <v>1125</v>
      </c>
      <c r="M6603" s="1566"/>
    </row>
    <row r="6604" spans="2:13" hidden="1">
      <c r="B6604" s="1543"/>
      <c r="C6604" s="1332"/>
      <c r="D6604" s="1331"/>
      <c r="E6604" s="1331"/>
      <c r="F6604" s="2074" t="s">
        <v>685</v>
      </c>
      <c r="G6604" s="2074"/>
      <c r="H6604" s="1106">
        <f>SUM(H6600:H6603)</f>
        <v>87025</v>
      </c>
      <c r="M6604" s="1566"/>
    </row>
    <row r="6605" spans="2:13" hidden="1">
      <c r="B6605" s="1543" t="s">
        <v>686</v>
      </c>
      <c r="C6605" s="1332" t="s">
        <v>687</v>
      </c>
      <c r="D6605" s="1331"/>
      <c r="E6605" s="1331"/>
      <c r="F6605" s="1334"/>
      <c r="G6605" s="1104"/>
      <c r="H6605" s="1106"/>
      <c r="M6605" s="1566"/>
    </row>
    <row r="6606" spans="2:13" hidden="1">
      <c r="B6606" s="1540"/>
      <c r="C6606" s="1332" t="s">
        <v>4464</v>
      </c>
      <c r="D6606" s="1331"/>
      <c r="E6606" s="1331" t="s">
        <v>1423</v>
      </c>
      <c r="F6606" s="1334">
        <v>1</v>
      </c>
      <c r="G6606" s="1104">
        <f>DUB!$I$354</f>
        <v>283815</v>
      </c>
      <c r="H6606" s="1106">
        <f>G6606*F6606</f>
        <v>283815</v>
      </c>
      <c r="M6606" s="1566"/>
    </row>
    <row r="6607" spans="2:13" hidden="1">
      <c r="B6607" s="1540"/>
      <c r="C6607" s="1332" t="s">
        <v>1456</v>
      </c>
      <c r="D6607" s="1331"/>
      <c r="E6607" s="1331" t="s">
        <v>866</v>
      </c>
      <c r="F6607" s="1334">
        <v>2.5000000000000001E-2</v>
      </c>
      <c r="G6607" s="1104">
        <f>DUB!$I$361</f>
        <v>4284</v>
      </c>
      <c r="H6607" s="1106">
        <f>G6607*F6607</f>
        <v>107.10000000000001</v>
      </c>
      <c r="M6607" s="1566"/>
    </row>
    <row r="6608" spans="2:13" hidden="1">
      <c r="B6608" s="1540"/>
      <c r="C6608" s="1125"/>
      <c r="D6608" s="1333"/>
      <c r="E6608" s="1333"/>
      <c r="F6608" s="2074" t="s">
        <v>702</v>
      </c>
      <c r="G6608" s="2074"/>
      <c r="H6608" s="1106">
        <f>SUM(H6606:H6607)</f>
        <v>283922.09999999998</v>
      </c>
      <c r="M6608" s="1566"/>
    </row>
    <row r="6609" spans="2:13" hidden="1">
      <c r="B6609" s="1543" t="s">
        <v>703</v>
      </c>
      <c r="C6609" s="2075" t="s">
        <v>3764</v>
      </c>
      <c r="D6609" s="2075"/>
      <c r="E6609" s="2075"/>
      <c r="F6609" s="2075"/>
      <c r="G6609" s="2075"/>
      <c r="H6609" s="1107">
        <f>H6604+H6608</f>
        <v>370947.1</v>
      </c>
      <c r="M6609" s="1566"/>
    </row>
    <row r="6610" spans="2:13" hidden="1">
      <c r="B6610" s="1543" t="s">
        <v>706</v>
      </c>
      <c r="C6610" s="2076" t="s">
        <v>876</v>
      </c>
      <c r="D6610" s="2076"/>
      <c r="E6610" s="2076"/>
      <c r="F6610" s="2077" t="s">
        <v>3873</v>
      </c>
      <c r="G6610" s="2077"/>
      <c r="H6610" s="1107">
        <f>H6609*0.15</f>
        <v>55642.064999999995</v>
      </c>
      <c r="M6610" s="1566"/>
    </row>
    <row r="6611" spans="2:13" hidden="1">
      <c r="B6611" s="1543" t="s">
        <v>708</v>
      </c>
      <c r="C6611" s="2078" t="s">
        <v>3765</v>
      </c>
      <c r="D6611" s="2078"/>
      <c r="E6611" s="2078"/>
      <c r="F6611" s="2078"/>
      <c r="G6611" s="2078"/>
      <c r="H6611" s="1107">
        <f>ROUND(SUM(H6609:H6610),2)</f>
        <v>426589.17</v>
      </c>
      <c r="M6611" s="1566"/>
    </row>
    <row r="6612" spans="2:13" hidden="1">
      <c r="F6612" s="1172"/>
      <c r="G6612" s="1173"/>
      <c r="H6612" s="1133"/>
      <c r="M6612" s="1566"/>
    </row>
    <row r="6613" spans="2:13" hidden="1">
      <c r="B6613" s="1100" t="s">
        <v>4218</v>
      </c>
      <c r="C6613" s="1232" t="s">
        <v>2726</v>
      </c>
      <c r="F6613" s="1172"/>
      <c r="G6613" s="1173"/>
      <c r="H6613" s="1133"/>
      <c r="M6613" s="1566"/>
    </row>
    <row r="6614" spans="2:13" ht="24.9" hidden="1" customHeight="1">
      <c r="B6614" s="1748" t="s">
        <v>1003</v>
      </c>
      <c r="C6614" s="1101" t="s">
        <v>1004</v>
      </c>
      <c r="D6614" s="1101" t="s">
        <v>1005</v>
      </c>
      <c r="E6614" s="1101" t="s">
        <v>1006</v>
      </c>
      <c r="F6614" s="1102" t="s">
        <v>1007</v>
      </c>
      <c r="G6614" s="1109" t="s">
        <v>2637</v>
      </c>
      <c r="H6614" s="1110" t="s">
        <v>2638</v>
      </c>
      <c r="M6614" s="1566"/>
    </row>
    <row r="6615" spans="2:13" hidden="1">
      <c r="B6615" s="1543" t="s">
        <v>671</v>
      </c>
      <c r="C6615" s="1332" t="s">
        <v>672</v>
      </c>
      <c r="D6615" s="1331"/>
      <c r="E6615" s="1331"/>
      <c r="F6615" s="1334"/>
      <c r="G6615" s="1104"/>
      <c r="H6615" s="1106"/>
      <c r="M6615" s="1566"/>
    </row>
    <row r="6616" spans="2:13" hidden="1">
      <c r="B6616" s="1543"/>
      <c r="C6616" s="1332" t="s">
        <v>673</v>
      </c>
      <c r="D6616" s="1331" t="s">
        <v>674</v>
      </c>
      <c r="E6616" s="1331" t="s">
        <v>675</v>
      </c>
      <c r="F6616" s="1334">
        <v>5.3999999999999999E-2</v>
      </c>
      <c r="G6616" s="1104">
        <f>DUB!$I$10</f>
        <v>150000</v>
      </c>
      <c r="H6616" s="1106">
        <f>G6616*F6616</f>
        <v>8100</v>
      </c>
      <c r="M6616" s="1566"/>
    </row>
    <row r="6617" spans="2:13" hidden="1">
      <c r="B6617" s="1543"/>
      <c r="C6617" s="1332" t="s">
        <v>731</v>
      </c>
      <c r="D6617" s="1331" t="s">
        <v>678</v>
      </c>
      <c r="E6617" s="1331" t="s">
        <v>675</v>
      </c>
      <c r="F6617" s="1334">
        <v>0.09</v>
      </c>
      <c r="G6617" s="1104">
        <f>DUB!$I$11</f>
        <v>187000</v>
      </c>
      <c r="H6617" s="1106">
        <f>G6617*F6617</f>
        <v>16830</v>
      </c>
      <c r="M6617" s="1566"/>
    </row>
    <row r="6618" spans="2:13" hidden="1">
      <c r="B6618" s="1543"/>
      <c r="C6618" s="1332" t="s">
        <v>751</v>
      </c>
      <c r="D6618" s="1331" t="s">
        <v>681</v>
      </c>
      <c r="E6618" s="1331" t="s">
        <v>675</v>
      </c>
      <c r="F6618" s="1334">
        <v>8.9999999999999993E-3</v>
      </c>
      <c r="G6618" s="1104">
        <f>DUB!$I$13</f>
        <v>240000</v>
      </c>
      <c r="H6618" s="1106">
        <f>G6618*F6618</f>
        <v>2160</v>
      </c>
      <c r="M6618" s="1566"/>
    </row>
    <row r="6619" spans="2:13" hidden="1">
      <c r="B6619" s="1543"/>
      <c r="C6619" s="1332" t="s">
        <v>683</v>
      </c>
      <c r="D6619" s="1331" t="s">
        <v>684</v>
      </c>
      <c r="E6619" s="1331" t="s">
        <v>675</v>
      </c>
      <c r="F6619" s="1334">
        <v>2.7E-2</v>
      </c>
      <c r="G6619" s="1104">
        <f>DUB!$I$12</f>
        <v>225000</v>
      </c>
      <c r="H6619" s="1106">
        <f>G6619*F6619</f>
        <v>6075</v>
      </c>
      <c r="M6619" s="1566"/>
    </row>
    <row r="6620" spans="2:13" hidden="1">
      <c r="B6620" s="1543"/>
      <c r="C6620" s="1332"/>
      <c r="D6620" s="1331"/>
      <c r="E6620" s="1331"/>
      <c r="F6620" s="2074" t="s">
        <v>685</v>
      </c>
      <c r="G6620" s="2074"/>
      <c r="H6620" s="1106">
        <f>SUM(H6616:H6619)</f>
        <v>33165</v>
      </c>
      <c r="M6620" s="1566"/>
    </row>
    <row r="6621" spans="2:13" hidden="1">
      <c r="B6621" s="1543" t="s">
        <v>686</v>
      </c>
      <c r="C6621" s="1332" t="s">
        <v>687</v>
      </c>
      <c r="D6621" s="1331"/>
      <c r="E6621" s="1331"/>
      <c r="F6621" s="1334"/>
      <c r="G6621" s="1104"/>
      <c r="H6621" s="1106"/>
      <c r="M6621" s="1566"/>
    </row>
    <row r="6622" spans="2:13" hidden="1">
      <c r="B6622" s="1543"/>
      <c r="C6622" s="1332" t="s">
        <v>1451</v>
      </c>
      <c r="D6622" s="1331"/>
      <c r="E6622" s="1331" t="s">
        <v>1452</v>
      </c>
      <c r="F6622" s="1334">
        <v>1.2</v>
      </c>
      <c r="G6622" s="1104">
        <f>DUB!$I$518</f>
        <v>32130</v>
      </c>
      <c r="H6622" s="1106">
        <f>G6622*F6622</f>
        <v>38556</v>
      </c>
      <c r="M6622" s="1566"/>
    </row>
    <row r="6623" spans="2:13" hidden="1">
      <c r="B6623" s="1543"/>
      <c r="C6623" s="1332" t="s">
        <v>1406</v>
      </c>
      <c r="D6623" s="1331"/>
      <c r="E6623" s="1331" t="s">
        <v>1011</v>
      </c>
      <c r="F6623" s="1334" t="s">
        <v>1453</v>
      </c>
      <c r="G6623" s="1104">
        <f>35%*H6622</f>
        <v>13494.599999999999</v>
      </c>
      <c r="H6623" s="1106">
        <f>G6623</f>
        <v>13494.599999999999</v>
      </c>
      <c r="M6623" s="1566"/>
    </row>
    <row r="6624" spans="2:13" hidden="1">
      <c r="B6624" s="1540"/>
      <c r="C6624" s="1125"/>
      <c r="D6624" s="1333"/>
      <c r="E6624" s="1333"/>
      <c r="F6624" s="2074" t="s">
        <v>702</v>
      </c>
      <c r="G6624" s="2074"/>
      <c r="H6624" s="1106">
        <f>SUM(H6622:H6623)</f>
        <v>52050.6</v>
      </c>
      <c r="M6624" s="1566"/>
    </row>
    <row r="6625" spans="2:13" hidden="1">
      <c r="B6625" s="1543" t="s">
        <v>703</v>
      </c>
      <c r="C6625" s="2075" t="s">
        <v>3764</v>
      </c>
      <c r="D6625" s="2075"/>
      <c r="E6625" s="2075"/>
      <c r="F6625" s="2075"/>
      <c r="G6625" s="2075"/>
      <c r="H6625" s="1107">
        <f>H6620+H6624</f>
        <v>85215.6</v>
      </c>
      <c r="M6625" s="1566"/>
    </row>
    <row r="6626" spans="2:13" hidden="1">
      <c r="B6626" s="1543" t="s">
        <v>706</v>
      </c>
      <c r="C6626" s="2076" t="s">
        <v>876</v>
      </c>
      <c r="D6626" s="2076"/>
      <c r="E6626" s="2076"/>
      <c r="F6626" s="2077" t="s">
        <v>3873</v>
      </c>
      <c r="G6626" s="2077"/>
      <c r="H6626" s="1107">
        <f>H6625*0.15</f>
        <v>12782.34</v>
      </c>
      <c r="M6626" s="1566"/>
    </row>
    <row r="6627" spans="2:13" hidden="1">
      <c r="B6627" s="1543" t="s">
        <v>708</v>
      </c>
      <c r="C6627" s="2078" t="s">
        <v>3765</v>
      </c>
      <c r="D6627" s="2078"/>
      <c r="E6627" s="2078"/>
      <c r="F6627" s="2078"/>
      <c r="G6627" s="2078"/>
      <c r="H6627" s="1107">
        <f>ROUND(SUM(H6625:H6626),2)</f>
        <v>97997.94</v>
      </c>
      <c r="M6627" s="1566"/>
    </row>
    <row r="6628" spans="2:13" hidden="1">
      <c r="F6628" s="1172"/>
      <c r="G6628" s="1173"/>
      <c r="H6628" s="1133"/>
      <c r="M6628" s="1566"/>
    </row>
    <row r="6629" spans="2:13" hidden="1">
      <c r="B6629" s="1100" t="s">
        <v>4219</v>
      </c>
      <c r="C6629" s="1232" t="s">
        <v>2725</v>
      </c>
      <c r="F6629" s="1172"/>
      <c r="G6629" s="1173"/>
      <c r="H6629" s="1133"/>
      <c r="M6629" s="1566"/>
    </row>
    <row r="6630" spans="2:13" s="507" customFormat="1" ht="24.9" hidden="1" customHeight="1">
      <c r="B6630" s="1748" t="s">
        <v>1003</v>
      </c>
      <c r="C6630" s="1101" t="s">
        <v>1004</v>
      </c>
      <c r="D6630" s="1101" t="s">
        <v>1005</v>
      </c>
      <c r="E6630" s="1101" t="s">
        <v>1006</v>
      </c>
      <c r="F6630" s="1102" t="s">
        <v>1007</v>
      </c>
      <c r="G6630" s="1109" t="s">
        <v>2637</v>
      </c>
      <c r="H6630" s="1110" t="s">
        <v>2638</v>
      </c>
      <c r="J6630" s="1625"/>
      <c r="K6630" s="1625"/>
      <c r="L6630" s="1625"/>
      <c r="M6630" s="1570"/>
    </row>
    <row r="6631" spans="2:13" hidden="1">
      <c r="B6631" s="1543" t="s">
        <v>671</v>
      </c>
      <c r="C6631" s="1332" t="s">
        <v>672</v>
      </c>
      <c r="D6631" s="1331"/>
      <c r="E6631" s="1331"/>
      <c r="F6631" s="1334"/>
      <c r="G6631" s="1104"/>
      <c r="H6631" s="1106"/>
      <c r="M6631" s="1566"/>
    </row>
    <row r="6632" spans="2:13" hidden="1">
      <c r="B6632" s="1543"/>
      <c r="C6632" s="1332" t="s">
        <v>673</v>
      </c>
      <c r="D6632" s="1331" t="s">
        <v>674</v>
      </c>
      <c r="E6632" s="1331" t="s">
        <v>675</v>
      </c>
      <c r="F6632" s="1334">
        <v>5.3999999999999999E-2</v>
      </c>
      <c r="G6632" s="1104">
        <f>DUB!$I$10</f>
        <v>150000</v>
      </c>
      <c r="H6632" s="1106">
        <f>G6632*F6632</f>
        <v>8100</v>
      </c>
      <c r="M6632" s="1566"/>
    </row>
    <row r="6633" spans="2:13" hidden="1">
      <c r="B6633" s="1543"/>
      <c r="C6633" s="1332" t="s">
        <v>731</v>
      </c>
      <c r="D6633" s="1331" t="s">
        <v>678</v>
      </c>
      <c r="E6633" s="1331" t="s">
        <v>675</v>
      </c>
      <c r="F6633" s="1334">
        <v>0.09</v>
      </c>
      <c r="G6633" s="1104">
        <f>DUB!$I$11</f>
        <v>187000</v>
      </c>
      <c r="H6633" s="1106">
        <f>G6633*F6633</f>
        <v>16830</v>
      </c>
      <c r="M6633" s="1566"/>
    </row>
    <row r="6634" spans="2:13" hidden="1">
      <c r="B6634" s="1543"/>
      <c r="C6634" s="1332" t="s">
        <v>751</v>
      </c>
      <c r="D6634" s="1331" t="s">
        <v>681</v>
      </c>
      <c r="E6634" s="1331" t="s">
        <v>675</v>
      </c>
      <c r="F6634" s="1334">
        <v>8.9999999999999993E-3</v>
      </c>
      <c r="G6634" s="1104">
        <f>DUB!$I$13</f>
        <v>240000</v>
      </c>
      <c r="H6634" s="1106">
        <f>G6634*F6634</f>
        <v>2160</v>
      </c>
      <c r="M6634" s="1566"/>
    </row>
    <row r="6635" spans="2:13" hidden="1">
      <c r="B6635" s="1543"/>
      <c r="C6635" s="1332" t="s">
        <v>683</v>
      </c>
      <c r="D6635" s="1331" t="s">
        <v>684</v>
      </c>
      <c r="E6635" s="1331" t="s">
        <v>675</v>
      </c>
      <c r="F6635" s="1334">
        <v>2.7E-2</v>
      </c>
      <c r="G6635" s="1104">
        <f>DUB!$I$12</f>
        <v>225000</v>
      </c>
      <c r="H6635" s="1106">
        <f>G6635*F6635</f>
        <v>6075</v>
      </c>
      <c r="M6635" s="1566"/>
    </row>
    <row r="6636" spans="2:13" hidden="1">
      <c r="B6636" s="1543"/>
      <c r="C6636" s="1332"/>
      <c r="D6636" s="1331"/>
      <c r="E6636" s="1331"/>
      <c r="F6636" s="2074" t="s">
        <v>685</v>
      </c>
      <c r="G6636" s="2074"/>
      <c r="H6636" s="1106">
        <f>SUM(H6632:H6635)</f>
        <v>33165</v>
      </c>
      <c r="M6636" s="1566"/>
    </row>
    <row r="6637" spans="2:13" hidden="1">
      <c r="B6637" s="1543" t="s">
        <v>686</v>
      </c>
      <c r="C6637" s="1332" t="s">
        <v>687</v>
      </c>
      <c r="D6637" s="1331"/>
      <c r="E6637" s="1331"/>
      <c r="F6637" s="1334"/>
      <c r="G6637" s="1104"/>
      <c r="H6637" s="1106"/>
      <c r="M6637" s="1566"/>
    </row>
    <row r="6638" spans="2:13" hidden="1">
      <c r="B6638" s="1543"/>
      <c r="C6638" s="1332" t="s">
        <v>1457</v>
      </c>
      <c r="D6638" s="1331"/>
      <c r="E6638" s="1331" t="s">
        <v>1452</v>
      </c>
      <c r="F6638" s="1334">
        <v>1.2</v>
      </c>
      <c r="G6638" s="1104">
        <f>DUB!$I$519</f>
        <v>42840</v>
      </c>
      <c r="H6638" s="1106">
        <f>G6638*F6638</f>
        <v>51408</v>
      </c>
      <c r="M6638" s="1566"/>
    </row>
    <row r="6639" spans="2:13" hidden="1">
      <c r="B6639" s="1540"/>
      <c r="C6639" s="1332" t="s">
        <v>1406</v>
      </c>
      <c r="D6639" s="1331"/>
      <c r="E6639" s="1331" t="s">
        <v>1411</v>
      </c>
      <c r="F6639" s="1334" t="s">
        <v>1453</v>
      </c>
      <c r="G6639" s="1104">
        <f>35%*H6638</f>
        <v>17992.8</v>
      </c>
      <c r="H6639" s="1106">
        <f>G6639</f>
        <v>17992.8</v>
      </c>
      <c r="M6639" s="1566"/>
    </row>
    <row r="6640" spans="2:13" hidden="1">
      <c r="B6640" s="1540"/>
      <c r="C6640" s="1332"/>
      <c r="D6640" s="1331"/>
      <c r="E6640" s="1331"/>
      <c r="F6640" s="2090" t="s">
        <v>702</v>
      </c>
      <c r="G6640" s="2090"/>
      <c r="H6640" s="1106">
        <f>SUM(H6638:H6639)</f>
        <v>69400.800000000003</v>
      </c>
      <c r="M6640" s="1566"/>
    </row>
    <row r="6641" spans="2:13" s="496" customFormat="1" hidden="1">
      <c r="B6641" s="1543" t="s">
        <v>703</v>
      </c>
      <c r="C6641" s="2089" t="s">
        <v>3764</v>
      </c>
      <c r="D6641" s="2089"/>
      <c r="E6641" s="2089"/>
      <c r="F6641" s="2089"/>
      <c r="G6641" s="2089"/>
      <c r="H6641" s="1107">
        <f>H6636+H6640</f>
        <v>102565.8</v>
      </c>
      <c r="J6641" s="1559"/>
      <c r="K6641" s="1559"/>
      <c r="L6641" s="1559"/>
      <c r="M6641" s="1635"/>
    </row>
    <row r="6642" spans="2:13" s="496" customFormat="1" hidden="1">
      <c r="B6642" s="1543" t="s">
        <v>706</v>
      </c>
      <c r="C6642" s="2076" t="s">
        <v>876</v>
      </c>
      <c r="D6642" s="2076"/>
      <c r="E6642" s="2076"/>
      <c r="F6642" s="2077" t="s">
        <v>3873</v>
      </c>
      <c r="G6642" s="2077"/>
      <c r="H6642" s="1107">
        <f>H6641*0.15</f>
        <v>15384.869999999999</v>
      </c>
      <c r="J6642" s="1559"/>
      <c r="K6642" s="1559"/>
      <c r="L6642" s="1559"/>
      <c r="M6642" s="1635"/>
    </row>
    <row r="6643" spans="2:13" s="496" customFormat="1" hidden="1">
      <c r="B6643" s="1543" t="s">
        <v>708</v>
      </c>
      <c r="C6643" s="2078" t="s">
        <v>3765</v>
      </c>
      <c r="D6643" s="2078"/>
      <c r="E6643" s="2078"/>
      <c r="F6643" s="2078"/>
      <c r="G6643" s="2078"/>
      <c r="H6643" s="1107">
        <f>ROUND(SUM(H6641:H6642),2)</f>
        <v>117950.67</v>
      </c>
      <c r="I6643" s="506">
        <f>SUM(H6641:H6642)</f>
        <v>117950.67</v>
      </c>
      <c r="J6643" s="1561"/>
      <c r="K6643" s="1561"/>
      <c r="L6643" s="1559"/>
      <c r="M6643" s="1635"/>
    </row>
    <row r="6644" spans="2:13" hidden="1">
      <c r="B6644" s="1143"/>
      <c r="C6644" s="1144"/>
      <c r="D6644" s="1143"/>
      <c r="E6644" s="1143"/>
      <c r="F6644" s="1145"/>
      <c r="G6644" s="1146"/>
      <c r="H6644" s="1147"/>
      <c r="M6644" s="1566"/>
    </row>
    <row r="6645" spans="2:13" hidden="1">
      <c r="B6645" s="1100" t="s">
        <v>4220</v>
      </c>
      <c r="C6645" s="1112" t="s">
        <v>2724</v>
      </c>
      <c r="D6645" s="1129"/>
      <c r="E6645" s="1129"/>
      <c r="F6645" s="1131"/>
      <c r="G6645" s="1132"/>
      <c r="H6645" s="1115"/>
      <c r="M6645" s="1566"/>
    </row>
    <row r="6646" spans="2:13" s="507" customFormat="1" ht="24.9" hidden="1" customHeight="1">
      <c r="B6646" s="1748" t="s">
        <v>1003</v>
      </c>
      <c r="C6646" s="1101" t="s">
        <v>1004</v>
      </c>
      <c r="D6646" s="1101" t="s">
        <v>1005</v>
      </c>
      <c r="E6646" s="1101" t="s">
        <v>1006</v>
      </c>
      <c r="F6646" s="1102" t="s">
        <v>1007</v>
      </c>
      <c r="G6646" s="1109" t="s">
        <v>2637</v>
      </c>
      <c r="H6646" s="1110" t="s">
        <v>2638</v>
      </c>
      <c r="J6646" s="1625"/>
      <c r="K6646" s="1625"/>
      <c r="L6646" s="1625"/>
      <c r="M6646" s="1570"/>
    </row>
    <row r="6647" spans="2:13" hidden="1">
      <c r="B6647" s="1543" t="s">
        <v>671</v>
      </c>
      <c r="C6647" s="1332" t="s">
        <v>672</v>
      </c>
      <c r="D6647" s="1331"/>
      <c r="E6647" s="1331"/>
      <c r="F6647" s="1334"/>
      <c r="G6647" s="1104"/>
      <c r="H6647" s="1106"/>
      <c r="M6647" s="1566"/>
    </row>
    <row r="6648" spans="2:13" hidden="1">
      <c r="B6648" s="1543"/>
      <c r="C6648" s="1332" t="s">
        <v>673</v>
      </c>
      <c r="D6648" s="1331" t="s">
        <v>674</v>
      </c>
      <c r="E6648" s="1331" t="s">
        <v>675</v>
      </c>
      <c r="F6648" s="1334">
        <v>5.3999999999999999E-2</v>
      </c>
      <c r="G6648" s="1104">
        <f>DUB!$I$10</f>
        <v>150000</v>
      </c>
      <c r="H6648" s="1106">
        <f>G6648*F6648</f>
        <v>8100</v>
      </c>
      <c r="M6648" s="1566"/>
    </row>
    <row r="6649" spans="2:13" hidden="1">
      <c r="B6649" s="1543"/>
      <c r="C6649" s="1332" t="s">
        <v>731</v>
      </c>
      <c r="D6649" s="1331" t="s">
        <v>678</v>
      </c>
      <c r="E6649" s="1331" t="s">
        <v>675</v>
      </c>
      <c r="F6649" s="1334">
        <v>0.09</v>
      </c>
      <c r="G6649" s="1104">
        <f>DUB!$I$11</f>
        <v>187000</v>
      </c>
      <c r="H6649" s="1106">
        <f>G6649*F6649</f>
        <v>16830</v>
      </c>
      <c r="M6649" s="1566"/>
    </row>
    <row r="6650" spans="2:13" hidden="1">
      <c r="B6650" s="1543"/>
      <c r="C6650" s="1332" t="s">
        <v>751</v>
      </c>
      <c r="D6650" s="1331" t="s">
        <v>681</v>
      </c>
      <c r="E6650" s="1331" t="s">
        <v>675</v>
      </c>
      <c r="F6650" s="1334">
        <v>8.9999999999999993E-3</v>
      </c>
      <c r="G6650" s="1104">
        <f>DUB!$I$13</f>
        <v>240000</v>
      </c>
      <c r="H6650" s="1106">
        <f>G6650*F6650</f>
        <v>2160</v>
      </c>
      <c r="M6650" s="1566"/>
    </row>
    <row r="6651" spans="2:13" hidden="1">
      <c r="B6651" s="1543"/>
      <c r="C6651" s="1332" t="s">
        <v>683</v>
      </c>
      <c r="D6651" s="1331" t="s">
        <v>684</v>
      </c>
      <c r="E6651" s="1331" t="s">
        <v>675</v>
      </c>
      <c r="F6651" s="1334">
        <v>2.7E-2</v>
      </c>
      <c r="G6651" s="1104">
        <f>DUB!$I$12</f>
        <v>225000</v>
      </c>
      <c r="H6651" s="1106">
        <f>G6651*F6651</f>
        <v>6075</v>
      </c>
      <c r="M6651" s="1566"/>
    </row>
    <row r="6652" spans="2:13" hidden="1">
      <c r="B6652" s="1543"/>
      <c r="C6652" s="1332"/>
      <c r="D6652" s="1331"/>
      <c r="E6652" s="1331"/>
      <c r="F6652" s="2074" t="s">
        <v>685</v>
      </c>
      <c r="G6652" s="2074"/>
      <c r="H6652" s="1106">
        <f>SUM(H6648:H6651)</f>
        <v>33165</v>
      </c>
      <c r="M6652" s="1566"/>
    </row>
    <row r="6653" spans="2:13" hidden="1">
      <c r="B6653" s="1543" t="s">
        <v>686</v>
      </c>
      <c r="C6653" s="1332" t="s">
        <v>687</v>
      </c>
      <c r="D6653" s="1331"/>
      <c r="E6653" s="1331"/>
      <c r="F6653" s="1334"/>
      <c r="G6653" s="1104"/>
      <c r="H6653" s="1106"/>
      <c r="M6653" s="1566"/>
    </row>
    <row r="6654" spans="2:13" hidden="1">
      <c r="B6654" s="1543"/>
      <c r="C6654" s="1332" t="s">
        <v>1459</v>
      </c>
      <c r="D6654" s="1331"/>
      <c r="E6654" s="1331" t="s">
        <v>1452</v>
      </c>
      <c r="F6654" s="1334">
        <v>1.2</v>
      </c>
      <c r="G6654" s="1104">
        <f>DUB!$I$520</f>
        <v>53550</v>
      </c>
      <c r="H6654" s="1106">
        <f>G6654*F6654</f>
        <v>64260</v>
      </c>
      <c r="M6654" s="1566"/>
    </row>
    <row r="6655" spans="2:13" hidden="1">
      <c r="B6655" s="1543"/>
      <c r="C6655" s="1332" t="s">
        <v>1406</v>
      </c>
      <c r="D6655" s="1331"/>
      <c r="E6655" s="1331" t="s">
        <v>1411</v>
      </c>
      <c r="F6655" s="1334" t="s">
        <v>1453</v>
      </c>
      <c r="G6655" s="1104">
        <f>35%*H6654</f>
        <v>22491</v>
      </c>
      <c r="H6655" s="1106">
        <f>G6655</f>
        <v>22491</v>
      </c>
      <c r="M6655" s="1566"/>
    </row>
    <row r="6656" spans="2:13" hidden="1">
      <c r="B6656" s="1540"/>
      <c r="C6656" s="1125"/>
      <c r="D6656" s="1333"/>
      <c r="E6656" s="1333"/>
      <c r="F6656" s="2074" t="s">
        <v>702</v>
      </c>
      <c r="G6656" s="2074"/>
      <c r="H6656" s="1106">
        <f>SUM(H6654:H6655)</f>
        <v>86751</v>
      </c>
      <c r="M6656" s="1566"/>
    </row>
    <row r="6657" spans="2:13" s="496" customFormat="1" hidden="1">
      <c r="B6657" s="1543" t="s">
        <v>703</v>
      </c>
      <c r="C6657" s="2075" t="s">
        <v>3764</v>
      </c>
      <c r="D6657" s="2075"/>
      <c r="E6657" s="2075"/>
      <c r="F6657" s="2075"/>
      <c r="G6657" s="2075"/>
      <c r="H6657" s="1107">
        <f>H6652+H6656</f>
        <v>119916</v>
      </c>
      <c r="J6657" s="1559"/>
      <c r="K6657" s="1559"/>
      <c r="L6657" s="1559"/>
      <c r="M6657" s="1635"/>
    </row>
    <row r="6658" spans="2:13" s="496" customFormat="1" hidden="1">
      <c r="B6658" s="1543" t="s">
        <v>706</v>
      </c>
      <c r="C6658" s="2076" t="s">
        <v>876</v>
      </c>
      <c r="D6658" s="2076"/>
      <c r="E6658" s="2076"/>
      <c r="F6658" s="2077" t="s">
        <v>3873</v>
      </c>
      <c r="G6658" s="2077"/>
      <c r="H6658" s="1107">
        <f>H6657*0.15</f>
        <v>17987.399999999998</v>
      </c>
      <c r="J6658" s="1559"/>
      <c r="K6658" s="1559"/>
      <c r="L6658" s="1559"/>
      <c r="M6658" s="1635"/>
    </row>
    <row r="6659" spans="2:13" s="496" customFormat="1" hidden="1">
      <c r="B6659" s="1543" t="s">
        <v>708</v>
      </c>
      <c r="C6659" s="2078" t="s">
        <v>3765</v>
      </c>
      <c r="D6659" s="2078"/>
      <c r="E6659" s="2078"/>
      <c r="F6659" s="2078"/>
      <c r="G6659" s="2078"/>
      <c r="H6659" s="1107">
        <f>ROUND(SUM(H6657:H6658),2)</f>
        <v>137903.4</v>
      </c>
      <c r="I6659" s="506">
        <f>SUM(H6657:H6658)</f>
        <v>137903.4</v>
      </c>
      <c r="J6659" s="1561"/>
      <c r="K6659" s="1561"/>
      <c r="L6659" s="1559"/>
      <c r="M6659" s="1635"/>
    </row>
    <row r="6660" spans="2:13" hidden="1">
      <c r="F6660" s="1172"/>
      <c r="G6660" s="1173"/>
      <c r="H6660" s="1133"/>
      <c r="M6660" s="1566"/>
    </row>
    <row r="6661" spans="2:13" hidden="1">
      <c r="B6661" s="1100" t="s">
        <v>4221</v>
      </c>
      <c r="C6661" s="1232" t="s">
        <v>2723</v>
      </c>
      <c r="F6661" s="1172"/>
      <c r="G6661" s="1173"/>
      <c r="H6661" s="1133"/>
      <c r="M6661" s="1566"/>
    </row>
    <row r="6662" spans="2:13" s="507" customFormat="1" ht="24.9" hidden="1" customHeight="1">
      <c r="B6662" s="1748" t="s">
        <v>1003</v>
      </c>
      <c r="C6662" s="1101" t="s">
        <v>1004</v>
      </c>
      <c r="D6662" s="1101" t="s">
        <v>1005</v>
      </c>
      <c r="E6662" s="1101" t="s">
        <v>1006</v>
      </c>
      <c r="F6662" s="1102" t="s">
        <v>1007</v>
      </c>
      <c r="G6662" s="1109" t="s">
        <v>2637</v>
      </c>
      <c r="H6662" s="1110" t="s">
        <v>2638</v>
      </c>
      <c r="J6662" s="1625"/>
      <c r="K6662" s="1625"/>
      <c r="L6662" s="1625"/>
      <c r="M6662" s="1570"/>
    </row>
    <row r="6663" spans="2:13" hidden="1">
      <c r="B6663" s="1543" t="s">
        <v>671</v>
      </c>
      <c r="C6663" s="1332" t="s">
        <v>672</v>
      </c>
      <c r="D6663" s="1331"/>
      <c r="E6663" s="1331"/>
      <c r="F6663" s="1334"/>
      <c r="G6663" s="1104"/>
      <c r="H6663" s="1106"/>
      <c r="M6663" s="1566"/>
    </row>
    <row r="6664" spans="2:13" hidden="1">
      <c r="B6664" s="1543"/>
      <c r="C6664" s="1332" t="s">
        <v>673</v>
      </c>
      <c r="D6664" s="1331" t="s">
        <v>674</v>
      </c>
      <c r="E6664" s="1331" t="s">
        <v>675</v>
      </c>
      <c r="F6664" s="1334">
        <v>0.108</v>
      </c>
      <c r="G6664" s="1104">
        <f>DUB!$I$10</f>
        <v>150000</v>
      </c>
      <c r="H6664" s="1106">
        <f>G6664*F6664</f>
        <v>16200</v>
      </c>
      <c r="M6664" s="1566"/>
    </row>
    <row r="6665" spans="2:13" hidden="1">
      <c r="B6665" s="1543"/>
      <c r="C6665" s="1332" t="s">
        <v>731</v>
      </c>
      <c r="D6665" s="1331" t="s">
        <v>678</v>
      </c>
      <c r="E6665" s="1331" t="s">
        <v>675</v>
      </c>
      <c r="F6665" s="1334">
        <v>0.18</v>
      </c>
      <c r="G6665" s="1104">
        <f>DUB!$I$11</f>
        <v>187000</v>
      </c>
      <c r="H6665" s="1106">
        <f>G6665*F6665</f>
        <v>33660</v>
      </c>
      <c r="M6665" s="1566"/>
    </row>
    <row r="6666" spans="2:13" hidden="1">
      <c r="B6666" s="1543"/>
      <c r="C6666" s="1332" t="s">
        <v>751</v>
      </c>
      <c r="D6666" s="1331" t="s">
        <v>681</v>
      </c>
      <c r="E6666" s="1331" t="s">
        <v>675</v>
      </c>
      <c r="F6666" s="1334">
        <v>1.7999999999999999E-2</v>
      </c>
      <c r="G6666" s="1104">
        <f>DUB!$I$13</f>
        <v>240000</v>
      </c>
      <c r="H6666" s="1106">
        <f>G6666*F6666</f>
        <v>4320</v>
      </c>
      <c r="M6666" s="1566"/>
    </row>
    <row r="6667" spans="2:13" hidden="1">
      <c r="B6667" s="1543"/>
      <c r="C6667" s="1332" t="s">
        <v>683</v>
      </c>
      <c r="D6667" s="1331" t="s">
        <v>684</v>
      </c>
      <c r="E6667" s="1331" t="s">
        <v>675</v>
      </c>
      <c r="F6667" s="1334">
        <v>5.0000000000000001E-3</v>
      </c>
      <c r="G6667" s="1104">
        <f>DUB!$I$12</f>
        <v>225000</v>
      </c>
      <c r="H6667" s="1106">
        <f>G6667*F6667</f>
        <v>1125</v>
      </c>
      <c r="M6667" s="1566"/>
    </row>
    <row r="6668" spans="2:13" hidden="1">
      <c r="B6668" s="1543"/>
      <c r="C6668" s="1332"/>
      <c r="D6668" s="1331"/>
      <c r="E6668" s="1331"/>
      <c r="F6668" s="2074" t="s">
        <v>685</v>
      </c>
      <c r="G6668" s="2074"/>
      <c r="H6668" s="1106">
        <f>SUM(H6664:H6667)</f>
        <v>55305</v>
      </c>
      <c r="M6668" s="1566"/>
    </row>
    <row r="6669" spans="2:13" hidden="1">
      <c r="B6669" s="1543" t="s">
        <v>686</v>
      </c>
      <c r="C6669" s="1332" t="s">
        <v>687</v>
      </c>
      <c r="D6669" s="1331"/>
      <c r="E6669" s="1331"/>
      <c r="F6669" s="1334"/>
      <c r="G6669" s="1104"/>
      <c r="H6669" s="1106"/>
      <c r="M6669" s="1566"/>
    </row>
    <row r="6670" spans="2:13" hidden="1">
      <c r="B6670" s="1540"/>
      <c r="C6670" s="1332" t="s">
        <v>1461</v>
      </c>
      <c r="D6670" s="1331"/>
      <c r="E6670" s="1331" t="s">
        <v>1452</v>
      </c>
      <c r="F6670" s="1334">
        <v>1.2</v>
      </c>
      <c r="G6670" s="1104">
        <f>DUB!$I$521</f>
        <v>80325</v>
      </c>
      <c r="H6670" s="1106">
        <f>G6670*F6670</f>
        <v>96390</v>
      </c>
      <c r="M6670" s="1566"/>
    </row>
    <row r="6671" spans="2:13" hidden="1">
      <c r="B6671" s="1540"/>
      <c r="C6671" s="1332" t="s">
        <v>1406</v>
      </c>
      <c r="D6671" s="1331"/>
      <c r="E6671" s="1331" t="s">
        <v>1411</v>
      </c>
      <c r="F6671" s="1334" t="s">
        <v>1453</v>
      </c>
      <c r="G6671" s="1104">
        <f>35%*H6670</f>
        <v>33736.5</v>
      </c>
      <c r="H6671" s="1106">
        <f>G6671</f>
        <v>33736.5</v>
      </c>
      <c r="M6671" s="1566"/>
    </row>
    <row r="6672" spans="2:13" hidden="1">
      <c r="B6672" s="1540"/>
      <c r="C6672" s="1125"/>
      <c r="D6672" s="1333"/>
      <c r="E6672" s="1333"/>
      <c r="F6672" s="2074" t="s">
        <v>702</v>
      </c>
      <c r="G6672" s="2074"/>
      <c r="H6672" s="1106">
        <f>SUM(H6670:H6671)</f>
        <v>130126.5</v>
      </c>
      <c r="M6672" s="1566"/>
    </row>
    <row r="6673" spans="2:13" s="496" customFormat="1" hidden="1">
      <c r="B6673" s="1543" t="s">
        <v>703</v>
      </c>
      <c r="C6673" s="2075" t="s">
        <v>3764</v>
      </c>
      <c r="D6673" s="2075"/>
      <c r="E6673" s="2075"/>
      <c r="F6673" s="2075"/>
      <c r="G6673" s="2075"/>
      <c r="H6673" s="1107">
        <f>H6668+H6672</f>
        <v>185431.5</v>
      </c>
      <c r="J6673" s="1559"/>
      <c r="K6673" s="1559"/>
      <c r="L6673" s="1559"/>
      <c r="M6673" s="1635"/>
    </row>
    <row r="6674" spans="2:13" s="496" customFormat="1" hidden="1">
      <c r="B6674" s="1543" t="s">
        <v>706</v>
      </c>
      <c r="C6674" s="2076" t="s">
        <v>876</v>
      </c>
      <c r="D6674" s="2076"/>
      <c r="E6674" s="2076"/>
      <c r="F6674" s="2077" t="s">
        <v>3873</v>
      </c>
      <c r="G6674" s="2077"/>
      <c r="H6674" s="1107">
        <f>H6673*0.15</f>
        <v>27814.724999999999</v>
      </c>
      <c r="J6674" s="1559"/>
      <c r="K6674" s="1559"/>
      <c r="L6674" s="1559"/>
      <c r="M6674" s="1635"/>
    </row>
    <row r="6675" spans="2:13" s="496" customFormat="1" hidden="1">
      <c r="B6675" s="1543" t="s">
        <v>708</v>
      </c>
      <c r="C6675" s="2078" t="s">
        <v>3765</v>
      </c>
      <c r="D6675" s="2078"/>
      <c r="E6675" s="2078"/>
      <c r="F6675" s="2078"/>
      <c r="G6675" s="2078"/>
      <c r="H6675" s="1107">
        <f>ROUND(SUM(H6673:H6674),2)</f>
        <v>213246.23</v>
      </c>
      <c r="I6675" s="506">
        <f>SUM(H6673:H6674)</f>
        <v>213246.22500000001</v>
      </c>
      <c r="J6675" s="1561"/>
      <c r="K6675" s="1561"/>
      <c r="L6675" s="1559"/>
      <c r="M6675" s="1635"/>
    </row>
    <row r="6676" spans="2:13" hidden="1">
      <c r="B6676" s="1143"/>
      <c r="C6676" s="1144"/>
      <c r="D6676" s="1143"/>
      <c r="E6676" s="1143"/>
      <c r="F6676" s="1145"/>
      <c r="G6676" s="1146"/>
      <c r="H6676" s="1147"/>
      <c r="M6676" s="1566"/>
    </row>
    <row r="6677" spans="2:13" hidden="1">
      <c r="B6677" s="1100" t="s">
        <v>4222</v>
      </c>
      <c r="C6677" s="1112" t="s">
        <v>2722</v>
      </c>
      <c r="D6677" s="1129"/>
      <c r="E6677" s="1129"/>
      <c r="F6677" s="1131"/>
      <c r="G6677" s="1132"/>
      <c r="H6677" s="1115"/>
      <c r="M6677" s="1566"/>
    </row>
    <row r="6678" spans="2:13" s="507" customFormat="1" ht="24.9" hidden="1" customHeight="1">
      <c r="B6678" s="1748" t="s">
        <v>1003</v>
      </c>
      <c r="C6678" s="1101" t="s">
        <v>1004</v>
      </c>
      <c r="D6678" s="1101" t="s">
        <v>1005</v>
      </c>
      <c r="E6678" s="1101" t="s">
        <v>1006</v>
      </c>
      <c r="F6678" s="1102" t="s">
        <v>1007</v>
      </c>
      <c r="G6678" s="1109" t="s">
        <v>2637</v>
      </c>
      <c r="H6678" s="1110" t="s">
        <v>2638</v>
      </c>
      <c r="J6678" s="1625"/>
      <c r="K6678" s="1625"/>
      <c r="L6678" s="1625"/>
      <c r="M6678" s="1570"/>
    </row>
    <row r="6679" spans="2:13" hidden="1">
      <c r="B6679" s="1543" t="s">
        <v>671</v>
      </c>
      <c r="C6679" s="1332" t="s">
        <v>672</v>
      </c>
      <c r="D6679" s="1331"/>
      <c r="E6679" s="1331"/>
      <c r="F6679" s="1334"/>
      <c r="G6679" s="1104"/>
      <c r="H6679" s="1106"/>
      <c r="M6679" s="1566"/>
    </row>
    <row r="6680" spans="2:13" hidden="1">
      <c r="B6680" s="1543"/>
      <c r="C6680" s="1332" t="s">
        <v>673</v>
      </c>
      <c r="D6680" s="1331" t="s">
        <v>674</v>
      </c>
      <c r="E6680" s="1331" t="s">
        <v>675</v>
      </c>
      <c r="F6680" s="1334">
        <v>0.13500000000000001</v>
      </c>
      <c r="G6680" s="1104">
        <f>DUB!$I$10</f>
        <v>150000</v>
      </c>
      <c r="H6680" s="1106">
        <f>G6680*F6680</f>
        <v>20250</v>
      </c>
      <c r="M6680" s="1566"/>
    </row>
    <row r="6681" spans="2:13" hidden="1">
      <c r="B6681" s="1543"/>
      <c r="C6681" s="1332" t="s">
        <v>731</v>
      </c>
      <c r="D6681" s="1331" t="s">
        <v>678</v>
      </c>
      <c r="E6681" s="1331" t="s">
        <v>675</v>
      </c>
      <c r="F6681" s="1334">
        <v>0.22500000000000001</v>
      </c>
      <c r="G6681" s="1104">
        <f>DUB!$I$11</f>
        <v>187000</v>
      </c>
      <c r="H6681" s="1106">
        <f>G6681*F6681</f>
        <v>42075</v>
      </c>
      <c r="M6681" s="1566"/>
    </row>
    <row r="6682" spans="2:13" hidden="1">
      <c r="B6682" s="1543"/>
      <c r="C6682" s="1332" t="s">
        <v>751</v>
      </c>
      <c r="D6682" s="1331" t="s">
        <v>681</v>
      </c>
      <c r="E6682" s="1331" t="s">
        <v>675</v>
      </c>
      <c r="F6682" s="1334">
        <v>2.3E-2</v>
      </c>
      <c r="G6682" s="1104">
        <f>DUB!$I$13</f>
        <v>240000</v>
      </c>
      <c r="H6682" s="1106">
        <f>G6682*F6682</f>
        <v>5520</v>
      </c>
      <c r="M6682" s="1566"/>
    </row>
    <row r="6683" spans="2:13" hidden="1">
      <c r="B6683" s="1543"/>
      <c r="C6683" s="1332" t="s">
        <v>683</v>
      </c>
      <c r="D6683" s="1331" t="s">
        <v>684</v>
      </c>
      <c r="E6683" s="1331" t="s">
        <v>675</v>
      </c>
      <c r="F6683" s="1334">
        <v>7.0000000000000001E-3</v>
      </c>
      <c r="G6683" s="1104">
        <f>DUB!$I$12</f>
        <v>225000</v>
      </c>
      <c r="H6683" s="1106">
        <f>G6683*F6683</f>
        <v>1575</v>
      </c>
      <c r="M6683" s="1566"/>
    </row>
    <row r="6684" spans="2:13" hidden="1">
      <c r="B6684" s="1543"/>
      <c r="C6684" s="1332"/>
      <c r="D6684" s="1331"/>
      <c r="E6684" s="1331"/>
      <c r="F6684" s="2074" t="s">
        <v>685</v>
      </c>
      <c r="G6684" s="2074"/>
      <c r="H6684" s="1106">
        <f>SUM(H6680:H6683)</f>
        <v>69420</v>
      </c>
      <c r="M6684" s="1566"/>
    </row>
    <row r="6685" spans="2:13" hidden="1">
      <c r="B6685" s="1543" t="s">
        <v>686</v>
      </c>
      <c r="C6685" s="1332" t="s">
        <v>687</v>
      </c>
      <c r="D6685" s="1331"/>
      <c r="E6685" s="1331"/>
      <c r="F6685" s="1334"/>
      <c r="G6685" s="1104"/>
      <c r="H6685" s="1106"/>
      <c r="M6685" s="1566"/>
    </row>
    <row r="6686" spans="2:13" hidden="1">
      <c r="B6686" s="1543"/>
      <c r="C6686" s="1332" t="s">
        <v>1462</v>
      </c>
      <c r="D6686" s="1331"/>
      <c r="E6686" s="1331" t="s">
        <v>1452</v>
      </c>
      <c r="F6686" s="1334">
        <v>1.2</v>
      </c>
      <c r="G6686" s="1104">
        <f>DUB!$I$524</f>
        <v>306774</v>
      </c>
      <c r="H6686" s="1106">
        <f>G6686*F6686</f>
        <v>368128.8</v>
      </c>
      <c r="M6686" s="1566"/>
    </row>
    <row r="6687" spans="2:13" hidden="1">
      <c r="B6687" s="1540"/>
      <c r="C6687" s="1332" t="s">
        <v>1406</v>
      </c>
      <c r="D6687" s="1331"/>
      <c r="E6687" s="1331" t="s">
        <v>1411</v>
      </c>
      <c r="F6687" s="1334" t="s">
        <v>1453</v>
      </c>
      <c r="G6687" s="1104">
        <f>35%*H6686</f>
        <v>128845.07999999999</v>
      </c>
      <c r="H6687" s="1106">
        <f>G6687</f>
        <v>128845.07999999999</v>
      </c>
      <c r="M6687" s="1566"/>
    </row>
    <row r="6688" spans="2:13" hidden="1">
      <c r="B6688" s="1540"/>
      <c r="C6688" s="1125"/>
      <c r="D6688" s="1333"/>
      <c r="E6688" s="1333"/>
      <c r="F6688" s="2074" t="s">
        <v>702</v>
      </c>
      <c r="G6688" s="2074"/>
      <c r="H6688" s="1106">
        <f>SUM(H6686:H6687)</f>
        <v>496973.88</v>
      </c>
      <c r="M6688" s="1566"/>
    </row>
    <row r="6689" spans="2:13" s="496" customFormat="1" hidden="1">
      <c r="B6689" s="1543" t="s">
        <v>703</v>
      </c>
      <c r="C6689" s="2075" t="s">
        <v>3764</v>
      </c>
      <c r="D6689" s="2075"/>
      <c r="E6689" s="2075"/>
      <c r="F6689" s="2075"/>
      <c r="G6689" s="2075"/>
      <c r="H6689" s="1107">
        <f>H6684+H6688</f>
        <v>566393.88</v>
      </c>
      <c r="J6689" s="1559"/>
      <c r="K6689" s="1559"/>
      <c r="L6689" s="1559"/>
      <c r="M6689" s="1635"/>
    </row>
    <row r="6690" spans="2:13" s="496" customFormat="1" hidden="1">
      <c r="B6690" s="1543" t="s">
        <v>706</v>
      </c>
      <c r="C6690" s="2076" t="s">
        <v>876</v>
      </c>
      <c r="D6690" s="2076"/>
      <c r="E6690" s="2076"/>
      <c r="F6690" s="2077" t="s">
        <v>3873</v>
      </c>
      <c r="G6690" s="2077"/>
      <c r="H6690" s="1107">
        <f>H6689*0.15</f>
        <v>84959.081999999995</v>
      </c>
      <c r="J6690" s="1559"/>
      <c r="K6690" s="1559"/>
      <c r="L6690" s="1559"/>
      <c r="M6690" s="1635"/>
    </row>
    <row r="6691" spans="2:13" s="496" customFormat="1" hidden="1">
      <c r="B6691" s="1543" t="s">
        <v>708</v>
      </c>
      <c r="C6691" s="2078" t="s">
        <v>3765</v>
      </c>
      <c r="D6691" s="2078"/>
      <c r="E6691" s="2078"/>
      <c r="F6691" s="2078"/>
      <c r="G6691" s="2078"/>
      <c r="H6691" s="1107">
        <f>ROUND(SUM(H6689:H6690),2)</f>
        <v>651352.96</v>
      </c>
      <c r="I6691" s="506">
        <f>SUM(H6689:H6690)</f>
        <v>651352.96200000006</v>
      </c>
      <c r="J6691" s="1561"/>
      <c r="K6691" s="1561"/>
      <c r="L6691" s="1559"/>
      <c r="M6691" s="1635"/>
    </row>
    <row r="6692" spans="2:13" hidden="1">
      <c r="F6692" s="1172"/>
      <c r="G6692" s="1173"/>
      <c r="H6692" s="1133"/>
      <c r="M6692" s="1566"/>
    </row>
    <row r="6693" spans="2:13" hidden="1">
      <c r="B6693" s="1100" t="s">
        <v>4223</v>
      </c>
      <c r="C6693" s="1232" t="s">
        <v>2721</v>
      </c>
      <c r="F6693" s="1172"/>
      <c r="G6693" s="1173"/>
      <c r="H6693" s="1133"/>
      <c r="M6693" s="1566"/>
    </row>
    <row r="6694" spans="2:13" s="507" customFormat="1" ht="24.9" hidden="1" customHeight="1">
      <c r="B6694" s="1748" t="s">
        <v>1003</v>
      </c>
      <c r="C6694" s="1101" t="s">
        <v>1004</v>
      </c>
      <c r="D6694" s="1101" t="s">
        <v>1005</v>
      </c>
      <c r="E6694" s="1101" t="s">
        <v>1006</v>
      </c>
      <c r="F6694" s="1102" t="s">
        <v>1007</v>
      </c>
      <c r="G6694" s="1109" t="s">
        <v>2637</v>
      </c>
      <c r="H6694" s="1110" t="s">
        <v>2638</v>
      </c>
      <c r="J6694" s="1625"/>
      <c r="K6694" s="1625"/>
      <c r="L6694" s="1625"/>
      <c r="M6694" s="1570"/>
    </row>
    <row r="6695" spans="2:13" hidden="1">
      <c r="B6695" s="1543" t="s">
        <v>671</v>
      </c>
      <c r="C6695" s="1332" t="s">
        <v>672</v>
      </c>
      <c r="D6695" s="1331"/>
      <c r="E6695" s="1331"/>
      <c r="F6695" s="1334"/>
      <c r="G6695" s="1104"/>
      <c r="H6695" s="1106"/>
      <c r="M6695" s="1566"/>
    </row>
    <row r="6696" spans="2:13" hidden="1">
      <c r="B6696" s="1543"/>
      <c r="C6696" s="1332" t="s">
        <v>673</v>
      </c>
      <c r="D6696" s="1331" t="s">
        <v>674</v>
      </c>
      <c r="E6696" s="1331" t="s">
        <v>675</v>
      </c>
      <c r="F6696" s="1334">
        <v>0.13500000000000001</v>
      </c>
      <c r="G6696" s="1104">
        <f>DUB!$I$10</f>
        <v>150000</v>
      </c>
      <c r="H6696" s="1106">
        <f>G6696*F6696</f>
        <v>20250</v>
      </c>
      <c r="M6696" s="1566"/>
    </row>
    <row r="6697" spans="2:13" hidden="1">
      <c r="B6697" s="1543"/>
      <c r="C6697" s="1332" t="s">
        <v>731</v>
      </c>
      <c r="D6697" s="1331" t="s">
        <v>678</v>
      </c>
      <c r="E6697" s="1331" t="s">
        <v>675</v>
      </c>
      <c r="F6697" s="1334">
        <v>0.22500000000000001</v>
      </c>
      <c r="G6697" s="1104">
        <f>DUB!$I$11</f>
        <v>187000</v>
      </c>
      <c r="H6697" s="1106">
        <f>G6697*F6697</f>
        <v>42075</v>
      </c>
      <c r="M6697" s="1566"/>
    </row>
    <row r="6698" spans="2:13" hidden="1">
      <c r="B6698" s="1543"/>
      <c r="C6698" s="1332" t="s">
        <v>751</v>
      </c>
      <c r="D6698" s="1331" t="s">
        <v>681</v>
      </c>
      <c r="E6698" s="1331" t="s">
        <v>675</v>
      </c>
      <c r="F6698" s="1334">
        <v>2.3E-2</v>
      </c>
      <c r="G6698" s="1104">
        <f>DUB!$I$13</f>
        <v>240000</v>
      </c>
      <c r="H6698" s="1106">
        <f>G6698*F6698</f>
        <v>5520</v>
      </c>
      <c r="M6698" s="1566"/>
    </row>
    <row r="6699" spans="2:13" hidden="1">
      <c r="B6699" s="1543"/>
      <c r="C6699" s="1332" t="s">
        <v>683</v>
      </c>
      <c r="D6699" s="1331" t="s">
        <v>684</v>
      </c>
      <c r="E6699" s="1331" t="s">
        <v>675</v>
      </c>
      <c r="F6699" s="1334">
        <v>7.0000000000000001E-3</v>
      </c>
      <c r="G6699" s="1104">
        <f>DUB!$I$12</f>
        <v>225000</v>
      </c>
      <c r="H6699" s="1106">
        <f>G6699*F6699</f>
        <v>1575</v>
      </c>
      <c r="M6699" s="1566"/>
    </row>
    <row r="6700" spans="2:13" hidden="1">
      <c r="B6700" s="1543"/>
      <c r="C6700" s="1332"/>
      <c r="D6700" s="1331"/>
      <c r="E6700" s="1331"/>
      <c r="F6700" s="2074" t="s">
        <v>685</v>
      </c>
      <c r="G6700" s="2074"/>
      <c r="H6700" s="1106">
        <f>SUM(H6696:H6699)</f>
        <v>69420</v>
      </c>
      <c r="M6700" s="1566"/>
    </row>
    <row r="6701" spans="2:13" hidden="1">
      <c r="B6701" s="1543" t="s">
        <v>686</v>
      </c>
      <c r="C6701" s="1332" t="s">
        <v>687</v>
      </c>
      <c r="D6701" s="1331"/>
      <c r="E6701" s="1331"/>
      <c r="F6701" s="1334"/>
      <c r="G6701" s="1104"/>
      <c r="H6701" s="1106"/>
      <c r="M6701" s="1566"/>
    </row>
    <row r="6702" spans="2:13" hidden="1">
      <c r="B6702" s="1540"/>
      <c r="C6702" s="1332" t="s">
        <v>1463</v>
      </c>
      <c r="D6702" s="1331"/>
      <c r="E6702" s="1331" t="s">
        <v>1452</v>
      </c>
      <c r="F6702" s="1334">
        <v>1.2</v>
      </c>
      <c r="G6702" s="1104">
        <f>DUB!$I$525</f>
        <v>411300</v>
      </c>
      <c r="H6702" s="1106">
        <f>G6702*F6702</f>
        <v>493560</v>
      </c>
      <c r="M6702" s="1566"/>
    </row>
    <row r="6703" spans="2:13" hidden="1">
      <c r="B6703" s="1540"/>
      <c r="C6703" s="1332" t="s">
        <v>1406</v>
      </c>
      <c r="D6703" s="1331"/>
      <c r="E6703" s="1331" t="s">
        <v>1411</v>
      </c>
      <c r="F6703" s="1334" t="s">
        <v>1453</v>
      </c>
      <c r="G6703" s="1104">
        <f>35%*H6702</f>
        <v>172746</v>
      </c>
      <c r="H6703" s="1106">
        <f>G6703</f>
        <v>172746</v>
      </c>
      <c r="M6703" s="1566"/>
    </row>
    <row r="6704" spans="2:13" hidden="1">
      <c r="B6704" s="1540"/>
      <c r="C6704" s="1125"/>
      <c r="D6704" s="1333"/>
      <c r="E6704" s="1333"/>
      <c r="F6704" s="2074" t="s">
        <v>702</v>
      </c>
      <c r="G6704" s="2074"/>
      <c r="H6704" s="1106">
        <f>SUM(H6702:H6703)</f>
        <v>666306</v>
      </c>
      <c r="M6704" s="1566"/>
    </row>
    <row r="6705" spans="2:13" s="496" customFormat="1" hidden="1">
      <c r="B6705" s="1543" t="s">
        <v>703</v>
      </c>
      <c r="C6705" s="2075" t="s">
        <v>3764</v>
      </c>
      <c r="D6705" s="2075"/>
      <c r="E6705" s="2075"/>
      <c r="F6705" s="2075"/>
      <c r="G6705" s="2075"/>
      <c r="H6705" s="1107">
        <f>H6700+H6704</f>
        <v>735726</v>
      </c>
      <c r="J6705" s="1559"/>
      <c r="K6705" s="1559"/>
      <c r="L6705" s="1559"/>
      <c r="M6705" s="1635"/>
    </row>
    <row r="6706" spans="2:13" s="496" customFormat="1" hidden="1">
      <c r="B6706" s="1543" t="s">
        <v>706</v>
      </c>
      <c r="C6706" s="2076" t="s">
        <v>876</v>
      </c>
      <c r="D6706" s="2076"/>
      <c r="E6706" s="2076"/>
      <c r="F6706" s="2077" t="s">
        <v>3873</v>
      </c>
      <c r="G6706" s="2077"/>
      <c r="H6706" s="1107">
        <f>H6705*0.15</f>
        <v>110358.9</v>
      </c>
      <c r="J6706" s="1559"/>
      <c r="K6706" s="1559"/>
      <c r="L6706" s="1559"/>
      <c r="M6706" s="1635"/>
    </row>
    <row r="6707" spans="2:13" s="496" customFormat="1" hidden="1">
      <c r="B6707" s="1543" t="s">
        <v>708</v>
      </c>
      <c r="C6707" s="2078" t="s">
        <v>3765</v>
      </c>
      <c r="D6707" s="2078"/>
      <c r="E6707" s="2078"/>
      <c r="F6707" s="2078"/>
      <c r="G6707" s="2078"/>
      <c r="H6707" s="1107">
        <f>ROUND(SUM(H6705:H6706),2)</f>
        <v>846084.9</v>
      </c>
      <c r="I6707" s="506">
        <f>SUM(H6705:H6706)</f>
        <v>846084.9</v>
      </c>
      <c r="J6707" s="1561"/>
      <c r="K6707" s="1561"/>
      <c r="L6707" s="1559"/>
      <c r="M6707" s="1635"/>
    </row>
    <row r="6708" spans="2:13" hidden="1">
      <c r="B6708" s="1143"/>
      <c r="C6708" s="1144"/>
      <c r="D6708" s="1143"/>
      <c r="E6708" s="1143"/>
      <c r="F6708" s="1145"/>
      <c r="G6708" s="1146"/>
      <c r="H6708" s="1147"/>
      <c r="M6708" s="1566"/>
    </row>
    <row r="6709" spans="2:13" hidden="1">
      <c r="B6709" s="1100" t="s">
        <v>4224</v>
      </c>
      <c r="C6709" s="1112" t="s">
        <v>4485</v>
      </c>
      <c r="D6709" s="1129"/>
      <c r="E6709" s="1129"/>
      <c r="F6709" s="1131"/>
      <c r="G6709" s="1132"/>
      <c r="H6709" s="1115"/>
      <c r="M6709" s="1566"/>
    </row>
    <row r="6710" spans="2:13" s="507" customFormat="1" ht="24.9" hidden="1" customHeight="1">
      <c r="B6710" s="1748" t="s">
        <v>1003</v>
      </c>
      <c r="C6710" s="1101" t="s">
        <v>1004</v>
      </c>
      <c r="D6710" s="1101" t="s">
        <v>1005</v>
      </c>
      <c r="E6710" s="1101" t="s">
        <v>1006</v>
      </c>
      <c r="F6710" s="1102" t="s">
        <v>1007</v>
      </c>
      <c r="G6710" s="1109" t="s">
        <v>2637</v>
      </c>
      <c r="H6710" s="1110" t="s">
        <v>2638</v>
      </c>
      <c r="J6710" s="1625"/>
      <c r="K6710" s="1625"/>
      <c r="L6710" s="1625"/>
      <c r="M6710" s="1570"/>
    </row>
    <row r="6711" spans="2:13" hidden="1">
      <c r="B6711" s="1543" t="s">
        <v>671</v>
      </c>
      <c r="C6711" s="1332" t="s">
        <v>672</v>
      </c>
      <c r="D6711" s="1331"/>
      <c r="E6711" s="1331"/>
      <c r="F6711" s="1334"/>
      <c r="G6711" s="1104"/>
      <c r="H6711" s="1106"/>
      <c r="M6711" s="1566"/>
    </row>
    <row r="6712" spans="2:13" hidden="1">
      <c r="B6712" s="1543"/>
      <c r="C6712" s="1332" t="s">
        <v>673</v>
      </c>
      <c r="D6712" s="1331" t="s">
        <v>674</v>
      </c>
      <c r="E6712" s="1331" t="s">
        <v>675</v>
      </c>
      <c r="F6712" s="1334">
        <v>3.5999999999999997E-2</v>
      </c>
      <c r="G6712" s="1104">
        <f>DUB!$I$10</f>
        <v>150000</v>
      </c>
      <c r="H6712" s="1106">
        <f>G6712*F6712</f>
        <v>5400</v>
      </c>
      <c r="M6712" s="1566"/>
    </row>
    <row r="6713" spans="2:13" hidden="1">
      <c r="B6713" s="1543"/>
      <c r="C6713" s="1332" t="s">
        <v>731</v>
      </c>
      <c r="D6713" s="1331" t="s">
        <v>678</v>
      </c>
      <c r="E6713" s="1331" t="s">
        <v>675</v>
      </c>
      <c r="F6713" s="1334">
        <v>0.06</v>
      </c>
      <c r="G6713" s="1104">
        <f>DUB!$I$11</f>
        <v>187000</v>
      </c>
      <c r="H6713" s="1106">
        <f>G6713*F6713</f>
        <v>11220</v>
      </c>
      <c r="M6713" s="1566"/>
    </row>
    <row r="6714" spans="2:13" hidden="1">
      <c r="B6714" s="1543"/>
      <c r="C6714" s="1332" t="s">
        <v>751</v>
      </c>
      <c r="D6714" s="1331" t="s">
        <v>681</v>
      </c>
      <c r="E6714" s="1331" t="s">
        <v>675</v>
      </c>
      <c r="F6714" s="1334">
        <v>6.0000000000000001E-3</v>
      </c>
      <c r="G6714" s="1104">
        <f>DUB!$I$13</f>
        <v>240000</v>
      </c>
      <c r="H6714" s="1106">
        <f>G6714*F6714</f>
        <v>1440</v>
      </c>
      <c r="M6714" s="1566"/>
    </row>
    <row r="6715" spans="2:13" hidden="1">
      <c r="B6715" s="1543"/>
      <c r="C6715" s="1332" t="s">
        <v>683</v>
      </c>
      <c r="D6715" s="1331" t="s">
        <v>684</v>
      </c>
      <c r="E6715" s="1331" t="s">
        <v>675</v>
      </c>
      <c r="F6715" s="1334">
        <v>2E-3</v>
      </c>
      <c r="G6715" s="1104">
        <f>DUB!$I$12</f>
        <v>225000</v>
      </c>
      <c r="H6715" s="1106">
        <f>G6715*F6715</f>
        <v>450</v>
      </c>
      <c r="M6715" s="1566"/>
    </row>
    <row r="6716" spans="2:13" hidden="1">
      <c r="B6716" s="1543"/>
      <c r="C6716" s="1332"/>
      <c r="D6716" s="1331"/>
      <c r="E6716" s="1331"/>
      <c r="F6716" s="2074" t="s">
        <v>685</v>
      </c>
      <c r="G6716" s="2074"/>
      <c r="H6716" s="1106">
        <f>SUM(H6712:H6715)</f>
        <v>18510</v>
      </c>
      <c r="M6716" s="1566"/>
    </row>
    <row r="6717" spans="2:13" hidden="1">
      <c r="B6717" s="1543" t="s">
        <v>686</v>
      </c>
      <c r="C6717" s="1332" t="s">
        <v>687</v>
      </c>
      <c r="D6717" s="1331"/>
      <c r="E6717" s="1331"/>
      <c r="F6717" s="1334"/>
      <c r="G6717" s="1104"/>
      <c r="H6717" s="1106"/>
      <c r="M6717" s="1566"/>
    </row>
    <row r="6718" spans="2:13" hidden="1">
      <c r="B6718" s="1540"/>
      <c r="C6718" s="1332" t="s">
        <v>1464</v>
      </c>
      <c r="D6718" s="1331"/>
      <c r="E6718" s="1331" t="s">
        <v>1452</v>
      </c>
      <c r="F6718" s="1334">
        <v>1.2</v>
      </c>
      <c r="G6718" s="1104">
        <f>DUB!$I$509</f>
        <v>4284</v>
      </c>
      <c r="H6718" s="1106">
        <f>G6718*F6718</f>
        <v>5140.8</v>
      </c>
      <c r="M6718" s="1566"/>
    </row>
    <row r="6719" spans="2:13" hidden="1">
      <c r="B6719" s="1540"/>
      <c r="C6719" s="1332" t="s">
        <v>1406</v>
      </c>
      <c r="D6719" s="1331"/>
      <c r="E6719" s="1331" t="s">
        <v>1411</v>
      </c>
      <c r="F6719" s="1334" t="s">
        <v>1453</v>
      </c>
      <c r="G6719" s="1104">
        <f>35%*H6718</f>
        <v>1799.28</v>
      </c>
      <c r="H6719" s="1106">
        <f>G6719</f>
        <v>1799.28</v>
      </c>
      <c r="M6719" s="1566"/>
    </row>
    <row r="6720" spans="2:13" hidden="1">
      <c r="B6720" s="1540"/>
      <c r="C6720" s="1332"/>
      <c r="D6720" s="1331"/>
      <c r="E6720" s="1331"/>
      <c r="F6720" s="2090" t="s">
        <v>702</v>
      </c>
      <c r="G6720" s="2090"/>
      <c r="H6720" s="1106">
        <f>SUM(H6718:H6719)</f>
        <v>6940.08</v>
      </c>
      <c r="M6720" s="1566"/>
    </row>
    <row r="6721" spans="2:13" s="496" customFormat="1" hidden="1">
      <c r="B6721" s="1543" t="s">
        <v>703</v>
      </c>
      <c r="C6721" s="2089" t="s">
        <v>3764</v>
      </c>
      <c r="D6721" s="2089"/>
      <c r="E6721" s="2089"/>
      <c r="F6721" s="2089"/>
      <c r="G6721" s="2089"/>
      <c r="H6721" s="1107">
        <f>H6716+H6720</f>
        <v>25450.080000000002</v>
      </c>
      <c r="J6721" s="1559"/>
      <c r="K6721" s="1559"/>
      <c r="L6721" s="1559"/>
      <c r="M6721" s="1635"/>
    </row>
    <row r="6722" spans="2:13" s="496" customFormat="1" hidden="1">
      <c r="B6722" s="1543" t="s">
        <v>706</v>
      </c>
      <c r="C6722" s="2076" t="s">
        <v>876</v>
      </c>
      <c r="D6722" s="2076"/>
      <c r="E6722" s="2076"/>
      <c r="F6722" s="2077" t="s">
        <v>3873</v>
      </c>
      <c r="G6722" s="2077"/>
      <c r="H6722" s="1107">
        <f>H6721*0.15</f>
        <v>3817.5120000000002</v>
      </c>
      <c r="J6722" s="1559"/>
      <c r="K6722" s="1559"/>
      <c r="L6722" s="1559"/>
      <c r="M6722" s="1635"/>
    </row>
    <row r="6723" spans="2:13" s="496" customFormat="1" hidden="1">
      <c r="B6723" s="1543" t="s">
        <v>708</v>
      </c>
      <c r="C6723" s="2078" t="s">
        <v>3765</v>
      </c>
      <c r="D6723" s="2078"/>
      <c r="E6723" s="2078"/>
      <c r="F6723" s="2078"/>
      <c r="G6723" s="2078"/>
      <c r="H6723" s="1107">
        <f>ROUND(SUM(H6721:H6722),2)</f>
        <v>29267.59</v>
      </c>
      <c r="I6723" s="506">
        <f>SUM(H6721:H6722)</f>
        <v>29267.592000000001</v>
      </c>
      <c r="J6723" s="1561"/>
      <c r="K6723" s="1561"/>
      <c r="L6723" s="1559"/>
      <c r="M6723" s="1635"/>
    </row>
    <row r="6724" spans="2:13" hidden="1">
      <c r="F6724" s="1172"/>
      <c r="G6724" s="1173"/>
      <c r="H6724" s="1133"/>
      <c r="M6724" s="1566"/>
    </row>
    <row r="6725" spans="2:13">
      <c r="B6725" s="1100" t="s">
        <v>4225</v>
      </c>
      <c r="C6725" s="1232" t="s">
        <v>2720</v>
      </c>
      <c r="F6725" s="1172"/>
      <c r="G6725" s="1173"/>
      <c r="H6725" s="1133"/>
      <c r="M6725" s="1566"/>
    </row>
    <row r="6726" spans="2:13" s="507" customFormat="1" ht="24.9" customHeight="1">
      <c r="B6726" s="1101" t="s">
        <v>1003</v>
      </c>
      <c r="C6726" s="1101" t="s">
        <v>1004</v>
      </c>
      <c r="D6726" s="1101" t="s">
        <v>1005</v>
      </c>
      <c r="E6726" s="1247" t="s">
        <v>1006</v>
      </c>
      <c r="F6726" s="1102" t="s">
        <v>1007</v>
      </c>
      <c r="G6726" s="1109" t="s">
        <v>2637</v>
      </c>
      <c r="H6726" s="1110" t="s">
        <v>2638</v>
      </c>
      <c r="I6726" s="1834"/>
      <c r="J6726" s="1823" t="s">
        <v>5335</v>
      </c>
      <c r="K6726" s="1824" t="s">
        <v>5336</v>
      </c>
      <c r="L6726" s="1824" t="s">
        <v>5337</v>
      </c>
      <c r="M6726" s="1825" t="s">
        <v>5338</v>
      </c>
    </row>
    <row r="6727" spans="2:13">
      <c r="B6727" s="1330" t="s">
        <v>671</v>
      </c>
      <c r="C6727" s="1332" t="s">
        <v>672</v>
      </c>
      <c r="D6727" s="1331"/>
      <c r="E6727" s="1531"/>
      <c r="F6727" s="1334"/>
      <c r="G6727" s="1104"/>
      <c r="H6727" s="1106"/>
      <c r="J6727" s="1597"/>
      <c r="K6727" s="1597"/>
      <c r="L6727" s="1597"/>
      <c r="M6727" s="1826"/>
    </row>
    <row r="6728" spans="2:13">
      <c r="B6728" s="1330"/>
      <c r="C6728" s="1332" t="s">
        <v>673</v>
      </c>
      <c r="D6728" s="1331" t="s">
        <v>674</v>
      </c>
      <c r="E6728" s="1331" t="s">
        <v>675</v>
      </c>
      <c r="F6728" s="1334">
        <v>3.5999999999999997E-2</v>
      </c>
      <c r="G6728" s="1104">
        <f>DUB!$I$10</f>
        <v>150000</v>
      </c>
      <c r="H6728" s="1106">
        <f>G6728*F6728</f>
        <v>5400</v>
      </c>
      <c r="J6728" s="1609" t="s">
        <v>5339</v>
      </c>
      <c r="K6728" s="1611">
        <v>1</v>
      </c>
      <c r="L6728" s="1608" t="s">
        <v>5340</v>
      </c>
      <c r="M6728" s="1827">
        <f>H6728*K6728</f>
        <v>5400</v>
      </c>
    </row>
    <row r="6729" spans="2:13">
      <c r="B6729" s="1330"/>
      <c r="C6729" s="1332" t="s">
        <v>731</v>
      </c>
      <c r="D6729" s="1331" t="s">
        <v>678</v>
      </c>
      <c r="E6729" s="1331" t="s">
        <v>675</v>
      </c>
      <c r="F6729" s="1334">
        <v>0.06</v>
      </c>
      <c r="G6729" s="1104">
        <f>DUB!$I$11</f>
        <v>187000</v>
      </c>
      <c r="H6729" s="1106">
        <f>G6729*F6729</f>
        <v>11220</v>
      </c>
      <c r="J6729" s="1609" t="s">
        <v>5339</v>
      </c>
      <c r="K6729" s="1611">
        <v>1</v>
      </c>
      <c r="L6729" s="1608" t="s">
        <v>5340</v>
      </c>
      <c r="M6729" s="1827">
        <f t="shared" ref="M6729" si="181">H6729*K6729</f>
        <v>11220</v>
      </c>
    </row>
    <row r="6730" spans="2:13">
      <c r="B6730" s="1330"/>
      <c r="C6730" s="1332" t="s">
        <v>751</v>
      </c>
      <c r="D6730" s="1331" t="s">
        <v>681</v>
      </c>
      <c r="E6730" s="1331" t="s">
        <v>675</v>
      </c>
      <c r="F6730" s="1334">
        <v>6.0000000000000001E-3</v>
      </c>
      <c r="G6730" s="1104">
        <f>DUB!$I$13</f>
        <v>240000</v>
      </c>
      <c r="H6730" s="1106">
        <f>G6730*F6730</f>
        <v>1440</v>
      </c>
      <c r="J6730" s="1609" t="s">
        <v>5339</v>
      </c>
      <c r="K6730" s="1611">
        <v>1</v>
      </c>
      <c r="L6730" s="1608" t="s">
        <v>5340</v>
      </c>
      <c r="M6730" s="1827">
        <f>H6730*K6730</f>
        <v>1440</v>
      </c>
    </row>
    <row r="6731" spans="2:13">
      <c r="B6731" s="1330"/>
      <c r="C6731" s="1332" t="s">
        <v>683</v>
      </c>
      <c r="D6731" s="1331" t="s">
        <v>684</v>
      </c>
      <c r="E6731" s="1331" t="s">
        <v>675</v>
      </c>
      <c r="F6731" s="1334">
        <v>2E-3</v>
      </c>
      <c r="G6731" s="1104">
        <f>DUB!$I$12</f>
        <v>225000</v>
      </c>
      <c r="H6731" s="1106">
        <f>G6731*F6731</f>
        <v>450</v>
      </c>
      <c r="J6731" s="1609" t="s">
        <v>5339</v>
      </c>
      <c r="K6731" s="1611">
        <v>1</v>
      </c>
      <c r="L6731" s="1608" t="s">
        <v>5340</v>
      </c>
      <c r="M6731" s="1827">
        <f t="shared" ref="M6731" si="182">H6731*K6731</f>
        <v>450</v>
      </c>
    </row>
    <row r="6732" spans="2:13">
      <c r="B6732" s="1330"/>
      <c r="C6732" s="1332"/>
      <c r="D6732" s="1331"/>
      <c r="E6732" s="1331"/>
      <c r="F6732" s="2074" t="s">
        <v>685</v>
      </c>
      <c r="G6732" s="2074"/>
      <c r="H6732" s="1106">
        <f>SUM(H6728:H6731)</f>
        <v>18510</v>
      </c>
      <c r="J6732" s="1597"/>
      <c r="K6732" s="1597"/>
      <c r="L6732" s="1597"/>
      <c r="M6732" s="1107">
        <f>SUM(M6728:M6731)</f>
        <v>18510</v>
      </c>
    </row>
    <row r="6733" spans="2:13">
      <c r="B6733" s="1330" t="s">
        <v>686</v>
      </c>
      <c r="C6733" s="1332" t="s">
        <v>687</v>
      </c>
      <c r="D6733" s="1331"/>
      <c r="E6733" s="1331"/>
      <c r="F6733" s="1334"/>
      <c r="G6733" s="1104"/>
      <c r="H6733" s="1106"/>
      <c r="J6733" s="1597"/>
      <c r="K6733" s="1597"/>
      <c r="L6733" s="1597"/>
      <c r="M6733" s="1826"/>
    </row>
    <row r="6734" spans="2:13">
      <c r="B6734" s="1330"/>
      <c r="C6734" s="1332" t="s">
        <v>3479</v>
      </c>
      <c r="D6734" s="1331"/>
      <c r="E6734" s="1331" t="s">
        <v>1452</v>
      </c>
      <c r="F6734" s="1334">
        <v>1.2</v>
      </c>
      <c r="G6734" s="1104">
        <f>DUB!$I$510</f>
        <v>7497</v>
      </c>
      <c r="H6734" s="1106">
        <f>G6734*F6734</f>
        <v>8996.4</v>
      </c>
      <c r="J6734" s="1634" t="s">
        <v>4925</v>
      </c>
      <c r="K6734" s="1611">
        <v>0.89800000000000002</v>
      </c>
      <c r="L6734" s="1607" t="s">
        <v>5343</v>
      </c>
      <c r="M6734" s="1827">
        <f>H6734*K6734</f>
        <v>8078.7672000000002</v>
      </c>
    </row>
    <row r="6735" spans="2:13">
      <c r="B6735" s="1331"/>
      <c r="C6735" s="1332" t="s">
        <v>1406</v>
      </c>
      <c r="D6735" s="1331"/>
      <c r="E6735" s="1331" t="s">
        <v>1411</v>
      </c>
      <c r="F6735" s="1334" t="s">
        <v>1453</v>
      </c>
      <c r="G6735" s="1104">
        <f>35%*H6734</f>
        <v>3148.74</v>
      </c>
      <c r="H6735" s="1106">
        <f>G6735</f>
        <v>3148.74</v>
      </c>
      <c r="J6735" s="1634" t="s">
        <v>4925</v>
      </c>
      <c r="K6735" s="1611">
        <v>1</v>
      </c>
      <c r="L6735" s="1634" t="s">
        <v>4925</v>
      </c>
      <c r="M6735" s="1827">
        <f t="shared" ref="M6735" si="183">H6735*K6735</f>
        <v>3148.74</v>
      </c>
    </row>
    <row r="6736" spans="2:13">
      <c r="B6736" s="1331"/>
      <c r="C6736" s="1332"/>
      <c r="D6736" s="1331"/>
      <c r="E6736" s="1331"/>
      <c r="F6736" s="2090" t="s">
        <v>702</v>
      </c>
      <c r="G6736" s="2090"/>
      <c r="H6736" s="1106">
        <f>SUM(H6734:H6735)</f>
        <v>12145.14</v>
      </c>
      <c r="J6736" s="1642"/>
      <c r="K6736" s="1611"/>
      <c r="L6736" s="1607"/>
      <c r="M6736" s="1106">
        <f>SUM(M6734:M6735)</f>
        <v>11227.5072</v>
      </c>
    </row>
    <row r="6737" spans="2:13" s="496" customFormat="1">
      <c r="B6737" s="1330" t="s">
        <v>703</v>
      </c>
      <c r="C6737" s="2089" t="s">
        <v>3764</v>
      </c>
      <c r="D6737" s="2089"/>
      <c r="E6737" s="2089"/>
      <c r="F6737" s="2089"/>
      <c r="G6737" s="2089"/>
      <c r="H6737" s="1107">
        <f>H6732+H6736</f>
        <v>30655.14</v>
      </c>
      <c r="J6737" s="1597"/>
      <c r="K6737" s="1633">
        <f>M6737/H6737</f>
        <v>0.97006594000223134</v>
      </c>
      <c r="L6737" s="1597"/>
      <c r="M6737" s="1107">
        <f>M6732+M6736</f>
        <v>29737.5072</v>
      </c>
    </row>
    <row r="6738" spans="2:13" s="496" customFormat="1">
      <c r="B6738" s="1330" t="s">
        <v>706</v>
      </c>
      <c r="C6738" s="2076" t="s">
        <v>876</v>
      </c>
      <c r="D6738" s="2076"/>
      <c r="E6738" s="2076"/>
      <c r="F6738" s="2077" t="s">
        <v>3873</v>
      </c>
      <c r="G6738" s="2077"/>
      <c r="H6738" s="1107">
        <f>H6737*0.15</f>
        <v>4598.2709999999997</v>
      </c>
      <c r="J6738" s="1600"/>
      <c r="K6738" s="1633"/>
      <c r="L6738" s="1600"/>
      <c r="M6738" s="1107">
        <f>M6737*0.15</f>
        <v>4460.62608</v>
      </c>
    </row>
    <row r="6739" spans="2:13" s="496" customFormat="1">
      <c r="B6739" s="1330" t="s">
        <v>708</v>
      </c>
      <c r="C6739" s="2078" t="s">
        <v>3765</v>
      </c>
      <c r="D6739" s="2078"/>
      <c r="E6739" s="2078"/>
      <c r="F6739" s="2078"/>
      <c r="G6739" s="2078"/>
      <c r="H6739" s="1107">
        <f>ROUND(SUM(H6737:H6738),2)</f>
        <v>35253.410000000003</v>
      </c>
      <c r="I6739" s="506">
        <f>SUM(H6737:H6738)</f>
        <v>35253.411</v>
      </c>
      <c r="J6739" s="1637"/>
      <c r="K6739" s="1637"/>
      <c r="L6739" s="1637"/>
      <c r="M6739" s="1919">
        <f>ROUND(SUM(M6737:M6738),2)</f>
        <v>34198.129999999997</v>
      </c>
    </row>
    <row r="6740" spans="2:13">
      <c r="B6740" s="1129"/>
      <c r="C6740" s="1130"/>
      <c r="D6740" s="1129"/>
      <c r="E6740" s="1129"/>
      <c r="F6740" s="1131"/>
      <c r="G6740" s="1132"/>
      <c r="H6740" s="1115"/>
      <c r="M6740" s="1566"/>
    </row>
    <row r="6741" spans="2:13" hidden="1">
      <c r="B6741" s="1100" t="s">
        <v>4226</v>
      </c>
      <c r="C6741" s="1112" t="s">
        <v>2719</v>
      </c>
      <c r="D6741" s="1129"/>
      <c r="E6741" s="1129"/>
      <c r="F6741" s="1131"/>
      <c r="G6741" s="1132"/>
      <c r="H6741" s="1115"/>
      <c r="M6741" s="1566"/>
    </row>
    <row r="6742" spans="2:13" s="507" customFormat="1" ht="24.9" hidden="1" customHeight="1">
      <c r="B6742" s="1748" t="s">
        <v>1003</v>
      </c>
      <c r="C6742" s="1101" t="s">
        <v>1004</v>
      </c>
      <c r="D6742" s="1101" t="s">
        <v>1005</v>
      </c>
      <c r="E6742" s="1101" t="s">
        <v>1006</v>
      </c>
      <c r="F6742" s="1102" t="s">
        <v>1007</v>
      </c>
      <c r="G6742" s="1109" t="s">
        <v>2637</v>
      </c>
      <c r="H6742" s="1110" t="s">
        <v>2638</v>
      </c>
      <c r="J6742" s="1625"/>
      <c r="K6742" s="1625"/>
      <c r="L6742" s="1625"/>
      <c r="M6742" s="1570"/>
    </row>
    <row r="6743" spans="2:13" hidden="1">
      <c r="B6743" s="1543" t="s">
        <v>671</v>
      </c>
      <c r="C6743" s="1332" t="s">
        <v>672</v>
      </c>
      <c r="D6743" s="1331"/>
      <c r="E6743" s="1331"/>
      <c r="F6743" s="1334"/>
      <c r="G6743" s="1104"/>
      <c r="H6743" s="1106"/>
      <c r="M6743" s="1566"/>
    </row>
    <row r="6744" spans="2:13" hidden="1">
      <c r="B6744" s="1543"/>
      <c r="C6744" s="1332" t="s">
        <v>673</v>
      </c>
      <c r="D6744" s="1331" t="s">
        <v>674</v>
      </c>
      <c r="E6744" s="1331" t="s">
        <v>675</v>
      </c>
      <c r="F6744" s="1334">
        <v>3.5999999999999997E-2</v>
      </c>
      <c r="G6744" s="1104">
        <f>DUB!$I$10</f>
        <v>150000</v>
      </c>
      <c r="H6744" s="1106">
        <f>G6744*F6744</f>
        <v>5400</v>
      </c>
      <c r="M6744" s="1566"/>
    </row>
    <row r="6745" spans="2:13" hidden="1">
      <c r="B6745" s="1543"/>
      <c r="C6745" s="1332" t="s">
        <v>731</v>
      </c>
      <c r="D6745" s="1331" t="s">
        <v>678</v>
      </c>
      <c r="E6745" s="1331" t="s">
        <v>675</v>
      </c>
      <c r="F6745" s="1334">
        <v>0.06</v>
      </c>
      <c r="G6745" s="1104">
        <f>DUB!$I$11</f>
        <v>187000</v>
      </c>
      <c r="H6745" s="1106">
        <f>G6745*F6745</f>
        <v>11220</v>
      </c>
      <c r="M6745" s="1566"/>
    </row>
    <row r="6746" spans="2:13" hidden="1">
      <c r="B6746" s="1543"/>
      <c r="C6746" s="1332" t="s">
        <v>751</v>
      </c>
      <c r="D6746" s="1331" t="s">
        <v>681</v>
      </c>
      <c r="E6746" s="1331" t="s">
        <v>675</v>
      </c>
      <c r="F6746" s="1334">
        <v>6.0000000000000001E-3</v>
      </c>
      <c r="G6746" s="1104">
        <f>DUB!$I$13</f>
        <v>240000</v>
      </c>
      <c r="H6746" s="1106">
        <f>G6746*F6746</f>
        <v>1440</v>
      </c>
      <c r="M6746" s="1566"/>
    </row>
    <row r="6747" spans="2:13" hidden="1">
      <c r="B6747" s="1543"/>
      <c r="C6747" s="1332" t="s">
        <v>683</v>
      </c>
      <c r="D6747" s="1331" t="s">
        <v>684</v>
      </c>
      <c r="E6747" s="1331" t="s">
        <v>675</v>
      </c>
      <c r="F6747" s="1334">
        <v>2E-3</v>
      </c>
      <c r="G6747" s="1104">
        <f>DUB!$I$12</f>
        <v>225000</v>
      </c>
      <c r="H6747" s="1106">
        <f>G6747*F6747</f>
        <v>450</v>
      </c>
      <c r="M6747" s="1566"/>
    </row>
    <row r="6748" spans="2:13" hidden="1">
      <c r="B6748" s="1543"/>
      <c r="C6748" s="1332"/>
      <c r="D6748" s="1331"/>
      <c r="E6748" s="1331"/>
      <c r="F6748" s="2074" t="s">
        <v>685</v>
      </c>
      <c r="G6748" s="2074"/>
      <c r="H6748" s="1106">
        <f>SUM(H6744:H6747)</f>
        <v>18510</v>
      </c>
      <c r="M6748" s="1566"/>
    </row>
    <row r="6749" spans="2:13" hidden="1">
      <c r="B6749" s="1543" t="s">
        <v>686</v>
      </c>
      <c r="C6749" s="1332" t="s">
        <v>687</v>
      </c>
      <c r="D6749" s="1331"/>
      <c r="E6749" s="1331"/>
      <c r="F6749" s="1334"/>
      <c r="G6749" s="1104"/>
      <c r="H6749" s="1106"/>
      <c r="M6749" s="1566"/>
    </row>
    <row r="6750" spans="2:13" hidden="1">
      <c r="B6750" s="1540"/>
      <c r="C6750" s="1332" t="s">
        <v>1465</v>
      </c>
      <c r="D6750" s="1331"/>
      <c r="E6750" s="1331" t="s">
        <v>1452</v>
      </c>
      <c r="F6750" s="1334">
        <v>1.2</v>
      </c>
      <c r="G6750" s="1104">
        <f>DUB!$I$511</f>
        <v>9639</v>
      </c>
      <c r="H6750" s="1106">
        <f>G6750*F6750</f>
        <v>11566.8</v>
      </c>
      <c r="M6750" s="1566"/>
    </row>
    <row r="6751" spans="2:13" hidden="1">
      <c r="B6751" s="1540"/>
      <c r="C6751" s="1332" t="s">
        <v>1406</v>
      </c>
      <c r="D6751" s="1331"/>
      <c r="E6751" s="1331" t="s">
        <v>1411</v>
      </c>
      <c r="F6751" s="1334" t="s">
        <v>1453</v>
      </c>
      <c r="G6751" s="1104">
        <f>35%*H6750</f>
        <v>4048.3799999999997</v>
      </c>
      <c r="H6751" s="1106">
        <f>G6751</f>
        <v>4048.3799999999997</v>
      </c>
      <c r="M6751" s="1566"/>
    </row>
    <row r="6752" spans="2:13" hidden="1">
      <c r="B6752" s="1540"/>
      <c r="C6752" s="1125"/>
      <c r="D6752" s="1333"/>
      <c r="E6752" s="1333"/>
      <c r="F6752" s="2074" t="s">
        <v>702</v>
      </c>
      <c r="G6752" s="2074"/>
      <c r="H6752" s="1106">
        <f>SUM(H6750:H6751)</f>
        <v>15615.179999999998</v>
      </c>
      <c r="M6752" s="1566"/>
    </row>
    <row r="6753" spans="2:13" s="496" customFormat="1" hidden="1">
      <c r="B6753" s="1543" t="s">
        <v>703</v>
      </c>
      <c r="C6753" s="2075" t="s">
        <v>3764</v>
      </c>
      <c r="D6753" s="2075"/>
      <c r="E6753" s="2075"/>
      <c r="F6753" s="2075"/>
      <c r="G6753" s="2075"/>
      <c r="H6753" s="1107">
        <f>H6748+H6752</f>
        <v>34125.18</v>
      </c>
      <c r="J6753" s="1559"/>
      <c r="K6753" s="1559"/>
      <c r="L6753" s="1559"/>
      <c r="M6753" s="1635"/>
    </row>
    <row r="6754" spans="2:13" s="496" customFormat="1" hidden="1">
      <c r="B6754" s="1543" t="s">
        <v>706</v>
      </c>
      <c r="C6754" s="2076" t="s">
        <v>876</v>
      </c>
      <c r="D6754" s="2076"/>
      <c r="E6754" s="2076"/>
      <c r="F6754" s="2077" t="s">
        <v>3873</v>
      </c>
      <c r="G6754" s="2077"/>
      <c r="H6754" s="1107">
        <f>H6753*0.15</f>
        <v>5118.777</v>
      </c>
      <c r="J6754" s="1559"/>
      <c r="K6754" s="1559"/>
      <c r="L6754" s="1559"/>
      <c r="M6754" s="1635"/>
    </row>
    <row r="6755" spans="2:13" s="496" customFormat="1" hidden="1">
      <c r="B6755" s="1543" t="s">
        <v>708</v>
      </c>
      <c r="C6755" s="2078" t="s">
        <v>3765</v>
      </c>
      <c r="D6755" s="2078"/>
      <c r="E6755" s="2078"/>
      <c r="F6755" s="2078"/>
      <c r="G6755" s="2078"/>
      <c r="H6755" s="1107">
        <f>ROUND(SUM(H6753:H6754),2)</f>
        <v>39243.96</v>
      </c>
      <c r="I6755" s="506">
        <f>SUM(H6753:H6754)</f>
        <v>39243.957000000002</v>
      </c>
      <c r="J6755" s="1561"/>
      <c r="K6755" s="1561"/>
      <c r="L6755" s="1559"/>
      <c r="M6755" s="1635"/>
    </row>
    <row r="6756" spans="2:13" hidden="1">
      <c r="F6756" s="1172"/>
      <c r="G6756" s="1173"/>
      <c r="H6756" s="1133"/>
      <c r="M6756" s="1566"/>
    </row>
    <row r="6757" spans="2:13">
      <c r="B6757" s="1100" t="s">
        <v>4227</v>
      </c>
      <c r="C6757" s="1232" t="s">
        <v>2718</v>
      </c>
      <c r="F6757" s="1172"/>
      <c r="G6757" s="1173"/>
      <c r="H6757" s="1133"/>
      <c r="M6757" s="1566"/>
    </row>
    <row r="6758" spans="2:13" s="507" customFormat="1" ht="24.9" customHeight="1">
      <c r="B6758" s="1101" t="s">
        <v>1003</v>
      </c>
      <c r="C6758" s="1101" t="s">
        <v>1004</v>
      </c>
      <c r="D6758" s="1101" t="s">
        <v>1005</v>
      </c>
      <c r="E6758" s="1101" t="s">
        <v>1006</v>
      </c>
      <c r="F6758" s="1102" t="s">
        <v>1007</v>
      </c>
      <c r="G6758" s="1109" t="s">
        <v>2637</v>
      </c>
      <c r="H6758" s="1110" t="s">
        <v>2638</v>
      </c>
      <c r="I6758" s="1834"/>
      <c r="J6758" s="1823" t="s">
        <v>5335</v>
      </c>
      <c r="K6758" s="1824" t="s">
        <v>5336</v>
      </c>
      <c r="L6758" s="1824" t="s">
        <v>5337</v>
      </c>
      <c r="M6758" s="1825" t="s">
        <v>5338</v>
      </c>
    </row>
    <row r="6759" spans="2:13">
      <c r="B6759" s="1330" t="s">
        <v>671</v>
      </c>
      <c r="C6759" s="1332" t="s">
        <v>672</v>
      </c>
      <c r="D6759" s="1331"/>
      <c r="E6759" s="1331"/>
      <c r="F6759" s="1334"/>
      <c r="G6759" s="1104"/>
      <c r="H6759" s="1106"/>
      <c r="J6759" s="1597"/>
      <c r="K6759" s="1597"/>
      <c r="L6759" s="1597"/>
      <c r="M6759" s="1826"/>
    </row>
    <row r="6760" spans="2:13">
      <c r="B6760" s="1330"/>
      <c r="C6760" s="1332" t="s">
        <v>673</v>
      </c>
      <c r="D6760" s="1331" t="s">
        <v>674</v>
      </c>
      <c r="E6760" s="1331" t="s">
        <v>675</v>
      </c>
      <c r="F6760" s="1334">
        <v>5.3999999999999999E-2</v>
      </c>
      <c r="G6760" s="1104">
        <f>DUB!$I$10</f>
        <v>150000</v>
      </c>
      <c r="H6760" s="1106">
        <f>G6760*F6760</f>
        <v>8100</v>
      </c>
      <c r="J6760" s="1609" t="s">
        <v>5339</v>
      </c>
      <c r="K6760" s="1611">
        <v>1</v>
      </c>
      <c r="L6760" s="1608" t="s">
        <v>5340</v>
      </c>
      <c r="M6760" s="1827">
        <f>H6760*K6760</f>
        <v>8100</v>
      </c>
    </row>
    <row r="6761" spans="2:13">
      <c r="B6761" s="1330"/>
      <c r="C6761" s="1332" t="s">
        <v>731</v>
      </c>
      <c r="D6761" s="1331" t="s">
        <v>678</v>
      </c>
      <c r="E6761" s="1331" t="s">
        <v>675</v>
      </c>
      <c r="F6761" s="1334">
        <v>0.09</v>
      </c>
      <c r="G6761" s="1104">
        <f>DUB!$I$11</f>
        <v>187000</v>
      </c>
      <c r="H6761" s="1106">
        <f>G6761*F6761</f>
        <v>16830</v>
      </c>
      <c r="J6761" s="1609" t="s">
        <v>5339</v>
      </c>
      <c r="K6761" s="1611">
        <v>1</v>
      </c>
      <c r="L6761" s="1608" t="s">
        <v>5340</v>
      </c>
      <c r="M6761" s="1827">
        <f t="shared" ref="M6761" si="184">H6761*K6761</f>
        <v>16830</v>
      </c>
    </row>
    <row r="6762" spans="2:13">
      <c r="B6762" s="1330"/>
      <c r="C6762" s="1332" t="s">
        <v>751</v>
      </c>
      <c r="D6762" s="1331" t="s">
        <v>681</v>
      </c>
      <c r="E6762" s="1331" t="s">
        <v>675</v>
      </c>
      <c r="F6762" s="1334">
        <v>8.9999999999999993E-3</v>
      </c>
      <c r="G6762" s="1104">
        <f>DUB!$I$13</f>
        <v>240000</v>
      </c>
      <c r="H6762" s="1106">
        <f>G6762*F6762</f>
        <v>2160</v>
      </c>
      <c r="J6762" s="1609" t="s">
        <v>5339</v>
      </c>
      <c r="K6762" s="1611">
        <v>1</v>
      </c>
      <c r="L6762" s="1608" t="s">
        <v>5340</v>
      </c>
      <c r="M6762" s="1827">
        <f>H6762*K6762</f>
        <v>2160</v>
      </c>
    </row>
    <row r="6763" spans="2:13">
      <c r="B6763" s="1330"/>
      <c r="C6763" s="1332" t="s">
        <v>683</v>
      </c>
      <c r="D6763" s="1331" t="s">
        <v>684</v>
      </c>
      <c r="E6763" s="1331" t="s">
        <v>675</v>
      </c>
      <c r="F6763" s="1334">
        <v>3.0000000000000001E-3</v>
      </c>
      <c r="G6763" s="1104">
        <f>DUB!$I$12</f>
        <v>225000</v>
      </c>
      <c r="H6763" s="1106">
        <f>G6763*F6763</f>
        <v>675</v>
      </c>
      <c r="J6763" s="1609" t="s">
        <v>5339</v>
      </c>
      <c r="K6763" s="1611">
        <v>1</v>
      </c>
      <c r="L6763" s="1608" t="s">
        <v>5340</v>
      </c>
      <c r="M6763" s="1827">
        <f t="shared" ref="M6763" si="185">H6763*K6763</f>
        <v>675</v>
      </c>
    </row>
    <row r="6764" spans="2:13">
      <c r="B6764" s="1330"/>
      <c r="C6764" s="1332"/>
      <c r="D6764" s="1331"/>
      <c r="E6764" s="1331"/>
      <c r="F6764" s="2074" t="s">
        <v>685</v>
      </c>
      <c r="G6764" s="2074"/>
      <c r="H6764" s="1106">
        <f>SUM(H6760:H6763)</f>
        <v>27765</v>
      </c>
      <c r="J6764" s="1597"/>
      <c r="K6764" s="1597"/>
      <c r="L6764" s="1597"/>
      <c r="M6764" s="1107">
        <f>SUM(M6760:M6763)</f>
        <v>27765</v>
      </c>
    </row>
    <row r="6765" spans="2:13">
      <c r="B6765" s="1330" t="s">
        <v>686</v>
      </c>
      <c r="C6765" s="1332" t="s">
        <v>687</v>
      </c>
      <c r="D6765" s="1331"/>
      <c r="E6765" s="1331"/>
      <c r="F6765" s="1334"/>
      <c r="G6765" s="1104"/>
      <c r="H6765" s="1106"/>
      <c r="J6765" s="1597"/>
      <c r="K6765" s="1597"/>
      <c r="L6765" s="1597"/>
      <c r="M6765" s="1826"/>
    </row>
    <row r="6766" spans="2:13">
      <c r="B6766" s="1331"/>
      <c r="C6766" s="1332" t="s">
        <v>1466</v>
      </c>
      <c r="D6766" s="1331"/>
      <c r="E6766" s="1331" t="s">
        <v>1452</v>
      </c>
      <c r="F6766" s="1334">
        <v>1.2</v>
      </c>
      <c r="G6766" s="1104">
        <f>DUB!$I$512</f>
        <v>12852</v>
      </c>
      <c r="H6766" s="1106">
        <f>G6766*F6766</f>
        <v>15422.4</v>
      </c>
      <c r="J6766" s="1634" t="s">
        <v>4925</v>
      </c>
      <c r="K6766" s="1611">
        <v>0.89800000000000002</v>
      </c>
      <c r="L6766" s="1607" t="s">
        <v>5343</v>
      </c>
      <c r="M6766" s="1827">
        <f>H6766*K6766</f>
        <v>13849.315199999999</v>
      </c>
    </row>
    <row r="6767" spans="2:13">
      <c r="B6767" s="1331"/>
      <c r="C6767" s="1332" t="s">
        <v>1406</v>
      </c>
      <c r="D6767" s="1331"/>
      <c r="E6767" s="1331" t="s">
        <v>1411</v>
      </c>
      <c r="F6767" s="1334" t="s">
        <v>1453</v>
      </c>
      <c r="G6767" s="1104">
        <f>35%*H6766</f>
        <v>5397.8399999999992</v>
      </c>
      <c r="H6767" s="1106">
        <f>G6767</f>
        <v>5397.8399999999992</v>
      </c>
      <c r="J6767" s="1634" t="s">
        <v>4925</v>
      </c>
      <c r="K6767" s="1611">
        <v>1</v>
      </c>
      <c r="L6767" s="1634" t="s">
        <v>4925</v>
      </c>
      <c r="M6767" s="1827">
        <f t="shared" ref="M6767" si="186">H6767*K6767</f>
        <v>5397.8399999999992</v>
      </c>
    </row>
    <row r="6768" spans="2:13">
      <c r="B6768" s="1331"/>
      <c r="C6768" s="1332"/>
      <c r="D6768" s="1331"/>
      <c r="E6768" s="1331"/>
      <c r="F6768" s="2090" t="s">
        <v>702</v>
      </c>
      <c r="G6768" s="2090"/>
      <c r="H6768" s="1106">
        <f>SUM(H6766:H6767)</f>
        <v>20820.239999999998</v>
      </c>
      <c r="J6768" s="1642"/>
      <c r="K6768" s="1611"/>
      <c r="L6768" s="1607"/>
      <c r="M6768" s="1106">
        <f>SUM(M6766:M6767)</f>
        <v>19247.155199999997</v>
      </c>
    </row>
    <row r="6769" spans="2:13" s="496" customFormat="1">
      <c r="B6769" s="1330" t="s">
        <v>703</v>
      </c>
      <c r="C6769" s="2089" t="s">
        <v>3764</v>
      </c>
      <c r="D6769" s="2089"/>
      <c r="E6769" s="2089"/>
      <c r="F6769" s="2089"/>
      <c r="G6769" s="2089"/>
      <c r="H6769" s="1107">
        <f>H6764+H6768</f>
        <v>48585.24</v>
      </c>
      <c r="J6769" s="1597"/>
      <c r="K6769" s="1633">
        <f>M6769/H6769</f>
        <v>0.96762216673211854</v>
      </c>
      <c r="L6769" s="1597"/>
      <c r="M6769" s="1107">
        <f>M6764+M6768</f>
        <v>47012.155199999994</v>
      </c>
    </row>
    <row r="6770" spans="2:13" s="496" customFormat="1">
      <c r="B6770" s="1330" t="s">
        <v>706</v>
      </c>
      <c r="C6770" s="2076" t="s">
        <v>876</v>
      </c>
      <c r="D6770" s="2076"/>
      <c r="E6770" s="2076"/>
      <c r="F6770" s="2077" t="s">
        <v>3873</v>
      </c>
      <c r="G6770" s="2077"/>
      <c r="H6770" s="1107">
        <f>H6769*0.15</f>
        <v>7287.7859999999991</v>
      </c>
      <c r="J6770" s="1600"/>
      <c r="K6770" s="1633"/>
      <c r="L6770" s="1600"/>
      <c r="M6770" s="1107">
        <f>M6769*0.15</f>
        <v>7051.8232799999987</v>
      </c>
    </row>
    <row r="6771" spans="2:13" s="496" customFormat="1">
      <c r="B6771" s="1330" t="s">
        <v>708</v>
      </c>
      <c r="C6771" s="2078" t="s">
        <v>3765</v>
      </c>
      <c r="D6771" s="2078"/>
      <c r="E6771" s="2078"/>
      <c r="F6771" s="2078"/>
      <c r="G6771" s="2078"/>
      <c r="H6771" s="1107">
        <f>ROUND(SUM(H6769:H6770),2)</f>
        <v>55873.03</v>
      </c>
      <c r="I6771" s="506">
        <f>SUM(H6769:H6770)</f>
        <v>55873.025999999998</v>
      </c>
      <c r="J6771" s="1637"/>
      <c r="K6771" s="1637"/>
      <c r="L6771" s="1637"/>
      <c r="M6771" s="1919">
        <f>ROUND(SUM(M6769:M6770),2)</f>
        <v>54063.98</v>
      </c>
    </row>
    <row r="6772" spans="2:13">
      <c r="B6772" s="1129"/>
      <c r="C6772" s="1130"/>
      <c r="D6772" s="1129"/>
      <c r="E6772" s="1129"/>
      <c r="F6772" s="1131"/>
      <c r="G6772" s="1132"/>
      <c r="H6772" s="1115"/>
      <c r="M6772" s="1566"/>
    </row>
    <row r="6773" spans="2:13" hidden="1">
      <c r="B6773" s="1100" t="s">
        <v>4228</v>
      </c>
      <c r="C6773" s="1112" t="s">
        <v>2717</v>
      </c>
      <c r="D6773" s="1129"/>
      <c r="E6773" s="1129"/>
      <c r="F6773" s="1131"/>
      <c r="G6773" s="1132"/>
      <c r="H6773" s="1115"/>
      <c r="M6773" s="1566"/>
    </row>
    <row r="6774" spans="2:13" s="507" customFormat="1" ht="24.9" hidden="1" customHeight="1">
      <c r="B6774" s="1748" t="s">
        <v>1003</v>
      </c>
      <c r="C6774" s="1101" t="s">
        <v>1004</v>
      </c>
      <c r="D6774" s="1101" t="s">
        <v>1005</v>
      </c>
      <c r="E6774" s="1101" t="s">
        <v>1006</v>
      </c>
      <c r="F6774" s="1102" t="s">
        <v>1007</v>
      </c>
      <c r="G6774" s="1109" t="s">
        <v>2637</v>
      </c>
      <c r="H6774" s="1110" t="s">
        <v>2638</v>
      </c>
      <c r="J6774" s="1625"/>
      <c r="K6774" s="1625"/>
      <c r="L6774" s="1625"/>
      <c r="M6774" s="1570"/>
    </row>
    <row r="6775" spans="2:13" hidden="1">
      <c r="B6775" s="1543" t="s">
        <v>671</v>
      </c>
      <c r="C6775" s="1332" t="s">
        <v>672</v>
      </c>
      <c r="D6775" s="1331"/>
      <c r="E6775" s="1331"/>
      <c r="F6775" s="1334"/>
      <c r="G6775" s="1104"/>
      <c r="H6775" s="1106"/>
      <c r="M6775" s="1566"/>
    </row>
    <row r="6776" spans="2:13" hidden="1">
      <c r="B6776" s="1543"/>
      <c r="C6776" s="1332" t="s">
        <v>673</v>
      </c>
      <c r="D6776" s="1331" t="s">
        <v>674</v>
      </c>
      <c r="E6776" s="1331" t="s">
        <v>675</v>
      </c>
      <c r="F6776" s="1334">
        <v>5.3999999999999999E-2</v>
      </c>
      <c r="G6776" s="1104">
        <f>DUB!$I$10</f>
        <v>150000</v>
      </c>
      <c r="H6776" s="1106">
        <f>G6776*F6776</f>
        <v>8100</v>
      </c>
      <c r="M6776" s="1566"/>
    </row>
    <row r="6777" spans="2:13" hidden="1">
      <c r="B6777" s="1543"/>
      <c r="C6777" s="1332" t="s">
        <v>731</v>
      </c>
      <c r="D6777" s="1331" t="s">
        <v>678</v>
      </c>
      <c r="E6777" s="1331" t="s">
        <v>675</v>
      </c>
      <c r="F6777" s="1334">
        <v>0.09</v>
      </c>
      <c r="G6777" s="1104">
        <f>DUB!$I$11</f>
        <v>187000</v>
      </c>
      <c r="H6777" s="1106">
        <f>G6777*F6777</f>
        <v>16830</v>
      </c>
      <c r="M6777" s="1566"/>
    </row>
    <row r="6778" spans="2:13" hidden="1">
      <c r="B6778" s="1543"/>
      <c r="C6778" s="1332" t="s">
        <v>751</v>
      </c>
      <c r="D6778" s="1331" t="s">
        <v>681</v>
      </c>
      <c r="E6778" s="1331" t="s">
        <v>675</v>
      </c>
      <c r="F6778" s="1334">
        <v>8.9999999999999993E-3</v>
      </c>
      <c r="G6778" s="1104">
        <f>DUB!$I$13</f>
        <v>240000</v>
      </c>
      <c r="H6778" s="1106">
        <f>G6778*F6778</f>
        <v>2160</v>
      </c>
      <c r="M6778" s="1566"/>
    </row>
    <row r="6779" spans="2:13" hidden="1">
      <c r="B6779" s="1543"/>
      <c r="C6779" s="1332" t="s">
        <v>683</v>
      </c>
      <c r="D6779" s="1331" t="s">
        <v>684</v>
      </c>
      <c r="E6779" s="1331" t="s">
        <v>675</v>
      </c>
      <c r="F6779" s="1334">
        <v>3.0000000000000001E-3</v>
      </c>
      <c r="G6779" s="1104">
        <f>DUB!$I$12</f>
        <v>225000</v>
      </c>
      <c r="H6779" s="1106">
        <f>G6779*F6779</f>
        <v>675</v>
      </c>
      <c r="M6779" s="1566"/>
    </row>
    <row r="6780" spans="2:13" hidden="1">
      <c r="B6780" s="1543"/>
      <c r="C6780" s="1332"/>
      <c r="D6780" s="1331"/>
      <c r="E6780" s="1331"/>
      <c r="F6780" s="2074" t="s">
        <v>685</v>
      </c>
      <c r="G6780" s="2074"/>
      <c r="H6780" s="1106">
        <f>SUM(H6776:H6779)</f>
        <v>27765</v>
      </c>
      <c r="M6780" s="1566"/>
    </row>
    <row r="6781" spans="2:13" hidden="1">
      <c r="B6781" s="1543" t="s">
        <v>686</v>
      </c>
      <c r="C6781" s="1332" t="s">
        <v>687</v>
      </c>
      <c r="D6781" s="1331"/>
      <c r="E6781" s="1331"/>
      <c r="F6781" s="1334"/>
      <c r="G6781" s="1104"/>
      <c r="H6781" s="1106"/>
      <c r="M6781" s="1566"/>
    </row>
    <row r="6782" spans="2:13" hidden="1">
      <c r="B6782" s="1540"/>
      <c r="C6782" s="1332" t="s">
        <v>1467</v>
      </c>
      <c r="D6782" s="1331"/>
      <c r="E6782" s="1331" t="s">
        <v>1452</v>
      </c>
      <c r="F6782" s="1334">
        <v>1.2</v>
      </c>
      <c r="G6782" s="1104">
        <f>DUB!$I$513</f>
        <v>17136</v>
      </c>
      <c r="H6782" s="1106">
        <f>G6782*F6782</f>
        <v>20563.2</v>
      </c>
      <c r="M6782" s="1566"/>
    </row>
    <row r="6783" spans="2:13" hidden="1">
      <c r="B6783" s="1540"/>
      <c r="C6783" s="1332" t="s">
        <v>1406</v>
      </c>
      <c r="D6783" s="1331"/>
      <c r="E6783" s="1331" t="s">
        <v>1411</v>
      </c>
      <c r="F6783" s="1334" t="s">
        <v>1453</v>
      </c>
      <c r="G6783" s="1104">
        <f>35%*H6782</f>
        <v>7197.12</v>
      </c>
      <c r="H6783" s="1106">
        <f>G6783</f>
        <v>7197.12</v>
      </c>
      <c r="M6783" s="1566"/>
    </row>
    <row r="6784" spans="2:13" hidden="1">
      <c r="B6784" s="1540"/>
      <c r="C6784" s="1125"/>
      <c r="D6784" s="1333"/>
      <c r="E6784" s="1333"/>
      <c r="F6784" s="2074" t="s">
        <v>702</v>
      </c>
      <c r="G6784" s="2074"/>
      <c r="H6784" s="1106">
        <f>SUM(H6782:H6783)</f>
        <v>27760.32</v>
      </c>
      <c r="M6784" s="1566"/>
    </row>
    <row r="6785" spans="2:13" s="496" customFormat="1" hidden="1">
      <c r="B6785" s="1543" t="s">
        <v>703</v>
      </c>
      <c r="C6785" s="2075" t="s">
        <v>3764</v>
      </c>
      <c r="D6785" s="2075"/>
      <c r="E6785" s="2075"/>
      <c r="F6785" s="2075"/>
      <c r="G6785" s="2075"/>
      <c r="H6785" s="1107">
        <f>H6780+H6784</f>
        <v>55525.32</v>
      </c>
      <c r="J6785" s="1559"/>
      <c r="K6785" s="1559"/>
      <c r="L6785" s="1559"/>
      <c r="M6785" s="1635"/>
    </row>
    <row r="6786" spans="2:13" s="496" customFormat="1" hidden="1">
      <c r="B6786" s="1543" t="s">
        <v>706</v>
      </c>
      <c r="C6786" s="2076" t="s">
        <v>876</v>
      </c>
      <c r="D6786" s="2076"/>
      <c r="E6786" s="2076"/>
      <c r="F6786" s="2077" t="s">
        <v>3873</v>
      </c>
      <c r="G6786" s="2077"/>
      <c r="H6786" s="1107">
        <f>H6785*0.15</f>
        <v>8328.7979999999989</v>
      </c>
      <c r="J6786" s="1559"/>
      <c r="K6786" s="1559"/>
      <c r="L6786" s="1559"/>
      <c r="M6786" s="1635"/>
    </row>
    <row r="6787" spans="2:13" s="496" customFormat="1" hidden="1">
      <c r="B6787" s="1543" t="s">
        <v>708</v>
      </c>
      <c r="C6787" s="2078" t="s">
        <v>3765</v>
      </c>
      <c r="D6787" s="2078"/>
      <c r="E6787" s="2078"/>
      <c r="F6787" s="2078"/>
      <c r="G6787" s="2078"/>
      <c r="H6787" s="1107">
        <f>ROUND(SUM(H6785:H6786),2)</f>
        <v>63854.12</v>
      </c>
      <c r="I6787" s="506">
        <f>SUM(H6785:H6786)</f>
        <v>63854.118000000002</v>
      </c>
      <c r="J6787" s="1561"/>
      <c r="K6787" s="1561"/>
      <c r="L6787" s="1559"/>
      <c r="M6787" s="1635"/>
    </row>
    <row r="6788" spans="2:13" hidden="1">
      <c r="F6788" s="1172"/>
      <c r="G6788" s="1173"/>
      <c r="H6788" s="1133"/>
      <c r="M6788" s="1566"/>
    </row>
    <row r="6789" spans="2:13" hidden="1">
      <c r="B6789" s="1100" t="s">
        <v>4229</v>
      </c>
      <c r="C6789" s="1232" t="s">
        <v>2716</v>
      </c>
      <c r="F6789" s="1172"/>
      <c r="G6789" s="1173"/>
      <c r="H6789" s="1133"/>
      <c r="M6789" s="1566"/>
    </row>
    <row r="6790" spans="2:13" s="507" customFormat="1" ht="24.9" hidden="1" customHeight="1">
      <c r="B6790" s="1748" t="s">
        <v>1003</v>
      </c>
      <c r="C6790" s="1101" t="s">
        <v>1004</v>
      </c>
      <c r="D6790" s="1101" t="s">
        <v>1005</v>
      </c>
      <c r="E6790" s="1101" t="s">
        <v>1006</v>
      </c>
      <c r="F6790" s="1102" t="s">
        <v>1007</v>
      </c>
      <c r="G6790" s="1109" t="s">
        <v>2637</v>
      </c>
      <c r="H6790" s="1110" t="s">
        <v>2638</v>
      </c>
      <c r="J6790" s="1625"/>
      <c r="K6790" s="1625"/>
      <c r="L6790" s="1625"/>
      <c r="M6790" s="1570"/>
    </row>
    <row r="6791" spans="2:13" hidden="1">
      <c r="B6791" s="1543" t="s">
        <v>671</v>
      </c>
      <c r="C6791" s="1332" t="s">
        <v>672</v>
      </c>
      <c r="D6791" s="1331"/>
      <c r="E6791" s="1331"/>
      <c r="F6791" s="1334"/>
      <c r="G6791" s="1104"/>
      <c r="H6791" s="1106"/>
      <c r="M6791" s="1566"/>
    </row>
    <row r="6792" spans="2:13" hidden="1">
      <c r="B6792" s="1543"/>
      <c r="C6792" s="1332" t="s">
        <v>673</v>
      </c>
      <c r="D6792" s="1331" t="s">
        <v>674</v>
      </c>
      <c r="E6792" s="1331" t="s">
        <v>675</v>
      </c>
      <c r="F6792" s="1334">
        <v>8.1000000000000003E-2</v>
      </c>
      <c r="G6792" s="1104">
        <f>DUB!$I$10</f>
        <v>150000</v>
      </c>
      <c r="H6792" s="1106">
        <f>G6792*F6792</f>
        <v>12150</v>
      </c>
      <c r="M6792" s="1566"/>
    </row>
    <row r="6793" spans="2:13" hidden="1">
      <c r="B6793" s="1543"/>
      <c r="C6793" s="1332" t="s">
        <v>731</v>
      </c>
      <c r="D6793" s="1331" t="s">
        <v>678</v>
      </c>
      <c r="E6793" s="1331" t="s">
        <v>675</v>
      </c>
      <c r="F6793" s="1334">
        <v>0.13500000000000001</v>
      </c>
      <c r="G6793" s="1104">
        <f>DUB!$I$11</f>
        <v>187000</v>
      </c>
      <c r="H6793" s="1106">
        <f>G6793*F6793</f>
        <v>25245</v>
      </c>
      <c r="M6793" s="1566"/>
    </row>
    <row r="6794" spans="2:13" hidden="1">
      <c r="B6794" s="1543"/>
      <c r="C6794" s="1332" t="s">
        <v>751</v>
      </c>
      <c r="D6794" s="1331" t="s">
        <v>681</v>
      </c>
      <c r="E6794" s="1331" t="s">
        <v>675</v>
      </c>
      <c r="F6794" s="1334">
        <v>1.35E-2</v>
      </c>
      <c r="G6794" s="1104">
        <f>DUB!$I$13</f>
        <v>240000</v>
      </c>
      <c r="H6794" s="1106">
        <f>G6794*F6794</f>
        <v>3240</v>
      </c>
      <c r="M6794" s="1566"/>
    </row>
    <row r="6795" spans="2:13" hidden="1">
      <c r="B6795" s="1543"/>
      <c r="C6795" s="1332" t="s">
        <v>683</v>
      </c>
      <c r="D6795" s="1331" t="s">
        <v>684</v>
      </c>
      <c r="E6795" s="1331" t="s">
        <v>675</v>
      </c>
      <c r="F6795" s="1334">
        <v>4.0000000000000001E-3</v>
      </c>
      <c r="G6795" s="1104">
        <f>DUB!$I$12</f>
        <v>225000</v>
      </c>
      <c r="H6795" s="1106">
        <f>G6795*F6795</f>
        <v>900</v>
      </c>
      <c r="M6795" s="1566"/>
    </row>
    <row r="6796" spans="2:13" hidden="1">
      <c r="B6796" s="1543"/>
      <c r="C6796" s="1332"/>
      <c r="D6796" s="1331"/>
      <c r="E6796" s="1331"/>
      <c r="F6796" s="2074" t="s">
        <v>685</v>
      </c>
      <c r="G6796" s="2074"/>
      <c r="H6796" s="1106">
        <f>SUM(H6792:H6795)</f>
        <v>41535</v>
      </c>
      <c r="M6796" s="1566"/>
    </row>
    <row r="6797" spans="2:13" hidden="1">
      <c r="B6797" s="1543" t="s">
        <v>686</v>
      </c>
      <c r="C6797" s="1332" t="s">
        <v>687</v>
      </c>
      <c r="D6797" s="1331"/>
      <c r="E6797" s="1331"/>
      <c r="F6797" s="1334"/>
      <c r="G6797" s="1104"/>
      <c r="H6797" s="1106"/>
      <c r="M6797" s="1566"/>
    </row>
    <row r="6798" spans="2:13" hidden="1">
      <c r="B6798" s="1543"/>
      <c r="C6798" s="1332" t="s">
        <v>1470</v>
      </c>
      <c r="D6798" s="1331"/>
      <c r="E6798" s="1331" t="s">
        <v>1452</v>
      </c>
      <c r="F6798" s="1334">
        <v>1.2</v>
      </c>
      <c r="G6798" s="1104">
        <f>DUB!$I$514</f>
        <v>21420</v>
      </c>
      <c r="H6798" s="1106">
        <f>G6798*F6798</f>
        <v>25704</v>
      </c>
      <c r="M6798" s="1566"/>
    </row>
    <row r="6799" spans="2:13" hidden="1">
      <c r="B6799" s="1540"/>
      <c r="C6799" s="1332" t="s">
        <v>1406</v>
      </c>
      <c r="D6799" s="1331"/>
      <c r="E6799" s="1331" t="s">
        <v>1411</v>
      </c>
      <c r="F6799" s="1334" t="s">
        <v>1453</v>
      </c>
      <c r="G6799" s="1104">
        <f>35%*H6798</f>
        <v>8996.4</v>
      </c>
      <c r="H6799" s="1106">
        <f>G6799</f>
        <v>8996.4</v>
      </c>
      <c r="M6799" s="1566"/>
    </row>
    <row r="6800" spans="2:13" hidden="1">
      <c r="B6800" s="1540"/>
      <c r="C6800" s="1125"/>
      <c r="D6800" s="1333"/>
      <c r="E6800" s="1333"/>
      <c r="F6800" s="2074" t="s">
        <v>702</v>
      </c>
      <c r="G6800" s="2074"/>
      <c r="H6800" s="1106">
        <f>SUM(H6798:H6799)</f>
        <v>34700.400000000001</v>
      </c>
      <c r="M6800" s="1566"/>
    </row>
    <row r="6801" spans="2:13" s="496" customFormat="1" hidden="1">
      <c r="B6801" s="1543" t="s">
        <v>703</v>
      </c>
      <c r="C6801" s="2075" t="s">
        <v>3764</v>
      </c>
      <c r="D6801" s="2075"/>
      <c r="E6801" s="2075"/>
      <c r="F6801" s="2075"/>
      <c r="G6801" s="2075"/>
      <c r="H6801" s="1107">
        <f>H6796+H6800</f>
        <v>76235.399999999994</v>
      </c>
      <c r="J6801" s="1559"/>
      <c r="K6801" s="1559"/>
      <c r="L6801" s="1559"/>
      <c r="M6801" s="1635"/>
    </row>
    <row r="6802" spans="2:13" s="496" customFormat="1" hidden="1">
      <c r="B6802" s="1543" t="s">
        <v>706</v>
      </c>
      <c r="C6802" s="2076" t="s">
        <v>876</v>
      </c>
      <c r="D6802" s="2076"/>
      <c r="E6802" s="2076"/>
      <c r="F6802" s="2077" t="s">
        <v>3873</v>
      </c>
      <c r="G6802" s="2077"/>
      <c r="H6802" s="1107">
        <f>H6801*0.15</f>
        <v>11435.31</v>
      </c>
      <c r="J6802" s="1559"/>
      <c r="K6802" s="1559"/>
      <c r="L6802" s="1559"/>
      <c r="M6802" s="1635"/>
    </row>
    <row r="6803" spans="2:13" s="496" customFormat="1" hidden="1">
      <c r="B6803" s="1543" t="s">
        <v>708</v>
      </c>
      <c r="C6803" s="2078" t="s">
        <v>3765</v>
      </c>
      <c r="D6803" s="2078"/>
      <c r="E6803" s="2078"/>
      <c r="F6803" s="2078"/>
      <c r="G6803" s="2078"/>
      <c r="H6803" s="1107">
        <f>ROUND(SUM(H6801:H6802),2)</f>
        <v>87670.71</v>
      </c>
      <c r="I6803" s="506">
        <f>SUM(H6801:H6802)</f>
        <v>87670.709999999992</v>
      </c>
      <c r="J6803" s="1561"/>
      <c r="K6803" s="1561"/>
      <c r="L6803" s="1559"/>
      <c r="M6803" s="1635"/>
    </row>
    <row r="6804" spans="2:13" hidden="1">
      <c r="B6804" s="1143"/>
      <c r="C6804" s="1144"/>
      <c r="D6804" s="1143"/>
      <c r="E6804" s="1143"/>
      <c r="F6804" s="1145"/>
      <c r="G6804" s="1146"/>
      <c r="H6804" s="1147"/>
      <c r="M6804" s="1566"/>
    </row>
    <row r="6805" spans="2:13">
      <c r="B6805" s="1100" t="s">
        <v>4230</v>
      </c>
      <c r="C6805" s="1112" t="s">
        <v>2715</v>
      </c>
      <c r="D6805" s="1129"/>
      <c r="E6805" s="1129"/>
      <c r="F6805" s="1131"/>
      <c r="G6805" s="1132"/>
      <c r="H6805" s="1115"/>
      <c r="M6805" s="1566"/>
    </row>
    <row r="6806" spans="2:13" s="507" customFormat="1" ht="24.9" customHeight="1">
      <c r="B6806" s="1101" t="s">
        <v>1003</v>
      </c>
      <c r="C6806" s="1101" t="s">
        <v>1004</v>
      </c>
      <c r="D6806" s="1101" t="s">
        <v>1005</v>
      </c>
      <c r="E6806" s="1101" t="s">
        <v>1006</v>
      </c>
      <c r="F6806" s="1102" t="s">
        <v>1007</v>
      </c>
      <c r="G6806" s="1109" t="s">
        <v>2637</v>
      </c>
      <c r="H6806" s="1110" t="s">
        <v>2638</v>
      </c>
      <c r="I6806" s="1834"/>
      <c r="J6806" s="1823" t="s">
        <v>5335</v>
      </c>
      <c r="K6806" s="1824" t="s">
        <v>5336</v>
      </c>
      <c r="L6806" s="1824" t="s">
        <v>5337</v>
      </c>
      <c r="M6806" s="1825" t="s">
        <v>5338</v>
      </c>
    </row>
    <row r="6807" spans="2:13">
      <c r="B6807" s="1330" t="s">
        <v>671</v>
      </c>
      <c r="C6807" s="1332" t="s">
        <v>672</v>
      </c>
      <c r="D6807" s="1331"/>
      <c r="E6807" s="1331"/>
      <c r="F6807" s="1334"/>
      <c r="G6807" s="1104"/>
      <c r="H6807" s="1106"/>
      <c r="J6807" s="1597"/>
      <c r="K6807" s="1597"/>
      <c r="L6807" s="1597"/>
      <c r="M6807" s="1826"/>
    </row>
    <row r="6808" spans="2:13">
      <c r="B6808" s="1330"/>
      <c r="C6808" s="1332" t="s">
        <v>673</v>
      </c>
      <c r="D6808" s="1331" t="s">
        <v>674</v>
      </c>
      <c r="E6808" s="1331" t="s">
        <v>675</v>
      </c>
      <c r="F6808" s="1334">
        <v>8.1000000000000003E-2</v>
      </c>
      <c r="G6808" s="1104">
        <f>DUB!$I$10</f>
        <v>150000</v>
      </c>
      <c r="H6808" s="1106">
        <f>G6808*F6808</f>
        <v>12150</v>
      </c>
      <c r="J6808" s="1609" t="s">
        <v>5339</v>
      </c>
      <c r="K6808" s="1611">
        <v>1</v>
      </c>
      <c r="L6808" s="1608" t="s">
        <v>5340</v>
      </c>
      <c r="M6808" s="1827">
        <f>H6808*K6808</f>
        <v>12150</v>
      </c>
    </row>
    <row r="6809" spans="2:13">
      <c r="B6809" s="1330"/>
      <c r="C6809" s="1332" t="s">
        <v>731</v>
      </c>
      <c r="D6809" s="1331" t="s">
        <v>678</v>
      </c>
      <c r="E6809" s="1331" t="s">
        <v>675</v>
      </c>
      <c r="F6809" s="1334">
        <v>0.13500000000000001</v>
      </c>
      <c r="G6809" s="1104">
        <f>DUB!$I$11</f>
        <v>187000</v>
      </c>
      <c r="H6809" s="1106">
        <f>G6809*F6809</f>
        <v>25245</v>
      </c>
      <c r="J6809" s="1609" t="s">
        <v>5339</v>
      </c>
      <c r="K6809" s="1611">
        <v>1</v>
      </c>
      <c r="L6809" s="1608" t="s">
        <v>5340</v>
      </c>
      <c r="M6809" s="1827">
        <f t="shared" ref="M6809" si="187">H6809*K6809</f>
        <v>25245</v>
      </c>
    </row>
    <row r="6810" spans="2:13">
      <c r="B6810" s="1330"/>
      <c r="C6810" s="1332" t="s">
        <v>751</v>
      </c>
      <c r="D6810" s="1331" t="s">
        <v>681</v>
      </c>
      <c r="E6810" s="1331" t="s">
        <v>675</v>
      </c>
      <c r="F6810" s="1334">
        <v>1.35E-2</v>
      </c>
      <c r="G6810" s="1104">
        <f>DUB!$I$13</f>
        <v>240000</v>
      </c>
      <c r="H6810" s="1106">
        <f>G6810*F6810</f>
        <v>3240</v>
      </c>
      <c r="J6810" s="1609" t="s">
        <v>5339</v>
      </c>
      <c r="K6810" s="1611">
        <v>1</v>
      </c>
      <c r="L6810" s="1608" t="s">
        <v>5340</v>
      </c>
      <c r="M6810" s="1827">
        <f>H6810*K6810</f>
        <v>3240</v>
      </c>
    </row>
    <row r="6811" spans="2:13">
      <c r="B6811" s="1330"/>
      <c r="C6811" s="1332" t="s">
        <v>683</v>
      </c>
      <c r="D6811" s="1331" t="s">
        <v>684</v>
      </c>
      <c r="E6811" s="1331" t="s">
        <v>675</v>
      </c>
      <c r="F6811" s="1334">
        <v>4.0000000000000001E-3</v>
      </c>
      <c r="G6811" s="1104">
        <f>DUB!$I$12</f>
        <v>225000</v>
      </c>
      <c r="H6811" s="1106">
        <f>G6811*F6811</f>
        <v>900</v>
      </c>
      <c r="J6811" s="1609" t="s">
        <v>5339</v>
      </c>
      <c r="K6811" s="1611">
        <v>1</v>
      </c>
      <c r="L6811" s="1608" t="s">
        <v>5340</v>
      </c>
      <c r="M6811" s="1827">
        <f t="shared" ref="M6811" si="188">H6811*K6811</f>
        <v>900</v>
      </c>
    </row>
    <row r="6812" spans="2:13">
      <c r="B6812" s="1330"/>
      <c r="C6812" s="1332"/>
      <c r="D6812" s="1331"/>
      <c r="E6812" s="1331"/>
      <c r="F6812" s="2074" t="s">
        <v>685</v>
      </c>
      <c r="G6812" s="2074"/>
      <c r="H6812" s="1106">
        <f>SUM(H6808:H6811)</f>
        <v>41535</v>
      </c>
      <c r="J6812" s="1597"/>
      <c r="K6812" s="1597"/>
      <c r="L6812" s="1597"/>
      <c r="M6812" s="1107">
        <f>SUM(M6808:M6811)</f>
        <v>41535</v>
      </c>
    </row>
    <row r="6813" spans="2:13">
      <c r="B6813" s="1330" t="s">
        <v>686</v>
      </c>
      <c r="C6813" s="1332" t="s">
        <v>687</v>
      </c>
      <c r="D6813" s="1331"/>
      <c r="E6813" s="1331"/>
      <c r="F6813" s="1334"/>
      <c r="G6813" s="1104"/>
      <c r="H6813" s="1106"/>
      <c r="J6813" s="1597"/>
      <c r="K6813" s="1597"/>
      <c r="L6813" s="1597"/>
      <c r="M6813" s="1826"/>
    </row>
    <row r="6814" spans="2:13">
      <c r="B6814" s="1330"/>
      <c r="C6814" s="1332" t="s">
        <v>1471</v>
      </c>
      <c r="D6814" s="1331"/>
      <c r="E6814" s="1331" t="s">
        <v>1452</v>
      </c>
      <c r="F6814" s="1334">
        <v>1.2</v>
      </c>
      <c r="G6814" s="1104">
        <f>DUB!$I$515</f>
        <v>26775</v>
      </c>
      <c r="H6814" s="1106">
        <f>G6814*F6814</f>
        <v>32130</v>
      </c>
      <c r="J6814" s="1634" t="s">
        <v>4925</v>
      </c>
      <c r="K6814" s="1611">
        <v>0.89800000000000002</v>
      </c>
      <c r="L6814" s="1607" t="s">
        <v>5343</v>
      </c>
      <c r="M6814" s="1827">
        <f>H6814*K6814</f>
        <v>28852.74</v>
      </c>
    </row>
    <row r="6815" spans="2:13">
      <c r="B6815" s="1330"/>
      <c r="C6815" s="1332" t="s">
        <v>1406</v>
      </c>
      <c r="D6815" s="1331"/>
      <c r="E6815" s="1331" t="s">
        <v>1411</v>
      </c>
      <c r="F6815" s="1334" t="s">
        <v>1453</v>
      </c>
      <c r="G6815" s="1104">
        <f>35%*H6814</f>
        <v>11245.5</v>
      </c>
      <c r="H6815" s="1106">
        <f>G6815</f>
        <v>11245.5</v>
      </c>
      <c r="J6815" s="1634" t="s">
        <v>4925</v>
      </c>
      <c r="K6815" s="1611">
        <v>1</v>
      </c>
      <c r="L6815" s="1634" t="s">
        <v>4925</v>
      </c>
      <c r="M6815" s="1827">
        <f t="shared" ref="M6815" si="189">H6815*K6815</f>
        <v>11245.5</v>
      </c>
    </row>
    <row r="6816" spans="2:13">
      <c r="B6816" s="1331"/>
      <c r="C6816" s="1125"/>
      <c r="D6816" s="1333"/>
      <c r="E6816" s="1333"/>
      <c r="F6816" s="2074" t="s">
        <v>702</v>
      </c>
      <c r="G6816" s="2074"/>
      <c r="H6816" s="1106">
        <f>SUM(H6814:H6815)</f>
        <v>43375.5</v>
      </c>
      <c r="J6816" s="1642"/>
      <c r="K6816" s="1611"/>
      <c r="L6816" s="1607"/>
      <c r="M6816" s="1106">
        <f>SUM(M6814:M6815)</f>
        <v>40098.240000000005</v>
      </c>
    </row>
    <row r="6817" spans="2:13" s="496" customFormat="1">
      <c r="B6817" s="1330" t="s">
        <v>703</v>
      </c>
      <c r="C6817" s="2075" t="s">
        <v>3764</v>
      </c>
      <c r="D6817" s="2075"/>
      <c r="E6817" s="2075"/>
      <c r="F6817" s="2075"/>
      <c r="G6817" s="2075"/>
      <c r="H6817" s="1107">
        <f>H6812+H6816</f>
        <v>84910.5</v>
      </c>
      <c r="J6817" s="1597"/>
      <c r="K6817" s="1633">
        <f>M6817/H6817</f>
        <v>0.96140336000847959</v>
      </c>
      <c r="L6817" s="1597"/>
      <c r="M6817" s="1107">
        <f>M6812+M6816</f>
        <v>81633.240000000005</v>
      </c>
    </row>
    <row r="6818" spans="2:13" s="496" customFormat="1">
      <c r="B6818" s="1330" t="s">
        <v>706</v>
      </c>
      <c r="C6818" s="2076" t="s">
        <v>876</v>
      </c>
      <c r="D6818" s="2076"/>
      <c r="E6818" s="2076"/>
      <c r="F6818" s="2077" t="s">
        <v>3873</v>
      </c>
      <c r="G6818" s="2077"/>
      <c r="H6818" s="1107">
        <f>H6817*0.15</f>
        <v>12736.574999999999</v>
      </c>
      <c r="J6818" s="1600"/>
      <c r="K6818" s="1633"/>
      <c r="L6818" s="1600"/>
      <c r="M6818" s="1107">
        <f>M6817*0.15</f>
        <v>12244.986000000001</v>
      </c>
    </row>
    <row r="6819" spans="2:13" s="496" customFormat="1">
      <c r="B6819" s="1330" t="s">
        <v>708</v>
      </c>
      <c r="C6819" s="2078" t="s">
        <v>3765</v>
      </c>
      <c r="D6819" s="2078"/>
      <c r="E6819" s="2078"/>
      <c r="F6819" s="2078"/>
      <c r="G6819" s="2078"/>
      <c r="H6819" s="1107">
        <f>ROUND(SUM(H6817:H6818),2)</f>
        <v>97647.08</v>
      </c>
      <c r="I6819" s="506">
        <f>SUM(H6817:H6818)</f>
        <v>97647.074999999997</v>
      </c>
      <c r="J6819" s="1637"/>
      <c r="K6819" s="1637"/>
      <c r="L6819" s="1637"/>
      <c r="M6819" s="1919">
        <f>ROUND(SUM(M6817:M6818),2)</f>
        <v>93878.23</v>
      </c>
    </row>
    <row r="6820" spans="2:13">
      <c r="F6820" s="1172"/>
      <c r="G6820" s="1173"/>
      <c r="H6820" s="1133"/>
      <c r="M6820" s="1566"/>
    </row>
    <row r="6821" spans="2:13">
      <c r="B6821" s="1100" t="s">
        <v>4231</v>
      </c>
      <c r="C6821" s="1232" t="s">
        <v>2714</v>
      </c>
      <c r="F6821" s="1172"/>
      <c r="G6821" s="1173"/>
      <c r="H6821" s="1133"/>
      <c r="M6821" s="1566"/>
    </row>
    <row r="6822" spans="2:13" s="507" customFormat="1" ht="24.9" customHeight="1">
      <c r="B6822" s="1101" t="s">
        <v>1003</v>
      </c>
      <c r="C6822" s="1101" t="s">
        <v>1004</v>
      </c>
      <c r="D6822" s="1101" t="s">
        <v>1005</v>
      </c>
      <c r="E6822" s="1101" t="s">
        <v>1006</v>
      </c>
      <c r="F6822" s="1102" t="s">
        <v>1007</v>
      </c>
      <c r="G6822" s="1109" t="s">
        <v>2637</v>
      </c>
      <c r="H6822" s="1110" t="s">
        <v>2638</v>
      </c>
      <c r="I6822" s="1834"/>
      <c r="J6822" s="1823" t="s">
        <v>5335</v>
      </c>
      <c r="K6822" s="1824" t="s">
        <v>5336</v>
      </c>
      <c r="L6822" s="1824" t="s">
        <v>5337</v>
      </c>
      <c r="M6822" s="1825" t="s">
        <v>5338</v>
      </c>
    </row>
    <row r="6823" spans="2:13">
      <c r="B6823" s="1330" t="s">
        <v>671</v>
      </c>
      <c r="C6823" s="1332" t="s">
        <v>672</v>
      </c>
      <c r="D6823" s="1331"/>
      <c r="E6823" s="1331"/>
      <c r="F6823" s="1334"/>
      <c r="G6823" s="1104"/>
      <c r="H6823" s="1106"/>
      <c r="J6823" s="1597"/>
      <c r="K6823" s="1597"/>
      <c r="L6823" s="1597"/>
      <c r="M6823" s="1826"/>
    </row>
    <row r="6824" spans="2:13">
      <c r="B6824" s="1330"/>
      <c r="C6824" s="1332" t="s">
        <v>673</v>
      </c>
      <c r="D6824" s="1331" t="s">
        <v>674</v>
      </c>
      <c r="E6824" s="1331" t="s">
        <v>675</v>
      </c>
      <c r="F6824" s="1334">
        <v>8.1000000000000003E-2</v>
      </c>
      <c r="G6824" s="1104">
        <f>DUB!$I$10</f>
        <v>150000</v>
      </c>
      <c r="H6824" s="1106">
        <f>G6824*F6824</f>
        <v>12150</v>
      </c>
      <c r="J6824" s="1609" t="s">
        <v>5339</v>
      </c>
      <c r="K6824" s="1611">
        <v>1</v>
      </c>
      <c r="L6824" s="1608" t="s">
        <v>5340</v>
      </c>
      <c r="M6824" s="1827">
        <f>H6824*K6824</f>
        <v>12150</v>
      </c>
    </row>
    <row r="6825" spans="2:13">
      <c r="B6825" s="1330"/>
      <c r="C6825" s="1332" t="s">
        <v>731</v>
      </c>
      <c r="D6825" s="1331" t="s">
        <v>678</v>
      </c>
      <c r="E6825" s="1331" t="s">
        <v>675</v>
      </c>
      <c r="F6825" s="1334">
        <v>0.13500000000000001</v>
      </c>
      <c r="G6825" s="1104">
        <f>DUB!$I$11</f>
        <v>187000</v>
      </c>
      <c r="H6825" s="1106">
        <f>G6825*F6825</f>
        <v>25245</v>
      </c>
      <c r="J6825" s="1609" t="s">
        <v>5339</v>
      </c>
      <c r="K6825" s="1611">
        <v>1</v>
      </c>
      <c r="L6825" s="1608" t="s">
        <v>5340</v>
      </c>
      <c r="M6825" s="1827">
        <f t="shared" ref="M6825" si="190">H6825*K6825</f>
        <v>25245</v>
      </c>
    </row>
    <row r="6826" spans="2:13">
      <c r="B6826" s="1330"/>
      <c r="C6826" s="1332" t="s">
        <v>751</v>
      </c>
      <c r="D6826" s="1331" t="s">
        <v>681</v>
      </c>
      <c r="E6826" s="1331" t="s">
        <v>675</v>
      </c>
      <c r="F6826" s="1334">
        <v>1.35E-2</v>
      </c>
      <c r="G6826" s="1104">
        <f>DUB!$I$13</f>
        <v>240000</v>
      </c>
      <c r="H6826" s="1106">
        <f>G6826*F6826</f>
        <v>3240</v>
      </c>
      <c r="J6826" s="1609" t="s">
        <v>5339</v>
      </c>
      <c r="K6826" s="1611">
        <v>1</v>
      </c>
      <c r="L6826" s="1608" t="s">
        <v>5340</v>
      </c>
      <c r="M6826" s="1827">
        <f>H6826*K6826</f>
        <v>3240</v>
      </c>
    </row>
    <row r="6827" spans="2:13">
      <c r="B6827" s="1330"/>
      <c r="C6827" s="1332" t="s">
        <v>683</v>
      </c>
      <c r="D6827" s="1331" t="s">
        <v>684</v>
      </c>
      <c r="E6827" s="1331" t="s">
        <v>675</v>
      </c>
      <c r="F6827" s="1334">
        <v>4.0000000000000001E-3</v>
      </c>
      <c r="G6827" s="1104">
        <f>DUB!$I$12</f>
        <v>225000</v>
      </c>
      <c r="H6827" s="1106">
        <f>G6827*F6827</f>
        <v>900</v>
      </c>
      <c r="J6827" s="1609" t="s">
        <v>5339</v>
      </c>
      <c r="K6827" s="1611">
        <v>1</v>
      </c>
      <c r="L6827" s="1608" t="s">
        <v>5340</v>
      </c>
      <c r="M6827" s="1827">
        <f t="shared" ref="M6827" si="191">H6827*K6827</f>
        <v>900</v>
      </c>
    </row>
    <row r="6828" spans="2:13">
      <c r="B6828" s="1330"/>
      <c r="C6828" s="1332"/>
      <c r="D6828" s="1331"/>
      <c r="E6828" s="1331"/>
      <c r="F6828" s="2074" t="s">
        <v>685</v>
      </c>
      <c r="G6828" s="2074"/>
      <c r="H6828" s="1106">
        <f>SUM(H6824:H6827)</f>
        <v>41535</v>
      </c>
      <c r="J6828" s="1597"/>
      <c r="K6828" s="1597"/>
      <c r="L6828" s="1597"/>
      <c r="M6828" s="1107">
        <f>SUM(M6824:M6827)</f>
        <v>41535</v>
      </c>
    </row>
    <row r="6829" spans="2:13">
      <c r="B6829" s="1330" t="s">
        <v>686</v>
      </c>
      <c r="C6829" s="1332" t="s">
        <v>687</v>
      </c>
      <c r="D6829" s="1331"/>
      <c r="E6829" s="1331"/>
      <c r="F6829" s="1334"/>
      <c r="G6829" s="1104"/>
      <c r="H6829" s="1106"/>
      <c r="J6829" s="1597"/>
      <c r="K6829" s="1597"/>
      <c r="L6829" s="1597"/>
      <c r="M6829" s="1826"/>
    </row>
    <row r="6830" spans="2:13">
      <c r="B6830" s="1331"/>
      <c r="C6830" s="1332" t="s">
        <v>3536</v>
      </c>
      <c r="D6830" s="1331"/>
      <c r="E6830" s="1331" t="s">
        <v>1452</v>
      </c>
      <c r="F6830" s="1334">
        <v>1.2</v>
      </c>
      <c r="G6830" s="1104">
        <f>DUB!$I$516</f>
        <v>37485</v>
      </c>
      <c r="H6830" s="1106">
        <f>G6830*F6830</f>
        <v>44982</v>
      </c>
      <c r="J6830" s="1634" t="s">
        <v>4925</v>
      </c>
      <c r="K6830" s="1611">
        <v>0.89800000000000002</v>
      </c>
      <c r="L6830" s="1607" t="s">
        <v>5343</v>
      </c>
      <c r="M6830" s="1827">
        <f>H6830*K6830</f>
        <v>40393.836000000003</v>
      </c>
    </row>
    <row r="6831" spans="2:13">
      <c r="B6831" s="1331"/>
      <c r="C6831" s="1332" t="s">
        <v>1406</v>
      </c>
      <c r="D6831" s="1331"/>
      <c r="E6831" s="1331" t="s">
        <v>1411</v>
      </c>
      <c r="F6831" s="1334" t="s">
        <v>1453</v>
      </c>
      <c r="G6831" s="1104">
        <f>35%*H6830</f>
        <v>15743.699999999999</v>
      </c>
      <c r="H6831" s="1106">
        <f>G6831</f>
        <v>15743.699999999999</v>
      </c>
      <c r="J6831" s="1634" t="s">
        <v>4925</v>
      </c>
      <c r="K6831" s="1611">
        <v>1</v>
      </c>
      <c r="L6831" s="1634" t="s">
        <v>4925</v>
      </c>
      <c r="M6831" s="1827">
        <f t="shared" ref="M6831" si="192">H6831*K6831</f>
        <v>15743.699999999999</v>
      </c>
    </row>
    <row r="6832" spans="2:13">
      <c r="B6832" s="1331"/>
      <c r="C6832" s="1125"/>
      <c r="D6832" s="1333"/>
      <c r="E6832" s="1333"/>
      <c r="F6832" s="2074" t="s">
        <v>702</v>
      </c>
      <c r="G6832" s="2074"/>
      <c r="H6832" s="1106">
        <f>SUM(H6830:H6831)</f>
        <v>60725.7</v>
      </c>
      <c r="J6832" s="1642"/>
      <c r="K6832" s="1611"/>
      <c r="L6832" s="1607"/>
      <c r="M6832" s="1106">
        <f>SUM(M6830:M6831)</f>
        <v>56137.536</v>
      </c>
    </row>
    <row r="6833" spans="2:13" s="496" customFormat="1">
      <c r="B6833" s="1330" t="s">
        <v>703</v>
      </c>
      <c r="C6833" s="2075" t="s">
        <v>3764</v>
      </c>
      <c r="D6833" s="2075"/>
      <c r="E6833" s="2075"/>
      <c r="F6833" s="2075"/>
      <c r="G6833" s="2075"/>
      <c r="H6833" s="1107">
        <f>H6828+H6832</f>
        <v>102260.7</v>
      </c>
      <c r="J6833" s="1597"/>
      <c r="K6833" s="1633">
        <f>M6833/H6833</f>
        <v>0.9551326756026508</v>
      </c>
      <c r="L6833" s="1597"/>
      <c r="M6833" s="1107">
        <f>M6828+M6832</f>
        <v>97672.535999999993</v>
      </c>
    </row>
    <row r="6834" spans="2:13" s="496" customFormat="1">
      <c r="B6834" s="1330" t="s">
        <v>706</v>
      </c>
      <c r="C6834" s="2076" t="s">
        <v>876</v>
      </c>
      <c r="D6834" s="2076"/>
      <c r="E6834" s="2076"/>
      <c r="F6834" s="2077" t="s">
        <v>3873</v>
      </c>
      <c r="G6834" s="2077"/>
      <c r="H6834" s="1107">
        <f>H6833*0.15</f>
        <v>15339.105</v>
      </c>
      <c r="J6834" s="1600"/>
      <c r="K6834" s="1633"/>
      <c r="L6834" s="1600"/>
      <c r="M6834" s="1107">
        <f>M6833*0.15</f>
        <v>14650.880399999998</v>
      </c>
    </row>
    <row r="6835" spans="2:13" s="496" customFormat="1">
      <c r="B6835" s="1330" t="s">
        <v>708</v>
      </c>
      <c r="C6835" s="2078" t="s">
        <v>3765</v>
      </c>
      <c r="D6835" s="2078"/>
      <c r="E6835" s="2078"/>
      <c r="F6835" s="2078"/>
      <c r="G6835" s="2078"/>
      <c r="H6835" s="1107">
        <f>ROUND(SUM(H6833:H6834),2)</f>
        <v>117599.81</v>
      </c>
      <c r="I6835" s="506">
        <f>SUM(H6833:H6834)</f>
        <v>117599.80499999999</v>
      </c>
      <c r="J6835" s="1637"/>
      <c r="K6835" s="1637"/>
      <c r="L6835" s="1637"/>
      <c r="M6835" s="1919">
        <f>ROUND(SUM(M6833:M6834),2)</f>
        <v>112323.42</v>
      </c>
    </row>
    <row r="6836" spans="2:13">
      <c r="B6836" s="1129"/>
      <c r="C6836" s="1130"/>
      <c r="D6836" s="1129"/>
      <c r="E6836" s="1130"/>
      <c r="F6836" s="1131"/>
      <c r="G6836" s="1132"/>
      <c r="H6836" s="1133"/>
      <c r="I6836" s="526"/>
      <c r="J6836" s="1562"/>
      <c r="K6836" s="1562"/>
      <c r="M6836" s="1566"/>
    </row>
    <row r="6837" spans="2:13" hidden="1">
      <c r="B6837" s="1100" t="s">
        <v>4232</v>
      </c>
      <c r="C6837" s="1232" t="s">
        <v>3448</v>
      </c>
      <c r="F6837" s="1172"/>
      <c r="G6837" s="1173"/>
      <c r="H6837" s="1133"/>
      <c r="M6837" s="1566"/>
    </row>
    <row r="6838" spans="2:13" s="507" customFormat="1" ht="24.9" hidden="1" customHeight="1">
      <c r="B6838" s="1748" t="s">
        <v>1003</v>
      </c>
      <c r="C6838" s="1101" t="s">
        <v>1004</v>
      </c>
      <c r="D6838" s="1101" t="s">
        <v>1005</v>
      </c>
      <c r="E6838" s="1101" t="s">
        <v>1006</v>
      </c>
      <c r="F6838" s="1102" t="s">
        <v>1007</v>
      </c>
      <c r="G6838" s="1109" t="s">
        <v>2637</v>
      </c>
      <c r="H6838" s="1110" t="s">
        <v>2638</v>
      </c>
      <c r="J6838" s="1625"/>
      <c r="K6838" s="1625"/>
      <c r="L6838" s="1625"/>
      <c r="M6838" s="1570"/>
    </row>
    <row r="6839" spans="2:13" hidden="1">
      <c r="B6839" s="1543" t="s">
        <v>671</v>
      </c>
      <c r="C6839" s="1332" t="s">
        <v>672</v>
      </c>
      <c r="D6839" s="1331"/>
      <c r="E6839" s="1331"/>
      <c r="F6839" s="1334"/>
      <c r="G6839" s="1104"/>
      <c r="H6839" s="1106"/>
      <c r="M6839" s="1566"/>
    </row>
    <row r="6840" spans="2:13" hidden="1">
      <c r="B6840" s="1543"/>
      <c r="C6840" s="1332" t="s">
        <v>673</v>
      </c>
      <c r="D6840" s="1331" t="s">
        <v>674</v>
      </c>
      <c r="E6840" s="1331" t="s">
        <v>675</v>
      </c>
      <c r="F6840" s="1334">
        <v>8.1000000000000003E-2</v>
      </c>
      <c r="G6840" s="1104">
        <f>DUB!$I$10</f>
        <v>150000</v>
      </c>
      <c r="H6840" s="1106">
        <f>G6840*F6840</f>
        <v>12150</v>
      </c>
      <c r="M6840" s="1566"/>
    </row>
    <row r="6841" spans="2:13" hidden="1">
      <c r="B6841" s="1543"/>
      <c r="C6841" s="1332" t="s">
        <v>731</v>
      </c>
      <c r="D6841" s="1331" t="s">
        <v>678</v>
      </c>
      <c r="E6841" s="1331" t="s">
        <v>675</v>
      </c>
      <c r="F6841" s="1334">
        <v>0.13500000000000001</v>
      </c>
      <c r="G6841" s="1104">
        <f>DUB!$I$11</f>
        <v>187000</v>
      </c>
      <c r="H6841" s="1106">
        <f>G6841*F6841</f>
        <v>25245</v>
      </c>
      <c r="M6841" s="1566"/>
    </row>
    <row r="6842" spans="2:13" hidden="1">
      <c r="B6842" s="1543"/>
      <c r="C6842" s="1332" t="s">
        <v>751</v>
      </c>
      <c r="D6842" s="1331" t="s">
        <v>681</v>
      </c>
      <c r="E6842" s="1331" t="s">
        <v>675</v>
      </c>
      <c r="F6842" s="1334">
        <v>1.35E-2</v>
      </c>
      <c r="G6842" s="1104">
        <f>DUB!$I$13</f>
        <v>240000</v>
      </c>
      <c r="H6842" s="1106">
        <f>G6842*F6842</f>
        <v>3240</v>
      </c>
      <c r="M6842" s="1566"/>
    </row>
    <row r="6843" spans="2:13" hidden="1">
      <c r="B6843" s="1543"/>
      <c r="C6843" s="1332" t="s">
        <v>683</v>
      </c>
      <c r="D6843" s="1331" t="s">
        <v>684</v>
      </c>
      <c r="E6843" s="1331" t="s">
        <v>675</v>
      </c>
      <c r="F6843" s="1334">
        <v>4.0000000000000001E-3</v>
      </c>
      <c r="G6843" s="1104">
        <f>DUB!$I$12</f>
        <v>225000</v>
      </c>
      <c r="H6843" s="1106">
        <f>G6843*F6843</f>
        <v>900</v>
      </c>
      <c r="M6843" s="1566"/>
    </row>
    <row r="6844" spans="2:13" hidden="1">
      <c r="B6844" s="1543"/>
      <c r="C6844" s="1332"/>
      <c r="D6844" s="1331"/>
      <c r="E6844" s="1331"/>
      <c r="F6844" s="2074" t="s">
        <v>685</v>
      </c>
      <c r="G6844" s="2074"/>
      <c r="H6844" s="1106">
        <f>SUM(H6840:H6843)</f>
        <v>41535</v>
      </c>
      <c r="M6844" s="1566"/>
    </row>
    <row r="6845" spans="2:13" hidden="1">
      <c r="B6845" s="1543" t="s">
        <v>686</v>
      </c>
      <c r="C6845" s="1332" t="s">
        <v>687</v>
      </c>
      <c r="D6845" s="1331"/>
      <c r="E6845" s="1331"/>
      <c r="F6845" s="1334"/>
      <c r="G6845" s="1104"/>
      <c r="H6845" s="1106"/>
      <c r="M6845" s="1566"/>
    </row>
    <row r="6846" spans="2:13" hidden="1">
      <c r="B6846" s="1540"/>
      <c r="C6846" s="1332" t="s">
        <v>3449</v>
      </c>
      <c r="D6846" s="1331"/>
      <c r="E6846" s="1331" t="s">
        <v>1452</v>
      </c>
      <c r="F6846" s="1334">
        <v>1.2</v>
      </c>
      <c r="G6846" s="1104">
        <f>DUB!$I$519</f>
        <v>42840</v>
      </c>
      <c r="H6846" s="1106">
        <f>G6846*F6846</f>
        <v>51408</v>
      </c>
      <c r="M6846" s="1566"/>
    </row>
    <row r="6847" spans="2:13" hidden="1">
      <c r="B6847" s="1540"/>
      <c r="C6847" s="1332" t="s">
        <v>1406</v>
      </c>
      <c r="D6847" s="1331"/>
      <c r="E6847" s="1331" t="s">
        <v>1411</v>
      </c>
      <c r="F6847" s="1334" t="s">
        <v>1453</v>
      </c>
      <c r="G6847" s="1104">
        <f>35%*H6846</f>
        <v>17992.8</v>
      </c>
      <c r="H6847" s="1106">
        <f>G6847</f>
        <v>17992.8</v>
      </c>
      <c r="M6847" s="1566"/>
    </row>
    <row r="6848" spans="2:13" hidden="1">
      <c r="B6848" s="1540"/>
      <c r="C6848" s="1125"/>
      <c r="D6848" s="1333"/>
      <c r="E6848" s="1333"/>
      <c r="F6848" s="2074" t="s">
        <v>702</v>
      </c>
      <c r="G6848" s="2074"/>
      <c r="H6848" s="1106">
        <f>SUM(H6846:H6847)</f>
        <v>69400.800000000003</v>
      </c>
      <c r="M6848" s="1566"/>
    </row>
    <row r="6849" spans="2:13" s="496" customFormat="1" hidden="1">
      <c r="B6849" s="1543" t="s">
        <v>703</v>
      </c>
      <c r="C6849" s="2075" t="s">
        <v>3764</v>
      </c>
      <c r="D6849" s="2075"/>
      <c r="E6849" s="2075"/>
      <c r="F6849" s="2075"/>
      <c r="G6849" s="2075"/>
      <c r="H6849" s="1107">
        <f>H6844+H6848</f>
        <v>110935.8</v>
      </c>
      <c r="J6849" s="1559"/>
      <c r="K6849" s="1559"/>
      <c r="L6849" s="1559"/>
      <c r="M6849" s="1635"/>
    </row>
    <row r="6850" spans="2:13" s="496" customFormat="1" hidden="1">
      <c r="B6850" s="1543" t="s">
        <v>706</v>
      </c>
      <c r="C6850" s="2076" t="s">
        <v>876</v>
      </c>
      <c r="D6850" s="2076"/>
      <c r="E6850" s="2076"/>
      <c r="F6850" s="2077" t="s">
        <v>3873</v>
      </c>
      <c r="G6850" s="2077"/>
      <c r="H6850" s="1107">
        <f>H6849*0.15</f>
        <v>16640.37</v>
      </c>
      <c r="J6850" s="1559"/>
      <c r="K6850" s="1559"/>
      <c r="L6850" s="1559"/>
      <c r="M6850" s="1635"/>
    </row>
    <row r="6851" spans="2:13" s="496" customFormat="1" hidden="1">
      <c r="B6851" s="1543" t="s">
        <v>708</v>
      </c>
      <c r="C6851" s="2078" t="s">
        <v>3765</v>
      </c>
      <c r="D6851" s="2078"/>
      <c r="E6851" s="2078"/>
      <c r="F6851" s="2078"/>
      <c r="G6851" s="2078"/>
      <c r="H6851" s="1107">
        <f>ROUND(SUM(H6849:H6850),2)</f>
        <v>127576.17</v>
      </c>
      <c r="I6851" s="506">
        <f>SUM(H6849:H6850)</f>
        <v>127576.17</v>
      </c>
      <c r="J6851" s="1561"/>
      <c r="K6851" s="1561"/>
      <c r="L6851" s="1559"/>
      <c r="M6851" s="1635"/>
    </row>
    <row r="6852" spans="2:13" hidden="1">
      <c r="B6852" s="1129"/>
      <c r="C6852" s="1130"/>
      <c r="D6852" s="1129"/>
      <c r="E6852" s="1130"/>
      <c r="F6852" s="1131"/>
      <c r="G6852" s="1132"/>
      <c r="H6852" s="1133"/>
      <c r="I6852" s="526"/>
      <c r="J6852" s="1562"/>
      <c r="K6852" s="1562"/>
      <c r="M6852" s="1566"/>
    </row>
    <row r="6853" spans="2:13" hidden="1">
      <c r="B6853" s="1100" t="s">
        <v>4233</v>
      </c>
      <c r="C6853" s="1232" t="s">
        <v>3450</v>
      </c>
      <c r="F6853" s="1172"/>
      <c r="G6853" s="1173"/>
      <c r="H6853" s="1133"/>
      <c r="M6853" s="1566"/>
    </row>
    <row r="6854" spans="2:13" s="507" customFormat="1" ht="24.9" hidden="1" customHeight="1">
      <c r="B6854" s="1748" t="s">
        <v>1003</v>
      </c>
      <c r="C6854" s="1101" t="s">
        <v>1004</v>
      </c>
      <c r="D6854" s="1101" t="s">
        <v>1005</v>
      </c>
      <c r="E6854" s="1101" t="s">
        <v>1006</v>
      </c>
      <c r="F6854" s="1102" t="s">
        <v>1007</v>
      </c>
      <c r="G6854" s="1109" t="s">
        <v>2637</v>
      </c>
      <c r="H6854" s="1110" t="s">
        <v>2638</v>
      </c>
      <c r="J6854" s="1625"/>
      <c r="K6854" s="1625"/>
      <c r="L6854" s="1625"/>
      <c r="M6854" s="1570"/>
    </row>
    <row r="6855" spans="2:13" hidden="1">
      <c r="B6855" s="1543" t="s">
        <v>671</v>
      </c>
      <c r="C6855" s="1332" t="s">
        <v>672</v>
      </c>
      <c r="D6855" s="1331"/>
      <c r="E6855" s="1331"/>
      <c r="F6855" s="1334"/>
      <c r="G6855" s="1104"/>
      <c r="H6855" s="1106"/>
      <c r="M6855" s="1566"/>
    </row>
    <row r="6856" spans="2:13" hidden="1">
      <c r="B6856" s="1543"/>
      <c r="C6856" s="1332" t="s">
        <v>673</v>
      </c>
      <c r="D6856" s="1331" t="s">
        <v>674</v>
      </c>
      <c r="E6856" s="1331" t="s">
        <v>675</v>
      </c>
      <c r="F6856" s="1334">
        <v>8.1000000000000003E-2</v>
      </c>
      <c r="G6856" s="1104">
        <f>DUB!$I$10</f>
        <v>150000</v>
      </c>
      <c r="H6856" s="1106">
        <f>G6856*F6856</f>
        <v>12150</v>
      </c>
      <c r="M6856" s="1566"/>
    </row>
    <row r="6857" spans="2:13" hidden="1">
      <c r="B6857" s="1543"/>
      <c r="C6857" s="1332" t="s">
        <v>731</v>
      </c>
      <c r="D6857" s="1331" t="s">
        <v>678</v>
      </c>
      <c r="E6857" s="1331" t="s">
        <v>675</v>
      </c>
      <c r="F6857" s="1334">
        <v>0.13500000000000001</v>
      </c>
      <c r="G6857" s="1104">
        <f>DUB!$I$11</f>
        <v>187000</v>
      </c>
      <c r="H6857" s="1106">
        <f>G6857*F6857</f>
        <v>25245</v>
      </c>
      <c r="M6857" s="1566"/>
    </row>
    <row r="6858" spans="2:13" hidden="1">
      <c r="B6858" s="1543"/>
      <c r="C6858" s="1332" t="s">
        <v>751</v>
      </c>
      <c r="D6858" s="1331" t="s">
        <v>681</v>
      </c>
      <c r="E6858" s="1331" t="s">
        <v>675</v>
      </c>
      <c r="F6858" s="1334">
        <v>1.35E-2</v>
      </c>
      <c r="G6858" s="1104">
        <f>DUB!$I$13</f>
        <v>240000</v>
      </c>
      <c r="H6858" s="1106">
        <f>G6858*F6858</f>
        <v>3240</v>
      </c>
      <c r="M6858" s="1566"/>
    </row>
    <row r="6859" spans="2:13" hidden="1">
      <c r="B6859" s="1543"/>
      <c r="C6859" s="1332" t="s">
        <v>683</v>
      </c>
      <c r="D6859" s="1331" t="s">
        <v>684</v>
      </c>
      <c r="E6859" s="1331" t="s">
        <v>675</v>
      </c>
      <c r="F6859" s="1334">
        <v>4.0000000000000001E-3</v>
      </c>
      <c r="G6859" s="1104">
        <f>DUB!$I$12</f>
        <v>225000</v>
      </c>
      <c r="H6859" s="1106">
        <f>G6859*F6859</f>
        <v>900</v>
      </c>
      <c r="M6859" s="1566"/>
    </row>
    <row r="6860" spans="2:13" hidden="1">
      <c r="B6860" s="1543"/>
      <c r="C6860" s="1332"/>
      <c r="D6860" s="1331"/>
      <c r="E6860" s="1331"/>
      <c r="F6860" s="2074" t="s">
        <v>685</v>
      </c>
      <c r="G6860" s="2074"/>
      <c r="H6860" s="1106">
        <f>SUM(H6856:H6859)</f>
        <v>41535</v>
      </c>
      <c r="M6860" s="1566"/>
    </row>
    <row r="6861" spans="2:13" hidden="1">
      <c r="B6861" s="1543" t="s">
        <v>686</v>
      </c>
      <c r="C6861" s="1332" t="s">
        <v>687</v>
      </c>
      <c r="D6861" s="1331"/>
      <c r="E6861" s="1331"/>
      <c r="F6861" s="1334"/>
      <c r="G6861" s="1104"/>
      <c r="H6861" s="1106"/>
      <c r="M6861" s="1566"/>
    </row>
    <row r="6862" spans="2:13" hidden="1">
      <c r="B6862" s="1540"/>
      <c r="C6862" s="1332" t="s">
        <v>3451</v>
      </c>
      <c r="D6862" s="1331"/>
      <c r="E6862" s="1331" t="s">
        <v>1452</v>
      </c>
      <c r="F6862" s="1334">
        <v>1.2</v>
      </c>
      <c r="G6862" s="1104">
        <f>DUB!$I$520</f>
        <v>53550</v>
      </c>
      <c r="H6862" s="1106">
        <f>G6862*F6862</f>
        <v>64260</v>
      </c>
      <c r="M6862" s="1566"/>
    </row>
    <row r="6863" spans="2:13" hidden="1">
      <c r="B6863" s="1540"/>
      <c r="C6863" s="1332" t="s">
        <v>1406</v>
      </c>
      <c r="D6863" s="1331"/>
      <c r="E6863" s="1331" t="s">
        <v>1411</v>
      </c>
      <c r="F6863" s="1334" t="s">
        <v>1453</v>
      </c>
      <c r="G6863" s="1104">
        <f>35%*H6862</f>
        <v>22491</v>
      </c>
      <c r="H6863" s="1106">
        <f>G6863</f>
        <v>22491</v>
      </c>
      <c r="M6863" s="1566"/>
    </row>
    <row r="6864" spans="2:13" hidden="1">
      <c r="B6864" s="1540"/>
      <c r="C6864" s="1125"/>
      <c r="D6864" s="1333"/>
      <c r="E6864" s="1333"/>
      <c r="F6864" s="2074" t="s">
        <v>702</v>
      </c>
      <c r="G6864" s="2074"/>
      <c r="H6864" s="1106">
        <f>SUM(H6862:H6863)</f>
        <v>86751</v>
      </c>
      <c r="M6864" s="1566"/>
    </row>
    <row r="6865" spans="2:13" s="496" customFormat="1" hidden="1">
      <c r="B6865" s="1543" t="s">
        <v>703</v>
      </c>
      <c r="C6865" s="2075" t="s">
        <v>3764</v>
      </c>
      <c r="D6865" s="2075"/>
      <c r="E6865" s="2075"/>
      <c r="F6865" s="2075"/>
      <c r="G6865" s="2075"/>
      <c r="H6865" s="1107">
        <f>H6860+H6864</f>
        <v>128286</v>
      </c>
      <c r="J6865" s="1559"/>
      <c r="K6865" s="1559"/>
      <c r="L6865" s="1559"/>
      <c r="M6865" s="1635"/>
    </row>
    <row r="6866" spans="2:13" s="496" customFormat="1" hidden="1">
      <c r="B6866" s="1543" t="s">
        <v>706</v>
      </c>
      <c r="C6866" s="2076" t="s">
        <v>876</v>
      </c>
      <c r="D6866" s="2076"/>
      <c r="E6866" s="2076"/>
      <c r="F6866" s="2077" t="s">
        <v>3873</v>
      </c>
      <c r="G6866" s="2077"/>
      <c r="H6866" s="1107">
        <f>H6865*0.15</f>
        <v>19242.899999999998</v>
      </c>
      <c r="J6866" s="1559"/>
      <c r="K6866" s="1559"/>
      <c r="L6866" s="1559"/>
      <c r="M6866" s="1635"/>
    </row>
    <row r="6867" spans="2:13" s="496" customFormat="1" hidden="1">
      <c r="B6867" s="1543" t="s">
        <v>708</v>
      </c>
      <c r="C6867" s="2078" t="s">
        <v>3765</v>
      </c>
      <c r="D6867" s="2078"/>
      <c r="E6867" s="2078"/>
      <c r="F6867" s="2078"/>
      <c r="G6867" s="2078"/>
      <c r="H6867" s="1107">
        <f>ROUND(SUM(H6865:H6866),2)</f>
        <v>147528.9</v>
      </c>
      <c r="I6867" s="506">
        <f>SUM(H6865:H6866)</f>
        <v>147528.9</v>
      </c>
      <c r="J6867" s="1561"/>
      <c r="K6867" s="1561"/>
      <c r="L6867" s="1559"/>
      <c r="M6867" s="1635"/>
    </row>
    <row r="6868" spans="2:13" hidden="1">
      <c r="B6868" s="1129"/>
      <c r="C6868" s="1130"/>
      <c r="D6868" s="1129"/>
      <c r="E6868" s="1130"/>
      <c r="F6868" s="1131"/>
      <c r="G6868" s="1132"/>
      <c r="H6868" s="1133"/>
      <c r="I6868" s="526"/>
      <c r="J6868" s="1562"/>
      <c r="K6868" s="1562"/>
      <c r="M6868" s="1566"/>
    </row>
    <row r="6869" spans="2:13" hidden="1">
      <c r="B6869" s="1100" t="s">
        <v>4234</v>
      </c>
      <c r="C6869" s="1232" t="s">
        <v>3452</v>
      </c>
      <c r="F6869" s="1172"/>
      <c r="G6869" s="1173"/>
      <c r="H6869" s="1133"/>
      <c r="M6869" s="1566"/>
    </row>
    <row r="6870" spans="2:13" s="507" customFormat="1" ht="24.9" hidden="1" customHeight="1">
      <c r="B6870" s="1748" t="s">
        <v>1003</v>
      </c>
      <c r="C6870" s="1101" t="s">
        <v>1004</v>
      </c>
      <c r="D6870" s="1101" t="s">
        <v>1005</v>
      </c>
      <c r="E6870" s="1101" t="s">
        <v>1006</v>
      </c>
      <c r="F6870" s="1102" t="s">
        <v>1007</v>
      </c>
      <c r="G6870" s="1109" t="s">
        <v>2637</v>
      </c>
      <c r="H6870" s="1110" t="s">
        <v>2638</v>
      </c>
      <c r="J6870" s="1625"/>
      <c r="K6870" s="1625"/>
      <c r="L6870" s="1625"/>
      <c r="M6870" s="1570"/>
    </row>
    <row r="6871" spans="2:13" hidden="1">
      <c r="B6871" s="1543" t="s">
        <v>671</v>
      </c>
      <c r="C6871" s="1332" t="s">
        <v>672</v>
      </c>
      <c r="D6871" s="1331"/>
      <c r="E6871" s="1331"/>
      <c r="F6871" s="1334"/>
      <c r="G6871" s="1104"/>
      <c r="H6871" s="1106"/>
      <c r="M6871" s="1566"/>
    </row>
    <row r="6872" spans="2:13" hidden="1">
      <c r="B6872" s="1543"/>
      <c r="C6872" s="1332" t="s">
        <v>673</v>
      </c>
      <c r="D6872" s="1331" t="s">
        <v>674</v>
      </c>
      <c r="E6872" s="1331" t="s">
        <v>675</v>
      </c>
      <c r="F6872" s="1334">
        <v>8.1000000000000003E-2</v>
      </c>
      <c r="G6872" s="1104">
        <f>DUB!$I$10</f>
        <v>150000</v>
      </c>
      <c r="H6872" s="1106">
        <f>G6872*F6872</f>
        <v>12150</v>
      </c>
      <c r="M6872" s="1566"/>
    </row>
    <row r="6873" spans="2:13" hidden="1">
      <c r="B6873" s="1543"/>
      <c r="C6873" s="1332" t="s">
        <v>731</v>
      </c>
      <c r="D6873" s="1331" t="s">
        <v>678</v>
      </c>
      <c r="E6873" s="1331" t="s">
        <v>675</v>
      </c>
      <c r="F6873" s="1334">
        <v>0.13500000000000001</v>
      </c>
      <c r="G6873" s="1104">
        <f>DUB!$I$11</f>
        <v>187000</v>
      </c>
      <c r="H6873" s="1106">
        <f>G6873*F6873</f>
        <v>25245</v>
      </c>
      <c r="M6873" s="1566"/>
    </row>
    <row r="6874" spans="2:13" hidden="1">
      <c r="B6874" s="1543"/>
      <c r="C6874" s="1332" t="s">
        <v>751</v>
      </c>
      <c r="D6874" s="1331" t="s">
        <v>681</v>
      </c>
      <c r="E6874" s="1331" t="s">
        <v>675</v>
      </c>
      <c r="F6874" s="1334">
        <v>1.35E-2</v>
      </c>
      <c r="G6874" s="1104">
        <f>DUB!$I$13</f>
        <v>240000</v>
      </c>
      <c r="H6874" s="1106">
        <f>G6874*F6874</f>
        <v>3240</v>
      </c>
      <c r="M6874" s="1566"/>
    </row>
    <row r="6875" spans="2:13" hidden="1">
      <c r="B6875" s="1543"/>
      <c r="C6875" s="1332" t="s">
        <v>683</v>
      </c>
      <c r="D6875" s="1331" t="s">
        <v>684</v>
      </c>
      <c r="E6875" s="1331" t="s">
        <v>675</v>
      </c>
      <c r="F6875" s="1334">
        <v>4.0000000000000001E-3</v>
      </c>
      <c r="G6875" s="1104">
        <f>DUB!$I$12</f>
        <v>225000</v>
      </c>
      <c r="H6875" s="1106">
        <f>G6875*F6875</f>
        <v>900</v>
      </c>
      <c r="M6875" s="1566"/>
    </row>
    <row r="6876" spans="2:13" hidden="1">
      <c r="B6876" s="1543"/>
      <c r="C6876" s="1332"/>
      <c r="D6876" s="1331"/>
      <c r="E6876" s="1331"/>
      <c r="F6876" s="2074" t="s">
        <v>685</v>
      </c>
      <c r="G6876" s="2074"/>
      <c r="H6876" s="1106">
        <f>SUM(H6872:H6875)</f>
        <v>41535</v>
      </c>
      <c r="M6876" s="1566"/>
    </row>
    <row r="6877" spans="2:13" hidden="1">
      <c r="B6877" s="1543" t="s">
        <v>686</v>
      </c>
      <c r="C6877" s="1332" t="s">
        <v>687</v>
      </c>
      <c r="D6877" s="1331"/>
      <c r="E6877" s="1331"/>
      <c r="F6877" s="1334"/>
      <c r="G6877" s="1104"/>
      <c r="H6877" s="1106"/>
      <c r="M6877" s="1566"/>
    </row>
    <row r="6878" spans="2:13" hidden="1">
      <c r="B6878" s="1543"/>
      <c r="C6878" s="1332" t="s">
        <v>3453</v>
      </c>
      <c r="D6878" s="1331"/>
      <c r="E6878" s="1331" t="s">
        <v>2933</v>
      </c>
      <c r="F6878" s="1334">
        <v>1.35E-2</v>
      </c>
      <c r="G6878" s="1104">
        <f>DUB!$I$64</f>
        <v>55152</v>
      </c>
      <c r="H6878" s="1106">
        <f>G6878*F6878</f>
        <v>744.55200000000002</v>
      </c>
      <c r="M6878" s="1566"/>
    </row>
    <row r="6879" spans="2:13" hidden="1">
      <c r="B6879" s="1543"/>
      <c r="C6879" s="1332" t="s">
        <v>808</v>
      </c>
      <c r="D6879" s="1331"/>
      <c r="E6879" s="1331" t="s">
        <v>2646</v>
      </c>
      <c r="F6879" s="1334">
        <v>1.4E-3</v>
      </c>
      <c r="G6879" s="1104">
        <f>DUB!$I$59</f>
        <v>208463</v>
      </c>
      <c r="H6879" s="1106">
        <f>G6879*F6879</f>
        <v>291.84820000000002</v>
      </c>
      <c r="M6879" s="1566"/>
    </row>
    <row r="6880" spans="2:13" hidden="1">
      <c r="B6880" s="1543"/>
      <c r="C6880" s="1332" t="s">
        <v>3166</v>
      </c>
      <c r="D6880" s="1331"/>
      <c r="E6880" s="1331" t="s">
        <v>1423</v>
      </c>
      <c r="F6880" s="1334">
        <v>1</v>
      </c>
      <c r="G6880" s="1104">
        <f>DUB!$I$498</f>
        <v>51723</v>
      </c>
      <c r="H6880" s="1106">
        <f>G6880*F6880</f>
        <v>51723</v>
      </c>
      <c r="M6880" s="1566"/>
    </row>
    <row r="6881" spans="2:13" hidden="1">
      <c r="B6881" s="1540"/>
      <c r="C6881" s="1332"/>
      <c r="D6881" s="1331"/>
      <c r="E6881" s="1331"/>
      <c r="F6881" s="2090" t="s">
        <v>702</v>
      </c>
      <c r="G6881" s="2090"/>
      <c r="H6881" s="1106">
        <f>SUM(H6878:H6880)</f>
        <v>52759.400200000004</v>
      </c>
      <c r="M6881" s="1566"/>
    </row>
    <row r="6882" spans="2:13" s="496" customFormat="1" hidden="1">
      <c r="B6882" s="1543" t="s">
        <v>703</v>
      </c>
      <c r="C6882" s="2089" t="s">
        <v>3764</v>
      </c>
      <c r="D6882" s="2089"/>
      <c r="E6882" s="2089"/>
      <c r="F6882" s="2089"/>
      <c r="G6882" s="2089"/>
      <c r="H6882" s="1107">
        <f>H6876+H6881</f>
        <v>94294.400200000004</v>
      </c>
      <c r="J6882" s="1559"/>
      <c r="K6882" s="1559"/>
      <c r="L6882" s="1559"/>
      <c r="M6882" s="1635"/>
    </row>
    <row r="6883" spans="2:13" s="496" customFormat="1" hidden="1">
      <c r="B6883" s="1543" t="s">
        <v>706</v>
      </c>
      <c r="C6883" s="2076" t="s">
        <v>876</v>
      </c>
      <c r="D6883" s="2076"/>
      <c r="E6883" s="2076"/>
      <c r="F6883" s="2077" t="s">
        <v>3873</v>
      </c>
      <c r="G6883" s="2077"/>
      <c r="H6883" s="1107">
        <f>H6882*0.15</f>
        <v>14144.160030000001</v>
      </c>
      <c r="J6883" s="1559"/>
      <c r="K6883" s="1559"/>
      <c r="L6883" s="1559"/>
      <c r="M6883" s="1635"/>
    </row>
    <row r="6884" spans="2:13" s="496" customFormat="1" hidden="1">
      <c r="B6884" s="1543" t="s">
        <v>708</v>
      </c>
      <c r="C6884" s="2078" t="s">
        <v>3765</v>
      </c>
      <c r="D6884" s="2078"/>
      <c r="E6884" s="2078"/>
      <c r="F6884" s="2078"/>
      <c r="G6884" s="2078"/>
      <c r="H6884" s="1107">
        <f>ROUND(SUM(H6882:H6883),2)</f>
        <v>108438.56</v>
      </c>
      <c r="I6884" s="506">
        <f>SUM(H6882:H6883)</f>
        <v>108438.56023</v>
      </c>
      <c r="J6884" s="1561"/>
      <c r="K6884" s="1561"/>
      <c r="L6884" s="1559"/>
      <c r="M6884" s="1635"/>
    </row>
    <row r="6885" spans="2:13" hidden="1">
      <c r="B6885" s="1129"/>
      <c r="C6885" s="1130"/>
      <c r="D6885" s="1129"/>
      <c r="E6885" s="1130"/>
      <c r="F6885" s="1131"/>
      <c r="G6885" s="1132"/>
      <c r="H6885" s="1133"/>
      <c r="I6885" s="526"/>
      <c r="J6885" s="1562"/>
      <c r="K6885" s="1562"/>
      <c r="M6885" s="1566"/>
    </row>
    <row r="6886" spans="2:13" hidden="1">
      <c r="B6886" s="1100" t="s">
        <v>4235</v>
      </c>
      <c r="C6886" s="1232" t="s">
        <v>3454</v>
      </c>
      <c r="F6886" s="1172"/>
      <c r="G6886" s="1173"/>
      <c r="H6886" s="1133"/>
      <c r="M6886" s="1566"/>
    </row>
    <row r="6887" spans="2:13" s="507" customFormat="1" ht="24.9" hidden="1" customHeight="1">
      <c r="B6887" s="1748" t="s">
        <v>1003</v>
      </c>
      <c r="C6887" s="1101" t="s">
        <v>1004</v>
      </c>
      <c r="D6887" s="1101" t="s">
        <v>1005</v>
      </c>
      <c r="E6887" s="1101" t="s">
        <v>1006</v>
      </c>
      <c r="F6887" s="1102" t="s">
        <v>1007</v>
      </c>
      <c r="G6887" s="1109" t="s">
        <v>2637</v>
      </c>
      <c r="H6887" s="1110" t="s">
        <v>2638</v>
      </c>
      <c r="J6887" s="1625"/>
      <c r="K6887" s="1625"/>
      <c r="L6887" s="1625"/>
      <c r="M6887" s="1570"/>
    </row>
    <row r="6888" spans="2:13" hidden="1">
      <c r="B6888" s="1543" t="s">
        <v>671</v>
      </c>
      <c r="C6888" s="1332" t="s">
        <v>672</v>
      </c>
      <c r="D6888" s="1331"/>
      <c r="E6888" s="1331"/>
      <c r="F6888" s="1334"/>
      <c r="G6888" s="1104"/>
      <c r="H6888" s="1106"/>
      <c r="M6888" s="1566"/>
    </row>
    <row r="6889" spans="2:13" hidden="1">
      <c r="B6889" s="1543"/>
      <c r="C6889" s="1332" t="s">
        <v>673</v>
      </c>
      <c r="D6889" s="1331" t="s">
        <v>674</v>
      </c>
      <c r="E6889" s="1331" t="s">
        <v>675</v>
      </c>
      <c r="F6889" s="1334">
        <v>8.1000000000000003E-2</v>
      </c>
      <c r="G6889" s="1104">
        <f>DUB!$I$10</f>
        <v>150000</v>
      </c>
      <c r="H6889" s="1106">
        <f>G6889*F6889</f>
        <v>12150</v>
      </c>
      <c r="M6889" s="1566"/>
    </row>
    <row r="6890" spans="2:13" hidden="1">
      <c r="B6890" s="1543"/>
      <c r="C6890" s="1332" t="s">
        <v>731</v>
      </c>
      <c r="D6890" s="1331" t="s">
        <v>678</v>
      </c>
      <c r="E6890" s="1331" t="s">
        <v>675</v>
      </c>
      <c r="F6890" s="1334">
        <v>0.13500000000000001</v>
      </c>
      <c r="G6890" s="1104">
        <f>DUB!$I$11</f>
        <v>187000</v>
      </c>
      <c r="H6890" s="1106">
        <f>G6890*F6890</f>
        <v>25245</v>
      </c>
      <c r="M6890" s="1566"/>
    </row>
    <row r="6891" spans="2:13" hidden="1">
      <c r="B6891" s="1543"/>
      <c r="C6891" s="1332" t="s">
        <v>751</v>
      </c>
      <c r="D6891" s="1331" t="s">
        <v>681</v>
      </c>
      <c r="E6891" s="1331" t="s">
        <v>675</v>
      </c>
      <c r="F6891" s="1334">
        <v>1.35E-2</v>
      </c>
      <c r="G6891" s="1104">
        <f>DUB!$I$13</f>
        <v>240000</v>
      </c>
      <c r="H6891" s="1106">
        <f>G6891*F6891</f>
        <v>3240</v>
      </c>
      <c r="M6891" s="1566"/>
    </row>
    <row r="6892" spans="2:13" hidden="1">
      <c r="B6892" s="1543"/>
      <c r="C6892" s="1332" t="s">
        <v>683</v>
      </c>
      <c r="D6892" s="1331" t="s">
        <v>684</v>
      </c>
      <c r="E6892" s="1331" t="s">
        <v>675</v>
      </c>
      <c r="F6892" s="1334">
        <v>4.0000000000000001E-3</v>
      </c>
      <c r="G6892" s="1104">
        <f>DUB!$I$12</f>
        <v>225000</v>
      </c>
      <c r="H6892" s="1106">
        <f>G6892*F6892</f>
        <v>900</v>
      </c>
      <c r="M6892" s="1566"/>
    </row>
    <row r="6893" spans="2:13" hidden="1">
      <c r="B6893" s="1543"/>
      <c r="C6893" s="1332"/>
      <c r="D6893" s="1331"/>
      <c r="E6893" s="1331"/>
      <c r="F6893" s="2074" t="s">
        <v>685</v>
      </c>
      <c r="G6893" s="2074"/>
      <c r="H6893" s="1106">
        <f>SUM(H6889:H6892)</f>
        <v>41535</v>
      </c>
      <c r="M6893" s="1566"/>
    </row>
    <row r="6894" spans="2:13" hidden="1">
      <c r="B6894" s="1543" t="s">
        <v>686</v>
      </c>
      <c r="C6894" s="1332" t="s">
        <v>687</v>
      </c>
      <c r="D6894" s="1331"/>
      <c r="E6894" s="1331"/>
      <c r="F6894" s="1334"/>
      <c r="G6894" s="1104"/>
      <c r="H6894" s="1106"/>
      <c r="M6894" s="1566"/>
    </row>
    <row r="6895" spans="2:13" hidden="1">
      <c r="B6895" s="1543"/>
      <c r="C6895" s="1332" t="s">
        <v>3453</v>
      </c>
      <c r="D6895" s="1331"/>
      <c r="E6895" s="1331" t="s">
        <v>2933</v>
      </c>
      <c r="F6895" s="1334">
        <v>1.35E-2</v>
      </c>
      <c r="G6895" s="1104">
        <f>DUB!$I$64</f>
        <v>55152</v>
      </c>
      <c r="H6895" s="1106">
        <f>G6895*F6895</f>
        <v>744.55200000000002</v>
      </c>
      <c r="M6895" s="1566"/>
    </row>
    <row r="6896" spans="2:13" hidden="1">
      <c r="B6896" s="1540"/>
      <c r="C6896" s="1332" t="s">
        <v>808</v>
      </c>
      <c r="D6896" s="1331"/>
      <c r="E6896" s="1331" t="s">
        <v>2646</v>
      </c>
      <c r="F6896" s="1334">
        <v>1.4E-3</v>
      </c>
      <c r="G6896" s="1104">
        <f>DUB!$I$59</f>
        <v>208463</v>
      </c>
      <c r="H6896" s="1106">
        <f>G6896*F6896</f>
        <v>291.84820000000002</v>
      </c>
      <c r="M6896" s="1566"/>
    </row>
    <row r="6897" spans="2:13" hidden="1">
      <c r="B6897" s="1540"/>
      <c r="C6897" s="1332" t="s">
        <v>3167</v>
      </c>
      <c r="D6897" s="1331"/>
      <c r="E6897" s="1331" t="s">
        <v>1423</v>
      </c>
      <c r="F6897" s="1334">
        <v>1</v>
      </c>
      <c r="G6897" s="1104">
        <f>DUB!$I$499</f>
        <v>85680</v>
      </c>
      <c r="H6897" s="1106">
        <f>G6897*F6897</f>
        <v>85680</v>
      </c>
      <c r="M6897" s="1566"/>
    </row>
    <row r="6898" spans="2:13" hidden="1">
      <c r="B6898" s="1540"/>
      <c r="C6898" s="1125"/>
      <c r="D6898" s="1333"/>
      <c r="E6898" s="1333"/>
      <c r="F6898" s="2074" t="s">
        <v>702</v>
      </c>
      <c r="G6898" s="2074"/>
      <c r="H6898" s="1106">
        <f>SUM(H6895:H6897)</f>
        <v>86716.400200000004</v>
      </c>
      <c r="M6898" s="1566"/>
    </row>
    <row r="6899" spans="2:13" s="496" customFormat="1" hidden="1">
      <c r="B6899" s="1543" t="s">
        <v>703</v>
      </c>
      <c r="C6899" s="2075" t="s">
        <v>3764</v>
      </c>
      <c r="D6899" s="2075"/>
      <c r="E6899" s="2075"/>
      <c r="F6899" s="2075"/>
      <c r="G6899" s="2075"/>
      <c r="H6899" s="1107">
        <f>H6893+H6898</f>
        <v>128251.4002</v>
      </c>
      <c r="J6899" s="1559"/>
      <c r="K6899" s="1559"/>
      <c r="L6899" s="1559"/>
      <c r="M6899" s="1635"/>
    </row>
    <row r="6900" spans="2:13" s="496" customFormat="1" hidden="1">
      <c r="B6900" s="1543" t="s">
        <v>706</v>
      </c>
      <c r="C6900" s="2076" t="s">
        <v>876</v>
      </c>
      <c r="D6900" s="2076"/>
      <c r="E6900" s="2076"/>
      <c r="F6900" s="2077" t="s">
        <v>3873</v>
      </c>
      <c r="G6900" s="2077"/>
      <c r="H6900" s="1107">
        <f>H6899*0.15</f>
        <v>19237.710029999998</v>
      </c>
      <c r="J6900" s="1559"/>
      <c r="K6900" s="1559"/>
      <c r="L6900" s="1559"/>
      <c r="M6900" s="1635"/>
    </row>
    <row r="6901" spans="2:13" s="496" customFormat="1" hidden="1">
      <c r="B6901" s="1543" t="s">
        <v>708</v>
      </c>
      <c r="C6901" s="2078" t="s">
        <v>3765</v>
      </c>
      <c r="D6901" s="2078"/>
      <c r="E6901" s="2078"/>
      <c r="F6901" s="2078"/>
      <c r="G6901" s="2078"/>
      <c r="H6901" s="1107">
        <f>ROUND(SUM(H6899:H6900),2)</f>
        <v>147489.10999999999</v>
      </c>
      <c r="I6901" s="506">
        <f>SUM(H6899:H6900)</f>
        <v>147489.11022999999</v>
      </c>
      <c r="J6901" s="1561"/>
      <c r="K6901" s="1561"/>
      <c r="L6901" s="1559"/>
      <c r="M6901" s="1635"/>
    </row>
    <row r="6902" spans="2:13" hidden="1">
      <c r="B6902" s="1129"/>
      <c r="C6902" s="1130"/>
      <c r="D6902" s="1129"/>
      <c r="E6902" s="1130"/>
      <c r="F6902" s="1131"/>
      <c r="G6902" s="1132"/>
      <c r="H6902" s="1133"/>
      <c r="I6902" s="526"/>
      <c r="J6902" s="1562"/>
      <c r="K6902" s="1562"/>
      <c r="M6902" s="1566"/>
    </row>
    <row r="6903" spans="2:13" hidden="1">
      <c r="B6903" s="1100" t="s">
        <v>4236</v>
      </c>
      <c r="C6903" s="1232" t="s">
        <v>3455</v>
      </c>
      <c r="F6903" s="1172"/>
      <c r="G6903" s="1173"/>
      <c r="H6903" s="1133"/>
      <c r="M6903" s="1566"/>
    </row>
    <row r="6904" spans="2:13" s="507" customFormat="1" ht="24.9" hidden="1" customHeight="1">
      <c r="B6904" s="1748" t="s">
        <v>1003</v>
      </c>
      <c r="C6904" s="1101" t="s">
        <v>1004</v>
      </c>
      <c r="D6904" s="1101" t="s">
        <v>1005</v>
      </c>
      <c r="E6904" s="1101" t="s">
        <v>1006</v>
      </c>
      <c r="F6904" s="1102" t="s">
        <v>1007</v>
      </c>
      <c r="G6904" s="1109" t="s">
        <v>2637</v>
      </c>
      <c r="H6904" s="1110" t="s">
        <v>2638</v>
      </c>
      <c r="J6904" s="1625"/>
      <c r="K6904" s="1625"/>
      <c r="L6904" s="1625"/>
      <c r="M6904" s="1570"/>
    </row>
    <row r="6905" spans="2:13" hidden="1">
      <c r="B6905" s="1543" t="s">
        <v>671</v>
      </c>
      <c r="C6905" s="1332" t="s">
        <v>672</v>
      </c>
      <c r="D6905" s="1331"/>
      <c r="E6905" s="1331"/>
      <c r="F6905" s="1334"/>
      <c r="G6905" s="1104"/>
      <c r="H6905" s="1106"/>
      <c r="M6905" s="1566"/>
    </row>
    <row r="6906" spans="2:13" hidden="1">
      <c r="B6906" s="1543"/>
      <c r="C6906" s="1332" t="s">
        <v>673</v>
      </c>
      <c r="D6906" s="1331" t="s">
        <v>674</v>
      </c>
      <c r="E6906" s="1331" t="s">
        <v>675</v>
      </c>
      <c r="F6906" s="1334">
        <v>8.1000000000000003E-2</v>
      </c>
      <c r="G6906" s="1104">
        <f>DUB!$I$10</f>
        <v>150000</v>
      </c>
      <c r="H6906" s="1106">
        <f>G6906*F6906</f>
        <v>12150</v>
      </c>
      <c r="M6906" s="1566"/>
    </row>
    <row r="6907" spans="2:13" hidden="1">
      <c r="B6907" s="1543"/>
      <c r="C6907" s="1332" t="s">
        <v>731</v>
      </c>
      <c r="D6907" s="1331" t="s">
        <v>678</v>
      </c>
      <c r="E6907" s="1331" t="s">
        <v>675</v>
      </c>
      <c r="F6907" s="1334">
        <v>0.13500000000000001</v>
      </c>
      <c r="G6907" s="1104">
        <f>DUB!$I$11</f>
        <v>187000</v>
      </c>
      <c r="H6907" s="1106">
        <f>G6907*F6907</f>
        <v>25245</v>
      </c>
      <c r="M6907" s="1566"/>
    </row>
    <row r="6908" spans="2:13" hidden="1">
      <c r="B6908" s="1543"/>
      <c r="C6908" s="1332" t="s">
        <v>751</v>
      </c>
      <c r="D6908" s="1331" t="s">
        <v>681</v>
      </c>
      <c r="E6908" s="1331" t="s">
        <v>675</v>
      </c>
      <c r="F6908" s="1334">
        <v>1.35E-2</v>
      </c>
      <c r="G6908" s="1104">
        <f>DUB!$I$13</f>
        <v>240000</v>
      </c>
      <c r="H6908" s="1106">
        <f>G6908*F6908</f>
        <v>3240</v>
      </c>
      <c r="M6908" s="1566"/>
    </row>
    <row r="6909" spans="2:13" hidden="1">
      <c r="B6909" s="1543"/>
      <c r="C6909" s="1332" t="s">
        <v>683</v>
      </c>
      <c r="D6909" s="1331" t="s">
        <v>684</v>
      </c>
      <c r="E6909" s="1331" t="s">
        <v>675</v>
      </c>
      <c r="F6909" s="1334">
        <v>4.0000000000000001E-3</v>
      </c>
      <c r="G6909" s="1104">
        <f>DUB!$I$12</f>
        <v>225000</v>
      </c>
      <c r="H6909" s="1106">
        <f>G6909*F6909</f>
        <v>900</v>
      </c>
      <c r="M6909" s="1566"/>
    </row>
    <row r="6910" spans="2:13" hidden="1">
      <c r="B6910" s="1543"/>
      <c r="C6910" s="1332"/>
      <c r="D6910" s="1331"/>
      <c r="E6910" s="1331"/>
      <c r="F6910" s="2074" t="s">
        <v>685</v>
      </c>
      <c r="G6910" s="2074"/>
      <c r="H6910" s="1106">
        <f>SUM(H6906:H6909)</f>
        <v>41535</v>
      </c>
      <c r="M6910" s="1566"/>
    </row>
    <row r="6911" spans="2:13" hidden="1">
      <c r="B6911" s="1543" t="s">
        <v>686</v>
      </c>
      <c r="C6911" s="1332" t="s">
        <v>687</v>
      </c>
      <c r="D6911" s="1331"/>
      <c r="E6911" s="1331"/>
      <c r="F6911" s="1334"/>
      <c r="G6911" s="1104"/>
      <c r="H6911" s="1106"/>
      <c r="M6911" s="1566"/>
    </row>
    <row r="6912" spans="2:13" hidden="1">
      <c r="B6912" s="1540"/>
      <c r="C6912" s="1332" t="s">
        <v>3453</v>
      </c>
      <c r="D6912" s="1331"/>
      <c r="E6912" s="1331" t="s">
        <v>2933</v>
      </c>
      <c r="F6912" s="1334">
        <v>1.35E-2</v>
      </c>
      <c r="G6912" s="1104">
        <f>DUB!$I$64</f>
        <v>55152</v>
      </c>
      <c r="H6912" s="1106">
        <f>G6912*F6912</f>
        <v>744.55200000000002</v>
      </c>
      <c r="M6912" s="1566"/>
    </row>
    <row r="6913" spans="2:13" hidden="1">
      <c r="B6913" s="1540"/>
      <c r="C6913" s="1332" t="s">
        <v>808</v>
      </c>
      <c r="D6913" s="1331"/>
      <c r="E6913" s="1331" t="s">
        <v>2646</v>
      </c>
      <c r="F6913" s="1334">
        <v>1.4E-3</v>
      </c>
      <c r="G6913" s="1104">
        <f>DUB!$I$59</f>
        <v>208463</v>
      </c>
      <c r="H6913" s="1106">
        <f>G6913*F6913</f>
        <v>291.84820000000002</v>
      </c>
      <c r="M6913" s="1566"/>
    </row>
    <row r="6914" spans="2:13" hidden="1">
      <c r="B6914" s="1540"/>
      <c r="C6914" s="1332" t="s">
        <v>3168</v>
      </c>
      <c r="D6914" s="1331"/>
      <c r="E6914" s="1331" t="s">
        <v>1423</v>
      </c>
      <c r="F6914" s="1334">
        <v>1</v>
      </c>
      <c r="G6914" s="1104">
        <f>DUB!$I$500</f>
        <v>117810</v>
      </c>
      <c r="H6914" s="1106">
        <f>G6914*F6914</f>
        <v>117810</v>
      </c>
      <c r="M6914" s="1566"/>
    </row>
    <row r="6915" spans="2:13" hidden="1">
      <c r="B6915" s="1540"/>
      <c r="C6915" s="1125"/>
      <c r="D6915" s="1333"/>
      <c r="E6915" s="1333"/>
      <c r="F6915" s="2074" t="s">
        <v>702</v>
      </c>
      <c r="G6915" s="2074"/>
      <c r="H6915" s="1106">
        <f>SUM(H6912:H6914)</f>
        <v>118846.4002</v>
      </c>
      <c r="M6915" s="1566"/>
    </row>
    <row r="6916" spans="2:13" s="496" customFormat="1" hidden="1">
      <c r="B6916" s="1543" t="s">
        <v>703</v>
      </c>
      <c r="C6916" s="2075" t="s">
        <v>3764</v>
      </c>
      <c r="D6916" s="2075"/>
      <c r="E6916" s="2075"/>
      <c r="F6916" s="2075"/>
      <c r="G6916" s="2075"/>
      <c r="H6916" s="1107">
        <f>H6910+H6915</f>
        <v>160381.4002</v>
      </c>
      <c r="J6916" s="1559"/>
      <c r="K6916" s="1559"/>
      <c r="L6916" s="1559"/>
      <c r="M6916" s="1635"/>
    </row>
    <row r="6917" spans="2:13" s="496" customFormat="1" hidden="1">
      <c r="B6917" s="1543" t="s">
        <v>706</v>
      </c>
      <c r="C6917" s="2076" t="s">
        <v>876</v>
      </c>
      <c r="D6917" s="2076"/>
      <c r="E6917" s="2076"/>
      <c r="F6917" s="2077" t="s">
        <v>3873</v>
      </c>
      <c r="G6917" s="2077"/>
      <c r="H6917" s="1107">
        <f>H6916*0.15</f>
        <v>24057.210029999998</v>
      </c>
      <c r="J6917" s="1559"/>
      <c r="K6917" s="1559"/>
      <c r="L6917" s="1559"/>
      <c r="M6917" s="1635"/>
    </row>
    <row r="6918" spans="2:13" s="496" customFormat="1" hidden="1">
      <c r="B6918" s="1543" t="s">
        <v>708</v>
      </c>
      <c r="C6918" s="2078" t="s">
        <v>3765</v>
      </c>
      <c r="D6918" s="2078"/>
      <c r="E6918" s="2078"/>
      <c r="F6918" s="2078"/>
      <c r="G6918" s="2078"/>
      <c r="H6918" s="1107">
        <f>ROUND(SUM(H6916:H6917),2)</f>
        <v>184438.61</v>
      </c>
      <c r="I6918" s="506">
        <f>SUM(H6916:H6917)</f>
        <v>184438.61022999999</v>
      </c>
      <c r="J6918" s="1561"/>
      <c r="K6918" s="1561"/>
      <c r="L6918" s="1559"/>
      <c r="M6918" s="1635"/>
    </row>
    <row r="6919" spans="2:13" hidden="1">
      <c r="B6919" s="1129"/>
      <c r="C6919" s="1130"/>
      <c r="D6919" s="1129"/>
      <c r="E6919" s="1130"/>
      <c r="F6919" s="1131"/>
      <c r="G6919" s="1132"/>
      <c r="H6919" s="1133"/>
      <c r="I6919" s="526"/>
      <c r="J6919" s="1562"/>
      <c r="K6919" s="1562"/>
      <c r="M6919" s="1566"/>
    </row>
    <row r="6920" spans="2:13" hidden="1">
      <c r="B6920" s="1100" t="s">
        <v>4237</v>
      </c>
      <c r="C6920" s="1232" t="s">
        <v>3456</v>
      </c>
      <c r="F6920" s="1172"/>
      <c r="G6920" s="1173"/>
      <c r="H6920" s="1133"/>
      <c r="M6920" s="1566"/>
    </row>
    <row r="6921" spans="2:13" s="507" customFormat="1" ht="24.9" hidden="1" customHeight="1">
      <c r="B6921" s="1748" t="s">
        <v>1003</v>
      </c>
      <c r="C6921" s="1101" t="s">
        <v>1004</v>
      </c>
      <c r="D6921" s="1101" t="s">
        <v>1005</v>
      </c>
      <c r="E6921" s="1101" t="s">
        <v>1006</v>
      </c>
      <c r="F6921" s="1102" t="s">
        <v>1007</v>
      </c>
      <c r="G6921" s="1109" t="s">
        <v>2637</v>
      </c>
      <c r="H6921" s="1110" t="s">
        <v>2638</v>
      </c>
      <c r="J6921" s="1625"/>
      <c r="K6921" s="1625"/>
      <c r="L6921" s="1625"/>
      <c r="M6921" s="1570"/>
    </row>
    <row r="6922" spans="2:13" hidden="1">
      <c r="B6922" s="1543" t="s">
        <v>671</v>
      </c>
      <c r="C6922" s="1332" t="s">
        <v>672</v>
      </c>
      <c r="D6922" s="1331"/>
      <c r="E6922" s="1331"/>
      <c r="F6922" s="1334"/>
      <c r="G6922" s="1104"/>
      <c r="H6922" s="1106"/>
      <c r="M6922" s="1566"/>
    </row>
    <row r="6923" spans="2:13" hidden="1">
      <c r="B6923" s="1543"/>
      <c r="C6923" s="1332" t="s">
        <v>673</v>
      </c>
      <c r="D6923" s="1331" t="s">
        <v>674</v>
      </c>
      <c r="E6923" s="1331" t="s">
        <v>675</v>
      </c>
      <c r="F6923" s="1334">
        <v>8.1000000000000003E-2</v>
      </c>
      <c r="G6923" s="1104">
        <f>DUB!$I$10</f>
        <v>150000</v>
      </c>
      <c r="H6923" s="1106">
        <f>G6923*F6923</f>
        <v>12150</v>
      </c>
      <c r="M6923" s="1566"/>
    </row>
    <row r="6924" spans="2:13" hidden="1">
      <c r="B6924" s="1543"/>
      <c r="C6924" s="1332" t="s">
        <v>731</v>
      </c>
      <c r="D6924" s="1331" t="s">
        <v>678</v>
      </c>
      <c r="E6924" s="1331" t="s">
        <v>675</v>
      </c>
      <c r="F6924" s="1334">
        <v>0.13500000000000001</v>
      </c>
      <c r="G6924" s="1104">
        <f>DUB!$I$11</f>
        <v>187000</v>
      </c>
      <c r="H6924" s="1106">
        <f>G6924*F6924</f>
        <v>25245</v>
      </c>
      <c r="M6924" s="1566"/>
    </row>
    <row r="6925" spans="2:13" hidden="1">
      <c r="B6925" s="1543"/>
      <c r="C6925" s="1332" t="s">
        <v>751</v>
      </c>
      <c r="D6925" s="1331" t="s">
        <v>681</v>
      </c>
      <c r="E6925" s="1331" t="s">
        <v>675</v>
      </c>
      <c r="F6925" s="1334">
        <v>1.35E-2</v>
      </c>
      <c r="G6925" s="1104">
        <f>DUB!$I$13</f>
        <v>240000</v>
      </c>
      <c r="H6925" s="1106">
        <f>G6925*F6925</f>
        <v>3240</v>
      </c>
      <c r="M6925" s="1566"/>
    </row>
    <row r="6926" spans="2:13" hidden="1">
      <c r="B6926" s="1543"/>
      <c r="C6926" s="1332" t="s">
        <v>683</v>
      </c>
      <c r="D6926" s="1331" t="s">
        <v>684</v>
      </c>
      <c r="E6926" s="1331" t="s">
        <v>675</v>
      </c>
      <c r="F6926" s="1334">
        <v>4.0000000000000001E-3</v>
      </c>
      <c r="G6926" s="1104">
        <f>DUB!$I$12</f>
        <v>225000</v>
      </c>
      <c r="H6926" s="1106">
        <f>G6926*F6926</f>
        <v>900</v>
      </c>
      <c r="M6926" s="1566"/>
    </row>
    <row r="6927" spans="2:13" hidden="1">
      <c r="B6927" s="1543"/>
      <c r="C6927" s="1332"/>
      <c r="D6927" s="1331"/>
      <c r="E6927" s="1331"/>
      <c r="F6927" s="2074" t="s">
        <v>685</v>
      </c>
      <c r="G6927" s="2074"/>
      <c r="H6927" s="1106">
        <f>SUM(H6923:H6926)</f>
        <v>41535</v>
      </c>
      <c r="M6927" s="1566"/>
    </row>
    <row r="6928" spans="2:13" hidden="1">
      <c r="B6928" s="1543" t="s">
        <v>686</v>
      </c>
      <c r="C6928" s="1332" t="s">
        <v>687</v>
      </c>
      <c r="D6928" s="1331"/>
      <c r="E6928" s="1331"/>
      <c r="F6928" s="1334"/>
      <c r="G6928" s="1104"/>
      <c r="H6928" s="1106"/>
      <c r="M6928" s="1566"/>
    </row>
    <row r="6929" spans="2:13" hidden="1">
      <c r="B6929" s="1540"/>
      <c r="C6929" s="1332" t="s">
        <v>3453</v>
      </c>
      <c r="D6929" s="1331"/>
      <c r="E6929" s="1331" t="s">
        <v>2933</v>
      </c>
      <c r="F6929" s="1334">
        <v>1.018</v>
      </c>
      <c r="G6929" s="1104">
        <f>DUB!$I$64</f>
        <v>55152</v>
      </c>
      <c r="H6929" s="1106">
        <f>G6929*F6929</f>
        <v>56144.736000000004</v>
      </c>
      <c r="M6929" s="1566"/>
    </row>
    <row r="6930" spans="2:13" hidden="1">
      <c r="B6930" s="1540"/>
      <c r="C6930" s="1332" t="s">
        <v>808</v>
      </c>
      <c r="D6930" s="1331"/>
      <c r="E6930" s="1331" t="s">
        <v>2646</v>
      </c>
      <c r="F6930" s="1334">
        <v>1.8E-3</v>
      </c>
      <c r="G6930" s="1104">
        <f>DUB!$I$59</f>
        <v>208463</v>
      </c>
      <c r="H6930" s="1106">
        <f>G6930*F6930</f>
        <v>375.23340000000002</v>
      </c>
      <c r="M6930" s="1566"/>
    </row>
    <row r="6931" spans="2:13" hidden="1">
      <c r="B6931" s="1540"/>
      <c r="C6931" s="1332" t="s">
        <v>3169</v>
      </c>
      <c r="D6931" s="1331"/>
      <c r="E6931" s="1331" t="s">
        <v>1423</v>
      </c>
      <c r="F6931" s="1334">
        <v>1</v>
      </c>
      <c r="G6931" s="1104">
        <f>DUB!$I$501</f>
        <v>147258</v>
      </c>
      <c r="H6931" s="1106">
        <f>G6931*F6931</f>
        <v>147258</v>
      </c>
      <c r="M6931" s="1566"/>
    </row>
    <row r="6932" spans="2:13" hidden="1">
      <c r="B6932" s="1540"/>
      <c r="C6932" s="1125"/>
      <c r="D6932" s="1333"/>
      <c r="E6932" s="1333"/>
      <c r="F6932" s="2074" t="s">
        <v>702</v>
      </c>
      <c r="G6932" s="2074"/>
      <c r="H6932" s="1106">
        <f>SUM(H6929:H6931)</f>
        <v>203777.9694</v>
      </c>
      <c r="M6932" s="1566"/>
    </row>
    <row r="6933" spans="2:13" s="496" customFormat="1" hidden="1">
      <c r="B6933" s="1543" t="s">
        <v>703</v>
      </c>
      <c r="C6933" s="2075" t="s">
        <v>3764</v>
      </c>
      <c r="D6933" s="2075"/>
      <c r="E6933" s="2075"/>
      <c r="F6933" s="2075"/>
      <c r="G6933" s="2075"/>
      <c r="H6933" s="1107">
        <f>H6927+H6932</f>
        <v>245312.9694</v>
      </c>
      <c r="J6933" s="1559"/>
      <c r="K6933" s="1559"/>
      <c r="L6933" s="1559"/>
      <c r="M6933" s="1635"/>
    </row>
    <row r="6934" spans="2:13" s="496" customFormat="1" hidden="1">
      <c r="B6934" s="1543" t="s">
        <v>706</v>
      </c>
      <c r="C6934" s="2076" t="s">
        <v>876</v>
      </c>
      <c r="D6934" s="2076"/>
      <c r="E6934" s="2076"/>
      <c r="F6934" s="2077" t="s">
        <v>3873</v>
      </c>
      <c r="G6934" s="2077"/>
      <c r="H6934" s="1107">
        <f>H6933*0.15</f>
        <v>36796.94541</v>
      </c>
      <c r="J6934" s="1559"/>
      <c r="K6934" s="1559"/>
      <c r="L6934" s="1559"/>
      <c r="M6934" s="1635"/>
    </row>
    <row r="6935" spans="2:13" s="496" customFormat="1" hidden="1">
      <c r="B6935" s="1543" t="s">
        <v>708</v>
      </c>
      <c r="C6935" s="2078" t="s">
        <v>3765</v>
      </c>
      <c r="D6935" s="2078"/>
      <c r="E6935" s="2078"/>
      <c r="F6935" s="2078"/>
      <c r="G6935" s="2078"/>
      <c r="H6935" s="1107">
        <f>ROUND(SUM(H6933:H6934),2)</f>
        <v>282109.90999999997</v>
      </c>
      <c r="I6935" s="506">
        <f>SUM(H6933:H6934)</f>
        <v>282109.91480999999</v>
      </c>
      <c r="J6935" s="1561"/>
      <c r="K6935" s="1561"/>
      <c r="L6935" s="1559"/>
      <c r="M6935" s="1635"/>
    </row>
    <row r="6936" spans="2:13" hidden="1">
      <c r="B6936" s="1129"/>
      <c r="C6936" s="1130"/>
      <c r="D6936" s="1129"/>
      <c r="E6936" s="1130"/>
      <c r="F6936" s="1131"/>
      <c r="G6936" s="1132"/>
      <c r="H6936" s="1133"/>
      <c r="I6936" s="526"/>
      <c r="J6936" s="1562"/>
      <c r="K6936" s="1562"/>
      <c r="M6936" s="1566"/>
    </row>
    <row r="6937" spans="2:13" hidden="1">
      <c r="B6937" s="1100" t="s">
        <v>4238</v>
      </c>
      <c r="C6937" s="1232" t="s">
        <v>3457</v>
      </c>
      <c r="F6937" s="1172"/>
      <c r="G6937" s="1173"/>
      <c r="H6937" s="1133"/>
      <c r="M6937" s="1566"/>
    </row>
    <row r="6938" spans="2:13" s="507" customFormat="1" ht="24.9" hidden="1" customHeight="1">
      <c r="B6938" s="1748" t="s">
        <v>1003</v>
      </c>
      <c r="C6938" s="1101" t="s">
        <v>1004</v>
      </c>
      <c r="D6938" s="1101" t="s">
        <v>1005</v>
      </c>
      <c r="E6938" s="1101" t="s">
        <v>1006</v>
      </c>
      <c r="F6938" s="1102" t="s">
        <v>1007</v>
      </c>
      <c r="G6938" s="1109" t="s">
        <v>2637</v>
      </c>
      <c r="H6938" s="1110" t="s">
        <v>2638</v>
      </c>
      <c r="J6938" s="1625"/>
      <c r="K6938" s="1625"/>
      <c r="L6938" s="1625"/>
      <c r="M6938" s="1570"/>
    </row>
    <row r="6939" spans="2:13" hidden="1">
      <c r="B6939" s="1543" t="s">
        <v>671</v>
      </c>
      <c r="C6939" s="1332" t="s">
        <v>672</v>
      </c>
      <c r="D6939" s="1331"/>
      <c r="E6939" s="1331"/>
      <c r="F6939" s="1334"/>
      <c r="G6939" s="1104"/>
      <c r="H6939" s="1106"/>
      <c r="M6939" s="1566"/>
    </row>
    <row r="6940" spans="2:13" hidden="1">
      <c r="B6940" s="1543"/>
      <c r="C6940" s="1332" t="s">
        <v>673</v>
      </c>
      <c r="D6940" s="1331" t="s">
        <v>674</v>
      </c>
      <c r="E6940" s="1331" t="s">
        <v>675</v>
      </c>
      <c r="F6940" s="1334">
        <v>8.1000000000000003E-2</v>
      </c>
      <c r="G6940" s="1104">
        <f>DUB!$I$10</f>
        <v>150000</v>
      </c>
      <c r="H6940" s="1106">
        <f>G6940*F6940</f>
        <v>12150</v>
      </c>
      <c r="M6940" s="1566"/>
    </row>
    <row r="6941" spans="2:13" hidden="1">
      <c r="B6941" s="1543"/>
      <c r="C6941" s="1332" t="s">
        <v>731</v>
      </c>
      <c r="D6941" s="1331" t="s">
        <v>678</v>
      </c>
      <c r="E6941" s="1331" t="s">
        <v>675</v>
      </c>
      <c r="F6941" s="1334">
        <v>0.13500000000000001</v>
      </c>
      <c r="G6941" s="1104">
        <f>DUB!$I$11</f>
        <v>187000</v>
      </c>
      <c r="H6941" s="1106">
        <f>G6941*F6941</f>
        <v>25245</v>
      </c>
      <c r="M6941" s="1566"/>
    </row>
    <row r="6942" spans="2:13" hidden="1">
      <c r="B6942" s="1543"/>
      <c r="C6942" s="1332" t="s">
        <v>751</v>
      </c>
      <c r="D6942" s="1331" t="s">
        <v>681</v>
      </c>
      <c r="E6942" s="1331" t="s">
        <v>675</v>
      </c>
      <c r="F6942" s="1334">
        <v>1.35E-2</v>
      </c>
      <c r="G6942" s="1104">
        <f>DUB!$I$13</f>
        <v>240000</v>
      </c>
      <c r="H6942" s="1106">
        <f>G6942*F6942</f>
        <v>3240</v>
      </c>
      <c r="M6942" s="1566"/>
    </row>
    <row r="6943" spans="2:13" hidden="1">
      <c r="B6943" s="1543"/>
      <c r="C6943" s="1332" t="s">
        <v>683</v>
      </c>
      <c r="D6943" s="1331" t="s">
        <v>684</v>
      </c>
      <c r="E6943" s="1331" t="s">
        <v>675</v>
      </c>
      <c r="F6943" s="1334">
        <v>4.0000000000000001E-3</v>
      </c>
      <c r="G6943" s="1104">
        <f>DUB!$I$12</f>
        <v>225000</v>
      </c>
      <c r="H6943" s="1106">
        <f>G6943*F6943</f>
        <v>900</v>
      </c>
      <c r="M6943" s="1566"/>
    </row>
    <row r="6944" spans="2:13" hidden="1">
      <c r="B6944" s="1543"/>
      <c r="C6944" s="1332"/>
      <c r="D6944" s="1331"/>
      <c r="E6944" s="1331"/>
      <c r="F6944" s="2074" t="s">
        <v>685</v>
      </c>
      <c r="G6944" s="2074"/>
      <c r="H6944" s="1106">
        <f>SUM(H6940:H6943)</f>
        <v>41535</v>
      </c>
      <c r="M6944" s="1566"/>
    </row>
    <row r="6945" spans="2:13" hidden="1">
      <c r="B6945" s="1543" t="s">
        <v>686</v>
      </c>
      <c r="C6945" s="1332" t="s">
        <v>687</v>
      </c>
      <c r="D6945" s="1331"/>
      <c r="E6945" s="1331"/>
      <c r="F6945" s="1334"/>
      <c r="G6945" s="1104"/>
      <c r="H6945" s="1106"/>
      <c r="M6945" s="1566"/>
    </row>
    <row r="6946" spans="2:13" hidden="1">
      <c r="B6946" s="1540"/>
      <c r="C6946" s="1332" t="s">
        <v>3453</v>
      </c>
      <c r="D6946" s="1331"/>
      <c r="E6946" s="1331" t="s">
        <v>2933</v>
      </c>
      <c r="F6946" s="1334">
        <v>2.2499999999999999E-2</v>
      </c>
      <c r="G6946" s="1104">
        <f>DUB!$I$64</f>
        <v>55152</v>
      </c>
      <c r="H6946" s="1106">
        <f>G6946*F6946</f>
        <v>1240.9199999999998</v>
      </c>
      <c r="M6946" s="1566"/>
    </row>
    <row r="6947" spans="2:13" hidden="1">
      <c r="B6947" s="1540"/>
      <c r="C6947" s="1332" t="s">
        <v>808</v>
      </c>
      <c r="D6947" s="1331"/>
      <c r="E6947" s="1331" t="s">
        <v>2646</v>
      </c>
      <c r="F6947" s="1334">
        <v>2.2000000000000001E-3</v>
      </c>
      <c r="G6947" s="1104">
        <f>DUB!$I$59</f>
        <v>208463</v>
      </c>
      <c r="H6947" s="1106">
        <f>G6947*F6947</f>
        <v>458.61860000000001</v>
      </c>
      <c r="M6947" s="1566"/>
    </row>
    <row r="6948" spans="2:13" hidden="1">
      <c r="B6948" s="1540"/>
      <c r="C6948" s="1332" t="s">
        <v>3170</v>
      </c>
      <c r="D6948" s="1331"/>
      <c r="E6948" s="1331" t="s">
        <v>1423</v>
      </c>
      <c r="F6948" s="1334">
        <v>1</v>
      </c>
      <c r="G6948" s="1104">
        <f>DUB!$I$502</f>
        <v>223839</v>
      </c>
      <c r="H6948" s="1106">
        <f>G6948*F6948</f>
        <v>223839</v>
      </c>
      <c r="M6948" s="1566"/>
    </row>
    <row r="6949" spans="2:13" hidden="1">
      <c r="B6949" s="1540"/>
      <c r="C6949" s="1125"/>
      <c r="D6949" s="1333"/>
      <c r="E6949" s="1333"/>
      <c r="F6949" s="2074" t="s">
        <v>702</v>
      </c>
      <c r="G6949" s="2074"/>
      <c r="H6949" s="1106">
        <f>SUM(H6946:H6948)</f>
        <v>225538.5386</v>
      </c>
      <c r="M6949" s="1566"/>
    </row>
    <row r="6950" spans="2:13" s="496" customFormat="1" hidden="1">
      <c r="B6950" s="1543" t="s">
        <v>703</v>
      </c>
      <c r="C6950" s="2075" t="s">
        <v>3764</v>
      </c>
      <c r="D6950" s="2075"/>
      <c r="E6950" s="2075"/>
      <c r="F6950" s="2075"/>
      <c r="G6950" s="2075"/>
      <c r="H6950" s="1107">
        <f>H6944+H6949</f>
        <v>267073.53859999997</v>
      </c>
      <c r="J6950" s="1559"/>
      <c r="K6950" s="1559"/>
      <c r="L6950" s="1559"/>
      <c r="M6950" s="1635"/>
    </row>
    <row r="6951" spans="2:13" s="496" customFormat="1" hidden="1">
      <c r="B6951" s="1543" t="s">
        <v>706</v>
      </c>
      <c r="C6951" s="2076" t="s">
        <v>876</v>
      </c>
      <c r="D6951" s="2076"/>
      <c r="E6951" s="2076"/>
      <c r="F6951" s="2077" t="s">
        <v>3873</v>
      </c>
      <c r="G6951" s="2077"/>
      <c r="H6951" s="1107">
        <f>H6950*0.15</f>
        <v>40061.030789999997</v>
      </c>
      <c r="J6951" s="1559"/>
      <c r="K6951" s="1559"/>
      <c r="L6951" s="1559"/>
      <c r="M6951" s="1635"/>
    </row>
    <row r="6952" spans="2:13" s="496" customFormat="1" hidden="1">
      <c r="B6952" s="1543" t="s">
        <v>708</v>
      </c>
      <c r="C6952" s="2078" t="s">
        <v>3765</v>
      </c>
      <c r="D6952" s="2078"/>
      <c r="E6952" s="2078"/>
      <c r="F6952" s="2078"/>
      <c r="G6952" s="2078"/>
      <c r="H6952" s="1107">
        <f>ROUND(SUM(H6950:H6951),2)</f>
        <v>307134.57</v>
      </c>
      <c r="I6952" s="506">
        <f>SUM(H6950:H6951)</f>
        <v>307134.56938999996</v>
      </c>
      <c r="J6952" s="1561"/>
      <c r="K6952" s="1561"/>
      <c r="L6952" s="1559"/>
      <c r="M6952" s="1635"/>
    </row>
    <row r="6953" spans="2:13" hidden="1">
      <c r="B6953" s="1129"/>
      <c r="C6953" s="1130"/>
      <c r="D6953" s="1129"/>
      <c r="E6953" s="1130"/>
      <c r="F6953" s="1131"/>
      <c r="G6953" s="1132"/>
      <c r="H6953" s="1133"/>
      <c r="I6953" s="526"/>
      <c r="J6953" s="1562"/>
      <c r="K6953" s="1562"/>
      <c r="M6953" s="1566"/>
    </row>
    <row r="6954" spans="2:13" hidden="1">
      <c r="B6954" s="1100" t="s">
        <v>4239</v>
      </c>
      <c r="C6954" s="1232" t="s">
        <v>3458</v>
      </c>
      <c r="F6954" s="1172"/>
      <c r="G6954" s="1173"/>
      <c r="H6954" s="1133"/>
      <c r="M6954" s="1566"/>
    </row>
    <row r="6955" spans="2:13" s="507" customFormat="1" ht="24.9" hidden="1" customHeight="1">
      <c r="B6955" s="1748" t="s">
        <v>1003</v>
      </c>
      <c r="C6955" s="1101" t="s">
        <v>1004</v>
      </c>
      <c r="D6955" s="1101" t="s">
        <v>1005</v>
      </c>
      <c r="E6955" s="1101" t="s">
        <v>1006</v>
      </c>
      <c r="F6955" s="1102" t="s">
        <v>1007</v>
      </c>
      <c r="G6955" s="1109" t="s">
        <v>2637</v>
      </c>
      <c r="H6955" s="1110" t="s">
        <v>2638</v>
      </c>
      <c r="J6955" s="1625"/>
      <c r="K6955" s="1625"/>
      <c r="L6955" s="1625"/>
      <c r="M6955" s="1570"/>
    </row>
    <row r="6956" spans="2:13" hidden="1">
      <c r="B6956" s="1543" t="s">
        <v>671</v>
      </c>
      <c r="C6956" s="1332" t="s">
        <v>672</v>
      </c>
      <c r="D6956" s="1331"/>
      <c r="E6956" s="1331"/>
      <c r="F6956" s="1334"/>
      <c r="G6956" s="1104"/>
      <c r="H6956" s="1106"/>
      <c r="M6956" s="1566"/>
    </row>
    <row r="6957" spans="2:13" hidden="1">
      <c r="B6957" s="1543"/>
      <c r="C6957" s="1332" t="s">
        <v>673</v>
      </c>
      <c r="D6957" s="1331" t="s">
        <v>674</v>
      </c>
      <c r="E6957" s="1331" t="s">
        <v>675</v>
      </c>
      <c r="F6957" s="1334">
        <v>8.1000000000000003E-2</v>
      </c>
      <c r="G6957" s="1104">
        <f>DUB!$I$10</f>
        <v>150000</v>
      </c>
      <c r="H6957" s="1106">
        <f>G6957*F6957</f>
        <v>12150</v>
      </c>
      <c r="M6957" s="1566"/>
    </row>
    <row r="6958" spans="2:13" hidden="1">
      <c r="B6958" s="1543"/>
      <c r="C6958" s="1332" t="s">
        <v>731</v>
      </c>
      <c r="D6958" s="1331" t="s">
        <v>678</v>
      </c>
      <c r="E6958" s="1331" t="s">
        <v>675</v>
      </c>
      <c r="F6958" s="1334">
        <v>0.13500000000000001</v>
      </c>
      <c r="G6958" s="1104">
        <f>DUB!$I$11</f>
        <v>187000</v>
      </c>
      <c r="H6958" s="1106">
        <f>G6958*F6958</f>
        <v>25245</v>
      </c>
      <c r="M6958" s="1566"/>
    </row>
    <row r="6959" spans="2:13" hidden="1">
      <c r="B6959" s="1543"/>
      <c r="C6959" s="1332" t="s">
        <v>751</v>
      </c>
      <c r="D6959" s="1331" t="s">
        <v>681</v>
      </c>
      <c r="E6959" s="1331" t="s">
        <v>675</v>
      </c>
      <c r="F6959" s="1334">
        <v>1.35E-2</v>
      </c>
      <c r="G6959" s="1104">
        <f>DUB!$I$13</f>
        <v>240000</v>
      </c>
      <c r="H6959" s="1106">
        <f>G6959*F6959</f>
        <v>3240</v>
      </c>
      <c r="M6959" s="1566"/>
    </row>
    <row r="6960" spans="2:13" hidden="1">
      <c r="B6960" s="1543"/>
      <c r="C6960" s="1332" t="s">
        <v>683</v>
      </c>
      <c r="D6960" s="1331" t="s">
        <v>684</v>
      </c>
      <c r="E6960" s="1331" t="s">
        <v>675</v>
      </c>
      <c r="F6960" s="1334">
        <v>4.0000000000000001E-3</v>
      </c>
      <c r="G6960" s="1104">
        <f>DUB!$I$12</f>
        <v>225000</v>
      </c>
      <c r="H6960" s="1106">
        <f>G6960*F6960</f>
        <v>900</v>
      </c>
      <c r="M6960" s="1566"/>
    </row>
    <row r="6961" spans="2:13" hidden="1">
      <c r="B6961" s="1543"/>
      <c r="C6961" s="1332"/>
      <c r="D6961" s="1331"/>
      <c r="E6961" s="1331"/>
      <c r="F6961" s="2074" t="s">
        <v>685</v>
      </c>
      <c r="G6961" s="2074"/>
      <c r="H6961" s="1106">
        <f>SUM(H6957:H6960)</f>
        <v>41535</v>
      </c>
      <c r="M6961" s="1566"/>
    </row>
    <row r="6962" spans="2:13" hidden="1">
      <c r="B6962" s="1543" t="s">
        <v>686</v>
      </c>
      <c r="C6962" s="1332" t="s">
        <v>687</v>
      </c>
      <c r="D6962" s="1331"/>
      <c r="E6962" s="1331"/>
      <c r="F6962" s="1334"/>
      <c r="G6962" s="1104"/>
      <c r="H6962" s="1106"/>
      <c r="M6962" s="1566"/>
    </row>
    <row r="6963" spans="2:13" hidden="1">
      <c r="B6963" s="1540"/>
      <c r="C6963" s="1332" t="s">
        <v>3453</v>
      </c>
      <c r="D6963" s="1331"/>
      <c r="E6963" s="1331" t="s">
        <v>2933</v>
      </c>
      <c r="F6963" s="1334">
        <v>2.7E-2</v>
      </c>
      <c r="G6963" s="1104">
        <f>DUB!$I$64</f>
        <v>55152</v>
      </c>
      <c r="H6963" s="1106">
        <f>G6963*F6963</f>
        <v>1489.104</v>
      </c>
      <c r="M6963" s="1566"/>
    </row>
    <row r="6964" spans="2:13" hidden="1">
      <c r="B6964" s="1540"/>
      <c r="C6964" s="1332" t="s">
        <v>808</v>
      </c>
      <c r="D6964" s="1331"/>
      <c r="E6964" s="1331" t="s">
        <v>2646</v>
      </c>
      <c r="F6964" s="1334">
        <v>2.5999999999999999E-3</v>
      </c>
      <c r="G6964" s="1104">
        <f>DUB!$I$59</f>
        <v>208463</v>
      </c>
      <c r="H6964" s="1106">
        <f>G6964*F6964</f>
        <v>542.00379999999996</v>
      </c>
      <c r="M6964" s="1566"/>
    </row>
    <row r="6965" spans="2:13" hidden="1">
      <c r="B6965" s="1540"/>
      <c r="C6965" s="1332" t="s">
        <v>3171</v>
      </c>
      <c r="D6965" s="1331"/>
      <c r="E6965" s="1331" t="s">
        <v>1423</v>
      </c>
      <c r="F6965" s="1334">
        <v>1</v>
      </c>
      <c r="G6965" s="1104">
        <f>DUB!$I$503</f>
        <v>300411</v>
      </c>
      <c r="H6965" s="1106">
        <f>G6965*F6965</f>
        <v>300411</v>
      </c>
      <c r="M6965" s="1566"/>
    </row>
    <row r="6966" spans="2:13" hidden="1">
      <c r="B6966" s="1540"/>
      <c r="C6966" s="1125"/>
      <c r="D6966" s="1333"/>
      <c r="E6966" s="1333"/>
      <c r="F6966" s="2074" t="s">
        <v>702</v>
      </c>
      <c r="G6966" s="2074"/>
      <c r="H6966" s="1106">
        <f>SUM(H6963:H6965)</f>
        <v>302442.1078</v>
      </c>
      <c r="M6966" s="1566"/>
    </row>
    <row r="6967" spans="2:13" s="496" customFormat="1" hidden="1">
      <c r="B6967" s="1543" t="s">
        <v>703</v>
      </c>
      <c r="C6967" s="2075" t="s">
        <v>3764</v>
      </c>
      <c r="D6967" s="2075"/>
      <c r="E6967" s="2075"/>
      <c r="F6967" s="2075"/>
      <c r="G6967" s="2075"/>
      <c r="H6967" s="1107">
        <f>H6961+H6966</f>
        <v>343977.1078</v>
      </c>
      <c r="J6967" s="1559"/>
      <c r="K6967" s="1559"/>
      <c r="L6967" s="1559"/>
      <c r="M6967" s="1635"/>
    </row>
    <row r="6968" spans="2:13" s="496" customFormat="1" hidden="1">
      <c r="B6968" s="1543" t="s">
        <v>706</v>
      </c>
      <c r="C6968" s="2076" t="s">
        <v>876</v>
      </c>
      <c r="D6968" s="2076"/>
      <c r="E6968" s="2076"/>
      <c r="F6968" s="2077" t="s">
        <v>3873</v>
      </c>
      <c r="G6968" s="2077"/>
      <c r="H6968" s="1107">
        <f>H6967*0.15</f>
        <v>51596.566169999998</v>
      </c>
      <c r="J6968" s="1559"/>
      <c r="K6968" s="1559"/>
      <c r="L6968" s="1559"/>
      <c r="M6968" s="1635"/>
    </row>
    <row r="6969" spans="2:13" s="496" customFormat="1" hidden="1">
      <c r="B6969" s="1543" t="s">
        <v>708</v>
      </c>
      <c r="C6969" s="2078" t="s">
        <v>3765</v>
      </c>
      <c r="D6969" s="2078"/>
      <c r="E6969" s="2078"/>
      <c r="F6969" s="2078"/>
      <c r="G6969" s="2078"/>
      <c r="H6969" s="1107">
        <f>ROUND(SUM(H6967:H6968),2)</f>
        <v>395573.67</v>
      </c>
      <c r="I6969" s="506">
        <f>SUM(H6967:H6968)</f>
        <v>395573.67397</v>
      </c>
      <c r="J6969" s="1561"/>
      <c r="K6969" s="1561"/>
      <c r="L6969" s="1559"/>
      <c r="M6969" s="1635"/>
    </row>
    <row r="6970" spans="2:13" hidden="1">
      <c r="B6970" s="1129"/>
      <c r="C6970" s="1130"/>
      <c r="D6970" s="1129"/>
      <c r="E6970" s="1130"/>
      <c r="F6970" s="1131"/>
      <c r="G6970" s="1132"/>
      <c r="H6970" s="1133"/>
      <c r="I6970" s="526"/>
      <c r="J6970" s="1562"/>
      <c r="K6970" s="1562"/>
      <c r="M6970" s="1566"/>
    </row>
    <row r="6971" spans="2:13" hidden="1">
      <c r="B6971" s="1100" t="s">
        <v>4240</v>
      </c>
      <c r="C6971" s="1232" t="s">
        <v>3459</v>
      </c>
      <c r="F6971" s="1172"/>
      <c r="G6971" s="1173"/>
      <c r="H6971" s="1133"/>
      <c r="M6971" s="1566"/>
    </row>
    <row r="6972" spans="2:13" s="507" customFormat="1" ht="24.9" hidden="1" customHeight="1">
      <c r="B6972" s="1748" t="s">
        <v>1003</v>
      </c>
      <c r="C6972" s="1101" t="s">
        <v>1004</v>
      </c>
      <c r="D6972" s="1101" t="s">
        <v>1005</v>
      </c>
      <c r="E6972" s="1101" t="s">
        <v>1006</v>
      </c>
      <c r="F6972" s="1102" t="s">
        <v>1007</v>
      </c>
      <c r="G6972" s="1109" t="s">
        <v>2637</v>
      </c>
      <c r="H6972" s="1110" t="s">
        <v>2638</v>
      </c>
      <c r="J6972" s="1625"/>
      <c r="K6972" s="1625"/>
      <c r="L6972" s="1625"/>
      <c r="M6972" s="1570"/>
    </row>
    <row r="6973" spans="2:13" hidden="1">
      <c r="B6973" s="1543" t="s">
        <v>671</v>
      </c>
      <c r="C6973" s="1332" t="s">
        <v>672</v>
      </c>
      <c r="D6973" s="1331"/>
      <c r="E6973" s="1331"/>
      <c r="F6973" s="1334"/>
      <c r="G6973" s="1104"/>
      <c r="H6973" s="1106"/>
      <c r="M6973" s="1566"/>
    </row>
    <row r="6974" spans="2:13" hidden="1">
      <c r="B6974" s="1543"/>
      <c r="C6974" s="1332" t="s">
        <v>673</v>
      </c>
      <c r="D6974" s="1331" t="s">
        <v>674</v>
      </c>
      <c r="E6974" s="1331" t="s">
        <v>675</v>
      </c>
      <c r="F6974" s="1334">
        <v>8.1000000000000003E-2</v>
      </c>
      <c r="G6974" s="1104">
        <f>DUB!$I$10</f>
        <v>150000</v>
      </c>
      <c r="H6974" s="1106">
        <f>G6974*F6974</f>
        <v>12150</v>
      </c>
      <c r="M6974" s="1566"/>
    </row>
    <row r="6975" spans="2:13" hidden="1">
      <c r="B6975" s="1543"/>
      <c r="C6975" s="1332" t="s">
        <v>731</v>
      </c>
      <c r="D6975" s="1331" t="s">
        <v>678</v>
      </c>
      <c r="E6975" s="1331" t="s">
        <v>675</v>
      </c>
      <c r="F6975" s="1334">
        <v>0.13500000000000001</v>
      </c>
      <c r="G6975" s="1104">
        <f>DUB!$I$11</f>
        <v>187000</v>
      </c>
      <c r="H6975" s="1106">
        <f>G6975*F6975</f>
        <v>25245</v>
      </c>
      <c r="M6975" s="1566"/>
    </row>
    <row r="6976" spans="2:13" hidden="1">
      <c r="B6976" s="1543"/>
      <c r="C6976" s="1332" t="s">
        <v>751</v>
      </c>
      <c r="D6976" s="1331" t="s">
        <v>681</v>
      </c>
      <c r="E6976" s="1331" t="s">
        <v>675</v>
      </c>
      <c r="F6976" s="1334">
        <v>1.35E-2</v>
      </c>
      <c r="G6976" s="1104">
        <f>DUB!$I$13</f>
        <v>240000</v>
      </c>
      <c r="H6976" s="1106">
        <f>G6976*F6976</f>
        <v>3240</v>
      </c>
      <c r="M6976" s="1566"/>
    </row>
    <row r="6977" spans="2:13" hidden="1">
      <c r="B6977" s="1543"/>
      <c r="C6977" s="1332" t="s">
        <v>683</v>
      </c>
      <c r="D6977" s="1331" t="s">
        <v>684</v>
      </c>
      <c r="E6977" s="1331" t="s">
        <v>675</v>
      </c>
      <c r="F6977" s="1334">
        <v>4.0000000000000001E-3</v>
      </c>
      <c r="G6977" s="1104">
        <f>DUB!$I$12</f>
        <v>225000</v>
      </c>
      <c r="H6977" s="1106">
        <f>G6977*F6977</f>
        <v>900</v>
      </c>
      <c r="M6977" s="1566"/>
    </row>
    <row r="6978" spans="2:13" hidden="1">
      <c r="B6978" s="1543"/>
      <c r="C6978" s="1332"/>
      <c r="D6978" s="1331"/>
      <c r="E6978" s="1331"/>
      <c r="F6978" s="2074" t="s">
        <v>685</v>
      </c>
      <c r="G6978" s="2074"/>
      <c r="H6978" s="1106">
        <f>SUM(H6974:H6977)</f>
        <v>41535</v>
      </c>
      <c r="M6978" s="1566"/>
    </row>
    <row r="6979" spans="2:13" hidden="1">
      <c r="B6979" s="1543" t="s">
        <v>686</v>
      </c>
      <c r="C6979" s="1332" t="s">
        <v>687</v>
      </c>
      <c r="D6979" s="1331"/>
      <c r="E6979" s="1331"/>
      <c r="F6979" s="1334"/>
      <c r="G6979" s="1104"/>
      <c r="H6979" s="1106"/>
      <c r="M6979" s="1566"/>
    </row>
    <row r="6980" spans="2:13" hidden="1">
      <c r="B6980" s="1543"/>
      <c r="C6980" s="1332" t="s">
        <v>3453</v>
      </c>
      <c r="D6980" s="1331"/>
      <c r="E6980" s="1331" t="s">
        <v>2933</v>
      </c>
      <c r="F6980" s="1334">
        <v>3.5999999999999997E-2</v>
      </c>
      <c r="G6980" s="1104">
        <f>DUB!$I$64</f>
        <v>55152</v>
      </c>
      <c r="H6980" s="1106">
        <f>G6980*F6980</f>
        <v>1985.4719999999998</v>
      </c>
      <c r="M6980" s="1566"/>
    </row>
    <row r="6981" spans="2:13" hidden="1">
      <c r="B6981" s="1543"/>
      <c r="C6981" s="1332" t="s">
        <v>808</v>
      </c>
      <c r="D6981" s="1331"/>
      <c r="E6981" s="1331" t="s">
        <v>2646</v>
      </c>
      <c r="F6981" s="1334">
        <v>3.3999999999999998E-3</v>
      </c>
      <c r="G6981" s="1104">
        <f>DUB!$I$59</f>
        <v>208463</v>
      </c>
      <c r="H6981" s="1106">
        <f>G6981*F6981</f>
        <v>708.77419999999995</v>
      </c>
      <c r="M6981" s="1566"/>
    </row>
    <row r="6982" spans="2:13" hidden="1">
      <c r="B6982" s="1540"/>
      <c r="C6982" s="1332" t="s">
        <v>3172</v>
      </c>
      <c r="D6982" s="1331"/>
      <c r="E6982" s="1331" t="s">
        <v>1423</v>
      </c>
      <c r="F6982" s="1334">
        <v>1</v>
      </c>
      <c r="G6982" s="1104">
        <f>DUB!$I$504</f>
        <v>600831</v>
      </c>
      <c r="H6982" s="1106">
        <f>G6982*F6982</f>
        <v>600831</v>
      </c>
      <c r="M6982" s="1566"/>
    </row>
    <row r="6983" spans="2:13" hidden="1">
      <c r="B6983" s="1540"/>
      <c r="C6983" s="1125"/>
      <c r="D6983" s="1333"/>
      <c r="E6983" s="1333"/>
      <c r="F6983" s="2074" t="s">
        <v>702</v>
      </c>
      <c r="G6983" s="2074"/>
      <c r="H6983" s="1106">
        <f>SUM(H6980:H6982)</f>
        <v>603525.24620000005</v>
      </c>
      <c r="M6983" s="1566"/>
    </row>
    <row r="6984" spans="2:13" s="496" customFormat="1" hidden="1">
      <c r="B6984" s="1543" t="s">
        <v>703</v>
      </c>
      <c r="C6984" s="2075" t="s">
        <v>3764</v>
      </c>
      <c r="D6984" s="2075"/>
      <c r="E6984" s="2075"/>
      <c r="F6984" s="2075"/>
      <c r="G6984" s="2075"/>
      <c r="H6984" s="1107">
        <f>H6978+H6983</f>
        <v>645060.24620000005</v>
      </c>
      <c r="J6984" s="1559"/>
      <c r="K6984" s="1559"/>
      <c r="L6984" s="1559"/>
      <c r="M6984" s="1635"/>
    </row>
    <row r="6985" spans="2:13" s="496" customFormat="1" hidden="1">
      <c r="B6985" s="1543" t="s">
        <v>706</v>
      </c>
      <c r="C6985" s="2076" t="s">
        <v>876</v>
      </c>
      <c r="D6985" s="2076"/>
      <c r="E6985" s="2076"/>
      <c r="F6985" s="2077" t="s">
        <v>3873</v>
      </c>
      <c r="G6985" s="2077"/>
      <c r="H6985" s="1107">
        <f>H6984*0.15</f>
        <v>96759.036930000002</v>
      </c>
      <c r="J6985" s="1559"/>
      <c r="K6985" s="1559"/>
      <c r="L6985" s="1559"/>
      <c r="M6985" s="1635"/>
    </row>
    <row r="6986" spans="2:13" s="496" customFormat="1" hidden="1">
      <c r="B6986" s="1543" t="s">
        <v>708</v>
      </c>
      <c r="C6986" s="2078" t="s">
        <v>3765</v>
      </c>
      <c r="D6986" s="2078"/>
      <c r="E6986" s="2078"/>
      <c r="F6986" s="2078"/>
      <c r="G6986" s="2078"/>
      <c r="H6986" s="1107">
        <f>ROUND(SUM(H6984:H6985),2)</f>
        <v>741819.28</v>
      </c>
      <c r="I6986" s="506">
        <f>SUM(H6984:H6985)</f>
        <v>741819.28313000011</v>
      </c>
      <c r="J6986" s="1561"/>
      <c r="K6986" s="1561"/>
      <c r="L6986" s="1559"/>
      <c r="M6986" s="1635"/>
    </row>
    <row r="6987" spans="2:13" hidden="1">
      <c r="B6987" s="1129"/>
      <c r="C6987" s="1130"/>
      <c r="D6987" s="1129"/>
      <c r="E6987" s="1130"/>
      <c r="F6987" s="1131"/>
      <c r="G6987" s="1132"/>
      <c r="H6987" s="1133"/>
      <c r="I6987" s="526"/>
      <c r="J6987" s="1562"/>
      <c r="K6987" s="1562"/>
      <c r="M6987" s="1566"/>
    </row>
    <row r="6988" spans="2:13" hidden="1">
      <c r="B6988" s="1100" t="s">
        <v>4241</v>
      </c>
      <c r="C6988" s="1232" t="s">
        <v>3460</v>
      </c>
      <c r="F6988" s="1172"/>
      <c r="G6988" s="1173"/>
      <c r="H6988" s="1133"/>
      <c r="M6988" s="1566"/>
    </row>
    <row r="6989" spans="2:13" s="507" customFormat="1" ht="24.9" hidden="1" customHeight="1">
      <c r="B6989" s="1748" t="s">
        <v>1003</v>
      </c>
      <c r="C6989" s="1101" t="s">
        <v>1004</v>
      </c>
      <c r="D6989" s="1101" t="s">
        <v>1005</v>
      </c>
      <c r="E6989" s="1101" t="s">
        <v>1006</v>
      </c>
      <c r="F6989" s="1102" t="s">
        <v>1007</v>
      </c>
      <c r="G6989" s="1109" t="s">
        <v>2637</v>
      </c>
      <c r="H6989" s="1110" t="s">
        <v>2638</v>
      </c>
      <c r="J6989" s="1625"/>
      <c r="K6989" s="1625"/>
      <c r="L6989" s="1625"/>
      <c r="M6989" s="1570"/>
    </row>
    <row r="6990" spans="2:13" hidden="1">
      <c r="B6990" s="1543" t="s">
        <v>671</v>
      </c>
      <c r="C6990" s="1332" t="s">
        <v>672</v>
      </c>
      <c r="D6990" s="1331"/>
      <c r="E6990" s="1331"/>
      <c r="F6990" s="1334"/>
      <c r="G6990" s="1104"/>
      <c r="H6990" s="1106"/>
      <c r="M6990" s="1566"/>
    </row>
    <row r="6991" spans="2:13" hidden="1">
      <c r="B6991" s="1543"/>
      <c r="C6991" s="1332" t="s">
        <v>673</v>
      </c>
      <c r="D6991" s="1331" t="s">
        <v>674</v>
      </c>
      <c r="E6991" s="1331" t="s">
        <v>675</v>
      </c>
      <c r="F6991" s="1334">
        <v>8.1000000000000003E-2</v>
      </c>
      <c r="G6991" s="1104">
        <f>DUB!$I$10</f>
        <v>150000</v>
      </c>
      <c r="H6991" s="1106">
        <f>G6991*F6991</f>
        <v>12150</v>
      </c>
      <c r="M6991" s="1566"/>
    </row>
    <row r="6992" spans="2:13" hidden="1">
      <c r="B6992" s="1543"/>
      <c r="C6992" s="1332" t="s">
        <v>731</v>
      </c>
      <c r="D6992" s="1331" t="s">
        <v>678</v>
      </c>
      <c r="E6992" s="1331" t="s">
        <v>675</v>
      </c>
      <c r="F6992" s="1334">
        <v>0.13500000000000001</v>
      </c>
      <c r="G6992" s="1104">
        <f>DUB!$I$11</f>
        <v>187000</v>
      </c>
      <c r="H6992" s="1106">
        <f>G6992*F6992</f>
        <v>25245</v>
      </c>
      <c r="M6992" s="1566"/>
    </row>
    <row r="6993" spans="2:13" hidden="1">
      <c r="B6993" s="1543"/>
      <c r="C6993" s="1332" t="s">
        <v>751</v>
      </c>
      <c r="D6993" s="1331" t="s">
        <v>681</v>
      </c>
      <c r="E6993" s="1331" t="s">
        <v>675</v>
      </c>
      <c r="F6993" s="1334">
        <v>1.35E-2</v>
      </c>
      <c r="G6993" s="1104">
        <f>DUB!$I$13</f>
        <v>240000</v>
      </c>
      <c r="H6993" s="1106">
        <f>G6993*F6993</f>
        <v>3240</v>
      </c>
      <c r="M6993" s="1566"/>
    </row>
    <row r="6994" spans="2:13" hidden="1">
      <c r="B6994" s="1543"/>
      <c r="C6994" s="1332" t="s">
        <v>683</v>
      </c>
      <c r="D6994" s="1331" t="s">
        <v>684</v>
      </c>
      <c r="E6994" s="1331" t="s">
        <v>675</v>
      </c>
      <c r="F6994" s="1334">
        <v>4.0000000000000001E-3</v>
      </c>
      <c r="G6994" s="1104">
        <f>DUB!$I$12</f>
        <v>225000</v>
      </c>
      <c r="H6994" s="1106">
        <f>G6994*F6994</f>
        <v>900</v>
      </c>
      <c r="M6994" s="1566"/>
    </row>
    <row r="6995" spans="2:13" hidden="1">
      <c r="B6995" s="1543"/>
      <c r="C6995" s="1332"/>
      <c r="D6995" s="1331"/>
      <c r="E6995" s="1331"/>
      <c r="F6995" s="2074" t="s">
        <v>685</v>
      </c>
      <c r="G6995" s="2074"/>
      <c r="H6995" s="1106">
        <f>SUM(H6991:H6994)</f>
        <v>41535</v>
      </c>
      <c r="M6995" s="1566"/>
    </row>
    <row r="6996" spans="2:13" hidden="1">
      <c r="B6996" s="1543" t="s">
        <v>686</v>
      </c>
      <c r="C6996" s="1332" t="s">
        <v>687</v>
      </c>
      <c r="D6996" s="1331"/>
      <c r="E6996" s="1331"/>
      <c r="F6996" s="1334"/>
      <c r="G6996" s="1104"/>
      <c r="H6996" s="1106"/>
      <c r="M6996" s="1566"/>
    </row>
    <row r="6997" spans="2:13" hidden="1">
      <c r="B6997" s="1543"/>
      <c r="C6997" s="1332" t="s">
        <v>3453</v>
      </c>
      <c r="D6997" s="1331"/>
      <c r="E6997" s="1331" t="s">
        <v>2933</v>
      </c>
      <c r="F6997" s="1334">
        <v>4.4999999999999998E-2</v>
      </c>
      <c r="G6997" s="1104">
        <f>DUB!$I$64</f>
        <v>55152</v>
      </c>
      <c r="H6997" s="1106">
        <f>G6997*F6997</f>
        <v>2481.8399999999997</v>
      </c>
      <c r="M6997" s="1566"/>
    </row>
    <row r="6998" spans="2:13" hidden="1">
      <c r="B6998" s="1540"/>
      <c r="C6998" s="1332" t="s">
        <v>808</v>
      </c>
      <c r="D6998" s="1331"/>
      <c r="E6998" s="1331" t="s">
        <v>2646</v>
      </c>
      <c r="F6998" s="1334">
        <v>4.1999999999999997E-3</v>
      </c>
      <c r="G6998" s="1104">
        <f>DUB!$I$59</f>
        <v>208463</v>
      </c>
      <c r="H6998" s="1106">
        <f>G6998*F6998</f>
        <v>875.54459999999995</v>
      </c>
      <c r="M6998" s="1566"/>
    </row>
    <row r="6999" spans="2:13" hidden="1">
      <c r="B6999" s="1540"/>
      <c r="C6999" s="1332" t="s">
        <v>3173</v>
      </c>
      <c r="D6999" s="1331"/>
      <c r="E6999" s="1331" t="s">
        <v>1423</v>
      </c>
      <c r="F6999" s="1334">
        <v>1</v>
      </c>
      <c r="G6999" s="1104">
        <f>DUB!$I$505</f>
        <v>718641</v>
      </c>
      <c r="H6999" s="1106">
        <f>G6999*F6999</f>
        <v>718641</v>
      </c>
      <c r="M6999" s="1566"/>
    </row>
    <row r="7000" spans="2:13" hidden="1">
      <c r="B7000" s="1540"/>
      <c r="C7000" s="1332"/>
      <c r="D7000" s="1331"/>
      <c r="E7000" s="1331"/>
      <c r="F7000" s="2090" t="s">
        <v>702</v>
      </c>
      <c r="G7000" s="2090"/>
      <c r="H7000" s="1106">
        <f>SUM(H6997:H6999)</f>
        <v>721998.38459999999</v>
      </c>
      <c r="M7000" s="1566"/>
    </row>
    <row r="7001" spans="2:13" s="496" customFormat="1" hidden="1">
      <c r="B7001" s="1543" t="s">
        <v>703</v>
      </c>
      <c r="C7001" s="2089" t="s">
        <v>3764</v>
      </c>
      <c r="D7001" s="2089"/>
      <c r="E7001" s="2089"/>
      <c r="F7001" s="2089"/>
      <c r="G7001" s="2089"/>
      <c r="H7001" s="1107">
        <f>H6995+H7000</f>
        <v>763533.38459999999</v>
      </c>
      <c r="J7001" s="1559"/>
      <c r="K7001" s="1559"/>
      <c r="L7001" s="1559"/>
      <c r="M7001" s="1635"/>
    </row>
    <row r="7002" spans="2:13" s="496" customFormat="1" hidden="1">
      <c r="B7002" s="1543" t="s">
        <v>706</v>
      </c>
      <c r="C7002" s="2076" t="s">
        <v>876</v>
      </c>
      <c r="D7002" s="2076"/>
      <c r="E7002" s="2076"/>
      <c r="F7002" s="2077" t="s">
        <v>3873</v>
      </c>
      <c r="G7002" s="2077"/>
      <c r="H7002" s="1107">
        <f>H7001*0.15</f>
        <v>114530.00769</v>
      </c>
      <c r="J7002" s="1559"/>
      <c r="K7002" s="1559"/>
      <c r="L7002" s="1559"/>
      <c r="M7002" s="1635"/>
    </row>
    <row r="7003" spans="2:13" s="496" customFormat="1" hidden="1">
      <c r="B7003" s="1543" t="s">
        <v>708</v>
      </c>
      <c r="C7003" s="2078" t="s">
        <v>3765</v>
      </c>
      <c r="D7003" s="2078"/>
      <c r="E7003" s="2078"/>
      <c r="F7003" s="2078"/>
      <c r="G7003" s="2078"/>
      <c r="H7003" s="1107">
        <f>ROUND(SUM(H7001:H7002),2)</f>
        <v>878063.39</v>
      </c>
      <c r="I7003" s="506">
        <f>SUM(H7001:H7002)</f>
        <v>878063.39228999999</v>
      </c>
      <c r="J7003" s="1561"/>
      <c r="K7003" s="1561"/>
      <c r="L7003" s="1559"/>
      <c r="M7003" s="1635"/>
    </row>
    <row r="7004" spans="2:13" hidden="1">
      <c r="B7004" s="1129"/>
      <c r="C7004" s="1130"/>
      <c r="D7004" s="1129"/>
      <c r="E7004" s="1130"/>
      <c r="F7004" s="1131"/>
      <c r="G7004" s="1132"/>
      <c r="H7004" s="1133"/>
      <c r="I7004" s="526"/>
      <c r="J7004" s="1562"/>
      <c r="K7004" s="1562"/>
      <c r="M7004" s="1566"/>
    </row>
    <row r="7005" spans="2:13" hidden="1">
      <c r="B7005" s="1100" t="s">
        <v>4242</v>
      </c>
      <c r="C7005" s="1232" t="s">
        <v>3461</v>
      </c>
      <c r="F7005" s="1172"/>
      <c r="G7005" s="1173"/>
      <c r="H7005" s="1133"/>
      <c r="M7005" s="1566"/>
    </row>
    <row r="7006" spans="2:13" s="507" customFormat="1" ht="24.9" hidden="1" customHeight="1">
      <c r="B7006" s="1748" t="s">
        <v>1003</v>
      </c>
      <c r="C7006" s="1101" t="s">
        <v>1004</v>
      </c>
      <c r="D7006" s="1101" t="s">
        <v>1005</v>
      </c>
      <c r="E7006" s="1101" t="s">
        <v>1006</v>
      </c>
      <c r="F7006" s="1102" t="s">
        <v>1007</v>
      </c>
      <c r="G7006" s="1109" t="s">
        <v>2637</v>
      </c>
      <c r="H7006" s="1110" t="s">
        <v>2638</v>
      </c>
      <c r="J7006" s="1625"/>
      <c r="K7006" s="1625"/>
      <c r="L7006" s="1625"/>
      <c r="M7006" s="1570"/>
    </row>
    <row r="7007" spans="2:13" hidden="1">
      <c r="B7007" s="1543" t="s">
        <v>671</v>
      </c>
      <c r="C7007" s="1332" t="s">
        <v>672</v>
      </c>
      <c r="D7007" s="1331"/>
      <c r="E7007" s="1331"/>
      <c r="F7007" s="1334"/>
      <c r="G7007" s="1104"/>
      <c r="H7007" s="1106"/>
      <c r="M7007" s="1566"/>
    </row>
    <row r="7008" spans="2:13" hidden="1">
      <c r="B7008" s="1543"/>
      <c r="C7008" s="1332" t="s">
        <v>673</v>
      </c>
      <c r="D7008" s="1331" t="s">
        <v>674</v>
      </c>
      <c r="E7008" s="1331" t="s">
        <v>675</v>
      </c>
      <c r="F7008" s="1334">
        <v>8.1000000000000003E-2</v>
      </c>
      <c r="G7008" s="1104">
        <f>DUB!$I$10</f>
        <v>150000</v>
      </c>
      <c r="H7008" s="1106">
        <f>G7008*F7008</f>
        <v>12150</v>
      </c>
      <c r="M7008" s="1566"/>
    </row>
    <row r="7009" spans="2:13" hidden="1">
      <c r="B7009" s="1543"/>
      <c r="C7009" s="1332" t="s">
        <v>731</v>
      </c>
      <c r="D7009" s="1331" t="s">
        <v>678</v>
      </c>
      <c r="E7009" s="1331" t="s">
        <v>675</v>
      </c>
      <c r="F7009" s="1334">
        <v>0.13500000000000001</v>
      </c>
      <c r="G7009" s="1104">
        <f>DUB!$I$11</f>
        <v>187000</v>
      </c>
      <c r="H7009" s="1106">
        <f>G7009*F7009</f>
        <v>25245</v>
      </c>
      <c r="M7009" s="1566"/>
    </row>
    <row r="7010" spans="2:13" hidden="1">
      <c r="B7010" s="1543"/>
      <c r="C7010" s="1332" t="s">
        <v>751</v>
      </c>
      <c r="D7010" s="1331" t="s">
        <v>681</v>
      </c>
      <c r="E7010" s="1331" t="s">
        <v>675</v>
      </c>
      <c r="F7010" s="1334">
        <v>1.35E-2</v>
      </c>
      <c r="G7010" s="1104">
        <f>DUB!$I$13</f>
        <v>240000</v>
      </c>
      <c r="H7010" s="1106">
        <f>G7010*F7010</f>
        <v>3240</v>
      </c>
      <c r="M7010" s="1566"/>
    </row>
    <row r="7011" spans="2:13" hidden="1">
      <c r="B7011" s="1543"/>
      <c r="C7011" s="1332" t="s">
        <v>683</v>
      </c>
      <c r="D7011" s="1331" t="s">
        <v>684</v>
      </c>
      <c r="E7011" s="1331" t="s">
        <v>675</v>
      </c>
      <c r="F7011" s="1334">
        <v>4.0000000000000001E-3</v>
      </c>
      <c r="G7011" s="1104">
        <f>DUB!$I$12</f>
        <v>225000</v>
      </c>
      <c r="H7011" s="1106">
        <f>G7011*F7011</f>
        <v>900</v>
      </c>
      <c r="M7011" s="1566"/>
    </row>
    <row r="7012" spans="2:13" hidden="1">
      <c r="B7012" s="1543"/>
      <c r="C7012" s="1332"/>
      <c r="D7012" s="1331"/>
      <c r="E7012" s="1331"/>
      <c r="F7012" s="2074" t="s">
        <v>685</v>
      </c>
      <c r="G7012" s="2074"/>
      <c r="H7012" s="1106">
        <f>SUM(H7008:H7011)</f>
        <v>41535</v>
      </c>
      <c r="M7012" s="1566"/>
    </row>
    <row r="7013" spans="2:13" hidden="1">
      <c r="B7013" s="1543" t="s">
        <v>686</v>
      </c>
      <c r="C7013" s="1332" t="s">
        <v>687</v>
      </c>
      <c r="D7013" s="1331"/>
      <c r="E7013" s="1331"/>
      <c r="F7013" s="1334"/>
      <c r="G7013" s="1104"/>
      <c r="H7013" s="1106"/>
      <c r="M7013" s="1566"/>
    </row>
    <row r="7014" spans="2:13" hidden="1">
      <c r="B7014" s="1543"/>
      <c r="C7014" s="1332" t="s">
        <v>3453</v>
      </c>
      <c r="D7014" s="1331"/>
      <c r="E7014" s="1331" t="s">
        <v>2933</v>
      </c>
      <c r="F7014" s="1334">
        <v>1.35E-2</v>
      </c>
      <c r="G7014" s="1104">
        <f>DUB!$I$64</f>
        <v>55152</v>
      </c>
      <c r="H7014" s="1106">
        <f>G7014*F7014</f>
        <v>744.55200000000002</v>
      </c>
      <c r="M7014" s="1566"/>
    </row>
    <row r="7015" spans="2:13" hidden="1">
      <c r="B7015" s="1543"/>
      <c r="C7015" s="1332" t="s">
        <v>808</v>
      </c>
      <c r="D7015" s="1331"/>
      <c r="E7015" s="1331" t="s">
        <v>2646</v>
      </c>
      <c r="F7015" s="1334">
        <v>1.4E-3</v>
      </c>
      <c r="G7015" s="1104">
        <f>DUB!$I$59</f>
        <v>208463</v>
      </c>
      <c r="H7015" s="1106">
        <f>G7015*F7015</f>
        <v>291.84820000000002</v>
      </c>
      <c r="M7015" s="1566"/>
    </row>
    <row r="7016" spans="2:13" hidden="1">
      <c r="B7016" s="1543"/>
      <c r="C7016" s="1332" t="s">
        <v>3462</v>
      </c>
      <c r="D7016" s="1331"/>
      <c r="E7016" s="1331" t="s">
        <v>1423</v>
      </c>
      <c r="F7016" s="1334">
        <v>1</v>
      </c>
      <c r="G7016" s="1104">
        <f>DUB!$I$495</f>
        <v>58905</v>
      </c>
      <c r="H7016" s="1106">
        <f>G7016*F7016</f>
        <v>58905</v>
      </c>
      <c r="M7016" s="1566"/>
    </row>
    <row r="7017" spans="2:13" hidden="1">
      <c r="B7017" s="1543"/>
      <c r="C7017" s="1125"/>
      <c r="D7017" s="1333"/>
      <c r="E7017" s="1333"/>
      <c r="F7017" s="2074" t="s">
        <v>702</v>
      </c>
      <c r="G7017" s="2074"/>
      <c r="H7017" s="1106">
        <f>SUM(H7014:H7016)</f>
        <v>59941.400200000004</v>
      </c>
      <c r="M7017" s="1566"/>
    </row>
    <row r="7018" spans="2:13" s="496" customFormat="1" hidden="1">
      <c r="B7018" s="1543" t="s">
        <v>703</v>
      </c>
      <c r="C7018" s="2075" t="s">
        <v>3764</v>
      </c>
      <c r="D7018" s="2075"/>
      <c r="E7018" s="2075"/>
      <c r="F7018" s="2075"/>
      <c r="G7018" s="2075"/>
      <c r="H7018" s="1107">
        <f>H7012+H7017</f>
        <v>101476.4002</v>
      </c>
      <c r="J7018" s="1559"/>
      <c r="K7018" s="1559"/>
      <c r="L7018" s="1559"/>
      <c r="M7018" s="1635"/>
    </row>
    <row r="7019" spans="2:13" s="496" customFormat="1" hidden="1">
      <c r="B7019" s="1543" t="s">
        <v>706</v>
      </c>
      <c r="C7019" s="2076" t="s">
        <v>876</v>
      </c>
      <c r="D7019" s="2076"/>
      <c r="E7019" s="2076"/>
      <c r="F7019" s="2077" t="s">
        <v>3873</v>
      </c>
      <c r="G7019" s="2077"/>
      <c r="H7019" s="1107">
        <f>H7018*0.15</f>
        <v>15221.46003</v>
      </c>
      <c r="J7019" s="1559"/>
      <c r="K7019" s="1559"/>
      <c r="L7019" s="1559"/>
      <c r="M7019" s="1635"/>
    </row>
    <row r="7020" spans="2:13" s="496" customFormat="1" hidden="1">
      <c r="B7020" s="1543" t="s">
        <v>708</v>
      </c>
      <c r="C7020" s="2078" t="s">
        <v>3765</v>
      </c>
      <c r="D7020" s="2078"/>
      <c r="E7020" s="2078"/>
      <c r="F7020" s="2078"/>
      <c r="G7020" s="2078"/>
      <c r="H7020" s="1107">
        <f>ROUND(SUM(H7018:H7019),2)</f>
        <v>116697.86</v>
      </c>
      <c r="I7020" s="506">
        <f>SUM(H7018:H7019)</f>
        <v>116697.86023000001</v>
      </c>
      <c r="J7020" s="1561"/>
      <c r="K7020" s="1561"/>
      <c r="L7020" s="1559"/>
      <c r="M7020" s="1635"/>
    </row>
    <row r="7021" spans="2:13" hidden="1">
      <c r="B7021" s="1129"/>
      <c r="C7021" s="1130"/>
      <c r="D7021" s="1129"/>
      <c r="E7021" s="1130"/>
      <c r="F7021" s="1131"/>
      <c r="G7021" s="1132"/>
      <c r="H7021" s="1133"/>
      <c r="I7021" s="526"/>
      <c r="J7021" s="1562"/>
      <c r="K7021" s="1562"/>
      <c r="M7021" s="1566"/>
    </row>
    <row r="7022" spans="2:13" hidden="1">
      <c r="B7022" s="1100" t="s">
        <v>4243</v>
      </c>
      <c r="C7022" s="1232" t="s">
        <v>3463</v>
      </c>
      <c r="F7022" s="1172"/>
      <c r="G7022" s="1173"/>
      <c r="H7022" s="1133"/>
      <c r="M7022" s="1566"/>
    </row>
    <row r="7023" spans="2:13" s="507" customFormat="1" ht="24.9" hidden="1" customHeight="1">
      <c r="B7023" s="1748" t="s">
        <v>1003</v>
      </c>
      <c r="C7023" s="1101" t="s">
        <v>1004</v>
      </c>
      <c r="D7023" s="1101" t="s">
        <v>1005</v>
      </c>
      <c r="E7023" s="1101" t="s">
        <v>1006</v>
      </c>
      <c r="F7023" s="1102" t="s">
        <v>1007</v>
      </c>
      <c r="G7023" s="1109" t="s">
        <v>2637</v>
      </c>
      <c r="H7023" s="1110" t="s">
        <v>2638</v>
      </c>
      <c r="J7023" s="1625"/>
      <c r="K7023" s="1625"/>
      <c r="L7023" s="1625"/>
      <c r="M7023" s="1570"/>
    </row>
    <row r="7024" spans="2:13" hidden="1">
      <c r="B7024" s="1543" t="s">
        <v>671</v>
      </c>
      <c r="C7024" s="1332" t="s">
        <v>672</v>
      </c>
      <c r="D7024" s="1331"/>
      <c r="E7024" s="1331"/>
      <c r="F7024" s="1334"/>
      <c r="G7024" s="1104"/>
      <c r="H7024" s="1106"/>
      <c r="M7024" s="1566"/>
    </row>
    <row r="7025" spans="2:13" hidden="1">
      <c r="B7025" s="1543"/>
      <c r="C7025" s="1332" t="s">
        <v>673</v>
      </c>
      <c r="D7025" s="1331" t="s">
        <v>674</v>
      </c>
      <c r="E7025" s="1331" t="s">
        <v>675</v>
      </c>
      <c r="F7025" s="1334">
        <v>8.1000000000000003E-2</v>
      </c>
      <c r="G7025" s="1104">
        <f>DUB!$I$10</f>
        <v>150000</v>
      </c>
      <c r="H7025" s="1106">
        <f>G7025*F7025</f>
        <v>12150</v>
      </c>
      <c r="M7025" s="1566"/>
    </row>
    <row r="7026" spans="2:13" hidden="1">
      <c r="B7026" s="1543"/>
      <c r="C7026" s="1332" t="s">
        <v>731</v>
      </c>
      <c r="D7026" s="1331" t="s">
        <v>678</v>
      </c>
      <c r="E7026" s="1331" t="s">
        <v>675</v>
      </c>
      <c r="F7026" s="1334">
        <v>0.13500000000000001</v>
      </c>
      <c r="G7026" s="1104">
        <f>DUB!$I$11</f>
        <v>187000</v>
      </c>
      <c r="H7026" s="1106">
        <f>G7026*F7026</f>
        <v>25245</v>
      </c>
      <c r="M7026" s="1566"/>
    </row>
    <row r="7027" spans="2:13" hidden="1">
      <c r="B7027" s="1543"/>
      <c r="C7027" s="1332" t="s">
        <v>751</v>
      </c>
      <c r="D7027" s="1331" t="s">
        <v>681</v>
      </c>
      <c r="E7027" s="1331" t="s">
        <v>675</v>
      </c>
      <c r="F7027" s="1334">
        <v>1.35E-2</v>
      </c>
      <c r="G7027" s="1104">
        <f>DUB!$I$13</f>
        <v>240000</v>
      </c>
      <c r="H7027" s="1106">
        <f>G7027*F7027</f>
        <v>3240</v>
      </c>
      <c r="M7027" s="1566"/>
    </row>
    <row r="7028" spans="2:13" hidden="1">
      <c r="B7028" s="1543"/>
      <c r="C7028" s="1332" t="s">
        <v>683</v>
      </c>
      <c r="D7028" s="1331" t="s">
        <v>684</v>
      </c>
      <c r="E7028" s="1331" t="s">
        <v>675</v>
      </c>
      <c r="F7028" s="1334">
        <v>4.0000000000000001E-3</v>
      </c>
      <c r="G7028" s="1104">
        <f>DUB!$I$12</f>
        <v>225000</v>
      </c>
      <c r="H7028" s="1106">
        <f>G7028*F7028</f>
        <v>900</v>
      </c>
      <c r="M7028" s="1566"/>
    </row>
    <row r="7029" spans="2:13" hidden="1">
      <c r="B7029" s="1543"/>
      <c r="C7029" s="1332"/>
      <c r="D7029" s="1331"/>
      <c r="E7029" s="1331"/>
      <c r="F7029" s="2074" t="s">
        <v>685</v>
      </c>
      <c r="G7029" s="2074"/>
      <c r="H7029" s="1106">
        <f>SUM(H7025:H7028)</f>
        <v>41535</v>
      </c>
      <c r="M7029" s="1566"/>
    </row>
    <row r="7030" spans="2:13" hidden="1">
      <c r="B7030" s="1543" t="s">
        <v>686</v>
      </c>
      <c r="C7030" s="1332" t="s">
        <v>687</v>
      </c>
      <c r="D7030" s="1331"/>
      <c r="E7030" s="1331"/>
      <c r="F7030" s="1334"/>
      <c r="G7030" s="1104"/>
      <c r="H7030" s="1106"/>
      <c r="M7030" s="1566"/>
    </row>
    <row r="7031" spans="2:13" hidden="1">
      <c r="B7031" s="1543"/>
      <c r="C7031" s="1332" t="s">
        <v>3453</v>
      </c>
      <c r="D7031" s="1331"/>
      <c r="E7031" s="1331" t="s">
        <v>2933</v>
      </c>
      <c r="F7031" s="1334">
        <v>1.35E-2</v>
      </c>
      <c r="G7031" s="1104">
        <f>DUB!$I$64</f>
        <v>55152</v>
      </c>
      <c r="H7031" s="1106">
        <f>G7031*F7031</f>
        <v>744.55200000000002</v>
      </c>
      <c r="M7031" s="1566"/>
    </row>
    <row r="7032" spans="2:13" hidden="1">
      <c r="B7032" s="1540"/>
      <c r="C7032" s="1332" t="s">
        <v>808</v>
      </c>
      <c r="D7032" s="1331"/>
      <c r="E7032" s="1331" t="s">
        <v>2646</v>
      </c>
      <c r="F7032" s="1334">
        <v>1.4E-3</v>
      </c>
      <c r="G7032" s="1104">
        <f>DUB!$I$59</f>
        <v>208463</v>
      </c>
      <c r="H7032" s="1106">
        <f>G7032*F7032</f>
        <v>291.84820000000002</v>
      </c>
      <c r="M7032" s="1566"/>
    </row>
    <row r="7033" spans="2:13" hidden="1">
      <c r="B7033" s="1540"/>
      <c r="C7033" s="1332" t="s">
        <v>3464</v>
      </c>
      <c r="D7033" s="1331"/>
      <c r="E7033" s="1331" t="s">
        <v>1423</v>
      </c>
      <c r="F7033" s="1334">
        <v>1</v>
      </c>
      <c r="G7033" s="1104">
        <f>DUB!$I$496</f>
        <v>64260</v>
      </c>
      <c r="H7033" s="1106">
        <f>G7033*F7033</f>
        <v>64260</v>
      </c>
      <c r="M7033" s="1566"/>
    </row>
    <row r="7034" spans="2:13" hidden="1">
      <c r="B7034" s="1540"/>
      <c r="C7034" s="1125"/>
      <c r="D7034" s="1333"/>
      <c r="E7034" s="1333"/>
      <c r="F7034" s="2074" t="s">
        <v>702</v>
      </c>
      <c r="G7034" s="2074"/>
      <c r="H7034" s="1106">
        <f>SUM(H7031:H7033)</f>
        <v>65296.400200000004</v>
      </c>
      <c r="M7034" s="1566"/>
    </row>
    <row r="7035" spans="2:13" s="496" customFormat="1" hidden="1">
      <c r="B7035" s="1543" t="s">
        <v>703</v>
      </c>
      <c r="C7035" s="2075" t="s">
        <v>3764</v>
      </c>
      <c r="D7035" s="2075"/>
      <c r="E7035" s="2075"/>
      <c r="F7035" s="2075"/>
      <c r="G7035" s="2075"/>
      <c r="H7035" s="1107">
        <f>H7029+H7034</f>
        <v>106831.4002</v>
      </c>
      <c r="J7035" s="1559"/>
      <c r="K7035" s="1559"/>
      <c r="L7035" s="1559"/>
      <c r="M7035" s="1635"/>
    </row>
    <row r="7036" spans="2:13" s="496" customFormat="1" hidden="1">
      <c r="B7036" s="1543" t="s">
        <v>706</v>
      </c>
      <c r="C7036" s="2076" t="s">
        <v>876</v>
      </c>
      <c r="D7036" s="2076"/>
      <c r="E7036" s="2076"/>
      <c r="F7036" s="2077" t="s">
        <v>3873</v>
      </c>
      <c r="G7036" s="2077"/>
      <c r="H7036" s="1107">
        <f>H7035*0.15</f>
        <v>16024.71003</v>
      </c>
      <c r="J7036" s="1559"/>
      <c r="K7036" s="1559"/>
      <c r="L7036" s="1559"/>
      <c r="M7036" s="1635"/>
    </row>
    <row r="7037" spans="2:13" s="496" customFormat="1" hidden="1">
      <c r="B7037" s="1543" t="s">
        <v>708</v>
      </c>
      <c r="C7037" s="2078" t="s">
        <v>3765</v>
      </c>
      <c r="D7037" s="2078"/>
      <c r="E7037" s="2078"/>
      <c r="F7037" s="2078"/>
      <c r="G7037" s="2078"/>
      <c r="H7037" s="1107">
        <f>ROUND(SUM(H7035:H7036),2)</f>
        <v>122856.11</v>
      </c>
      <c r="I7037" s="506">
        <f>SUM(H7035:H7036)</f>
        <v>122856.11023000001</v>
      </c>
      <c r="J7037" s="1561"/>
      <c r="K7037" s="1561"/>
      <c r="L7037" s="1559"/>
      <c r="M7037" s="1635"/>
    </row>
    <row r="7038" spans="2:13" hidden="1">
      <c r="B7038" s="1129"/>
      <c r="C7038" s="1130"/>
      <c r="D7038" s="1129"/>
      <c r="E7038" s="1130"/>
      <c r="F7038" s="1131"/>
      <c r="G7038" s="1132"/>
      <c r="H7038" s="1133"/>
      <c r="I7038" s="526"/>
      <c r="J7038" s="1562"/>
      <c r="K7038" s="1562"/>
      <c r="M7038" s="1566"/>
    </row>
    <row r="7039" spans="2:13" hidden="1">
      <c r="B7039" s="1100" t="s">
        <v>4244</v>
      </c>
      <c r="C7039" s="1232" t="s">
        <v>3465</v>
      </c>
      <c r="F7039" s="1172"/>
      <c r="G7039" s="1173"/>
      <c r="H7039" s="1133"/>
      <c r="M7039" s="1566"/>
    </row>
    <row r="7040" spans="2:13" s="507" customFormat="1" ht="24.9" hidden="1" customHeight="1">
      <c r="B7040" s="1748" t="s">
        <v>1003</v>
      </c>
      <c r="C7040" s="1101" t="s">
        <v>1004</v>
      </c>
      <c r="D7040" s="1101" t="s">
        <v>1005</v>
      </c>
      <c r="E7040" s="1101" t="s">
        <v>1006</v>
      </c>
      <c r="F7040" s="1102" t="s">
        <v>1007</v>
      </c>
      <c r="G7040" s="1109" t="s">
        <v>2637</v>
      </c>
      <c r="H7040" s="1110" t="s">
        <v>2638</v>
      </c>
      <c r="J7040" s="1625"/>
      <c r="K7040" s="1625"/>
      <c r="L7040" s="1625"/>
      <c r="M7040" s="1570"/>
    </row>
    <row r="7041" spans="2:13" hidden="1">
      <c r="B7041" s="1543" t="s">
        <v>671</v>
      </c>
      <c r="C7041" s="1332" t="s">
        <v>672</v>
      </c>
      <c r="D7041" s="1331"/>
      <c r="E7041" s="1331"/>
      <c r="F7041" s="1334"/>
      <c r="G7041" s="1104"/>
      <c r="H7041" s="1106"/>
      <c r="M7041" s="1566"/>
    </row>
    <row r="7042" spans="2:13" hidden="1">
      <c r="B7042" s="1543"/>
      <c r="C7042" s="1332" t="s">
        <v>673</v>
      </c>
      <c r="D7042" s="1331" t="s">
        <v>674</v>
      </c>
      <c r="E7042" s="1331" t="s">
        <v>675</v>
      </c>
      <c r="F7042" s="1334">
        <v>8.1000000000000003E-2</v>
      </c>
      <c r="G7042" s="1104">
        <f>DUB!$I$10</f>
        <v>150000</v>
      </c>
      <c r="H7042" s="1106">
        <f>G7042*F7042</f>
        <v>12150</v>
      </c>
      <c r="M7042" s="1566"/>
    </row>
    <row r="7043" spans="2:13" hidden="1">
      <c r="B7043" s="1543"/>
      <c r="C7043" s="1332" t="s">
        <v>731</v>
      </c>
      <c r="D7043" s="1331" t="s">
        <v>678</v>
      </c>
      <c r="E7043" s="1331" t="s">
        <v>675</v>
      </c>
      <c r="F7043" s="1334">
        <v>0.13500000000000001</v>
      </c>
      <c r="G7043" s="1104">
        <f>DUB!$I$11</f>
        <v>187000</v>
      </c>
      <c r="H7043" s="1106">
        <f>G7043*F7043</f>
        <v>25245</v>
      </c>
      <c r="M7043" s="1566"/>
    </row>
    <row r="7044" spans="2:13" hidden="1">
      <c r="B7044" s="1543"/>
      <c r="C7044" s="1332" t="s">
        <v>751</v>
      </c>
      <c r="D7044" s="1331" t="s">
        <v>681</v>
      </c>
      <c r="E7044" s="1331" t="s">
        <v>675</v>
      </c>
      <c r="F7044" s="1334">
        <v>1.35E-2</v>
      </c>
      <c r="G7044" s="1104">
        <f>DUB!$I$13</f>
        <v>240000</v>
      </c>
      <c r="H7044" s="1106">
        <f>G7044*F7044</f>
        <v>3240</v>
      </c>
      <c r="M7044" s="1566"/>
    </row>
    <row r="7045" spans="2:13" hidden="1">
      <c r="B7045" s="1543"/>
      <c r="C7045" s="1332" t="s">
        <v>683</v>
      </c>
      <c r="D7045" s="1331" t="s">
        <v>684</v>
      </c>
      <c r="E7045" s="1331" t="s">
        <v>675</v>
      </c>
      <c r="F7045" s="1334">
        <v>4.0000000000000001E-3</v>
      </c>
      <c r="G7045" s="1104">
        <f>DUB!$I$12</f>
        <v>225000</v>
      </c>
      <c r="H7045" s="1106">
        <f>G7045*F7045</f>
        <v>900</v>
      </c>
      <c r="M7045" s="1566"/>
    </row>
    <row r="7046" spans="2:13" hidden="1">
      <c r="B7046" s="1543"/>
      <c r="C7046" s="1332"/>
      <c r="D7046" s="1331"/>
      <c r="E7046" s="1331"/>
      <c r="F7046" s="2074" t="s">
        <v>685</v>
      </c>
      <c r="G7046" s="2074"/>
      <c r="H7046" s="1106">
        <f>SUM(H7042:H7045)</f>
        <v>41535</v>
      </c>
      <c r="M7046" s="1566"/>
    </row>
    <row r="7047" spans="2:13" hidden="1">
      <c r="B7047" s="1543" t="s">
        <v>686</v>
      </c>
      <c r="C7047" s="1332" t="s">
        <v>687</v>
      </c>
      <c r="D7047" s="1331"/>
      <c r="E7047" s="1331"/>
      <c r="F7047" s="1334"/>
      <c r="G7047" s="1104"/>
      <c r="H7047" s="1106"/>
      <c r="M7047" s="1566"/>
    </row>
    <row r="7048" spans="2:13" hidden="1">
      <c r="B7048" s="1543"/>
      <c r="C7048" s="1332" t="s">
        <v>3453</v>
      </c>
      <c r="D7048" s="1331"/>
      <c r="E7048" s="1331" t="s">
        <v>2933</v>
      </c>
      <c r="F7048" s="1334">
        <v>1.35E-2</v>
      </c>
      <c r="G7048" s="1104">
        <f>DUB!$I$64</f>
        <v>55152</v>
      </c>
      <c r="H7048" s="1106">
        <f>G7048*F7048</f>
        <v>744.55200000000002</v>
      </c>
      <c r="M7048" s="1566"/>
    </row>
    <row r="7049" spans="2:13" hidden="1">
      <c r="B7049" s="1540"/>
      <c r="C7049" s="1332" t="s">
        <v>808</v>
      </c>
      <c r="D7049" s="1331"/>
      <c r="E7049" s="1331" t="s">
        <v>2646</v>
      </c>
      <c r="F7049" s="1334">
        <v>1.4E-3</v>
      </c>
      <c r="G7049" s="1104">
        <f>DUB!$I$59</f>
        <v>208463</v>
      </c>
      <c r="H7049" s="1106">
        <f>G7049*F7049</f>
        <v>291.84820000000002</v>
      </c>
      <c r="M7049" s="1566"/>
    </row>
    <row r="7050" spans="2:13" hidden="1">
      <c r="B7050" s="1540"/>
      <c r="C7050" s="1332" t="s">
        <v>3466</v>
      </c>
      <c r="D7050" s="1331"/>
      <c r="E7050" s="1331" t="s">
        <v>1423</v>
      </c>
      <c r="F7050" s="1334">
        <v>1</v>
      </c>
      <c r="G7050" s="1104">
        <f>DUB!$I$497</f>
        <v>85680</v>
      </c>
      <c r="H7050" s="1106">
        <f>G7050*F7050</f>
        <v>85680</v>
      </c>
      <c r="M7050" s="1566"/>
    </row>
    <row r="7051" spans="2:13" hidden="1">
      <c r="B7051" s="1540"/>
      <c r="C7051" s="1125"/>
      <c r="D7051" s="1333"/>
      <c r="E7051" s="1333"/>
      <c r="F7051" s="2074" t="s">
        <v>702</v>
      </c>
      <c r="G7051" s="2074"/>
      <c r="H7051" s="1106">
        <f>SUM(H7048:H7050)</f>
        <v>86716.400200000004</v>
      </c>
      <c r="M7051" s="1566"/>
    </row>
    <row r="7052" spans="2:13" s="496" customFormat="1" hidden="1">
      <c r="B7052" s="1543" t="s">
        <v>703</v>
      </c>
      <c r="C7052" s="2075" t="s">
        <v>3764</v>
      </c>
      <c r="D7052" s="2075"/>
      <c r="E7052" s="2075"/>
      <c r="F7052" s="2075"/>
      <c r="G7052" s="2075"/>
      <c r="H7052" s="1107">
        <f>H7046+H7051</f>
        <v>128251.4002</v>
      </c>
      <c r="J7052" s="1559"/>
      <c r="K7052" s="1559"/>
      <c r="L7052" s="1559"/>
      <c r="M7052" s="1635"/>
    </row>
    <row r="7053" spans="2:13" s="496" customFormat="1" hidden="1">
      <c r="B7053" s="1543" t="s">
        <v>706</v>
      </c>
      <c r="C7053" s="2076" t="s">
        <v>876</v>
      </c>
      <c r="D7053" s="2076"/>
      <c r="E7053" s="2076"/>
      <c r="F7053" s="2077" t="s">
        <v>3873</v>
      </c>
      <c r="G7053" s="2077"/>
      <c r="H7053" s="1107">
        <f>H7052*0.15</f>
        <v>19237.710029999998</v>
      </c>
      <c r="J7053" s="1559"/>
      <c r="K7053" s="1559"/>
      <c r="L7053" s="1559"/>
      <c r="M7053" s="1635"/>
    </row>
    <row r="7054" spans="2:13" s="496" customFormat="1" hidden="1">
      <c r="B7054" s="1543" t="s">
        <v>708</v>
      </c>
      <c r="C7054" s="2078" t="s">
        <v>3765</v>
      </c>
      <c r="D7054" s="2078"/>
      <c r="E7054" s="2078"/>
      <c r="F7054" s="2078"/>
      <c r="G7054" s="2078"/>
      <c r="H7054" s="1107">
        <f>ROUND(SUM(H7052:H7053),2)</f>
        <v>147489.10999999999</v>
      </c>
      <c r="I7054" s="506">
        <f>SUM(H7052:H7053)</f>
        <v>147489.11022999999</v>
      </c>
      <c r="J7054" s="1561"/>
      <c r="K7054" s="1561"/>
      <c r="L7054" s="1559"/>
      <c r="M7054" s="1635"/>
    </row>
    <row r="7055" spans="2:13" hidden="1">
      <c r="B7055" s="1143"/>
      <c r="C7055" s="1144"/>
      <c r="D7055" s="1143"/>
      <c r="E7055" s="1143"/>
      <c r="F7055" s="1145"/>
      <c r="G7055" s="1146"/>
      <c r="H7055" s="1147"/>
      <c r="M7055" s="1566"/>
    </row>
    <row r="7056" spans="2:13" hidden="1">
      <c r="B7056" s="1150" t="s">
        <v>4245</v>
      </c>
      <c r="C7056" s="1112" t="s">
        <v>2713</v>
      </c>
      <c r="D7056" s="1129"/>
      <c r="E7056" s="1129"/>
      <c r="F7056" s="1131"/>
      <c r="G7056" s="1132"/>
      <c r="H7056" s="1115"/>
      <c r="M7056" s="1566"/>
    </row>
    <row r="7057" spans="2:13" s="507" customFormat="1" ht="24.9" hidden="1" customHeight="1">
      <c r="B7057" s="1748" t="s">
        <v>1003</v>
      </c>
      <c r="C7057" s="1101" t="s">
        <v>1004</v>
      </c>
      <c r="D7057" s="1101" t="s">
        <v>1005</v>
      </c>
      <c r="E7057" s="1101" t="s">
        <v>1006</v>
      </c>
      <c r="F7057" s="1102" t="s">
        <v>1007</v>
      </c>
      <c r="G7057" s="1109" t="s">
        <v>2637</v>
      </c>
      <c r="H7057" s="1110" t="s">
        <v>2638</v>
      </c>
      <c r="J7057" s="1625"/>
      <c r="K7057" s="1625"/>
      <c r="L7057" s="1625"/>
      <c r="M7057" s="1570"/>
    </row>
    <row r="7058" spans="2:13" hidden="1">
      <c r="B7058" s="1543" t="s">
        <v>671</v>
      </c>
      <c r="C7058" s="1332" t="s">
        <v>672</v>
      </c>
      <c r="D7058" s="1331"/>
      <c r="E7058" s="1331"/>
      <c r="F7058" s="1334"/>
      <c r="G7058" s="1104"/>
      <c r="H7058" s="1106"/>
      <c r="M7058" s="1566"/>
    </row>
    <row r="7059" spans="2:13" hidden="1">
      <c r="B7059" s="1543"/>
      <c r="C7059" s="1332" t="s">
        <v>673</v>
      </c>
      <c r="D7059" s="1331" t="s">
        <v>674</v>
      </c>
      <c r="E7059" s="1331" t="s">
        <v>675</v>
      </c>
      <c r="F7059" s="1334">
        <v>0.08</v>
      </c>
      <c r="G7059" s="1104">
        <f>DUB!$I$10</f>
        <v>150000</v>
      </c>
      <c r="H7059" s="1106">
        <f>G7059*F7059</f>
        <v>12000</v>
      </c>
      <c r="M7059" s="1566"/>
    </row>
    <row r="7060" spans="2:13" hidden="1">
      <c r="B7060" s="1543"/>
      <c r="C7060" s="1332" t="s">
        <v>731</v>
      </c>
      <c r="D7060" s="1331" t="s">
        <v>678</v>
      </c>
      <c r="E7060" s="1331" t="s">
        <v>675</v>
      </c>
      <c r="F7060" s="1334">
        <v>0.04</v>
      </c>
      <c r="G7060" s="1104">
        <f>DUB!$I$11</f>
        <v>187000</v>
      </c>
      <c r="H7060" s="1106">
        <f>G7060*F7060</f>
        <v>7480</v>
      </c>
      <c r="M7060" s="1566"/>
    </row>
    <row r="7061" spans="2:13" hidden="1">
      <c r="B7061" s="1543"/>
      <c r="C7061" s="1332" t="s">
        <v>751</v>
      </c>
      <c r="D7061" s="1331" t="s">
        <v>681</v>
      </c>
      <c r="E7061" s="1331" t="s">
        <v>675</v>
      </c>
      <c r="F7061" s="1334">
        <v>4.0000000000000001E-3</v>
      </c>
      <c r="G7061" s="1104">
        <f>DUB!$I$13</f>
        <v>240000</v>
      </c>
      <c r="H7061" s="1106">
        <f>G7061*F7061</f>
        <v>960</v>
      </c>
      <c r="M7061" s="1566"/>
    </row>
    <row r="7062" spans="2:13" hidden="1">
      <c r="B7062" s="1543"/>
      <c r="C7062" s="1332" t="s">
        <v>683</v>
      </c>
      <c r="D7062" s="1331" t="s">
        <v>684</v>
      </c>
      <c r="E7062" s="1331" t="s">
        <v>675</v>
      </c>
      <c r="F7062" s="1334">
        <v>4.0000000000000001E-3</v>
      </c>
      <c r="G7062" s="1104">
        <f>DUB!$I$12</f>
        <v>225000</v>
      </c>
      <c r="H7062" s="1106">
        <f>G7062*F7062</f>
        <v>900</v>
      </c>
      <c r="M7062" s="1566"/>
    </row>
    <row r="7063" spans="2:13" hidden="1">
      <c r="B7063" s="1543"/>
      <c r="C7063" s="1332"/>
      <c r="D7063" s="1331"/>
      <c r="E7063" s="1331"/>
      <c r="F7063" s="2074" t="s">
        <v>685</v>
      </c>
      <c r="G7063" s="2074"/>
      <c r="H7063" s="1106">
        <f>SUM(H7059:H7062)</f>
        <v>21340</v>
      </c>
      <c r="M7063" s="1566"/>
    </row>
    <row r="7064" spans="2:13" hidden="1">
      <c r="B7064" s="1543" t="s">
        <v>686</v>
      </c>
      <c r="C7064" s="1332" t="s">
        <v>687</v>
      </c>
      <c r="D7064" s="1331"/>
      <c r="E7064" s="1331"/>
      <c r="F7064" s="1334"/>
      <c r="G7064" s="1104"/>
      <c r="H7064" s="1106"/>
      <c r="M7064" s="1566"/>
    </row>
    <row r="7065" spans="2:13" hidden="1">
      <c r="B7065" s="1540"/>
      <c r="C7065" s="1332" t="s">
        <v>1472</v>
      </c>
      <c r="D7065" s="1331"/>
      <c r="E7065" s="1331" t="s">
        <v>743</v>
      </c>
      <c r="F7065" s="1334">
        <v>1.6</v>
      </c>
      <c r="G7065" s="1104">
        <f>DUB!$I$527</f>
        <v>481950</v>
      </c>
      <c r="H7065" s="1106">
        <f>G7065*F7065</f>
        <v>771120</v>
      </c>
      <c r="M7065" s="1566"/>
    </row>
    <row r="7066" spans="2:13" hidden="1">
      <c r="B7066" s="1540"/>
      <c r="C7066" s="1332" t="s">
        <v>1420</v>
      </c>
      <c r="D7066" s="1331"/>
      <c r="E7066" s="1331" t="s">
        <v>690</v>
      </c>
      <c r="F7066" s="1334">
        <v>35</v>
      </c>
      <c r="G7066" s="1104">
        <f>DUB!$I$65</f>
        <v>1575</v>
      </c>
      <c r="H7066" s="1106">
        <f>G7066*F7066</f>
        <v>55125</v>
      </c>
      <c r="M7066" s="1566"/>
    </row>
    <row r="7067" spans="2:13" hidden="1">
      <c r="B7067" s="1540"/>
      <c r="C7067" s="1332" t="s">
        <v>739</v>
      </c>
      <c r="D7067" s="1331"/>
      <c r="E7067" s="1331" t="s">
        <v>881</v>
      </c>
      <c r="F7067" s="1334">
        <v>1.4E-2</v>
      </c>
      <c r="G7067" s="1104">
        <f>DUB!$I$59</f>
        <v>208463</v>
      </c>
      <c r="H7067" s="1106">
        <f>G7067*F7067</f>
        <v>2918.482</v>
      </c>
      <c r="M7067" s="1566"/>
    </row>
    <row r="7068" spans="2:13" hidden="1">
      <c r="B7068" s="1540"/>
      <c r="C7068" s="1332" t="s">
        <v>803</v>
      </c>
      <c r="D7068" s="1331"/>
      <c r="E7068" s="1331" t="s">
        <v>881</v>
      </c>
      <c r="F7068" s="1334">
        <v>1.4E-2</v>
      </c>
      <c r="G7068" s="1104">
        <f>DUB!$I$61</f>
        <v>152729</v>
      </c>
      <c r="H7068" s="1106">
        <f>G7068*F7068</f>
        <v>2138.2060000000001</v>
      </c>
      <c r="M7068" s="1566"/>
    </row>
    <row r="7069" spans="2:13" hidden="1">
      <c r="B7069" s="1540"/>
      <c r="C7069" s="1125"/>
      <c r="D7069" s="1333"/>
      <c r="E7069" s="1333"/>
      <c r="F7069" s="2074" t="s">
        <v>702</v>
      </c>
      <c r="G7069" s="2074"/>
      <c r="H7069" s="1106">
        <f>SUM(H7065:H7068)</f>
        <v>831301.68799999997</v>
      </c>
      <c r="M7069" s="1566"/>
    </row>
    <row r="7070" spans="2:13" s="496" customFormat="1" hidden="1">
      <c r="B7070" s="1543" t="s">
        <v>703</v>
      </c>
      <c r="C7070" s="2075" t="s">
        <v>3764</v>
      </c>
      <c r="D7070" s="2075"/>
      <c r="E7070" s="2075"/>
      <c r="F7070" s="2075"/>
      <c r="G7070" s="2075"/>
      <c r="H7070" s="1107">
        <f>H7063+H7069</f>
        <v>852641.68799999997</v>
      </c>
      <c r="J7070" s="1559"/>
      <c r="K7070" s="1559"/>
      <c r="L7070" s="1559"/>
      <c r="M7070" s="1635"/>
    </row>
    <row r="7071" spans="2:13" s="496" customFormat="1" hidden="1">
      <c r="B7071" s="1543" t="s">
        <v>706</v>
      </c>
      <c r="C7071" s="2076" t="s">
        <v>876</v>
      </c>
      <c r="D7071" s="2076"/>
      <c r="E7071" s="2076"/>
      <c r="F7071" s="2077" t="s">
        <v>3873</v>
      </c>
      <c r="G7071" s="2077"/>
      <c r="H7071" s="1107">
        <f>H7070*0.15</f>
        <v>127896.25319999999</v>
      </c>
      <c r="J7071" s="1559"/>
      <c r="K7071" s="1559"/>
      <c r="L7071" s="1559"/>
      <c r="M7071" s="1635"/>
    </row>
    <row r="7072" spans="2:13" s="496" customFormat="1" hidden="1">
      <c r="B7072" s="1543" t="s">
        <v>708</v>
      </c>
      <c r="C7072" s="2078" t="s">
        <v>3765</v>
      </c>
      <c r="D7072" s="2078"/>
      <c r="E7072" s="2078"/>
      <c r="F7072" s="2078"/>
      <c r="G7072" s="2078"/>
      <c r="H7072" s="1107">
        <f>ROUND(SUM(H7070:H7071),2)</f>
        <v>980537.94</v>
      </c>
      <c r="J7072" s="1559"/>
      <c r="K7072" s="1559"/>
      <c r="L7072" s="1559"/>
      <c r="M7072" s="1635"/>
    </row>
    <row r="7073" spans="2:13" hidden="1">
      <c r="F7073" s="1172"/>
      <c r="G7073" s="1173"/>
      <c r="H7073" s="1133"/>
      <c r="M7073" s="1566"/>
    </row>
    <row r="7074" spans="2:13" hidden="1">
      <c r="B7074" s="1100" t="s">
        <v>4246</v>
      </c>
      <c r="C7074" s="1232" t="s">
        <v>4403</v>
      </c>
      <c r="F7074" s="1172"/>
      <c r="G7074" s="1173"/>
      <c r="H7074" s="1133"/>
      <c r="M7074" s="1566"/>
    </row>
    <row r="7075" spans="2:13" s="507" customFormat="1" ht="24.9" hidden="1" customHeight="1">
      <c r="B7075" s="1748" t="s">
        <v>1003</v>
      </c>
      <c r="C7075" s="1101" t="s">
        <v>1004</v>
      </c>
      <c r="D7075" s="1101" t="s">
        <v>1005</v>
      </c>
      <c r="E7075" s="1101" t="s">
        <v>1006</v>
      </c>
      <c r="F7075" s="1102" t="s">
        <v>1007</v>
      </c>
      <c r="G7075" s="1109" t="s">
        <v>2637</v>
      </c>
      <c r="H7075" s="1110" t="s">
        <v>2638</v>
      </c>
      <c r="J7075" s="1625"/>
      <c r="K7075" s="1625"/>
      <c r="L7075" s="1625"/>
      <c r="M7075" s="1570"/>
    </row>
    <row r="7076" spans="2:13" hidden="1">
      <c r="B7076" s="1543" t="s">
        <v>671</v>
      </c>
      <c r="C7076" s="1332" t="s">
        <v>672</v>
      </c>
      <c r="D7076" s="1331"/>
      <c r="E7076" s="1331"/>
      <c r="F7076" s="1334"/>
      <c r="G7076" s="1104"/>
      <c r="H7076" s="1106"/>
      <c r="M7076" s="1566"/>
    </row>
    <row r="7077" spans="2:13" hidden="1">
      <c r="B7077" s="1543"/>
      <c r="C7077" s="1332" t="s">
        <v>673</v>
      </c>
      <c r="D7077" s="1331" t="s">
        <v>674</v>
      </c>
      <c r="E7077" s="1331" t="s">
        <v>675</v>
      </c>
      <c r="F7077" s="1334">
        <v>0.06</v>
      </c>
      <c r="G7077" s="1104">
        <f>DUB!$I$10</f>
        <v>150000</v>
      </c>
      <c r="H7077" s="1106">
        <f>G7077*F7077</f>
        <v>9000</v>
      </c>
      <c r="M7077" s="1566"/>
    </row>
    <row r="7078" spans="2:13" hidden="1">
      <c r="B7078" s="1543"/>
      <c r="C7078" s="1332" t="s">
        <v>731</v>
      </c>
      <c r="D7078" s="1331" t="s">
        <v>678</v>
      </c>
      <c r="E7078" s="1331" t="s">
        <v>675</v>
      </c>
      <c r="F7078" s="1334">
        <v>0.03</v>
      </c>
      <c r="G7078" s="1104">
        <f>DUB!$I$11</f>
        <v>187000</v>
      </c>
      <c r="H7078" s="1106">
        <f>G7078*F7078</f>
        <v>5610</v>
      </c>
      <c r="M7078" s="1566"/>
    </row>
    <row r="7079" spans="2:13" hidden="1">
      <c r="B7079" s="1543"/>
      <c r="C7079" s="1332" t="s">
        <v>751</v>
      </c>
      <c r="D7079" s="1331" t="s">
        <v>681</v>
      </c>
      <c r="E7079" s="1331" t="s">
        <v>675</v>
      </c>
      <c r="F7079" s="1334">
        <v>3.0000000000000001E-3</v>
      </c>
      <c r="G7079" s="1104">
        <f>DUB!$I$13</f>
        <v>240000</v>
      </c>
      <c r="H7079" s="1106">
        <f>G7079*F7079</f>
        <v>720</v>
      </c>
      <c r="M7079" s="1566"/>
    </row>
    <row r="7080" spans="2:13" hidden="1">
      <c r="B7080" s="1543"/>
      <c r="C7080" s="1332" t="s">
        <v>683</v>
      </c>
      <c r="D7080" s="1331" t="s">
        <v>684</v>
      </c>
      <c r="E7080" s="1331" t="s">
        <v>675</v>
      </c>
      <c r="F7080" s="1334">
        <v>3.0000000000000001E-3</v>
      </c>
      <c r="G7080" s="1104">
        <f>DUB!$I$12</f>
        <v>225000</v>
      </c>
      <c r="H7080" s="1106">
        <f>G7080*F7080</f>
        <v>675</v>
      </c>
      <c r="M7080" s="1566"/>
    </row>
    <row r="7081" spans="2:13" hidden="1">
      <c r="B7081" s="1543"/>
      <c r="C7081" s="1332"/>
      <c r="D7081" s="1331"/>
      <c r="E7081" s="1331"/>
      <c r="F7081" s="2074" t="s">
        <v>685</v>
      </c>
      <c r="G7081" s="2074"/>
      <c r="H7081" s="1106">
        <f>SUM(H7077:H7080)</f>
        <v>16005</v>
      </c>
      <c r="M7081" s="1566"/>
    </row>
    <row r="7082" spans="2:13" hidden="1">
      <c r="B7082" s="1543" t="s">
        <v>686</v>
      </c>
      <c r="C7082" s="1332" t="s">
        <v>687</v>
      </c>
      <c r="D7082" s="1331"/>
      <c r="E7082" s="1331"/>
      <c r="F7082" s="1334"/>
      <c r="G7082" s="1104"/>
      <c r="H7082" s="1106"/>
      <c r="M7082" s="1566"/>
    </row>
    <row r="7083" spans="2:13" hidden="1">
      <c r="B7083" s="1543"/>
      <c r="C7083" s="1332" t="s">
        <v>1473</v>
      </c>
      <c r="D7083" s="1331"/>
      <c r="E7083" s="1331" t="s">
        <v>743</v>
      </c>
      <c r="F7083" s="1334">
        <v>1.6</v>
      </c>
      <c r="G7083" s="1104">
        <f>DUB!$I$526</f>
        <v>321300</v>
      </c>
      <c r="H7083" s="1106">
        <f>G7083*F7083</f>
        <v>514080</v>
      </c>
      <c r="M7083" s="1566"/>
    </row>
    <row r="7084" spans="2:13" hidden="1">
      <c r="B7084" s="1540"/>
      <c r="C7084" s="1332" t="s">
        <v>1420</v>
      </c>
      <c r="D7084" s="1331"/>
      <c r="E7084" s="1331" t="s">
        <v>690</v>
      </c>
      <c r="F7084" s="1334">
        <v>0.68</v>
      </c>
      <c r="G7084" s="1104">
        <f>DUB!$I$65</f>
        <v>1575</v>
      </c>
      <c r="H7084" s="1106">
        <f>G7084*F7084</f>
        <v>1071</v>
      </c>
      <c r="M7084" s="1566"/>
    </row>
    <row r="7085" spans="2:13" hidden="1">
      <c r="B7085" s="1540"/>
      <c r="C7085" s="1332" t="s">
        <v>739</v>
      </c>
      <c r="D7085" s="1331"/>
      <c r="E7085" s="1331" t="s">
        <v>881</v>
      </c>
      <c r="F7085" s="1334">
        <v>1.2999999999999999E-2</v>
      </c>
      <c r="G7085" s="1104">
        <f>DUB!$I$59</f>
        <v>208463</v>
      </c>
      <c r="H7085" s="1106">
        <f>G7085*F7085</f>
        <v>2710.0189999999998</v>
      </c>
      <c r="M7085" s="1566"/>
    </row>
    <row r="7086" spans="2:13" hidden="1">
      <c r="B7086" s="1540"/>
      <c r="C7086" s="1332" t="s">
        <v>803</v>
      </c>
      <c r="D7086" s="1331"/>
      <c r="E7086" s="1331" t="s">
        <v>881</v>
      </c>
      <c r="F7086" s="1334">
        <v>1.0999999999999999E-2</v>
      </c>
      <c r="G7086" s="1104">
        <f>DUB!$I$61</f>
        <v>152729</v>
      </c>
      <c r="H7086" s="1106">
        <f>G7086*F7086</f>
        <v>1680.019</v>
      </c>
      <c r="M7086" s="1566"/>
    </row>
    <row r="7087" spans="2:13" hidden="1">
      <c r="B7087" s="1540"/>
      <c r="C7087" s="1125"/>
      <c r="D7087" s="1333"/>
      <c r="E7087" s="1333"/>
      <c r="F7087" s="2074" t="s">
        <v>702</v>
      </c>
      <c r="G7087" s="2074"/>
      <c r="H7087" s="1106">
        <f>SUM(H7083:H7086)</f>
        <v>519541.03799999994</v>
      </c>
      <c r="M7087" s="1566"/>
    </row>
    <row r="7088" spans="2:13" s="496" customFormat="1" hidden="1">
      <c r="B7088" s="1543" t="s">
        <v>703</v>
      </c>
      <c r="C7088" s="2075" t="s">
        <v>3764</v>
      </c>
      <c r="D7088" s="2075"/>
      <c r="E7088" s="2075"/>
      <c r="F7088" s="2075"/>
      <c r="G7088" s="2075"/>
      <c r="H7088" s="1107">
        <f>H7081+H7087</f>
        <v>535546.03799999994</v>
      </c>
      <c r="J7088" s="1559"/>
      <c r="K7088" s="1559"/>
      <c r="L7088" s="1559"/>
      <c r="M7088" s="1635"/>
    </row>
    <row r="7089" spans="2:13" s="496" customFormat="1" hidden="1">
      <c r="B7089" s="1543" t="s">
        <v>706</v>
      </c>
      <c r="C7089" s="2076" t="s">
        <v>876</v>
      </c>
      <c r="D7089" s="2076"/>
      <c r="E7089" s="2076"/>
      <c r="F7089" s="2077" t="s">
        <v>3873</v>
      </c>
      <c r="G7089" s="2077"/>
      <c r="H7089" s="1107">
        <f>H7088*0.15</f>
        <v>80331.905699999988</v>
      </c>
      <c r="J7089" s="1559"/>
      <c r="K7089" s="1559"/>
      <c r="L7089" s="1559"/>
      <c r="M7089" s="1635"/>
    </row>
    <row r="7090" spans="2:13" s="496" customFormat="1" hidden="1">
      <c r="B7090" s="1543" t="s">
        <v>708</v>
      </c>
      <c r="C7090" s="2078" t="s">
        <v>3765</v>
      </c>
      <c r="D7090" s="2078"/>
      <c r="E7090" s="2078"/>
      <c r="F7090" s="2078"/>
      <c r="G7090" s="2078"/>
      <c r="H7090" s="1107">
        <f>ROUND(SUM(H7088:H7089),2)</f>
        <v>615877.93999999994</v>
      </c>
      <c r="J7090" s="1559"/>
      <c r="K7090" s="1559"/>
      <c r="L7090" s="1559"/>
      <c r="M7090" s="1635"/>
    </row>
    <row r="7091" spans="2:13" hidden="1">
      <c r="B7091" s="1143"/>
      <c r="C7091" s="1144"/>
      <c r="D7091" s="1143"/>
      <c r="E7091" s="1143"/>
      <c r="F7091" s="1145"/>
      <c r="G7091" s="1146"/>
      <c r="H7091" s="1147"/>
      <c r="M7091" s="1566"/>
    </row>
    <row r="7092" spans="2:13" hidden="1">
      <c r="B7092" s="1150" t="s">
        <v>4247</v>
      </c>
      <c r="C7092" s="1248" t="s">
        <v>2712</v>
      </c>
      <c r="F7092" s="1172"/>
      <c r="G7092" s="1173"/>
      <c r="H7092" s="1133"/>
      <c r="M7092" s="1566"/>
    </row>
    <row r="7093" spans="2:13" hidden="1">
      <c r="B7093" s="1100" t="s">
        <v>3568</v>
      </c>
      <c r="C7093" s="1112" t="s">
        <v>3569</v>
      </c>
      <c r="D7093" s="1129"/>
      <c r="E7093" s="1129"/>
      <c r="F7093" s="1131"/>
      <c r="G7093" s="1132"/>
      <c r="H7093" s="1249"/>
      <c r="M7093" s="1566"/>
    </row>
    <row r="7094" spans="2:13" s="507" customFormat="1" ht="24.9" hidden="1" customHeight="1">
      <c r="B7094" s="1748" t="s">
        <v>1003</v>
      </c>
      <c r="C7094" s="1101" t="s">
        <v>1004</v>
      </c>
      <c r="D7094" s="1101" t="s">
        <v>1005</v>
      </c>
      <c r="E7094" s="1101" t="s">
        <v>1006</v>
      </c>
      <c r="F7094" s="1102" t="s">
        <v>1007</v>
      </c>
      <c r="G7094" s="1109" t="s">
        <v>2637</v>
      </c>
      <c r="H7094" s="1235" t="s">
        <v>2638</v>
      </c>
      <c r="J7094" s="1625"/>
      <c r="K7094" s="1625"/>
      <c r="L7094" s="1625"/>
      <c r="M7094" s="1570"/>
    </row>
    <row r="7095" spans="2:13" hidden="1">
      <c r="B7095" s="1543" t="s">
        <v>671</v>
      </c>
      <c r="C7095" s="1332" t="s">
        <v>672</v>
      </c>
      <c r="D7095" s="1331"/>
      <c r="E7095" s="1331"/>
      <c r="F7095" s="1334"/>
      <c r="G7095" s="1104"/>
      <c r="H7095" s="1236"/>
      <c r="M7095" s="1566"/>
    </row>
    <row r="7096" spans="2:13" hidden="1">
      <c r="B7096" s="1543"/>
      <c r="C7096" s="1332" t="s">
        <v>673</v>
      </c>
      <c r="D7096" s="1331" t="s">
        <v>674</v>
      </c>
      <c r="E7096" s="1331" t="s">
        <v>675</v>
      </c>
      <c r="F7096" s="1334">
        <v>8.1000000000000003E-2</v>
      </c>
      <c r="G7096" s="1104">
        <f>$G$7042</f>
        <v>150000</v>
      </c>
      <c r="H7096" s="1236">
        <f>G7096*F7096</f>
        <v>12150</v>
      </c>
      <c r="M7096" s="1566"/>
    </row>
    <row r="7097" spans="2:13" hidden="1">
      <c r="B7097" s="1543"/>
      <c r="C7097" s="1332" t="s">
        <v>1480</v>
      </c>
      <c r="D7097" s="1331" t="s">
        <v>678</v>
      </c>
      <c r="E7097" s="1331" t="s">
        <v>675</v>
      </c>
      <c r="F7097" s="1334">
        <v>4.1000000000000002E-2</v>
      </c>
      <c r="G7097" s="1104">
        <f>$G$7043</f>
        <v>187000</v>
      </c>
      <c r="H7097" s="1236">
        <f>G7097*F7097</f>
        <v>7667</v>
      </c>
      <c r="M7097" s="1566"/>
    </row>
    <row r="7098" spans="2:13" hidden="1">
      <c r="B7098" s="1543"/>
      <c r="C7098" s="1332" t="s">
        <v>751</v>
      </c>
      <c r="D7098" s="1331" t="s">
        <v>681</v>
      </c>
      <c r="E7098" s="1331" t="s">
        <v>675</v>
      </c>
      <c r="F7098" s="1334">
        <v>4.1000000000000003E-3</v>
      </c>
      <c r="G7098" s="1104">
        <f>$G$7044</f>
        <v>240000</v>
      </c>
      <c r="H7098" s="1236">
        <f>G7098*F7098</f>
        <v>984.00000000000011</v>
      </c>
      <c r="M7098" s="1566"/>
    </row>
    <row r="7099" spans="2:13" hidden="1">
      <c r="B7099" s="1543"/>
      <c r="C7099" s="1332" t="s">
        <v>683</v>
      </c>
      <c r="D7099" s="1331" t="s">
        <v>684</v>
      </c>
      <c r="E7099" s="1331" t="s">
        <v>675</v>
      </c>
      <c r="F7099" s="1334">
        <v>8.0000000000000002E-3</v>
      </c>
      <c r="G7099" s="1104">
        <f>$G$7045</f>
        <v>225000</v>
      </c>
      <c r="H7099" s="1236">
        <f>G7099*F7099</f>
        <v>1800</v>
      </c>
      <c r="M7099" s="1566"/>
    </row>
    <row r="7100" spans="2:13" hidden="1">
      <c r="B7100" s="1543"/>
      <c r="C7100" s="1332"/>
      <c r="D7100" s="1331"/>
      <c r="E7100" s="1331"/>
      <c r="F7100" s="2074" t="s">
        <v>685</v>
      </c>
      <c r="G7100" s="2074"/>
      <c r="H7100" s="1236">
        <f>SUM(H7096:H7099)</f>
        <v>22601</v>
      </c>
      <c r="M7100" s="1566"/>
    </row>
    <row r="7101" spans="2:13" hidden="1">
      <c r="B7101" s="1543" t="s">
        <v>686</v>
      </c>
      <c r="C7101" s="1332" t="s">
        <v>687</v>
      </c>
      <c r="D7101" s="1331"/>
      <c r="E7101" s="1331"/>
      <c r="F7101" s="1334"/>
      <c r="G7101" s="1104"/>
      <c r="H7101" s="1236"/>
      <c r="M7101" s="1566"/>
    </row>
    <row r="7102" spans="2:13" hidden="1">
      <c r="B7102" s="1540"/>
      <c r="C7102" s="1332" t="s">
        <v>1481</v>
      </c>
      <c r="D7102" s="1331"/>
      <c r="E7102" s="1331" t="s">
        <v>853</v>
      </c>
      <c r="F7102" s="1334">
        <v>1</v>
      </c>
      <c r="G7102" s="1104">
        <f>DUB!$I$566</f>
        <v>40869</v>
      </c>
      <c r="H7102" s="1236">
        <f>G7102*F7102</f>
        <v>40869</v>
      </c>
      <c r="M7102" s="1566"/>
    </row>
    <row r="7103" spans="2:13" hidden="1">
      <c r="B7103" s="1540"/>
      <c r="C7103" s="1332" t="s">
        <v>3570</v>
      </c>
      <c r="D7103" s="1331"/>
      <c r="E7103" s="1331" t="s">
        <v>773</v>
      </c>
      <c r="F7103" s="1250">
        <v>0.01</v>
      </c>
      <c r="G7103" s="1251">
        <f>DUB!$I$575</f>
        <v>134172</v>
      </c>
      <c r="H7103" s="1236">
        <f>G7103*F7103</f>
        <v>1341.72</v>
      </c>
      <c r="M7103" s="1566"/>
    </row>
    <row r="7104" spans="2:13" hidden="1">
      <c r="B7104" s="1540"/>
      <c r="C7104" s="1332"/>
      <c r="D7104" s="1331"/>
      <c r="E7104" s="1331"/>
      <c r="F7104" s="2074" t="s">
        <v>702</v>
      </c>
      <c r="G7104" s="2074"/>
      <c r="H7104" s="1236">
        <f>SUM(H7102:H7103)</f>
        <v>42210.720000000001</v>
      </c>
      <c r="M7104" s="1566"/>
    </row>
    <row r="7105" spans="2:13" hidden="1">
      <c r="B7105" s="1543" t="s">
        <v>703</v>
      </c>
      <c r="C7105" s="1332" t="s">
        <v>704</v>
      </c>
      <c r="D7105" s="1331"/>
      <c r="E7105" s="1331"/>
      <c r="F7105" s="1334"/>
      <c r="G7105" s="1104"/>
      <c r="H7105" s="1236"/>
      <c r="M7105" s="1566"/>
    </row>
    <row r="7106" spans="2:13" hidden="1">
      <c r="B7106" s="1540"/>
      <c r="C7106" s="1126" t="s">
        <v>3509</v>
      </c>
      <c r="D7106" s="1331"/>
      <c r="E7106" s="1187" t="s">
        <v>1011</v>
      </c>
      <c r="F7106" s="1179">
        <v>1</v>
      </c>
      <c r="G7106" s="1104">
        <v>7500</v>
      </c>
      <c r="H7106" s="1236">
        <f>G7106*F7106</f>
        <v>7500</v>
      </c>
      <c r="M7106" s="1566"/>
    </row>
    <row r="7107" spans="2:13" hidden="1">
      <c r="B7107" s="1540"/>
      <c r="C7107" s="1125"/>
      <c r="D7107" s="1333"/>
      <c r="E7107" s="1333"/>
      <c r="F7107" s="2074" t="s">
        <v>705</v>
      </c>
      <c r="G7107" s="2074"/>
      <c r="H7107" s="1236">
        <f>SUM(H7106)</f>
        <v>7500</v>
      </c>
      <c r="M7107" s="1566"/>
    </row>
    <row r="7108" spans="2:13" s="496" customFormat="1" hidden="1">
      <c r="B7108" s="1543" t="s">
        <v>706</v>
      </c>
      <c r="C7108" s="2075" t="s">
        <v>707</v>
      </c>
      <c r="D7108" s="2075"/>
      <c r="E7108" s="2075"/>
      <c r="F7108" s="2075"/>
      <c r="G7108" s="2075"/>
      <c r="H7108" s="1239">
        <f>H7100+H7104+H7107</f>
        <v>72311.72</v>
      </c>
      <c r="J7108" s="1559"/>
      <c r="K7108" s="1559"/>
      <c r="L7108" s="1559"/>
      <c r="M7108" s="1635"/>
    </row>
    <row r="7109" spans="2:13" s="496" customFormat="1" hidden="1">
      <c r="B7109" s="1543" t="s">
        <v>708</v>
      </c>
      <c r="C7109" s="2075" t="s">
        <v>709</v>
      </c>
      <c r="D7109" s="2075"/>
      <c r="E7109" s="2075"/>
      <c r="F7109" s="2077" t="s">
        <v>710</v>
      </c>
      <c r="G7109" s="2077"/>
      <c r="H7109" s="1107">
        <f>H7108*0.15</f>
        <v>10846.758</v>
      </c>
      <c r="J7109" s="1559"/>
      <c r="K7109" s="1559"/>
      <c r="L7109" s="1559"/>
      <c r="M7109" s="1635"/>
    </row>
    <row r="7110" spans="2:13" s="496" customFormat="1" hidden="1">
      <c r="B7110" s="1543" t="s">
        <v>711</v>
      </c>
      <c r="C7110" s="2078" t="s">
        <v>712</v>
      </c>
      <c r="D7110" s="2078"/>
      <c r="E7110" s="2078"/>
      <c r="F7110" s="2078"/>
      <c r="G7110" s="2078"/>
      <c r="H7110" s="1107">
        <f>ROUND(SUM(H7108:H7109),2)</f>
        <v>83158.48</v>
      </c>
      <c r="J7110" s="1559"/>
      <c r="K7110" s="1559"/>
      <c r="L7110" s="1559"/>
      <c r="M7110" s="1635"/>
    </row>
    <row r="7111" spans="2:13" s="496" customFormat="1" hidden="1">
      <c r="B7111" s="1111"/>
      <c r="C7111" s="1112"/>
      <c r="D7111" s="1111"/>
      <c r="E7111" s="1112"/>
      <c r="F7111" s="1113"/>
      <c r="G7111" s="1114"/>
      <c r="H7111" s="1176"/>
      <c r="J7111" s="1559"/>
      <c r="K7111" s="1559"/>
      <c r="L7111" s="1559"/>
      <c r="M7111" s="1635"/>
    </row>
    <row r="7112" spans="2:13" hidden="1">
      <c r="B7112" s="1100" t="s">
        <v>2711</v>
      </c>
      <c r="C7112" s="1232" t="s">
        <v>3571</v>
      </c>
      <c r="F7112" s="1172"/>
      <c r="G7112" s="1173"/>
      <c r="H7112" s="1711"/>
      <c r="M7112" s="1566"/>
    </row>
    <row r="7113" spans="2:13" s="507" customFormat="1" ht="24.9" hidden="1" customHeight="1">
      <c r="B7113" s="1748" t="s">
        <v>1003</v>
      </c>
      <c r="C7113" s="1101" t="s">
        <v>1004</v>
      </c>
      <c r="D7113" s="1101" t="s">
        <v>1005</v>
      </c>
      <c r="E7113" s="1101" t="s">
        <v>1006</v>
      </c>
      <c r="F7113" s="1102" t="s">
        <v>1007</v>
      </c>
      <c r="G7113" s="1109" t="s">
        <v>2637</v>
      </c>
      <c r="H7113" s="1235" t="s">
        <v>2638</v>
      </c>
      <c r="J7113" s="1625"/>
      <c r="K7113" s="1625"/>
      <c r="L7113" s="1625"/>
      <c r="M7113" s="1570"/>
    </row>
    <row r="7114" spans="2:13" hidden="1">
      <c r="B7114" s="1543" t="s">
        <v>671</v>
      </c>
      <c r="C7114" s="1332" t="s">
        <v>672</v>
      </c>
      <c r="D7114" s="1331"/>
      <c r="E7114" s="1331"/>
      <c r="F7114" s="1334"/>
      <c r="G7114" s="1104"/>
      <c r="H7114" s="1236"/>
      <c r="M7114" s="1566"/>
    </row>
    <row r="7115" spans="2:13" hidden="1">
      <c r="B7115" s="1543"/>
      <c r="C7115" s="1332" t="s">
        <v>673</v>
      </c>
      <c r="D7115" s="1331" t="s">
        <v>674</v>
      </c>
      <c r="E7115" s="1331" t="s">
        <v>675</v>
      </c>
      <c r="F7115" s="1334">
        <v>9.4E-2</v>
      </c>
      <c r="G7115" s="1104">
        <f>$G$7096</f>
        <v>150000</v>
      </c>
      <c r="H7115" s="1236">
        <f>G7115*F7115</f>
        <v>14100</v>
      </c>
      <c r="M7115" s="1566"/>
    </row>
    <row r="7116" spans="2:13" hidden="1">
      <c r="B7116" s="1543"/>
      <c r="C7116" s="1332" t="s">
        <v>1480</v>
      </c>
      <c r="D7116" s="1331" t="s">
        <v>678</v>
      </c>
      <c r="E7116" s="1331" t="s">
        <v>675</v>
      </c>
      <c r="F7116" s="1334">
        <v>4.7E-2</v>
      </c>
      <c r="G7116" s="1104">
        <f>$G$7097</f>
        <v>187000</v>
      </c>
      <c r="H7116" s="1236">
        <f>G7116*F7116</f>
        <v>8789</v>
      </c>
      <c r="M7116" s="1566"/>
    </row>
    <row r="7117" spans="2:13" hidden="1">
      <c r="B7117" s="1543"/>
      <c r="C7117" s="1332" t="s">
        <v>751</v>
      </c>
      <c r="D7117" s="1331" t="s">
        <v>681</v>
      </c>
      <c r="E7117" s="1331" t="s">
        <v>675</v>
      </c>
      <c r="F7117" s="1334">
        <v>4.7000000000000002E-3</v>
      </c>
      <c r="G7117" s="1104">
        <f>$G$7044</f>
        <v>240000</v>
      </c>
      <c r="H7117" s="1236">
        <f>G7117*F7117</f>
        <v>1128</v>
      </c>
      <c r="M7117" s="1566"/>
    </row>
    <row r="7118" spans="2:13" hidden="1">
      <c r="B7118" s="1543"/>
      <c r="C7118" s="1332" t="s">
        <v>683</v>
      </c>
      <c r="D7118" s="1331" t="s">
        <v>684</v>
      </c>
      <c r="E7118" s="1331" t="s">
        <v>675</v>
      </c>
      <c r="F7118" s="1334">
        <v>8.9999999999999993E-3</v>
      </c>
      <c r="G7118" s="1104">
        <f>$G$7099</f>
        <v>225000</v>
      </c>
      <c r="H7118" s="1236">
        <f>G7118*F7118</f>
        <v>2024.9999999999998</v>
      </c>
      <c r="M7118" s="1566"/>
    </row>
    <row r="7119" spans="2:13" hidden="1">
      <c r="B7119" s="1543"/>
      <c r="C7119" s="1332"/>
      <c r="D7119" s="1331"/>
      <c r="E7119" s="1331"/>
      <c r="F7119" s="2074" t="s">
        <v>685</v>
      </c>
      <c r="G7119" s="2074"/>
      <c r="H7119" s="1236">
        <f>SUM(H7115:H7118)</f>
        <v>26042</v>
      </c>
      <c r="M7119" s="1566"/>
    </row>
    <row r="7120" spans="2:13" hidden="1">
      <c r="B7120" s="1543" t="s">
        <v>686</v>
      </c>
      <c r="C7120" s="1332" t="s">
        <v>687</v>
      </c>
      <c r="D7120" s="1331"/>
      <c r="E7120" s="1331"/>
      <c r="F7120" s="1334"/>
      <c r="G7120" s="1104"/>
      <c r="H7120" s="1236"/>
      <c r="M7120" s="1566"/>
    </row>
    <row r="7121" spans="2:13" hidden="1">
      <c r="B7121" s="1543"/>
      <c r="C7121" s="1332" t="s">
        <v>1487</v>
      </c>
      <c r="D7121" s="1331"/>
      <c r="E7121" s="1331" t="s">
        <v>853</v>
      </c>
      <c r="F7121" s="1334">
        <v>1</v>
      </c>
      <c r="G7121" s="1104">
        <f>DUB!$I$565</f>
        <v>85203</v>
      </c>
      <c r="H7121" s="1236">
        <f>G7121*F7121</f>
        <v>85203</v>
      </c>
      <c r="M7121" s="1566"/>
    </row>
    <row r="7122" spans="2:13" hidden="1">
      <c r="B7122" s="1543"/>
      <c r="C7122" s="1332" t="s">
        <v>3570</v>
      </c>
      <c r="D7122" s="1331"/>
      <c r="E7122" s="1331" t="s">
        <v>773</v>
      </c>
      <c r="F7122" s="1250">
        <v>1.4999999999999999E-2</v>
      </c>
      <c r="G7122" s="1251">
        <f>DUB!$I$575</f>
        <v>134172</v>
      </c>
      <c r="H7122" s="1236">
        <f>G7122*F7122</f>
        <v>2012.58</v>
      </c>
      <c r="M7122" s="1566"/>
    </row>
    <row r="7123" spans="2:13" hidden="1">
      <c r="B7123" s="1543"/>
      <c r="C7123" s="1332"/>
      <c r="D7123" s="1331"/>
      <c r="E7123" s="1331"/>
      <c r="F7123" s="2074" t="s">
        <v>702</v>
      </c>
      <c r="G7123" s="2074"/>
      <c r="H7123" s="1236">
        <f>SUM(H7121:H7122)</f>
        <v>87215.58</v>
      </c>
      <c r="M7123" s="1566"/>
    </row>
    <row r="7124" spans="2:13" hidden="1">
      <c r="B7124" s="1543" t="s">
        <v>703</v>
      </c>
      <c r="C7124" s="1332" t="s">
        <v>704</v>
      </c>
      <c r="D7124" s="1331"/>
      <c r="E7124" s="1331"/>
      <c r="F7124" s="1334"/>
      <c r="G7124" s="1104"/>
      <c r="H7124" s="1236"/>
      <c r="M7124" s="1566"/>
    </row>
    <row r="7125" spans="2:13" hidden="1">
      <c r="B7125" s="1543"/>
      <c r="C7125" s="1126" t="s">
        <v>3509</v>
      </c>
      <c r="D7125" s="1331"/>
      <c r="E7125" s="1187" t="s">
        <v>1011</v>
      </c>
      <c r="F7125" s="1179">
        <v>1</v>
      </c>
      <c r="G7125" s="1104">
        <v>10000</v>
      </c>
      <c r="H7125" s="1236">
        <f>G7125*F7125</f>
        <v>10000</v>
      </c>
      <c r="M7125" s="1566"/>
    </row>
    <row r="7126" spans="2:13" hidden="1">
      <c r="B7126" s="1540"/>
      <c r="C7126" s="1125"/>
      <c r="D7126" s="1333"/>
      <c r="E7126" s="1333"/>
      <c r="F7126" s="2074" t="s">
        <v>705</v>
      </c>
      <c r="G7126" s="2074"/>
      <c r="H7126" s="1236">
        <f>SUM(H7125)</f>
        <v>10000</v>
      </c>
      <c r="M7126" s="1566"/>
    </row>
    <row r="7127" spans="2:13" hidden="1">
      <c r="B7127" s="1543" t="s">
        <v>706</v>
      </c>
      <c r="C7127" s="2075" t="s">
        <v>707</v>
      </c>
      <c r="D7127" s="2075"/>
      <c r="E7127" s="2075"/>
      <c r="F7127" s="2075"/>
      <c r="G7127" s="2075"/>
      <c r="H7127" s="1239">
        <f>H7119+H7123+H7126</f>
        <v>123257.58</v>
      </c>
      <c r="M7127" s="1566"/>
    </row>
    <row r="7128" spans="2:13" hidden="1">
      <c r="B7128" s="1543" t="s">
        <v>708</v>
      </c>
      <c r="C7128" s="2075" t="s">
        <v>709</v>
      </c>
      <c r="D7128" s="2075"/>
      <c r="E7128" s="2075"/>
      <c r="F7128" s="2077" t="s">
        <v>710</v>
      </c>
      <c r="G7128" s="2077"/>
      <c r="H7128" s="1107">
        <f>H7127*0.15</f>
        <v>18488.636999999999</v>
      </c>
      <c r="M7128" s="1566"/>
    </row>
    <row r="7129" spans="2:13" hidden="1">
      <c r="B7129" s="1543" t="s">
        <v>711</v>
      </c>
      <c r="C7129" s="2078" t="s">
        <v>712</v>
      </c>
      <c r="D7129" s="2078"/>
      <c r="E7129" s="2078"/>
      <c r="F7129" s="2078"/>
      <c r="G7129" s="2078"/>
      <c r="H7129" s="1107">
        <f>ROUND(SUM(H7127:H7128),2)</f>
        <v>141746.22</v>
      </c>
      <c r="M7129" s="1566"/>
    </row>
    <row r="7130" spans="2:13" hidden="1">
      <c r="B7130" s="1111"/>
      <c r="C7130" s="1112"/>
      <c r="D7130" s="1111"/>
      <c r="E7130" s="1112"/>
      <c r="F7130" s="1113"/>
      <c r="G7130" s="1114"/>
      <c r="H7130" s="1176"/>
      <c r="M7130" s="1566"/>
    </row>
    <row r="7131" spans="2:13" hidden="1">
      <c r="B7131" s="1100" t="s">
        <v>4248</v>
      </c>
      <c r="C7131" s="1112" t="s">
        <v>3572</v>
      </c>
      <c r="D7131" s="1129"/>
      <c r="E7131" s="1129"/>
      <c r="F7131" s="1131"/>
      <c r="G7131" s="1132"/>
      <c r="H7131" s="1249"/>
      <c r="M7131" s="1566"/>
    </row>
    <row r="7132" spans="2:13" s="507" customFormat="1" ht="24.9" hidden="1" customHeight="1">
      <c r="B7132" s="1748" t="s">
        <v>1003</v>
      </c>
      <c r="C7132" s="1101" t="s">
        <v>1004</v>
      </c>
      <c r="D7132" s="1101" t="s">
        <v>1005</v>
      </c>
      <c r="E7132" s="1101" t="s">
        <v>1006</v>
      </c>
      <c r="F7132" s="1102" t="s">
        <v>1007</v>
      </c>
      <c r="G7132" s="1109" t="s">
        <v>2637</v>
      </c>
      <c r="H7132" s="1235" t="s">
        <v>2638</v>
      </c>
      <c r="J7132" s="1625"/>
      <c r="K7132" s="1625"/>
      <c r="L7132" s="1625"/>
      <c r="M7132" s="1570"/>
    </row>
    <row r="7133" spans="2:13" hidden="1">
      <c r="B7133" s="1543" t="s">
        <v>671</v>
      </c>
      <c r="C7133" s="1332" t="s">
        <v>672</v>
      </c>
      <c r="D7133" s="1331"/>
      <c r="E7133" s="1331"/>
      <c r="F7133" s="1334"/>
      <c r="G7133" s="1104"/>
      <c r="H7133" s="1236"/>
      <c r="M7133" s="1566"/>
    </row>
    <row r="7134" spans="2:13" hidden="1">
      <c r="B7134" s="1543"/>
      <c r="C7134" s="1332" t="s">
        <v>673</v>
      </c>
      <c r="D7134" s="1331" t="s">
        <v>674</v>
      </c>
      <c r="E7134" s="1331" t="s">
        <v>675</v>
      </c>
      <c r="F7134" s="1334">
        <v>0.105</v>
      </c>
      <c r="G7134" s="1104">
        <f>$G$7115</f>
        <v>150000</v>
      </c>
      <c r="H7134" s="1236">
        <f>G7134*F7134</f>
        <v>15750</v>
      </c>
      <c r="M7134" s="1566"/>
    </row>
    <row r="7135" spans="2:13" hidden="1">
      <c r="B7135" s="1543"/>
      <c r="C7135" s="1332" t="s">
        <v>1480</v>
      </c>
      <c r="D7135" s="1331" t="s">
        <v>678</v>
      </c>
      <c r="E7135" s="1331" t="s">
        <v>675</v>
      </c>
      <c r="F7135" s="1334">
        <v>5.2999999999999999E-2</v>
      </c>
      <c r="G7135" s="1104">
        <f>$G$7116</f>
        <v>187000</v>
      </c>
      <c r="H7135" s="1236">
        <f>G7135*F7135</f>
        <v>9911</v>
      </c>
      <c r="M7135" s="1566"/>
    </row>
    <row r="7136" spans="2:13" hidden="1">
      <c r="B7136" s="1543"/>
      <c r="C7136" s="1332" t="s">
        <v>751</v>
      </c>
      <c r="D7136" s="1331" t="s">
        <v>681</v>
      </c>
      <c r="E7136" s="1331" t="s">
        <v>675</v>
      </c>
      <c r="F7136" s="1334">
        <v>5.3E-3</v>
      </c>
      <c r="G7136" s="1104">
        <f>$G$7044</f>
        <v>240000</v>
      </c>
      <c r="H7136" s="1236">
        <f>G7136*F7136</f>
        <v>1272</v>
      </c>
      <c r="M7136" s="1566"/>
    </row>
    <row r="7137" spans="2:13" hidden="1">
      <c r="B7137" s="1543"/>
      <c r="C7137" s="1332" t="s">
        <v>683</v>
      </c>
      <c r="D7137" s="1331" t="s">
        <v>684</v>
      </c>
      <c r="E7137" s="1331" t="s">
        <v>675</v>
      </c>
      <c r="F7137" s="1334">
        <v>1.0999999999999999E-2</v>
      </c>
      <c r="G7137" s="1104">
        <f>$G$7118</f>
        <v>225000</v>
      </c>
      <c r="H7137" s="1236">
        <f>G7137*F7137</f>
        <v>2475</v>
      </c>
      <c r="M7137" s="1566"/>
    </row>
    <row r="7138" spans="2:13" hidden="1">
      <c r="B7138" s="1543"/>
      <c r="C7138" s="1332"/>
      <c r="D7138" s="1331"/>
      <c r="E7138" s="1331"/>
      <c r="F7138" s="2074" t="s">
        <v>685</v>
      </c>
      <c r="G7138" s="2074"/>
      <c r="H7138" s="1236">
        <f>SUM(H7134:H7137)</f>
        <v>29408</v>
      </c>
      <c r="M7138" s="1566"/>
    </row>
    <row r="7139" spans="2:13" hidden="1">
      <c r="B7139" s="1543" t="s">
        <v>686</v>
      </c>
      <c r="C7139" s="1332" t="s">
        <v>687</v>
      </c>
      <c r="D7139" s="1331"/>
      <c r="E7139" s="1331"/>
      <c r="F7139" s="1334"/>
      <c r="G7139" s="1104"/>
      <c r="H7139" s="1236"/>
      <c r="M7139" s="1566"/>
    </row>
    <row r="7140" spans="2:13" hidden="1">
      <c r="B7140" s="1543"/>
      <c r="C7140" s="1332" t="s">
        <v>1489</v>
      </c>
      <c r="D7140" s="1331"/>
      <c r="E7140" s="1331" t="s">
        <v>853</v>
      </c>
      <c r="F7140" s="1334">
        <v>1</v>
      </c>
      <c r="G7140" s="1104">
        <f>DUB!$I$564</f>
        <v>125433</v>
      </c>
      <c r="H7140" s="1236">
        <f>G7140*F7140</f>
        <v>125433</v>
      </c>
      <c r="M7140" s="1566"/>
    </row>
    <row r="7141" spans="2:13" hidden="1">
      <c r="B7141" s="1543"/>
      <c r="C7141" s="1332" t="s">
        <v>3570</v>
      </c>
      <c r="D7141" s="1331"/>
      <c r="E7141" s="1331" t="s">
        <v>773</v>
      </c>
      <c r="F7141" s="1250">
        <v>1.7500000000000002E-2</v>
      </c>
      <c r="G7141" s="1251">
        <f>DUB!$I$575</f>
        <v>134172</v>
      </c>
      <c r="H7141" s="1236">
        <f>G7141*F7141</f>
        <v>2348.0100000000002</v>
      </c>
      <c r="M7141" s="1566"/>
    </row>
    <row r="7142" spans="2:13" hidden="1">
      <c r="B7142" s="1540"/>
      <c r="C7142" s="1332"/>
      <c r="D7142" s="1331"/>
      <c r="E7142" s="1331"/>
      <c r="F7142" s="2074" t="s">
        <v>702</v>
      </c>
      <c r="G7142" s="2074"/>
      <c r="H7142" s="1236">
        <f>SUM(H7140:H7141)</f>
        <v>127781.01</v>
      </c>
      <c r="M7142" s="1566"/>
    </row>
    <row r="7143" spans="2:13" hidden="1">
      <c r="B7143" s="1543" t="s">
        <v>703</v>
      </c>
      <c r="C7143" s="1332" t="s">
        <v>704</v>
      </c>
      <c r="D7143" s="1331"/>
      <c r="E7143" s="1331"/>
      <c r="F7143" s="1334"/>
      <c r="G7143" s="1104"/>
      <c r="H7143" s="1236"/>
      <c r="M7143" s="1566"/>
    </row>
    <row r="7144" spans="2:13" hidden="1">
      <c r="B7144" s="1543"/>
      <c r="C7144" s="1126" t="s">
        <v>3509</v>
      </c>
      <c r="D7144" s="1331"/>
      <c r="E7144" s="1187" t="s">
        <v>1011</v>
      </c>
      <c r="F7144" s="1179">
        <v>1</v>
      </c>
      <c r="G7144" s="1104">
        <v>10000</v>
      </c>
      <c r="H7144" s="1236">
        <f>G7144*F7144</f>
        <v>10000</v>
      </c>
      <c r="M7144" s="1566"/>
    </row>
    <row r="7145" spans="2:13" hidden="1">
      <c r="B7145" s="1543"/>
      <c r="C7145" s="1125"/>
      <c r="D7145" s="1333"/>
      <c r="E7145" s="1333"/>
      <c r="F7145" s="2074" t="s">
        <v>705</v>
      </c>
      <c r="G7145" s="2074"/>
      <c r="H7145" s="1236">
        <f>SUM(H7144)</f>
        <v>10000</v>
      </c>
      <c r="M7145" s="1566"/>
    </row>
    <row r="7146" spans="2:13" hidden="1">
      <c r="B7146" s="1543" t="s">
        <v>706</v>
      </c>
      <c r="C7146" s="2075" t="s">
        <v>707</v>
      </c>
      <c r="D7146" s="2075"/>
      <c r="E7146" s="2075"/>
      <c r="F7146" s="2075"/>
      <c r="G7146" s="2075"/>
      <c r="H7146" s="1239">
        <f>H7138+H7142+H7145</f>
        <v>167189.01</v>
      </c>
      <c r="M7146" s="1566"/>
    </row>
    <row r="7147" spans="2:13" hidden="1">
      <c r="B7147" s="1543" t="s">
        <v>708</v>
      </c>
      <c r="C7147" s="2075" t="s">
        <v>709</v>
      </c>
      <c r="D7147" s="2075"/>
      <c r="E7147" s="2075"/>
      <c r="F7147" s="2077" t="s">
        <v>710</v>
      </c>
      <c r="G7147" s="2077"/>
      <c r="H7147" s="1107">
        <f>H7146*0.15</f>
        <v>25078.351500000001</v>
      </c>
      <c r="M7147" s="1566"/>
    </row>
    <row r="7148" spans="2:13" hidden="1">
      <c r="B7148" s="1543" t="s">
        <v>711</v>
      </c>
      <c r="C7148" s="2078" t="s">
        <v>712</v>
      </c>
      <c r="D7148" s="2078"/>
      <c r="E7148" s="2078"/>
      <c r="F7148" s="2078"/>
      <c r="G7148" s="2078"/>
      <c r="H7148" s="1107">
        <f>ROUND(SUM(H7146:H7147),2)</f>
        <v>192267.36</v>
      </c>
      <c r="M7148" s="1566"/>
    </row>
    <row r="7149" spans="2:13" hidden="1">
      <c r="F7149" s="1172"/>
      <c r="G7149" s="1173"/>
      <c r="H7149" s="1711"/>
      <c r="M7149" s="1566"/>
    </row>
    <row r="7150" spans="2:13" hidden="1">
      <c r="B7150" s="1100" t="s">
        <v>4249</v>
      </c>
      <c r="C7150" s="1232" t="s">
        <v>3573</v>
      </c>
      <c r="F7150" s="1172"/>
      <c r="G7150" s="1173"/>
      <c r="H7150" s="1711"/>
      <c r="M7150" s="1566"/>
    </row>
    <row r="7151" spans="2:13" s="507" customFormat="1" ht="24.9" hidden="1" customHeight="1">
      <c r="B7151" s="1748" t="s">
        <v>1003</v>
      </c>
      <c r="C7151" s="1101" t="s">
        <v>1004</v>
      </c>
      <c r="D7151" s="1101" t="s">
        <v>1005</v>
      </c>
      <c r="E7151" s="1101" t="s">
        <v>1006</v>
      </c>
      <c r="F7151" s="1102" t="s">
        <v>1007</v>
      </c>
      <c r="G7151" s="1109" t="s">
        <v>2637</v>
      </c>
      <c r="H7151" s="1235" t="s">
        <v>2638</v>
      </c>
      <c r="J7151" s="1625"/>
      <c r="K7151" s="1625"/>
      <c r="L7151" s="1625"/>
      <c r="M7151" s="1570"/>
    </row>
    <row r="7152" spans="2:13" hidden="1">
      <c r="B7152" s="1543" t="s">
        <v>671</v>
      </c>
      <c r="C7152" s="1332" t="s">
        <v>672</v>
      </c>
      <c r="D7152" s="1331"/>
      <c r="E7152" s="1331"/>
      <c r="F7152" s="1334"/>
      <c r="G7152" s="1104"/>
      <c r="H7152" s="1236"/>
      <c r="M7152" s="1566"/>
    </row>
    <row r="7153" spans="2:13" hidden="1">
      <c r="B7153" s="1543"/>
      <c r="C7153" s="1332" t="s">
        <v>673</v>
      </c>
      <c r="D7153" s="1331" t="s">
        <v>674</v>
      </c>
      <c r="E7153" s="1331" t="s">
        <v>675</v>
      </c>
      <c r="F7153" s="1334">
        <v>0.11799999999999999</v>
      </c>
      <c r="G7153" s="1104">
        <f>$G$7134</f>
        <v>150000</v>
      </c>
      <c r="H7153" s="1236">
        <f>G7153*F7153</f>
        <v>17700</v>
      </c>
      <c r="M7153" s="1566"/>
    </row>
    <row r="7154" spans="2:13" hidden="1">
      <c r="B7154" s="1543"/>
      <c r="C7154" s="1332" t="s">
        <v>1480</v>
      </c>
      <c r="D7154" s="1331" t="s">
        <v>678</v>
      </c>
      <c r="E7154" s="1331" t="s">
        <v>675</v>
      </c>
      <c r="F7154" s="1334">
        <v>5.8999999999999997E-2</v>
      </c>
      <c r="G7154" s="1104">
        <f>$G$7135</f>
        <v>187000</v>
      </c>
      <c r="H7154" s="1236">
        <f>G7154*F7154</f>
        <v>11033</v>
      </c>
      <c r="M7154" s="1566"/>
    </row>
    <row r="7155" spans="2:13" hidden="1">
      <c r="B7155" s="1543"/>
      <c r="C7155" s="1332" t="s">
        <v>751</v>
      </c>
      <c r="D7155" s="1331" t="s">
        <v>681</v>
      </c>
      <c r="E7155" s="1331" t="s">
        <v>675</v>
      </c>
      <c r="F7155" s="1334">
        <v>5.8999999999999999E-3</v>
      </c>
      <c r="G7155" s="1104">
        <f>$G$7044</f>
        <v>240000</v>
      </c>
      <c r="H7155" s="1236">
        <f>G7155*F7155</f>
        <v>1416</v>
      </c>
      <c r="M7155" s="1566"/>
    </row>
    <row r="7156" spans="2:13" hidden="1">
      <c r="B7156" s="1543"/>
      <c r="C7156" s="1332" t="s">
        <v>683</v>
      </c>
      <c r="D7156" s="1331" t="s">
        <v>684</v>
      </c>
      <c r="E7156" s="1331" t="s">
        <v>675</v>
      </c>
      <c r="F7156" s="1334">
        <v>1.2E-2</v>
      </c>
      <c r="G7156" s="1104">
        <f>$G$7137</f>
        <v>225000</v>
      </c>
      <c r="H7156" s="1236">
        <f>G7156*F7156</f>
        <v>2700</v>
      </c>
      <c r="M7156" s="1566"/>
    </row>
    <row r="7157" spans="2:13" hidden="1">
      <c r="B7157" s="1543"/>
      <c r="C7157" s="1332"/>
      <c r="D7157" s="1331"/>
      <c r="E7157" s="1331"/>
      <c r="F7157" s="2074" t="s">
        <v>685</v>
      </c>
      <c r="G7157" s="2074"/>
      <c r="H7157" s="1236">
        <f>SUM(H7153:H7156)</f>
        <v>32849</v>
      </c>
      <c r="M7157" s="1566"/>
    </row>
    <row r="7158" spans="2:13" hidden="1">
      <c r="B7158" s="1543" t="s">
        <v>686</v>
      </c>
      <c r="C7158" s="1332" t="s">
        <v>687</v>
      </c>
      <c r="D7158" s="1331"/>
      <c r="E7158" s="1331"/>
      <c r="F7158" s="1334"/>
      <c r="G7158" s="1104"/>
      <c r="H7158" s="1236"/>
      <c r="M7158" s="1566"/>
    </row>
    <row r="7159" spans="2:13" hidden="1">
      <c r="B7159" s="1543"/>
      <c r="C7159" s="1332" t="s">
        <v>3574</v>
      </c>
      <c r="D7159" s="1331"/>
      <c r="E7159" s="1331" t="s">
        <v>853</v>
      </c>
      <c r="F7159" s="1334">
        <v>1</v>
      </c>
      <c r="G7159" s="1104">
        <f>DUB!$I$563</f>
        <v>270144</v>
      </c>
      <c r="H7159" s="1236">
        <f>G7159*F7159</f>
        <v>270144</v>
      </c>
      <c r="M7159" s="1566"/>
    </row>
    <row r="7160" spans="2:13" hidden="1">
      <c r="B7160" s="1543"/>
      <c r="C7160" s="1332" t="s">
        <v>3570</v>
      </c>
      <c r="D7160" s="1331"/>
      <c r="E7160" s="1331" t="s">
        <v>773</v>
      </c>
      <c r="F7160" s="1250">
        <v>0.02</v>
      </c>
      <c r="G7160" s="1251">
        <f>DUB!$I$575</f>
        <v>134172</v>
      </c>
      <c r="H7160" s="1236">
        <f>G7160*F7160</f>
        <v>2683.44</v>
      </c>
      <c r="M7160" s="1566"/>
    </row>
    <row r="7161" spans="2:13" hidden="1">
      <c r="B7161" s="1543"/>
      <c r="C7161" s="1332"/>
      <c r="D7161" s="1331"/>
      <c r="E7161" s="1331"/>
      <c r="F7161" s="2074" t="s">
        <v>702</v>
      </c>
      <c r="G7161" s="2074"/>
      <c r="H7161" s="1236">
        <f>SUM(H7159:H7160)</f>
        <v>272827.44</v>
      </c>
      <c r="M7161" s="1566"/>
    </row>
    <row r="7162" spans="2:13" hidden="1">
      <c r="B7162" s="1543" t="s">
        <v>703</v>
      </c>
      <c r="C7162" s="1332" t="s">
        <v>704</v>
      </c>
      <c r="D7162" s="1331"/>
      <c r="E7162" s="1331"/>
      <c r="F7162" s="1334"/>
      <c r="G7162" s="1104"/>
      <c r="H7162" s="1236"/>
      <c r="M7162" s="1566"/>
    </row>
    <row r="7163" spans="2:13" hidden="1">
      <c r="B7163" s="1543"/>
      <c r="C7163" s="1126" t="s">
        <v>3509</v>
      </c>
      <c r="D7163" s="1331"/>
      <c r="E7163" s="1187" t="s">
        <v>1011</v>
      </c>
      <c r="F7163" s="1179">
        <v>1</v>
      </c>
      <c r="G7163" s="1104">
        <v>12000</v>
      </c>
      <c r="H7163" s="1236">
        <f>G7163*F7163</f>
        <v>12000</v>
      </c>
      <c r="M7163" s="1566"/>
    </row>
    <row r="7164" spans="2:13" hidden="1">
      <c r="B7164" s="1543"/>
      <c r="C7164" s="1125"/>
      <c r="D7164" s="1333"/>
      <c r="E7164" s="1333"/>
      <c r="F7164" s="2074" t="s">
        <v>705</v>
      </c>
      <c r="G7164" s="2074"/>
      <c r="H7164" s="1236">
        <f>SUM(H7163)</f>
        <v>12000</v>
      </c>
      <c r="M7164" s="1566"/>
    </row>
    <row r="7165" spans="2:13" hidden="1">
      <c r="B7165" s="1543" t="s">
        <v>706</v>
      </c>
      <c r="C7165" s="2075" t="s">
        <v>707</v>
      </c>
      <c r="D7165" s="2075"/>
      <c r="E7165" s="2075"/>
      <c r="F7165" s="2075"/>
      <c r="G7165" s="2075"/>
      <c r="H7165" s="1239">
        <f>H7157+H7161+H7164</f>
        <v>317676.44</v>
      </c>
      <c r="M7165" s="1566"/>
    </row>
    <row r="7166" spans="2:13" hidden="1">
      <c r="B7166" s="1543" t="s">
        <v>708</v>
      </c>
      <c r="C7166" s="2075" t="s">
        <v>709</v>
      </c>
      <c r="D7166" s="2075"/>
      <c r="E7166" s="2075"/>
      <c r="F7166" s="2077" t="s">
        <v>710</v>
      </c>
      <c r="G7166" s="2077"/>
      <c r="H7166" s="1107">
        <f>H7165*0.15</f>
        <v>47651.466</v>
      </c>
      <c r="M7166" s="1566"/>
    </row>
    <row r="7167" spans="2:13" hidden="1">
      <c r="B7167" s="1543" t="s">
        <v>711</v>
      </c>
      <c r="C7167" s="2078" t="s">
        <v>712</v>
      </c>
      <c r="D7167" s="2078"/>
      <c r="E7167" s="2078"/>
      <c r="F7167" s="2078"/>
      <c r="G7167" s="2078"/>
      <c r="H7167" s="1107">
        <f>ROUND(SUM(H7165:H7166),2)</f>
        <v>365327.91</v>
      </c>
      <c r="M7167" s="1566"/>
    </row>
    <row r="7168" spans="2:13" hidden="1">
      <c r="B7168" s="1143"/>
      <c r="C7168" s="1144"/>
      <c r="D7168" s="1143"/>
      <c r="E7168" s="1143"/>
      <c r="F7168" s="1145"/>
      <c r="G7168" s="1146"/>
      <c r="H7168" s="1252"/>
      <c r="M7168" s="1566"/>
    </row>
    <row r="7169" spans="2:13" hidden="1">
      <c r="B7169" s="1100" t="s">
        <v>4250</v>
      </c>
      <c r="C7169" s="1112" t="s">
        <v>4484</v>
      </c>
      <c r="D7169" s="1129"/>
      <c r="E7169" s="1129"/>
      <c r="F7169" s="1131"/>
      <c r="G7169" s="1132"/>
      <c r="H7169" s="1249"/>
      <c r="M7169" s="1566"/>
    </row>
    <row r="7170" spans="2:13" s="507" customFormat="1" ht="24.9" hidden="1" customHeight="1">
      <c r="B7170" s="1748" t="s">
        <v>1003</v>
      </c>
      <c r="C7170" s="1101" t="s">
        <v>1004</v>
      </c>
      <c r="D7170" s="1101" t="s">
        <v>1005</v>
      </c>
      <c r="E7170" s="1101" t="s">
        <v>1006</v>
      </c>
      <c r="F7170" s="1102" t="s">
        <v>1007</v>
      </c>
      <c r="G7170" s="1109" t="s">
        <v>2637</v>
      </c>
      <c r="H7170" s="1235" t="s">
        <v>2638</v>
      </c>
      <c r="J7170" s="1625"/>
      <c r="K7170" s="1625"/>
      <c r="L7170" s="1625"/>
      <c r="M7170" s="1570"/>
    </row>
    <row r="7171" spans="2:13" hidden="1">
      <c r="B7171" s="1543" t="s">
        <v>671</v>
      </c>
      <c r="C7171" s="1332" t="s">
        <v>672</v>
      </c>
      <c r="D7171" s="1331"/>
      <c r="E7171" s="1331"/>
      <c r="F7171" s="1334"/>
      <c r="G7171" s="1104"/>
      <c r="H7171" s="1236"/>
      <c r="M7171" s="1566"/>
    </row>
    <row r="7172" spans="2:13" hidden="1">
      <c r="B7172" s="1543"/>
      <c r="C7172" s="1332" t="s">
        <v>673</v>
      </c>
      <c r="D7172" s="1331" t="s">
        <v>674</v>
      </c>
      <c r="E7172" s="1331" t="s">
        <v>675</v>
      </c>
      <c r="F7172" s="1334">
        <v>0.189</v>
      </c>
      <c r="G7172" s="1104">
        <f>$G$7153</f>
        <v>150000</v>
      </c>
      <c r="H7172" s="1236">
        <f>G7172*F7172</f>
        <v>28350</v>
      </c>
      <c r="M7172" s="1566"/>
    </row>
    <row r="7173" spans="2:13" hidden="1">
      <c r="B7173" s="1543"/>
      <c r="C7173" s="1332" t="s">
        <v>1480</v>
      </c>
      <c r="D7173" s="1331" t="s">
        <v>678</v>
      </c>
      <c r="E7173" s="1331" t="s">
        <v>675</v>
      </c>
      <c r="F7173" s="1334">
        <v>9.5000000000000001E-2</v>
      </c>
      <c r="G7173" s="1104">
        <f>$G$7154</f>
        <v>187000</v>
      </c>
      <c r="H7173" s="1236">
        <f>G7173*F7173</f>
        <v>17765</v>
      </c>
      <c r="M7173" s="1566"/>
    </row>
    <row r="7174" spans="2:13" hidden="1">
      <c r="B7174" s="1543"/>
      <c r="C7174" s="1332" t="s">
        <v>751</v>
      </c>
      <c r="D7174" s="1331" t="s">
        <v>681</v>
      </c>
      <c r="E7174" s="1331" t="s">
        <v>675</v>
      </c>
      <c r="F7174" s="1334">
        <v>9.4999999999999998E-3</v>
      </c>
      <c r="G7174" s="1104">
        <f>$G$7044</f>
        <v>240000</v>
      </c>
      <c r="H7174" s="1236">
        <f>G7174*F7174</f>
        <v>2280</v>
      </c>
      <c r="M7174" s="1566"/>
    </row>
    <row r="7175" spans="2:13" hidden="1">
      <c r="B7175" s="1543"/>
      <c r="C7175" s="1332" t="s">
        <v>683</v>
      </c>
      <c r="D7175" s="1331" t="s">
        <v>684</v>
      </c>
      <c r="E7175" s="1331" t="s">
        <v>675</v>
      </c>
      <c r="F7175" s="1334">
        <v>1.9E-2</v>
      </c>
      <c r="G7175" s="1104">
        <f>$G$7156</f>
        <v>225000</v>
      </c>
      <c r="H7175" s="1236">
        <f>G7175*F7175</f>
        <v>4275</v>
      </c>
      <c r="M7175" s="1566"/>
    </row>
    <row r="7176" spans="2:13" hidden="1">
      <c r="B7176" s="1543"/>
      <c r="C7176" s="1332"/>
      <c r="D7176" s="1331"/>
      <c r="E7176" s="1331"/>
      <c r="F7176" s="2074" t="s">
        <v>685</v>
      </c>
      <c r="G7176" s="2074"/>
      <c r="H7176" s="1236">
        <f>SUM(H7172:H7175)</f>
        <v>52670</v>
      </c>
      <c r="M7176" s="1566"/>
    </row>
    <row r="7177" spans="2:13" hidden="1">
      <c r="B7177" s="1543" t="s">
        <v>686</v>
      </c>
      <c r="C7177" s="1332" t="s">
        <v>687</v>
      </c>
      <c r="D7177" s="1331"/>
      <c r="E7177" s="1331"/>
      <c r="F7177" s="1334"/>
      <c r="G7177" s="1104"/>
      <c r="H7177" s="1236"/>
      <c r="M7177" s="1566"/>
    </row>
    <row r="7178" spans="2:13" hidden="1">
      <c r="B7178" s="1543"/>
      <c r="C7178" s="1332" t="s">
        <v>1497</v>
      </c>
      <c r="D7178" s="1331"/>
      <c r="E7178" s="1331" t="s">
        <v>853</v>
      </c>
      <c r="F7178" s="1334">
        <v>1</v>
      </c>
      <c r="G7178" s="1104">
        <f>DUB!$I$562</f>
        <v>420768</v>
      </c>
      <c r="H7178" s="1236">
        <f>G7178*F7178</f>
        <v>420768</v>
      </c>
      <c r="M7178" s="1566"/>
    </row>
    <row r="7179" spans="2:13" hidden="1">
      <c r="B7179" s="1543"/>
      <c r="C7179" s="1332" t="s">
        <v>3570</v>
      </c>
      <c r="D7179" s="1331"/>
      <c r="E7179" s="1331" t="s">
        <v>773</v>
      </c>
      <c r="F7179" s="1250">
        <v>2.5000000000000001E-2</v>
      </c>
      <c r="G7179" s="1251">
        <f>DUB!$I$575</f>
        <v>134172</v>
      </c>
      <c r="H7179" s="1236">
        <f>G7179*F7179</f>
        <v>3354.3</v>
      </c>
      <c r="M7179" s="1566"/>
    </row>
    <row r="7180" spans="2:13" hidden="1">
      <c r="B7180" s="1540"/>
      <c r="C7180" s="1332"/>
      <c r="D7180" s="1331"/>
      <c r="E7180" s="1331"/>
      <c r="F7180" s="2074" t="s">
        <v>702</v>
      </c>
      <c r="G7180" s="2074"/>
      <c r="H7180" s="1236">
        <f>SUM(H7178:H7179)</f>
        <v>424122.3</v>
      </c>
      <c r="M7180" s="1566"/>
    </row>
    <row r="7181" spans="2:13" hidden="1">
      <c r="B7181" s="1543" t="s">
        <v>703</v>
      </c>
      <c r="C7181" s="1332" t="s">
        <v>704</v>
      </c>
      <c r="D7181" s="1331"/>
      <c r="E7181" s="1331"/>
      <c r="F7181" s="1334"/>
      <c r="G7181" s="1104"/>
      <c r="H7181" s="1236"/>
      <c r="M7181" s="1566"/>
    </row>
    <row r="7182" spans="2:13" hidden="1">
      <c r="B7182" s="1543"/>
      <c r="C7182" s="1126" t="s">
        <v>3509</v>
      </c>
      <c r="D7182" s="1331"/>
      <c r="E7182" s="1187" t="s">
        <v>1011</v>
      </c>
      <c r="F7182" s="1179">
        <v>1</v>
      </c>
      <c r="G7182" s="1104">
        <v>15000</v>
      </c>
      <c r="H7182" s="1236">
        <f>G7182*F7182</f>
        <v>15000</v>
      </c>
      <c r="M7182" s="1566"/>
    </row>
    <row r="7183" spans="2:13" hidden="1">
      <c r="B7183" s="1543"/>
      <c r="C7183" s="1332"/>
      <c r="D7183" s="1331"/>
      <c r="E7183" s="1331"/>
      <c r="F7183" s="2074" t="s">
        <v>705</v>
      </c>
      <c r="G7183" s="2074"/>
      <c r="H7183" s="1236">
        <f>SUM(H7182)</f>
        <v>15000</v>
      </c>
      <c r="M7183" s="1566"/>
    </row>
    <row r="7184" spans="2:13" hidden="1">
      <c r="B7184" s="1543" t="s">
        <v>706</v>
      </c>
      <c r="C7184" s="2075" t="s">
        <v>707</v>
      </c>
      <c r="D7184" s="2075"/>
      <c r="E7184" s="2075"/>
      <c r="F7184" s="2075"/>
      <c r="G7184" s="2075"/>
      <c r="H7184" s="1239">
        <f>H7176+H7180+H7183</f>
        <v>491792.3</v>
      </c>
      <c r="M7184" s="1566"/>
    </row>
    <row r="7185" spans="2:13" hidden="1">
      <c r="B7185" s="1543" t="s">
        <v>708</v>
      </c>
      <c r="C7185" s="2075" t="s">
        <v>709</v>
      </c>
      <c r="D7185" s="2075"/>
      <c r="E7185" s="2075"/>
      <c r="F7185" s="2077" t="s">
        <v>710</v>
      </c>
      <c r="G7185" s="2077"/>
      <c r="H7185" s="1107">
        <f>H7184*0.15</f>
        <v>73768.845000000001</v>
      </c>
      <c r="M7185" s="1566"/>
    </row>
    <row r="7186" spans="2:13" hidden="1">
      <c r="B7186" s="1543" t="s">
        <v>711</v>
      </c>
      <c r="C7186" s="2078" t="s">
        <v>712</v>
      </c>
      <c r="D7186" s="2078"/>
      <c r="E7186" s="2078"/>
      <c r="F7186" s="2078"/>
      <c r="G7186" s="2078"/>
      <c r="H7186" s="1107">
        <f>ROUND(SUM(H7184:H7185),2)</f>
        <v>565561.15</v>
      </c>
      <c r="M7186" s="1566"/>
    </row>
    <row r="7187" spans="2:13" hidden="1">
      <c r="B7187" s="1111"/>
      <c r="C7187" s="1112"/>
      <c r="D7187" s="1111"/>
      <c r="E7187" s="1112"/>
      <c r="F7187" s="1113"/>
      <c r="G7187" s="1114"/>
      <c r="H7187" s="1176"/>
      <c r="M7187" s="1566"/>
    </row>
    <row r="7188" spans="2:13" hidden="1">
      <c r="B7188" s="1150" t="s">
        <v>4251</v>
      </c>
      <c r="C7188" s="1232" t="s">
        <v>3575</v>
      </c>
      <c r="F7188" s="1172"/>
      <c r="G7188" s="1173"/>
      <c r="H7188" s="1711"/>
      <c r="M7188" s="1566"/>
    </row>
    <row r="7189" spans="2:13" s="507" customFormat="1" ht="24.9" hidden="1" customHeight="1">
      <c r="B7189" s="1748" t="s">
        <v>1003</v>
      </c>
      <c r="C7189" s="1101" t="s">
        <v>1004</v>
      </c>
      <c r="D7189" s="1101" t="s">
        <v>1005</v>
      </c>
      <c r="E7189" s="1101" t="s">
        <v>1006</v>
      </c>
      <c r="F7189" s="1102" t="s">
        <v>1007</v>
      </c>
      <c r="G7189" s="1109" t="s">
        <v>2637</v>
      </c>
      <c r="H7189" s="1235" t="s">
        <v>2638</v>
      </c>
      <c r="J7189" s="1625"/>
      <c r="K7189" s="1625"/>
      <c r="L7189" s="1625"/>
      <c r="M7189" s="1570"/>
    </row>
    <row r="7190" spans="2:13" hidden="1">
      <c r="B7190" s="1543" t="s">
        <v>671</v>
      </c>
      <c r="C7190" s="1332" t="s">
        <v>672</v>
      </c>
      <c r="D7190" s="1331"/>
      <c r="E7190" s="1331"/>
      <c r="F7190" s="1334"/>
      <c r="G7190" s="1104"/>
      <c r="H7190" s="1236"/>
      <c r="M7190" s="1566"/>
    </row>
    <row r="7191" spans="2:13" hidden="1">
      <c r="B7191" s="1543"/>
      <c r="C7191" s="1332" t="s">
        <v>673</v>
      </c>
      <c r="D7191" s="1331" t="s">
        <v>674</v>
      </c>
      <c r="E7191" s="1331" t="s">
        <v>675</v>
      </c>
      <c r="F7191" s="1334">
        <v>0.25600000000000001</v>
      </c>
      <c r="G7191" s="1104">
        <f>$G$7172</f>
        <v>150000</v>
      </c>
      <c r="H7191" s="1236">
        <f>G7191*F7191</f>
        <v>38400</v>
      </c>
      <c r="M7191" s="1566"/>
    </row>
    <row r="7192" spans="2:13" hidden="1">
      <c r="B7192" s="1543"/>
      <c r="C7192" s="1332" t="s">
        <v>1480</v>
      </c>
      <c r="D7192" s="1331" t="s">
        <v>678</v>
      </c>
      <c r="E7192" s="1331" t="s">
        <v>675</v>
      </c>
      <c r="F7192" s="1334">
        <v>0.128</v>
      </c>
      <c r="G7192" s="1104">
        <f>$G$7173</f>
        <v>187000</v>
      </c>
      <c r="H7192" s="1236">
        <f>G7192*F7192</f>
        <v>23936</v>
      </c>
      <c r="M7192" s="1566"/>
    </row>
    <row r="7193" spans="2:13" hidden="1">
      <c r="B7193" s="1543"/>
      <c r="C7193" s="1332" t="s">
        <v>751</v>
      </c>
      <c r="D7193" s="1331" t="s">
        <v>681</v>
      </c>
      <c r="E7193" s="1331" t="s">
        <v>675</v>
      </c>
      <c r="F7193" s="1334">
        <v>1.2800000000000001E-2</v>
      </c>
      <c r="G7193" s="1104">
        <f>$G$7044</f>
        <v>240000</v>
      </c>
      <c r="H7193" s="1236">
        <f>G7193*F7193</f>
        <v>3072</v>
      </c>
      <c r="M7193" s="1566"/>
    </row>
    <row r="7194" spans="2:13" hidden="1">
      <c r="B7194" s="1543"/>
      <c r="C7194" s="1332" t="s">
        <v>683</v>
      </c>
      <c r="D7194" s="1331" t="s">
        <v>684</v>
      </c>
      <c r="E7194" s="1331" t="s">
        <v>675</v>
      </c>
      <c r="F7194" s="1334">
        <v>2.5999999999999999E-2</v>
      </c>
      <c r="G7194" s="1104">
        <f>$G$7175</f>
        <v>225000</v>
      </c>
      <c r="H7194" s="1236">
        <f>G7194*F7194</f>
        <v>5850</v>
      </c>
      <c r="M7194" s="1566"/>
    </row>
    <row r="7195" spans="2:13" hidden="1">
      <c r="B7195" s="1543"/>
      <c r="C7195" s="1332"/>
      <c r="D7195" s="1331"/>
      <c r="E7195" s="1331"/>
      <c r="F7195" s="2074" t="s">
        <v>685</v>
      </c>
      <c r="G7195" s="2074"/>
      <c r="H7195" s="1236">
        <f>SUM(H7191:H7194)</f>
        <v>71258</v>
      </c>
      <c r="M7195" s="1566"/>
    </row>
    <row r="7196" spans="2:13" hidden="1">
      <c r="B7196" s="1543" t="s">
        <v>686</v>
      </c>
      <c r="C7196" s="1332" t="s">
        <v>687</v>
      </c>
      <c r="D7196" s="1331"/>
      <c r="E7196" s="1726"/>
      <c r="F7196" s="1334"/>
      <c r="G7196" s="1104"/>
      <c r="H7196" s="1236"/>
      <c r="M7196" s="1566"/>
    </row>
    <row r="7197" spans="2:13" hidden="1">
      <c r="B7197" s="1543"/>
      <c r="C7197" s="1332" t="s">
        <v>1500</v>
      </c>
      <c r="D7197" s="1331"/>
      <c r="E7197" s="1331" t="s">
        <v>853</v>
      </c>
      <c r="F7197" s="1334">
        <v>1</v>
      </c>
      <c r="G7197" s="1104">
        <f>DUB!$I$561</f>
        <v>669456</v>
      </c>
      <c r="H7197" s="1236">
        <f>G7197*F7197</f>
        <v>669456</v>
      </c>
      <c r="M7197" s="1566"/>
    </row>
    <row r="7198" spans="2:13" hidden="1">
      <c r="B7198" s="1543"/>
      <c r="C7198" s="1332" t="s">
        <v>3570</v>
      </c>
      <c r="D7198" s="1331"/>
      <c r="E7198" s="1331" t="s">
        <v>773</v>
      </c>
      <c r="F7198" s="1250">
        <v>0.03</v>
      </c>
      <c r="G7198" s="1251">
        <f>DUB!$I$575</f>
        <v>134172</v>
      </c>
      <c r="H7198" s="1236">
        <f>G7198*F7198</f>
        <v>4025.16</v>
      </c>
      <c r="M7198" s="1566"/>
    </row>
    <row r="7199" spans="2:13" hidden="1">
      <c r="B7199" s="1543"/>
      <c r="C7199" s="1332"/>
      <c r="D7199" s="1331"/>
      <c r="E7199" s="1331"/>
      <c r="F7199" s="2074" t="s">
        <v>702</v>
      </c>
      <c r="G7199" s="2074"/>
      <c r="H7199" s="1236">
        <f>SUM(H7197:H7198)</f>
        <v>673481.16</v>
      </c>
      <c r="M7199" s="1566"/>
    </row>
    <row r="7200" spans="2:13" hidden="1">
      <c r="B7200" s="1543" t="s">
        <v>703</v>
      </c>
      <c r="C7200" s="1332" t="s">
        <v>704</v>
      </c>
      <c r="D7200" s="1331"/>
      <c r="E7200" s="1331"/>
      <c r="F7200" s="1334"/>
      <c r="G7200" s="1104"/>
      <c r="H7200" s="1236"/>
      <c r="M7200" s="1566"/>
    </row>
    <row r="7201" spans="2:13" hidden="1">
      <c r="B7201" s="1540"/>
      <c r="C7201" s="1126" t="s">
        <v>3509</v>
      </c>
      <c r="D7201" s="1331"/>
      <c r="E7201" s="1187" t="s">
        <v>1011</v>
      </c>
      <c r="F7201" s="1179">
        <v>1</v>
      </c>
      <c r="G7201" s="1104">
        <v>15000</v>
      </c>
      <c r="H7201" s="1236">
        <f>G7201*F7201</f>
        <v>15000</v>
      </c>
      <c r="M7201" s="1566"/>
    </row>
    <row r="7202" spans="2:13" hidden="1">
      <c r="B7202" s="1540"/>
      <c r="C7202" s="1332"/>
      <c r="D7202" s="1331"/>
      <c r="E7202" s="1331"/>
      <c r="F7202" s="2074" t="s">
        <v>705</v>
      </c>
      <c r="G7202" s="2074"/>
      <c r="H7202" s="1236">
        <f>SUM(H7201)</f>
        <v>15000</v>
      </c>
      <c r="M7202" s="1566"/>
    </row>
    <row r="7203" spans="2:13" hidden="1">
      <c r="B7203" s="1543" t="s">
        <v>706</v>
      </c>
      <c r="C7203" s="2075" t="s">
        <v>707</v>
      </c>
      <c r="D7203" s="2075"/>
      <c r="E7203" s="2075"/>
      <c r="F7203" s="2075"/>
      <c r="G7203" s="2075"/>
      <c r="H7203" s="1239">
        <f>H7195+H7199+H7202</f>
        <v>759739.16</v>
      </c>
      <c r="M7203" s="1566"/>
    </row>
    <row r="7204" spans="2:13" hidden="1">
      <c r="B7204" s="1543" t="s">
        <v>708</v>
      </c>
      <c r="C7204" s="2075" t="s">
        <v>709</v>
      </c>
      <c r="D7204" s="2075"/>
      <c r="E7204" s="2075"/>
      <c r="F7204" s="2077" t="s">
        <v>710</v>
      </c>
      <c r="G7204" s="2077"/>
      <c r="H7204" s="1107">
        <f>H7203*0.15</f>
        <v>113960.874</v>
      </c>
      <c r="M7204" s="1566"/>
    </row>
    <row r="7205" spans="2:13" hidden="1">
      <c r="B7205" s="1543" t="s">
        <v>711</v>
      </c>
      <c r="C7205" s="2078" t="s">
        <v>712</v>
      </c>
      <c r="D7205" s="2078"/>
      <c r="E7205" s="2078"/>
      <c r="F7205" s="2078"/>
      <c r="G7205" s="2078"/>
      <c r="H7205" s="1107">
        <f>ROUND(SUM(H7203:H7204),2)</f>
        <v>873700.03</v>
      </c>
      <c r="M7205" s="1566"/>
    </row>
    <row r="7206" spans="2:13" hidden="1">
      <c r="B7206" s="1143"/>
      <c r="C7206" s="1144"/>
      <c r="D7206" s="1143"/>
      <c r="E7206" s="1143"/>
      <c r="F7206" s="1145"/>
      <c r="G7206" s="1146"/>
      <c r="H7206" s="1252"/>
      <c r="M7206" s="1566"/>
    </row>
    <row r="7207" spans="2:13" hidden="1">
      <c r="B7207" s="1100" t="s">
        <v>4252</v>
      </c>
      <c r="C7207" s="1112" t="s">
        <v>3576</v>
      </c>
      <c r="D7207" s="1129"/>
      <c r="E7207" s="1129"/>
      <c r="F7207" s="1131"/>
      <c r="G7207" s="1132"/>
      <c r="H7207" s="1249"/>
      <c r="M7207" s="1566"/>
    </row>
    <row r="7208" spans="2:13" s="507" customFormat="1" ht="24.9" hidden="1" customHeight="1">
      <c r="B7208" s="1748" t="s">
        <v>1003</v>
      </c>
      <c r="C7208" s="1101" t="s">
        <v>1004</v>
      </c>
      <c r="D7208" s="1101" t="s">
        <v>1005</v>
      </c>
      <c r="E7208" s="1101" t="s">
        <v>1006</v>
      </c>
      <c r="F7208" s="1102" t="s">
        <v>1007</v>
      </c>
      <c r="G7208" s="1109" t="s">
        <v>2637</v>
      </c>
      <c r="H7208" s="1235" t="s">
        <v>2638</v>
      </c>
      <c r="J7208" s="1625"/>
      <c r="K7208" s="1625"/>
      <c r="L7208" s="1625"/>
      <c r="M7208" s="1570"/>
    </row>
    <row r="7209" spans="2:13" hidden="1">
      <c r="B7209" s="1543" t="s">
        <v>671</v>
      </c>
      <c r="C7209" s="1332" t="s">
        <v>672</v>
      </c>
      <c r="D7209" s="1331"/>
      <c r="E7209" s="1331"/>
      <c r="F7209" s="1334"/>
      <c r="G7209" s="1104"/>
      <c r="H7209" s="1236"/>
      <c r="M7209" s="1566"/>
    </row>
    <row r="7210" spans="2:13" hidden="1">
      <c r="B7210" s="1543"/>
      <c r="C7210" s="1332" t="s">
        <v>673</v>
      </c>
      <c r="D7210" s="1331" t="s">
        <v>674</v>
      </c>
      <c r="E7210" s="1331" t="s">
        <v>675</v>
      </c>
      <c r="F7210" s="1334">
        <v>0.29399999999999998</v>
      </c>
      <c r="G7210" s="1104">
        <f>$G$7191</f>
        <v>150000</v>
      </c>
      <c r="H7210" s="1236">
        <f>G7210*F7210</f>
        <v>44100</v>
      </c>
      <c r="M7210" s="1566"/>
    </row>
    <row r="7211" spans="2:13" hidden="1">
      <c r="B7211" s="1543"/>
      <c r="C7211" s="1332" t="s">
        <v>1480</v>
      </c>
      <c r="D7211" s="1331" t="s">
        <v>678</v>
      </c>
      <c r="E7211" s="1331" t="s">
        <v>675</v>
      </c>
      <c r="F7211" s="1334">
        <v>0.14699999999999999</v>
      </c>
      <c r="G7211" s="1104">
        <f>$G$7192</f>
        <v>187000</v>
      </c>
      <c r="H7211" s="1236">
        <f>G7211*F7211</f>
        <v>27489</v>
      </c>
      <c r="M7211" s="1566"/>
    </row>
    <row r="7212" spans="2:13" hidden="1">
      <c r="B7212" s="1543"/>
      <c r="C7212" s="1332" t="s">
        <v>751</v>
      </c>
      <c r="D7212" s="1331" t="s">
        <v>681</v>
      </c>
      <c r="E7212" s="1331" t="s">
        <v>675</v>
      </c>
      <c r="F7212" s="1334">
        <v>1.47E-2</v>
      </c>
      <c r="G7212" s="1104">
        <f>$G$7044</f>
        <v>240000</v>
      </c>
      <c r="H7212" s="1236">
        <f>G7212*F7212</f>
        <v>3528</v>
      </c>
      <c r="M7212" s="1566"/>
    </row>
    <row r="7213" spans="2:13" hidden="1">
      <c r="B7213" s="1543"/>
      <c r="C7213" s="1332" t="s">
        <v>683</v>
      </c>
      <c r="D7213" s="1331" t="s">
        <v>684</v>
      </c>
      <c r="E7213" s="1331" t="s">
        <v>675</v>
      </c>
      <c r="F7213" s="1334">
        <v>2.9000000000000001E-2</v>
      </c>
      <c r="G7213" s="1104">
        <f>$G$7194</f>
        <v>225000</v>
      </c>
      <c r="H7213" s="1236">
        <f>G7213*F7213</f>
        <v>6525</v>
      </c>
      <c r="M7213" s="1566"/>
    </row>
    <row r="7214" spans="2:13" hidden="1">
      <c r="B7214" s="1543"/>
      <c r="C7214" s="1332"/>
      <c r="D7214" s="1331"/>
      <c r="E7214" s="1331"/>
      <c r="F7214" s="2074" t="s">
        <v>685</v>
      </c>
      <c r="G7214" s="2074"/>
      <c r="H7214" s="1236">
        <f>SUM(H7210:H7213)</f>
        <v>81642</v>
      </c>
      <c r="M7214" s="1566"/>
    </row>
    <row r="7215" spans="2:13" hidden="1">
      <c r="B7215" s="1543" t="s">
        <v>686</v>
      </c>
      <c r="C7215" s="1332" t="s">
        <v>687</v>
      </c>
      <c r="D7215" s="1331"/>
      <c r="E7215" s="1331"/>
      <c r="F7215" s="1334"/>
      <c r="G7215" s="1104"/>
      <c r="H7215" s="1236"/>
      <c r="M7215" s="1566"/>
    </row>
    <row r="7216" spans="2:13" hidden="1">
      <c r="B7216" s="1540"/>
      <c r="C7216" s="1332" t="s">
        <v>1503</v>
      </c>
      <c r="D7216" s="1331"/>
      <c r="E7216" s="1331" t="s">
        <v>853</v>
      </c>
      <c r="F7216" s="1334">
        <v>1</v>
      </c>
      <c r="G7216" s="1104">
        <f>DUB!$I$560</f>
        <v>1073007</v>
      </c>
      <c r="H7216" s="1236">
        <f>G7216*F7216</f>
        <v>1073007</v>
      </c>
      <c r="M7216" s="1566"/>
    </row>
    <row r="7217" spans="2:13" hidden="1">
      <c r="B7217" s="1540"/>
      <c r="C7217" s="1332" t="s">
        <v>3570</v>
      </c>
      <c r="D7217" s="1331"/>
      <c r="E7217" s="1331" t="s">
        <v>773</v>
      </c>
      <c r="F7217" s="1250">
        <v>3.5000000000000003E-2</v>
      </c>
      <c r="G7217" s="1251">
        <f>DUB!$I$575</f>
        <v>134172</v>
      </c>
      <c r="H7217" s="1236">
        <f>G7217*F7217</f>
        <v>4696.0200000000004</v>
      </c>
      <c r="M7217" s="1566"/>
    </row>
    <row r="7218" spans="2:13" hidden="1">
      <c r="B7218" s="1540"/>
      <c r="C7218" s="1332"/>
      <c r="D7218" s="1331"/>
      <c r="E7218" s="1331"/>
      <c r="F7218" s="2074" t="s">
        <v>702</v>
      </c>
      <c r="G7218" s="2074"/>
      <c r="H7218" s="1236">
        <f>SUM(H7216:H7217)</f>
        <v>1077703.02</v>
      </c>
      <c r="M7218" s="1566"/>
    </row>
    <row r="7219" spans="2:13" hidden="1">
      <c r="B7219" s="1543" t="s">
        <v>703</v>
      </c>
      <c r="C7219" s="1332" t="s">
        <v>704</v>
      </c>
      <c r="D7219" s="1331"/>
      <c r="E7219" s="1331"/>
      <c r="F7219" s="1334"/>
      <c r="G7219" s="1104"/>
      <c r="H7219" s="1236"/>
      <c r="M7219" s="1566"/>
    </row>
    <row r="7220" spans="2:13" hidden="1">
      <c r="B7220" s="1543"/>
      <c r="C7220" s="1126" t="s">
        <v>3509</v>
      </c>
      <c r="D7220" s="1331"/>
      <c r="E7220" s="1187" t="s">
        <v>1011</v>
      </c>
      <c r="F7220" s="1179">
        <v>1</v>
      </c>
      <c r="G7220" s="1104">
        <v>15000</v>
      </c>
      <c r="H7220" s="1236">
        <f>G7220*F7220</f>
        <v>15000</v>
      </c>
      <c r="M7220" s="1566"/>
    </row>
    <row r="7221" spans="2:13" hidden="1">
      <c r="B7221" s="1543"/>
      <c r="C7221" s="1332"/>
      <c r="D7221" s="1331"/>
      <c r="E7221" s="1331"/>
      <c r="F7221" s="2074" t="s">
        <v>705</v>
      </c>
      <c r="G7221" s="2074"/>
      <c r="H7221" s="1236">
        <f>SUM(H7220)</f>
        <v>15000</v>
      </c>
      <c r="M7221" s="1566"/>
    </row>
    <row r="7222" spans="2:13" hidden="1">
      <c r="B7222" s="1543" t="s">
        <v>706</v>
      </c>
      <c r="C7222" s="2075" t="s">
        <v>707</v>
      </c>
      <c r="D7222" s="2075"/>
      <c r="E7222" s="2075"/>
      <c r="F7222" s="2075"/>
      <c r="G7222" s="2075"/>
      <c r="H7222" s="1239">
        <f>H7214+H7218+H7221</f>
        <v>1174345.02</v>
      </c>
      <c r="M7222" s="1566"/>
    </row>
    <row r="7223" spans="2:13" hidden="1">
      <c r="B7223" s="1543" t="s">
        <v>708</v>
      </c>
      <c r="C7223" s="2075" t="s">
        <v>709</v>
      </c>
      <c r="D7223" s="2075"/>
      <c r="E7223" s="2075"/>
      <c r="F7223" s="2077" t="s">
        <v>710</v>
      </c>
      <c r="G7223" s="2077"/>
      <c r="H7223" s="1107">
        <f>H7222*0.15</f>
        <v>176151.753</v>
      </c>
      <c r="M7223" s="1566"/>
    </row>
    <row r="7224" spans="2:13" hidden="1">
      <c r="B7224" s="1543" t="s">
        <v>711</v>
      </c>
      <c r="C7224" s="2078" t="s">
        <v>712</v>
      </c>
      <c r="D7224" s="2078"/>
      <c r="E7224" s="2078"/>
      <c r="F7224" s="2078"/>
      <c r="G7224" s="2078"/>
      <c r="H7224" s="1107">
        <f>ROUND(SUM(H7222:H7223),2)</f>
        <v>1350496.77</v>
      </c>
      <c r="M7224" s="1566"/>
    </row>
    <row r="7225" spans="2:13" hidden="1">
      <c r="B7225" s="1143"/>
      <c r="C7225" s="1144"/>
      <c r="D7225" s="1143"/>
      <c r="E7225" s="1143"/>
      <c r="F7225" s="1145"/>
      <c r="G7225" s="1146"/>
      <c r="H7225" s="1252"/>
      <c r="M7225" s="1566"/>
    </row>
    <row r="7226" spans="2:13" hidden="1">
      <c r="B7226" s="1100" t="s">
        <v>3577</v>
      </c>
      <c r="C7226" s="1112" t="s">
        <v>3578</v>
      </c>
      <c r="D7226" s="1129"/>
      <c r="E7226" s="1129"/>
      <c r="F7226" s="1131"/>
      <c r="G7226" s="1132"/>
      <c r="H7226" s="1249"/>
      <c r="M7226" s="1566"/>
    </row>
    <row r="7227" spans="2:13" s="507" customFormat="1" ht="24.9" hidden="1" customHeight="1">
      <c r="B7227" s="1748" t="s">
        <v>1003</v>
      </c>
      <c r="C7227" s="1101" t="s">
        <v>1004</v>
      </c>
      <c r="D7227" s="1101" t="s">
        <v>1005</v>
      </c>
      <c r="E7227" s="1101" t="s">
        <v>1006</v>
      </c>
      <c r="F7227" s="1102" t="s">
        <v>1007</v>
      </c>
      <c r="G7227" s="1109" t="s">
        <v>2637</v>
      </c>
      <c r="H7227" s="1235" t="s">
        <v>2638</v>
      </c>
      <c r="J7227" s="1625"/>
      <c r="K7227" s="1625"/>
      <c r="L7227" s="1625"/>
      <c r="M7227" s="1570"/>
    </row>
    <row r="7228" spans="2:13" hidden="1">
      <c r="B7228" s="1543" t="s">
        <v>671</v>
      </c>
      <c r="C7228" s="1332" t="s">
        <v>672</v>
      </c>
      <c r="D7228" s="1331"/>
      <c r="E7228" s="1331"/>
      <c r="F7228" s="1334"/>
      <c r="G7228" s="1104"/>
      <c r="H7228" s="1236"/>
      <c r="M7228" s="1566"/>
    </row>
    <row r="7229" spans="2:13" hidden="1">
      <c r="B7229" s="1543"/>
      <c r="C7229" s="1332" t="s">
        <v>673</v>
      </c>
      <c r="D7229" s="1331" t="s">
        <v>674</v>
      </c>
      <c r="E7229" s="1331" t="s">
        <v>675</v>
      </c>
      <c r="F7229" s="1334">
        <v>0.105</v>
      </c>
      <c r="G7229" s="1104">
        <f>$G$7210</f>
        <v>150000</v>
      </c>
      <c r="H7229" s="1236">
        <f>G7229*F7229</f>
        <v>15750</v>
      </c>
      <c r="M7229" s="1566"/>
    </row>
    <row r="7230" spans="2:13" hidden="1">
      <c r="B7230" s="1543"/>
      <c r="C7230" s="1332" t="s">
        <v>1480</v>
      </c>
      <c r="D7230" s="1331" t="s">
        <v>678</v>
      </c>
      <c r="E7230" s="1331" t="s">
        <v>675</v>
      </c>
      <c r="F7230" s="1334">
        <v>5.2999999999999999E-2</v>
      </c>
      <c r="G7230" s="1104">
        <f>$G$7211</f>
        <v>187000</v>
      </c>
      <c r="H7230" s="1236">
        <f>G7230*F7230</f>
        <v>9911</v>
      </c>
      <c r="M7230" s="1566"/>
    </row>
    <row r="7231" spans="2:13" hidden="1">
      <c r="B7231" s="1543"/>
      <c r="C7231" s="1332" t="s">
        <v>751</v>
      </c>
      <c r="D7231" s="1331" t="s">
        <v>681</v>
      </c>
      <c r="E7231" s="1331" t="s">
        <v>675</v>
      </c>
      <c r="F7231" s="1334">
        <v>5.3E-3</v>
      </c>
      <c r="G7231" s="1104">
        <f>$G$7044</f>
        <v>240000</v>
      </c>
      <c r="H7231" s="1236">
        <f>G7231*F7231</f>
        <v>1272</v>
      </c>
      <c r="M7231" s="1566"/>
    </row>
    <row r="7232" spans="2:13" hidden="1">
      <c r="B7232" s="1543"/>
      <c r="C7232" s="1332" t="s">
        <v>683</v>
      </c>
      <c r="D7232" s="1331" t="s">
        <v>684</v>
      </c>
      <c r="E7232" s="1331" t="s">
        <v>675</v>
      </c>
      <c r="F7232" s="1334">
        <v>1.0999999999999999E-2</v>
      </c>
      <c r="G7232" s="1104">
        <f>$G$7213</f>
        <v>225000</v>
      </c>
      <c r="H7232" s="1236">
        <f>G7232*F7232</f>
        <v>2475</v>
      </c>
      <c r="M7232" s="1566"/>
    </row>
    <row r="7233" spans="2:13" hidden="1">
      <c r="B7233" s="1543"/>
      <c r="C7233" s="1332"/>
      <c r="D7233" s="1331"/>
      <c r="E7233" s="1331"/>
      <c r="F7233" s="2115" t="s">
        <v>685</v>
      </c>
      <c r="G7233" s="2116"/>
      <c r="H7233" s="1236">
        <f>SUM(H7229:H7232)</f>
        <v>29408</v>
      </c>
      <c r="M7233" s="1566"/>
    </row>
    <row r="7234" spans="2:13" hidden="1">
      <c r="B7234" s="1543" t="s">
        <v>686</v>
      </c>
      <c r="C7234" s="1332" t="s">
        <v>687</v>
      </c>
      <c r="D7234" s="1331"/>
      <c r="E7234" s="1331"/>
      <c r="F7234" s="1334"/>
      <c r="G7234" s="1104"/>
      <c r="H7234" s="1236"/>
      <c r="M7234" s="1566"/>
    </row>
    <row r="7235" spans="2:13" hidden="1">
      <c r="B7235" s="1543"/>
      <c r="C7235" s="1332" t="s">
        <v>3828</v>
      </c>
      <c r="D7235" s="1331"/>
      <c r="E7235" s="1331" t="s">
        <v>853</v>
      </c>
      <c r="F7235" s="1334">
        <v>1</v>
      </c>
      <c r="G7235" s="1104">
        <f>DUB!$I$571</f>
        <v>112068</v>
      </c>
      <c r="H7235" s="1236">
        <f>G7235*F7235</f>
        <v>112068</v>
      </c>
      <c r="M7235" s="1566"/>
    </row>
    <row r="7236" spans="2:13" hidden="1">
      <c r="B7236" s="1543"/>
      <c r="C7236" s="1332" t="s">
        <v>3570</v>
      </c>
      <c r="D7236" s="1331"/>
      <c r="E7236" s="1331" t="s">
        <v>773</v>
      </c>
      <c r="F7236" s="1250">
        <v>1.7500000000000002E-2</v>
      </c>
      <c r="G7236" s="1251">
        <f>DUB!$I$575</f>
        <v>134172</v>
      </c>
      <c r="H7236" s="1236">
        <f>G7236*F7236</f>
        <v>2348.0100000000002</v>
      </c>
      <c r="M7236" s="1566"/>
    </row>
    <row r="7237" spans="2:13" hidden="1">
      <c r="B7237" s="1543"/>
      <c r="C7237" s="1332"/>
      <c r="D7237" s="1331"/>
      <c r="E7237" s="1331"/>
      <c r="F7237" s="2074" t="s">
        <v>702</v>
      </c>
      <c r="G7237" s="2074"/>
      <c r="H7237" s="1236">
        <f>SUM(H7235:H7236)</f>
        <v>114416.01</v>
      </c>
      <c r="M7237" s="1566"/>
    </row>
    <row r="7238" spans="2:13" hidden="1">
      <c r="B7238" s="1543" t="s">
        <v>703</v>
      </c>
      <c r="C7238" s="1332" t="s">
        <v>704</v>
      </c>
      <c r="D7238" s="1331"/>
      <c r="E7238" s="1331"/>
      <c r="F7238" s="1334"/>
      <c r="G7238" s="1104"/>
      <c r="H7238" s="1236"/>
      <c r="M7238" s="1566"/>
    </row>
    <row r="7239" spans="2:13" hidden="1">
      <c r="B7239" s="1543"/>
      <c r="C7239" s="1126" t="s">
        <v>3509</v>
      </c>
      <c r="D7239" s="1331"/>
      <c r="E7239" s="1187" t="s">
        <v>1011</v>
      </c>
      <c r="F7239" s="1179">
        <v>1</v>
      </c>
      <c r="G7239" s="1104">
        <v>10000</v>
      </c>
      <c r="H7239" s="1236">
        <f>G7239*F7239</f>
        <v>10000</v>
      </c>
      <c r="M7239" s="1566"/>
    </row>
    <row r="7240" spans="2:13" hidden="1">
      <c r="B7240" s="1543"/>
      <c r="C7240" s="1332"/>
      <c r="D7240" s="1331"/>
      <c r="E7240" s="1331"/>
      <c r="F7240" s="2074" t="s">
        <v>705</v>
      </c>
      <c r="G7240" s="2074"/>
      <c r="H7240" s="1236">
        <f>SUM(H7239)</f>
        <v>10000</v>
      </c>
      <c r="M7240" s="1566"/>
    </row>
    <row r="7241" spans="2:13" hidden="1">
      <c r="B7241" s="1543" t="s">
        <v>706</v>
      </c>
      <c r="C7241" s="2075" t="s">
        <v>707</v>
      </c>
      <c r="D7241" s="2075"/>
      <c r="E7241" s="2075"/>
      <c r="F7241" s="2075"/>
      <c r="G7241" s="2075"/>
      <c r="H7241" s="1239">
        <f>H7233+H7237+H7240</f>
        <v>153824.01</v>
      </c>
      <c r="M7241" s="1566"/>
    </row>
    <row r="7242" spans="2:13" hidden="1">
      <c r="B7242" s="1543" t="s">
        <v>708</v>
      </c>
      <c r="C7242" s="2075" t="s">
        <v>709</v>
      </c>
      <c r="D7242" s="2075"/>
      <c r="E7242" s="2075"/>
      <c r="F7242" s="2077" t="s">
        <v>710</v>
      </c>
      <c r="G7242" s="2077"/>
      <c r="H7242" s="1107">
        <f>H7241*0.15</f>
        <v>23073.601500000001</v>
      </c>
      <c r="M7242" s="1566"/>
    </row>
    <row r="7243" spans="2:13" hidden="1">
      <c r="B7243" s="1543" t="s">
        <v>711</v>
      </c>
      <c r="C7243" s="2078" t="s">
        <v>712</v>
      </c>
      <c r="D7243" s="2078"/>
      <c r="E7243" s="2078"/>
      <c r="F7243" s="2078"/>
      <c r="G7243" s="2078"/>
      <c r="H7243" s="1107">
        <f>ROUND(SUM(H7241:H7242),2)</f>
        <v>176897.61</v>
      </c>
      <c r="M7243" s="1566"/>
    </row>
    <row r="7244" spans="2:13" hidden="1">
      <c r="F7244" s="1172"/>
      <c r="G7244" s="1173"/>
      <c r="H7244" s="1711"/>
      <c r="M7244" s="1566"/>
    </row>
    <row r="7245" spans="2:13">
      <c r="B7245" s="1100" t="s">
        <v>3579</v>
      </c>
      <c r="C7245" s="1232" t="s">
        <v>3580</v>
      </c>
      <c r="F7245" s="1172"/>
      <c r="G7245" s="1173"/>
      <c r="H7245" s="1711"/>
      <c r="M7245" s="1566"/>
    </row>
    <row r="7246" spans="2:13" s="507" customFormat="1" ht="24.9" customHeight="1">
      <c r="B7246" s="1101" t="s">
        <v>1003</v>
      </c>
      <c r="C7246" s="1101" t="s">
        <v>1004</v>
      </c>
      <c r="D7246" s="1101" t="s">
        <v>1005</v>
      </c>
      <c r="E7246" s="1101" t="s">
        <v>1006</v>
      </c>
      <c r="F7246" s="1102" t="s">
        <v>1007</v>
      </c>
      <c r="G7246" s="1109" t="s">
        <v>2637</v>
      </c>
      <c r="H7246" s="1235" t="s">
        <v>2638</v>
      </c>
      <c r="I7246" s="1834"/>
      <c r="J7246" s="1823" t="s">
        <v>5335</v>
      </c>
      <c r="K7246" s="1824" t="s">
        <v>5336</v>
      </c>
      <c r="L7246" s="1824" t="s">
        <v>5337</v>
      </c>
      <c r="M7246" s="1825" t="s">
        <v>5338</v>
      </c>
    </row>
    <row r="7247" spans="2:13">
      <c r="B7247" s="1330" t="s">
        <v>671</v>
      </c>
      <c r="C7247" s="1332" t="s">
        <v>672</v>
      </c>
      <c r="D7247" s="1331"/>
      <c r="E7247" s="1331"/>
      <c r="F7247" s="1334"/>
      <c r="G7247" s="1104"/>
      <c r="H7247" s="1236"/>
      <c r="J7247" s="1597"/>
      <c r="K7247" s="1597"/>
      <c r="L7247" s="1597"/>
      <c r="M7247" s="1826"/>
    </row>
    <row r="7248" spans="2:13">
      <c r="B7248" s="1330"/>
      <c r="C7248" s="1332" t="s">
        <v>673</v>
      </c>
      <c r="D7248" s="1331" t="s">
        <v>674</v>
      </c>
      <c r="E7248" s="1331" t="s">
        <v>675</v>
      </c>
      <c r="F7248" s="1334">
        <v>0.11799999999999999</v>
      </c>
      <c r="G7248" s="1104">
        <f>$G$7229</f>
        <v>150000</v>
      </c>
      <c r="H7248" s="1236">
        <f>G7248*F7248</f>
        <v>17700</v>
      </c>
      <c r="J7248" s="1609" t="s">
        <v>5339</v>
      </c>
      <c r="K7248" s="1611">
        <v>1</v>
      </c>
      <c r="L7248" s="1608" t="s">
        <v>5340</v>
      </c>
      <c r="M7248" s="1827">
        <f>H7248*K7248</f>
        <v>17700</v>
      </c>
    </row>
    <row r="7249" spans="2:13">
      <c r="B7249" s="1330"/>
      <c r="C7249" s="1332" t="s">
        <v>1480</v>
      </c>
      <c r="D7249" s="1331" t="s">
        <v>678</v>
      </c>
      <c r="E7249" s="1331" t="s">
        <v>675</v>
      </c>
      <c r="F7249" s="1334">
        <v>5.8999999999999997E-2</v>
      </c>
      <c r="G7249" s="1104">
        <f>$G$7230</f>
        <v>187000</v>
      </c>
      <c r="H7249" s="1236">
        <f>G7249*F7249</f>
        <v>11033</v>
      </c>
      <c r="J7249" s="1609" t="s">
        <v>5339</v>
      </c>
      <c r="K7249" s="1611">
        <v>1</v>
      </c>
      <c r="L7249" s="1608" t="s">
        <v>5340</v>
      </c>
      <c r="M7249" s="1827">
        <f t="shared" ref="M7249" si="193">H7249*K7249</f>
        <v>11033</v>
      </c>
    </row>
    <row r="7250" spans="2:13">
      <c r="B7250" s="1330"/>
      <c r="C7250" s="1332" t="s">
        <v>751</v>
      </c>
      <c r="D7250" s="1331" t="s">
        <v>681</v>
      </c>
      <c r="E7250" s="1331" t="s">
        <v>675</v>
      </c>
      <c r="F7250" s="1334">
        <v>5.8999999999999999E-3</v>
      </c>
      <c r="G7250" s="1104">
        <f>$G$7044</f>
        <v>240000</v>
      </c>
      <c r="H7250" s="1236">
        <f>G7250*F7250</f>
        <v>1416</v>
      </c>
      <c r="J7250" s="1609" t="s">
        <v>5339</v>
      </c>
      <c r="K7250" s="1611">
        <v>1</v>
      </c>
      <c r="L7250" s="1608" t="s">
        <v>5340</v>
      </c>
      <c r="M7250" s="1827">
        <f>H7250*K7250</f>
        <v>1416</v>
      </c>
    </row>
    <row r="7251" spans="2:13">
      <c r="B7251" s="1330"/>
      <c r="C7251" s="1332" t="s">
        <v>683</v>
      </c>
      <c r="D7251" s="1331" t="s">
        <v>684</v>
      </c>
      <c r="E7251" s="1331" t="s">
        <v>675</v>
      </c>
      <c r="F7251" s="1334">
        <v>1.2E-2</v>
      </c>
      <c r="G7251" s="1104">
        <f>$G$7232</f>
        <v>225000</v>
      </c>
      <c r="H7251" s="1236">
        <f>G7251*F7251</f>
        <v>2700</v>
      </c>
      <c r="J7251" s="1609" t="s">
        <v>5339</v>
      </c>
      <c r="K7251" s="1611">
        <v>1</v>
      </c>
      <c r="L7251" s="1608" t="s">
        <v>5340</v>
      </c>
      <c r="M7251" s="1827">
        <f t="shared" ref="M7251" si="194">H7251*K7251</f>
        <v>2700</v>
      </c>
    </row>
    <row r="7252" spans="2:13">
      <c r="B7252" s="1330"/>
      <c r="C7252" s="1332"/>
      <c r="D7252" s="1331"/>
      <c r="E7252" s="1331"/>
      <c r="F7252" s="2074" t="s">
        <v>685</v>
      </c>
      <c r="G7252" s="2074"/>
      <c r="H7252" s="1236">
        <f>SUM(H7248:H7251)</f>
        <v>32849</v>
      </c>
      <c r="J7252" s="1597"/>
      <c r="K7252" s="1597"/>
      <c r="L7252" s="1597"/>
      <c r="M7252" s="1107">
        <f>SUM(M7248:M7251)</f>
        <v>32849</v>
      </c>
    </row>
    <row r="7253" spans="2:13">
      <c r="B7253" s="1330" t="s">
        <v>686</v>
      </c>
      <c r="C7253" s="1332" t="s">
        <v>687</v>
      </c>
      <c r="D7253" s="1331"/>
      <c r="E7253" s="1331"/>
      <c r="F7253" s="1334"/>
      <c r="G7253" s="1104"/>
      <c r="H7253" s="1236"/>
      <c r="J7253" s="1597"/>
      <c r="K7253" s="1597"/>
      <c r="L7253" s="1597"/>
      <c r="M7253" s="1826"/>
    </row>
    <row r="7254" spans="2:13">
      <c r="B7254" s="1330"/>
      <c r="C7254" s="1332" t="s">
        <v>3829</v>
      </c>
      <c r="D7254" s="1331"/>
      <c r="E7254" s="1331" t="s">
        <v>853</v>
      </c>
      <c r="F7254" s="1334">
        <v>1</v>
      </c>
      <c r="G7254" s="1104">
        <f>DUB!$I$570</f>
        <v>205497</v>
      </c>
      <c r="H7254" s="1236">
        <f>G7254*F7254</f>
        <v>205497</v>
      </c>
      <c r="J7254" s="1634" t="s">
        <v>4925</v>
      </c>
      <c r="K7254" s="1611">
        <v>0.89800000000000002</v>
      </c>
      <c r="L7254" s="1607" t="s">
        <v>5343</v>
      </c>
      <c r="M7254" s="1827">
        <f>H7254*K7254</f>
        <v>184536.30600000001</v>
      </c>
    </row>
    <row r="7255" spans="2:13">
      <c r="B7255" s="1330"/>
      <c r="C7255" s="1332" t="s">
        <v>3570</v>
      </c>
      <c r="D7255" s="1331"/>
      <c r="E7255" s="1331" t="s">
        <v>773</v>
      </c>
      <c r="F7255" s="1250">
        <v>0.02</v>
      </c>
      <c r="G7255" s="1251">
        <f>DUB!$I$575</f>
        <v>134172</v>
      </c>
      <c r="H7255" s="1236">
        <f>G7255*F7255</f>
        <v>2683.44</v>
      </c>
      <c r="J7255" s="1634" t="s">
        <v>4925</v>
      </c>
      <c r="K7255" s="1611">
        <v>1</v>
      </c>
      <c r="L7255" s="1634" t="s">
        <v>4925</v>
      </c>
      <c r="M7255" s="1827">
        <f t="shared" ref="M7255" si="195">H7255*K7255</f>
        <v>2683.44</v>
      </c>
    </row>
    <row r="7256" spans="2:13">
      <c r="B7256" s="1330"/>
      <c r="C7256" s="1332"/>
      <c r="D7256" s="1331"/>
      <c r="E7256" s="1331"/>
      <c r="F7256" s="2074" t="s">
        <v>702</v>
      </c>
      <c r="G7256" s="2074"/>
      <c r="H7256" s="1236">
        <f>SUM(H7254:H7255)</f>
        <v>208180.44</v>
      </c>
      <c r="J7256" s="1642"/>
      <c r="K7256" s="1611"/>
      <c r="L7256" s="1607"/>
      <c r="M7256" s="1106">
        <f>SUM(M7254:M7255)</f>
        <v>187219.74600000001</v>
      </c>
    </row>
    <row r="7257" spans="2:13">
      <c r="B7257" s="1330" t="s">
        <v>703</v>
      </c>
      <c r="C7257" s="1332" t="s">
        <v>704</v>
      </c>
      <c r="D7257" s="1331"/>
      <c r="E7257" s="1331"/>
      <c r="F7257" s="1334"/>
      <c r="G7257" s="1104"/>
      <c r="H7257" s="1236"/>
      <c r="J7257" s="1597"/>
      <c r="K7257" s="1633"/>
      <c r="L7257" s="1597"/>
      <c r="M7257" s="1107"/>
    </row>
    <row r="7258" spans="2:13">
      <c r="B7258" s="1330"/>
      <c r="C7258" s="1126" t="s">
        <v>3509</v>
      </c>
      <c r="D7258" s="1331"/>
      <c r="E7258" s="1187" t="s">
        <v>1011</v>
      </c>
      <c r="F7258" s="1179">
        <v>1</v>
      </c>
      <c r="G7258" s="1104">
        <v>12000</v>
      </c>
      <c r="H7258" s="1236">
        <f>G7258*F7258</f>
        <v>12000</v>
      </c>
      <c r="J7258" s="1600"/>
      <c r="K7258" s="1633"/>
      <c r="L7258" s="1600"/>
      <c r="M7258" s="1107">
        <f>M7257*0.15</f>
        <v>0</v>
      </c>
    </row>
    <row r="7259" spans="2:13">
      <c r="B7259" s="1330"/>
      <c r="C7259" s="1332"/>
      <c r="D7259" s="1331"/>
      <c r="E7259" s="1331"/>
      <c r="F7259" s="2074" t="s">
        <v>705</v>
      </c>
      <c r="G7259" s="2074"/>
      <c r="H7259" s="1236">
        <f>SUM(H7258)</f>
        <v>12000</v>
      </c>
      <c r="J7259" s="1600"/>
      <c r="K7259" s="1600"/>
      <c r="L7259" s="1600"/>
      <c r="M7259" s="1107">
        <f>ROUND(SUM(M7257:M7258),2)</f>
        <v>0</v>
      </c>
    </row>
    <row r="7260" spans="2:13">
      <c r="B7260" s="1330" t="s">
        <v>706</v>
      </c>
      <c r="C7260" s="2075" t="s">
        <v>707</v>
      </c>
      <c r="D7260" s="2075"/>
      <c r="E7260" s="2075"/>
      <c r="F7260" s="2075"/>
      <c r="G7260" s="2075"/>
      <c r="H7260" s="1239">
        <f>H7252+H7256+H7259</f>
        <v>253029.44</v>
      </c>
      <c r="J7260" s="1647"/>
      <c r="K7260" s="1633">
        <f>M7260/H7260</f>
        <v>0.86973573509865099</v>
      </c>
      <c r="L7260" s="1647"/>
      <c r="M7260" s="1239">
        <f>M7252+M7256+M7259</f>
        <v>220068.74600000001</v>
      </c>
    </row>
    <row r="7261" spans="2:13">
      <c r="B7261" s="1330" t="s">
        <v>708</v>
      </c>
      <c r="C7261" s="2075" t="s">
        <v>709</v>
      </c>
      <c r="D7261" s="2075"/>
      <c r="E7261" s="2075"/>
      <c r="F7261" s="2077" t="s">
        <v>710</v>
      </c>
      <c r="G7261" s="2077"/>
      <c r="H7261" s="1107">
        <f>H7260*0.15</f>
        <v>37954.415999999997</v>
      </c>
      <c r="J7261" s="1597"/>
      <c r="K7261" s="1597"/>
      <c r="L7261" s="1597"/>
      <c r="M7261" s="1107">
        <f>M7260*0.15</f>
        <v>33010.311900000001</v>
      </c>
    </row>
    <row r="7262" spans="2:13">
      <c r="B7262" s="1330" t="s">
        <v>711</v>
      </c>
      <c r="C7262" s="2078" t="s">
        <v>712</v>
      </c>
      <c r="D7262" s="2078"/>
      <c r="E7262" s="2078"/>
      <c r="F7262" s="2078"/>
      <c r="G7262" s="2078"/>
      <c r="H7262" s="1107">
        <f>ROUND(SUM(H7260:H7261),2)</f>
        <v>290983.86</v>
      </c>
      <c r="I7262" s="1828"/>
      <c r="J7262" s="1835"/>
      <c r="K7262" s="1835"/>
      <c r="L7262" s="1835"/>
      <c r="M7262" s="1919">
        <f>ROUND(SUM(M7260:M7261),2)</f>
        <v>253079.06</v>
      </c>
    </row>
    <row r="7263" spans="2:13">
      <c r="B7263" s="1129"/>
      <c r="C7263" s="1130"/>
      <c r="D7263" s="1129"/>
      <c r="E7263" s="1129"/>
      <c r="F7263" s="1131"/>
      <c r="G7263" s="1132"/>
      <c r="H7263" s="1249"/>
      <c r="M7263" s="1566"/>
    </row>
    <row r="7264" spans="2:13" hidden="1">
      <c r="B7264" s="1100" t="s">
        <v>3581</v>
      </c>
      <c r="C7264" s="1112" t="s">
        <v>3582</v>
      </c>
      <c r="D7264" s="1129"/>
      <c r="E7264" s="1129"/>
      <c r="F7264" s="1131"/>
      <c r="G7264" s="1132"/>
      <c r="H7264" s="1249"/>
      <c r="M7264" s="1566"/>
    </row>
    <row r="7265" spans="2:13" s="507" customFormat="1" ht="24.9" hidden="1" customHeight="1">
      <c r="B7265" s="1748" t="s">
        <v>1003</v>
      </c>
      <c r="C7265" s="1101" t="s">
        <v>1004</v>
      </c>
      <c r="D7265" s="1101" t="s">
        <v>1005</v>
      </c>
      <c r="E7265" s="1101" t="s">
        <v>1006</v>
      </c>
      <c r="F7265" s="1102" t="s">
        <v>1007</v>
      </c>
      <c r="G7265" s="1109" t="s">
        <v>2637</v>
      </c>
      <c r="H7265" s="1235" t="s">
        <v>2638</v>
      </c>
      <c r="J7265" s="1625"/>
      <c r="K7265" s="1625"/>
      <c r="L7265" s="1625"/>
      <c r="M7265" s="1570"/>
    </row>
    <row r="7266" spans="2:13" hidden="1">
      <c r="B7266" s="1543" t="s">
        <v>671</v>
      </c>
      <c r="C7266" s="1332" t="s">
        <v>672</v>
      </c>
      <c r="D7266" s="1331"/>
      <c r="E7266" s="1331"/>
      <c r="F7266" s="1334"/>
      <c r="G7266" s="1104"/>
      <c r="H7266" s="1236"/>
      <c r="M7266" s="1566"/>
    </row>
    <row r="7267" spans="2:13" hidden="1">
      <c r="B7267" s="1543"/>
      <c r="C7267" s="1332" t="s">
        <v>673</v>
      </c>
      <c r="D7267" s="1331" t="s">
        <v>674</v>
      </c>
      <c r="E7267" s="1331" t="s">
        <v>675</v>
      </c>
      <c r="F7267" s="1334">
        <v>0.189</v>
      </c>
      <c r="G7267" s="1104">
        <f>$G$7248</f>
        <v>150000</v>
      </c>
      <c r="H7267" s="1236">
        <f>G7267*F7267</f>
        <v>28350</v>
      </c>
      <c r="M7267" s="1566"/>
    </row>
    <row r="7268" spans="2:13" hidden="1">
      <c r="B7268" s="1543"/>
      <c r="C7268" s="1332" t="s">
        <v>1480</v>
      </c>
      <c r="D7268" s="1331" t="s">
        <v>678</v>
      </c>
      <c r="E7268" s="1331" t="s">
        <v>675</v>
      </c>
      <c r="F7268" s="1334">
        <v>9.5000000000000001E-2</v>
      </c>
      <c r="G7268" s="1104">
        <f>$G$7249</f>
        <v>187000</v>
      </c>
      <c r="H7268" s="1236">
        <f>G7268*F7268</f>
        <v>17765</v>
      </c>
      <c r="M7268" s="1566"/>
    </row>
    <row r="7269" spans="2:13" hidden="1">
      <c r="B7269" s="1543"/>
      <c r="C7269" s="1332" t="s">
        <v>751</v>
      </c>
      <c r="D7269" s="1331" t="s">
        <v>681</v>
      </c>
      <c r="E7269" s="1331" t="s">
        <v>675</v>
      </c>
      <c r="F7269" s="1334">
        <v>9.4999999999999998E-3</v>
      </c>
      <c r="G7269" s="1104">
        <f>$G$7044</f>
        <v>240000</v>
      </c>
      <c r="H7269" s="1236">
        <f>G7269*F7269</f>
        <v>2280</v>
      </c>
      <c r="M7269" s="1566"/>
    </row>
    <row r="7270" spans="2:13" hidden="1">
      <c r="B7270" s="1543"/>
      <c r="C7270" s="1332" t="s">
        <v>683</v>
      </c>
      <c r="D7270" s="1331" t="s">
        <v>684</v>
      </c>
      <c r="E7270" s="1331" t="s">
        <v>675</v>
      </c>
      <c r="F7270" s="1334">
        <v>1.9E-2</v>
      </c>
      <c r="G7270" s="1104">
        <f>$G$7251</f>
        <v>225000</v>
      </c>
      <c r="H7270" s="1236">
        <f>G7270*F7270</f>
        <v>4275</v>
      </c>
      <c r="M7270" s="1566"/>
    </row>
    <row r="7271" spans="2:13" hidden="1">
      <c r="B7271" s="1543"/>
      <c r="C7271" s="1332"/>
      <c r="D7271" s="1331"/>
      <c r="E7271" s="1331"/>
      <c r="F7271" s="2074" t="s">
        <v>685</v>
      </c>
      <c r="G7271" s="2074"/>
      <c r="H7271" s="1236">
        <f>SUM(H7267:H7270)</f>
        <v>52670</v>
      </c>
      <c r="M7271" s="1566"/>
    </row>
    <row r="7272" spans="2:13" hidden="1">
      <c r="B7272" s="1543" t="s">
        <v>686</v>
      </c>
      <c r="C7272" s="1332" t="s">
        <v>687</v>
      </c>
      <c r="D7272" s="1331"/>
      <c r="E7272" s="1331"/>
      <c r="F7272" s="1334"/>
      <c r="G7272" s="1104"/>
      <c r="H7272" s="1236"/>
      <c r="M7272" s="1566"/>
    </row>
    <row r="7273" spans="2:13" hidden="1">
      <c r="B7273" s="1543"/>
      <c r="C7273" s="1332" t="s">
        <v>3830</v>
      </c>
      <c r="D7273" s="1331"/>
      <c r="E7273" s="1331" t="s">
        <v>853</v>
      </c>
      <c r="F7273" s="1334">
        <v>1</v>
      </c>
      <c r="G7273" s="1104">
        <f>DUB!$I$569</f>
        <v>314352</v>
      </c>
      <c r="H7273" s="1236">
        <f>G7273*F7273</f>
        <v>314352</v>
      </c>
      <c r="M7273" s="1566"/>
    </row>
    <row r="7274" spans="2:13" hidden="1">
      <c r="B7274" s="1543"/>
      <c r="C7274" s="1332" t="s">
        <v>3570</v>
      </c>
      <c r="D7274" s="1331"/>
      <c r="E7274" s="1331" t="s">
        <v>773</v>
      </c>
      <c r="F7274" s="1250">
        <v>2.5000000000000001E-2</v>
      </c>
      <c r="G7274" s="1251">
        <f>DUB!$I$575</f>
        <v>134172</v>
      </c>
      <c r="H7274" s="1236">
        <f>G7274*F7274</f>
        <v>3354.3</v>
      </c>
      <c r="M7274" s="1566"/>
    </row>
    <row r="7275" spans="2:13" hidden="1">
      <c r="B7275" s="1543"/>
      <c r="C7275" s="1332"/>
      <c r="D7275" s="1331"/>
      <c r="E7275" s="1331"/>
      <c r="F7275" s="2074" t="s">
        <v>702</v>
      </c>
      <c r="G7275" s="2074"/>
      <c r="H7275" s="1236">
        <f>SUM(H7273:H7274)</f>
        <v>317706.3</v>
      </c>
      <c r="M7275" s="1566"/>
    </row>
    <row r="7276" spans="2:13" hidden="1">
      <c r="B7276" s="1543" t="s">
        <v>703</v>
      </c>
      <c r="C7276" s="1332" t="s">
        <v>704</v>
      </c>
      <c r="D7276" s="1331"/>
      <c r="E7276" s="1331"/>
      <c r="F7276" s="1334"/>
      <c r="G7276" s="1104"/>
      <c r="H7276" s="1236"/>
      <c r="M7276" s="1566"/>
    </row>
    <row r="7277" spans="2:13" hidden="1">
      <c r="B7277" s="1543"/>
      <c r="C7277" s="1126" t="s">
        <v>3509</v>
      </c>
      <c r="D7277" s="1331"/>
      <c r="E7277" s="1187" t="s">
        <v>1011</v>
      </c>
      <c r="F7277" s="1179">
        <v>1</v>
      </c>
      <c r="G7277" s="1104">
        <v>25000</v>
      </c>
      <c r="H7277" s="1236">
        <f>G7277*F7277</f>
        <v>25000</v>
      </c>
      <c r="M7277" s="1566"/>
    </row>
    <row r="7278" spans="2:13" hidden="1">
      <c r="B7278" s="1543"/>
      <c r="C7278" s="1332"/>
      <c r="D7278" s="1331"/>
      <c r="E7278" s="1331"/>
      <c r="F7278" s="2074" t="s">
        <v>705</v>
      </c>
      <c r="G7278" s="2074"/>
      <c r="H7278" s="1236">
        <f>SUM(H7277)</f>
        <v>25000</v>
      </c>
      <c r="M7278" s="1566"/>
    </row>
    <row r="7279" spans="2:13" hidden="1">
      <c r="B7279" s="1543" t="s">
        <v>706</v>
      </c>
      <c r="C7279" s="2075" t="s">
        <v>707</v>
      </c>
      <c r="D7279" s="2075"/>
      <c r="E7279" s="2075"/>
      <c r="F7279" s="2075"/>
      <c r="G7279" s="2075"/>
      <c r="H7279" s="1239">
        <f>H7271+H7275+H7278</f>
        <v>395376.3</v>
      </c>
      <c r="M7279" s="1566"/>
    </row>
    <row r="7280" spans="2:13" hidden="1">
      <c r="B7280" s="1543" t="s">
        <v>708</v>
      </c>
      <c r="C7280" s="2075" t="s">
        <v>709</v>
      </c>
      <c r="D7280" s="2075"/>
      <c r="E7280" s="2075"/>
      <c r="F7280" s="2077" t="s">
        <v>710</v>
      </c>
      <c r="G7280" s="2077"/>
      <c r="H7280" s="1107">
        <f>H7279*0.15</f>
        <v>59306.444999999992</v>
      </c>
      <c r="M7280" s="1566"/>
    </row>
    <row r="7281" spans="2:13" hidden="1">
      <c r="B7281" s="1543" t="s">
        <v>711</v>
      </c>
      <c r="C7281" s="2078" t="s">
        <v>712</v>
      </c>
      <c r="D7281" s="2078"/>
      <c r="E7281" s="2078"/>
      <c r="F7281" s="2078"/>
      <c r="G7281" s="2078"/>
      <c r="H7281" s="1107">
        <f>ROUND(SUM(H7279:H7280),2)</f>
        <v>454682.75</v>
      </c>
      <c r="M7281" s="1566"/>
    </row>
    <row r="7282" spans="2:13" hidden="1">
      <c r="B7282" s="1111"/>
      <c r="C7282" s="1112"/>
      <c r="D7282" s="1111"/>
      <c r="E7282" s="1112"/>
      <c r="F7282" s="1113"/>
      <c r="G7282" s="1114"/>
      <c r="H7282" s="1176"/>
      <c r="M7282" s="1566"/>
    </row>
    <row r="7283" spans="2:13" hidden="1">
      <c r="B7283" s="1150" t="s">
        <v>3583</v>
      </c>
      <c r="C7283" s="1232" t="s">
        <v>3584</v>
      </c>
      <c r="F7283" s="1172"/>
      <c r="G7283" s="1173"/>
      <c r="H7283" s="1711"/>
      <c r="M7283" s="1566"/>
    </row>
    <row r="7284" spans="2:13" s="507" customFormat="1" ht="24.9" hidden="1" customHeight="1">
      <c r="B7284" s="1748" t="s">
        <v>1003</v>
      </c>
      <c r="C7284" s="1101" t="s">
        <v>1004</v>
      </c>
      <c r="D7284" s="1101" t="s">
        <v>1005</v>
      </c>
      <c r="E7284" s="1101" t="s">
        <v>1006</v>
      </c>
      <c r="F7284" s="1102" t="s">
        <v>1007</v>
      </c>
      <c r="G7284" s="1109" t="s">
        <v>2637</v>
      </c>
      <c r="H7284" s="1235" t="s">
        <v>2638</v>
      </c>
      <c r="J7284" s="1625"/>
      <c r="K7284" s="1625"/>
      <c r="L7284" s="1625"/>
      <c r="M7284" s="1570"/>
    </row>
    <row r="7285" spans="2:13" hidden="1">
      <c r="B7285" s="1543" t="s">
        <v>671</v>
      </c>
      <c r="C7285" s="1332" t="s">
        <v>672</v>
      </c>
      <c r="D7285" s="1331"/>
      <c r="E7285" s="1331"/>
      <c r="F7285" s="1334"/>
      <c r="G7285" s="1104"/>
      <c r="H7285" s="1236"/>
      <c r="M7285" s="1566"/>
    </row>
    <row r="7286" spans="2:13" hidden="1">
      <c r="B7286" s="1543"/>
      <c r="C7286" s="1332" t="s">
        <v>673</v>
      </c>
      <c r="D7286" s="1331" t="s">
        <v>674</v>
      </c>
      <c r="E7286" s="1331" t="s">
        <v>675</v>
      </c>
      <c r="F7286" s="1334">
        <v>0.25600000000000001</v>
      </c>
      <c r="G7286" s="1104">
        <f>G7267</f>
        <v>150000</v>
      </c>
      <c r="H7286" s="1236">
        <f>G7286*F7286</f>
        <v>38400</v>
      </c>
      <c r="M7286" s="1566"/>
    </row>
    <row r="7287" spans="2:13" hidden="1">
      <c r="B7287" s="1543"/>
      <c r="C7287" s="1332" t="s">
        <v>1480</v>
      </c>
      <c r="D7287" s="1331" t="s">
        <v>678</v>
      </c>
      <c r="E7287" s="1331" t="s">
        <v>675</v>
      </c>
      <c r="F7287" s="1334">
        <v>0.128</v>
      </c>
      <c r="G7287" s="1104">
        <f>G7268</f>
        <v>187000</v>
      </c>
      <c r="H7287" s="1236">
        <f>G7287*F7287</f>
        <v>23936</v>
      </c>
      <c r="M7287" s="1566"/>
    </row>
    <row r="7288" spans="2:13" hidden="1">
      <c r="B7288" s="1543"/>
      <c r="C7288" s="1332" t="s">
        <v>751</v>
      </c>
      <c r="D7288" s="1331" t="s">
        <v>681</v>
      </c>
      <c r="E7288" s="1331" t="s">
        <v>675</v>
      </c>
      <c r="F7288" s="1334">
        <v>1.2800000000000001E-2</v>
      </c>
      <c r="G7288" s="1104">
        <f>$G$7044</f>
        <v>240000</v>
      </c>
      <c r="H7288" s="1236">
        <f>G7288*F7288</f>
        <v>3072</v>
      </c>
      <c r="M7288" s="1566"/>
    </row>
    <row r="7289" spans="2:13" hidden="1">
      <c r="B7289" s="1543"/>
      <c r="C7289" s="1332" t="s">
        <v>683</v>
      </c>
      <c r="D7289" s="1331" t="s">
        <v>684</v>
      </c>
      <c r="E7289" s="1331" t="s">
        <v>675</v>
      </c>
      <c r="F7289" s="1334">
        <v>2.5999999999999999E-2</v>
      </c>
      <c r="G7289" s="1104">
        <f>G7270</f>
        <v>225000</v>
      </c>
      <c r="H7289" s="1236">
        <f>G7289*F7289</f>
        <v>5850</v>
      </c>
      <c r="M7289" s="1566"/>
    </row>
    <row r="7290" spans="2:13" hidden="1">
      <c r="B7290" s="1543"/>
      <c r="C7290" s="1332"/>
      <c r="D7290" s="1331"/>
      <c r="E7290" s="1331"/>
      <c r="F7290" s="2074" t="s">
        <v>685</v>
      </c>
      <c r="G7290" s="2074"/>
      <c r="H7290" s="1236">
        <f>SUM(H7286:H7289)</f>
        <v>71258</v>
      </c>
      <c r="M7290" s="1566"/>
    </row>
    <row r="7291" spans="2:13" hidden="1">
      <c r="B7291" s="1543" t="s">
        <v>686</v>
      </c>
      <c r="C7291" s="1332" t="s">
        <v>687</v>
      </c>
      <c r="D7291" s="1331"/>
      <c r="E7291" s="1726"/>
      <c r="F7291" s="1334"/>
      <c r="G7291" s="1104"/>
      <c r="H7291" s="1236"/>
      <c r="M7291" s="1566"/>
    </row>
    <row r="7292" spans="2:13" hidden="1">
      <c r="B7292" s="1543"/>
      <c r="C7292" s="1332" t="s">
        <v>3831</v>
      </c>
      <c r="D7292" s="1331"/>
      <c r="E7292" s="1331" t="s">
        <v>853</v>
      </c>
      <c r="F7292" s="1334">
        <v>1</v>
      </c>
      <c r="G7292" s="1104">
        <f>DUB!$I$568</f>
        <v>496341</v>
      </c>
      <c r="H7292" s="1236">
        <f>G7292*F7292</f>
        <v>496341</v>
      </c>
      <c r="M7292" s="1566"/>
    </row>
    <row r="7293" spans="2:13" hidden="1">
      <c r="B7293" s="1543"/>
      <c r="C7293" s="1332" t="s">
        <v>3570</v>
      </c>
      <c r="D7293" s="1331"/>
      <c r="E7293" s="1331" t="s">
        <v>773</v>
      </c>
      <c r="F7293" s="1250">
        <v>0.03</v>
      </c>
      <c r="G7293" s="1251">
        <f>DUB!$I$575</f>
        <v>134172</v>
      </c>
      <c r="H7293" s="1236">
        <f>G7293*F7293</f>
        <v>4025.16</v>
      </c>
      <c r="M7293" s="1566"/>
    </row>
    <row r="7294" spans="2:13" hidden="1">
      <c r="B7294" s="1543"/>
      <c r="C7294" s="1332"/>
      <c r="D7294" s="1331"/>
      <c r="E7294" s="1331"/>
      <c r="F7294" s="2074" t="s">
        <v>702</v>
      </c>
      <c r="G7294" s="2074"/>
      <c r="H7294" s="1236">
        <f>SUM(H7292:H7293)</f>
        <v>500366.16</v>
      </c>
      <c r="M7294" s="1566"/>
    </row>
    <row r="7295" spans="2:13" hidden="1">
      <c r="B7295" s="1543" t="s">
        <v>703</v>
      </c>
      <c r="C7295" s="1332" t="s">
        <v>704</v>
      </c>
      <c r="D7295" s="1331"/>
      <c r="E7295" s="1331"/>
      <c r="F7295" s="1334"/>
      <c r="G7295" s="1104"/>
      <c r="H7295" s="1236"/>
      <c r="M7295" s="1566"/>
    </row>
    <row r="7296" spans="2:13" hidden="1">
      <c r="B7296" s="1543"/>
      <c r="C7296" s="1126" t="s">
        <v>3509</v>
      </c>
      <c r="D7296" s="1331"/>
      <c r="E7296" s="1187" t="s">
        <v>1011</v>
      </c>
      <c r="F7296" s="1179">
        <v>1</v>
      </c>
      <c r="G7296" s="1104">
        <v>50000</v>
      </c>
      <c r="H7296" s="1236">
        <f>G7296*F7296</f>
        <v>50000</v>
      </c>
      <c r="M7296" s="1566"/>
    </row>
    <row r="7297" spans="2:13" hidden="1">
      <c r="B7297" s="1543"/>
      <c r="C7297" s="1332"/>
      <c r="D7297" s="1331"/>
      <c r="E7297" s="1331"/>
      <c r="F7297" s="2074" t="s">
        <v>705</v>
      </c>
      <c r="G7297" s="2074"/>
      <c r="H7297" s="1236">
        <f>SUM(H7296)</f>
        <v>50000</v>
      </c>
      <c r="M7297" s="1566"/>
    </row>
    <row r="7298" spans="2:13" hidden="1">
      <c r="B7298" s="1543" t="s">
        <v>706</v>
      </c>
      <c r="C7298" s="2075" t="s">
        <v>707</v>
      </c>
      <c r="D7298" s="2075"/>
      <c r="E7298" s="2075"/>
      <c r="F7298" s="2075"/>
      <c r="G7298" s="2075"/>
      <c r="H7298" s="1239">
        <f>H7290+H7294+H7297</f>
        <v>621624.15999999992</v>
      </c>
      <c r="M7298" s="1566"/>
    </row>
    <row r="7299" spans="2:13" hidden="1">
      <c r="B7299" s="1543" t="s">
        <v>708</v>
      </c>
      <c r="C7299" s="2075" t="s">
        <v>709</v>
      </c>
      <c r="D7299" s="2075"/>
      <c r="E7299" s="2075"/>
      <c r="F7299" s="2077" t="s">
        <v>710</v>
      </c>
      <c r="G7299" s="2077"/>
      <c r="H7299" s="1107">
        <f>H7298*0.15</f>
        <v>93243.623999999982</v>
      </c>
      <c r="M7299" s="1566"/>
    </row>
    <row r="7300" spans="2:13" hidden="1">
      <c r="B7300" s="1543" t="s">
        <v>711</v>
      </c>
      <c r="C7300" s="2078" t="s">
        <v>712</v>
      </c>
      <c r="D7300" s="2078"/>
      <c r="E7300" s="2078"/>
      <c r="F7300" s="2078"/>
      <c r="G7300" s="2078"/>
      <c r="H7300" s="1107">
        <f>ROUND(SUM(H7298:H7299),2)</f>
        <v>714867.78</v>
      </c>
      <c r="M7300" s="1566"/>
    </row>
    <row r="7301" spans="2:13" hidden="1">
      <c r="B7301" s="1143"/>
      <c r="C7301" s="1144"/>
      <c r="D7301" s="1143"/>
      <c r="E7301" s="1143"/>
      <c r="F7301" s="1145"/>
      <c r="G7301" s="1146"/>
      <c r="H7301" s="1252"/>
      <c r="M7301" s="1566"/>
    </row>
    <row r="7302" spans="2:13" hidden="1">
      <c r="B7302" s="1100" t="s">
        <v>3585</v>
      </c>
      <c r="C7302" s="1112" t="s">
        <v>3586</v>
      </c>
      <c r="D7302" s="1129"/>
      <c r="E7302" s="1129"/>
      <c r="F7302" s="1131"/>
      <c r="G7302" s="1132"/>
      <c r="H7302" s="1249"/>
      <c r="M7302" s="1566"/>
    </row>
    <row r="7303" spans="2:13" s="507" customFormat="1" ht="24.9" hidden="1" customHeight="1">
      <c r="B7303" s="1748" t="s">
        <v>1003</v>
      </c>
      <c r="C7303" s="1101" t="s">
        <v>1004</v>
      </c>
      <c r="D7303" s="1101" t="s">
        <v>1005</v>
      </c>
      <c r="E7303" s="1101" t="s">
        <v>1006</v>
      </c>
      <c r="F7303" s="1102" t="s">
        <v>1007</v>
      </c>
      <c r="G7303" s="1109" t="s">
        <v>2637</v>
      </c>
      <c r="H7303" s="1235" t="s">
        <v>2638</v>
      </c>
      <c r="J7303" s="1625"/>
      <c r="K7303" s="1625"/>
      <c r="L7303" s="1625"/>
      <c r="M7303" s="1570"/>
    </row>
    <row r="7304" spans="2:13" hidden="1">
      <c r="B7304" s="1543" t="s">
        <v>671</v>
      </c>
      <c r="C7304" s="1332" t="s">
        <v>672</v>
      </c>
      <c r="D7304" s="1331"/>
      <c r="E7304" s="1331"/>
      <c r="F7304" s="1334"/>
      <c r="G7304" s="1104"/>
      <c r="H7304" s="1236"/>
      <c r="M7304" s="1566"/>
    </row>
    <row r="7305" spans="2:13" hidden="1">
      <c r="B7305" s="1543"/>
      <c r="C7305" s="1332" t="s">
        <v>673</v>
      </c>
      <c r="D7305" s="1331" t="s">
        <v>674</v>
      </c>
      <c r="E7305" s="1331" t="s">
        <v>675</v>
      </c>
      <c r="F7305" s="1334">
        <v>0.29399999999999998</v>
      </c>
      <c r="G7305" s="1104">
        <f>$G$7286</f>
        <v>150000</v>
      </c>
      <c r="H7305" s="1236">
        <f>G7305*F7305</f>
        <v>44100</v>
      </c>
      <c r="M7305" s="1566"/>
    </row>
    <row r="7306" spans="2:13" hidden="1">
      <c r="B7306" s="1543"/>
      <c r="C7306" s="1332" t="s">
        <v>1480</v>
      </c>
      <c r="D7306" s="1331" t="s">
        <v>678</v>
      </c>
      <c r="E7306" s="1331" t="s">
        <v>675</v>
      </c>
      <c r="F7306" s="1334">
        <v>0.14699999999999999</v>
      </c>
      <c r="G7306" s="1104">
        <f>$G$7287</f>
        <v>187000</v>
      </c>
      <c r="H7306" s="1236">
        <f>G7306*F7306</f>
        <v>27489</v>
      </c>
      <c r="M7306" s="1566"/>
    </row>
    <row r="7307" spans="2:13" hidden="1">
      <c r="B7307" s="1543"/>
      <c r="C7307" s="1332" t="s">
        <v>751</v>
      </c>
      <c r="D7307" s="1331" t="s">
        <v>681</v>
      </c>
      <c r="E7307" s="1331" t="s">
        <v>675</v>
      </c>
      <c r="F7307" s="1334">
        <v>1.47E-2</v>
      </c>
      <c r="G7307" s="1104">
        <f>$G$7044</f>
        <v>240000</v>
      </c>
      <c r="H7307" s="1236">
        <f>G7307*F7307</f>
        <v>3528</v>
      </c>
      <c r="M7307" s="1566"/>
    </row>
    <row r="7308" spans="2:13" hidden="1">
      <c r="B7308" s="1543"/>
      <c r="C7308" s="1332" t="s">
        <v>683</v>
      </c>
      <c r="D7308" s="1331" t="s">
        <v>684</v>
      </c>
      <c r="E7308" s="1331" t="s">
        <v>675</v>
      </c>
      <c r="F7308" s="1334">
        <v>2.9000000000000001E-2</v>
      </c>
      <c r="G7308" s="1104">
        <f>$G$7289</f>
        <v>225000</v>
      </c>
      <c r="H7308" s="1236">
        <f>G7308*F7308</f>
        <v>6525</v>
      </c>
      <c r="M7308" s="1566"/>
    </row>
    <row r="7309" spans="2:13" hidden="1">
      <c r="B7309" s="1543"/>
      <c r="C7309" s="1332"/>
      <c r="D7309" s="1331"/>
      <c r="E7309" s="1331"/>
      <c r="F7309" s="2074" t="s">
        <v>685</v>
      </c>
      <c r="G7309" s="2074"/>
      <c r="H7309" s="1236">
        <f>SUM(H7305:H7308)</f>
        <v>81642</v>
      </c>
      <c r="M7309" s="1566"/>
    </row>
    <row r="7310" spans="2:13" hidden="1">
      <c r="B7310" s="1543" t="s">
        <v>686</v>
      </c>
      <c r="C7310" s="1332" t="s">
        <v>687</v>
      </c>
      <c r="D7310" s="1331"/>
      <c r="E7310" s="1331"/>
      <c r="F7310" s="1334"/>
      <c r="G7310" s="1104"/>
      <c r="H7310" s="1236"/>
      <c r="M7310" s="1566"/>
    </row>
    <row r="7311" spans="2:13" hidden="1">
      <c r="B7311" s="1543"/>
      <c r="C7311" s="1332" t="s">
        <v>3832</v>
      </c>
      <c r="D7311" s="1331"/>
      <c r="E7311" s="1331" t="s">
        <v>853</v>
      </c>
      <c r="F7311" s="1334">
        <v>1</v>
      </c>
      <c r="G7311" s="1104">
        <f>DUB!$I$567</f>
        <v>782424</v>
      </c>
      <c r="H7311" s="1236">
        <f>G7311*F7311</f>
        <v>782424</v>
      </c>
      <c r="M7311" s="1566"/>
    </row>
    <row r="7312" spans="2:13" hidden="1">
      <c r="B7312" s="1543"/>
      <c r="C7312" s="1332" t="s">
        <v>3570</v>
      </c>
      <c r="D7312" s="1331"/>
      <c r="E7312" s="1331" t="s">
        <v>773</v>
      </c>
      <c r="F7312" s="1250">
        <v>3.5000000000000003E-2</v>
      </c>
      <c r="G7312" s="1251">
        <f>DUB!$I$575</f>
        <v>134172</v>
      </c>
      <c r="H7312" s="1236">
        <f>G7312*F7312</f>
        <v>4696.0200000000004</v>
      </c>
      <c r="M7312" s="1566"/>
    </row>
    <row r="7313" spans="2:13" hidden="1">
      <c r="B7313" s="1543"/>
      <c r="C7313" s="1332"/>
      <c r="D7313" s="1331"/>
      <c r="E7313" s="1331"/>
      <c r="F7313" s="2074" t="s">
        <v>702</v>
      </c>
      <c r="G7313" s="2074"/>
      <c r="H7313" s="1236">
        <f>SUM(H7311:H7312)</f>
        <v>787120.02</v>
      </c>
      <c r="M7313" s="1566"/>
    </row>
    <row r="7314" spans="2:13" hidden="1">
      <c r="B7314" s="1543" t="s">
        <v>703</v>
      </c>
      <c r="C7314" s="1332" t="s">
        <v>704</v>
      </c>
      <c r="D7314" s="1331"/>
      <c r="E7314" s="1331"/>
      <c r="F7314" s="1334"/>
      <c r="G7314" s="1104"/>
      <c r="H7314" s="1236"/>
      <c r="M7314" s="1566"/>
    </row>
    <row r="7315" spans="2:13" hidden="1">
      <c r="B7315" s="1543"/>
      <c r="C7315" s="1126" t="s">
        <v>3509</v>
      </c>
      <c r="D7315" s="1331"/>
      <c r="E7315" s="1187" t="s">
        <v>1011</v>
      </c>
      <c r="F7315" s="1179">
        <v>1</v>
      </c>
      <c r="G7315" s="1104">
        <v>100000</v>
      </c>
      <c r="H7315" s="1236">
        <f>G7315*F7315</f>
        <v>100000</v>
      </c>
      <c r="M7315" s="1566"/>
    </row>
    <row r="7316" spans="2:13" hidden="1">
      <c r="B7316" s="1543"/>
      <c r="C7316" s="1332"/>
      <c r="D7316" s="1331"/>
      <c r="E7316" s="1331"/>
      <c r="F7316" s="2074" t="s">
        <v>705</v>
      </c>
      <c r="G7316" s="2074"/>
      <c r="H7316" s="1236">
        <f>SUM(H7315)</f>
        <v>100000</v>
      </c>
      <c r="M7316" s="1566"/>
    </row>
    <row r="7317" spans="2:13" hidden="1">
      <c r="B7317" s="1543" t="s">
        <v>706</v>
      </c>
      <c r="C7317" s="2075" t="s">
        <v>707</v>
      </c>
      <c r="D7317" s="2075"/>
      <c r="E7317" s="2075"/>
      <c r="F7317" s="2075"/>
      <c r="G7317" s="2075"/>
      <c r="H7317" s="1239">
        <f>H7309+H7313+H7316</f>
        <v>968762.02</v>
      </c>
      <c r="M7317" s="1566"/>
    </row>
    <row r="7318" spans="2:13" hidden="1">
      <c r="B7318" s="1543" t="s">
        <v>708</v>
      </c>
      <c r="C7318" s="2075" t="s">
        <v>709</v>
      </c>
      <c r="D7318" s="2075"/>
      <c r="E7318" s="2075"/>
      <c r="F7318" s="2077" t="s">
        <v>710</v>
      </c>
      <c r="G7318" s="2077"/>
      <c r="H7318" s="1107">
        <f>H7317*0.15</f>
        <v>145314.30299999999</v>
      </c>
      <c r="M7318" s="1566"/>
    </row>
    <row r="7319" spans="2:13" hidden="1">
      <c r="B7319" s="1543" t="s">
        <v>711</v>
      </c>
      <c r="C7319" s="2078" t="s">
        <v>712</v>
      </c>
      <c r="D7319" s="2078"/>
      <c r="E7319" s="2078"/>
      <c r="F7319" s="2078"/>
      <c r="G7319" s="2078"/>
      <c r="H7319" s="1107">
        <f>ROUND(SUM(H7317:H7318),2)</f>
        <v>1114076.32</v>
      </c>
      <c r="M7319" s="1566"/>
    </row>
    <row r="7320" spans="2:13" hidden="1">
      <c r="B7320" s="1143"/>
      <c r="C7320" s="1144"/>
      <c r="D7320" s="1143"/>
      <c r="E7320" s="1143"/>
      <c r="F7320" s="1145"/>
      <c r="G7320" s="1146"/>
      <c r="H7320" s="1252"/>
      <c r="M7320" s="1566"/>
    </row>
    <row r="7321" spans="2:13" hidden="1">
      <c r="B7321" s="1100" t="s">
        <v>4253</v>
      </c>
      <c r="C7321" s="1112" t="s">
        <v>3587</v>
      </c>
      <c r="D7321" s="1129"/>
      <c r="E7321" s="1129"/>
      <c r="F7321" s="1131"/>
      <c r="G7321" s="1132"/>
      <c r="H7321" s="1249"/>
      <c r="M7321" s="1566"/>
    </row>
    <row r="7322" spans="2:13" s="507" customFormat="1" ht="24.9" hidden="1" customHeight="1">
      <c r="B7322" s="1748" t="s">
        <v>1003</v>
      </c>
      <c r="C7322" s="1101" t="s">
        <v>1004</v>
      </c>
      <c r="D7322" s="1101" t="s">
        <v>1005</v>
      </c>
      <c r="E7322" s="1101" t="s">
        <v>1006</v>
      </c>
      <c r="F7322" s="1102" t="s">
        <v>1007</v>
      </c>
      <c r="G7322" s="1109" t="s">
        <v>2637</v>
      </c>
      <c r="H7322" s="1235" t="s">
        <v>2638</v>
      </c>
      <c r="J7322" s="1625"/>
      <c r="K7322" s="1625"/>
      <c r="L7322" s="1625"/>
      <c r="M7322" s="1570"/>
    </row>
    <row r="7323" spans="2:13" hidden="1">
      <c r="B7323" s="1543" t="s">
        <v>671</v>
      </c>
      <c r="C7323" s="1332" t="s">
        <v>672</v>
      </c>
      <c r="D7323" s="1331"/>
      <c r="E7323" s="1331"/>
      <c r="F7323" s="1334"/>
      <c r="G7323" s="1104"/>
      <c r="H7323" s="1236"/>
      <c r="M7323" s="1566"/>
    </row>
    <row r="7324" spans="2:13" hidden="1">
      <c r="B7324" s="1543"/>
      <c r="C7324" s="1332" t="s">
        <v>673</v>
      </c>
      <c r="D7324" s="1331" t="s">
        <v>674</v>
      </c>
      <c r="E7324" s="1331" t="s">
        <v>675</v>
      </c>
      <c r="F7324" s="1334">
        <v>3.5000000000000003E-2</v>
      </c>
      <c r="G7324" s="1104">
        <f>$G$7305</f>
        <v>150000</v>
      </c>
      <c r="H7324" s="1236">
        <f>G7324*F7324</f>
        <v>5250.0000000000009</v>
      </c>
      <c r="M7324" s="1566"/>
    </row>
    <row r="7325" spans="2:13" hidden="1">
      <c r="B7325" s="1543"/>
      <c r="C7325" s="1332" t="s">
        <v>1480</v>
      </c>
      <c r="D7325" s="1331" t="s">
        <v>678</v>
      </c>
      <c r="E7325" s="1331" t="s">
        <v>675</v>
      </c>
      <c r="F7325" s="1334">
        <v>1.7000000000000001E-2</v>
      </c>
      <c r="G7325" s="1104">
        <f>$G$7306</f>
        <v>187000</v>
      </c>
      <c r="H7325" s="1236">
        <f>G7325*F7325</f>
        <v>3179.0000000000005</v>
      </c>
      <c r="M7325" s="1566"/>
    </row>
    <row r="7326" spans="2:13" hidden="1">
      <c r="B7326" s="1543"/>
      <c r="C7326" s="1332" t="s">
        <v>751</v>
      </c>
      <c r="D7326" s="1331" t="s">
        <v>681</v>
      </c>
      <c r="E7326" s="1331" t="s">
        <v>675</v>
      </c>
      <c r="F7326" s="1334">
        <v>1.7000000000000001E-3</v>
      </c>
      <c r="G7326" s="1104">
        <f>$G$7044</f>
        <v>240000</v>
      </c>
      <c r="H7326" s="1236">
        <f>G7326*F7326</f>
        <v>408.00000000000006</v>
      </c>
      <c r="M7326" s="1566"/>
    </row>
    <row r="7327" spans="2:13" hidden="1">
      <c r="B7327" s="1543"/>
      <c r="C7327" s="1332" t="s">
        <v>683</v>
      </c>
      <c r="D7327" s="1331" t="s">
        <v>684</v>
      </c>
      <c r="E7327" s="1331" t="s">
        <v>675</v>
      </c>
      <c r="F7327" s="1334">
        <v>3.0000000000000001E-3</v>
      </c>
      <c r="G7327" s="1104">
        <f>$G$7308</f>
        <v>225000</v>
      </c>
      <c r="H7327" s="1236">
        <f>G7327*F7327</f>
        <v>675</v>
      </c>
      <c r="M7327" s="1566"/>
    </row>
    <row r="7328" spans="2:13" hidden="1">
      <c r="B7328" s="1543"/>
      <c r="C7328" s="1332"/>
      <c r="D7328" s="1331"/>
      <c r="E7328" s="1331"/>
      <c r="F7328" s="2074" t="s">
        <v>685</v>
      </c>
      <c r="G7328" s="2074"/>
      <c r="H7328" s="1236">
        <f>SUM(H7324:H7327)</f>
        <v>9512.0000000000018</v>
      </c>
      <c r="M7328" s="1566"/>
    </row>
    <row r="7329" spans="2:13" hidden="1">
      <c r="B7329" s="1543" t="s">
        <v>686</v>
      </c>
      <c r="C7329" s="1332" t="s">
        <v>687</v>
      </c>
      <c r="D7329" s="1331"/>
      <c r="E7329" s="1331"/>
      <c r="F7329" s="1334"/>
      <c r="G7329" s="1104"/>
      <c r="H7329" s="1236"/>
      <c r="M7329" s="1566"/>
    </row>
    <row r="7330" spans="2:13" hidden="1">
      <c r="B7330" s="1543"/>
      <c r="C7330" s="1332" t="s">
        <v>3588</v>
      </c>
      <c r="D7330" s="1331"/>
      <c r="E7330" s="1331" t="s">
        <v>853</v>
      </c>
      <c r="F7330" s="1334">
        <v>1</v>
      </c>
      <c r="G7330" s="1104">
        <f>DUB!$I$642</f>
        <v>61047</v>
      </c>
      <c r="H7330" s="1236">
        <f>G7330*F7330</f>
        <v>61047</v>
      </c>
      <c r="M7330" s="1566"/>
    </row>
    <row r="7331" spans="2:13" hidden="1">
      <c r="B7331" s="1543"/>
      <c r="C7331" s="1332"/>
      <c r="D7331" s="1331"/>
      <c r="E7331" s="1331"/>
      <c r="F7331" s="2074" t="s">
        <v>702</v>
      </c>
      <c r="G7331" s="2074"/>
      <c r="H7331" s="1236">
        <f>SUM(H7330)</f>
        <v>61047</v>
      </c>
      <c r="M7331" s="1566"/>
    </row>
    <row r="7332" spans="2:13" hidden="1">
      <c r="B7332" s="1543" t="s">
        <v>703</v>
      </c>
      <c r="C7332" s="1332" t="s">
        <v>704</v>
      </c>
      <c r="D7332" s="1331"/>
      <c r="E7332" s="1331"/>
      <c r="F7332" s="1334"/>
      <c r="G7332" s="1104"/>
      <c r="H7332" s="1236"/>
      <c r="M7332" s="1566"/>
    </row>
    <row r="7333" spans="2:13" hidden="1">
      <c r="B7333" s="1543"/>
      <c r="C7333" s="1126" t="s">
        <v>3509</v>
      </c>
      <c r="D7333" s="1331"/>
      <c r="E7333" s="1187" t="s">
        <v>1011</v>
      </c>
      <c r="F7333" s="1179">
        <v>1</v>
      </c>
      <c r="G7333" s="1104">
        <v>2500</v>
      </c>
      <c r="H7333" s="1236">
        <f>G7333*F7333</f>
        <v>2500</v>
      </c>
      <c r="M7333" s="1566"/>
    </row>
    <row r="7334" spans="2:13" hidden="1">
      <c r="B7334" s="1543"/>
      <c r="C7334" s="1332"/>
      <c r="D7334" s="1331"/>
      <c r="E7334" s="1331"/>
      <c r="F7334" s="2074" t="s">
        <v>705</v>
      </c>
      <c r="G7334" s="2074"/>
      <c r="H7334" s="1236">
        <f>SUM(H7333)</f>
        <v>2500</v>
      </c>
      <c r="M7334" s="1566"/>
    </row>
    <row r="7335" spans="2:13" hidden="1">
      <c r="B7335" s="1543" t="s">
        <v>706</v>
      </c>
      <c r="C7335" s="2075" t="s">
        <v>707</v>
      </c>
      <c r="D7335" s="2075"/>
      <c r="E7335" s="2075"/>
      <c r="F7335" s="2075"/>
      <c r="G7335" s="2075"/>
      <c r="H7335" s="1239">
        <f>H7328+H7331+H7334</f>
        <v>73059</v>
      </c>
      <c r="M7335" s="1566"/>
    </row>
    <row r="7336" spans="2:13" hidden="1">
      <c r="B7336" s="1543" t="s">
        <v>708</v>
      </c>
      <c r="C7336" s="2075" t="s">
        <v>709</v>
      </c>
      <c r="D7336" s="2075"/>
      <c r="E7336" s="2075"/>
      <c r="F7336" s="2077" t="s">
        <v>710</v>
      </c>
      <c r="G7336" s="2077"/>
      <c r="H7336" s="1107">
        <f>H7335*0.15</f>
        <v>10958.85</v>
      </c>
      <c r="M7336" s="1566"/>
    </row>
    <row r="7337" spans="2:13" hidden="1">
      <c r="B7337" s="1543" t="s">
        <v>711</v>
      </c>
      <c r="C7337" s="2078" t="s">
        <v>712</v>
      </c>
      <c r="D7337" s="2078"/>
      <c r="E7337" s="2078"/>
      <c r="F7337" s="2078"/>
      <c r="G7337" s="2078"/>
      <c r="H7337" s="1107">
        <f>ROUND(SUM(H7335:H7336),2)</f>
        <v>84017.85</v>
      </c>
      <c r="M7337" s="1566"/>
    </row>
    <row r="7338" spans="2:13" hidden="1">
      <c r="F7338" s="1172"/>
      <c r="G7338" s="1173"/>
      <c r="H7338" s="1711"/>
      <c r="M7338" s="1566"/>
    </row>
    <row r="7339" spans="2:13" hidden="1">
      <c r="B7339" s="1100" t="s">
        <v>4254</v>
      </c>
      <c r="C7339" s="1232" t="s">
        <v>3589</v>
      </c>
      <c r="F7339" s="1172"/>
      <c r="G7339" s="1173"/>
      <c r="H7339" s="1711"/>
      <c r="M7339" s="1566"/>
    </row>
    <row r="7340" spans="2:13" s="507" customFormat="1" ht="24.9" hidden="1" customHeight="1">
      <c r="B7340" s="1748" t="s">
        <v>1003</v>
      </c>
      <c r="C7340" s="1101" t="s">
        <v>1004</v>
      </c>
      <c r="D7340" s="1101" t="s">
        <v>1005</v>
      </c>
      <c r="E7340" s="1101" t="s">
        <v>1006</v>
      </c>
      <c r="F7340" s="1102" t="s">
        <v>1007</v>
      </c>
      <c r="G7340" s="1109" t="s">
        <v>2637</v>
      </c>
      <c r="H7340" s="1235" t="s">
        <v>2638</v>
      </c>
      <c r="J7340" s="1625"/>
      <c r="K7340" s="1625"/>
      <c r="L7340" s="1625"/>
      <c r="M7340" s="1570"/>
    </row>
    <row r="7341" spans="2:13" hidden="1">
      <c r="B7341" s="1543" t="s">
        <v>671</v>
      </c>
      <c r="C7341" s="1332" t="s">
        <v>672</v>
      </c>
      <c r="D7341" s="1331"/>
      <c r="E7341" s="1331"/>
      <c r="F7341" s="1334"/>
      <c r="G7341" s="1104"/>
      <c r="H7341" s="1236"/>
      <c r="M7341" s="1566"/>
    </row>
    <row r="7342" spans="2:13" hidden="1">
      <c r="B7342" s="1543"/>
      <c r="C7342" s="1332" t="s">
        <v>673</v>
      </c>
      <c r="D7342" s="1331" t="s">
        <v>674</v>
      </c>
      <c r="E7342" s="1331" t="s">
        <v>675</v>
      </c>
      <c r="F7342" s="1334">
        <v>0.04</v>
      </c>
      <c r="G7342" s="1104">
        <f>$G$7324</f>
        <v>150000</v>
      </c>
      <c r="H7342" s="1236">
        <f>G7342*F7342</f>
        <v>6000</v>
      </c>
      <c r="M7342" s="1566"/>
    </row>
    <row r="7343" spans="2:13" hidden="1">
      <c r="B7343" s="1543"/>
      <c r="C7343" s="1332" t="s">
        <v>1480</v>
      </c>
      <c r="D7343" s="1331" t="s">
        <v>678</v>
      </c>
      <c r="E7343" s="1331" t="s">
        <v>675</v>
      </c>
      <c r="F7343" s="1334">
        <v>0.02</v>
      </c>
      <c r="G7343" s="1104">
        <f>$G$7325</f>
        <v>187000</v>
      </c>
      <c r="H7343" s="1236">
        <f>G7343*F7343</f>
        <v>3740</v>
      </c>
      <c r="M7343" s="1566"/>
    </row>
    <row r="7344" spans="2:13" hidden="1">
      <c r="B7344" s="1543"/>
      <c r="C7344" s="1332" t="s">
        <v>751</v>
      </c>
      <c r="D7344" s="1331" t="s">
        <v>681</v>
      </c>
      <c r="E7344" s="1331" t="s">
        <v>675</v>
      </c>
      <c r="F7344" s="1334">
        <v>2E-3</v>
      </c>
      <c r="G7344" s="1104">
        <f>$G$7044</f>
        <v>240000</v>
      </c>
      <c r="H7344" s="1236">
        <f>G7344*F7344</f>
        <v>480</v>
      </c>
      <c r="M7344" s="1566"/>
    </row>
    <row r="7345" spans="2:13" hidden="1">
      <c r="B7345" s="1543"/>
      <c r="C7345" s="1332" t="s">
        <v>683</v>
      </c>
      <c r="D7345" s="1331" t="s">
        <v>684</v>
      </c>
      <c r="E7345" s="1331" t="s">
        <v>675</v>
      </c>
      <c r="F7345" s="1334">
        <v>4.0000000000000001E-3</v>
      </c>
      <c r="G7345" s="1104">
        <f>$G$7327</f>
        <v>225000</v>
      </c>
      <c r="H7345" s="1236">
        <f>G7345*F7345</f>
        <v>900</v>
      </c>
      <c r="M7345" s="1566"/>
    </row>
    <row r="7346" spans="2:13" hidden="1">
      <c r="B7346" s="1543"/>
      <c r="C7346" s="1332"/>
      <c r="D7346" s="1331"/>
      <c r="E7346" s="1331"/>
      <c r="F7346" s="2074" t="s">
        <v>685</v>
      </c>
      <c r="G7346" s="2074"/>
      <c r="H7346" s="1236">
        <f>SUM(H7342:H7345)</f>
        <v>11120</v>
      </c>
      <c r="M7346" s="1566"/>
    </row>
    <row r="7347" spans="2:13" hidden="1">
      <c r="B7347" s="1543" t="s">
        <v>686</v>
      </c>
      <c r="C7347" s="1332" t="s">
        <v>687</v>
      </c>
      <c r="D7347" s="1331"/>
      <c r="E7347" s="1331"/>
      <c r="F7347" s="1334"/>
      <c r="G7347" s="1104"/>
      <c r="H7347" s="1236"/>
      <c r="M7347" s="1566"/>
    </row>
    <row r="7348" spans="2:13" hidden="1">
      <c r="B7348" s="1543"/>
      <c r="C7348" s="1332" t="s">
        <v>3590</v>
      </c>
      <c r="D7348" s="1331"/>
      <c r="E7348" s="1331" t="s">
        <v>853</v>
      </c>
      <c r="F7348" s="1334">
        <v>1</v>
      </c>
      <c r="G7348" s="1104">
        <f>DUB!$I$641</f>
        <v>123759</v>
      </c>
      <c r="H7348" s="1236">
        <f>G7348*F7348</f>
        <v>123759</v>
      </c>
      <c r="M7348" s="1566"/>
    </row>
    <row r="7349" spans="2:13" hidden="1">
      <c r="B7349" s="1543"/>
      <c r="C7349" s="1332"/>
      <c r="D7349" s="1331"/>
      <c r="E7349" s="1331"/>
      <c r="F7349" s="2074" t="s">
        <v>702</v>
      </c>
      <c r="G7349" s="2074"/>
      <c r="H7349" s="1236">
        <f>SUM(H7348)</f>
        <v>123759</v>
      </c>
      <c r="M7349" s="1566"/>
    </row>
    <row r="7350" spans="2:13" hidden="1">
      <c r="B7350" s="1543" t="s">
        <v>703</v>
      </c>
      <c r="C7350" s="1332" t="s">
        <v>704</v>
      </c>
      <c r="D7350" s="1331"/>
      <c r="E7350" s="1331"/>
      <c r="F7350" s="1334"/>
      <c r="G7350" s="1104"/>
      <c r="H7350" s="1236"/>
      <c r="M7350" s="1566"/>
    </row>
    <row r="7351" spans="2:13" hidden="1">
      <c r="B7351" s="1543"/>
      <c r="C7351" s="1126" t="s">
        <v>3509</v>
      </c>
      <c r="D7351" s="1331"/>
      <c r="E7351" s="1187" t="s">
        <v>1011</v>
      </c>
      <c r="F7351" s="1179">
        <v>1</v>
      </c>
      <c r="G7351" s="1104">
        <v>2500</v>
      </c>
      <c r="H7351" s="1236">
        <f>G7351*F7351</f>
        <v>2500</v>
      </c>
      <c r="M7351" s="1566"/>
    </row>
    <row r="7352" spans="2:13" hidden="1">
      <c r="B7352" s="1543"/>
      <c r="C7352" s="1332"/>
      <c r="D7352" s="1331"/>
      <c r="E7352" s="1331"/>
      <c r="F7352" s="2074" t="s">
        <v>705</v>
      </c>
      <c r="G7352" s="2074"/>
      <c r="H7352" s="1236">
        <f>SUM(H7351)</f>
        <v>2500</v>
      </c>
      <c r="M7352" s="1566"/>
    </row>
    <row r="7353" spans="2:13" hidden="1">
      <c r="B7353" s="1543" t="s">
        <v>706</v>
      </c>
      <c r="C7353" s="2075" t="s">
        <v>707</v>
      </c>
      <c r="D7353" s="2075"/>
      <c r="E7353" s="2075"/>
      <c r="F7353" s="2075"/>
      <c r="G7353" s="2075"/>
      <c r="H7353" s="1239">
        <f>H7346+H7349+H7352</f>
        <v>137379</v>
      </c>
      <c r="M7353" s="1566"/>
    </row>
    <row r="7354" spans="2:13" hidden="1">
      <c r="B7354" s="1543" t="s">
        <v>708</v>
      </c>
      <c r="C7354" s="2075" t="s">
        <v>709</v>
      </c>
      <c r="D7354" s="2075"/>
      <c r="E7354" s="2075"/>
      <c r="F7354" s="2077" t="s">
        <v>710</v>
      </c>
      <c r="G7354" s="2077"/>
      <c r="H7354" s="1107">
        <f>H7353*0.15</f>
        <v>20606.849999999999</v>
      </c>
      <c r="M7354" s="1566"/>
    </row>
    <row r="7355" spans="2:13" hidden="1">
      <c r="B7355" s="1543" t="s">
        <v>711</v>
      </c>
      <c r="C7355" s="2078" t="s">
        <v>712</v>
      </c>
      <c r="D7355" s="2078"/>
      <c r="E7355" s="2078"/>
      <c r="F7355" s="2078"/>
      <c r="G7355" s="2078"/>
      <c r="H7355" s="1107">
        <f>ROUND(SUM(H7353:H7354),2)</f>
        <v>157985.85</v>
      </c>
      <c r="M7355" s="1566"/>
    </row>
    <row r="7356" spans="2:13" hidden="1">
      <c r="B7356" s="1143"/>
      <c r="C7356" s="1144"/>
      <c r="D7356" s="1143"/>
      <c r="E7356" s="1143"/>
      <c r="F7356" s="1145"/>
      <c r="G7356" s="1146"/>
      <c r="H7356" s="1252"/>
      <c r="M7356" s="1566"/>
    </row>
    <row r="7357" spans="2:13" hidden="1">
      <c r="B7357" s="1100" t="s">
        <v>4255</v>
      </c>
      <c r="C7357" s="1112" t="s">
        <v>3591</v>
      </c>
      <c r="D7357" s="1129"/>
      <c r="E7357" s="1129"/>
      <c r="F7357" s="1131"/>
      <c r="G7357" s="1132"/>
      <c r="H7357" s="1249"/>
      <c r="M7357" s="1566"/>
    </row>
    <row r="7358" spans="2:13" s="507" customFormat="1" ht="24.9" hidden="1" customHeight="1">
      <c r="B7358" s="1748" t="s">
        <v>1003</v>
      </c>
      <c r="C7358" s="1101" t="s">
        <v>1004</v>
      </c>
      <c r="D7358" s="1101" t="s">
        <v>1005</v>
      </c>
      <c r="E7358" s="1101" t="s">
        <v>1006</v>
      </c>
      <c r="F7358" s="1102" t="s">
        <v>1007</v>
      </c>
      <c r="G7358" s="1109" t="s">
        <v>2637</v>
      </c>
      <c r="H7358" s="1235" t="s">
        <v>2638</v>
      </c>
      <c r="J7358" s="1625"/>
      <c r="K7358" s="1625"/>
      <c r="L7358" s="1625"/>
      <c r="M7358" s="1570"/>
    </row>
    <row r="7359" spans="2:13" hidden="1">
      <c r="B7359" s="1543" t="s">
        <v>671</v>
      </c>
      <c r="C7359" s="1332" t="s">
        <v>672</v>
      </c>
      <c r="D7359" s="1331"/>
      <c r="E7359" s="1331"/>
      <c r="F7359" s="1334"/>
      <c r="G7359" s="1104"/>
      <c r="H7359" s="1236"/>
      <c r="M7359" s="1566"/>
    </row>
    <row r="7360" spans="2:13" hidden="1">
      <c r="B7360" s="1543"/>
      <c r="C7360" s="1332" t="s">
        <v>673</v>
      </c>
      <c r="D7360" s="1331" t="s">
        <v>674</v>
      </c>
      <c r="E7360" s="1331" t="s">
        <v>675</v>
      </c>
      <c r="F7360" s="1334">
        <v>4.4999999999999998E-2</v>
      </c>
      <c r="G7360" s="1104">
        <f>$G$7342</f>
        <v>150000</v>
      </c>
      <c r="H7360" s="1236">
        <f>G7360*F7360</f>
        <v>6750</v>
      </c>
      <c r="M7360" s="1566"/>
    </row>
    <row r="7361" spans="2:13" hidden="1">
      <c r="B7361" s="1543"/>
      <c r="C7361" s="1332" t="s">
        <v>1480</v>
      </c>
      <c r="D7361" s="1331" t="s">
        <v>678</v>
      </c>
      <c r="E7361" s="1331" t="s">
        <v>675</v>
      </c>
      <c r="F7361" s="1334">
        <v>2.3E-2</v>
      </c>
      <c r="G7361" s="1104">
        <f>$G$7343</f>
        <v>187000</v>
      </c>
      <c r="H7361" s="1236">
        <f>G7361*F7361</f>
        <v>4301</v>
      </c>
      <c r="M7361" s="1566"/>
    </row>
    <row r="7362" spans="2:13" hidden="1">
      <c r="B7362" s="1543"/>
      <c r="C7362" s="1332" t="s">
        <v>751</v>
      </c>
      <c r="D7362" s="1331" t="s">
        <v>681</v>
      </c>
      <c r="E7362" s="1331" t="s">
        <v>675</v>
      </c>
      <c r="F7362" s="1334">
        <v>2.3E-3</v>
      </c>
      <c r="G7362" s="1104">
        <f>$G$7044</f>
        <v>240000</v>
      </c>
      <c r="H7362" s="1236">
        <f>G7362*F7362</f>
        <v>552</v>
      </c>
      <c r="M7362" s="1566"/>
    </row>
    <row r="7363" spans="2:13" hidden="1">
      <c r="B7363" s="1543"/>
      <c r="C7363" s="1332" t="s">
        <v>683</v>
      </c>
      <c r="D7363" s="1331" t="s">
        <v>684</v>
      </c>
      <c r="E7363" s="1331" t="s">
        <v>675</v>
      </c>
      <c r="F7363" s="1334">
        <v>5.0000000000000001E-3</v>
      </c>
      <c r="G7363" s="1104">
        <f>$G$7345</f>
        <v>225000</v>
      </c>
      <c r="H7363" s="1236">
        <f>G7363*F7363</f>
        <v>1125</v>
      </c>
      <c r="M7363" s="1566"/>
    </row>
    <row r="7364" spans="2:13" hidden="1">
      <c r="B7364" s="1543"/>
      <c r="C7364" s="1332"/>
      <c r="D7364" s="1331"/>
      <c r="E7364" s="1331"/>
      <c r="F7364" s="2115" t="s">
        <v>685</v>
      </c>
      <c r="G7364" s="2116"/>
      <c r="H7364" s="1236">
        <f>SUM(H7360:H7363)</f>
        <v>12728</v>
      </c>
      <c r="M7364" s="1566"/>
    </row>
    <row r="7365" spans="2:13" hidden="1">
      <c r="B7365" s="1543" t="s">
        <v>686</v>
      </c>
      <c r="C7365" s="1332" t="s">
        <v>687</v>
      </c>
      <c r="D7365" s="1331"/>
      <c r="E7365" s="1331"/>
      <c r="F7365" s="1334"/>
      <c r="G7365" s="1104"/>
      <c r="H7365" s="1236"/>
      <c r="M7365" s="1566"/>
    </row>
    <row r="7366" spans="2:13" hidden="1">
      <c r="B7366" s="1543"/>
      <c r="C7366" s="1332" t="s">
        <v>3592</v>
      </c>
      <c r="D7366" s="1331"/>
      <c r="E7366" s="1331" t="s">
        <v>853</v>
      </c>
      <c r="F7366" s="1334">
        <v>1</v>
      </c>
      <c r="G7366" s="1104">
        <f>DUB!$I$640</f>
        <v>184806</v>
      </c>
      <c r="H7366" s="1236">
        <f>G7366*F7366</f>
        <v>184806</v>
      </c>
      <c r="M7366" s="1566"/>
    </row>
    <row r="7367" spans="2:13" hidden="1">
      <c r="B7367" s="1543"/>
      <c r="C7367" s="1332"/>
      <c r="D7367" s="1331"/>
      <c r="E7367" s="1331"/>
      <c r="F7367" s="2115" t="s">
        <v>702</v>
      </c>
      <c r="G7367" s="2116"/>
      <c r="H7367" s="1236">
        <f>SUM(H7366)</f>
        <v>184806</v>
      </c>
      <c r="M7367" s="1566"/>
    </row>
    <row r="7368" spans="2:13" hidden="1">
      <c r="B7368" s="1543" t="s">
        <v>703</v>
      </c>
      <c r="C7368" s="1332" t="s">
        <v>704</v>
      </c>
      <c r="D7368" s="1331"/>
      <c r="E7368" s="1331"/>
      <c r="F7368" s="1334"/>
      <c r="G7368" s="1104"/>
      <c r="H7368" s="1236"/>
      <c r="M7368" s="1566"/>
    </row>
    <row r="7369" spans="2:13" hidden="1">
      <c r="B7369" s="1543"/>
      <c r="C7369" s="1126" t="s">
        <v>3509</v>
      </c>
      <c r="D7369" s="1331"/>
      <c r="E7369" s="1187" t="s">
        <v>1011</v>
      </c>
      <c r="F7369" s="1179">
        <v>1</v>
      </c>
      <c r="G7369" s="1104">
        <v>2500</v>
      </c>
      <c r="H7369" s="1236">
        <f>G7369*F7369</f>
        <v>2500</v>
      </c>
      <c r="M7369" s="1566"/>
    </row>
    <row r="7370" spans="2:13" hidden="1">
      <c r="B7370" s="1543"/>
      <c r="C7370" s="1332"/>
      <c r="D7370" s="1331"/>
      <c r="E7370" s="1331"/>
      <c r="F7370" s="2074" t="s">
        <v>705</v>
      </c>
      <c r="G7370" s="2074"/>
      <c r="H7370" s="1236">
        <f>SUM(H7369)</f>
        <v>2500</v>
      </c>
      <c r="M7370" s="1566"/>
    </row>
    <row r="7371" spans="2:13" hidden="1">
      <c r="B7371" s="1543" t="s">
        <v>706</v>
      </c>
      <c r="C7371" s="2075" t="s">
        <v>707</v>
      </c>
      <c r="D7371" s="2075"/>
      <c r="E7371" s="2075"/>
      <c r="F7371" s="2075"/>
      <c r="G7371" s="2075"/>
      <c r="H7371" s="1239">
        <f>H7364+H7367+H7370</f>
        <v>200034</v>
      </c>
      <c r="M7371" s="1566"/>
    </row>
    <row r="7372" spans="2:13" hidden="1">
      <c r="B7372" s="1543" t="s">
        <v>708</v>
      </c>
      <c r="C7372" s="2075" t="s">
        <v>709</v>
      </c>
      <c r="D7372" s="2075"/>
      <c r="E7372" s="2075"/>
      <c r="F7372" s="2077" t="s">
        <v>710</v>
      </c>
      <c r="G7372" s="2077"/>
      <c r="H7372" s="1107">
        <f>H7371*0.15</f>
        <v>30005.1</v>
      </c>
      <c r="M7372" s="1566"/>
    </row>
    <row r="7373" spans="2:13" hidden="1">
      <c r="B7373" s="1543" t="s">
        <v>711</v>
      </c>
      <c r="C7373" s="2078" t="s">
        <v>712</v>
      </c>
      <c r="D7373" s="2078"/>
      <c r="E7373" s="2078"/>
      <c r="F7373" s="2078"/>
      <c r="G7373" s="2078"/>
      <c r="H7373" s="1107">
        <f>ROUND(SUM(H7371:H7372),2)</f>
        <v>230039.1</v>
      </c>
      <c r="M7373" s="1566"/>
    </row>
    <row r="7374" spans="2:13" hidden="1">
      <c r="F7374" s="1172"/>
      <c r="G7374" s="1173"/>
      <c r="H7374" s="1711"/>
      <c r="M7374" s="1566"/>
    </row>
    <row r="7375" spans="2:13" hidden="1">
      <c r="B7375" s="1100" t="s">
        <v>4256</v>
      </c>
      <c r="C7375" s="1232" t="s">
        <v>3593</v>
      </c>
      <c r="F7375" s="1172"/>
      <c r="G7375" s="1173"/>
      <c r="H7375" s="1711"/>
      <c r="M7375" s="1566"/>
    </row>
    <row r="7376" spans="2:13" s="507" customFormat="1" ht="24.9" hidden="1" customHeight="1">
      <c r="B7376" s="1748" t="s">
        <v>1003</v>
      </c>
      <c r="C7376" s="1101" t="s">
        <v>1004</v>
      </c>
      <c r="D7376" s="1101" t="s">
        <v>1005</v>
      </c>
      <c r="E7376" s="1101" t="s">
        <v>1006</v>
      </c>
      <c r="F7376" s="1102" t="s">
        <v>1007</v>
      </c>
      <c r="G7376" s="1109" t="s">
        <v>2637</v>
      </c>
      <c r="H7376" s="1235" t="s">
        <v>2638</v>
      </c>
      <c r="J7376" s="1625"/>
      <c r="K7376" s="1625"/>
      <c r="L7376" s="1625"/>
      <c r="M7376" s="1570"/>
    </row>
    <row r="7377" spans="2:13" hidden="1">
      <c r="B7377" s="1543" t="s">
        <v>671</v>
      </c>
      <c r="C7377" s="1332" t="s">
        <v>672</v>
      </c>
      <c r="D7377" s="1331"/>
      <c r="E7377" s="1331"/>
      <c r="F7377" s="1334"/>
      <c r="G7377" s="1104"/>
      <c r="H7377" s="1236"/>
      <c r="M7377" s="1566"/>
    </row>
    <row r="7378" spans="2:13" hidden="1">
      <c r="B7378" s="1543"/>
      <c r="C7378" s="1332" t="s">
        <v>673</v>
      </c>
      <c r="D7378" s="1331" t="s">
        <v>674</v>
      </c>
      <c r="E7378" s="1331" t="s">
        <v>675</v>
      </c>
      <c r="F7378" s="1334">
        <v>6.2E-2</v>
      </c>
      <c r="G7378" s="1104">
        <f>$G$7360</f>
        <v>150000</v>
      </c>
      <c r="H7378" s="1236">
        <f>G7378*F7378</f>
        <v>9300</v>
      </c>
      <c r="M7378" s="1566"/>
    </row>
    <row r="7379" spans="2:13" hidden="1">
      <c r="B7379" s="1543"/>
      <c r="C7379" s="1332" t="s">
        <v>1480</v>
      </c>
      <c r="D7379" s="1331" t="s">
        <v>678</v>
      </c>
      <c r="E7379" s="1331" t="s">
        <v>675</v>
      </c>
      <c r="F7379" s="1334">
        <v>3.1E-2</v>
      </c>
      <c r="G7379" s="1104">
        <f>$G$7361</f>
        <v>187000</v>
      </c>
      <c r="H7379" s="1236">
        <f>G7379*F7379</f>
        <v>5797</v>
      </c>
      <c r="M7379" s="1566"/>
    </row>
    <row r="7380" spans="2:13" hidden="1">
      <c r="B7380" s="1543"/>
      <c r="C7380" s="1332" t="s">
        <v>751</v>
      </c>
      <c r="D7380" s="1331" t="s">
        <v>681</v>
      </c>
      <c r="E7380" s="1331" t="s">
        <v>675</v>
      </c>
      <c r="F7380" s="1334">
        <v>3.0999999999999999E-3</v>
      </c>
      <c r="G7380" s="1104">
        <f>$G$7044</f>
        <v>240000</v>
      </c>
      <c r="H7380" s="1236">
        <f>G7380*F7380</f>
        <v>744</v>
      </c>
      <c r="M7380" s="1566"/>
    </row>
    <row r="7381" spans="2:13" hidden="1">
      <c r="B7381" s="1543"/>
      <c r="C7381" s="1332" t="s">
        <v>683</v>
      </c>
      <c r="D7381" s="1331" t="s">
        <v>684</v>
      </c>
      <c r="E7381" s="1331" t="s">
        <v>675</v>
      </c>
      <c r="F7381" s="1334">
        <v>6.0000000000000001E-3</v>
      </c>
      <c r="G7381" s="1104">
        <f>$G$7363</f>
        <v>225000</v>
      </c>
      <c r="H7381" s="1236">
        <f>G7381*F7381</f>
        <v>1350</v>
      </c>
      <c r="M7381" s="1566"/>
    </row>
    <row r="7382" spans="2:13" hidden="1">
      <c r="B7382" s="1543"/>
      <c r="C7382" s="1332"/>
      <c r="D7382" s="1331"/>
      <c r="E7382" s="1331"/>
      <c r="F7382" s="2074" t="s">
        <v>685</v>
      </c>
      <c r="G7382" s="2074"/>
      <c r="H7382" s="1236">
        <f>SUM(H7378:H7381)</f>
        <v>17191</v>
      </c>
      <c r="M7382" s="1566"/>
    </row>
    <row r="7383" spans="2:13" hidden="1">
      <c r="B7383" s="1543" t="s">
        <v>686</v>
      </c>
      <c r="C7383" s="1332" t="s">
        <v>687</v>
      </c>
      <c r="D7383" s="1331"/>
      <c r="E7383" s="1331"/>
      <c r="F7383" s="1334"/>
      <c r="G7383" s="1104"/>
      <c r="H7383" s="1236"/>
      <c r="M7383" s="1566"/>
    </row>
    <row r="7384" spans="2:13" hidden="1">
      <c r="B7384" s="1543"/>
      <c r="C7384" s="1332" t="s">
        <v>3594</v>
      </c>
      <c r="D7384" s="1331"/>
      <c r="E7384" s="1331" t="s">
        <v>853</v>
      </c>
      <c r="F7384" s="1334">
        <v>1</v>
      </c>
      <c r="G7384" s="1104">
        <f>DUB!$I$639</f>
        <v>385812</v>
      </c>
      <c r="H7384" s="1236">
        <f>G7384*F7384</f>
        <v>385812</v>
      </c>
      <c r="M7384" s="1566"/>
    </row>
    <row r="7385" spans="2:13" hidden="1">
      <c r="B7385" s="1543"/>
      <c r="C7385" s="1332"/>
      <c r="D7385" s="1331"/>
      <c r="E7385" s="1331"/>
      <c r="F7385" s="2074" t="s">
        <v>702</v>
      </c>
      <c r="G7385" s="2074"/>
      <c r="H7385" s="1236">
        <f>SUM(H7384)</f>
        <v>385812</v>
      </c>
      <c r="M7385" s="1566"/>
    </row>
    <row r="7386" spans="2:13" hidden="1">
      <c r="B7386" s="1543" t="s">
        <v>703</v>
      </c>
      <c r="C7386" s="1332" t="s">
        <v>704</v>
      </c>
      <c r="D7386" s="1331"/>
      <c r="E7386" s="1331"/>
      <c r="F7386" s="1334"/>
      <c r="G7386" s="1104"/>
      <c r="H7386" s="1236"/>
      <c r="M7386" s="1566"/>
    </row>
    <row r="7387" spans="2:13" hidden="1">
      <c r="B7387" s="1543"/>
      <c r="C7387" s="1126" t="s">
        <v>3509</v>
      </c>
      <c r="D7387" s="1331"/>
      <c r="E7387" s="1187" t="s">
        <v>1011</v>
      </c>
      <c r="F7387" s="1179">
        <v>1</v>
      </c>
      <c r="G7387" s="1104">
        <v>3000</v>
      </c>
      <c r="H7387" s="1236">
        <f>G7387*F7387</f>
        <v>3000</v>
      </c>
      <c r="M7387" s="1566"/>
    </row>
    <row r="7388" spans="2:13" hidden="1">
      <c r="B7388" s="1543"/>
      <c r="C7388" s="1332"/>
      <c r="D7388" s="1331"/>
      <c r="E7388" s="1331"/>
      <c r="F7388" s="2074" t="s">
        <v>705</v>
      </c>
      <c r="G7388" s="2074"/>
      <c r="H7388" s="1236">
        <f>SUM(H7387)</f>
        <v>3000</v>
      </c>
      <c r="M7388" s="1566"/>
    </row>
    <row r="7389" spans="2:13" hidden="1">
      <c r="B7389" s="1543" t="s">
        <v>706</v>
      </c>
      <c r="C7389" s="2075" t="s">
        <v>707</v>
      </c>
      <c r="D7389" s="2075"/>
      <c r="E7389" s="2075"/>
      <c r="F7389" s="2075"/>
      <c r="G7389" s="2075"/>
      <c r="H7389" s="1239">
        <f>H7382+H7385+H7388</f>
        <v>406003</v>
      </c>
      <c r="M7389" s="1566"/>
    </row>
    <row r="7390" spans="2:13" hidden="1">
      <c r="B7390" s="1543" t="s">
        <v>708</v>
      </c>
      <c r="C7390" s="2075" t="s">
        <v>709</v>
      </c>
      <c r="D7390" s="2075"/>
      <c r="E7390" s="2075"/>
      <c r="F7390" s="2077" t="s">
        <v>710</v>
      </c>
      <c r="G7390" s="2077"/>
      <c r="H7390" s="1107">
        <f>H7389*0.15</f>
        <v>60900.45</v>
      </c>
      <c r="M7390" s="1566"/>
    </row>
    <row r="7391" spans="2:13" hidden="1">
      <c r="B7391" s="1543" t="s">
        <v>711</v>
      </c>
      <c r="C7391" s="2078" t="s">
        <v>712</v>
      </c>
      <c r="D7391" s="2078"/>
      <c r="E7391" s="2078"/>
      <c r="F7391" s="2078"/>
      <c r="G7391" s="2078"/>
      <c r="H7391" s="1107">
        <f>ROUND(SUM(H7389:H7390),2)</f>
        <v>466903.45</v>
      </c>
      <c r="M7391" s="1566"/>
    </row>
    <row r="7392" spans="2:13" hidden="1">
      <c r="B7392" s="1143"/>
      <c r="C7392" s="1144"/>
      <c r="D7392" s="1143"/>
      <c r="E7392" s="1143"/>
      <c r="F7392" s="1145"/>
      <c r="G7392" s="1146"/>
      <c r="H7392" s="1252"/>
      <c r="M7392" s="1566"/>
    </row>
    <row r="7393" spans="2:13" hidden="1">
      <c r="B7393" s="1100" t="s">
        <v>2710</v>
      </c>
      <c r="C7393" s="1232" t="s">
        <v>3595</v>
      </c>
      <c r="F7393" s="1172"/>
      <c r="G7393" s="1173"/>
      <c r="H7393" s="1711"/>
      <c r="M7393" s="1566"/>
    </row>
    <row r="7394" spans="2:13" hidden="1">
      <c r="B7394" s="1100" t="s">
        <v>3596</v>
      </c>
      <c r="C7394" s="1232" t="s">
        <v>4262</v>
      </c>
      <c r="F7394" s="1172"/>
      <c r="G7394" s="1173"/>
      <c r="H7394" s="1711"/>
      <c r="M7394" s="1566"/>
    </row>
    <row r="7395" spans="2:13" s="507" customFormat="1" ht="24.9" hidden="1" customHeight="1">
      <c r="B7395" s="1748" t="s">
        <v>1003</v>
      </c>
      <c r="C7395" s="1101" t="s">
        <v>1004</v>
      </c>
      <c r="D7395" s="1101" t="s">
        <v>1005</v>
      </c>
      <c r="E7395" s="1101" t="s">
        <v>1006</v>
      </c>
      <c r="F7395" s="1102" t="s">
        <v>1007</v>
      </c>
      <c r="G7395" s="1109" t="s">
        <v>2637</v>
      </c>
      <c r="H7395" s="1235" t="s">
        <v>2638</v>
      </c>
      <c r="J7395" s="1625"/>
      <c r="K7395" s="1625"/>
      <c r="L7395" s="1625"/>
      <c r="M7395" s="1570"/>
    </row>
    <row r="7396" spans="2:13" hidden="1">
      <c r="B7396" s="1543" t="s">
        <v>671</v>
      </c>
      <c r="C7396" s="1332" t="s">
        <v>672</v>
      </c>
      <c r="D7396" s="1331"/>
      <c r="E7396" s="1331"/>
      <c r="F7396" s="1334"/>
      <c r="G7396" s="1104"/>
      <c r="H7396" s="1236"/>
      <c r="M7396" s="1566"/>
    </row>
    <row r="7397" spans="2:13" hidden="1">
      <c r="B7397" s="1543"/>
      <c r="C7397" s="1332" t="s">
        <v>673</v>
      </c>
      <c r="D7397" s="1331" t="s">
        <v>674</v>
      </c>
      <c r="E7397" s="1331" t="s">
        <v>675</v>
      </c>
      <c r="F7397" s="1334">
        <v>1.429</v>
      </c>
      <c r="G7397" s="1104">
        <f>$G$7378</f>
        <v>150000</v>
      </c>
      <c r="H7397" s="1236">
        <f>G7397*F7397</f>
        <v>214350</v>
      </c>
      <c r="M7397" s="1566"/>
    </row>
    <row r="7398" spans="2:13" hidden="1">
      <c r="B7398" s="1543"/>
      <c r="C7398" s="1332" t="s">
        <v>1480</v>
      </c>
      <c r="D7398" s="1331" t="s">
        <v>678</v>
      </c>
      <c r="E7398" s="1331" t="s">
        <v>675</v>
      </c>
      <c r="F7398" s="1334">
        <v>0.71499999999999997</v>
      </c>
      <c r="G7398" s="1104">
        <f>$G$7379</f>
        <v>187000</v>
      </c>
      <c r="H7398" s="1236">
        <f>G7398*F7398</f>
        <v>133705</v>
      </c>
      <c r="M7398" s="1566"/>
    </row>
    <row r="7399" spans="2:13" hidden="1">
      <c r="B7399" s="1543"/>
      <c r="C7399" s="1332" t="s">
        <v>751</v>
      </c>
      <c r="D7399" s="1331" t="s">
        <v>681</v>
      </c>
      <c r="E7399" s="1331" t="s">
        <v>675</v>
      </c>
      <c r="F7399" s="1334">
        <v>7.1499999999999994E-2</v>
      </c>
      <c r="G7399" s="1104">
        <f>$G$7044</f>
        <v>240000</v>
      </c>
      <c r="H7399" s="1236">
        <f>G7399*F7399</f>
        <v>17160</v>
      </c>
      <c r="M7399" s="1566"/>
    </row>
    <row r="7400" spans="2:13" hidden="1">
      <c r="B7400" s="1543"/>
      <c r="C7400" s="1332" t="s">
        <v>683</v>
      </c>
      <c r="D7400" s="1331" t="s">
        <v>684</v>
      </c>
      <c r="E7400" s="1331" t="s">
        <v>675</v>
      </c>
      <c r="F7400" s="1334">
        <v>0.14299999999999999</v>
      </c>
      <c r="G7400" s="1104">
        <f>$G$7381</f>
        <v>225000</v>
      </c>
      <c r="H7400" s="1236">
        <f>G7400*F7400</f>
        <v>32174.999999999996</v>
      </c>
      <c r="M7400" s="1566"/>
    </row>
    <row r="7401" spans="2:13" hidden="1">
      <c r="B7401" s="1120"/>
      <c r="C7401" s="1253"/>
      <c r="D7401" s="1254"/>
      <c r="E7401" s="1253"/>
      <c r="F7401" s="2080" t="s">
        <v>685</v>
      </c>
      <c r="G7401" s="2081"/>
      <c r="H7401" s="1236">
        <f>SUM(H7397:H7400)</f>
        <v>397390</v>
      </c>
      <c r="M7401" s="1566"/>
    </row>
    <row r="7402" spans="2:13" hidden="1">
      <c r="B7402" s="1543" t="s">
        <v>686</v>
      </c>
      <c r="C7402" s="1332" t="s">
        <v>687</v>
      </c>
      <c r="D7402" s="1331"/>
      <c r="E7402" s="1331"/>
      <c r="F7402" s="1334"/>
      <c r="G7402" s="1104"/>
      <c r="H7402" s="1236"/>
      <c r="M7402" s="1566"/>
    </row>
    <row r="7403" spans="2:13" hidden="1">
      <c r="B7403" s="1543"/>
      <c r="C7403" s="1332" t="s">
        <v>3597</v>
      </c>
      <c r="D7403" s="1331"/>
      <c r="E7403" s="1331" t="s">
        <v>1423</v>
      </c>
      <c r="F7403" s="1334">
        <v>1</v>
      </c>
      <c r="G7403" s="1104">
        <f>DUB!$I$601</f>
        <v>1638630</v>
      </c>
      <c r="H7403" s="1236">
        <f>G7403*F7403</f>
        <v>1638630</v>
      </c>
      <c r="M7403" s="1566"/>
    </row>
    <row r="7404" spans="2:13" hidden="1">
      <c r="B7404" s="1543"/>
      <c r="C7404" s="1332" t="s">
        <v>3598</v>
      </c>
      <c r="D7404" s="1331"/>
      <c r="E7404" s="1331" t="s">
        <v>1423</v>
      </c>
      <c r="F7404" s="1334">
        <v>2</v>
      </c>
      <c r="G7404" s="1104">
        <f>DUB!$I$595</f>
        <v>269892</v>
      </c>
      <c r="H7404" s="1236">
        <f>G7404*F7404</f>
        <v>539784</v>
      </c>
      <c r="M7404" s="1566"/>
    </row>
    <row r="7405" spans="2:13" hidden="1">
      <c r="B7405" s="1543"/>
      <c r="C7405" s="1332"/>
      <c r="D7405" s="1331"/>
      <c r="E7405" s="1331"/>
      <c r="F7405" s="2074" t="s">
        <v>702</v>
      </c>
      <c r="G7405" s="2074"/>
      <c r="H7405" s="1236">
        <f>SUM(H7403:H7404)</f>
        <v>2178414</v>
      </c>
      <c r="M7405" s="1566"/>
    </row>
    <row r="7406" spans="2:13" hidden="1">
      <c r="B7406" s="1543" t="s">
        <v>703</v>
      </c>
      <c r="C7406" s="1332" t="s">
        <v>704</v>
      </c>
      <c r="D7406" s="1331"/>
      <c r="E7406" s="1331"/>
      <c r="F7406" s="1334"/>
      <c r="G7406" s="1104"/>
      <c r="H7406" s="1236"/>
      <c r="M7406" s="1566"/>
    </row>
    <row r="7407" spans="2:13" hidden="1">
      <c r="B7407" s="1543"/>
      <c r="C7407" s="1126" t="s">
        <v>3509</v>
      </c>
      <c r="D7407" s="1331"/>
      <c r="E7407" s="1187" t="s">
        <v>1011</v>
      </c>
      <c r="F7407" s="1179">
        <v>1</v>
      </c>
      <c r="G7407" s="1104">
        <v>50000</v>
      </c>
      <c r="H7407" s="1236">
        <f>G7407*F7407</f>
        <v>50000</v>
      </c>
      <c r="M7407" s="1566"/>
    </row>
    <row r="7408" spans="2:13" hidden="1">
      <c r="B7408" s="1543"/>
      <c r="C7408" s="1332"/>
      <c r="D7408" s="1331"/>
      <c r="E7408" s="1331"/>
      <c r="F7408" s="2074" t="s">
        <v>705</v>
      </c>
      <c r="G7408" s="2074"/>
      <c r="H7408" s="1236">
        <f>SUM(H7407)</f>
        <v>50000</v>
      </c>
      <c r="M7408" s="1566"/>
    </row>
    <row r="7409" spans="2:13" hidden="1">
      <c r="B7409" s="1543" t="s">
        <v>706</v>
      </c>
      <c r="C7409" s="2075" t="s">
        <v>707</v>
      </c>
      <c r="D7409" s="2075"/>
      <c r="E7409" s="2075"/>
      <c r="F7409" s="2075"/>
      <c r="G7409" s="2075"/>
      <c r="H7409" s="1239">
        <f>H7401+H7405+H7408</f>
        <v>2625804</v>
      </c>
      <c r="M7409" s="1566"/>
    </row>
    <row r="7410" spans="2:13" hidden="1">
      <c r="B7410" s="1543" t="s">
        <v>708</v>
      </c>
      <c r="C7410" s="2075" t="s">
        <v>709</v>
      </c>
      <c r="D7410" s="2075"/>
      <c r="E7410" s="2075"/>
      <c r="F7410" s="2077" t="s">
        <v>710</v>
      </c>
      <c r="G7410" s="2077"/>
      <c r="H7410" s="1107">
        <f>H7409*0.15</f>
        <v>393870.6</v>
      </c>
      <c r="M7410" s="1566"/>
    </row>
    <row r="7411" spans="2:13" hidden="1">
      <c r="B7411" s="1543" t="s">
        <v>711</v>
      </c>
      <c r="C7411" s="2078" t="s">
        <v>712</v>
      </c>
      <c r="D7411" s="2078"/>
      <c r="E7411" s="2078"/>
      <c r="F7411" s="2078"/>
      <c r="G7411" s="2078"/>
      <c r="H7411" s="1107">
        <f>ROUND(SUM(H7409:H7410),2)</f>
        <v>3019674.6</v>
      </c>
      <c r="M7411" s="1566"/>
    </row>
    <row r="7412" spans="2:13" hidden="1">
      <c r="B7412" s="1255"/>
      <c r="F7412" s="1172"/>
      <c r="G7412" s="1173"/>
      <c r="H7412" s="1711"/>
      <c r="M7412" s="1566"/>
    </row>
    <row r="7413" spans="2:13" hidden="1">
      <c r="B7413" s="1100" t="s">
        <v>3599</v>
      </c>
      <c r="C7413" s="1232" t="s">
        <v>4261</v>
      </c>
      <c r="F7413" s="1172"/>
      <c r="G7413" s="1173"/>
      <c r="H7413" s="1711"/>
      <c r="M7413" s="1566"/>
    </row>
    <row r="7414" spans="2:13" s="507" customFormat="1" ht="24.9" hidden="1" customHeight="1">
      <c r="B7414" s="1748" t="s">
        <v>1003</v>
      </c>
      <c r="C7414" s="1101" t="s">
        <v>1004</v>
      </c>
      <c r="D7414" s="1101" t="s">
        <v>1005</v>
      </c>
      <c r="E7414" s="1101" t="s">
        <v>1006</v>
      </c>
      <c r="F7414" s="1102" t="s">
        <v>1007</v>
      </c>
      <c r="G7414" s="1109" t="s">
        <v>2637</v>
      </c>
      <c r="H7414" s="1235" t="s">
        <v>2638</v>
      </c>
      <c r="J7414" s="1625"/>
      <c r="K7414" s="1625"/>
      <c r="L7414" s="1625"/>
      <c r="M7414" s="1570"/>
    </row>
    <row r="7415" spans="2:13" hidden="1">
      <c r="B7415" s="1543" t="s">
        <v>671</v>
      </c>
      <c r="C7415" s="1332" t="s">
        <v>672</v>
      </c>
      <c r="D7415" s="1331"/>
      <c r="E7415" s="1331"/>
      <c r="F7415" s="1334"/>
      <c r="G7415" s="1104"/>
      <c r="H7415" s="1236"/>
      <c r="M7415" s="1566"/>
    </row>
    <row r="7416" spans="2:13" hidden="1">
      <c r="B7416" s="1543"/>
      <c r="C7416" s="1332" t="s">
        <v>673</v>
      </c>
      <c r="D7416" s="1331" t="s">
        <v>674</v>
      </c>
      <c r="E7416" s="1331" t="s">
        <v>675</v>
      </c>
      <c r="F7416" s="1334">
        <v>1.429</v>
      </c>
      <c r="G7416" s="1104">
        <f>$G$7397</f>
        <v>150000</v>
      </c>
      <c r="H7416" s="1236">
        <f>G7416*F7416</f>
        <v>214350</v>
      </c>
      <c r="M7416" s="1566"/>
    </row>
    <row r="7417" spans="2:13" hidden="1">
      <c r="B7417" s="1543"/>
      <c r="C7417" s="1332" t="s">
        <v>1480</v>
      </c>
      <c r="D7417" s="1331" t="s">
        <v>678</v>
      </c>
      <c r="E7417" s="1331" t="s">
        <v>675</v>
      </c>
      <c r="F7417" s="1334">
        <v>0.71499999999999997</v>
      </c>
      <c r="G7417" s="1104">
        <f>$G$7398</f>
        <v>187000</v>
      </c>
      <c r="H7417" s="1236">
        <f>G7417*F7417</f>
        <v>133705</v>
      </c>
      <c r="M7417" s="1566"/>
    </row>
    <row r="7418" spans="2:13" hidden="1">
      <c r="B7418" s="1543"/>
      <c r="C7418" s="1332" t="s">
        <v>751</v>
      </c>
      <c r="D7418" s="1331" t="s">
        <v>681</v>
      </c>
      <c r="E7418" s="1331" t="s">
        <v>675</v>
      </c>
      <c r="F7418" s="1334">
        <v>7.1499999999999994E-2</v>
      </c>
      <c r="G7418" s="1104">
        <f>$G$7044</f>
        <v>240000</v>
      </c>
      <c r="H7418" s="1236">
        <f>G7418*F7418</f>
        <v>17160</v>
      </c>
      <c r="M7418" s="1566"/>
    </row>
    <row r="7419" spans="2:13" hidden="1">
      <c r="B7419" s="1543"/>
      <c r="C7419" s="1332" t="s">
        <v>683</v>
      </c>
      <c r="D7419" s="1331" t="s">
        <v>684</v>
      </c>
      <c r="E7419" s="1331" t="s">
        <v>675</v>
      </c>
      <c r="F7419" s="1334">
        <v>0.14299999999999999</v>
      </c>
      <c r="G7419" s="1104">
        <f>$G$7400</f>
        <v>225000</v>
      </c>
      <c r="H7419" s="1236">
        <f>G7419*F7419</f>
        <v>32174.999999999996</v>
      </c>
      <c r="M7419" s="1566"/>
    </row>
    <row r="7420" spans="2:13" hidden="1">
      <c r="B7420" s="1120"/>
      <c r="C7420" s="1253"/>
      <c r="D7420" s="1254"/>
      <c r="E7420" s="1253"/>
      <c r="F7420" s="2080" t="s">
        <v>685</v>
      </c>
      <c r="G7420" s="2081"/>
      <c r="H7420" s="1236">
        <f>SUM(H7416:H7419)</f>
        <v>397390</v>
      </c>
      <c r="M7420" s="1566"/>
    </row>
    <row r="7421" spans="2:13" hidden="1">
      <c r="B7421" s="1543" t="s">
        <v>686</v>
      </c>
      <c r="C7421" s="1332" t="s">
        <v>687</v>
      </c>
      <c r="D7421" s="1331"/>
      <c r="E7421" s="1331"/>
      <c r="F7421" s="1334"/>
      <c r="G7421" s="1104"/>
      <c r="H7421" s="1236"/>
      <c r="M7421" s="1566"/>
    </row>
    <row r="7422" spans="2:13" hidden="1">
      <c r="B7422" s="1543"/>
      <c r="C7422" s="1332" t="s">
        <v>3600</v>
      </c>
      <c r="D7422" s="1331"/>
      <c r="E7422" s="1331" t="s">
        <v>1423</v>
      </c>
      <c r="F7422" s="1334">
        <v>1</v>
      </c>
      <c r="G7422" s="1104">
        <f>DUB!$I$600</f>
        <v>2024190</v>
      </c>
      <c r="H7422" s="1236">
        <f>G7422*F7422</f>
        <v>2024190</v>
      </c>
      <c r="M7422" s="1566"/>
    </row>
    <row r="7423" spans="2:13" hidden="1">
      <c r="B7423" s="1543"/>
      <c r="C7423" s="1332" t="s">
        <v>3601</v>
      </c>
      <c r="D7423" s="1331"/>
      <c r="E7423" s="1331" t="s">
        <v>1423</v>
      </c>
      <c r="F7423" s="1334">
        <v>2</v>
      </c>
      <c r="G7423" s="1104">
        <f>DUB!$I$594</f>
        <v>408690</v>
      </c>
      <c r="H7423" s="1236">
        <f>G7423*F7423</f>
        <v>817380</v>
      </c>
      <c r="M7423" s="1566"/>
    </row>
    <row r="7424" spans="2:13" hidden="1">
      <c r="B7424" s="1543"/>
      <c r="C7424" s="1332"/>
      <c r="D7424" s="1331"/>
      <c r="E7424" s="1331"/>
      <c r="F7424" s="2074" t="s">
        <v>702</v>
      </c>
      <c r="G7424" s="2074"/>
      <c r="H7424" s="1236">
        <f>SUM(H7422:H7423)</f>
        <v>2841570</v>
      </c>
      <c r="M7424" s="1566"/>
    </row>
    <row r="7425" spans="2:13" hidden="1">
      <c r="B7425" s="1543" t="s">
        <v>703</v>
      </c>
      <c r="C7425" s="1332" t="s">
        <v>704</v>
      </c>
      <c r="D7425" s="1331"/>
      <c r="E7425" s="1331"/>
      <c r="F7425" s="1334"/>
      <c r="G7425" s="1104"/>
      <c r="H7425" s="1236"/>
      <c r="M7425" s="1566"/>
    </row>
    <row r="7426" spans="2:13" hidden="1">
      <c r="B7426" s="1543"/>
      <c r="C7426" s="1126" t="s">
        <v>3509</v>
      </c>
      <c r="D7426" s="1331"/>
      <c r="E7426" s="1187" t="s">
        <v>1011</v>
      </c>
      <c r="F7426" s="1179">
        <v>1</v>
      </c>
      <c r="G7426" s="1104">
        <v>50000</v>
      </c>
      <c r="H7426" s="1236">
        <f>G7426*F7426</f>
        <v>50000</v>
      </c>
      <c r="M7426" s="1566"/>
    </row>
    <row r="7427" spans="2:13" hidden="1">
      <c r="B7427" s="1543"/>
      <c r="C7427" s="1332"/>
      <c r="D7427" s="1331"/>
      <c r="E7427" s="1331"/>
      <c r="F7427" s="2074" t="s">
        <v>705</v>
      </c>
      <c r="G7427" s="2074"/>
      <c r="H7427" s="1236">
        <f>SUM(H7426)</f>
        <v>50000</v>
      </c>
      <c r="M7427" s="1566"/>
    </row>
    <row r="7428" spans="2:13" hidden="1">
      <c r="B7428" s="1543" t="s">
        <v>706</v>
      </c>
      <c r="C7428" s="2075" t="s">
        <v>707</v>
      </c>
      <c r="D7428" s="2075"/>
      <c r="E7428" s="2075"/>
      <c r="F7428" s="2075"/>
      <c r="G7428" s="2075"/>
      <c r="H7428" s="1239">
        <f>H7420+H7424+H7427</f>
        <v>3288960</v>
      </c>
      <c r="M7428" s="1566"/>
    </row>
    <row r="7429" spans="2:13" hidden="1">
      <c r="B7429" s="1543" t="s">
        <v>708</v>
      </c>
      <c r="C7429" s="2075" t="s">
        <v>709</v>
      </c>
      <c r="D7429" s="2075"/>
      <c r="E7429" s="2075"/>
      <c r="F7429" s="2077" t="s">
        <v>710</v>
      </c>
      <c r="G7429" s="2077"/>
      <c r="H7429" s="1107">
        <f>H7428*0.15</f>
        <v>493344</v>
      </c>
      <c r="M7429" s="1566"/>
    </row>
    <row r="7430" spans="2:13" hidden="1">
      <c r="B7430" s="1543" t="s">
        <v>711</v>
      </c>
      <c r="C7430" s="2078" t="s">
        <v>712</v>
      </c>
      <c r="D7430" s="2078"/>
      <c r="E7430" s="2078"/>
      <c r="F7430" s="2078"/>
      <c r="G7430" s="2078"/>
      <c r="H7430" s="1107">
        <f>ROUND(SUM(H7428:H7429),2)</f>
        <v>3782304</v>
      </c>
      <c r="M7430" s="1566"/>
    </row>
    <row r="7431" spans="2:13" hidden="1">
      <c r="B7431" s="1255"/>
      <c r="F7431" s="1172"/>
      <c r="G7431" s="1173"/>
      <c r="H7431" s="1711"/>
      <c r="M7431" s="1566"/>
    </row>
    <row r="7432" spans="2:13" hidden="1">
      <c r="B7432" s="1100" t="s">
        <v>4258</v>
      </c>
      <c r="C7432" s="1232" t="s">
        <v>4260</v>
      </c>
      <c r="F7432" s="1172"/>
      <c r="G7432" s="1173"/>
      <c r="H7432" s="1711"/>
      <c r="M7432" s="1566"/>
    </row>
    <row r="7433" spans="2:13" s="507" customFormat="1" ht="24.9" hidden="1" customHeight="1">
      <c r="B7433" s="1748" t="s">
        <v>1003</v>
      </c>
      <c r="C7433" s="1101" t="s">
        <v>1004</v>
      </c>
      <c r="D7433" s="1101" t="s">
        <v>1005</v>
      </c>
      <c r="E7433" s="1101" t="s">
        <v>1006</v>
      </c>
      <c r="F7433" s="1102" t="s">
        <v>1007</v>
      </c>
      <c r="G7433" s="1109" t="s">
        <v>2637</v>
      </c>
      <c r="H7433" s="1235" t="s">
        <v>2638</v>
      </c>
      <c r="J7433" s="1625"/>
      <c r="K7433" s="1625"/>
      <c r="L7433" s="1625"/>
      <c r="M7433" s="1570"/>
    </row>
    <row r="7434" spans="2:13" hidden="1">
      <c r="B7434" s="1543" t="s">
        <v>671</v>
      </c>
      <c r="C7434" s="1332" t="s">
        <v>672</v>
      </c>
      <c r="D7434" s="1331"/>
      <c r="E7434" s="1331"/>
      <c r="F7434" s="1334"/>
      <c r="G7434" s="1104"/>
      <c r="H7434" s="1236"/>
      <c r="M7434" s="1566"/>
    </row>
    <row r="7435" spans="2:13" hidden="1">
      <c r="B7435" s="1543"/>
      <c r="C7435" s="1332" t="s">
        <v>673</v>
      </c>
      <c r="D7435" s="1331" t="s">
        <v>674</v>
      </c>
      <c r="E7435" s="1331" t="s">
        <v>675</v>
      </c>
      <c r="F7435" s="1334">
        <v>1.429</v>
      </c>
      <c r="G7435" s="1104">
        <f>$G$7416</f>
        <v>150000</v>
      </c>
      <c r="H7435" s="1236">
        <f>G7435*F7435</f>
        <v>214350</v>
      </c>
      <c r="M7435" s="1566"/>
    </row>
    <row r="7436" spans="2:13" hidden="1">
      <c r="B7436" s="1543"/>
      <c r="C7436" s="1332" t="s">
        <v>1480</v>
      </c>
      <c r="D7436" s="1331" t="s">
        <v>678</v>
      </c>
      <c r="E7436" s="1331" t="s">
        <v>675</v>
      </c>
      <c r="F7436" s="1334">
        <v>0.71499999999999997</v>
      </c>
      <c r="G7436" s="1104">
        <f>$G$7417</f>
        <v>187000</v>
      </c>
      <c r="H7436" s="1236">
        <f>G7436*F7436</f>
        <v>133705</v>
      </c>
      <c r="M7436" s="1566"/>
    </row>
    <row r="7437" spans="2:13" hidden="1">
      <c r="B7437" s="1543"/>
      <c r="C7437" s="1332" t="s">
        <v>751</v>
      </c>
      <c r="D7437" s="1331" t="s">
        <v>681</v>
      </c>
      <c r="E7437" s="1331" t="s">
        <v>675</v>
      </c>
      <c r="F7437" s="1334">
        <v>7.1499999999999994E-2</v>
      </c>
      <c r="G7437" s="1104">
        <f>$G$7044</f>
        <v>240000</v>
      </c>
      <c r="H7437" s="1236">
        <f>G7437*F7437</f>
        <v>17160</v>
      </c>
      <c r="M7437" s="1566"/>
    </row>
    <row r="7438" spans="2:13" hidden="1">
      <c r="B7438" s="1543"/>
      <c r="C7438" s="1332" t="s">
        <v>683</v>
      </c>
      <c r="D7438" s="1331" t="s">
        <v>684</v>
      </c>
      <c r="E7438" s="1331" t="s">
        <v>675</v>
      </c>
      <c r="F7438" s="1334">
        <v>0.14299999999999999</v>
      </c>
      <c r="G7438" s="1104">
        <f>$G$7419</f>
        <v>225000</v>
      </c>
      <c r="H7438" s="1236">
        <f>G7438*F7438</f>
        <v>32174.999999999996</v>
      </c>
      <c r="M7438" s="1566"/>
    </row>
    <row r="7439" spans="2:13" hidden="1">
      <c r="B7439" s="1120"/>
      <c r="C7439" s="1253"/>
      <c r="D7439" s="1254"/>
      <c r="E7439" s="1253"/>
      <c r="F7439" s="2080" t="s">
        <v>685</v>
      </c>
      <c r="G7439" s="2081"/>
      <c r="H7439" s="1236">
        <f>SUM(H7435:H7438)</f>
        <v>397390</v>
      </c>
      <c r="M7439" s="1566"/>
    </row>
    <row r="7440" spans="2:13" hidden="1">
      <c r="B7440" s="1543" t="s">
        <v>686</v>
      </c>
      <c r="C7440" s="1332" t="s">
        <v>687</v>
      </c>
      <c r="D7440" s="1331"/>
      <c r="E7440" s="1331"/>
      <c r="F7440" s="1334"/>
      <c r="G7440" s="1104"/>
      <c r="H7440" s="1236"/>
      <c r="M7440" s="1566"/>
    </row>
    <row r="7441" spans="2:13" hidden="1">
      <c r="B7441" s="1543"/>
      <c r="C7441" s="1332" t="s">
        <v>3602</v>
      </c>
      <c r="D7441" s="1331"/>
      <c r="E7441" s="1331" t="s">
        <v>1423</v>
      </c>
      <c r="F7441" s="1250">
        <v>1</v>
      </c>
      <c r="G7441" s="1251">
        <f>DUB!$I$599</f>
        <v>4883760</v>
      </c>
      <c r="H7441" s="1236">
        <f>G7441*F7441</f>
        <v>4883760</v>
      </c>
      <c r="M7441" s="1566"/>
    </row>
    <row r="7442" spans="2:13" hidden="1">
      <c r="B7442" s="1543"/>
      <c r="C7442" s="1332" t="s">
        <v>3603</v>
      </c>
      <c r="D7442" s="1331"/>
      <c r="E7442" s="1331" t="s">
        <v>1423</v>
      </c>
      <c r="F7442" s="1334">
        <v>2</v>
      </c>
      <c r="G7442" s="1128">
        <f>DUB!$I$593</f>
        <v>501228</v>
      </c>
      <c r="H7442" s="1236">
        <f>G7442*F7442</f>
        <v>1002456</v>
      </c>
      <c r="M7442" s="1566"/>
    </row>
    <row r="7443" spans="2:13" hidden="1">
      <c r="B7443" s="1543"/>
      <c r="C7443" s="1332"/>
      <c r="D7443" s="1331"/>
      <c r="E7443" s="1331"/>
      <c r="F7443" s="2074" t="s">
        <v>702</v>
      </c>
      <c r="G7443" s="2074"/>
      <c r="H7443" s="1236">
        <f>SUM(H7441:H7442)</f>
        <v>5886216</v>
      </c>
      <c r="M7443" s="1566"/>
    </row>
    <row r="7444" spans="2:13" hidden="1">
      <c r="B7444" s="1543" t="s">
        <v>703</v>
      </c>
      <c r="C7444" s="1332" t="s">
        <v>704</v>
      </c>
      <c r="D7444" s="1331"/>
      <c r="E7444" s="1331"/>
      <c r="F7444" s="1334"/>
      <c r="G7444" s="1104"/>
      <c r="H7444" s="1236"/>
      <c r="M7444" s="1566"/>
    </row>
    <row r="7445" spans="2:13" hidden="1">
      <c r="B7445" s="1543"/>
      <c r="C7445" s="1126" t="s">
        <v>3509</v>
      </c>
      <c r="D7445" s="1331"/>
      <c r="E7445" s="1187" t="s">
        <v>1011</v>
      </c>
      <c r="F7445" s="1179">
        <v>1</v>
      </c>
      <c r="G7445" s="1104">
        <v>50000</v>
      </c>
      <c r="H7445" s="1236">
        <f>G7445*F7445</f>
        <v>50000</v>
      </c>
      <c r="M7445" s="1566"/>
    </row>
    <row r="7446" spans="2:13" hidden="1">
      <c r="B7446" s="1543"/>
      <c r="C7446" s="1332"/>
      <c r="D7446" s="1331"/>
      <c r="E7446" s="1331"/>
      <c r="F7446" s="2074" t="s">
        <v>705</v>
      </c>
      <c r="G7446" s="2074"/>
      <c r="H7446" s="1236">
        <f>SUM(H7445)</f>
        <v>50000</v>
      </c>
      <c r="M7446" s="1566"/>
    </row>
    <row r="7447" spans="2:13" hidden="1">
      <c r="B7447" s="1543" t="s">
        <v>706</v>
      </c>
      <c r="C7447" s="2075" t="s">
        <v>707</v>
      </c>
      <c r="D7447" s="2075"/>
      <c r="E7447" s="2075"/>
      <c r="F7447" s="2075"/>
      <c r="G7447" s="2075"/>
      <c r="H7447" s="1239">
        <f>H7439+H7443+H7446</f>
        <v>6333606</v>
      </c>
      <c r="M7447" s="1566"/>
    </row>
    <row r="7448" spans="2:13" hidden="1">
      <c r="B7448" s="1543" t="s">
        <v>708</v>
      </c>
      <c r="C7448" s="2075" t="s">
        <v>709</v>
      </c>
      <c r="D7448" s="2075"/>
      <c r="E7448" s="2075"/>
      <c r="F7448" s="2077" t="s">
        <v>710</v>
      </c>
      <c r="G7448" s="2077"/>
      <c r="H7448" s="1107">
        <f>H7447*0.15</f>
        <v>950040.89999999991</v>
      </c>
      <c r="M7448" s="1566"/>
    </row>
    <row r="7449" spans="2:13" hidden="1">
      <c r="B7449" s="1543" t="s">
        <v>711</v>
      </c>
      <c r="C7449" s="2078" t="s">
        <v>712</v>
      </c>
      <c r="D7449" s="2078"/>
      <c r="E7449" s="2078"/>
      <c r="F7449" s="2078"/>
      <c r="G7449" s="2078"/>
      <c r="H7449" s="1107">
        <f>ROUND(SUM(H7447:H7448),2)</f>
        <v>7283646.9000000004</v>
      </c>
      <c r="M7449" s="1566"/>
    </row>
    <row r="7450" spans="2:13" hidden="1">
      <c r="F7450" s="1172"/>
      <c r="G7450" s="1173"/>
      <c r="H7450" s="1711"/>
      <c r="M7450" s="1566"/>
    </row>
    <row r="7451" spans="2:13" hidden="1">
      <c r="B7451" s="1100" t="s">
        <v>4257</v>
      </c>
      <c r="C7451" s="1232" t="s">
        <v>4259</v>
      </c>
      <c r="F7451" s="1172"/>
      <c r="G7451" s="1173"/>
      <c r="H7451" s="1711"/>
      <c r="M7451" s="1566"/>
    </row>
    <row r="7452" spans="2:13" s="507" customFormat="1" ht="24.9" hidden="1" customHeight="1">
      <c r="B7452" s="1748" t="s">
        <v>1003</v>
      </c>
      <c r="C7452" s="1101" t="s">
        <v>1004</v>
      </c>
      <c r="D7452" s="1101" t="s">
        <v>1005</v>
      </c>
      <c r="E7452" s="1101" t="s">
        <v>1006</v>
      </c>
      <c r="F7452" s="1102" t="s">
        <v>1007</v>
      </c>
      <c r="G7452" s="1109" t="s">
        <v>2637</v>
      </c>
      <c r="H7452" s="1235" t="s">
        <v>2638</v>
      </c>
      <c r="J7452" s="1625"/>
      <c r="K7452" s="1625"/>
      <c r="L7452" s="1625"/>
      <c r="M7452" s="1570"/>
    </row>
    <row r="7453" spans="2:13" hidden="1">
      <c r="B7453" s="1543" t="s">
        <v>671</v>
      </c>
      <c r="C7453" s="1332" t="s">
        <v>672</v>
      </c>
      <c r="D7453" s="1331"/>
      <c r="E7453" s="1331"/>
      <c r="F7453" s="1334"/>
      <c r="G7453" s="1104"/>
      <c r="H7453" s="1236"/>
      <c r="M7453" s="1566"/>
    </row>
    <row r="7454" spans="2:13" hidden="1">
      <c r="B7454" s="1543"/>
      <c r="C7454" s="1332" t="s">
        <v>673</v>
      </c>
      <c r="D7454" s="1331" t="s">
        <v>674</v>
      </c>
      <c r="E7454" s="1331" t="s">
        <v>675</v>
      </c>
      <c r="F7454" s="1334">
        <v>1.714</v>
      </c>
      <c r="G7454" s="1104">
        <f>$G$7435</f>
        <v>150000</v>
      </c>
      <c r="H7454" s="1236">
        <f>G7454*F7454</f>
        <v>257100</v>
      </c>
      <c r="M7454" s="1566"/>
    </row>
    <row r="7455" spans="2:13" hidden="1">
      <c r="B7455" s="1543"/>
      <c r="C7455" s="1332" t="s">
        <v>1480</v>
      </c>
      <c r="D7455" s="1331" t="s">
        <v>678</v>
      </c>
      <c r="E7455" s="1331" t="s">
        <v>675</v>
      </c>
      <c r="F7455" s="1334">
        <v>0.85699999999999998</v>
      </c>
      <c r="G7455" s="1104">
        <f>$G$7436</f>
        <v>187000</v>
      </c>
      <c r="H7455" s="1236">
        <f>G7455*F7455</f>
        <v>160259</v>
      </c>
      <c r="M7455" s="1566"/>
    </row>
    <row r="7456" spans="2:13" hidden="1">
      <c r="B7456" s="1543"/>
      <c r="C7456" s="1332" t="s">
        <v>751</v>
      </c>
      <c r="D7456" s="1331" t="s">
        <v>681</v>
      </c>
      <c r="E7456" s="1331" t="s">
        <v>675</v>
      </c>
      <c r="F7456" s="1334">
        <v>8.5699999999999998E-2</v>
      </c>
      <c r="G7456" s="1104">
        <f>$G$7044</f>
        <v>240000</v>
      </c>
      <c r="H7456" s="1236">
        <f>G7456*F7456</f>
        <v>20568</v>
      </c>
      <c r="M7456" s="1566"/>
    </row>
    <row r="7457" spans="2:13" hidden="1">
      <c r="B7457" s="1543"/>
      <c r="C7457" s="1332" t="s">
        <v>683</v>
      </c>
      <c r="D7457" s="1331" t="s">
        <v>684</v>
      </c>
      <c r="E7457" s="1331" t="s">
        <v>675</v>
      </c>
      <c r="F7457" s="1334">
        <v>0.17100000000000001</v>
      </c>
      <c r="G7457" s="1104">
        <f>$G$7438</f>
        <v>225000</v>
      </c>
      <c r="H7457" s="1236">
        <f>G7457*F7457</f>
        <v>38475</v>
      </c>
      <c r="M7457" s="1566"/>
    </row>
    <row r="7458" spans="2:13" hidden="1">
      <c r="B7458" s="1120"/>
      <c r="C7458" s="1253"/>
      <c r="D7458" s="1254"/>
      <c r="E7458" s="1253"/>
      <c r="F7458" s="2080" t="s">
        <v>685</v>
      </c>
      <c r="G7458" s="2081"/>
      <c r="H7458" s="1236">
        <f>SUM(H7454:H7457)</f>
        <v>476402</v>
      </c>
      <c r="M7458" s="1566"/>
    </row>
    <row r="7459" spans="2:13" hidden="1">
      <c r="B7459" s="1543" t="s">
        <v>686</v>
      </c>
      <c r="C7459" s="1332" t="s">
        <v>687</v>
      </c>
      <c r="D7459" s="1331"/>
      <c r="E7459" s="1331"/>
      <c r="F7459" s="1334"/>
      <c r="G7459" s="1104"/>
      <c r="H7459" s="1236"/>
      <c r="M7459" s="1566"/>
    </row>
    <row r="7460" spans="2:13" hidden="1">
      <c r="B7460" s="1543"/>
      <c r="C7460" s="1332" t="s">
        <v>3604</v>
      </c>
      <c r="D7460" s="1331"/>
      <c r="E7460" s="1331" t="s">
        <v>1423</v>
      </c>
      <c r="F7460" s="1334">
        <v>1</v>
      </c>
      <c r="G7460" s="1104">
        <f>DUB!$I$598</f>
        <v>9767520</v>
      </c>
      <c r="H7460" s="1236">
        <f>G7460*F7460</f>
        <v>9767520</v>
      </c>
      <c r="M7460" s="1566"/>
    </row>
    <row r="7461" spans="2:13" hidden="1">
      <c r="B7461" s="1543"/>
      <c r="C7461" s="1332" t="s">
        <v>3605</v>
      </c>
      <c r="D7461" s="1331"/>
      <c r="E7461" s="1331" t="s">
        <v>1423</v>
      </c>
      <c r="F7461" s="1334">
        <v>2</v>
      </c>
      <c r="G7461" s="1104">
        <f>DUB!$I$592</f>
        <v>578340</v>
      </c>
      <c r="H7461" s="1236">
        <f>G7461*F7461</f>
        <v>1156680</v>
      </c>
      <c r="M7461" s="1566"/>
    </row>
    <row r="7462" spans="2:13" hidden="1">
      <c r="B7462" s="1543"/>
      <c r="C7462" s="1332"/>
      <c r="D7462" s="1331"/>
      <c r="E7462" s="1331"/>
      <c r="F7462" s="2074" t="s">
        <v>702</v>
      </c>
      <c r="G7462" s="2074"/>
      <c r="H7462" s="1236">
        <f>SUM(H7460:H7461)</f>
        <v>10924200</v>
      </c>
      <c r="M7462" s="1566"/>
    </row>
    <row r="7463" spans="2:13" hidden="1">
      <c r="B7463" s="1543" t="s">
        <v>703</v>
      </c>
      <c r="C7463" s="1332" t="s">
        <v>704</v>
      </c>
      <c r="D7463" s="1331"/>
      <c r="E7463" s="1331"/>
      <c r="F7463" s="1334"/>
      <c r="G7463" s="1104"/>
      <c r="H7463" s="1236"/>
      <c r="M7463" s="1566"/>
    </row>
    <row r="7464" spans="2:13" hidden="1">
      <c r="B7464" s="1543"/>
      <c r="C7464" s="1126" t="s">
        <v>3509</v>
      </c>
      <c r="D7464" s="1331"/>
      <c r="E7464" s="1187" t="s">
        <v>1011</v>
      </c>
      <c r="F7464" s="1179">
        <v>1</v>
      </c>
      <c r="G7464" s="1104">
        <v>100000</v>
      </c>
      <c r="H7464" s="1236">
        <f>G7464*F7464</f>
        <v>100000</v>
      </c>
      <c r="M7464" s="1566"/>
    </row>
    <row r="7465" spans="2:13" hidden="1">
      <c r="B7465" s="1543"/>
      <c r="C7465" s="1332"/>
      <c r="D7465" s="1331"/>
      <c r="E7465" s="1331"/>
      <c r="F7465" s="2074" t="s">
        <v>705</v>
      </c>
      <c r="G7465" s="2074"/>
      <c r="H7465" s="1236">
        <f>SUM(H7464)</f>
        <v>100000</v>
      </c>
      <c r="M7465" s="1566"/>
    </row>
    <row r="7466" spans="2:13" hidden="1">
      <c r="B7466" s="1543" t="s">
        <v>706</v>
      </c>
      <c r="C7466" s="2075" t="s">
        <v>707</v>
      </c>
      <c r="D7466" s="2075"/>
      <c r="E7466" s="2075"/>
      <c r="F7466" s="2075"/>
      <c r="G7466" s="2075"/>
      <c r="H7466" s="1239">
        <f>H7458+H7462+H7465</f>
        <v>11500602</v>
      </c>
      <c r="M7466" s="1566"/>
    </row>
    <row r="7467" spans="2:13" hidden="1">
      <c r="B7467" s="1543" t="s">
        <v>708</v>
      </c>
      <c r="C7467" s="2075" t="s">
        <v>709</v>
      </c>
      <c r="D7467" s="2075"/>
      <c r="E7467" s="2075"/>
      <c r="F7467" s="2077" t="s">
        <v>710</v>
      </c>
      <c r="G7467" s="2077"/>
      <c r="H7467" s="1107">
        <f>H7466*0.15</f>
        <v>1725090.3</v>
      </c>
      <c r="M7467" s="1566"/>
    </row>
    <row r="7468" spans="2:13" hidden="1">
      <c r="B7468" s="1543" t="s">
        <v>711</v>
      </c>
      <c r="C7468" s="2078" t="s">
        <v>712</v>
      </c>
      <c r="D7468" s="2078"/>
      <c r="E7468" s="2078"/>
      <c r="F7468" s="2078"/>
      <c r="G7468" s="2078"/>
      <c r="H7468" s="1107">
        <f>ROUND(SUM(H7466:H7467),2)</f>
        <v>13225692.300000001</v>
      </c>
      <c r="M7468" s="1566"/>
    </row>
    <row r="7469" spans="2:13" hidden="1">
      <c r="B7469" s="1143"/>
      <c r="C7469" s="1144"/>
      <c r="D7469" s="1143"/>
      <c r="E7469" s="1143"/>
      <c r="F7469" s="1145"/>
      <c r="G7469" s="1146"/>
      <c r="H7469" s="1252"/>
      <c r="M7469" s="1566"/>
    </row>
    <row r="7470" spans="2:13" hidden="1">
      <c r="B7470" s="1100" t="s">
        <v>4263</v>
      </c>
      <c r="C7470" s="1112" t="s">
        <v>4264</v>
      </c>
      <c r="D7470" s="1129"/>
      <c r="E7470" s="1129"/>
      <c r="F7470" s="1131"/>
      <c r="G7470" s="1132"/>
      <c r="H7470" s="1249"/>
      <c r="M7470" s="1566"/>
    </row>
    <row r="7471" spans="2:13" s="507" customFormat="1" ht="24.9" hidden="1" customHeight="1">
      <c r="B7471" s="1748" t="s">
        <v>1003</v>
      </c>
      <c r="C7471" s="1101" t="s">
        <v>1004</v>
      </c>
      <c r="D7471" s="1101" t="s">
        <v>1005</v>
      </c>
      <c r="E7471" s="1101" t="s">
        <v>1006</v>
      </c>
      <c r="F7471" s="1102" t="s">
        <v>1007</v>
      </c>
      <c r="G7471" s="1109" t="s">
        <v>2637</v>
      </c>
      <c r="H7471" s="1235" t="s">
        <v>2638</v>
      </c>
      <c r="J7471" s="1625"/>
      <c r="K7471" s="1625"/>
      <c r="L7471" s="1625"/>
      <c r="M7471" s="1570"/>
    </row>
    <row r="7472" spans="2:13" hidden="1">
      <c r="B7472" s="1543" t="s">
        <v>671</v>
      </c>
      <c r="C7472" s="1332" t="s">
        <v>672</v>
      </c>
      <c r="D7472" s="1331"/>
      <c r="E7472" s="1331"/>
      <c r="F7472" s="1334"/>
      <c r="G7472" s="1104"/>
      <c r="H7472" s="1236"/>
      <c r="M7472" s="1566"/>
    </row>
    <row r="7473" spans="2:13" hidden="1">
      <c r="B7473" s="1543"/>
      <c r="C7473" s="1332" t="s">
        <v>673</v>
      </c>
      <c r="D7473" s="1331" t="s">
        <v>674</v>
      </c>
      <c r="E7473" s="1331" t="s">
        <v>675</v>
      </c>
      <c r="F7473" s="1334">
        <v>1.714</v>
      </c>
      <c r="G7473" s="1104">
        <f>$G$7454</f>
        <v>150000</v>
      </c>
      <c r="H7473" s="1236">
        <f>G7473*F7473</f>
        <v>257100</v>
      </c>
      <c r="M7473" s="1566"/>
    </row>
    <row r="7474" spans="2:13" hidden="1">
      <c r="B7474" s="1543"/>
      <c r="C7474" s="1332" t="s">
        <v>1480</v>
      </c>
      <c r="D7474" s="1331" t="s">
        <v>678</v>
      </c>
      <c r="E7474" s="1331" t="s">
        <v>675</v>
      </c>
      <c r="F7474" s="1334">
        <v>0.85699999999999998</v>
      </c>
      <c r="G7474" s="1104">
        <f>$G$7455</f>
        <v>187000</v>
      </c>
      <c r="H7474" s="1236">
        <f>G7474*F7474</f>
        <v>160259</v>
      </c>
      <c r="M7474" s="1566"/>
    </row>
    <row r="7475" spans="2:13" hidden="1">
      <c r="B7475" s="1543"/>
      <c r="C7475" s="1332" t="s">
        <v>751</v>
      </c>
      <c r="D7475" s="1331" t="s">
        <v>681</v>
      </c>
      <c r="E7475" s="1331" t="s">
        <v>675</v>
      </c>
      <c r="F7475" s="1334">
        <v>8.5699999999999998E-2</v>
      </c>
      <c r="G7475" s="1104">
        <f>$G$7044</f>
        <v>240000</v>
      </c>
      <c r="H7475" s="1236">
        <f>G7475*F7475</f>
        <v>20568</v>
      </c>
      <c r="M7475" s="1566"/>
    </row>
    <row r="7476" spans="2:13" hidden="1">
      <c r="B7476" s="1543"/>
      <c r="C7476" s="1332" t="s">
        <v>683</v>
      </c>
      <c r="D7476" s="1331" t="s">
        <v>684</v>
      </c>
      <c r="E7476" s="1331" t="s">
        <v>675</v>
      </c>
      <c r="F7476" s="1334">
        <v>0.17100000000000001</v>
      </c>
      <c r="G7476" s="1104">
        <f>$G$7457</f>
        <v>225000</v>
      </c>
      <c r="H7476" s="1236">
        <f>G7476*F7476</f>
        <v>38475</v>
      </c>
      <c r="M7476" s="1566"/>
    </row>
    <row r="7477" spans="2:13" hidden="1">
      <c r="B7477" s="1120"/>
      <c r="C7477" s="1253"/>
      <c r="D7477" s="1254"/>
      <c r="E7477" s="1253"/>
      <c r="F7477" s="2080" t="s">
        <v>685</v>
      </c>
      <c r="G7477" s="2081"/>
      <c r="H7477" s="1236">
        <f>SUM(H7473:H7476)</f>
        <v>476402</v>
      </c>
      <c r="M7477" s="1566"/>
    </row>
    <row r="7478" spans="2:13" hidden="1">
      <c r="B7478" s="1543" t="s">
        <v>686</v>
      </c>
      <c r="C7478" s="1332" t="s">
        <v>687</v>
      </c>
      <c r="D7478" s="1331"/>
      <c r="E7478" s="1331"/>
      <c r="F7478" s="1334"/>
      <c r="G7478" s="1104"/>
      <c r="H7478" s="1236"/>
      <c r="M7478" s="1566"/>
    </row>
    <row r="7479" spans="2:13" hidden="1">
      <c r="B7479" s="1543"/>
      <c r="C7479" s="1332" t="s">
        <v>3606</v>
      </c>
      <c r="D7479" s="1331"/>
      <c r="E7479" s="1331" t="s">
        <v>1423</v>
      </c>
      <c r="F7479" s="1334">
        <v>1</v>
      </c>
      <c r="G7479" s="1104">
        <f>DUB!$I$597</f>
        <v>19535040</v>
      </c>
      <c r="H7479" s="1236">
        <f>G7479*F7479</f>
        <v>19535040</v>
      </c>
      <c r="M7479" s="1566"/>
    </row>
    <row r="7480" spans="2:13" hidden="1">
      <c r="B7480" s="1543"/>
      <c r="C7480" s="1332" t="s">
        <v>3607</v>
      </c>
      <c r="D7480" s="1331"/>
      <c r="E7480" s="1331" t="s">
        <v>1423</v>
      </c>
      <c r="F7480" s="1334">
        <v>2</v>
      </c>
      <c r="G7480" s="1104">
        <f>DUB!$I$591</f>
        <v>670869</v>
      </c>
      <c r="H7480" s="1236">
        <f>G7480*F7480</f>
        <v>1341738</v>
      </c>
      <c r="M7480" s="1566"/>
    </row>
    <row r="7481" spans="2:13" hidden="1">
      <c r="B7481" s="1543"/>
      <c r="C7481" s="1332"/>
      <c r="D7481" s="1331"/>
      <c r="E7481" s="1331"/>
      <c r="F7481" s="2074" t="s">
        <v>702</v>
      </c>
      <c r="G7481" s="2074"/>
      <c r="H7481" s="1236">
        <f>SUM(H7479:H7480)</f>
        <v>20876778</v>
      </c>
      <c r="M7481" s="1566"/>
    </row>
    <row r="7482" spans="2:13" hidden="1">
      <c r="B7482" s="1543" t="s">
        <v>703</v>
      </c>
      <c r="C7482" s="1332" t="s">
        <v>704</v>
      </c>
      <c r="D7482" s="1331"/>
      <c r="E7482" s="1331"/>
      <c r="F7482" s="1334"/>
      <c r="G7482" s="1104"/>
      <c r="H7482" s="1236"/>
      <c r="M7482" s="1566"/>
    </row>
    <row r="7483" spans="2:13" hidden="1">
      <c r="B7483" s="1543"/>
      <c r="C7483" s="1126" t="s">
        <v>3509</v>
      </c>
      <c r="D7483" s="1331"/>
      <c r="E7483" s="1187" t="s">
        <v>1011</v>
      </c>
      <c r="F7483" s="1179">
        <v>1</v>
      </c>
      <c r="G7483" s="1104">
        <v>120000</v>
      </c>
      <c r="H7483" s="1236">
        <f>G7483*F7483</f>
        <v>120000</v>
      </c>
      <c r="M7483" s="1566"/>
    </row>
    <row r="7484" spans="2:13" hidden="1">
      <c r="B7484" s="1543"/>
      <c r="C7484" s="1332"/>
      <c r="D7484" s="1331"/>
      <c r="E7484" s="1331"/>
      <c r="F7484" s="2074" t="s">
        <v>705</v>
      </c>
      <c r="G7484" s="2074"/>
      <c r="H7484" s="1236">
        <f>SUM(H7483)</f>
        <v>120000</v>
      </c>
      <c r="M7484" s="1566"/>
    </row>
    <row r="7485" spans="2:13" hidden="1">
      <c r="B7485" s="1543" t="s">
        <v>706</v>
      </c>
      <c r="C7485" s="2075" t="s">
        <v>707</v>
      </c>
      <c r="D7485" s="2075"/>
      <c r="E7485" s="2075"/>
      <c r="F7485" s="2075"/>
      <c r="G7485" s="2075"/>
      <c r="H7485" s="1239">
        <f>H7477+H7481+H7484</f>
        <v>21473180</v>
      </c>
      <c r="M7485" s="1566"/>
    </row>
    <row r="7486" spans="2:13" hidden="1">
      <c r="B7486" s="1543" t="s">
        <v>708</v>
      </c>
      <c r="C7486" s="2075" t="s">
        <v>709</v>
      </c>
      <c r="D7486" s="2075"/>
      <c r="E7486" s="2075"/>
      <c r="F7486" s="2077" t="s">
        <v>710</v>
      </c>
      <c r="G7486" s="2077"/>
      <c r="H7486" s="1107">
        <f>H7485*0.15</f>
        <v>3220977</v>
      </c>
      <c r="M7486" s="1566"/>
    </row>
    <row r="7487" spans="2:13" hidden="1">
      <c r="B7487" s="1543" t="s">
        <v>711</v>
      </c>
      <c r="C7487" s="2078" t="s">
        <v>712</v>
      </c>
      <c r="D7487" s="2078"/>
      <c r="E7487" s="2078"/>
      <c r="F7487" s="2078"/>
      <c r="G7487" s="2078"/>
      <c r="H7487" s="1107">
        <f>ROUND(SUM(H7485:H7486),2)</f>
        <v>24694157</v>
      </c>
      <c r="M7487" s="1566"/>
    </row>
    <row r="7488" spans="2:13" hidden="1">
      <c r="F7488" s="1172"/>
      <c r="G7488" s="1173"/>
      <c r="H7488" s="1711"/>
      <c r="M7488" s="1566"/>
    </row>
    <row r="7489" spans="2:13" hidden="1">
      <c r="B7489" s="1100" t="s">
        <v>4265</v>
      </c>
      <c r="C7489" s="1112" t="s">
        <v>4266</v>
      </c>
      <c r="D7489" s="1129"/>
      <c r="E7489" s="1129"/>
      <c r="F7489" s="1131"/>
      <c r="G7489" s="1132"/>
      <c r="H7489" s="1249"/>
      <c r="M7489" s="1566"/>
    </row>
    <row r="7490" spans="2:13" s="507" customFormat="1" ht="24.9" hidden="1" customHeight="1">
      <c r="B7490" s="1748" t="s">
        <v>1003</v>
      </c>
      <c r="C7490" s="1101" t="s">
        <v>1004</v>
      </c>
      <c r="D7490" s="1101" t="s">
        <v>1005</v>
      </c>
      <c r="E7490" s="1101" t="s">
        <v>1006</v>
      </c>
      <c r="F7490" s="1102" t="s">
        <v>1007</v>
      </c>
      <c r="G7490" s="1109" t="s">
        <v>2637</v>
      </c>
      <c r="H7490" s="1235" t="s">
        <v>2638</v>
      </c>
      <c r="J7490" s="1625"/>
      <c r="K7490" s="1625"/>
      <c r="L7490" s="1625"/>
      <c r="M7490" s="1570"/>
    </row>
    <row r="7491" spans="2:13" hidden="1">
      <c r="B7491" s="1543" t="s">
        <v>671</v>
      </c>
      <c r="C7491" s="1332" t="s">
        <v>672</v>
      </c>
      <c r="D7491" s="1331"/>
      <c r="E7491" s="1331"/>
      <c r="F7491" s="1334"/>
      <c r="G7491" s="1104"/>
      <c r="H7491" s="1236"/>
      <c r="M7491" s="1566"/>
    </row>
    <row r="7492" spans="2:13" hidden="1">
      <c r="B7492" s="1543"/>
      <c r="C7492" s="1332" t="s">
        <v>673</v>
      </c>
      <c r="D7492" s="1331" t="s">
        <v>674</v>
      </c>
      <c r="E7492" s="1331" t="s">
        <v>675</v>
      </c>
      <c r="F7492" s="1334">
        <v>1.714</v>
      </c>
      <c r="G7492" s="1104">
        <f>$G$7473</f>
        <v>150000</v>
      </c>
      <c r="H7492" s="1236">
        <f>G7492*F7492</f>
        <v>257100</v>
      </c>
      <c r="M7492" s="1566"/>
    </row>
    <row r="7493" spans="2:13" hidden="1">
      <c r="B7493" s="1543"/>
      <c r="C7493" s="1332" t="s">
        <v>1480</v>
      </c>
      <c r="D7493" s="1331" t="s">
        <v>678</v>
      </c>
      <c r="E7493" s="1331" t="s">
        <v>675</v>
      </c>
      <c r="F7493" s="1334">
        <v>0.85699999999999998</v>
      </c>
      <c r="G7493" s="1104">
        <f>$G$7474</f>
        <v>187000</v>
      </c>
      <c r="H7493" s="1236">
        <f>G7493*F7493</f>
        <v>160259</v>
      </c>
      <c r="M7493" s="1566"/>
    </row>
    <row r="7494" spans="2:13" hidden="1">
      <c r="B7494" s="1543"/>
      <c r="C7494" s="1332" t="s">
        <v>751</v>
      </c>
      <c r="D7494" s="1331" t="s">
        <v>681</v>
      </c>
      <c r="E7494" s="1331" t="s">
        <v>675</v>
      </c>
      <c r="F7494" s="1334">
        <v>8.5699999999999998E-2</v>
      </c>
      <c r="G7494" s="1104">
        <f>$G$7044</f>
        <v>240000</v>
      </c>
      <c r="H7494" s="1236">
        <f>G7494*F7494</f>
        <v>20568</v>
      </c>
      <c r="M7494" s="1566"/>
    </row>
    <row r="7495" spans="2:13" hidden="1">
      <c r="B7495" s="1543"/>
      <c r="C7495" s="1332" t="s">
        <v>683</v>
      </c>
      <c r="D7495" s="1331" t="s">
        <v>684</v>
      </c>
      <c r="E7495" s="1331" t="s">
        <v>675</v>
      </c>
      <c r="F7495" s="1334">
        <v>0.17100000000000001</v>
      </c>
      <c r="G7495" s="1104">
        <f>$G$7476</f>
        <v>225000</v>
      </c>
      <c r="H7495" s="1236">
        <f>G7495*F7495</f>
        <v>38475</v>
      </c>
      <c r="M7495" s="1566"/>
    </row>
    <row r="7496" spans="2:13" hidden="1">
      <c r="B7496" s="1120"/>
      <c r="C7496" s="1253"/>
      <c r="D7496" s="1254"/>
      <c r="E7496" s="1253"/>
      <c r="F7496" s="2080" t="s">
        <v>685</v>
      </c>
      <c r="G7496" s="2081"/>
      <c r="H7496" s="1236">
        <f>SUM(H7492:H7495)</f>
        <v>476402</v>
      </c>
      <c r="M7496" s="1566"/>
    </row>
    <row r="7497" spans="2:13" hidden="1">
      <c r="B7497" s="1543" t="s">
        <v>686</v>
      </c>
      <c r="C7497" s="1332" t="s">
        <v>687</v>
      </c>
      <c r="D7497" s="1331"/>
      <c r="E7497" s="1331"/>
      <c r="F7497" s="1334"/>
      <c r="G7497" s="1104"/>
      <c r="H7497" s="1236"/>
      <c r="M7497" s="1566"/>
    </row>
    <row r="7498" spans="2:13" hidden="1">
      <c r="B7498" s="1543"/>
      <c r="C7498" s="1332" t="s">
        <v>3608</v>
      </c>
      <c r="D7498" s="1331"/>
      <c r="E7498" s="1331" t="s">
        <v>1423</v>
      </c>
      <c r="F7498" s="1334">
        <v>1</v>
      </c>
      <c r="G7498" s="1104">
        <f>DUB!$I$596</f>
        <v>24418800</v>
      </c>
      <c r="H7498" s="1236">
        <f>G7498*F7498</f>
        <v>24418800</v>
      </c>
      <c r="M7498" s="1566"/>
    </row>
    <row r="7499" spans="2:13" hidden="1">
      <c r="B7499" s="1543"/>
      <c r="C7499" s="1332" t="s">
        <v>3609</v>
      </c>
      <c r="D7499" s="1331"/>
      <c r="E7499" s="1331" t="s">
        <v>1423</v>
      </c>
      <c r="F7499" s="1334">
        <v>2</v>
      </c>
      <c r="G7499" s="1104">
        <f>DUB!$I$590</f>
        <v>778824</v>
      </c>
      <c r="H7499" s="1236">
        <f>G7499*F7499</f>
        <v>1557648</v>
      </c>
      <c r="M7499" s="1566"/>
    </row>
    <row r="7500" spans="2:13" hidden="1">
      <c r="B7500" s="1543"/>
      <c r="C7500" s="1332"/>
      <c r="D7500" s="1331"/>
      <c r="E7500" s="1331"/>
      <c r="F7500" s="2074" t="s">
        <v>702</v>
      </c>
      <c r="G7500" s="2074"/>
      <c r="H7500" s="1236">
        <f>SUM(H7498:H7499)</f>
        <v>25976448</v>
      </c>
      <c r="M7500" s="1566"/>
    </row>
    <row r="7501" spans="2:13" hidden="1">
      <c r="B7501" s="1543" t="s">
        <v>703</v>
      </c>
      <c r="C7501" s="1332" t="s">
        <v>704</v>
      </c>
      <c r="D7501" s="1331"/>
      <c r="E7501" s="1331"/>
      <c r="F7501" s="1334"/>
      <c r="G7501" s="1104"/>
      <c r="H7501" s="1236"/>
      <c r="M7501" s="1566"/>
    </row>
    <row r="7502" spans="2:13" hidden="1">
      <c r="B7502" s="1543"/>
      <c r="C7502" s="1126" t="s">
        <v>3509</v>
      </c>
      <c r="D7502" s="1331"/>
      <c r="E7502" s="1187" t="s">
        <v>1011</v>
      </c>
      <c r="F7502" s="1179">
        <v>1</v>
      </c>
      <c r="G7502" s="1104">
        <v>150000</v>
      </c>
      <c r="H7502" s="1236">
        <f>G7502*F7502</f>
        <v>150000</v>
      </c>
      <c r="M7502" s="1566"/>
    </row>
    <row r="7503" spans="2:13" hidden="1">
      <c r="B7503" s="1543"/>
      <c r="C7503" s="1332"/>
      <c r="D7503" s="1331"/>
      <c r="E7503" s="1331"/>
      <c r="F7503" s="2074" t="s">
        <v>705</v>
      </c>
      <c r="G7503" s="2074"/>
      <c r="H7503" s="1236">
        <f>SUM(H7502)</f>
        <v>150000</v>
      </c>
      <c r="M7503" s="1566"/>
    </row>
    <row r="7504" spans="2:13" hidden="1">
      <c r="B7504" s="1543" t="s">
        <v>706</v>
      </c>
      <c r="C7504" s="2075" t="s">
        <v>707</v>
      </c>
      <c r="D7504" s="2075"/>
      <c r="E7504" s="2075"/>
      <c r="F7504" s="2075"/>
      <c r="G7504" s="2075"/>
      <c r="H7504" s="1239">
        <f>H7496+H7500+H7503</f>
        <v>26602850</v>
      </c>
      <c r="M7504" s="1566"/>
    </row>
    <row r="7505" spans="2:13" hidden="1">
      <c r="B7505" s="1543" t="s">
        <v>708</v>
      </c>
      <c r="C7505" s="2075" t="s">
        <v>709</v>
      </c>
      <c r="D7505" s="2075"/>
      <c r="E7505" s="2075"/>
      <c r="F7505" s="2077" t="s">
        <v>710</v>
      </c>
      <c r="G7505" s="2077"/>
      <c r="H7505" s="1107">
        <f>H7504*0.15</f>
        <v>3990427.5</v>
      </c>
      <c r="M7505" s="1566"/>
    </row>
    <row r="7506" spans="2:13" hidden="1">
      <c r="B7506" s="1543" t="s">
        <v>711</v>
      </c>
      <c r="C7506" s="2078" t="s">
        <v>712</v>
      </c>
      <c r="D7506" s="2078"/>
      <c r="E7506" s="2078"/>
      <c r="F7506" s="2078"/>
      <c r="G7506" s="2078"/>
      <c r="H7506" s="1107">
        <f>ROUND(SUM(H7504:H7505),2)</f>
        <v>30593277.5</v>
      </c>
      <c r="M7506" s="1566"/>
    </row>
    <row r="7507" spans="2:13" hidden="1">
      <c r="B7507" s="1129"/>
      <c r="C7507" s="1130"/>
      <c r="D7507" s="1129"/>
      <c r="E7507" s="1129"/>
      <c r="F7507" s="1131"/>
      <c r="G7507" s="1132"/>
      <c r="H7507" s="1249"/>
      <c r="M7507" s="1566"/>
    </row>
    <row r="7508" spans="2:13" hidden="1">
      <c r="B7508" s="1100" t="s">
        <v>3610</v>
      </c>
      <c r="C7508" s="1112" t="s">
        <v>4267</v>
      </c>
      <c r="D7508" s="1129"/>
      <c r="E7508" s="1129"/>
      <c r="F7508" s="1131"/>
      <c r="G7508" s="1132"/>
      <c r="H7508" s="1249"/>
      <c r="M7508" s="1566"/>
    </row>
    <row r="7509" spans="2:13" s="507" customFormat="1" ht="24.9" hidden="1" customHeight="1">
      <c r="B7509" s="1748" t="s">
        <v>1003</v>
      </c>
      <c r="C7509" s="1101" t="s">
        <v>1004</v>
      </c>
      <c r="D7509" s="1101" t="s">
        <v>1005</v>
      </c>
      <c r="E7509" s="1101" t="s">
        <v>1006</v>
      </c>
      <c r="F7509" s="1102" t="s">
        <v>1007</v>
      </c>
      <c r="G7509" s="1109" t="s">
        <v>2637</v>
      </c>
      <c r="H7509" s="1235" t="s">
        <v>2638</v>
      </c>
      <c r="J7509" s="1625"/>
      <c r="K7509" s="1625"/>
      <c r="L7509" s="1625"/>
      <c r="M7509" s="1570"/>
    </row>
    <row r="7510" spans="2:13" hidden="1">
      <c r="B7510" s="1543" t="s">
        <v>671</v>
      </c>
      <c r="C7510" s="1332" t="s">
        <v>672</v>
      </c>
      <c r="D7510" s="1331"/>
      <c r="E7510" s="1331"/>
      <c r="F7510" s="1334"/>
      <c r="G7510" s="1104"/>
      <c r="H7510" s="1236"/>
      <c r="M7510" s="1566"/>
    </row>
    <row r="7511" spans="2:13" hidden="1">
      <c r="B7511" s="1543"/>
      <c r="C7511" s="1332" t="s">
        <v>673</v>
      </c>
      <c r="D7511" s="1331" t="s">
        <v>674</v>
      </c>
      <c r="E7511" s="1331" t="s">
        <v>675</v>
      </c>
      <c r="F7511" s="1334">
        <v>0.106</v>
      </c>
      <c r="G7511" s="1104">
        <f>$G$7492</f>
        <v>150000</v>
      </c>
      <c r="H7511" s="1236">
        <f>G7511*F7511</f>
        <v>15900</v>
      </c>
      <c r="M7511" s="1566"/>
    </row>
    <row r="7512" spans="2:13" hidden="1">
      <c r="B7512" s="1543"/>
      <c r="C7512" s="1332" t="s">
        <v>1480</v>
      </c>
      <c r="D7512" s="1331" t="s">
        <v>678</v>
      </c>
      <c r="E7512" s="1331" t="s">
        <v>675</v>
      </c>
      <c r="F7512" s="1334">
        <v>5.2999999999999999E-2</v>
      </c>
      <c r="G7512" s="1104">
        <f>$G$7493</f>
        <v>187000</v>
      </c>
      <c r="H7512" s="1236">
        <f>G7512*F7512</f>
        <v>9911</v>
      </c>
      <c r="M7512" s="1566"/>
    </row>
    <row r="7513" spans="2:13" hidden="1">
      <c r="B7513" s="1543"/>
      <c r="C7513" s="1332" t="s">
        <v>751</v>
      </c>
      <c r="D7513" s="1331" t="s">
        <v>681</v>
      </c>
      <c r="E7513" s="1331" t="s">
        <v>675</v>
      </c>
      <c r="F7513" s="1334">
        <v>5.3E-3</v>
      </c>
      <c r="G7513" s="1104">
        <f>$G$7044</f>
        <v>240000</v>
      </c>
      <c r="H7513" s="1236">
        <f>G7513*F7513</f>
        <v>1272</v>
      </c>
      <c r="M7513" s="1566"/>
    </row>
    <row r="7514" spans="2:13" hidden="1">
      <c r="B7514" s="1543"/>
      <c r="C7514" s="1332" t="s">
        <v>683</v>
      </c>
      <c r="D7514" s="1331" t="s">
        <v>684</v>
      </c>
      <c r="E7514" s="1331" t="s">
        <v>675</v>
      </c>
      <c r="F7514" s="1334">
        <v>1.0999999999999999E-2</v>
      </c>
      <c r="G7514" s="1104">
        <f>$G$7495</f>
        <v>225000</v>
      </c>
      <c r="H7514" s="1236">
        <f>G7514*F7514</f>
        <v>2475</v>
      </c>
      <c r="M7514" s="1566"/>
    </row>
    <row r="7515" spans="2:13" hidden="1">
      <c r="B7515" s="1120"/>
      <c r="C7515" s="1253"/>
      <c r="D7515" s="1254"/>
      <c r="E7515" s="1253"/>
      <c r="F7515" s="2080" t="s">
        <v>685</v>
      </c>
      <c r="G7515" s="2081"/>
      <c r="H7515" s="1236">
        <f>SUM(H7511:H7514)</f>
        <v>29558</v>
      </c>
      <c r="M7515" s="1566"/>
    </row>
    <row r="7516" spans="2:13" hidden="1">
      <c r="B7516" s="1543" t="s">
        <v>686</v>
      </c>
      <c r="C7516" s="1332" t="s">
        <v>687</v>
      </c>
      <c r="D7516" s="1331"/>
      <c r="E7516" s="1331"/>
      <c r="F7516" s="1334"/>
      <c r="G7516" s="1104"/>
      <c r="H7516" s="1236"/>
      <c r="M7516" s="1566"/>
    </row>
    <row r="7517" spans="2:13" hidden="1">
      <c r="B7517" s="1543"/>
      <c r="C7517" s="1332" t="s">
        <v>3611</v>
      </c>
      <c r="D7517" s="1331"/>
      <c r="E7517" s="1331" t="s">
        <v>1423</v>
      </c>
      <c r="F7517" s="1334">
        <v>1</v>
      </c>
      <c r="G7517" s="1104">
        <f>DUB!$I$604</f>
        <v>541962</v>
      </c>
      <c r="H7517" s="1236">
        <f>G7517*F7517</f>
        <v>541962</v>
      </c>
      <c r="M7517" s="1566"/>
    </row>
    <row r="7518" spans="2:13" hidden="1">
      <c r="B7518" s="1543"/>
      <c r="C7518" s="1332"/>
      <c r="D7518" s="1331"/>
      <c r="E7518" s="1331"/>
      <c r="F7518" s="2074" t="s">
        <v>702</v>
      </c>
      <c r="G7518" s="2074"/>
      <c r="H7518" s="1236">
        <f>SUM(H7517)</f>
        <v>541962</v>
      </c>
      <c r="M7518" s="1566"/>
    </row>
    <row r="7519" spans="2:13" hidden="1">
      <c r="B7519" s="1543" t="s">
        <v>703</v>
      </c>
      <c r="C7519" s="1332" t="s">
        <v>704</v>
      </c>
      <c r="D7519" s="1331"/>
      <c r="E7519" s="1331"/>
      <c r="F7519" s="1334"/>
      <c r="G7519" s="1104"/>
      <c r="H7519" s="1236"/>
      <c r="M7519" s="1566"/>
    </row>
    <row r="7520" spans="2:13" hidden="1">
      <c r="B7520" s="1543"/>
      <c r="C7520" s="1126" t="s">
        <v>3509</v>
      </c>
      <c r="D7520" s="1331"/>
      <c r="E7520" s="1187" t="s">
        <v>1011</v>
      </c>
      <c r="F7520" s="1179">
        <v>1</v>
      </c>
      <c r="G7520" s="1104">
        <v>50000</v>
      </c>
      <c r="H7520" s="1236">
        <f>G7520*F7520</f>
        <v>50000</v>
      </c>
      <c r="M7520" s="1566"/>
    </row>
    <row r="7521" spans="2:13" hidden="1">
      <c r="B7521" s="1543"/>
      <c r="C7521" s="1332"/>
      <c r="D7521" s="1331"/>
      <c r="E7521" s="1331"/>
      <c r="F7521" s="2074" t="s">
        <v>705</v>
      </c>
      <c r="G7521" s="2074"/>
      <c r="H7521" s="1236">
        <f>SUM(H7520)</f>
        <v>50000</v>
      </c>
      <c r="M7521" s="1566"/>
    </row>
    <row r="7522" spans="2:13" hidden="1">
      <c r="B7522" s="1543" t="s">
        <v>706</v>
      </c>
      <c r="C7522" s="2075" t="s">
        <v>707</v>
      </c>
      <c r="D7522" s="2075"/>
      <c r="E7522" s="2075"/>
      <c r="F7522" s="2075"/>
      <c r="G7522" s="2075"/>
      <c r="H7522" s="1239">
        <f>H7515+H7518+H7521</f>
        <v>621520</v>
      </c>
      <c r="M7522" s="1566"/>
    </row>
    <row r="7523" spans="2:13" hidden="1">
      <c r="B7523" s="1543" t="s">
        <v>708</v>
      </c>
      <c r="C7523" s="2075" t="s">
        <v>709</v>
      </c>
      <c r="D7523" s="2075"/>
      <c r="E7523" s="2075"/>
      <c r="F7523" s="2077" t="s">
        <v>710</v>
      </c>
      <c r="G7523" s="2077"/>
      <c r="H7523" s="1107">
        <f>H7522*0.15</f>
        <v>93228</v>
      </c>
      <c r="M7523" s="1566"/>
    </row>
    <row r="7524" spans="2:13" hidden="1">
      <c r="B7524" s="1543" t="s">
        <v>711</v>
      </c>
      <c r="C7524" s="2078" t="s">
        <v>712</v>
      </c>
      <c r="D7524" s="2078"/>
      <c r="E7524" s="2078"/>
      <c r="F7524" s="2078"/>
      <c r="G7524" s="2078"/>
      <c r="H7524" s="1107">
        <f>ROUND(SUM(H7522:H7523),2)</f>
        <v>714748</v>
      </c>
      <c r="M7524" s="1566"/>
    </row>
    <row r="7525" spans="2:13" hidden="1">
      <c r="B7525" s="1129"/>
      <c r="C7525" s="1130"/>
      <c r="D7525" s="1129"/>
      <c r="E7525" s="1129"/>
      <c r="F7525" s="1131"/>
      <c r="G7525" s="1132"/>
      <c r="H7525" s="1249"/>
      <c r="M7525" s="1566"/>
    </row>
    <row r="7526" spans="2:13" hidden="1">
      <c r="B7526" s="1100" t="s">
        <v>3612</v>
      </c>
      <c r="C7526" s="1112" t="s">
        <v>4268</v>
      </c>
      <c r="D7526" s="1129"/>
      <c r="E7526" s="1129"/>
      <c r="F7526" s="1131"/>
      <c r="G7526" s="1132"/>
      <c r="H7526" s="1249"/>
      <c r="M7526" s="1566"/>
    </row>
    <row r="7527" spans="2:13" s="507" customFormat="1" ht="24.9" hidden="1" customHeight="1">
      <c r="B7527" s="1748" t="s">
        <v>1003</v>
      </c>
      <c r="C7527" s="1101" t="s">
        <v>1004</v>
      </c>
      <c r="D7527" s="1101" t="s">
        <v>1005</v>
      </c>
      <c r="E7527" s="1101" t="s">
        <v>1006</v>
      </c>
      <c r="F7527" s="1102" t="s">
        <v>1007</v>
      </c>
      <c r="G7527" s="1109" t="s">
        <v>2637</v>
      </c>
      <c r="H7527" s="1235" t="s">
        <v>2638</v>
      </c>
      <c r="J7527" s="1625"/>
      <c r="K7527" s="1625"/>
      <c r="L7527" s="1625"/>
      <c r="M7527" s="1570"/>
    </row>
    <row r="7528" spans="2:13" hidden="1">
      <c r="B7528" s="1543" t="s">
        <v>671</v>
      </c>
      <c r="C7528" s="1332" t="s">
        <v>672</v>
      </c>
      <c r="D7528" s="1331"/>
      <c r="E7528" s="1331"/>
      <c r="F7528" s="1334"/>
      <c r="G7528" s="1104"/>
      <c r="H7528" s="1236"/>
      <c r="M7528" s="1566"/>
    </row>
    <row r="7529" spans="2:13" hidden="1">
      <c r="B7529" s="1543"/>
      <c r="C7529" s="1332" t="s">
        <v>673</v>
      </c>
      <c r="D7529" s="1331" t="s">
        <v>674</v>
      </c>
      <c r="E7529" s="1331" t="s">
        <v>675</v>
      </c>
      <c r="F7529" s="1334">
        <v>0.106</v>
      </c>
      <c r="G7529" s="1104">
        <f>G7511</f>
        <v>150000</v>
      </c>
      <c r="H7529" s="1236">
        <f>G7529*F7529</f>
        <v>15900</v>
      </c>
      <c r="M7529" s="1566"/>
    </row>
    <row r="7530" spans="2:13" hidden="1">
      <c r="B7530" s="1543"/>
      <c r="C7530" s="1332" t="s">
        <v>1480</v>
      </c>
      <c r="D7530" s="1331" t="s">
        <v>678</v>
      </c>
      <c r="E7530" s="1331" t="s">
        <v>675</v>
      </c>
      <c r="F7530" s="1334">
        <v>5.2999999999999999E-2</v>
      </c>
      <c r="G7530" s="1104">
        <f>G7512</f>
        <v>187000</v>
      </c>
      <c r="H7530" s="1236">
        <f>G7530*F7530</f>
        <v>9911</v>
      </c>
      <c r="M7530" s="1566"/>
    </row>
    <row r="7531" spans="2:13" hidden="1">
      <c r="B7531" s="1543"/>
      <c r="C7531" s="1332" t="s">
        <v>751</v>
      </c>
      <c r="D7531" s="1331" t="s">
        <v>681</v>
      </c>
      <c r="E7531" s="1331" t="s">
        <v>675</v>
      </c>
      <c r="F7531" s="1334">
        <v>5.3E-3</v>
      </c>
      <c r="G7531" s="1104">
        <f>$G$7044</f>
        <v>240000</v>
      </c>
      <c r="H7531" s="1236">
        <f>G7531*F7531</f>
        <v>1272</v>
      </c>
      <c r="M7531" s="1566"/>
    </row>
    <row r="7532" spans="2:13" hidden="1">
      <c r="B7532" s="1543"/>
      <c r="C7532" s="1332" t="s">
        <v>683</v>
      </c>
      <c r="D7532" s="1331" t="s">
        <v>684</v>
      </c>
      <c r="E7532" s="1331" t="s">
        <v>675</v>
      </c>
      <c r="F7532" s="1334">
        <v>1.0999999999999999E-2</v>
      </c>
      <c r="G7532" s="1104">
        <f>G7514</f>
        <v>225000</v>
      </c>
      <c r="H7532" s="1236">
        <f>G7532*F7532</f>
        <v>2475</v>
      </c>
      <c r="M7532" s="1566"/>
    </row>
    <row r="7533" spans="2:13" hidden="1">
      <c r="B7533" s="1120"/>
      <c r="C7533" s="1253"/>
      <c r="D7533" s="1254"/>
      <c r="E7533" s="1253"/>
      <c r="F7533" s="2080" t="s">
        <v>685</v>
      </c>
      <c r="G7533" s="2081"/>
      <c r="H7533" s="1236">
        <f>SUM(H7529:H7532)</f>
        <v>29558</v>
      </c>
      <c r="M7533" s="1566"/>
    </row>
    <row r="7534" spans="2:13" hidden="1">
      <c r="B7534" s="1543" t="s">
        <v>686</v>
      </c>
      <c r="C7534" s="1332" t="s">
        <v>687</v>
      </c>
      <c r="D7534" s="1331"/>
      <c r="E7534" s="1331"/>
      <c r="F7534" s="1334"/>
      <c r="G7534" s="1104"/>
      <c r="H7534" s="1236"/>
      <c r="M7534" s="1566"/>
    </row>
    <row r="7535" spans="2:13" hidden="1">
      <c r="B7535" s="1543"/>
      <c r="C7535" s="1332" t="s">
        <v>3613</v>
      </c>
      <c r="D7535" s="1331"/>
      <c r="E7535" s="1331" t="s">
        <v>1423</v>
      </c>
      <c r="F7535" s="1334">
        <v>1</v>
      </c>
      <c r="G7535" s="1104">
        <f>DUB!$I$605</f>
        <v>728829</v>
      </c>
      <c r="H7535" s="1236">
        <f>G7535*F7535</f>
        <v>728829</v>
      </c>
      <c r="M7535" s="1566"/>
    </row>
    <row r="7536" spans="2:13" hidden="1">
      <c r="B7536" s="1543"/>
      <c r="C7536" s="1332"/>
      <c r="D7536" s="1331"/>
      <c r="E7536" s="1331"/>
      <c r="F7536" s="2074" t="s">
        <v>702</v>
      </c>
      <c r="G7536" s="2074"/>
      <c r="H7536" s="1236">
        <f>SUM(H7535)</f>
        <v>728829</v>
      </c>
      <c r="M7536" s="1566"/>
    </row>
    <row r="7537" spans="2:13" hidden="1">
      <c r="B7537" s="1543" t="s">
        <v>703</v>
      </c>
      <c r="C7537" s="1332" t="s">
        <v>704</v>
      </c>
      <c r="D7537" s="1331"/>
      <c r="E7537" s="1331"/>
      <c r="F7537" s="1334"/>
      <c r="G7537" s="1104"/>
      <c r="H7537" s="1236"/>
      <c r="M7537" s="1566"/>
    </row>
    <row r="7538" spans="2:13" hidden="1">
      <c r="B7538" s="1543"/>
      <c r="C7538" s="1126" t="s">
        <v>3509</v>
      </c>
      <c r="D7538" s="1331"/>
      <c r="E7538" s="1187" t="s">
        <v>1011</v>
      </c>
      <c r="F7538" s="1179">
        <v>1</v>
      </c>
      <c r="G7538" s="1104">
        <v>50000</v>
      </c>
      <c r="H7538" s="1236">
        <f>G7538*F7538</f>
        <v>50000</v>
      </c>
      <c r="M7538" s="1566"/>
    </row>
    <row r="7539" spans="2:13" hidden="1">
      <c r="B7539" s="1543"/>
      <c r="C7539" s="1332"/>
      <c r="D7539" s="1331"/>
      <c r="E7539" s="1331"/>
      <c r="F7539" s="2074" t="s">
        <v>705</v>
      </c>
      <c r="G7539" s="2074"/>
      <c r="H7539" s="1236">
        <f>SUM(H7538)</f>
        <v>50000</v>
      </c>
      <c r="M7539" s="1566"/>
    </row>
    <row r="7540" spans="2:13" hidden="1">
      <c r="B7540" s="1543" t="s">
        <v>706</v>
      </c>
      <c r="C7540" s="2075" t="s">
        <v>707</v>
      </c>
      <c r="D7540" s="2075"/>
      <c r="E7540" s="2075"/>
      <c r="F7540" s="2075"/>
      <c r="G7540" s="2075"/>
      <c r="H7540" s="1239">
        <f>H7533+H7536+H7539</f>
        <v>808387</v>
      </c>
      <c r="M7540" s="1566"/>
    </row>
    <row r="7541" spans="2:13" hidden="1">
      <c r="B7541" s="1543" t="s">
        <v>708</v>
      </c>
      <c r="C7541" s="2075" t="s">
        <v>709</v>
      </c>
      <c r="D7541" s="2075"/>
      <c r="E7541" s="2075"/>
      <c r="F7541" s="2077" t="s">
        <v>710</v>
      </c>
      <c r="G7541" s="2077"/>
      <c r="H7541" s="1107">
        <f>H7540*0.15</f>
        <v>121258.04999999999</v>
      </c>
      <c r="M7541" s="1566"/>
    </row>
    <row r="7542" spans="2:13" hidden="1">
      <c r="B7542" s="1543" t="s">
        <v>711</v>
      </c>
      <c r="C7542" s="2078" t="s">
        <v>712</v>
      </c>
      <c r="D7542" s="2078"/>
      <c r="E7542" s="2078"/>
      <c r="F7542" s="2078"/>
      <c r="G7542" s="2078"/>
      <c r="H7542" s="1107">
        <f>ROUND(SUM(H7540:H7541),2)</f>
        <v>929645.05</v>
      </c>
      <c r="M7542" s="1566"/>
    </row>
    <row r="7543" spans="2:13" hidden="1">
      <c r="B7543" s="1129"/>
      <c r="C7543" s="1130"/>
      <c r="D7543" s="1129"/>
      <c r="E7543" s="1129"/>
      <c r="F7543" s="1131"/>
      <c r="G7543" s="1132"/>
      <c r="H7543" s="1249"/>
      <c r="M7543" s="1566"/>
    </row>
    <row r="7544" spans="2:13" hidden="1">
      <c r="B7544" s="1100" t="s">
        <v>3614</v>
      </c>
      <c r="C7544" s="1112" t="s">
        <v>4269</v>
      </c>
      <c r="D7544" s="1129"/>
      <c r="E7544" s="1129"/>
      <c r="F7544" s="1131"/>
      <c r="G7544" s="1132"/>
      <c r="H7544" s="1249"/>
      <c r="M7544" s="1566"/>
    </row>
    <row r="7545" spans="2:13" s="507" customFormat="1" ht="24.9" hidden="1" customHeight="1">
      <c r="B7545" s="1748" t="s">
        <v>1003</v>
      </c>
      <c r="C7545" s="1101" t="s">
        <v>1004</v>
      </c>
      <c r="D7545" s="1101" t="s">
        <v>1005</v>
      </c>
      <c r="E7545" s="1101" t="s">
        <v>1006</v>
      </c>
      <c r="F7545" s="1102" t="s">
        <v>1007</v>
      </c>
      <c r="G7545" s="1109" t="s">
        <v>2637</v>
      </c>
      <c r="H7545" s="1235" t="s">
        <v>2638</v>
      </c>
      <c r="J7545" s="1625"/>
      <c r="K7545" s="1625"/>
      <c r="L7545" s="1625"/>
      <c r="M7545" s="1570"/>
    </row>
    <row r="7546" spans="2:13" hidden="1">
      <c r="B7546" s="1543" t="s">
        <v>671</v>
      </c>
      <c r="C7546" s="1332" t="s">
        <v>672</v>
      </c>
      <c r="D7546" s="1331"/>
      <c r="E7546" s="1331"/>
      <c r="F7546" s="1334"/>
      <c r="G7546" s="1104"/>
      <c r="H7546" s="1236"/>
      <c r="M7546" s="1566"/>
    </row>
    <row r="7547" spans="2:13" hidden="1">
      <c r="B7547" s="1543"/>
      <c r="C7547" s="1332" t="s">
        <v>673</v>
      </c>
      <c r="D7547" s="1331" t="s">
        <v>674</v>
      </c>
      <c r="E7547" s="1331" t="s">
        <v>675</v>
      </c>
      <c r="F7547" s="1334">
        <v>0.106</v>
      </c>
      <c r="G7547" s="1104">
        <f>$G$7529</f>
        <v>150000</v>
      </c>
      <c r="H7547" s="1236">
        <f>G7547*F7547</f>
        <v>15900</v>
      </c>
      <c r="M7547" s="1566"/>
    </row>
    <row r="7548" spans="2:13" hidden="1">
      <c r="B7548" s="1543"/>
      <c r="C7548" s="1332" t="s">
        <v>1480</v>
      </c>
      <c r="D7548" s="1331" t="s">
        <v>678</v>
      </c>
      <c r="E7548" s="1331" t="s">
        <v>675</v>
      </c>
      <c r="F7548" s="1334">
        <v>5.2999999999999999E-2</v>
      </c>
      <c r="G7548" s="1104">
        <f>$G$7530</f>
        <v>187000</v>
      </c>
      <c r="H7548" s="1236">
        <f>G7548*F7548</f>
        <v>9911</v>
      </c>
      <c r="M7548" s="1566"/>
    </row>
    <row r="7549" spans="2:13" hidden="1">
      <c r="B7549" s="1543"/>
      <c r="C7549" s="1332" t="s">
        <v>751</v>
      </c>
      <c r="D7549" s="1331" t="s">
        <v>681</v>
      </c>
      <c r="E7549" s="1331" t="s">
        <v>675</v>
      </c>
      <c r="F7549" s="1334">
        <v>5.3E-3</v>
      </c>
      <c r="G7549" s="1104">
        <f>$G$7044</f>
        <v>240000</v>
      </c>
      <c r="H7549" s="1236">
        <f>G7549*F7549</f>
        <v>1272</v>
      </c>
      <c r="M7549" s="1566"/>
    </row>
    <row r="7550" spans="2:13" hidden="1">
      <c r="B7550" s="1543"/>
      <c r="C7550" s="1332" t="s">
        <v>683</v>
      </c>
      <c r="D7550" s="1331" t="s">
        <v>684</v>
      </c>
      <c r="E7550" s="1331" t="s">
        <v>675</v>
      </c>
      <c r="F7550" s="1334">
        <v>1.0999999999999999E-2</v>
      </c>
      <c r="G7550" s="1104">
        <f>$G$7532</f>
        <v>225000</v>
      </c>
      <c r="H7550" s="1236">
        <f>G7550*F7550</f>
        <v>2475</v>
      </c>
      <c r="M7550" s="1566"/>
    </row>
    <row r="7551" spans="2:13" hidden="1">
      <c r="B7551" s="1120"/>
      <c r="C7551" s="1253"/>
      <c r="D7551" s="1254"/>
      <c r="E7551" s="1253"/>
      <c r="F7551" s="2080" t="s">
        <v>685</v>
      </c>
      <c r="G7551" s="2081"/>
      <c r="H7551" s="1236">
        <f>SUM(H7547:H7550)</f>
        <v>29558</v>
      </c>
      <c r="M7551" s="1566"/>
    </row>
    <row r="7552" spans="2:13" hidden="1">
      <c r="B7552" s="1543" t="s">
        <v>686</v>
      </c>
      <c r="C7552" s="1332" t="s">
        <v>687</v>
      </c>
      <c r="D7552" s="1331"/>
      <c r="E7552" s="1331"/>
      <c r="F7552" s="1334"/>
      <c r="G7552" s="1104"/>
      <c r="H7552" s="1236"/>
      <c r="M7552" s="1566"/>
    </row>
    <row r="7553" spans="2:13" hidden="1">
      <c r="B7553" s="1543"/>
      <c r="C7553" s="1332" t="s">
        <v>3615</v>
      </c>
      <c r="D7553" s="1331"/>
      <c r="E7553" s="1331" t="s">
        <v>1423</v>
      </c>
      <c r="F7553" s="1334">
        <v>1</v>
      </c>
      <c r="G7553" s="1104">
        <f>DUB!$I$606</f>
        <v>1302678</v>
      </c>
      <c r="H7553" s="1236">
        <f>G7553*F7553</f>
        <v>1302678</v>
      </c>
      <c r="M7553" s="1566"/>
    </row>
    <row r="7554" spans="2:13" hidden="1">
      <c r="B7554" s="1543"/>
      <c r="C7554" s="1332"/>
      <c r="D7554" s="1331"/>
      <c r="E7554" s="1331"/>
      <c r="F7554" s="2074" t="s">
        <v>702</v>
      </c>
      <c r="G7554" s="2074"/>
      <c r="H7554" s="1236">
        <f>SUM(H7553)</f>
        <v>1302678</v>
      </c>
      <c r="M7554" s="1566"/>
    </row>
    <row r="7555" spans="2:13" hidden="1">
      <c r="B7555" s="1543" t="s">
        <v>703</v>
      </c>
      <c r="C7555" s="1332" t="s">
        <v>704</v>
      </c>
      <c r="D7555" s="1331"/>
      <c r="E7555" s="1331"/>
      <c r="F7555" s="1334"/>
      <c r="G7555" s="1104"/>
      <c r="H7555" s="1236"/>
      <c r="M7555" s="1566"/>
    </row>
    <row r="7556" spans="2:13" hidden="1">
      <c r="B7556" s="1543"/>
      <c r="C7556" s="1126" t="s">
        <v>3509</v>
      </c>
      <c r="D7556" s="1331"/>
      <c r="E7556" s="1187" t="s">
        <v>1011</v>
      </c>
      <c r="F7556" s="1179">
        <v>1</v>
      </c>
      <c r="G7556" s="1104">
        <v>100000</v>
      </c>
      <c r="H7556" s="1236">
        <f>G7556*F7556</f>
        <v>100000</v>
      </c>
      <c r="M7556" s="1566"/>
    </row>
    <row r="7557" spans="2:13" hidden="1">
      <c r="B7557" s="1543"/>
      <c r="C7557" s="1332"/>
      <c r="D7557" s="1331"/>
      <c r="E7557" s="1331"/>
      <c r="F7557" s="2074" t="s">
        <v>705</v>
      </c>
      <c r="G7557" s="2074"/>
      <c r="H7557" s="1236">
        <f>SUM(H7556)</f>
        <v>100000</v>
      </c>
      <c r="M7557" s="1566"/>
    </row>
    <row r="7558" spans="2:13" hidden="1">
      <c r="B7558" s="1543" t="s">
        <v>706</v>
      </c>
      <c r="C7558" s="2075" t="s">
        <v>707</v>
      </c>
      <c r="D7558" s="2075"/>
      <c r="E7558" s="2075"/>
      <c r="F7558" s="2075"/>
      <c r="G7558" s="2075"/>
      <c r="H7558" s="1239">
        <f>H7551+H7554+H7557</f>
        <v>1432236</v>
      </c>
      <c r="M7558" s="1566"/>
    </row>
    <row r="7559" spans="2:13" hidden="1">
      <c r="B7559" s="1543" t="s">
        <v>708</v>
      </c>
      <c r="C7559" s="2075" t="s">
        <v>709</v>
      </c>
      <c r="D7559" s="2075"/>
      <c r="E7559" s="2075"/>
      <c r="F7559" s="2077" t="s">
        <v>710</v>
      </c>
      <c r="G7559" s="2077"/>
      <c r="H7559" s="1107">
        <f>H7558*0.15</f>
        <v>214835.4</v>
      </c>
      <c r="M7559" s="1566"/>
    </row>
    <row r="7560" spans="2:13" hidden="1">
      <c r="B7560" s="1543" t="s">
        <v>711</v>
      </c>
      <c r="C7560" s="2078" t="s">
        <v>712</v>
      </c>
      <c r="D7560" s="2078"/>
      <c r="E7560" s="2078"/>
      <c r="F7560" s="2078"/>
      <c r="G7560" s="2078"/>
      <c r="H7560" s="1107">
        <f>ROUND(SUM(H7558:H7559),2)</f>
        <v>1647071.4</v>
      </c>
      <c r="M7560" s="1566"/>
    </row>
    <row r="7561" spans="2:13" hidden="1">
      <c r="B7561" s="1129"/>
      <c r="C7561" s="1130"/>
      <c r="D7561" s="1129"/>
      <c r="E7561" s="1129"/>
      <c r="F7561" s="1131"/>
      <c r="G7561" s="1132"/>
      <c r="H7561" s="1249"/>
      <c r="M7561" s="1566"/>
    </row>
    <row r="7562" spans="2:13" hidden="1">
      <c r="B7562" s="1100" t="s">
        <v>3616</v>
      </c>
      <c r="C7562" s="1112" t="s">
        <v>4270</v>
      </c>
      <c r="D7562" s="1129"/>
      <c r="E7562" s="1129"/>
      <c r="F7562" s="1131"/>
      <c r="G7562" s="1132"/>
      <c r="H7562" s="1249"/>
      <c r="M7562" s="1566"/>
    </row>
    <row r="7563" spans="2:13" s="507" customFormat="1" ht="24.9" hidden="1" customHeight="1">
      <c r="B7563" s="1748" t="s">
        <v>1003</v>
      </c>
      <c r="C7563" s="1101" t="s">
        <v>1004</v>
      </c>
      <c r="D7563" s="1101" t="s">
        <v>1005</v>
      </c>
      <c r="E7563" s="1101" t="s">
        <v>1006</v>
      </c>
      <c r="F7563" s="1102" t="s">
        <v>1007</v>
      </c>
      <c r="G7563" s="1109" t="s">
        <v>2637</v>
      </c>
      <c r="H7563" s="1235" t="s">
        <v>2638</v>
      </c>
      <c r="J7563" s="1625"/>
      <c r="K7563" s="1625"/>
      <c r="L7563" s="1625"/>
      <c r="M7563" s="1570"/>
    </row>
    <row r="7564" spans="2:13" hidden="1">
      <c r="B7564" s="1543" t="s">
        <v>671</v>
      </c>
      <c r="C7564" s="1332" t="s">
        <v>672</v>
      </c>
      <c r="D7564" s="1331"/>
      <c r="E7564" s="1331"/>
      <c r="F7564" s="1334"/>
      <c r="G7564" s="1104"/>
      <c r="H7564" s="1236"/>
      <c r="M7564" s="1566"/>
    </row>
    <row r="7565" spans="2:13" hidden="1">
      <c r="B7565" s="1543"/>
      <c r="C7565" s="1332" t="s">
        <v>673</v>
      </c>
      <c r="D7565" s="1331" t="s">
        <v>674</v>
      </c>
      <c r="E7565" s="1331" t="s">
        <v>675</v>
      </c>
      <c r="F7565" s="1334">
        <v>0.106</v>
      </c>
      <c r="G7565" s="1104">
        <f>$G$7547</f>
        <v>150000</v>
      </c>
      <c r="H7565" s="1236">
        <f>G7565*F7565</f>
        <v>15900</v>
      </c>
      <c r="M7565" s="1566"/>
    </row>
    <row r="7566" spans="2:13" hidden="1">
      <c r="B7566" s="1543"/>
      <c r="C7566" s="1332" t="s">
        <v>1480</v>
      </c>
      <c r="D7566" s="1331" t="s">
        <v>678</v>
      </c>
      <c r="E7566" s="1331" t="s">
        <v>675</v>
      </c>
      <c r="F7566" s="1334">
        <v>5.2999999999999999E-2</v>
      </c>
      <c r="G7566" s="1104">
        <f>$G$7548</f>
        <v>187000</v>
      </c>
      <c r="H7566" s="1236">
        <f>G7566*F7566</f>
        <v>9911</v>
      </c>
      <c r="M7566" s="1566"/>
    </row>
    <row r="7567" spans="2:13" hidden="1">
      <c r="B7567" s="1543"/>
      <c r="C7567" s="1332" t="s">
        <v>751</v>
      </c>
      <c r="D7567" s="1331" t="s">
        <v>681</v>
      </c>
      <c r="E7567" s="1331" t="s">
        <v>675</v>
      </c>
      <c r="F7567" s="1334">
        <f>F7566/10</f>
        <v>5.3E-3</v>
      </c>
      <c r="G7567" s="1104">
        <f>$G$7044</f>
        <v>240000</v>
      </c>
      <c r="H7567" s="1236">
        <f>G7567*F7567</f>
        <v>1272</v>
      </c>
      <c r="M7567" s="1566"/>
    </row>
    <row r="7568" spans="2:13" hidden="1">
      <c r="B7568" s="1543"/>
      <c r="C7568" s="1332" t="s">
        <v>683</v>
      </c>
      <c r="D7568" s="1331" t="s">
        <v>684</v>
      </c>
      <c r="E7568" s="1331" t="s">
        <v>675</v>
      </c>
      <c r="F7568" s="1334">
        <v>1.0999999999999999E-2</v>
      </c>
      <c r="G7568" s="1104">
        <f>$G$7550</f>
        <v>225000</v>
      </c>
      <c r="H7568" s="1236">
        <f>G7568*F7568</f>
        <v>2475</v>
      </c>
      <c r="M7568" s="1566"/>
    </row>
    <row r="7569" spans="2:13" hidden="1">
      <c r="B7569" s="1120"/>
      <c r="C7569" s="1253"/>
      <c r="D7569" s="1254"/>
      <c r="E7569" s="1253"/>
      <c r="F7569" s="2080" t="s">
        <v>685</v>
      </c>
      <c r="G7569" s="2081"/>
      <c r="H7569" s="1236">
        <f>SUM(H7565:H7568)</f>
        <v>29558</v>
      </c>
      <c r="M7569" s="1566"/>
    </row>
    <row r="7570" spans="2:13" hidden="1">
      <c r="B7570" s="1543" t="s">
        <v>686</v>
      </c>
      <c r="C7570" s="1332" t="s">
        <v>687</v>
      </c>
      <c r="D7570" s="1331"/>
      <c r="E7570" s="1331"/>
      <c r="F7570" s="1334"/>
      <c r="G7570" s="1104"/>
      <c r="H7570" s="1236"/>
      <c r="M7570" s="1566"/>
    </row>
    <row r="7571" spans="2:13" hidden="1">
      <c r="B7571" s="1543"/>
      <c r="C7571" s="1256" t="s">
        <v>3800</v>
      </c>
      <c r="D7571" s="1331"/>
      <c r="E7571" s="1331" t="s">
        <v>1423</v>
      </c>
      <c r="F7571" s="1334">
        <v>1</v>
      </c>
      <c r="G7571" s="1104">
        <f>DUB!$I$607</f>
        <v>1897722</v>
      </c>
      <c r="H7571" s="1236">
        <f>G7571*F7571</f>
        <v>1897722</v>
      </c>
      <c r="M7571" s="1566"/>
    </row>
    <row r="7572" spans="2:13" hidden="1">
      <c r="B7572" s="1543"/>
      <c r="C7572" s="1332"/>
      <c r="D7572" s="1331"/>
      <c r="E7572" s="1331"/>
      <c r="F7572" s="2074" t="s">
        <v>702</v>
      </c>
      <c r="G7572" s="2074"/>
      <c r="H7572" s="1236">
        <f>SUM(H7571)</f>
        <v>1897722</v>
      </c>
      <c r="M7572" s="1566"/>
    </row>
    <row r="7573" spans="2:13" hidden="1">
      <c r="B7573" s="1543" t="s">
        <v>703</v>
      </c>
      <c r="C7573" s="1332" t="s">
        <v>704</v>
      </c>
      <c r="D7573" s="1331"/>
      <c r="E7573" s="1331"/>
      <c r="F7573" s="1334"/>
      <c r="G7573" s="1104"/>
      <c r="H7573" s="1236"/>
      <c r="M7573" s="1566"/>
    </row>
    <row r="7574" spans="2:13" hidden="1">
      <c r="B7574" s="1543"/>
      <c r="C7574" s="1126" t="s">
        <v>3509</v>
      </c>
      <c r="D7574" s="1331"/>
      <c r="E7574" s="1187" t="s">
        <v>1011</v>
      </c>
      <c r="F7574" s="1179">
        <v>1</v>
      </c>
      <c r="G7574" s="1104">
        <v>100000</v>
      </c>
      <c r="H7574" s="1236">
        <f>G7574*F7574</f>
        <v>100000</v>
      </c>
      <c r="M7574" s="1566"/>
    </row>
    <row r="7575" spans="2:13" hidden="1">
      <c r="B7575" s="1543"/>
      <c r="C7575" s="1332"/>
      <c r="D7575" s="1331"/>
      <c r="E7575" s="1331"/>
      <c r="F7575" s="2074" t="s">
        <v>705</v>
      </c>
      <c r="G7575" s="2074"/>
      <c r="H7575" s="1236">
        <f>SUM(H7574)</f>
        <v>100000</v>
      </c>
      <c r="M7575" s="1566"/>
    </row>
    <row r="7576" spans="2:13" hidden="1">
      <c r="B7576" s="1543" t="s">
        <v>706</v>
      </c>
      <c r="C7576" s="2075" t="s">
        <v>707</v>
      </c>
      <c r="D7576" s="2075"/>
      <c r="E7576" s="2075"/>
      <c r="F7576" s="2075"/>
      <c r="G7576" s="2075"/>
      <c r="H7576" s="1239">
        <f>H7569+H7572+H7575</f>
        <v>2027280</v>
      </c>
      <c r="M7576" s="1566"/>
    </row>
    <row r="7577" spans="2:13" hidden="1">
      <c r="B7577" s="1543" t="s">
        <v>708</v>
      </c>
      <c r="C7577" s="2075" t="s">
        <v>709</v>
      </c>
      <c r="D7577" s="2075"/>
      <c r="E7577" s="2075"/>
      <c r="F7577" s="2077" t="s">
        <v>710</v>
      </c>
      <c r="G7577" s="2077"/>
      <c r="H7577" s="1107">
        <f>H7576*0.15</f>
        <v>304092</v>
      </c>
      <c r="M7577" s="1566"/>
    </row>
    <row r="7578" spans="2:13" hidden="1">
      <c r="B7578" s="1543" t="s">
        <v>711</v>
      </c>
      <c r="C7578" s="2078" t="s">
        <v>712</v>
      </c>
      <c r="D7578" s="2078"/>
      <c r="E7578" s="2078"/>
      <c r="F7578" s="2078"/>
      <c r="G7578" s="2078"/>
      <c r="H7578" s="1107">
        <f>ROUND(SUM(H7576:H7577),2)</f>
        <v>2331372</v>
      </c>
      <c r="M7578" s="1566"/>
    </row>
    <row r="7579" spans="2:13" hidden="1">
      <c r="B7579" s="1129"/>
      <c r="C7579" s="1130"/>
      <c r="D7579" s="1129"/>
      <c r="E7579" s="1129"/>
      <c r="F7579" s="1131"/>
      <c r="G7579" s="1132"/>
      <c r="H7579" s="1249"/>
      <c r="M7579" s="1566"/>
    </row>
    <row r="7580" spans="2:13" hidden="1">
      <c r="B7580" s="1100" t="s">
        <v>3617</v>
      </c>
      <c r="C7580" s="1112" t="s">
        <v>4271</v>
      </c>
      <c r="D7580" s="1129"/>
      <c r="E7580" s="1129"/>
      <c r="F7580" s="1131"/>
      <c r="G7580" s="1132"/>
      <c r="H7580" s="1249"/>
      <c r="M7580" s="1566"/>
    </row>
    <row r="7581" spans="2:13" s="507" customFormat="1" ht="24.9" hidden="1" customHeight="1">
      <c r="B7581" s="1748" t="s">
        <v>1003</v>
      </c>
      <c r="C7581" s="1101" t="s">
        <v>1004</v>
      </c>
      <c r="D7581" s="1101" t="s">
        <v>1005</v>
      </c>
      <c r="E7581" s="1101" t="s">
        <v>1006</v>
      </c>
      <c r="F7581" s="1102" t="s">
        <v>1007</v>
      </c>
      <c r="G7581" s="1109" t="s">
        <v>2637</v>
      </c>
      <c r="H7581" s="1235" t="s">
        <v>2638</v>
      </c>
      <c r="J7581" s="1625"/>
      <c r="K7581" s="1625"/>
      <c r="L7581" s="1625"/>
      <c r="M7581" s="1570"/>
    </row>
    <row r="7582" spans="2:13" hidden="1">
      <c r="B7582" s="1543" t="s">
        <v>671</v>
      </c>
      <c r="C7582" s="1332" t="s">
        <v>672</v>
      </c>
      <c r="D7582" s="1331"/>
      <c r="E7582" s="1331"/>
      <c r="F7582" s="1334"/>
      <c r="G7582" s="1104"/>
      <c r="H7582" s="1236"/>
      <c r="M7582" s="1566"/>
    </row>
    <row r="7583" spans="2:13" hidden="1">
      <c r="B7583" s="1543"/>
      <c r="C7583" s="1332" t="s">
        <v>673</v>
      </c>
      <c r="D7583" s="1331" t="s">
        <v>674</v>
      </c>
      <c r="E7583" s="1331" t="s">
        <v>675</v>
      </c>
      <c r="F7583" s="1334">
        <v>0.106</v>
      </c>
      <c r="G7583" s="1104">
        <f>$G$7565</f>
        <v>150000</v>
      </c>
      <c r="H7583" s="1236">
        <f>G7583*F7583</f>
        <v>15900</v>
      </c>
      <c r="M7583" s="1566"/>
    </row>
    <row r="7584" spans="2:13" hidden="1">
      <c r="B7584" s="1543"/>
      <c r="C7584" s="1332" t="s">
        <v>1480</v>
      </c>
      <c r="D7584" s="1331" t="s">
        <v>678</v>
      </c>
      <c r="E7584" s="1331" t="s">
        <v>675</v>
      </c>
      <c r="F7584" s="1334">
        <v>5.2999999999999999E-2</v>
      </c>
      <c r="G7584" s="1104">
        <f>$G$7566</f>
        <v>187000</v>
      </c>
      <c r="H7584" s="1236">
        <f>G7584*F7584</f>
        <v>9911</v>
      </c>
      <c r="M7584" s="1566"/>
    </row>
    <row r="7585" spans="2:13" hidden="1">
      <c r="B7585" s="1543"/>
      <c r="C7585" s="1332" t="s">
        <v>751</v>
      </c>
      <c r="D7585" s="1331" t="s">
        <v>681</v>
      </c>
      <c r="E7585" s="1331" t="s">
        <v>675</v>
      </c>
      <c r="F7585" s="1334">
        <v>5.3E-3</v>
      </c>
      <c r="G7585" s="1104">
        <f>$G$7044</f>
        <v>240000</v>
      </c>
      <c r="H7585" s="1236">
        <f>G7585*F7585</f>
        <v>1272</v>
      </c>
      <c r="M7585" s="1566"/>
    </row>
    <row r="7586" spans="2:13" hidden="1">
      <c r="B7586" s="1543"/>
      <c r="C7586" s="1332" t="s">
        <v>683</v>
      </c>
      <c r="D7586" s="1331" t="s">
        <v>684</v>
      </c>
      <c r="E7586" s="1331" t="s">
        <v>675</v>
      </c>
      <c r="F7586" s="1334">
        <v>1.0999999999999999E-2</v>
      </c>
      <c r="G7586" s="1104">
        <f>$G$7568</f>
        <v>225000</v>
      </c>
      <c r="H7586" s="1236">
        <f>G7586*F7586</f>
        <v>2475</v>
      </c>
      <c r="M7586" s="1566"/>
    </row>
    <row r="7587" spans="2:13" hidden="1">
      <c r="B7587" s="1120"/>
      <c r="C7587" s="1253"/>
      <c r="D7587" s="1254"/>
      <c r="E7587" s="1253"/>
      <c r="F7587" s="2080" t="s">
        <v>685</v>
      </c>
      <c r="G7587" s="2081"/>
      <c r="H7587" s="1236">
        <f>SUM(H7583:H7586)</f>
        <v>29558</v>
      </c>
      <c r="M7587" s="1566"/>
    </row>
    <row r="7588" spans="2:13" hidden="1">
      <c r="B7588" s="1543" t="s">
        <v>686</v>
      </c>
      <c r="C7588" s="1332" t="s">
        <v>687</v>
      </c>
      <c r="D7588" s="1331"/>
      <c r="E7588" s="1331"/>
      <c r="F7588" s="1334"/>
      <c r="G7588" s="1104"/>
      <c r="H7588" s="1236"/>
      <c r="M7588" s="1566"/>
    </row>
    <row r="7589" spans="2:13" hidden="1">
      <c r="B7589" s="1543"/>
      <c r="C7589" s="1256" t="s">
        <v>3801</v>
      </c>
      <c r="D7589" s="1331"/>
      <c r="E7589" s="1331" t="s">
        <v>1423</v>
      </c>
      <c r="F7589" s="1334">
        <v>1</v>
      </c>
      <c r="G7589" s="1104">
        <f>DUB!$I$608</f>
        <v>2846718</v>
      </c>
      <c r="H7589" s="1236">
        <f>G7589*F7589</f>
        <v>2846718</v>
      </c>
      <c r="M7589" s="1566"/>
    </row>
    <row r="7590" spans="2:13" hidden="1">
      <c r="B7590" s="1543"/>
      <c r="C7590" s="1332"/>
      <c r="D7590" s="1331"/>
      <c r="E7590" s="1331"/>
      <c r="F7590" s="2074" t="s">
        <v>702</v>
      </c>
      <c r="G7590" s="2074"/>
      <c r="H7590" s="1236">
        <f>SUM(H7589)</f>
        <v>2846718</v>
      </c>
      <c r="M7590" s="1566"/>
    </row>
    <row r="7591" spans="2:13" hidden="1">
      <c r="B7591" s="1543" t="s">
        <v>703</v>
      </c>
      <c r="C7591" s="1332" t="s">
        <v>704</v>
      </c>
      <c r="D7591" s="1331"/>
      <c r="E7591" s="1331"/>
      <c r="F7591" s="1334"/>
      <c r="G7591" s="1104"/>
      <c r="H7591" s="1236"/>
      <c r="M7591" s="1566"/>
    </row>
    <row r="7592" spans="2:13" hidden="1">
      <c r="B7592" s="1543"/>
      <c r="C7592" s="1126" t="s">
        <v>3509</v>
      </c>
      <c r="D7592" s="1331"/>
      <c r="E7592" s="1187" t="s">
        <v>1011</v>
      </c>
      <c r="F7592" s="1179">
        <v>1</v>
      </c>
      <c r="G7592" s="1104">
        <v>200000</v>
      </c>
      <c r="H7592" s="1236">
        <f>G7592*F7592</f>
        <v>200000</v>
      </c>
      <c r="M7592" s="1566"/>
    </row>
    <row r="7593" spans="2:13" hidden="1">
      <c r="B7593" s="1543"/>
      <c r="C7593" s="1332"/>
      <c r="D7593" s="1331"/>
      <c r="E7593" s="1331"/>
      <c r="F7593" s="2074" t="s">
        <v>705</v>
      </c>
      <c r="G7593" s="2074"/>
      <c r="H7593" s="1236">
        <f>SUM(H7592)</f>
        <v>200000</v>
      </c>
      <c r="M7593" s="1566"/>
    </row>
    <row r="7594" spans="2:13" hidden="1">
      <c r="B7594" s="1543" t="s">
        <v>706</v>
      </c>
      <c r="C7594" s="2075" t="s">
        <v>707</v>
      </c>
      <c r="D7594" s="2075"/>
      <c r="E7594" s="2075"/>
      <c r="F7594" s="2075"/>
      <c r="G7594" s="2075"/>
      <c r="H7594" s="1239">
        <f>H7587+H7590+H7593</f>
        <v>3076276</v>
      </c>
      <c r="M7594" s="1566"/>
    </row>
    <row r="7595" spans="2:13" hidden="1">
      <c r="B7595" s="1543" t="s">
        <v>708</v>
      </c>
      <c r="C7595" s="2075" t="s">
        <v>709</v>
      </c>
      <c r="D7595" s="2075"/>
      <c r="E7595" s="2075"/>
      <c r="F7595" s="2077" t="s">
        <v>710</v>
      </c>
      <c r="G7595" s="2077"/>
      <c r="H7595" s="1107">
        <f>H7594*0.15</f>
        <v>461441.39999999997</v>
      </c>
      <c r="M7595" s="1566"/>
    </row>
    <row r="7596" spans="2:13" hidden="1">
      <c r="B7596" s="1543" t="s">
        <v>711</v>
      </c>
      <c r="C7596" s="2078" t="s">
        <v>712</v>
      </c>
      <c r="D7596" s="2078"/>
      <c r="E7596" s="2078"/>
      <c r="F7596" s="2078"/>
      <c r="G7596" s="2078"/>
      <c r="H7596" s="1107">
        <f>ROUND(SUM(H7594:H7595),2)</f>
        <v>3537717.4</v>
      </c>
      <c r="M7596" s="1566"/>
    </row>
    <row r="7597" spans="2:13" hidden="1">
      <c r="B7597" s="1129"/>
      <c r="C7597" s="1130"/>
      <c r="D7597" s="1129"/>
      <c r="E7597" s="1129"/>
      <c r="F7597" s="1131"/>
      <c r="G7597" s="1132"/>
      <c r="H7597" s="1249"/>
      <c r="M7597" s="1566"/>
    </row>
    <row r="7598" spans="2:13" hidden="1">
      <c r="B7598" s="1100" t="s">
        <v>3618</v>
      </c>
      <c r="C7598" s="1112" t="s">
        <v>4272</v>
      </c>
      <c r="D7598" s="1129"/>
      <c r="E7598" s="1129"/>
      <c r="F7598" s="1131"/>
      <c r="G7598" s="1132"/>
      <c r="H7598" s="1249"/>
      <c r="M7598" s="1566"/>
    </row>
    <row r="7599" spans="2:13" s="507" customFormat="1" ht="24.9" hidden="1" customHeight="1">
      <c r="B7599" s="1748" t="s">
        <v>1003</v>
      </c>
      <c r="C7599" s="1101" t="s">
        <v>1004</v>
      </c>
      <c r="D7599" s="1101" t="s">
        <v>1005</v>
      </c>
      <c r="E7599" s="1101" t="s">
        <v>1006</v>
      </c>
      <c r="F7599" s="1102" t="s">
        <v>1007</v>
      </c>
      <c r="G7599" s="1109" t="s">
        <v>2637</v>
      </c>
      <c r="H7599" s="1235" t="s">
        <v>2638</v>
      </c>
      <c r="J7599" s="1625"/>
      <c r="K7599" s="1625"/>
      <c r="L7599" s="1625"/>
      <c r="M7599" s="1570"/>
    </row>
    <row r="7600" spans="2:13" hidden="1">
      <c r="B7600" s="1543" t="s">
        <v>671</v>
      </c>
      <c r="C7600" s="1332" t="s">
        <v>672</v>
      </c>
      <c r="D7600" s="1331"/>
      <c r="E7600" s="1331"/>
      <c r="F7600" s="1334"/>
      <c r="G7600" s="1104"/>
      <c r="H7600" s="1236"/>
      <c r="M7600" s="1566"/>
    </row>
    <row r="7601" spans="2:13" hidden="1">
      <c r="B7601" s="1543"/>
      <c r="C7601" s="1332" t="s">
        <v>673</v>
      </c>
      <c r="D7601" s="1331" t="s">
        <v>674</v>
      </c>
      <c r="E7601" s="1331" t="s">
        <v>675</v>
      </c>
      <c r="F7601" s="1334">
        <v>0.106</v>
      </c>
      <c r="G7601" s="1104">
        <f>$G$7583</f>
        <v>150000</v>
      </c>
      <c r="H7601" s="1236">
        <f>G7601*F7601</f>
        <v>15900</v>
      </c>
      <c r="M7601" s="1566"/>
    </row>
    <row r="7602" spans="2:13" hidden="1">
      <c r="B7602" s="1543"/>
      <c r="C7602" s="1332" t="s">
        <v>1480</v>
      </c>
      <c r="D7602" s="1331" t="s">
        <v>678</v>
      </c>
      <c r="E7602" s="1331" t="s">
        <v>675</v>
      </c>
      <c r="F7602" s="1334">
        <v>5.2999999999999999E-2</v>
      </c>
      <c r="G7602" s="1104">
        <f>$G$7584</f>
        <v>187000</v>
      </c>
      <c r="H7602" s="1236">
        <f>G7602*F7602</f>
        <v>9911</v>
      </c>
      <c r="M7602" s="1566"/>
    </row>
    <row r="7603" spans="2:13" hidden="1">
      <c r="B7603" s="1543"/>
      <c r="C7603" s="1332" t="s">
        <v>751</v>
      </c>
      <c r="D7603" s="1331" t="s">
        <v>681</v>
      </c>
      <c r="E7603" s="1331" t="s">
        <v>675</v>
      </c>
      <c r="F7603" s="1334">
        <v>5.3E-3</v>
      </c>
      <c r="G7603" s="1104">
        <f>$G$7044</f>
        <v>240000</v>
      </c>
      <c r="H7603" s="1236">
        <f>G7603*F7603</f>
        <v>1272</v>
      </c>
      <c r="M7603" s="1566"/>
    </row>
    <row r="7604" spans="2:13" hidden="1">
      <c r="B7604" s="1543"/>
      <c r="C7604" s="1332" t="s">
        <v>683</v>
      </c>
      <c r="D7604" s="1331" t="s">
        <v>684</v>
      </c>
      <c r="E7604" s="1331" t="s">
        <v>675</v>
      </c>
      <c r="F7604" s="1334">
        <v>1.0999999999999999E-2</v>
      </c>
      <c r="G7604" s="1104">
        <f>$G$7586</f>
        <v>225000</v>
      </c>
      <c r="H7604" s="1236">
        <f>G7604*F7604</f>
        <v>2475</v>
      </c>
      <c r="M7604" s="1566"/>
    </row>
    <row r="7605" spans="2:13" hidden="1">
      <c r="B7605" s="1120"/>
      <c r="C7605" s="1253"/>
      <c r="D7605" s="1254"/>
      <c r="E7605" s="1253"/>
      <c r="F7605" s="2080" t="s">
        <v>685</v>
      </c>
      <c r="G7605" s="2081"/>
      <c r="H7605" s="1236">
        <f>SUM(H7601:H7604)</f>
        <v>29558</v>
      </c>
      <c r="M7605" s="1566"/>
    </row>
    <row r="7606" spans="2:13" hidden="1">
      <c r="B7606" s="1543" t="s">
        <v>686</v>
      </c>
      <c r="C7606" s="1332" t="s">
        <v>687</v>
      </c>
      <c r="D7606" s="1331"/>
      <c r="E7606" s="1331"/>
      <c r="F7606" s="1334"/>
      <c r="G7606" s="1104"/>
      <c r="H7606" s="1236"/>
      <c r="M7606" s="1566"/>
    </row>
    <row r="7607" spans="2:13" hidden="1">
      <c r="B7607" s="1543"/>
      <c r="C7607" s="1256" t="s">
        <v>3802</v>
      </c>
      <c r="D7607" s="1331"/>
      <c r="E7607" s="1331" t="s">
        <v>1423</v>
      </c>
      <c r="F7607" s="1334">
        <v>1</v>
      </c>
      <c r="G7607" s="1104">
        <f>DUB!$I$609</f>
        <v>3226230</v>
      </c>
      <c r="H7607" s="1236">
        <f>G7607*F7607</f>
        <v>3226230</v>
      </c>
      <c r="M7607" s="1566"/>
    </row>
    <row r="7608" spans="2:13" hidden="1">
      <c r="B7608" s="1543"/>
      <c r="C7608" s="1332"/>
      <c r="D7608" s="1331"/>
      <c r="E7608" s="1331"/>
      <c r="F7608" s="2074" t="s">
        <v>702</v>
      </c>
      <c r="G7608" s="2074"/>
      <c r="H7608" s="1236">
        <f>SUM(H7607)</f>
        <v>3226230</v>
      </c>
      <c r="M7608" s="1566"/>
    </row>
    <row r="7609" spans="2:13" hidden="1">
      <c r="B7609" s="1543" t="s">
        <v>703</v>
      </c>
      <c r="C7609" s="1332" t="s">
        <v>704</v>
      </c>
      <c r="D7609" s="1331"/>
      <c r="E7609" s="1331"/>
      <c r="F7609" s="1334"/>
      <c r="G7609" s="1104"/>
      <c r="H7609" s="1236"/>
      <c r="M7609" s="1566"/>
    </row>
    <row r="7610" spans="2:13" hidden="1">
      <c r="B7610" s="1543"/>
      <c r="C7610" s="1126" t="s">
        <v>3509</v>
      </c>
      <c r="D7610" s="1331"/>
      <c r="E7610" s="1187" t="s">
        <v>1011</v>
      </c>
      <c r="F7610" s="1179">
        <v>1</v>
      </c>
      <c r="G7610" s="1104">
        <v>300000</v>
      </c>
      <c r="H7610" s="1236">
        <f>G7610*F7610</f>
        <v>300000</v>
      </c>
      <c r="M7610" s="1566"/>
    </row>
    <row r="7611" spans="2:13" hidden="1">
      <c r="B7611" s="1543"/>
      <c r="C7611" s="1332"/>
      <c r="D7611" s="1331"/>
      <c r="E7611" s="1331"/>
      <c r="F7611" s="2074" t="s">
        <v>705</v>
      </c>
      <c r="G7611" s="2074"/>
      <c r="H7611" s="1236">
        <f>SUM(H7610)</f>
        <v>300000</v>
      </c>
      <c r="M7611" s="1566"/>
    </row>
    <row r="7612" spans="2:13" hidden="1">
      <c r="B7612" s="1543" t="s">
        <v>706</v>
      </c>
      <c r="C7612" s="2075" t="s">
        <v>707</v>
      </c>
      <c r="D7612" s="2075"/>
      <c r="E7612" s="2075"/>
      <c r="F7612" s="2075"/>
      <c r="G7612" s="2075"/>
      <c r="H7612" s="1239">
        <f>H7605+H7608+H7611</f>
        <v>3555788</v>
      </c>
      <c r="M7612" s="1566"/>
    </row>
    <row r="7613" spans="2:13" hidden="1">
      <c r="B7613" s="1543" t="s">
        <v>708</v>
      </c>
      <c r="C7613" s="2075" t="s">
        <v>709</v>
      </c>
      <c r="D7613" s="2075"/>
      <c r="E7613" s="2075"/>
      <c r="F7613" s="2077" t="s">
        <v>710</v>
      </c>
      <c r="G7613" s="2077"/>
      <c r="H7613" s="1107">
        <f>H7612*0.15</f>
        <v>533368.19999999995</v>
      </c>
      <c r="M7613" s="1566"/>
    </row>
    <row r="7614" spans="2:13" hidden="1">
      <c r="B7614" s="1543" t="s">
        <v>711</v>
      </c>
      <c r="C7614" s="2078" t="s">
        <v>712</v>
      </c>
      <c r="D7614" s="2078"/>
      <c r="E7614" s="2078"/>
      <c r="F7614" s="2078"/>
      <c r="G7614" s="2078"/>
      <c r="H7614" s="1107">
        <f>ROUND(SUM(H7612:H7613),2)</f>
        <v>4089156.2</v>
      </c>
      <c r="M7614" s="1566"/>
    </row>
    <row r="7615" spans="2:13" hidden="1">
      <c r="B7615" s="1129"/>
      <c r="C7615" s="1130"/>
      <c r="D7615" s="1129"/>
      <c r="E7615" s="1129"/>
      <c r="F7615" s="1131"/>
      <c r="G7615" s="1132"/>
      <c r="H7615" s="1249"/>
      <c r="M7615" s="1566"/>
    </row>
    <row r="7616" spans="2:13" hidden="1">
      <c r="B7616" s="1100" t="s">
        <v>3619</v>
      </c>
      <c r="C7616" s="1112" t="s">
        <v>3620</v>
      </c>
      <c r="D7616" s="1129"/>
      <c r="E7616" s="1129"/>
      <c r="F7616" s="1131"/>
      <c r="G7616" s="1132"/>
      <c r="H7616" s="1249"/>
      <c r="M7616" s="1566"/>
    </row>
    <row r="7617" spans="2:13" s="507" customFormat="1" ht="24.9" hidden="1" customHeight="1">
      <c r="B7617" s="1748" t="s">
        <v>1003</v>
      </c>
      <c r="C7617" s="1101" t="s">
        <v>1004</v>
      </c>
      <c r="D7617" s="1101" t="s">
        <v>1005</v>
      </c>
      <c r="E7617" s="1101" t="s">
        <v>1006</v>
      </c>
      <c r="F7617" s="1102" t="s">
        <v>1007</v>
      </c>
      <c r="G7617" s="1109" t="s">
        <v>2637</v>
      </c>
      <c r="H7617" s="1235" t="s">
        <v>2638</v>
      </c>
      <c r="J7617" s="1625"/>
      <c r="K7617" s="1625"/>
      <c r="L7617" s="1625"/>
      <c r="M7617" s="1570"/>
    </row>
    <row r="7618" spans="2:13" hidden="1">
      <c r="B7618" s="1543" t="s">
        <v>671</v>
      </c>
      <c r="C7618" s="1332" t="s">
        <v>672</v>
      </c>
      <c r="D7618" s="1331"/>
      <c r="E7618" s="1331"/>
      <c r="F7618" s="1334"/>
      <c r="G7618" s="1104"/>
      <c r="H7618" s="1236"/>
      <c r="M7618" s="1566"/>
    </row>
    <row r="7619" spans="2:13" hidden="1">
      <c r="B7619" s="1543"/>
      <c r="C7619" s="1332" t="s">
        <v>673</v>
      </c>
      <c r="D7619" s="1331" t="s">
        <v>674</v>
      </c>
      <c r="E7619" s="1331" t="s">
        <v>675</v>
      </c>
      <c r="F7619" s="1334">
        <v>0.106</v>
      </c>
      <c r="G7619" s="1104">
        <f>$G$7601</f>
        <v>150000</v>
      </c>
      <c r="H7619" s="1236">
        <f>G7619*F7619</f>
        <v>15900</v>
      </c>
      <c r="M7619" s="1566"/>
    </row>
    <row r="7620" spans="2:13" hidden="1">
      <c r="B7620" s="1543"/>
      <c r="C7620" s="1332" t="s">
        <v>1480</v>
      </c>
      <c r="D7620" s="1331" t="s">
        <v>678</v>
      </c>
      <c r="E7620" s="1331" t="s">
        <v>675</v>
      </c>
      <c r="F7620" s="1334">
        <v>5.2999999999999999E-2</v>
      </c>
      <c r="G7620" s="1104">
        <f>$G$7602</f>
        <v>187000</v>
      </c>
      <c r="H7620" s="1236">
        <f>G7620*F7620</f>
        <v>9911</v>
      </c>
      <c r="M7620" s="1566"/>
    </row>
    <row r="7621" spans="2:13" hidden="1">
      <c r="B7621" s="1543"/>
      <c r="C7621" s="1332" t="s">
        <v>751</v>
      </c>
      <c r="D7621" s="1331" t="s">
        <v>681</v>
      </c>
      <c r="E7621" s="1331" t="s">
        <v>675</v>
      </c>
      <c r="F7621" s="1334">
        <v>5.3E-3</v>
      </c>
      <c r="G7621" s="1104">
        <f>$G$7044</f>
        <v>240000</v>
      </c>
      <c r="H7621" s="1236">
        <f>G7621*F7621</f>
        <v>1272</v>
      </c>
      <c r="M7621" s="1566"/>
    </row>
    <row r="7622" spans="2:13" hidden="1">
      <c r="B7622" s="1543"/>
      <c r="C7622" s="1332" t="s">
        <v>683</v>
      </c>
      <c r="D7622" s="1331" t="s">
        <v>684</v>
      </c>
      <c r="E7622" s="1331" t="s">
        <v>675</v>
      </c>
      <c r="F7622" s="1334">
        <v>1.0999999999999999E-2</v>
      </c>
      <c r="G7622" s="1104">
        <f>$G$7604</f>
        <v>225000</v>
      </c>
      <c r="H7622" s="1236">
        <f>G7622*F7622</f>
        <v>2475</v>
      </c>
      <c r="M7622" s="1566"/>
    </row>
    <row r="7623" spans="2:13" hidden="1">
      <c r="B7623" s="1120"/>
      <c r="C7623" s="1253"/>
      <c r="D7623" s="1254"/>
      <c r="E7623" s="1253"/>
      <c r="F7623" s="2080" t="s">
        <v>685</v>
      </c>
      <c r="G7623" s="2081"/>
      <c r="H7623" s="1236">
        <f>SUM(H7619:H7622)</f>
        <v>29558</v>
      </c>
      <c r="M7623" s="1566"/>
    </row>
    <row r="7624" spans="2:13" hidden="1">
      <c r="B7624" s="1543" t="s">
        <v>686</v>
      </c>
      <c r="C7624" s="1332" t="s">
        <v>687</v>
      </c>
      <c r="D7624" s="1331"/>
      <c r="E7624" s="1331"/>
      <c r="F7624" s="1334"/>
      <c r="G7624" s="1104"/>
      <c r="H7624" s="1236"/>
      <c r="M7624" s="1566"/>
    </row>
    <row r="7625" spans="2:13" hidden="1">
      <c r="B7625" s="1543"/>
      <c r="C7625" s="1332" t="s">
        <v>3621</v>
      </c>
      <c r="D7625" s="1331"/>
      <c r="E7625" s="1331" t="s">
        <v>1423</v>
      </c>
      <c r="F7625" s="1334">
        <v>1</v>
      </c>
      <c r="G7625" s="1104">
        <f>DUB!$I$617</f>
        <v>208845</v>
      </c>
      <c r="H7625" s="1236">
        <f>G7625*F7625</f>
        <v>208845</v>
      </c>
      <c r="M7625" s="1566"/>
    </row>
    <row r="7626" spans="2:13" hidden="1">
      <c r="B7626" s="1543"/>
      <c r="C7626" s="1332"/>
      <c r="D7626" s="1331"/>
      <c r="E7626" s="1331"/>
      <c r="F7626" s="2074" t="s">
        <v>702</v>
      </c>
      <c r="G7626" s="2074"/>
      <c r="H7626" s="1236">
        <f>SUM(H7625)</f>
        <v>208845</v>
      </c>
      <c r="M7626" s="1566"/>
    </row>
    <row r="7627" spans="2:13" hidden="1">
      <c r="B7627" s="1543" t="s">
        <v>703</v>
      </c>
      <c r="C7627" s="1332" t="s">
        <v>704</v>
      </c>
      <c r="D7627" s="1331"/>
      <c r="E7627" s="1331"/>
      <c r="F7627" s="1334"/>
      <c r="G7627" s="1104"/>
      <c r="H7627" s="1236"/>
      <c r="M7627" s="1566"/>
    </row>
    <row r="7628" spans="2:13" hidden="1">
      <c r="B7628" s="1543"/>
      <c r="C7628" s="1126" t="s">
        <v>3509</v>
      </c>
      <c r="D7628" s="1331"/>
      <c r="E7628" s="1187" t="s">
        <v>1011</v>
      </c>
      <c r="F7628" s="1179">
        <v>1</v>
      </c>
      <c r="G7628" s="1104">
        <v>10000</v>
      </c>
      <c r="H7628" s="1236">
        <f>G7628*F7628</f>
        <v>10000</v>
      </c>
      <c r="M7628" s="1566"/>
    </row>
    <row r="7629" spans="2:13" hidden="1">
      <c r="B7629" s="1543"/>
      <c r="C7629" s="1332"/>
      <c r="D7629" s="1331"/>
      <c r="E7629" s="1331"/>
      <c r="F7629" s="2074" t="s">
        <v>705</v>
      </c>
      <c r="G7629" s="2074"/>
      <c r="H7629" s="1236">
        <f>SUM(H7628)</f>
        <v>10000</v>
      </c>
      <c r="M7629" s="1566"/>
    </row>
    <row r="7630" spans="2:13" hidden="1">
      <c r="B7630" s="1543" t="s">
        <v>706</v>
      </c>
      <c r="C7630" s="2075" t="s">
        <v>707</v>
      </c>
      <c r="D7630" s="2075"/>
      <c r="E7630" s="2075"/>
      <c r="F7630" s="2075"/>
      <c r="G7630" s="2075"/>
      <c r="H7630" s="1239">
        <f>H7623+H7626+H7629</f>
        <v>248403</v>
      </c>
      <c r="M7630" s="1566"/>
    </row>
    <row r="7631" spans="2:13" hidden="1">
      <c r="B7631" s="1543" t="s">
        <v>708</v>
      </c>
      <c r="C7631" s="2075" t="s">
        <v>709</v>
      </c>
      <c r="D7631" s="2075"/>
      <c r="E7631" s="2075"/>
      <c r="F7631" s="2077" t="s">
        <v>710</v>
      </c>
      <c r="G7631" s="2077"/>
      <c r="H7631" s="1107">
        <f>H7630*0.15</f>
        <v>37260.449999999997</v>
      </c>
      <c r="M7631" s="1566"/>
    </row>
    <row r="7632" spans="2:13" hidden="1">
      <c r="B7632" s="1543" t="s">
        <v>711</v>
      </c>
      <c r="C7632" s="2078" t="s">
        <v>712</v>
      </c>
      <c r="D7632" s="2078"/>
      <c r="E7632" s="2078"/>
      <c r="F7632" s="2078"/>
      <c r="G7632" s="2078"/>
      <c r="H7632" s="1107">
        <f>ROUND(SUM(H7630:H7631),2)</f>
        <v>285663.45</v>
      </c>
      <c r="M7632" s="1566"/>
    </row>
    <row r="7633" spans="2:13" hidden="1">
      <c r="B7633" s="1129"/>
      <c r="C7633" s="1130"/>
      <c r="D7633" s="1129"/>
      <c r="E7633" s="1129"/>
      <c r="F7633" s="1131"/>
      <c r="G7633" s="1132"/>
      <c r="H7633" s="1249"/>
      <c r="M7633" s="1566"/>
    </row>
    <row r="7634" spans="2:13" hidden="1">
      <c r="B7634" s="1100" t="s">
        <v>4273</v>
      </c>
      <c r="C7634" s="1112" t="s">
        <v>3622</v>
      </c>
      <c r="D7634" s="1129"/>
      <c r="E7634" s="1129"/>
      <c r="F7634" s="1131"/>
      <c r="G7634" s="1132"/>
      <c r="H7634" s="1249"/>
      <c r="M7634" s="1566"/>
    </row>
    <row r="7635" spans="2:13" s="507" customFormat="1" ht="24.9" hidden="1" customHeight="1">
      <c r="B7635" s="1748" t="s">
        <v>1003</v>
      </c>
      <c r="C7635" s="1101" t="s">
        <v>1004</v>
      </c>
      <c r="D7635" s="1101" t="s">
        <v>1005</v>
      </c>
      <c r="E7635" s="1101" t="s">
        <v>1006</v>
      </c>
      <c r="F7635" s="1102" t="s">
        <v>1007</v>
      </c>
      <c r="G7635" s="1109" t="s">
        <v>2637</v>
      </c>
      <c r="H7635" s="1235" t="s">
        <v>2638</v>
      </c>
      <c r="J7635" s="1625"/>
      <c r="K7635" s="1625"/>
      <c r="L7635" s="1625"/>
      <c r="M7635" s="1570"/>
    </row>
    <row r="7636" spans="2:13" hidden="1">
      <c r="B7636" s="1543" t="s">
        <v>671</v>
      </c>
      <c r="C7636" s="1332" t="s">
        <v>672</v>
      </c>
      <c r="D7636" s="1331"/>
      <c r="E7636" s="1331"/>
      <c r="F7636" s="1334"/>
      <c r="G7636" s="1104"/>
      <c r="H7636" s="1236"/>
      <c r="M7636" s="1566"/>
    </row>
    <row r="7637" spans="2:13" hidden="1">
      <c r="B7637" s="1543"/>
      <c r="C7637" s="1332" t="s">
        <v>673</v>
      </c>
      <c r="D7637" s="1331" t="s">
        <v>674</v>
      </c>
      <c r="E7637" s="1331" t="s">
        <v>675</v>
      </c>
      <c r="F7637" s="1334">
        <v>0.106</v>
      </c>
      <c r="G7637" s="1104">
        <f>G7619</f>
        <v>150000</v>
      </c>
      <c r="H7637" s="1236">
        <f>G7637*F7637</f>
        <v>15900</v>
      </c>
      <c r="M7637" s="1566"/>
    </row>
    <row r="7638" spans="2:13" hidden="1">
      <c r="B7638" s="1543"/>
      <c r="C7638" s="1332" t="s">
        <v>1480</v>
      </c>
      <c r="D7638" s="1331" t="s">
        <v>678</v>
      </c>
      <c r="E7638" s="1331" t="s">
        <v>675</v>
      </c>
      <c r="F7638" s="1334">
        <v>5.2999999999999999E-2</v>
      </c>
      <c r="G7638" s="1104">
        <f>G7620</f>
        <v>187000</v>
      </c>
      <c r="H7638" s="1236">
        <f>G7638*F7638</f>
        <v>9911</v>
      </c>
      <c r="M7638" s="1566"/>
    </row>
    <row r="7639" spans="2:13" hidden="1">
      <c r="B7639" s="1543"/>
      <c r="C7639" s="1332" t="s">
        <v>751</v>
      </c>
      <c r="D7639" s="1331" t="s">
        <v>681</v>
      </c>
      <c r="E7639" s="1331" t="s">
        <v>675</v>
      </c>
      <c r="F7639" s="1334">
        <v>5.3E-3</v>
      </c>
      <c r="G7639" s="1104">
        <f>$G$7044</f>
        <v>240000</v>
      </c>
      <c r="H7639" s="1236">
        <f>G7639*F7639</f>
        <v>1272</v>
      </c>
      <c r="M7639" s="1566"/>
    </row>
    <row r="7640" spans="2:13" hidden="1">
      <c r="B7640" s="1543"/>
      <c r="C7640" s="1332" t="s">
        <v>683</v>
      </c>
      <c r="D7640" s="1331" t="s">
        <v>684</v>
      </c>
      <c r="E7640" s="1331" t="s">
        <v>675</v>
      </c>
      <c r="F7640" s="1334">
        <v>1.0999999999999999E-2</v>
      </c>
      <c r="G7640" s="1104">
        <f>G7622</f>
        <v>225000</v>
      </c>
      <c r="H7640" s="1236">
        <f>G7640*F7640</f>
        <v>2475</v>
      </c>
      <c r="M7640" s="1566"/>
    </row>
    <row r="7641" spans="2:13" hidden="1">
      <c r="B7641" s="1120"/>
      <c r="C7641" s="1253"/>
      <c r="D7641" s="1254"/>
      <c r="E7641" s="1253"/>
      <c r="F7641" s="2080" t="s">
        <v>685</v>
      </c>
      <c r="G7641" s="2081"/>
      <c r="H7641" s="1236">
        <f>SUM(H7637:H7640)</f>
        <v>29558</v>
      </c>
      <c r="M7641" s="1566"/>
    </row>
    <row r="7642" spans="2:13" hidden="1">
      <c r="B7642" s="1543" t="s">
        <v>686</v>
      </c>
      <c r="C7642" s="1332" t="s">
        <v>687</v>
      </c>
      <c r="D7642" s="1331"/>
      <c r="E7642" s="1331"/>
      <c r="F7642" s="1334"/>
      <c r="G7642" s="1104"/>
      <c r="H7642" s="1236"/>
      <c r="M7642" s="1566"/>
    </row>
    <row r="7643" spans="2:13" hidden="1">
      <c r="B7643" s="1543"/>
      <c r="C7643" s="1256" t="s">
        <v>3228</v>
      </c>
      <c r="D7643" s="1331"/>
      <c r="E7643" s="1331" t="s">
        <v>1423</v>
      </c>
      <c r="F7643" s="1334">
        <v>1</v>
      </c>
      <c r="G7643" s="1104">
        <f>DUB!$I$618</f>
        <v>350856</v>
      </c>
      <c r="H7643" s="1236">
        <f>G7643*F7643</f>
        <v>350856</v>
      </c>
      <c r="M7643" s="1566"/>
    </row>
    <row r="7644" spans="2:13" hidden="1">
      <c r="B7644" s="1543"/>
      <c r="C7644" s="1332"/>
      <c r="D7644" s="1331"/>
      <c r="E7644" s="1331"/>
      <c r="F7644" s="2074" t="s">
        <v>702</v>
      </c>
      <c r="G7644" s="2074"/>
      <c r="H7644" s="1236">
        <f>SUM(H7643)</f>
        <v>350856</v>
      </c>
      <c r="M7644" s="1566"/>
    </row>
    <row r="7645" spans="2:13" hidden="1">
      <c r="B7645" s="1543" t="s">
        <v>703</v>
      </c>
      <c r="C7645" s="1332" t="s">
        <v>704</v>
      </c>
      <c r="D7645" s="1331"/>
      <c r="E7645" s="1331"/>
      <c r="F7645" s="1334"/>
      <c r="G7645" s="1104"/>
      <c r="H7645" s="1236"/>
      <c r="M7645" s="1566"/>
    </row>
    <row r="7646" spans="2:13" hidden="1">
      <c r="B7646" s="1543"/>
      <c r="C7646" s="1126" t="s">
        <v>3509</v>
      </c>
      <c r="D7646" s="1331"/>
      <c r="E7646" s="1187" t="s">
        <v>1011</v>
      </c>
      <c r="F7646" s="1179">
        <v>1</v>
      </c>
      <c r="G7646" s="1104">
        <v>10000</v>
      </c>
      <c r="H7646" s="1236">
        <f>G7646*F7646</f>
        <v>10000</v>
      </c>
      <c r="M7646" s="1566"/>
    </row>
    <row r="7647" spans="2:13" hidden="1">
      <c r="B7647" s="1543"/>
      <c r="C7647" s="1332"/>
      <c r="D7647" s="1331"/>
      <c r="E7647" s="1331"/>
      <c r="F7647" s="2074" t="s">
        <v>705</v>
      </c>
      <c r="G7647" s="2074"/>
      <c r="H7647" s="1236">
        <f>SUM(H7646)</f>
        <v>10000</v>
      </c>
      <c r="M7647" s="1566"/>
    </row>
    <row r="7648" spans="2:13" hidden="1">
      <c r="B7648" s="1543" t="s">
        <v>706</v>
      </c>
      <c r="C7648" s="2075" t="s">
        <v>707</v>
      </c>
      <c r="D7648" s="2075"/>
      <c r="E7648" s="2075"/>
      <c r="F7648" s="2075"/>
      <c r="G7648" s="2075"/>
      <c r="H7648" s="1239">
        <f>H7641+H7644+H7647</f>
        <v>390414</v>
      </c>
      <c r="M7648" s="1566"/>
    </row>
    <row r="7649" spans="2:13" hidden="1">
      <c r="B7649" s="1543" t="s">
        <v>708</v>
      </c>
      <c r="C7649" s="2075" t="s">
        <v>709</v>
      </c>
      <c r="D7649" s="2075"/>
      <c r="E7649" s="2075"/>
      <c r="F7649" s="2077" t="s">
        <v>710</v>
      </c>
      <c r="G7649" s="2077"/>
      <c r="H7649" s="1107">
        <f>H7648*0.15</f>
        <v>58562.1</v>
      </c>
      <c r="M7649" s="1566"/>
    </row>
    <row r="7650" spans="2:13" hidden="1">
      <c r="B7650" s="1543" t="s">
        <v>711</v>
      </c>
      <c r="C7650" s="2078" t="s">
        <v>712</v>
      </c>
      <c r="D7650" s="2078"/>
      <c r="E7650" s="2078"/>
      <c r="F7650" s="2078"/>
      <c r="G7650" s="2078"/>
      <c r="H7650" s="1107">
        <f>ROUND(SUM(H7648:H7649),2)</f>
        <v>448976.1</v>
      </c>
      <c r="M7650" s="1566"/>
    </row>
    <row r="7651" spans="2:13" hidden="1">
      <c r="B7651" s="1129"/>
      <c r="C7651" s="1130"/>
      <c r="D7651" s="1129"/>
      <c r="E7651" s="1129"/>
      <c r="F7651" s="1131"/>
      <c r="G7651" s="1132"/>
      <c r="H7651" s="1249"/>
      <c r="M7651" s="1566"/>
    </row>
    <row r="7652" spans="2:13" hidden="1">
      <c r="B7652" s="1100" t="s">
        <v>3623</v>
      </c>
      <c r="C7652" s="1232" t="s">
        <v>4274</v>
      </c>
      <c r="F7652" s="1172"/>
      <c r="G7652" s="1173"/>
      <c r="H7652" s="1711"/>
      <c r="M7652" s="1566"/>
    </row>
    <row r="7653" spans="2:13" s="507" customFormat="1" ht="24.9" hidden="1" customHeight="1">
      <c r="B7653" s="1748" t="s">
        <v>1003</v>
      </c>
      <c r="C7653" s="1101" t="s">
        <v>1004</v>
      </c>
      <c r="D7653" s="1101" t="s">
        <v>1005</v>
      </c>
      <c r="E7653" s="1101" t="s">
        <v>1006</v>
      </c>
      <c r="F7653" s="1102" t="s">
        <v>1007</v>
      </c>
      <c r="G7653" s="1109" t="s">
        <v>2637</v>
      </c>
      <c r="H7653" s="1235" t="s">
        <v>2638</v>
      </c>
      <c r="J7653" s="1625"/>
      <c r="K7653" s="1625"/>
      <c r="L7653" s="1625"/>
      <c r="M7653" s="1570"/>
    </row>
    <row r="7654" spans="2:13" hidden="1">
      <c r="B7654" s="1543" t="s">
        <v>671</v>
      </c>
      <c r="C7654" s="1332" t="s">
        <v>672</v>
      </c>
      <c r="D7654" s="1331"/>
      <c r="E7654" s="1331"/>
      <c r="F7654" s="1334"/>
      <c r="G7654" s="1104"/>
      <c r="H7654" s="1236"/>
      <c r="M7654" s="1566"/>
    </row>
    <row r="7655" spans="2:13" hidden="1">
      <c r="B7655" s="1543"/>
      <c r="C7655" s="1332" t="s">
        <v>673</v>
      </c>
      <c r="D7655" s="1331" t="s">
        <v>674</v>
      </c>
      <c r="E7655" s="1331" t="s">
        <v>675</v>
      </c>
      <c r="F7655" s="1334">
        <v>1.429</v>
      </c>
      <c r="G7655" s="1104">
        <f>$G$7637</f>
        <v>150000</v>
      </c>
      <c r="H7655" s="1236">
        <f>G7655*F7655</f>
        <v>214350</v>
      </c>
      <c r="M7655" s="1566"/>
    </row>
    <row r="7656" spans="2:13" hidden="1">
      <c r="B7656" s="1543"/>
      <c r="C7656" s="1332" t="s">
        <v>1480</v>
      </c>
      <c r="D7656" s="1331" t="s">
        <v>678</v>
      </c>
      <c r="E7656" s="1331" t="s">
        <v>675</v>
      </c>
      <c r="F7656" s="1334">
        <v>0.71499999999999997</v>
      </c>
      <c r="G7656" s="1104">
        <f>$G$7638</f>
        <v>187000</v>
      </c>
      <c r="H7656" s="1236">
        <f>G7656*F7656</f>
        <v>133705</v>
      </c>
      <c r="M7656" s="1566"/>
    </row>
    <row r="7657" spans="2:13" hidden="1">
      <c r="B7657" s="1543"/>
      <c r="C7657" s="1332" t="s">
        <v>751</v>
      </c>
      <c r="D7657" s="1331" t="s">
        <v>681</v>
      </c>
      <c r="E7657" s="1331" t="s">
        <v>675</v>
      </c>
      <c r="F7657" s="1334">
        <v>7.1499999999999994E-2</v>
      </c>
      <c r="G7657" s="1104">
        <f>$G$7044</f>
        <v>240000</v>
      </c>
      <c r="H7657" s="1236">
        <f>G7657*F7657</f>
        <v>17160</v>
      </c>
      <c r="M7657" s="1566"/>
    </row>
    <row r="7658" spans="2:13" hidden="1">
      <c r="B7658" s="1543"/>
      <c r="C7658" s="1332" t="s">
        <v>683</v>
      </c>
      <c r="D7658" s="1331" t="s">
        <v>684</v>
      </c>
      <c r="E7658" s="1331" t="s">
        <v>675</v>
      </c>
      <c r="F7658" s="1334">
        <v>0.14299999999999999</v>
      </c>
      <c r="G7658" s="1104">
        <f>$G$7640</f>
        <v>225000</v>
      </c>
      <c r="H7658" s="1236">
        <f>G7658*F7658</f>
        <v>32174.999999999996</v>
      </c>
      <c r="M7658" s="1566"/>
    </row>
    <row r="7659" spans="2:13" hidden="1">
      <c r="B7659" s="1120"/>
      <c r="C7659" s="1253"/>
      <c r="D7659" s="1254"/>
      <c r="E7659" s="1253"/>
      <c r="F7659" s="2080" t="s">
        <v>685</v>
      </c>
      <c r="G7659" s="2081"/>
      <c r="H7659" s="1236">
        <f>SUM(H7655:H7658)</f>
        <v>397390</v>
      </c>
      <c r="M7659" s="1566"/>
    </row>
    <row r="7660" spans="2:13" hidden="1">
      <c r="B7660" s="1543" t="s">
        <v>686</v>
      </c>
      <c r="C7660" s="1332" t="s">
        <v>687</v>
      </c>
      <c r="D7660" s="1331"/>
      <c r="E7660" s="1331"/>
      <c r="F7660" s="1334"/>
      <c r="G7660" s="1104"/>
      <c r="H7660" s="1236"/>
      <c r="M7660" s="1566"/>
    </row>
    <row r="7661" spans="2:13" hidden="1">
      <c r="B7661" s="1543"/>
      <c r="C7661" s="1332" t="s">
        <v>3624</v>
      </c>
      <c r="D7661" s="1331"/>
      <c r="E7661" s="1331" t="s">
        <v>1423</v>
      </c>
      <c r="F7661" s="1334">
        <v>1</v>
      </c>
      <c r="G7661" s="1104">
        <f>DUB!$I$630</f>
        <v>2985768</v>
      </c>
      <c r="H7661" s="1236">
        <f>G7661*F7661</f>
        <v>2985768</v>
      </c>
      <c r="M7661" s="1566"/>
    </row>
    <row r="7662" spans="2:13" hidden="1">
      <c r="B7662" s="1543"/>
      <c r="C7662" s="1332"/>
      <c r="D7662" s="1331"/>
      <c r="E7662" s="1331"/>
      <c r="F7662" s="2074" t="s">
        <v>702</v>
      </c>
      <c r="G7662" s="2074"/>
      <c r="H7662" s="1236">
        <f>SUM(H7661:H7661)</f>
        <v>2985768</v>
      </c>
      <c r="M7662" s="1566"/>
    </row>
    <row r="7663" spans="2:13" hidden="1">
      <c r="B7663" s="1543" t="s">
        <v>703</v>
      </c>
      <c r="C7663" s="1332" t="s">
        <v>704</v>
      </c>
      <c r="D7663" s="1331"/>
      <c r="E7663" s="1331"/>
      <c r="F7663" s="1334"/>
      <c r="G7663" s="1104"/>
      <c r="H7663" s="1236"/>
      <c r="M7663" s="1566"/>
    </row>
    <row r="7664" spans="2:13" hidden="1">
      <c r="B7664" s="1543"/>
      <c r="C7664" s="1126" t="s">
        <v>3509</v>
      </c>
      <c r="D7664" s="1331"/>
      <c r="E7664" s="1187" t="s">
        <v>1011</v>
      </c>
      <c r="F7664" s="1179">
        <v>1</v>
      </c>
      <c r="G7664" s="1104">
        <v>50000</v>
      </c>
      <c r="H7664" s="1236">
        <f>G7664*F7664</f>
        <v>50000</v>
      </c>
      <c r="M7664" s="1566"/>
    </row>
    <row r="7665" spans="2:13" hidden="1">
      <c r="B7665" s="1543"/>
      <c r="C7665" s="1332"/>
      <c r="D7665" s="1331"/>
      <c r="E7665" s="1331"/>
      <c r="F7665" s="2074" t="s">
        <v>705</v>
      </c>
      <c r="G7665" s="2074"/>
      <c r="H7665" s="1236">
        <f>SUM(H7664)</f>
        <v>50000</v>
      </c>
      <c r="M7665" s="1566"/>
    </row>
    <row r="7666" spans="2:13" hidden="1">
      <c r="B7666" s="1543" t="s">
        <v>706</v>
      </c>
      <c r="C7666" s="2075" t="s">
        <v>707</v>
      </c>
      <c r="D7666" s="2075"/>
      <c r="E7666" s="2075"/>
      <c r="F7666" s="2075"/>
      <c r="G7666" s="2075"/>
      <c r="H7666" s="1239">
        <f>H7659+H7662+H7665</f>
        <v>3433158</v>
      </c>
      <c r="M7666" s="1566"/>
    </row>
    <row r="7667" spans="2:13" hidden="1">
      <c r="B7667" s="1543" t="s">
        <v>708</v>
      </c>
      <c r="C7667" s="2075" t="s">
        <v>709</v>
      </c>
      <c r="D7667" s="2075"/>
      <c r="E7667" s="2075"/>
      <c r="F7667" s="2077" t="s">
        <v>710</v>
      </c>
      <c r="G7667" s="2077"/>
      <c r="H7667" s="1107">
        <f>H7666*0.15</f>
        <v>514973.69999999995</v>
      </c>
      <c r="M7667" s="1566"/>
    </row>
    <row r="7668" spans="2:13" hidden="1">
      <c r="B7668" s="1543" t="s">
        <v>711</v>
      </c>
      <c r="C7668" s="2078" t="s">
        <v>712</v>
      </c>
      <c r="D7668" s="2078"/>
      <c r="E7668" s="2078"/>
      <c r="F7668" s="2078"/>
      <c r="G7668" s="2078"/>
      <c r="H7668" s="1107">
        <f>ROUND(SUM(H7666:H7667),2)</f>
        <v>3948131.7</v>
      </c>
      <c r="M7668" s="1566"/>
    </row>
    <row r="7669" spans="2:13" hidden="1">
      <c r="B7669" s="1129"/>
      <c r="C7669" s="1130"/>
      <c r="D7669" s="1129"/>
      <c r="E7669" s="1129"/>
      <c r="F7669" s="1131"/>
      <c r="G7669" s="1132"/>
      <c r="H7669" s="1249"/>
      <c r="M7669" s="1566"/>
    </row>
    <row r="7670" spans="2:13" hidden="1">
      <c r="B7670" s="1100" t="s">
        <v>3625</v>
      </c>
      <c r="C7670" s="1232" t="s">
        <v>4275</v>
      </c>
      <c r="F7670" s="1172"/>
      <c r="G7670" s="1173"/>
      <c r="H7670" s="1711"/>
      <c r="M7670" s="1566"/>
    </row>
    <row r="7671" spans="2:13" s="507" customFormat="1" ht="24.9" hidden="1" customHeight="1">
      <c r="B7671" s="1748" t="s">
        <v>1003</v>
      </c>
      <c r="C7671" s="1101" t="s">
        <v>1004</v>
      </c>
      <c r="D7671" s="1101" t="s">
        <v>1005</v>
      </c>
      <c r="E7671" s="1101" t="s">
        <v>1006</v>
      </c>
      <c r="F7671" s="1102" t="s">
        <v>1007</v>
      </c>
      <c r="G7671" s="1109" t="s">
        <v>2637</v>
      </c>
      <c r="H7671" s="1235" t="s">
        <v>2638</v>
      </c>
      <c r="J7671" s="1625"/>
      <c r="K7671" s="1625"/>
      <c r="L7671" s="1625"/>
      <c r="M7671" s="1570"/>
    </row>
    <row r="7672" spans="2:13" hidden="1">
      <c r="B7672" s="1543" t="s">
        <v>671</v>
      </c>
      <c r="C7672" s="1332" t="s">
        <v>672</v>
      </c>
      <c r="D7672" s="1331"/>
      <c r="E7672" s="1331"/>
      <c r="F7672" s="1334"/>
      <c r="G7672" s="1104"/>
      <c r="H7672" s="1236"/>
      <c r="M7672" s="1566"/>
    </row>
    <row r="7673" spans="2:13" hidden="1">
      <c r="B7673" s="1543"/>
      <c r="C7673" s="1332" t="s">
        <v>673</v>
      </c>
      <c r="D7673" s="1331" t="s">
        <v>674</v>
      </c>
      <c r="E7673" s="1331" t="s">
        <v>675</v>
      </c>
      <c r="F7673" s="1334">
        <v>1.429</v>
      </c>
      <c r="G7673" s="1104">
        <f>$G$7655</f>
        <v>150000</v>
      </c>
      <c r="H7673" s="1236">
        <f>G7673*F7673</f>
        <v>214350</v>
      </c>
      <c r="M7673" s="1566"/>
    </row>
    <row r="7674" spans="2:13" hidden="1">
      <c r="B7674" s="1543"/>
      <c r="C7674" s="1332" t="s">
        <v>1480</v>
      </c>
      <c r="D7674" s="1331" t="s">
        <v>678</v>
      </c>
      <c r="E7674" s="1331" t="s">
        <v>675</v>
      </c>
      <c r="F7674" s="1334">
        <v>0.71499999999999997</v>
      </c>
      <c r="G7674" s="1104">
        <f>$G$7656</f>
        <v>187000</v>
      </c>
      <c r="H7674" s="1236">
        <f>G7674*F7674</f>
        <v>133705</v>
      </c>
      <c r="M7674" s="1566"/>
    </row>
    <row r="7675" spans="2:13" hidden="1">
      <c r="B7675" s="1543"/>
      <c r="C7675" s="1332" t="s">
        <v>751</v>
      </c>
      <c r="D7675" s="1331" t="s">
        <v>681</v>
      </c>
      <c r="E7675" s="1331" t="s">
        <v>675</v>
      </c>
      <c r="F7675" s="1334">
        <v>7.1499999999999994E-2</v>
      </c>
      <c r="G7675" s="1104">
        <f>$G$7044</f>
        <v>240000</v>
      </c>
      <c r="H7675" s="1236">
        <f>G7675*F7675</f>
        <v>17160</v>
      </c>
      <c r="M7675" s="1566"/>
    </row>
    <row r="7676" spans="2:13" hidden="1">
      <c r="B7676" s="1543"/>
      <c r="C7676" s="1332" t="s">
        <v>683</v>
      </c>
      <c r="D7676" s="1331" t="s">
        <v>684</v>
      </c>
      <c r="E7676" s="1331" t="s">
        <v>675</v>
      </c>
      <c r="F7676" s="1334">
        <v>0.14299999999999999</v>
      </c>
      <c r="G7676" s="1104">
        <f>$G$7658</f>
        <v>225000</v>
      </c>
      <c r="H7676" s="1236">
        <f>G7676*F7676</f>
        <v>32174.999999999996</v>
      </c>
      <c r="M7676" s="1566"/>
    </row>
    <row r="7677" spans="2:13" hidden="1">
      <c r="B7677" s="1120"/>
      <c r="C7677" s="1253"/>
      <c r="D7677" s="1254"/>
      <c r="E7677" s="1253"/>
      <c r="F7677" s="2080" t="s">
        <v>685</v>
      </c>
      <c r="G7677" s="2081"/>
      <c r="H7677" s="1236">
        <f>SUM(H7673:H7676)</f>
        <v>397390</v>
      </c>
      <c r="M7677" s="1566"/>
    </row>
    <row r="7678" spans="2:13" hidden="1">
      <c r="B7678" s="1543" t="s">
        <v>686</v>
      </c>
      <c r="C7678" s="1332" t="s">
        <v>687</v>
      </c>
      <c r="D7678" s="1331"/>
      <c r="E7678" s="1331"/>
      <c r="F7678" s="1334"/>
      <c r="G7678" s="1104"/>
      <c r="H7678" s="1236"/>
      <c r="M7678" s="1566"/>
    </row>
    <row r="7679" spans="2:13" hidden="1">
      <c r="B7679" s="1543"/>
      <c r="C7679" s="1332" t="s">
        <v>3626</v>
      </c>
      <c r="D7679" s="1331"/>
      <c r="E7679" s="1331" t="s">
        <v>1423</v>
      </c>
      <c r="F7679" s="1334">
        <v>1</v>
      </c>
      <c r="G7679" s="1104">
        <f>DUB!$I$629</f>
        <v>3084480</v>
      </c>
      <c r="H7679" s="1236">
        <f>G7679*F7679</f>
        <v>3084480</v>
      </c>
      <c r="M7679" s="1566"/>
    </row>
    <row r="7680" spans="2:13" hidden="1">
      <c r="B7680" s="1543"/>
      <c r="C7680" s="1332"/>
      <c r="D7680" s="1331"/>
      <c r="E7680" s="1331"/>
      <c r="F7680" s="2074" t="s">
        <v>702</v>
      </c>
      <c r="G7680" s="2074"/>
      <c r="H7680" s="1236">
        <f>SUM(H7679:H7679)</f>
        <v>3084480</v>
      </c>
      <c r="M7680" s="1566"/>
    </row>
    <row r="7681" spans="2:13" hidden="1">
      <c r="B7681" s="1543" t="s">
        <v>703</v>
      </c>
      <c r="C7681" s="1332" t="s">
        <v>704</v>
      </c>
      <c r="D7681" s="1331"/>
      <c r="E7681" s="1331"/>
      <c r="F7681" s="1334"/>
      <c r="G7681" s="1104"/>
      <c r="H7681" s="1236"/>
      <c r="M7681" s="1566"/>
    </row>
    <row r="7682" spans="2:13" hidden="1">
      <c r="B7682" s="1543"/>
      <c r="C7682" s="1126" t="s">
        <v>3509</v>
      </c>
      <c r="D7682" s="1331"/>
      <c r="E7682" s="1187" t="s">
        <v>1011</v>
      </c>
      <c r="F7682" s="1179">
        <v>1</v>
      </c>
      <c r="G7682" s="1104">
        <v>100000</v>
      </c>
      <c r="H7682" s="1236">
        <f>G7682*F7682</f>
        <v>100000</v>
      </c>
      <c r="M7682" s="1566"/>
    </row>
    <row r="7683" spans="2:13" hidden="1">
      <c r="B7683" s="1543"/>
      <c r="C7683" s="1332"/>
      <c r="D7683" s="1331"/>
      <c r="E7683" s="1331"/>
      <c r="F7683" s="2074" t="s">
        <v>705</v>
      </c>
      <c r="G7683" s="2074"/>
      <c r="H7683" s="1236">
        <f>SUM(H7682)</f>
        <v>100000</v>
      </c>
      <c r="M7683" s="1566"/>
    </row>
    <row r="7684" spans="2:13" hidden="1">
      <c r="B7684" s="1543" t="s">
        <v>706</v>
      </c>
      <c r="C7684" s="2075" t="s">
        <v>707</v>
      </c>
      <c r="D7684" s="2075"/>
      <c r="E7684" s="2075"/>
      <c r="F7684" s="2075"/>
      <c r="G7684" s="2075"/>
      <c r="H7684" s="1239">
        <f>H7677+H7680+H7683</f>
        <v>3581870</v>
      </c>
      <c r="M7684" s="1566"/>
    </row>
    <row r="7685" spans="2:13" hidden="1">
      <c r="B7685" s="1543" t="s">
        <v>708</v>
      </c>
      <c r="C7685" s="2075" t="s">
        <v>709</v>
      </c>
      <c r="D7685" s="2075"/>
      <c r="E7685" s="2075"/>
      <c r="F7685" s="2077" t="s">
        <v>710</v>
      </c>
      <c r="G7685" s="2077"/>
      <c r="H7685" s="1107">
        <f>H7684*0.15</f>
        <v>537280.5</v>
      </c>
      <c r="M7685" s="1566"/>
    </row>
    <row r="7686" spans="2:13" hidden="1">
      <c r="B7686" s="1543" t="s">
        <v>711</v>
      </c>
      <c r="C7686" s="2078" t="s">
        <v>712</v>
      </c>
      <c r="D7686" s="2078"/>
      <c r="E7686" s="2078"/>
      <c r="F7686" s="2078"/>
      <c r="G7686" s="2078"/>
      <c r="H7686" s="1107">
        <f>ROUND(SUM(H7684:H7685),2)</f>
        <v>4119150.5</v>
      </c>
      <c r="M7686" s="1566"/>
    </row>
    <row r="7687" spans="2:13" hidden="1">
      <c r="B7687" s="1129"/>
      <c r="C7687" s="1130"/>
      <c r="D7687" s="1129"/>
      <c r="E7687" s="1129"/>
      <c r="F7687" s="1131"/>
      <c r="G7687" s="1132"/>
      <c r="H7687" s="1249"/>
      <c r="M7687" s="1566"/>
    </row>
    <row r="7688" spans="2:13" hidden="1">
      <c r="B7688" s="1100" t="s">
        <v>3627</v>
      </c>
      <c r="C7688" s="1232" t="s">
        <v>4276</v>
      </c>
      <c r="F7688" s="1172"/>
      <c r="G7688" s="1173"/>
      <c r="H7688" s="1711"/>
      <c r="M7688" s="1566"/>
    </row>
    <row r="7689" spans="2:13" s="507" customFormat="1" ht="24.9" hidden="1" customHeight="1">
      <c r="B7689" s="1748" t="s">
        <v>1003</v>
      </c>
      <c r="C7689" s="1101" t="s">
        <v>1004</v>
      </c>
      <c r="D7689" s="1101" t="s">
        <v>1005</v>
      </c>
      <c r="E7689" s="1101" t="s">
        <v>1006</v>
      </c>
      <c r="F7689" s="1102" t="s">
        <v>1007</v>
      </c>
      <c r="G7689" s="1109" t="s">
        <v>2637</v>
      </c>
      <c r="H7689" s="1235" t="s">
        <v>2638</v>
      </c>
      <c r="J7689" s="1625"/>
      <c r="K7689" s="1625"/>
      <c r="L7689" s="1625"/>
      <c r="M7689" s="1570"/>
    </row>
    <row r="7690" spans="2:13" hidden="1">
      <c r="B7690" s="1543" t="s">
        <v>671</v>
      </c>
      <c r="C7690" s="1332" t="s">
        <v>672</v>
      </c>
      <c r="D7690" s="1331"/>
      <c r="E7690" s="1331"/>
      <c r="F7690" s="1334"/>
      <c r="G7690" s="1104"/>
      <c r="H7690" s="1236"/>
      <c r="M7690" s="1566"/>
    </row>
    <row r="7691" spans="2:13" hidden="1">
      <c r="B7691" s="1543"/>
      <c r="C7691" s="1332" t="s">
        <v>673</v>
      </c>
      <c r="D7691" s="1331" t="s">
        <v>674</v>
      </c>
      <c r="E7691" s="1331" t="s">
        <v>675</v>
      </c>
      <c r="F7691" s="1334">
        <v>1.429</v>
      </c>
      <c r="G7691" s="1104">
        <f>$G$7673</f>
        <v>150000</v>
      </c>
      <c r="H7691" s="1236">
        <f>G7691*F7691</f>
        <v>214350</v>
      </c>
      <c r="M7691" s="1566"/>
    </row>
    <row r="7692" spans="2:13" hidden="1">
      <c r="B7692" s="1543"/>
      <c r="C7692" s="1332" t="s">
        <v>1480</v>
      </c>
      <c r="D7692" s="1331" t="s">
        <v>678</v>
      </c>
      <c r="E7692" s="1331" t="s">
        <v>675</v>
      </c>
      <c r="F7692" s="1334">
        <v>0.71499999999999997</v>
      </c>
      <c r="G7692" s="1104">
        <f>$G$7674</f>
        <v>187000</v>
      </c>
      <c r="H7692" s="1236">
        <f>G7692*F7692</f>
        <v>133705</v>
      </c>
      <c r="M7692" s="1566"/>
    </row>
    <row r="7693" spans="2:13" hidden="1">
      <c r="B7693" s="1543"/>
      <c r="C7693" s="1332" t="s">
        <v>751</v>
      </c>
      <c r="D7693" s="1331" t="s">
        <v>681</v>
      </c>
      <c r="E7693" s="1331" t="s">
        <v>675</v>
      </c>
      <c r="F7693" s="1334">
        <v>7.1499999999999994E-2</v>
      </c>
      <c r="G7693" s="1104">
        <f>$G$7044</f>
        <v>240000</v>
      </c>
      <c r="H7693" s="1236">
        <f>G7693*F7693</f>
        <v>17160</v>
      </c>
      <c r="M7693" s="1566"/>
    </row>
    <row r="7694" spans="2:13" hidden="1">
      <c r="B7694" s="1543"/>
      <c r="C7694" s="1332" t="s">
        <v>683</v>
      </c>
      <c r="D7694" s="1331" t="s">
        <v>684</v>
      </c>
      <c r="E7694" s="1331" t="s">
        <v>675</v>
      </c>
      <c r="F7694" s="1334">
        <v>0.14299999999999999</v>
      </c>
      <c r="G7694" s="1104">
        <f>$G$7676</f>
        <v>225000</v>
      </c>
      <c r="H7694" s="1236">
        <f>G7694*F7694</f>
        <v>32174.999999999996</v>
      </c>
      <c r="M7694" s="1566"/>
    </row>
    <row r="7695" spans="2:13" hidden="1">
      <c r="B7695" s="1120"/>
      <c r="C7695" s="1253"/>
      <c r="D7695" s="1254"/>
      <c r="E7695" s="1253"/>
      <c r="F7695" s="2080" t="s">
        <v>685</v>
      </c>
      <c r="G7695" s="2081"/>
      <c r="H7695" s="1236">
        <f>SUM(H7691:H7694)</f>
        <v>397390</v>
      </c>
      <c r="M7695" s="1566"/>
    </row>
    <row r="7696" spans="2:13" hidden="1">
      <c r="B7696" s="1543" t="s">
        <v>686</v>
      </c>
      <c r="C7696" s="1332" t="s">
        <v>687</v>
      </c>
      <c r="D7696" s="1331"/>
      <c r="E7696" s="1331"/>
      <c r="F7696" s="1334"/>
      <c r="G7696" s="1104"/>
      <c r="H7696" s="1236"/>
      <c r="M7696" s="1566"/>
    </row>
    <row r="7697" spans="2:13" hidden="1">
      <c r="B7697" s="1543"/>
      <c r="C7697" s="1332" t="s">
        <v>3628</v>
      </c>
      <c r="D7697" s="1331"/>
      <c r="E7697" s="1331" t="s">
        <v>1423</v>
      </c>
      <c r="F7697" s="1334">
        <v>1</v>
      </c>
      <c r="G7697" s="1104">
        <f>DUB!$I$628</f>
        <v>4665276</v>
      </c>
      <c r="H7697" s="1236">
        <f>G7697*F7697</f>
        <v>4665276</v>
      </c>
      <c r="M7697" s="1566"/>
    </row>
    <row r="7698" spans="2:13" hidden="1">
      <c r="B7698" s="1543"/>
      <c r="C7698" s="1332"/>
      <c r="D7698" s="1331"/>
      <c r="E7698" s="1331"/>
      <c r="F7698" s="2074" t="s">
        <v>702</v>
      </c>
      <c r="G7698" s="2074"/>
      <c r="H7698" s="1236">
        <f>SUM(H7697:H7697)</f>
        <v>4665276</v>
      </c>
      <c r="M7698" s="1566"/>
    </row>
    <row r="7699" spans="2:13" hidden="1">
      <c r="B7699" s="1543" t="s">
        <v>703</v>
      </c>
      <c r="C7699" s="1332" t="s">
        <v>704</v>
      </c>
      <c r="D7699" s="1331"/>
      <c r="E7699" s="1331"/>
      <c r="F7699" s="1334"/>
      <c r="G7699" s="1104"/>
      <c r="H7699" s="1236"/>
      <c r="M7699" s="1566"/>
    </row>
    <row r="7700" spans="2:13" hidden="1">
      <c r="B7700" s="1543"/>
      <c r="C7700" s="1126" t="s">
        <v>3509</v>
      </c>
      <c r="D7700" s="1331"/>
      <c r="E7700" s="1187" t="s">
        <v>1011</v>
      </c>
      <c r="F7700" s="1179">
        <v>1</v>
      </c>
      <c r="G7700" s="1104">
        <v>200000</v>
      </c>
      <c r="H7700" s="1236">
        <f>G7700*F7700</f>
        <v>200000</v>
      </c>
      <c r="M7700" s="1566"/>
    </row>
    <row r="7701" spans="2:13" hidden="1">
      <c r="B7701" s="1543"/>
      <c r="C7701" s="1332"/>
      <c r="D7701" s="1331"/>
      <c r="E7701" s="1331"/>
      <c r="F7701" s="2074" t="s">
        <v>705</v>
      </c>
      <c r="G7701" s="2074"/>
      <c r="H7701" s="1236">
        <f>SUM(H7700)</f>
        <v>200000</v>
      </c>
      <c r="M7701" s="1566"/>
    </row>
    <row r="7702" spans="2:13" hidden="1">
      <c r="B7702" s="1543" t="s">
        <v>706</v>
      </c>
      <c r="C7702" s="2075" t="s">
        <v>707</v>
      </c>
      <c r="D7702" s="2075"/>
      <c r="E7702" s="2075"/>
      <c r="F7702" s="2075"/>
      <c r="G7702" s="2075"/>
      <c r="H7702" s="1239">
        <f>H7695+H7698+H7701</f>
        <v>5262666</v>
      </c>
      <c r="M7702" s="1566"/>
    </row>
    <row r="7703" spans="2:13" hidden="1">
      <c r="B7703" s="1543" t="s">
        <v>708</v>
      </c>
      <c r="C7703" s="2075" t="s">
        <v>709</v>
      </c>
      <c r="D7703" s="2075"/>
      <c r="E7703" s="2075"/>
      <c r="F7703" s="2077" t="s">
        <v>710</v>
      </c>
      <c r="G7703" s="2077"/>
      <c r="H7703" s="1107">
        <f>H7702*0.15</f>
        <v>789399.9</v>
      </c>
      <c r="M7703" s="1566"/>
    </row>
    <row r="7704" spans="2:13" hidden="1">
      <c r="B7704" s="1543" t="s">
        <v>711</v>
      </c>
      <c r="C7704" s="2078" t="s">
        <v>712</v>
      </c>
      <c r="D7704" s="2078"/>
      <c r="E7704" s="2078"/>
      <c r="F7704" s="2078"/>
      <c r="G7704" s="2078"/>
      <c r="H7704" s="1107">
        <f>ROUND(SUM(H7702:H7703),2)</f>
        <v>6052065.9000000004</v>
      </c>
      <c r="M7704" s="1566"/>
    </row>
    <row r="7705" spans="2:13" hidden="1">
      <c r="B7705" s="1129"/>
      <c r="C7705" s="1130"/>
      <c r="D7705" s="1129"/>
      <c r="E7705" s="1129"/>
      <c r="F7705" s="1131"/>
      <c r="G7705" s="1132"/>
      <c r="H7705" s="1249"/>
      <c r="M7705" s="1566"/>
    </row>
    <row r="7706" spans="2:13" hidden="1">
      <c r="B7706" s="1100" t="s">
        <v>3629</v>
      </c>
      <c r="C7706" s="1232" t="s">
        <v>4277</v>
      </c>
      <c r="F7706" s="1172"/>
      <c r="G7706" s="1173"/>
      <c r="H7706" s="1711"/>
      <c r="M7706" s="1566"/>
    </row>
    <row r="7707" spans="2:13" s="507" customFormat="1" ht="24.9" hidden="1" customHeight="1">
      <c r="B7707" s="1748" t="s">
        <v>1003</v>
      </c>
      <c r="C7707" s="1101" t="s">
        <v>1004</v>
      </c>
      <c r="D7707" s="1101" t="s">
        <v>1005</v>
      </c>
      <c r="E7707" s="1101" t="s">
        <v>1006</v>
      </c>
      <c r="F7707" s="1102" t="s">
        <v>1007</v>
      </c>
      <c r="G7707" s="1109" t="s">
        <v>2637</v>
      </c>
      <c r="H7707" s="1235" t="s">
        <v>2638</v>
      </c>
      <c r="J7707" s="1625"/>
      <c r="K7707" s="1625"/>
      <c r="L7707" s="1625"/>
      <c r="M7707" s="1570"/>
    </row>
    <row r="7708" spans="2:13" hidden="1">
      <c r="B7708" s="1543" t="s">
        <v>671</v>
      </c>
      <c r="C7708" s="1332" t="s">
        <v>672</v>
      </c>
      <c r="D7708" s="1331"/>
      <c r="E7708" s="1331"/>
      <c r="F7708" s="1334"/>
      <c r="G7708" s="1104"/>
      <c r="H7708" s="1236"/>
      <c r="M7708" s="1566"/>
    </row>
    <row r="7709" spans="2:13" hidden="1">
      <c r="B7709" s="1543"/>
      <c r="C7709" s="1332" t="s">
        <v>673</v>
      </c>
      <c r="D7709" s="1331" t="s">
        <v>674</v>
      </c>
      <c r="E7709" s="1331" t="s">
        <v>675</v>
      </c>
      <c r="F7709" s="1334">
        <f>2*1.429</f>
        <v>2.8580000000000001</v>
      </c>
      <c r="G7709" s="1104">
        <f>$G$7691</f>
        <v>150000</v>
      </c>
      <c r="H7709" s="1236">
        <f>G7709*F7709</f>
        <v>428700</v>
      </c>
      <c r="M7709" s="1566"/>
    </row>
    <row r="7710" spans="2:13" hidden="1">
      <c r="B7710" s="1543"/>
      <c r="C7710" s="1332" t="s">
        <v>1480</v>
      </c>
      <c r="D7710" s="1331" t="s">
        <v>678</v>
      </c>
      <c r="E7710" s="1331" t="s">
        <v>675</v>
      </c>
      <c r="F7710" s="1334">
        <f>2*0.715</f>
        <v>1.43</v>
      </c>
      <c r="G7710" s="1104">
        <f>$G$7692</f>
        <v>187000</v>
      </c>
      <c r="H7710" s="1236">
        <f>G7710*F7710</f>
        <v>267410</v>
      </c>
      <c r="M7710" s="1566"/>
    </row>
    <row r="7711" spans="2:13" hidden="1">
      <c r="B7711" s="1543"/>
      <c r="C7711" s="1332" t="s">
        <v>751</v>
      </c>
      <c r="D7711" s="1331" t="s">
        <v>681</v>
      </c>
      <c r="E7711" s="1331" t="s">
        <v>675</v>
      </c>
      <c r="F7711" s="1334">
        <v>0.14299999999999999</v>
      </c>
      <c r="G7711" s="1104">
        <f>$G$7044</f>
        <v>240000</v>
      </c>
      <c r="H7711" s="1236">
        <f>G7711*F7711</f>
        <v>34320</v>
      </c>
      <c r="M7711" s="1566"/>
    </row>
    <row r="7712" spans="2:13" hidden="1">
      <c r="B7712" s="1543"/>
      <c r="C7712" s="1332" t="s">
        <v>683</v>
      </c>
      <c r="D7712" s="1331" t="s">
        <v>684</v>
      </c>
      <c r="E7712" s="1331" t="s">
        <v>675</v>
      </c>
      <c r="F7712" s="1334">
        <f>2*0.143</f>
        <v>0.28599999999999998</v>
      </c>
      <c r="G7712" s="1104">
        <f>$G$7694</f>
        <v>225000</v>
      </c>
      <c r="H7712" s="1236">
        <f>G7712*F7712</f>
        <v>64349.999999999993</v>
      </c>
      <c r="M7712" s="1566"/>
    </row>
    <row r="7713" spans="2:13" hidden="1">
      <c r="B7713" s="1120"/>
      <c r="C7713" s="1253"/>
      <c r="D7713" s="1254"/>
      <c r="E7713" s="1253"/>
      <c r="F7713" s="2080" t="s">
        <v>685</v>
      </c>
      <c r="G7713" s="2081"/>
      <c r="H7713" s="1236">
        <f>SUM(H7709:H7712)</f>
        <v>794780</v>
      </c>
      <c r="M7713" s="1566"/>
    </row>
    <row r="7714" spans="2:13" hidden="1">
      <c r="B7714" s="1543" t="s">
        <v>686</v>
      </c>
      <c r="C7714" s="1332" t="s">
        <v>687</v>
      </c>
      <c r="D7714" s="1331"/>
      <c r="E7714" s="1331"/>
      <c r="F7714" s="1334"/>
      <c r="G7714" s="1104"/>
      <c r="H7714" s="1236"/>
      <c r="M7714" s="1566"/>
    </row>
    <row r="7715" spans="2:13" hidden="1">
      <c r="B7715" s="1543"/>
      <c r="C7715" s="1332" t="s">
        <v>3630</v>
      </c>
      <c r="D7715" s="1331"/>
      <c r="E7715" s="1331" t="s">
        <v>1423</v>
      </c>
      <c r="F7715" s="1334">
        <v>1</v>
      </c>
      <c r="G7715" s="1104">
        <f>DUB!$I$627</f>
        <v>6717996</v>
      </c>
      <c r="H7715" s="1236">
        <f>G7715*F7715</f>
        <v>6717996</v>
      </c>
      <c r="M7715" s="1566"/>
    </row>
    <row r="7716" spans="2:13" hidden="1">
      <c r="B7716" s="1543"/>
      <c r="C7716" s="1332"/>
      <c r="D7716" s="1331"/>
      <c r="E7716" s="1331"/>
      <c r="F7716" s="2074" t="s">
        <v>702</v>
      </c>
      <c r="G7716" s="2074"/>
      <c r="H7716" s="1236">
        <f>SUM(H7715:H7715)</f>
        <v>6717996</v>
      </c>
      <c r="M7716" s="1566"/>
    </row>
    <row r="7717" spans="2:13" hidden="1">
      <c r="B7717" s="1543" t="s">
        <v>703</v>
      </c>
      <c r="C7717" s="1332" t="s">
        <v>704</v>
      </c>
      <c r="D7717" s="1331"/>
      <c r="E7717" s="1331"/>
      <c r="F7717" s="1334"/>
      <c r="G7717" s="1104"/>
      <c r="H7717" s="1236"/>
      <c r="M7717" s="1566"/>
    </row>
    <row r="7718" spans="2:13" hidden="1">
      <c r="B7718" s="1543"/>
      <c r="C7718" s="1126" t="s">
        <v>3509</v>
      </c>
      <c r="D7718" s="1331"/>
      <c r="E7718" s="1187" t="s">
        <v>1011</v>
      </c>
      <c r="F7718" s="1179">
        <v>1</v>
      </c>
      <c r="G7718" s="1104">
        <v>300000</v>
      </c>
      <c r="H7718" s="1236">
        <f>G7718*F7718</f>
        <v>300000</v>
      </c>
      <c r="M7718" s="1566"/>
    </row>
    <row r="7719" spans="2:13" hidden="1">
      <c r="B7719" s="1543"/>
      <c r="C7719" s="1332"/>
      <c r="D7719" s="1331"/>
      <c r="E7719" s="1331"/>
      <c r="F7719" s="2074" t="s">
        <v>705</v>
      </c>
      <c r="G7719" s="2074"/>
      <c r="H7719" s="1236">
        <f>SUM(H7718)</f>
        <v>300000</v>
      </c>
      <c r="M7719" s="1566"/>
    </row>
    <row r="7720" spans="2:13" hidden="1">
      <c r="B7720" s="1543" t="s">
        <v>706</v>
      </c>
      <c r="C7720" s="2075" t="s">
        <v>707</v>
      </c>
      <c r="D7720" s="2075"/>
      <c r="E7720" s="2075"/>
      <c r="F7720" s="2075"/>
      <c r="G7720" s="2075"/>
      <c r="H7720" s="1239">
        <f>H7713+H7716+H7719</f>
        <v>7812776</v>
      </c>
      <c r="M7720" s="1566"/>
    </row>
    <row r="7721" spans="2:13" hidden="1">
      <c r="B7721" s="1543" t="s">
        <v>708</v>
      </c>
      <c r="C7721" s="2075" t="s">
        <v>709</v>
      </c>
      <c r="D7721" s="2075"/>
      <c r="E7721" s="2075"/>
      <c r="F7721" s="2077" t="s">
        <v>710</v>
      </c>
      <c r="G7721" s="2077"/>
      <c r="H7721" s="1107">
        <f>H7720*0.15</f>
        <v>1171916.3999999999</v>
      </c>
      <c r="M7721" s="1566"/>
    </row>
    <row r="7722" spans="2:13" hidden="1">
      <c r="B7722" s="1543" t="s">
        <v>711</v>
      </c>
      <c r="C7722" s="2078" t="s">
        <v>712</v>
      </c>
      <c r="D7722" s="2078"/>
      <c r="E7722" s="2078"/>
      <c r="F7722" s="2078"/>
      <c r="G7722" s="2078"/>
      <c r="H7722" s="1107">
        <f>ROUND(SUM(H7720:H7721),2)</f>
        <v>8984692.4000000004</v>
      </c>
      <c r="M7722" s="1566"/>
    </row>
    <row r="7723" spans="2:13" hidden="1">
      <c r="B7723" s="1129"/>
      <c r="C7723" s="1130"/>
      <c r="D7723" s="1129"/>
      <c r="E7723" s="1129"/>
      <c r="F7723" s="1131"/>
      <c r="G7723" s="1132"/>
      <c r="H7723" s="1249"/>
      <c r="M7723" s="1566"/>
    </row>
    <row r="7724" spans="2:13" hidden="1">
      <c r="B7724" s="1100" t="s">
        <v>3631</v>
      </c>
      <c r="C7724" s="1232" t="s">
        <v>4278</v>
      </c>
      <c r="F7724" s="1172"/>
      <c r="G7724" s="1173"/>
      <c r="H7724" s="1711"/>
      <c r="M7724" s="1566"/>
    </row>
    <row r="7725" spans="2:13" s="507" customFormat="1" ht="24.9" hidden="1" customHeight="1">
      <c r="B7725" s="1748" t="s">
        <v>1003</v>
      </c>
      <c r="C7725" s="1101" t="s">
        <v>1004</v>
      </c>
      <c r="D7725" s="1101" t="s">
        <v>1005</v>
      </c>
      <c r="E7725" s="1101" t="s">
        <v>1006</v>
      </c>
      <c r="F7725" s="1102" t="s">
        <v>1007</v>
      </c>
      <c r="G7725" s="1109" t="s">
        <v>2637</v>
      </c>
      <c r="H7725" s="1235" t="s">
        <v>2638</v>
      </c>
      <c r="J7725" s="1625"/>
      <c r="K7725" s="1625"/>
      <c r="L7725" s="1625"/>
      <c r="M7725" s="1570"/>
    </row>
    <row r="7726" spans="2:13" hidden="1">
      <c r="B7726" s="1543" t="s">
        <v>671</v>
      </c>
      <c r="C7726" s="1332" t="s">
        <v>672</v>
      </c>
      <c r="D7726" s="1331"/>
      <c r="E7726" s="1331"/>
      <c r="F7726" s="1334"/>
      <c r="G7726" s="1104"/>
      <c r="H7726" s="1236"/>
      <c r="M7726" s="1566"/>
    </row>
    <row r="7727" spans="2:13" hidden="1">
      <c r="B7727" s="1543"/>
      <c r="C7727" s="1332" t="s">
        <v>673</v>
      </c>
      <c r="D7727" s="1331" t="s">
        <v>674</v>
      </c>
      <c r="E7727" s="1331" t="s">
        <v>675</v>
      </c>
      <c r="F7727" s="1334">
        <v>1.429</v>
      </c>
      <c r="G7727" s="1104">
        <f>$G7709</f>
        <v>150000</v>
      </c>
      <c r="H7727" s="1236">
        <f>G7727*F7727</f>
        <v>214350</v>
      </c>
      <c r="M7727" s="1566"/>
    </row>
    <row r="7728" spans="2:13" hidden="1">
      <c r="B7728" s="1543"/>
      <c r="C7728" s="1332" t="s">
        <v>1480</v>
      </c>
      <c r="D7728" s="1331" t="s">
        <v>678</v>
      </c>
      <c r="E7728" s="1331" t="s">
        <v>675</v>
      </c>
      <c r="F7728" s="1334">
        <v>0.71499999999999997</v>
      </c>
      <c r="G7728" s="1104">
        <f>$G$7710</f>
        <v>187000</v>
      </c>
      <c r="H7728" s="1236">
        <f>G7728*F7728</f>
        <v>133705</v>
      </c>
      <c r="M7728" s="1566"/>
    </row>
    <row r="7729" spans="2:13" hidden="1">
      <c r="B7729" s="1543"/>
      <c r="C7729" s="1332" t="s">
        <v>751</v>
      </c>
      <c r="D7729" s="1331" t="s">
        <v>681</v>
      </c>
      <c r="E7729" s="1331" t="s">
        <v>675</v>
      </c>
      <c r="F7729" s="1334">
        <v>7.1499999999999994E-2</v>
      </c>
      <c r="G7729" s="1104">
        <f>$G$7044</f>
        <v>240000</v>
      </c>
      <c r="H7729" s="1236">
        <f>G7729*F7729</f>
        <v>17160</v>
      </c>
      <c r="M7729" s="1566"/>
    </row>
    <row r="7730" spans="2:13" hidden="1">
      <c r="B7730" s="1543"/>
      <c r="C7730" s="1332" t="s">
        <v>683</v>
      </c>
      <c r="D7730" s="1331" t="s">
        <v>684</v>
      </c>
      <c r="E7730" s="1331" t="s">
        <v>675</v>
      </c>
      <c r="F7730" s="1334">
        <v>0.14299999999999999</v>
      </c>
      <c r="G7730" s="1104">
        <f>$G$7712</f>
        <v>225000</v>
      </c>
      <c r="H7730" s="1236">
        <f>G7730*F7730</f>
        <v>32174.999999999996</v>
      </c>
      <c r="M7730" s="1566"/>
    </row>
    <row r="7731" spans="2:13" hidden="1">
      <c r="B7731" s="1120"/>
      <c r="C7731" s="1253"/>
      <c r="D7731" s="1254"/>
      <c r="E7731" s="1253"/>
      <c r="F7731" s="2080" t="s">
        <v>685</v>
      </c>
      <c r="G7731" s="2081"/>
      <c r="H7731" s="1236">
        <f>SUM(H7727:H7730)</f>
        <v>397390</v>
      </c>
      <c r="M7731" s="1566"/>
    </row>
    <row r="7732" spans="2:13" hidden="1">
      <c r="B7732" s="1543" t="s">
        <v>686</v>
      </c>
      <c r="C7732" s="1332" t="s">
        <v>687</v>
      </c>
      <c r="D7732" s="1331"/>
      <c r="E7732" s="1331"/>
      <c r="F7732" s="1334"/>
      <c r="G7732" s="1104"/>
      <c r="H7732" s="1236"/>
      <c r="M7732" s="1566"/>
    </row>
    <row r="7733" spans="2:13" hidden="1">
      <c r="B7733" s="1543"/>
      <c r="C7733" s="1332" t="s">
        <v>3632</v>
      </c>
      <c r="D7733" s="1331"/>
      <c r="E7733" s="1331" t="s">
        <v>1423</v>
      </c>
      <c r="F7733" s="1334">
        <v>1</v>
      </c>
      <c r="G7733" s="1104">
        <f>DUB!$I$634</f>
        <v>6010623</v>
      </c>
      <c r="H7733" s="1236">
        <f>G7733*F7733</f>
        <v>6010623</v>
      </c>
      <c r="M7733" s="1566"/>
    </row>
    <row r="7734" spans="2:13" hidden="1">
      <c r="B7734" s="1543"/>
      <c r="C7734" s="1332"/>
      <c r="D7734" s="1331"/>
      <c r="E7734" s="1331"/>
      <c r="F7734" s="2074" t="s">
        <v>702</v>
      </c>
      <c r="G7734" s="2074"/>
      <c r="H7734" s="1236">
        <f>SUM(H7733:H7733)</f>
        <v>6010623</v>
      </c>
      <c r="M7734" s="1566"/>
    </row>
    <row r="7735" spans="2:13" hidden="1">
      <c r="B7735" s="1543" t="s">
        <v>703</v>
      </c>
      <c r="C7735" s="1332" t="s">
        <v>704</v>
      </c>
      <c r="D7735" s="1331"/>
      <c r="E7735" s="1331"/>
      <c r="F7735" s="1334"/>
      <c r="G7735" s="1104"/>
      <c r="H7735" s="1236"/>
      <c r="M7735" s="1566"/>
    </row>
    <row r="7736" spans="2:13" hidden="1">
      <c r="B7736" s="1543"/>
      <c r="C7736" s="1126" t="s">
        <v>3509</v>
      </c>
      <c r="D7736" s="1331"/>
      <c r="E7736" s="1187" t="s">
        <v>1011</v>
      </c>
      <c r="F7736" s="1179">
        <v>1</v>
      </c>
      <c r="G7736" s="1104">
        <v>50000</v>
      </c>
      <c r="H7736" s="1236">
        <f>G7736*F7736</f>
        <v>50000</v>
      </c>
      <c r="M7736" s="1566"/>
    </row>
    <row r="7737" spans="2:13" hidden="1">
      <c r="B7737" s="1543"/>
      <c r="C7737" s="1332"/>
      <c r="D7737" s="1331"/>
      <c r="E7737" s="1331"/>
      <c r="F7737" s="2074" t="s">
        <v>705</v>
      </c>
      <c r="G7737" s="2074"/>
      <c r="H7737" s="1236">
        <f>SUM(H7736)</f>
        <v>50000</v>
      </c>
      <c r="M7737" s="1566"/>
    </row>
    <row r="7738" spans="2:13" hidden="1">
      <c r="B7738" s="1543" t="s">
        <v>706</v>
      </c>
      <c r="C7738" s="2075" t="s">
        <v>707</v>
      </c>
      <c r="D7738" s="2075"/>
      <c r="E7738" s="2075"/>
      <c r="F7738" s="2075"/>
      <c r="G7738" s="2075"/>
      <c r="H7738" s="1239">
        <f>H7731+H7734+H7737</f>
        <v>6458013</v>
      </c>
      <c r="M7738" s="1566"/>
    </row>
    <row r="7739" spans="2:13" hidden="1">
      <c r="B7739" s="1543" t="s">
        <v>708</v>
      </c>
      <c r="C7739" s="2075" t="s">
        <v>709</v>
      </c>
      <c r="D7739" s="2075"/>
      <c r="E7739" s="2075"/>
      <c r="F7739" s="2077" t="s">
        <v>710</v>
      </c>
      <c r="G7739" s="2077"/>
      <c r="H7739" s="1107">
        <f>H7738*0.15</f>
        <v>968701.95</v>
      </c>
      <c r="M7739" s="1566"/>
    </row>
    <row r="7740" spans="2:13" hidden="1">
      <c r="B7740" s="1543" t="s">
        <v>711</v>
      </c>
      <c r="C7740" s="2078" t="s">
        <v>712</v>
      </c>
      <c r="D7740" s="2078"/>
      <c r="E7740" s="2078"/>
      <c r="F7740" s="2078"/>
      <c r="G7740" s="2078"/>
      <c r="H7740" s="1107">
        <f>ROUND(SUM(H7738:H7739),2)</f>
        <v>7426714.9500000002</v>
      </c>
      <c r="M7740" s="1566"/>
    </row>
    <row r="7741" spans="2:13" hidden="1">
      <c r="B7741" s="1129"/>
      <c r="C7741" s="1130"/>
      <c r="D7741" s="1129"/>
      <c r="E7741" s="1129"/>
      <c r="F7741" s="1131"/>
      <c r="G7741" s="1132"/>
      <c r="H7741" s="1249"/>
      <c r="M7741" s="1566"/>
    </row>
    <row r="7742" spans="2:13" hidden="1">
      <c r="B7742" s="1100" t="s">
        <v>3633</v>
      </c>
      <c r="C7742" s="1232" t="s">
        <v>4279</v>
      </c>
      <c r="F7742" s="1172"/>
      <c r="G7742" s="1173"/>
      <c r="H7742" s="1711"/>
      <c r="M7742" s="1566"/>
    </row>
    <row r="7743" spans="2:13" s="507" customFormat="1" ht="24.9" hidden="1" customHeight="1">
      <c r="B7743" s="1748" t="s">
        <v>1003</v>
      </c>
      <c r="C7743" s="1101" t="s">
        <v>1004</v>
      </c>
      <c r="D7743" s="1101" t="s">
        <v>1005</v>
      </c>
      <c r="E7743" s="1101" t="s">
        <v>1006</v>
      </c>
      <c r="F7743" s="1102" t="s">
        <v>1007</v>
      </c>
      <c r="G7743" s="1109" t="s">
        <v>2637</v>
      </c>
      <c r="H7743" s="1235" t="s">
        <v>2638</v>
      </c>
      <c r="J7743" s="1625"/>
      <c r="K7743" s="1625"/>
      <c r="L7743" s="1625"/>
      <c r="M7743" s="1570"/>
    </row>
    <row r="7744" spans="2:13" hidden="1">
      <c r="B7744" s="1543" t="s">
        <v>671</v>
      </c>
      <c r="C7744" s="1332" t="s">
        <v>672</v>
      </c>
      <c r="D7744" s="1331"/>
      <c r="E7744" s="1331"/>
      <c r="F7744" s="1334"/>
      <c r="G7744" s="1104"/>
      <c r="H7744" s="1236"/>
      <c r="M7744" s="1566"/>
    </row>
    <row r="7745" spans="2:13" hidden="1">
      <c r="B7745" s="1543"/>
      <c r="C7745" s="1332" t="s">
        <v>673</v>
      </c>
      <c r="D7745" s="1331" t="s">
        <v>674</v>
      </c>
      <c r="E7745" s="1331" t="s">
        <v>675</v>
      </c>
      <c r="F7745" s="1334">
        <v>1.429</v>
      </c>
      <c r="G7745" s="1104">
        <f>$G$7727</f>
        <v>150000</v>
      </c>
      <c r="H7745" s="1236">
        <f>G7745*F7745</f>
        <v>214350</v>
      </c>
      <c r="M7745" s="1566"/>
    </row>
    <row r="7746" spans="2:13" hidden="1">
      <c r="B7746" s="1543"/>
      <c r="C7746" s="1332" t="s">
        <v>1480</v>
      </c>
      <c r="D7746" s="1331" t="s">
        <v>678</v>
      </c>
      <c r="E7746" s="1331" t="s">
        <v>675</v>
      </c>
      <c r="F7746" s="1334">
        <v>0.71499999999999997</v>
      </c>
      <c r="G7746" s="1104">
        <f>$G$7728</f>
        <v>187000</v>
      </c>
      <c r="H7746" s="1236">
        <f>G7746*F7746</f>
        <v>133705</v>
      </c>
      <c r="M7746" s="1566"/>
    </row>
    <row r="7747" spans="2:13" hidden="1">
      <c r="B7747" s="1543"/>
      <c r="C7747" s="1332" t="s">
        <v>751</v>
      </c>
      <c r="D7747" s="1331" t="s">
        <v>681</v>
      </c>
      <c r="E7747" s="1331" t="s">
        <v>675</v>
      </c>
      <c r="F7747" s="1334">
        <v>7.1499999999999994E-2</v>
      </c>
      <c r="G7747" s="1104">
        <f>$G$7044</f>
        <v>240000</v>
      </c>
      <c r="H7747" s="1236">
        <f>G7747*F7747</f>
        <v>17160</v>
      </c>
      <c r="M7747" s="1566"/>
    </row>
    <row r="7748" spans="2:13" hidden="1">
      <c r="B7748" s="1543"/>
      <c r="C7748" s="1332" t="s">
        <v>683</v>
      </c>
      <c r="D7748" s="1331" t="s">
        <v>684</v>
      </c>
      <c r="E7748" s="1331" t="s">
        <v>675</v>
      </c>
      <c r="F7748" s="1334">
        <v>0.14299999999999999</v>
      </c>
      <c r="G7748" s="1104">
        <f>$G$7730</f>
        <v>225000</v>
      </c>
      <c r="H7748" s="1236">
        <f>G7748*F7748</f>
        <v>32174.999999999996</v>
      </c>
      <c r="M7748" s="1566"/>
    </row>
    <row r="7749" spans="2:13" hidden="1">
      <c r="B7749" s="1120"/>
      <c r="C7749" s="1253"/>
      <c r="D7749" s="1254"/>
      <c r="E7749" s="1253"/>
      <c r="F7749" s="2080" t="s">
        <v>685</v>
      </c>
      <c r="G7749" s="2081"/>
      <c r="H7749" s="1236">
        <f>SUM(H7745:H7748)</f>
        <v>397390</v>
      </c>
      <c r="M7749" s="1566"/>
    </row>
    <row r="7750" spans="2:13" hidden="1">
      <c r="B7750" s="1543" t="s">
        <v>686</v>
      </c>
      <c r="C7750" s="1332" t="s">
        <v>687</v>
      </c>
      <c r="D7750" s="1331"/>
      <c r="E7750" s="1331"/>
      <c r="F7750" s="1334"/>
      <c r="G7750" s="1104"/>
      <c r="H7750" s="1236"/>
      <c r="M7750" s="1566"/>
    </row>
    <row r="7751" spans="2:13" hidden="1">
      <c r="B7751" s="1543"/>
      <c r="C7751" s="1332" t="s">
        <v>3634</v>
      </c>
      <c r="D7751" s="1331"/>
      <c r="E7751" s="1331" t="s">
        <v>1423</v>
      </c>
      <c r="F7751" s="1334">
        <v>1</v>
      </c>
      <c r="G7751" s="1104">
        <f>DUB!$I$633</f>
        <v>6536907</v>
      </c>
      <c r="H7751" s="1236">
        <f>G7751*F7751</f>
        <v>6536907</v>
      </c>
      <c r="M7751" s="1566"/>
    </row>
    <row r="7752" spans="2:13" hidden="1">
      <c r="B7752" s="1543"/>
      <c r="C7752" s="1332"/>
      <c r="D7752" s="1331"/>
      <c r="E7752" s="1331"/>
      <c r="F7752" s="2074" t="s">
        <v>702</v>
      </c>
      <c r="G7752" s="2074"/>
      <c r="H7752" s="1236">
        <f>SUM(H7751:H7751)</f>
        <v>6536907</v>
      </c>
      <c r="M7752" s="1566"/>
    </row>
    <row r="7753" spans="2:13" hidden="1">
      <c r="B7753" s="1543" t="s">
        <v>703</v>
      </c>
      <c r="C7753" s="1332" t="s">
        <v>704</v>
      </c>
      <c r="D7753" s="1331"/>
      <c r="E7753" s="1331"/>
      <c r="F7753" s="1334"/>
      <c r="G7753" s="1104"/>
      <c r="H7753" s="1236"/>
      <c r="M7753" s="1566"/>
    </row>
    <row r="7754" spans="2:13" hidden="1">
      <c r="B7754" s="1543"/>
      <c r="C7754" s="1126" t="s">
        <v>3509</v>
      </c>
      <c r="D7754" s="1331"/>
      <c r="E7754" s="1187" t="s">
        <v>1011</v>
      </c>
      <c r="F7754" s="1179">
        <v>1</v>
      </c>
      <c r="G7754" s="1104">
        <v>50000</v>
      </c>
      <c r="H7754" s="1236">
        <f>G7754*F7754</f>
        <v>50000</v>
      </c>
      <c r="M7754" s="1566"/>
    </row>
    <row r="7755" spans="2:13" hidden="1">
      <c r="B7755" s="1543"/>
      <c r="C7755" s="1332"/>
      <c r="D7755" s="1331"/>
      <c r="E7755" s="1331"/>
      <c r="F7755" s="2074" t="s">
        <v>705</v>
      </c>
      <c r="G7755" s="2074"/>
      <c r="H7755" s="1236">
        <f>SUM(H7754)</f>
        <v>50000</v>
      </c>
      <c r="M7755" s="1566"/>
    </row>
    <row r="7756" spans="2:13" hidden="1">
      <c r="B7756" s="1543" t="s">
        <v>706</v>
      </c>
      <c r="C7756" s="2075" t="s">
        <v>707</v>
      </c>
      <c r="D7756" s="2075"/>
      <c r="E7756" s="2075"/>
      <c r="F7756" s="2075"/>
      <c r="G7756" s="2075"/>
      <c r="H7756" s="1239">
        <f>H7749+H7752+H7755</f>
        <v>6984297</v>
      </c>
      <c r="M7756" s="1566"/>
    </row>
    <row r="7757" spans="2:13" hidden="1">
      <c r="B7757" s="1543" t="s">
        <v>708</v>
      </c>
      <c r="C7757" s="2075" t="s">
        <v>709</v>
      </c>
      <c r="D7757" s="2075"/>
      <c r="E7757" s="2075"/>
      <c r="F7757" s="2077" t="s">
        <v>710</v>
      </c>
      <c r="G7757" s="2077"/>
      <c r="H7757" s="1107">
        <f>H7756*0.15</f>
        <v>1047644.5499999999</v>
      </c>
      <c r="M7757" s="1566"/>
    </row>
    <row r="7758" spans="2:13" hidden="1">
      <c r="B7758" s="1543" t="s">
        <v>711</v>
      </c>
      <c r="C7758" s="2078" t="s">
        <v>712</v>
      </c>
      <c r="D7758" s="2078"/>
      <c r="E7758" s="2078"/>
      <c r="F7758" s="2078"/>
      <c r="G7758" s="2078"/>
      <c r="H7758" s="1107">
        <f>ROUND(SUM(H7756:H7757),2)</f>
        <v>8031941.5499999998</v>
      </c>
      <c r="M7758" s="1566"/>
    </row>
    <row r="7759" spans="2:13" hidden="1">
      <c r="B7759" s="1129"/>
      <c r="C7759" s="1130"/>
      <c r="D7759" s="1129"/>
      <c r="E7759" s="1129"/>
      <c r="F7759" s="1131"/>
      <c r="G7759" s="1132"/>
      <c r="H7759" s="1249"/>
      <c r="M7759" s="1566"/>
    </row>
    <row r="7760" spans="2:13" hidden="1">
      <c r="B7760" s="1100" t="s">
        <v>2709</v>
      </c>
      <c r="C7760" s="1232" t="s">
        <v>4280</v>
      </c>
      <c r="F7760" s="1172"/>
      <c r="G7760" s="1173"/>
      <c r="H7760" s="1711"/>
      <c r="M7760" s="1566"/>
    </row>
    <row r="7761" spans="2:13" s="507" customFormat="1" ht="24.9" hidden="1" customHeight="1">
      <c r="B7761" s="1748" t="s">
        <v>1003</v>
      </c>
      <c r="C7761" s="1101" t="s">
        <v>1004</v>
      </c>
      <c r="D7761" s="1101" t="s">
        <v>1005</v>
      </c>
      <c r="E7761" s="1101" t="s">
        <v>1006</v>
      </c>
      <c r="F7761" s="1102" t="s">
        <v>1007</v>
      </c>
      <c r="G7761" s="1109" t="s">
        <v>2637</v>
      </c>
      <c r="H7761" s="1235" t="s">
        <v>2638</v>
      </c>
      <c r="J7761" s="1625"/>
      <c r="K7761" s="1625"/>
      <c r="L7761" s="1625"/>
      <c r="M7761" s="1570"/>
    </row>
    <row r="7762" spans="2:13" hidden="1">
      <c r="B7762" s="1543" t="s">
        <v>671</v>
      </c>
      <c r="C7762" s="1332" t="s">
        <v>672</v>
      </c>
      <c r="D7762" s="1331"/>
      <c r="E7762" s="1331"/>
      <c r="F7762" s="1334"/>
      <c r="G7762" s="1104"/>
      <c r="H7762" s="1236"/>
      <c r="M7762" s="1566"/>
    </row>
    <row r="7763" spans="2:13" hidden="1">
      <c r="B7763" s="1543"/>
      <c r="C7763" s="1332" t="s">
        <v>673</v>
      </c>
      <c r="D7763" s="1331" t="s">
        <v>674</v>
      </c>
      <c r="E7763" s="1331" t="s">
        <v>675</v>
      </c>
      <c r="F7763" s="1334">
        <v>1.429</v>
      </c>
      <c r="G7763" s="1104">
        <f>$G$7745</f>
        <v>150000</v>
      </c>
      <c r="H7763" s="1236">
        <f>G7763*F7763</f>
        <v>214350</v>
      </c>
      <c r="M7763" s="1566"/>
    </row>
    <row r="7764" spans="2:13" hidden="1">
      <c r="B7764" s="1543"/>
      <c r="C7764" s="1332" t="s">
        <v>1480</v>
      </c>
      <c r="D7764" s="1331" t="s">
        <v>678</v>
      </c>
      <c r="E7764" s="1331" t="s">
        <v>675</v>
      </c>
      <c r="F7764" s="1334">
        <v>0.71499999999999997</v>
      </c>
      <c r="G7764" s="1104">
        <f>$G$7746</f>
        <v>187000</v>
      </c>
      <c r="H7764" s="1236">
        <f>G7764*F7764</f>
        <v>133705</v>
      </c>
      <c r="M7764" s="1566"/>
    </row>
    <row r="7765" spans="2:13" hidden="1">
      <c r="B7765" s="1543"/>
      <c r="C7765" s="1332" t="s">
        <v>751</v>
      </c>
      <c r="D7765" s="1331" t="s">
        <v>681</v>
      </c>
      <c r="E7765" s="1331" t="s">
        <v>675</v>
      </c>
      <c r="F7765" s="1334">
        <v>7.1499999999999994E-2</v>
      </c>
      <c r="G7765" s="1104">
        <f>$G$7044</f>
        <v>240000</v>
      </c>
      <c r="H7765" s="1236">
        <f>G7765*F7765</f>
        <v>17160</v>
      </c>
      <c r="M7765" s="1566"/>
    </row>
    <row r="7766" spans="2:13" hidden="1">
      <c r="B7766" s="1543"/>
      <c r="C7766" s="1332" t="s">
        <v>683</v>
      </c>
      <c r="D7766" s="1331" t="s">
        <v>684</v>
      </c>
      <c r="E7766" s="1331" t="s">
        <v>675</v>
      </c>
      <c r="F7766" s="1334">
        <v>0.14299999999999999</v>
      </c>
      <c r="G7766" s="1104">
        <f>$G$7748</f>
        <v>225000</v>
      </c>
      <c r="H7766" s="1236">
        <f>G7766*F7766</f>
        <v>32174.999999999996</v>
      </c>
      <c r="M7766" s="1566"/>
    </row>
    <row r="7767" spans="2:13" hidden="1">
      <c r="B7767" s="1120"/>
      <c r="C7767" s="1253"/>
      <c r="D7767" s="1254"/>
      <c r="E7767" s="1253"/>
      <c r="F7767" s="2080" t="s">
        <v>685</v>
      </c>
      <c r="G7767" s="2081"/>
      <c r="H7767" s="1236">
        <f>SUM(H7763:H7766)</f>
        <v>397390</v>
      </c>
      <c r="M7767" s="1566"/>
    </row>
    <row r="7768" spans="2:13" hidden="1">
      <c r="B7768" s="1543" t="s">
        <v>686</v>
      </c>
      <c r="C7768" s="1332" t="s">
        <v>687</v>
      </c>
      <c r="D7768" s="1331"/>
      <c r="E7768" s="1331"/>
      <c r="F7768" s="1334"/>
      <c r="G7768" s="1104"/>
      <c r="H7768" s="1236"/>
      <c r="M7768" s="1566"/>
    </row>
    <row r="7769" spans="2:13" hidden="1">
      <c r="B7769" s="1543"/>
      <c r="C7769" s="1332" t="s">
        <v>3635</v>
      </c>
      <c r="D7769" s="1331"/>
      <c r="E7769" s="1331" t="s">
        <v>1423</v>
      </c>
      <c r="F7769" s="1334">
        <v>1</v>
      </c>
      <c r="G7769" s="1104">
        <f>DUB!$I$632</f>
        <v>9813780</v>
      </c>
      <c r="H7769" s="1236">
        <f>G7769*F7769</f>
        <v>9813780</v>
      </c>
      <c r="M7769" s="1566"/>
    </row>
    <row r="7770" spans="2:13" hidden="1">
      <c r="B7770" s="1543"/>
      <c r="C7770" s="1332"/>
      <c r="D7770" s="1331"/>
      <c r="E7770" s="1331"/>
      <c r="F7770" s="2074" t="s">
        <v>702</v>
      </c>
      <c r="G7770" s="2074"/>
      <c r="H7770" s="1236">
        <f>SUM(H7769:H7769)</f>
        <v>9813780</v>
      </c>
      <c r="M7770" s="1566"/>
    </row>
    <row r="7771" spans="2:13" hidden="1">
      <c r="B7771" s="1543" t="s">
        <v>703</v>
      </c>
      <c r="C7771" s="1332" t="s">
        <v>704</v>
      </c>
      <c r="D7771" s="1331"/>
      <c r="E7771" s="1331"/>
      <c r="F7771" s="1334"/>
      <c r="G7771" s="1104"/>
      <c r="H7771" s="1236"/>
      <c r="M7771" s="1566"/>
    </row>
    <row r="7772" spans="2:13" hidden="1">
      <c r="B7772" s="1543"/>
      <c r="C7772" s="1126" t="s">
        <v>3509</v>
      </c>
      <c r="D7772" s="1331"/>
      <c r="E7772" s="1187" t="s">
        <v>1011</v>
      </c>
      <c r="F7772" s="1179">
        <v>1</v>
      </c>
      <c r="G7772" s="1104">
        <v>200000</v>
      </c>
      <c r="H7772" s="1236">
        <f>G7772*F7772</f>
        <v>200000</v>
      </c>
      <c r="M7772" s="1566"/>
    </row>
    <row r="7773" spans="2:13" hidden="1">
      <c r="B7773" s="1543"/>
      <c r="C7773" s="1332"/>
      <c r="D7773" s="1331"/>
      <c r="E7773" s="1331"/>
      <c r="F7773" s="2074" t="s">
        <v>705</v>
      </c>
      <c r="G7773" s="2074"/>
      <c r="H7773" s="1236">
        <f>SUM(H7772)</f>
        <v>200000</v>
      </c>
      <c r="M7773" s="1566"/>
    </row>
    <row r="7774" spans="2:13" hidden="1">
      <c r="B7774" s="1543" t="s">
        <v>706</v>
      </c>
      <c r="C7774" s="2075" t="s">
        <v>707</v>
      </c>
      <c r="D7774" s="2075"/>
      <c r="E7774" s="2075"/>
      <c r="F7774" s="2075"/>
      <c r="G7774" s="2075"/>
      <c r="H7774" s="1239">
        <f>H7767+H7770+H7773</f>
        <v>10411170</v>
      </c>
      <c r="M7774" s="1566"/>
    </row>
    <row r="7775" spans="2:13" hidden="1">
      <c r="B7775" s="1543" t="s">
        <v>708</v>
      </c>
      <c r="C7775" s="2075" t="s">
        <v>709</v>
      </c>
      <c r="D7775" s="2075"/>
      <c r="E7775" s="2075"/>
      <c r="F7775" s="2077" t="s">
        <v>710</v>
      </c>
      <c r="G7775" s="2077"/>
      <c r="H7775" s="1107">
        <f>H7774*0.15</f>
        <v>1561675.5</v>
      </c>
      <c r="M7775" s="1566"/>
    </row>
    <row r="7776" spans="2:13" hidden="1">
      <c r="B7776" s="1543" t="s">
        <v>711</v>
      </c>
      <c r="C7776" s="2078" t="s">
        <v>712</v>
      </c>
      <c r="D7776" s="2078"/>
      <c r="E7776" s="2078"/>
      <c r="F7776" s="2078"/>
      <c r="G7776" s="2078"/>
      <c r="H7776" s="1107">
        <f>ROUND(SUM(H7774:H7775),2)</f>
        <v>11972845.5</v>
      </c>
      <c r="M7776" s="1566"/>
    </row>
    <row r="7777" spans="2:13" hidden="1">
      <c r="B7777" s="1129"/>
      <c r="C7777" s="1130"/>
      <c r="D7777" s="1129"/>
      <c r="E7777" s="1129"/>
      <c r="F7777" s="1131"/>
      <c r="G7777" s="1132"/>
      <c r="H7777" s="1249"/>
      <c r="M7777" s="1566"/>
    </row>
    <row r="7778" spans="2:13" hidden="1">
      <c r="B7778" s="1100" t="s">
        <v>3636</v>
      </c>
      <c r="C7778" s="1232" t="s">
        <v>4281</v>
      </c>
      <c r="F7778" s="1172"/>
      <c r="G7778" s="1173"/>
      <c r="H7778" s="1711"/>
      <c r="M7778" s="1566"/>
    </row>
    <row r="7779" spans="2:13" s="507" customFormat="1" ht="24.9" hidden="1" customHeight="1">
      <c r="B7779" s="1748" t="s">
        <v>1003</v>
      </c>
      <c r="C7779" s="1101" t="s">
        <v>1004</v>
      </c>
      <c r="D7779" s="1101" t="s">
        <v>1005</v>
      </c>
      <c r="E7779" s="1101" t="s">
        <v>1006</v>
      </c>
      <c r="F7779" s="1102" t="s">
        <v>1007</v>
      </c>
      <c r="G7779" s="1109" t="s">
        <v>2637</v>
      </c>
      <c r="H7779" s="1235" t="s">
        <v>2638</v>
      </c>
      <c r="J7779" s="1625"/>
      <c r="K7779" s="1625"/>
      <c r="L7779" s="1625"/>
      <c r="M7779" s="1570"/>
    </row>
    <row r="7780" spans="2:13" hidden="1">
      <c r="B7780" s="1543" t="s">
        <v>671</v>
      </c>
      <c r="C7780" s="1332" t="s">
        <v>672</v>
      </c>
      <c r="D7780" s="1331"/>
      <c r="E7780" s="1331"/>
      <c r="F7780" s="1334"/>
      <c r="G7780" s="1104"/>
      <c r="H7780" s="1236"/>
      <c r="M7780" s="1566"/>
    </row>
    <row r="7781" spans="2:13" hidden="1">
      <c r="B7781" s="1543"/>
      <c r="C7781" s="1332" t="s">
        <v>673</v>
      </c>
      <c r="D7781" s="1331" t="s">
        <v>674</v>
      </c>
      <c r="E7781" s="1331" t="s">
        <v>675</v>
      </c>
      <c r="F7781" s="1334">
        <f>2*1.429</f>
        <v>2.8580000000000001</v>
      </c>
      <c r="G7781" s="1104">
        <f>$G$7763</f>
        <v>150000</v>
      </c>
      <c r="H7781" s="1236">
        <f>G7781*F7781</f>
        <v>428700</v>
      </c>
      <c r="M7781" s="1566"/>
    </row>
    <row r="7782" spans="2:13" hidden="1">
      <c r="B7782" s="1543"/>
      <c r="C7782" s="1332" t="s">
        <v>1480</v>
      </c>
      <c r="D7782" s="1331" t="s">
        <v>678</v>
      </c>
      <c r="E7782" s="1331" t="s">
        <v>675</v>
      </c>
      <c r="F7782" s="1334">
        <f>2*0.715</f>
        <v>1.43</v>
      </c>
      <c r="G7782" s="1104">
        <f>$G$7764</f>
        <v>187000</v>
      </c>
      <c r="H7782" s="1236">
        <f>G7782*F7782</f>
        <v>267410</v>
      </c>
      <c r="M7782" s="1566"/>
    </row>
    <row r="7783" spans="2:13" hidden="1">
      <c r="B7783" s="1543"/>
      <c r="C7783" s="1332" t="s">
        <v>751</v>
      </c>
      <c r="D7783" s="1331" t="s">
        <v>681</v>
      </c>
      <c r="E7783" s="1331" t="s">
        <v>675</v>
      </c>
      <c r="F7783" s="1334">
        <v>0.14299999999999999</v>
      </c>
      <c r="G7783" s="1104">
        <f>$G$7044</f>
        <v>240000</v>
      </c>
      <c r="H7783" s="1236">
        <f>G7783*F7783</f>
        <v>34320</v>
      </c>
      <c r="M7783" s="1566"/>
    </row>
    <row r="7784" spans="2:13" hidden="1">
      <c r="B7784" s="1543"/>
      <c r="C7784" s="1332" t="s">
        <v>683</v>
      </c>
      <c r="D7784" s="1331" t="s">
        <v>684</v>
      </c>
      <c r="E7784" s="1331" t="s">
        <v>675</v>
      </c>
      <c r="F7784" s="1334">
        <f>2*0.143</f>
        <v>0.28599999999999998</v>
      </c>
      <c r="G7784" s="1104">
        <f>$G$7766</f>
        <v>225000</v>
      </c>
      <c r="H7784" s="1236">
        <f>G7784*F7784</f>
        <v>64349.999999999993</v>
      </c>
      <c r="M7784" s="1566"/>
    </row>
    <row r="7785" spans="2:13" hidden="1">
      <c r="B7785" s="1120"/>
      <c r="C7785" s="1253"/>
      <c r="D7785" s="1254"/>
      <c r="E7785" s="1253"/>
      <c r="F7785" s="2080" t="s">
        <v>685</v>
      </c>
      <c r="G7785" s="2081"/>
      <c r="H7785" s="1236">
        <f>SUM(H7781:H7784)</f>
        <v>794780</v>
      </c>
      <c r="M7785" s="1566"/>
    </row>
    <row r="7786" spans="2:13" hidden="1">
      <c r="B7786" s="1543" t="s">
        <v>686</v>
      </c>
      <c r="C7786" s="1332" t="s">
        <v>687</v>
      </c>
      <c r="D7786" s="1331"/>
      <c r="E7786" s="1331"/>
      <c r="F7786" s="1334"/>
      <c r="G7786" s="1104"/>
      <c r="H7786" s="1236"/>
      <c r="M7786" s="1566"/>
    </row>
    <row r="7787" spans="2:13" hidden="1">
      <c r="B7787" s="1543"/>
      <c r="C7787" s="1332" t="s">
        <v>3637</v>
      </c>
      <c r="D7787" s="1331"/>
      <c r="E7787" s="1331" t="s">
        <v>1423</v>
      </c>
      <c r="F7787" s="1334">
        <v>1</v>
      </c>
      <c r="G7787" s="1104">
        <f>DUB!$I$631</f>
        <v>16669422</v>
      </c>
      <c r="H7787" s="1236">
        <f>G7787*F7787</f>
        <v>16669422</v>
      </c>
      <c r="M7787" s="1566"/>
    </row>
    <row r="7788" spans="2:13" hidden="1">
      <c r="B7788" s="1543"/>
      <c r="C7788" s="1332"/>
      <c r="D7788" s="1331"/>
      <c r="E7788" s="1331"/>
      <c r="F7788" s="2074" t="s">
        <v>702</v>
      </c>
      <c r="G7788" s="2074"/>
      <c r="H7788" s="1236">
        <f>SUM(H7787:H7787)</f>
        <v>16669422</v>
      </c>
      <c r="M7788" s="1566"/>
    </row>
    <row r="7789" spans="2:13" hidden="1">
      <c r="B7789" s="1543" t="s">
        <v>703</v>
      </c>
      <c r="C7789" s="1332" t="s">
        <v>704</v>
      </c>
      <c r="D7789" s="1331"/>
      <c r="E7789" s="1331"/>
      <c r="F7789" s="1334"/>
      <c r="G7789" s="1104"/>
      <c r="H7789" s="1236"/>
      <c r="M7789" s="1566"/>
    </row>
    <row r="7790" spans="2:13" hidden="1">
      <c r="B7790" s="1543"/>
      <c r="C7790" s="1126" t="s">
        <v>3509</v>
      </c>
      <c r="D7790" s="1331"/>
      <c r="E7790" s="1187" t="s">
        <v>1011</v>
      </c>
      <c r="F7790" s="1179">
        <v>1</v>
      </c>
      <c r="G7790" s="1104">
        <v>300000</v>
      </c>
      <c r="H7790" s="1236">
        <f>G7790*F7790</f>
        <v>300000</v>
      </c>
      <c r="M7790" s="1566"/>
    </row>
    <row r="7791" spans="2:13" hidden="1">
      <c r="B7791" s="1543"/>
      <c r="C7791" s="1332"/>
      <c r="D7791" s="1331"/>
      <c r="E7791" s="1331"/>
      <c r="F7791" s="2074" t="s">
        <v>705</v>
      </c>
      <c r="G7791" s="2074"/>
      <c r="H7791" s="1236">
        <f>SUM(H7790)</f>
        <v>300000</v>
      </c>
      <c r="M7791" s="1566"/>
    </row>
    <row r="7792" spans="2:13" hidden="1">
      <c r="B7792" s="1543" t="s">
        <v>706</v>
      </c>
      <c r="C7792" s="2075" t="s">
        <v>707</v>
      </c>
      <c r="D7792" s="2075"/>
      <c r="E7792" s="2075"/>
      <c r="F7792" s="2075"/>
      <c r="G7792" s="2075"/>
      <c r="H7792" s="1239">
        <f>H7785+H7788+H7791</f>
        <v>17764202</v>
      </c>
      <c r="M7792" s="1566"/>
    </row>
    <row r="7793" spans="2:13" hidden="1">
      <c r="B7793" s="1543" t="s">
        <v>708</v>
      </c>
      <c r="C7793" s="2075" t="s">
        <v>709</v>
      </c>
      <c r="D7793" s="2075"/>
      <c r="E7793" s="2075"/>
      <c r="F7793" s="2077" t="s">
        <v>710</v>
      </c>
      <c r="G7793" s="2077"/>
      <c r="H7793" s="1107">
        <f>H7792*0.15</f>
        <v>2664630.2999999998</v>
      </c>
      <c r="M7793" s="1566"/>
    </row>
    <row r="7794" spans="2:13" hidden="1">
      <c r="B7794" s="1543" t="s">
        <v>711</v>
      </c>
      <c r="C7794" s="2078" t="s">
        <v>712</v>
      </c>
      <c r="D7794" s="2078"/>
      <c r="E7794" s="2078"/>
      <c r="F7794" s="2078"/>
      <c r="G7794" s="2078"/>
      <c r="H7794" s="1107">
        <f>ROUND(SUM(H7792:H7793),2)</f>
        <v>20428832.300000001</v>
      </c>
      <c r="M7794" s="1566"/>
    </row>
    <row r="7795" spans="2:13" hidden="1">
      <c r="B7795" s="1129"/>
      <c r="C7795" s="1130"/>
      <c r="D7795" s="1129"/>
      <c r="E7795" s="1129"/>
      <c r="F7795" s="1131"/>
      <c r="G7795" s="1132"/>
      <c r="H7795" s="1249"/>
      <c r="M7795" s="1566"/>
    </row>
    <row r="7796" spans="2:13" hidden="1">
      <c r="B7796" s="1100" t="s">
        <v>3638</v>
      </c>
      <c r="C7796" s="1232" t="s">
        <v>4282</v>
      </c>
      <c r="F7796" s="1172"/>
      <c r="G7796" s="1173"/>
      <c r="H7796" s="1711"/>
      <c r="M7796" s="1566"/>
    </row>
    <row r="7797" spans="2:13" s="507" customFormat="1" ht="24.9" hidden="1" customHeight="1">
      <c r="B7797" s="1748" t="s">
        <v>1003</v>
      </c>
      <c r="C7797" s="1101" t="s">
        <v>1004</v>
      </c>
      <c r="D7797" s="1101" t="s">
        <v>1005</v>
      </c>
      <c r="E7797" s="1101" t="s">
        <v>1006</v>
      </c>
      <c r="F7797" s="1102" t="s">
        <v>1007</v>
      </c>
      <c r="G7797" s="1109" t="s">
        <v>2637</v>
      </c>
      <c r="H7797" s="1235" t="s">
        <v>2638</v>
      </c>
      <c r="J7797" s="1625"/>
      <c r="K7797" s="1625"/>
      <c r="L7797" s="1625"/>
      <c r="M7797" s="1570"/>
    </row>
    <row r="7798" spans="2:13" hidden="1">
      <c r="B7798" s="1543" t="s">
        <v>671</v>
      </c>
      <c r="C7798" s="1332" t="s">
        <v>672</v>
      </c>
      <c r="D7798" s="1331"/>
      <c r="E7798" s="1331"/>
      <c r="F7798" s="1334"/>
      <c r="G7798" s="1104"/>
      <c r="H7798" s="1236"/>
      <c r="M7798" s="1566"/>
    </row>
    <row r="7799" spans="2:13" hidden="1">
      <c r="B7799" s="1543"/>
      <c r="C7799" s="1332" t="s">
        <v>673</v>
      </c>
      <c r="D7799" s="1331" t="s">
        <v>674</v>
      </c>
      <c r="E7799" s="1331" t="s">
        <v>675</v>
      </c>
      <c r="F7799" s="1334">
        <f>0.106*10</f>
        <v>1.06</v>
      </c>
      <c r="G7799" s="1104">
        <f>$G$7781</f>
        <v>150000</v>
      </c>
      <c r="H7799" s="1236">
        <f>G7799*F7799</f>
        <v>159000</v>
      </c>
      <c r="M7799" s="1566"/>
    </row>
    <row r="7800" spans="2:13" hidden="1">
      <c r="B7800" s="1543"/>
      <c r="C7800" s="1332" t="s">
        <v>1480</v>
      </c>
      <c r="D7800" s="1331" t="s">
        <v>678</v>
      </c>
      <c r="E7800" s="1331" t="s">
        <v>675</v>
      </c>
      <c r="F7800" s="1334">
        <f>0.053*10</f>
        <v>0.53</v>
      </c>
      <c r="G7800" s="1104">
        <f>$G$7782</f>
        <v>187000</v>
      </c>
      <c r="H7800" s="1236">
        <f>G7800*F7800</f>
        <v>99110</v>
      </c>
      <c r="M7800" s="1566"/>
    </row>
    <row r="7801" spans="2:13" hidden="1">
      <c r="B7801" s="1543"/>
      <c r="C7801" s="1332" t="s">
        <v>751</v>
      </c>
      <c r="D7801" s="1331" t="s">
        <v>681</v>
      </c>
      <c r="E7801" s="1331" t="s">
        <v>675</v>
      </c>
      <c r="F7801" s="1334">
        <v>5.3000000000000005E-2</v>
      </c>
      <c r="G7801" s="1104">
        <f>$G$7044</f>
        <v>240000</v>
      </c>
      <c r="H7801" s="1236">
        <f>G7801*F7801</f>
        <v>12720.000000000002</v>
      </c>
      <c r="M7801" s="1566"/>
    </row>
    <row r="7802" spans="2:13" hidden="1">
      <c r="B7802" s="1543"/>
      <c r="C7802" s="1332" t="s">
        <v>683</v>
      </c>
      <c r="D7802" s="1331" t="s">
        <v>684</v>
      </c>
      <c r="E7802" s="1331" t="s">
        <v>675</v>
      </c>
      <c r="F7802" s="1334">
        <f>0.011*10</f>
        <v>0.10999999999999999</v>
      </c>
      <c r="G7802" s="1104">
        <f>$G$7784</f>
        <v>225000</v>
      </c>
      <c r="H7802" s="1236">
        <f>G7802*F7802</f>
        <v>24749.999999999996</v>
      </c>
      <c r="M7802" s="1566"/>
    </row>
    <row r="7803" spans="2:13" hidden="1">
      <c r="B7803" s="1120"/>
      <c r="C7803" s="1253"/>
      <c r="D7803" s="1254"/>
      <c r="E7803" s="1253"/>
      <c r="F7803" s="2080" t="s">
        <v>685</v>
      </c>
      <c r="G7803" s="2081"/>
      <c r="H7803" s="1236">
        <f>SUM(H7799:H7802)</f>
        <v>295580</v>
      </c>
      <c r="M7803" s="1566"/>
    </row>
    <row r="7804" spans="2:13" hidden="1">
      <c r="B7804" s="1543" t="s">
        <v>686</v>
      </c>
      <c r="C7804" s="1332" t="s">
        <v>687</v>
      </c>
      <c r="D7804" s="1331"/>
      <c r="E7804" s="1331"/>
      <c r="F7804" s="1334"/>
      <c r="G7804" s="1104"/>
      <c r="H7804" s="1236"/>
      <c r="M7804" s="1566"/>
    </row>
    <row r="7805" spans="2:13" hidden="1">
      <c r="B7805" s="1543"/>
      <c r="C7805" s="1332" t="s">
        <v>3639</v>
      </c>
      <c r="D7805" s="1331"/>
      <c r="E7805" s="1331" t="s">
        <v>2944</v>
      </c>
      <c r="F7805" s="1334">
        <v>6</v>
      </c>
      <c r="G7805" s="1104">
        <f>DUB!$I$643</f>
        <v>15543</v>
      </c>
      <c r="H7805" s="1236">
        <f t="shared" ref="H7805:H7821" si="196">G7805*F7805</f>
        <v>93258</v>
      </c>
      <c r="M7805" s="1566"/>
    </row>
    <row r="7806" spans="2:13" hidden="1">
      <c r="B7806" s="1543"/>
      <c r="C7806" s="1332" t="s">
        <v>3640</v>
      </c>
      <c r="D7806" s="1331"/>
      <c r="E7806" s="1331" t="s">
        <v>2944</v>
      </c>
      <c r="F7806" s="1334">
        <v>2</v>
      </c>
      <c r="G7806" s="1104">
        <f>DUB!$I$635</f>
        <v>72864</v>
      </c>
      <c r="H7806" s="1236">
        <f t="shared" si="196"/>
        <v>145728</v>
      </c>
      <c r="M7806" s="1566"/>
    </row>
    <row r="7807" spans="2:13" hidden="1">
      <c r="B7807" s="1543"/>
      <c r="C7807" s="1332" t="s">
        <v>3642</v>
      </c>
      <c r="D7807" s="1331"/>
      <c r="E7807" s="1331" t="s">
        <v>1423</v>
      </c>
      <c r="F7807" s="1334">
        <v>1</v>
      </c>
      <c r="G7807" s="1104">
        <f>DUB!$I$669</f>
        <v>62325</v>
      </c>
      <c r="H7807" s="1236">
        <f t="shared" si="196"/>
        <v>62325</v>
      </c>
      <c r="M7807" s="1566"/>
    </row>
    <row r="7808" spans="2:13" hidden="1">
      <c r="B7808" s="1543"/>
      <c r="C7808" s="1332" t="s">
        <v>3643</v>
      </c>
      <c r="D7808" s="1331"/>
      <c r="E7808" s="1331" t="s">
        <v>1423</v>
      </c>
      <c r="F7808" s="1334">
        <v>1</v>
      </c>
      <c r="G7808" s="1104">
        <f>DUB!$I$664</f>
        <v>132759</v>
      </c>
      <c r="H7808" s="1236">
        <f t="shared" si="196"/>
        <v>132759</v>
      </c>
      <c r="M7808" s="1566"/>
    </row>
    <row r="7809" spans="2:13" hidden="1">
      <c r="B7809" s="1543"/>
      <c r="C7809" s="1332" t="s">
        <v>3644</v>
      </c>
      <c r="D7809" s="1331"/>
      <c r="E7809" s="1331" t="s">
        <v>1423</v>
      </c>
      <c r="F7809" s="1334">
        <v>1</v>
      </c>
      <c r="G7809" s="1104">
        <f>DUB!$I$670</f>
        <v>40095</v>
      </c>
      <c r="H7809" s="1236">
        <f t="shared" si="196"/>
        <v>40095</v>
      </c>
      <c r="M7809" s="1566"/>
    </row>
    <row r="7810" spans="2:13" hidden="1">
      <c r="B7810" s="1543"/>
      <c r="C7810" s="1332" t="s">
        <v>3645</v>
      </c>
      <c r="D7810" s="1331"/>
      <c r="E7810" s="1331" t="s">
        <v>1423</v>
      </c>
      <c r="F7810" s="1334">
        <v>1</v>
      </c>
      <c r="G7810" s="1104">
        <f>DUB!$I$671</f>
        <v>322578</v>
      </c>
      <c r="H7810" s="1236">
        <f t="shared" si="196"/>
        <v>322578</v>
      </c>
      <c r="M7810" s="1566"/>
    </row>
    <row r="7811" spans="2:13" hidden="1">
      <c r="B7811" s="1543"/>
      <c r="C7811" s="1332" t="s">
        <v>3646</v>
      </c>
      <c r="D7811" s="1331"/>
      <c r="E7811" s="1331" t="s">
        <v>1423</v>
      </c>
      <c r="F7811" s="1334">
        <v>1</v>
      </c>
      <c r="G7811" s="1104">
        <f>DUB!$I$672</f>
        <v>63738</v>
      </c>
      <c r="H7811" s="1236">
        <f t="shared" si="196"/>
        <v>63738</v>
      </c>
      <c r="M7811" s="1566"/>
    </row>
    <row r="7812" spans="2:13" hidden="1">
      <c r="B7812" s="1543"/>
      <c r="C7812" s="1332" t="s">
        <v>3647</v>
      </c>
      <c r="D7812" s="1331"/>
      <c r="E7812" s="1331" t="s">
        <v>1423</v>
      </c>
      <c r="F7812" s="1334">
        <v>1</v>
      </c>
      <c r="G7812" s="1104">
        <f>DUB!$I$674</f>
        <v>296874</v>
      </c>
      <c r="H7812" s="1236">
        <f t="shared" si="196"/>
        <v>296874</v>
      </c>
      <c r="M7812" s="1566"/>
    </row>
    <row r="7813" spans="2:13" hidden="1">
      <c r="B7813" s="1543"/>
      <c r="C7813" s="1332" t="s">
        <v>3648</v>
      </c>
      <c r="D7813" s="1331"/>
      <c r="E7813" s="1331" t="s">
        <v>1423</v>
      </c>
      <c r="F7813" s="1334">
        <v>2</v>
      </c>
      <c r="G7813" s="1104">
        <f>DUB!$I$675</f>
        <v>13491</v>
      </c>
      <c r="H7813" s="1236">
        <f t="shared" si="196"/>
        <v>26982</v>
      </c>
      <c r="M7813" s="1566"/>
    </row>
    <row r="7814" spans="2:13" hidden="1">
      <c r="B7814" s="1543"/>
      <c r="C7814" s="1332" t="s">
        <v>3649</v>
      </c>
      <c r="D7814" s="1331"/>
      <c r="E7814" s="1331" t="s">
        <v>1423</v>
      </c>
      <c r="F7814" s="1334">
        <v>1</v>
      </c>
      <c r="G7814" s="1104">
        <f>DUB!$I$676</f>
        <v>57960</v>
      </c>
      <c r="H7814" s="1236">
        <f t="shared" si="196"/>
        <v>57960</v>
      </c>
      <c r="M7814" s="1566"/>
    </row>
    <row r="7815" spans="2:13" hidden="1">
      <c r="B7815" s="1543"/>
      <c r="C7815" s="1332" t="s">
        <v>3650</v>
      </c>
      <c r="D7815" s="1331"/>
      <c r="E7815" s="1331" t="s">
        <v>1423</v>
      </c>
      <c r="F7815" s="1334">
        <v>1</v>
      </c>
      <c r="G7815" s="1104">
        <f>DUB!$I$677</f>
        <v>6939</v>
      </c>
      <c r="H7815" s="1236">
        <f t="shared" si="196"/>
        <v>6939</v>
      </c>
      <c r="M7815" s="1566"/>
    </row>
    <row r="7816" spans="2:13" hidden="1">
      <c r="B7816" s="1543"/>
      <c r="C7816" s="1332" t="s">
        <v>3651</v>
      </c>
      <c r="D7816" s="1331"/>
      <c r="E7816" s="1331" t="s">
        <v>1423</v>
      </c>
      <c r="F7816" s="1334">
        <v>1</v>
      </c>
      <c r="G7816" s="1104">
        <f>DUB!$I$678</f>
        <v>6552</v>
      </c>
      <c r="H7816" s="1236">
        <f t="shared" si="196"/>
        <v>6552</v>
      </c>
      <c r="M7816" s="1566"/>
    </row>
    <row r="7817" spans="2:13" hidden="1">
      <c r="B7817" s="1543"/>
      <c r="C7817" s="1332" t="s">
        <v>3652</v>
      </c>
      <c r="D7817" s="1331"/>
      <c r="E7817" s="1331" t="s">
        <v>1423</v>
      </c>
      <c r="F7817" s="1334">
        <v>1</v>
      </c>
      <c r="G7817" s="1104">
        <f>DUB!$I$679</f>
        <v>383760</v>
      </c>
      <c r="H7817" s="1236">
        <f t="shared" si="196"/>
        <v>383760</v>
      </c>
      <c r="M7817" s="1566"/>
    </row>
    <row r="7818" spans="2:13" hidden="1">
      <c r="B7818" s="1543"/>
      <c r="C7818" s="1332" t="s">
        <v>3653</v>
      </c>
      <c r="D7818" s="1331"/>
      <c r="E7818" s="1331" t="s">
        <v>1423</v>
      </c>
      <c r="F7818" s="1334">
        <v>1</v>
      </c>
      <c r="G7818" s="1104">
        <f>DUB!$I$680</f>
        <v>848232</v>
      </c>
      <c r="H7818" s="1236">
        <f t="shared" si="196"/>
        <v>848232</v>
      </c>
      <c r="M7818" s="1566"/>
    </row>
    <row r="7819" spans="2:13" hidden="1">
      <c r="B7819" s="1543"/>
      <c r="C7819" s="1332" t="s">
        <v>3654</v>
      </c>
      <c r="D7819" s="1331"/>
      <c r="E7819" s="1331" t="s">
        <v>1423</v>
      </c>
      <c r="F7819" s="1334">
        <v>2</v>
      </c>
      <c r="G7819" s="1104">
        <f>DUB!$I$361</f>
        <v>4284</v>
      </c>
      <c r="H7819" s="1236">
        <f t="shared" si="196"/>
        <v>8568</v>
      </c>
      <c r="M7819" s="1566"/>
    </row>
    <row r="7820" spans="2:13" hidden="1">
      <c r="B7820" s="1543"/>
      <c r="C7820" s="1332" t="s">
        <v>3655</v>
      </c>
      <c r="D7820" s="1331"/>
      <c r="E7820" s="1331" t="s">
        <v>1423</v>
      </c>
      <c r="F7820" s="1334">
        <v>1</v>
      </c>
      <c r="G7820" s="1104">
        <f>DUB!$I$681</f>
        <v>4239</v>
      </c>
      <c r="H7820" s="1236">
        <f t="shared" si="196"/>
        <v>4239</v>
      </c>
      <c r="M7820" s="1566"/>
    </row>
    <row r="7821" spans="2:13" hidden="1">
      <c r="B7821" s="1543"/>
      <c r="C7821" s="1332" t="s">
        <v>3656</v>
      </c>
      <c r="D7821" s="1331"/>
      <c r="E7821" s="1331" t="s">
        <v>1423</v>
      </c>
      <c r="F7821" s="1334">
        <v>1</v>
      </c>
      <c r="G7821" s="1104">
        <f>DUB!$I$682</f>
        <v>13104</v>
      </c>
      <c r="H7821" s="1236">
        <f t="shared" si="196"/>
        <v>13104</v>
      </c>
      <c r="M7821" s="1566"/>
    </row>
    <row r="7822" spans="2:13" hidden="1">
      <c r="B7822" s="1543"/>
      <c r="C7822" s="1332"/>
      <c r="D7822" s="1331"/>
      <c r="E7822" s="1331"/>
      <c r="F7822" s="2074" t="s">
        <v>702</v>
      </c>
      <c r="G7822" s="2074"/>
      <c r="H7822" s="1236">
        <f>SUM(H7805:H7821)</f>
        <v>2513691</v>
      </c>
      <c r="M7822" s="1566"/>
    </row>
    <row r="7823" spans="2:13" hidden="1">
      <c r="B7823" s="1543" t="s">
        <v>703</v>
      </c>
      <c r="C7823" s="1332" t="s">
        <v>704</v>
      </c>
      <c r="D7823" s="1331"/>
      <c r="E7823" s="1331"/>
      <c r="F7823" s="1334"/>
      <c r="G7823" s="1104"/>
      <c r="H7823" s="1236"/>
      <c r="M7823" s="1566"/>
    </row>
    <row r="7824" spans="2:13" hidden="1">
      <c r="B7824" s="1543"/>
      <c r="C7824" s="1126" t="s">
        <v>3509</v>
      </c>
      <c r="D7824" s="1331"/>
      <c r="E7824" s="1187" t="s">
        <v>1011</v>
      </c>
      <c r="F7824" s="1179">
        <v>1</v>
      </c>
      <c r="G7824" s="1104">
        <v>50000</v>
      </c>
      <c r="H7824" s="1236">
        <f>G7824*F7824</f>
        <v>50000</v>
      </c>
      <c r="M7824" s="1566"/>
    </row>
    <row r="7825" spans="2:13" hidden="1">
      <c r="B7825" s="1543"/>
      <c r="C7825" s="1332"/>
      <c r="D7825" s="1331"/>
      <c r="E7825" s="1331"/>
      <c r="F7825" s="2074" t="s">
        <v>705</v>
      </c>
      <c r="G7825" s="2074"/>
      <c r="H7825" s="1236">
        <f>SUM(H7824)</f>
        <v>50000</v>
      </c>
      <c r="M7825" s="1566"/>
    </row>
    <row r="7826" spans="2:13" hidden="1">
      <c r="B7826" s="1543" t="s">
        <v>706</v>
      </c>
      <c r="C7826" s="2075" t="s">
        <v>707</v>
      </c>
      <c r="D7826" s="2075"/>
      <c r="E7826" s="2075"/>
      <c r="F7826" s="2075"/>
      <c r="G7826" s="2075"/>
      <c r="H7826" s="1239">
        <f>H7803+H7822+H7825</f>
        <v>2859271</v>
      </c>
      <c r="M7826" s="1566"/>
    </row>
    <row r="7827" spans="2:13" hidden="1">
      <c r="B7827" s="1543" t="s">
        <v>708</v>
      </c>
      <c r="C7827" s="2075" t="s">
        <v>709</v>
      </c>
      <c r="D7827" s="2075"/>
      <c r="E7827" s="2075"/>
      <c r="F7827" s="2077" t="s">
        <v>710</v>
      </c>
      <c r="G7827" s="2077"/>
      <c r="H7827" s="1107">
        <f>H7826*0.15</f>
        <v>428890.64999999997</v>
      </c>
      <c r="M7827" s="1566"/>
    </row>
    <row r="7828" spans="2:13" hidden="1">
      <c r="B7828" s="1543" t="s">
        <v>711</v>
      </c>
      <c r="C7828" s="2078" t="s">
        <v>712</v>
      </c>
      <c r="D7828" s="2078"/>
      <c r="E7828" s="2078"/>
      <c r="F7828" s="2078"/>
      <c r="G7828" s="2078"/>
      <c r="H7828" s="1107">
        <f>ROUND(SUM(H7826:H7827),2)</f>
        <v>3288161.65</v>
      </c>
      <c r="M7828" s="1566"/>
    </row>
    <row r="7829" spans="2:13" hidden="1">
      <c r="B7829" s="1129"/>
      <c r="C7829" s="1130"/>
      <c r="D7829" s="1129"/>
      <c r="E7829" s="1129"/>
      <c r="F7829" s="1131"/>
      <c r="G7829" s="1132"/>
      <c r="H7829" s="1249"/>
      <c r="M7829" s="1566"/>
    </row>
    <row r="7830" spans="2:13" hidden="1">
      <c r="B7830" s="1100" t="s">
        <v>3657</v>
      </c>
      <c r="C7830" s="1232" t="s">
        <v>4283</v>
      </c>
      <c r="F7830" s="1172"/>
      <c r="G7830" s="1173"/>
      <c r="H7830" s="1711"/>
      <c r="M7830" s="1566"/>
    </row>
    <row r="7831" spans="2:13" s="507" customFormat="1" ht="24.9" hidden="1" customHeight="1">
      <c r="B7831" s="1748" t="s">
        <v>1003</v>
      </c>
      <c r="C7831" s="1101" t="s">
        <v>1004</v>
      </c>
      <c r="D7831" s="1101" t="s">
        <v>1005</v>
      </c>
      <c r="E7831" s="1101" t="s">
        <v>1006</v>
      </c>
      <c r="F7831" s="1102" t="s">
        <v>1007</v>
      </c>
      <c r="G7831" s="1109" t="s">
        <v>2637</v>
      </c>
      <c r="H7831" s="1235" t="s">
        <v>2638</v>
      </c>
      <c r="J7831" s="1625"/>
      <c r="K7831" s="1625"/>
      <c r="L7831" s="1625"/>
      <c r="M7831" s="1570"/>
    </row>
    <row r="7832" spans="2:13" hidden="1">
      <c r="B7832" s="1543" t="s">
        <v>671</v>
      </c>
      <c r="C7832" s="1332" t="s">
        <v>672</v>
      </c>
      <c r="D7832" s="1331"/>
      <c r="E7832" s="1331"/>
      <c r="F7832" s="1334"/>
      <c r="G7832" s="1104"/>
      <c r="H7832" s="1236"/>
      <c r="M7832" s="1566"/>
    </row>
    <row r="7833" spans="2:13" hidden="1">
      <c r="B7833" s="1543"/>
      <c r="C7833" s="1332" t="s">
        <v>673</v>
      </c>
      <c r="D7833" s="1331" t="s">
        <v>674</v>
      </c>
      <c r="E7833" s="1331" t="s">
        <v>675</v>
      </c>
      <c r="F7833" s="1334">
        <f>0.106*10</f>
        <v>1.06</v>
      </c>
      <c r="G7833" s="1104">
        <f>$G$7799</f>
        <v>150000</v>
      </c>
      <c r="H7833" s="1236">
        <f>G7833*F7833</f>
        <v>159000</v>
      </c>
      <c r="M7833" s="1566"/>
    </row>
    <row r="7834" spans="2:13" hidden="1">
      <c r="B7834" s="1543"/>
      <c r="C7834" s="1332" t="s">
        <v>1480</v>
      </c>
      <c r="D7834" s="1331" t="s">
        <v>678</v>
      </c>
      <c r="E7834" s="1331" t="s">
        <v>675</v>
      </c>
      <c r="F7834" s="1334">
        <f>0.053*10</f>
        <v>0.53</v>
      </c>
      <c r="G7834" s="1104">
        <f>$G$7800</f>
        <v>187000</v>
      </c>
      <c r="H7834" s="1236">
        <f>G7834*F7834</f>
        <v>99110</v>
      </c>
      <c r="M7834" s="1566"/>
    </row>
    <row r="7835" spans="2:13" hidden="1">
      <c r="B7835" s="1543"/>
      <c r="C7835" s="1332" t="s">
        <v>751</v>
      </c>
      <c r="D7835" s="1331" t="s">
        <v>681</v>
      </c>
      <c r="E7835" s="1331" t="s">
        <v>675</v>
      </c>
      <c r="F7835" s="1334">
        <v>5.3000000000000005E-2</v>
      </c>
      <c r="G7835" s="1104">
        <f>$G$7044</f>
        <v>240000</v>
      </c>
      <c r="H7835" s="1236">
        <f>G7835*F7835</f>
        <v>12720.000000000002</v>
      </c>
      <c r="M7835" s="1566"/>
    </row>
    <row r="7836" spans="2:13" hidden="1">
      <c r="B7836" s="1543"/>
      <c r="C7836" s="1332" t="s">
        <v>683</v>
      </c>
      <c r="D7836" s="1331" t="s">
        <v>684</v>
      </c>
      <c r="E7836" s="1331" t="s">
        <v>675</v>
      </c>
      <c r="F7836" s="1334">
        <f>0.011*10</f>
        <v>0.10999999999999999</v>
      </c>
      <c r="G7836" s="1104">
        <f>$G$7802</f>
        <v>225000</v>
      </c>
      <c r="H7836" s="1236">
        <f>G7836*F7836</f>
        <v>24749.999999999996</v>
      </c>
      <c r="M7836" s="1566"/>
    </row>
    <row r="7837" spans="2:13" hidden="1">
      <c r="B7837" s="1120"/>
      <c r="C7837" s="1253"/>
      <c r="D7837" s="1254"/>
      <c r="E7837" s="1253"/>
      <c r="F7837" s="2080" t="s">
        <v>685</v>
      </c>
      <c r="G7837" s="2081"/>
      <c r="H7837" s="1236">
        <f>SUM(H7833:H7836)</f>
        <v>295580</v>
      </c>
      <c r="M7837" s="1566"/>
    </row>
    <row r="7838" spans="2:13" hidden="1">
      <c r="B7838" s="1543" t="s">
        <v>686</v>
      </c>
      <c r="C7838" s="1332" t="s">
        <v>687</v>
      </c>
      <c r="D7838" s="1331"/>
      <c r="E7838" s="1331"/>
      <c r="F7838" s="1334"/>
      <c r="G7838" s="1104"/>
      <c r="H7838" s="1236"/>
      <c r="M7838" s="1566"/>
    </row>
    <row r="7839" spans="2:13" hidden="1">
      <c r="B7839" s="1543"/>
      <c r="C7839" s="1332" t="s">
        <v>3639</v>
      </c>
      <c r="D7839" s="1331"/>
      <c r="E7839" s="1331" t="s">
        <v>2944</v>
      </c>
      <c r="F7839" s="1334">
        <v>6</v>
      </c>
      <c r="G7839" s="1104">
        <f>$G$7805</f>
        <v>15543</v>
      </c>
      <c r="H7839" s="1236">
        <f t="shared" ref="H7839:H7855" si="197">G7839*F7839</f>
        <v>93258</v>
      </c>
      <c r="M7839" s="1566"/>
    </row>
    <row r="7840" spans="2:13" hidden="1">
      <c r="B7840" s="1543"/>
      <c r="C7840" s="1332" t="s">
        <v>3640</v>
      </c>
      <c r="D7840" s="1331"/>
      <c r="E7840" s="1331" t="s">
        <v>2944</v>
      </c>
      <c r="F7840" s="1334">
        <v>2</v>
      </c>
      <c r="G7840" s="1104">
        <f>$G$7806</f>
        <v>72864</v>
      </c>
      <c r="H7840" s="1236">
        <f t="shared" si="197"/>
        <v>145728</v>
      </c>
      <c r="M7840" s="1566"/>
    </row>
    <row r="7841" spans="2:13" hidden="1">
      <c r="B7841" s="1543"/>
      <c r="C7841" s="1332" t="s">
        <v>3642</v>
      </c>
      <c r="D7841" s="1331"/>
      <c r="E7841" s="1331" t="s">
        <v>1423</v>
      </c>
      <c r="F7841" s="1334">
        <v>1</v>
      </c>
      <c r="G7841" s="1104">
        <f>$G$7807</f>
        <v>62325</v>
      </c>
      <c r="H7841" s="1236">
        <f t="shared" si="197"/>
        <v>62325</v>
      </c>
      <c r="M7841" s="1566"/>
    </row>
    <row r="7842" spans="2:13" hidden="1">
      <c r="B7842" s="1543"/>
      <c r="C7842" s="1332" t="s">
        <v>3819</v>
      </c>
      <c r="D7842" s="1331"/>
      <c r="E7842" s="1331" t="s">
        <v>1423</v>
      </c>
      <c r="F7842" s="1334">
        <v>1</v>
      </c>
      <c r="G7842" s="1104">
        <f>DUB!$I$663</f>
        <v>227736</v>
      </c>
      <c r="H7842" s="1236">
        <f t="shared" si="197"/>
        <v>227736</v>
      </c>
      <c r="M7842" s="1566"/>
    </row>
    <row r="7843" spans="2:13" hidden="1">
      <c r="B7843" s="1543"/>
      <c r="C7843" s="1332" t="s">
        <v>3644</v>
      </c>
      <c r="D7843" s="1331"/>
      <c r="E7843" s="1331" t="s">
        <v>1423</v>
      </c>
      <c r="F7843" s="1334">
        <v>1</v>
      </c>
      <c r="G7843" s="1104">
        <f>$G$7809</f>
        <v>40095</v>
      </c>
      <c r="H7843" s="1236">
        <f t="shared" si="197"/>
        <v>40095</v>
      </c>
      <c r="M7843" s="1566"/>
    </row>
    <row r="7844" spans="2:13" hidden="1">
      <c r="B7844" s="1543"/>
      <c r="C7844" s="1332" t="s">
        <v>3645</v>
      </c>
      <c r="D7844" s="1331"/>
      <c r="E7844" s="1331" t="s">
        <v>1423</v>
      </c>
      <c r="F7844" s="1334">
        <v>1</v>
      </c>
      <c r="G7844" s="1104">
        <f>$G$7810</f>
        <v>322578</v>
      </c>
      <c r="H7844" s="1236">
        <f t="shared" si="197"/>
        <v>322578</v>
      </c>
      <c r="M7844" s="1566"/>
    </row>
    <row r="7845" spans="2:13" hidden="1">
      <c r="B7845" s="1543"/>
      <c r="C7845" s="1332" t="s">
        <v>3646</v>
      </c>
      <c r="D7845" s="1331"/>
      <c r="E7845" s="1331" t="s">
        <v>1423</v>
      </c>
      <c r="F7845" s="1334">
        <v>1</v>
      </c>
      <c r="G7845" s="1104">
        <f>$G$7811</f>
        <v>63738</v>
      </c>
      <c r="H7845" s="1236">
        <f t="shared" si="197"/>
        <v>63738</v>
      </c>
      <c r="M7845" s="1566"/>
    </row>
    <row r="7846" spans="2:13" hidden="1">
      <c r="B7846" s="1543"/>
      <c r="C7846" s="1332" t="s">
        <v>3647</v>
      </c>
      <c r="D7846" s="1331"/>
      <c r="E7846" s="1331" t="s">
        <v>1423</v>
      </c>
      <c r="F7846" s="1334">
        <v>1</v>
      </c>
      <c r="G7846" s="1104">
        <f>$G$7812</f>
        <v>296874</v>
      </c>
      <c r="H7846" s="1236">
        <f t="shared" si="197"/>
        <v>296874</v>
      </c>
      <c r="M7846" s="1566"/>
    </row>
    <row r="7847" spans="2:13" hidden="1">
      <c r="B7847" s="1543"/>
      <c r="C7847" s="1332" t="s">
        <v>3648</v>
      </c>
      <c r="D7847" s="1331"/>
      <c r="E7847" s="1331" t="s">
        <v>1423</v>
      </c>
      <c r="F7847" s="1334">
        <v>2</v>
      </c>
      <c r="G7847" s="1104">
        <f>$G$7813</f>
        <v>13491</v>
      </c>
      <c r="H7847" s="1236">
        <f t="shared" si="197"/>
        <v>26982</v>
      </c>
      <c r="M7847" s="1566"/>
    </row>
    <row r="7848" spans="2:13" hidden="1">
      <c r="B7848" s="1543"/>
      <c r="C7848" s="1332" t="s">
        <v>3649</v>
      </c>
      <c r="D7848" s="1331"/>
      <c r="E7848" s="1331" t="s">
        <v>1423</v>
      </c>
      <c r="F7848" s="1334">
        <v>1</v>
      </c>
      <c r="G7848" s="1104">
        <f>$G$7814</f>
        <v>57960</v>
      </c>
      <c r="H7848" s="1236">
        <f t="shared" si="197"/>
        <v>57960</v>
      </c>
      <c r="M7848" s="1566"/>
    </row>
    <row r="7849" spans="2:13" hidden="1">
      <c r="B7849" s="1543"/>
      <c r="C7849" s="1332" t="s">
        <v>3650</v>
      </c>
      <c r="D7849" s="1331"/>
      <c r="E7849" s="1331" t="s">
        <v>1423</v>
      </c>
      <c r="F7849" s="1334">
        <v>1</v>
      </c>
      <c r="G7849" s="1104">
        <f>$G$7815</f>
        <v>6939</v>
      </c>
      <c r="H7849" s="1236">
        <f t="shared" si="197"/>
        <v>6939</v>
      </c>
      <c r="M7849" s="1566"/>
    </row>
    <row r="7850" spans="2:13" hidden="1">
      <c r="B7850" s="1543"/>
      <c r="C7850" s="1332" t="s">
        <v>3651</v>
      </c>
      <c r="D7850" s="1331"/>
      <c r="E7850" s="1331" t="s">
        <v>1423</v>
      </c>
      <c r="F7850" s="1334">
        <v>1</v>
      </c>
      <c r="G7850" s="1104">
        <f>$G$7816</f>
        <v>6552</v>
      </c>
      <c r="H7850" s="1236">
        <f t="shared" si="197"/>
        <v>6552</v>
      </c>
      <c r="M7850" s="1566"/>
    </row>
    <row r="7851" spans="2:13" hidden="1">
      <c r="B7851" s="1543"/>
      <c r="C7851" s="1332" t="s">
        <v>3652</v>
      </c>
      <c r="D7851" s="1331"/>
      <c r="E7851" s="1331" t="s">
        <v>1423</v>
      </c>
      <c r="F7851" s="1334">
        <v>1</v>
      </c>
      <c r="G7851" s="1104">
        <f>$G$7817</f>
        <v>383760</v>
      </c>
      <c r="H7851" s="1236">
        <f t="shared" si="197"/>
        <v>383760</v>
      </c>
      <c r="M7851" s="1566"/>
    </row>
    <row r="7852" spans="2:13" hidden="1">
      <c r="B7852" s="1543"/>
      <c r="C7852" s="1332" t="s">
        <v>3653</v>
      </c>
      <c r="D7852" s="1331"/>
      <c r="E7852" s="1331" t="s">
        <v>1423</v>
      </c>
      <c r="F7852" s="1334">
        <v>1</v>
      </c>
      <c r="G7852" s="1104">
        <f>$G$7818</f>
        <v>848232</v>
      </c>
      <c r="H7852" s="1236">
        <f t="shared" si="197"/>
        <v>848232</v>
      </c>
      <c r="M7852" s="1566"/>
    </row>
    <row r="7853" spans="2:13" hidden="1">
      <c r="B7853" s="1543"/>
      <c r="C7853" s="1332" t="s">
        <v>3654</v>
      </c>
      <c r="D7853" s="1331"/>
      <c r="E7853" s="1331" t="s">
        <v>1423</v>
      </c>
      <c r="F7853" s="1334">
        <v>2</v>
      </c>
      <c r="G7853" s="1104">
        <f>$G$7819</f>
        <v>4284</v>
      </c>
      <c r="H7853" s="1236">
        <f t="shared" si="197"/>
        <v>8568</v>
      </c>
      <c r="M7853" s="1566"/>
    </row>
    <row r="7854" spans="2:13" hidden="1">
      <c r="B7854" s="1543"/>
      <c r="C7854" s="1332" t="s">
        <v>3655</v>
      </c>
      <c r="D7854" s="1331"/>
      <c r="E7854" s="1331" t="s">
        <v>1423</v>
      </c>
      <c r="F7854" s="1334">
        <v>1</v>
      </c>
      <c r="G7854" s="1104">
        <f>$G$7820</f>
        <v>4239</v>
      </c>
      <c r="H7854" s="1236">
        <f t="shared" si="197"/>
        <v>4239</v>
      </c>
      <c r="M7854" s="1566"/>
    </row>
    <row r="7855" spans="2:13" hidden="1">
      <c r="B7855" s="1543"/>
      <c r="C7855" s="1332" t="s">
        <v>3656</v>
      </c>
      <c r="D7855" s="1331"/>
      <c r="E7855" s="1331" t="s">
        <v>1423</v>
      </c>
      <c r="F7855" s="1334">
        <v>1</v>
      </c>
      <c r="G7855" s="1104">
        <f>$G$7821</f>
        <v>13104</v>
      </c>
      <c r="H7855" s="1236">
        <f t="shared" si="197"/>
        <v>13104</v>
      </c>
      <c r="M7855" s="1566"/>
    </row>
    <row r="7856" spans="2:13" hidden="1">
      <c r="B7856" s="1543"/>
      <c r="C7856" s="1332"/>
      <c r="D7856" s="1331"/>
      <c r="E7856" s="1331"/>
      <c r="F7856" s="2074" t="s">
        <v>702</v>
      </c>
      <c r="G7856" s="2074"/>
      <c r="H7856" s="1236">
        <f>SUM(H7839:H7855)</f>
        <v>2608668</v>
      </c>
      <c r="M7856" s="1566"/>
    </row>
    <row r="7857" spans="2:13" hidden="1">
      <c r="B7857" s="1543" t="s">
        <v>703</v>
      </c>
      <c r="C7857" s="1332" t="s">
        <v>704</v>
      </c>
      <c r="D7857" s="1331"/>
      <c r="E7857" s="1331"/>
      <c r="F7857" s="1334"/>
      <c r="G7857" s="1104"/>
      <c r="H7857" s="1236"/>
      <c r="M7857" s="1566"/>
    </row>
    <row r="7858" spans="2:13" hidden="1">
      <c r="B7858" s="1543"/>
      <c r="C7858" s="1126" t="s">
        <v>3509</v>
      </c>
      <c r="D7858" s="1331"/>
      <c r="E7858" s="1187" t="s">
        <v>1011</v>
      </c>
      <c r="F7858" s="1179">
        <v>1</v>
      </c>
      <c r="G7858" s="1104">
        <v>50000</v>
      </c>
      <c r="H7858" s="1236">
        <f>G7858*F7858</f>
        <v>50000</v>
      </c>
      <c r="M7858" s="1566"/>
    </row>
    <row r="7859" spans="2:13" hidden="1">
      <c r="B7859" s="1543"/>
      <c r="C7859" s="1332"/>
      <c r="D7859" s="1331"/>
      <c r="E7859" s="1331"/>
      <c r="F7859" s="2074" t="s">
        <v>705</v>
      </c>
      <c r="G7859" s="2074"/>
      <c r="H7859" s="1236">
        <f>SUM(H7858)</f>
        <v>50000</v>
      </c>
      <c r="M7859" s="1566"/>
    </row>
    <row r="7860" spans="2:13" hidden="1">
      <c r="B7860" s="1543" t="s">
        <v>706</v>
      </c>
      <c r="C7860" s="2075" t="s">
        <v>707</v>
      </c>
      <c r="D7860" s="2075"/>
      <c r="E7860" s="2075"/>
      <c r="F7860" s="2075"/>
      <c r="G7860" s="2075"/>
      <c r="H7860" s="1239">
        <f>H7837+H7856+H7859</f>
        <v>2954248</v>
      </c>
      <c r="M7860" s="1566"/>
    </row>
    <row r="7861" spans="2:13" hidden="1">
      <c r="B7861" s="1543" t="s">
        <v>708</v>
      </c>
      <c r="C7861" s="2075" t="s">
        <v>709</v>
      </c>
      <c r="D7861" s="2075"/>
      <c r="E7861" s="2075"/>
      <c r="F7861" s="2077" t="s">
        <v>710</v>
      </c>
      <c r="G7861" s="2077"/>
      <c r="H7861" s="1107">
        <f>H7860*0.15</f>
        <v>443137.2</v>
      </c>
      <c r="M7861" s="1566"/>
    </row>
    <row r="7862" spans="2:13" hidden="1">
      <c r="B7862" s="1543" t="s">
        <v>711</v>
      </c>
      <c r="C7862" s="2078" t="s">
        <v>712</v>
      </c>
      <c r="D7862" s="2078"/>
      <c r="E7862" s="2078"/>
      <c r="F7862" s="2078"/>
      <c r="G7862" s="2078"/>
      <c r="H7862" s="1107">
        <f>ROUND(SUM(H7860:H7861),2)</f>
        <v>3397385.2</v>
      </c>
      <c r="M7862" s="1566"/>
    </row>
    <row r="7863" spans="2:13" hidden="1">
      <c r="B7863" s="1129"/>
      <c r="C7863" s="1130"/>
      <c r="D7863" s="1129"/>
      <c r="E7863" s="1129"/>
      <c r="F7863" s="1131"/>
      <c r="G7863" s="1132"/>
      <c r="H7863" s="1249"/>
      <c r="M7863" s="1566"/>
    </row>
    <row r="7864" spans="2:13" hidden="1">
      <c r="B7864" s="1100" t="s">
        <v>3658</v>
      </c>
      <c r="C7864" s="1232" t="s">
        <v>4284</v>
      </c>
      <c r="F7864" s="1172"/>
      <c r="G7864" s="1173"/>
      <c r="H7864" s="1711"/>
      <c r="M7864" s="1566"/>
    </row>
    <row r="7865" spans="2:13" s="507" customFormat="1" ht="24.9" hidden="1" customHeight="1">
      <c r="B7865" s="1748" t="s">
        <v>1003</v>
      </c>
      <c r="C7865" s="1101" t="s">
        <v>1004</v>
      </c>
      <c r="D7865" s="1101" t="s">
        <v>1005</v>
      </c>
      <c r="E7865" s="1101" t="s">
        <v>1006</v>
      </c>
      <c r="F7865" s="1102" t="s">
        <v>1007</v>
      </c>
      <c r="G7865" s="1109" t="s">
        <v>2637</v>
      </c>
      <c r="H7865" s="1235" t="s">
        <v>2638</v>
      </c>
      <c r="J7865" s="1625"/>
      <c r="K7865" s="1625"/>
      <c r="L7865" s="1625"/>
      <c r="M7865" s="1570"/>
    </row>
    <row r="7866" spans="2:13" hidden="1">
      <c r="B7866" s="1543" t="s">
        <v>671</v>
      </c>
      <c r="C7866" s="1332" t="s">
        <v>672</v>
      </c>
      <c r="D7866" s="1331"/>
      <c r="E7866" s="1331"/>
      <c r="F7866" s="1334"/>
      <c r="G7866" s="1104"/>
      <c r="H7866" s="1236"/>
      <c r="M7866" s="1566"/>
    </row>
    <row r="7867" spans="2:13" hidden="1">
      <c r="B7867" s="1543"/>
      <c r="C7867" s="1332" t="s">
        <v>673</v>
      </c>
      <c r="D7867" s="1331" t="s">
        <v>674</v>
      </c>
      <c r="E7867" s="1331" t="s">
        <v>675</v>
      </c>
      <c r="F7867" s="1334">
        <f>0.106*10</f>
        <v>1.06</v>
      </c>
      <c r="G7867" s="1104">
        <f>$G$7833</f>
        <v>150000</v>
      </c>
      <c r="H7867" s="1236">
        <f>G7867*F7867</f>
        <v>159000</v>
      </c>
      <c r="M7867" s="1566"/>
    </row>
    <row r="7868" spans="2:13" hidden="1">
      <c r="B7868" s="1543"/>
      <c r="C7868" s="1332" t="s">
        <v>1480</v>
      </c>
      <c r="D7868" s="1331" t="s">
        <v>678</v>
      </c>
      <c r="E7868" s="1331" t="s">
        <v>675</v>
      </c>
      <c r="F7868" s="1334">
        <f>0.053*10</f>
        <v>0.53</v>
      </c>
      <c r="G7868" s="1104">
        <f>$G$7834</f>
        <v>187000</v>
      </c>
      <c r="H7868" s="1236">
        <f>G7868*F7868</f>
        <v>99110</v>
      </c>
      <c r="M7868" s="1566"/>
    </row>
    <row r="7869" spans="2:13" hidden="1">
      <c r="B7869" s="1543"/>
      <c r="C7869" s="1332" t="s">
        <v>751</v>
      </c>
      <c r="D7869" s="1331" t="s">
        <v>681</v>
      </c>
      <c r="E7869" s="1331" t="s">
        <v>675</v>
      </c>
      <c r="F7869" s="1334">
        <v>5.3000000000000005E-2</v>
      </c>
      <c r="G7869" s="1104">
        <f>$G$7044</f>
        <v>240000</v>
      </c>
      <c r="H7869" s="1236">
        <f>G7869*F7869</f>
        <v>12720.000000000002</v>
      </c>
      <c r="M7869" s="1566"/>
    </row>
    <row r="7870" spans="2:13" hidden="1">
      <c r="B7870" s="1543"/>
      <c r="C7870" s="1332" t="s">
        <v>683</v>
      </c>
      <c r="D7870" s="1331" t="s">
        <v>684</v>
      </c>
      <c r="E7870" s="1331" t="s">
        <v>675</v>
      </c>
      <c r="F7870" s="1334">
        <f>0.011*10</f>
        <v>0.10999999999999999</v>
      </c>
      <c r="G7870" s="1104">
        <f>$G$7836</f>
        <v>225000</v>
      </c>
      <c r="H7870" s="1236">
        <f>G7870*F7870</f>
        <v>24749.999999999996</v>
      </c>
      <c r="M7870" s="1566"/>
    </row>
    <row r="7871" spans="2:13" hidden="1">
      <c r="B7871" s="1120"/>
      <c r="C7871" s="1253"/>
      <c r="D7871" s="1254"/>
      <c r="E7871" s="1253"/>
      <c r="F7871" s="2080" t="s">
        <v>685</v>
      </c>
      <c r="G7871" s="2081"/>
      <c r="H7871" s="1236">
        <f>SUM(H7867:H7870)</f>
        <v>295580</v>
      </c>
      <c r="M7871" s="1566"/>
    </row>
    <row r="7872" spans="2:13" hidden="1">
      <c r="B7872" s="1543" t="s">
        <v>686</v>
      </c>
      <c r="C7872" s="1332" t="s">
        <v>687</v>
      </c>
      <c r="D7872" s="1331"/>
      <c r="E7872" s="1331"/>
      <c r="F7872" s="1334"/>
      <c r="G7872" s="1104"/>
      <c r="H7872" s="1236"/>
      <c r="M7872" s="1566"/>
    </row>
    <row r="7873" spans="2:13" hidden="1">
      <c r="B7873" s="1543"/>
      <c r="C7873" s="1332" t="s">
        <v>3639</v>
      </c>
      <c r="D7873" s="1331"/>
      <c r="E7873" s="1331" t="s">
        <v>2944</v>
      </c>
      <c r="F7873" s="1334">
        <v>6</v>
      </c>
      <c r="G7873" s="1104">
        <f>$G$7839</f>
        <v>15543</v>
      </c>
      <c r="H7873" s="1236">
        <f t="shared" ref="H7873:H7889" si="198">G7873*F7873</f>
        <v>93258</v>
      </c>
      <c r="M7873" s="1566"/>
    </row>
    <row r="7874" spans="2:13" hidden="1">
      <c r="B7874" s="1543"/>
      <c r="C7874" s="1332" t="s">
        <v>3640</v>
      </c>
      <c r="D7874" s="1331"/>
      <c r="E7874" s="1331" t="s">
        <v>2944</v>
      </c>
      <c r="F7874" s="1334">
        <v>2</v>
      </c>
      <c r="G7874" s="1104">
        <f>$G$7840</f>
        <v>72864</v>
      </c>
      <c r="H7874" s="1236">
        <f t="shared" si="198"/>
        <v>145728</v>
      </c>
      <c r="M7874" s="1566"/>
    </row>
    <row r="7875" spans="2:13" hidden="1">
      <c r="B7875" s="1543"/>
      <c r="C7875" s="1332" t="s">
        <v>3642</v>
      </c>
      <c r="D7875" s="1331"/>
      <c r="E7875" s="1331" t="s">
        <v>1423</v>
      </c>
      <c r="F7875" s="1334">
        <v>1</v>
      </c>
      <c r="G7875" s="1104">
        <f>$G$7841</f>
        <v>62325</v>
      </c>
      <c r="H7875" s="1236">
        <f t="shared" si="198"/>
        <v>62325</v>
      </c>
      <c r="M7875" s="1566"/>
    </row>
    <row r="7876" spans="2:13" hidden="1">
      <c r="B7876" s="1543"/>
      <c r="C7876" s="1257" t="s">
        <v>3818</v>
      </c>
      <c r="D7876" s="1331"/>
      <c r="E7876" s="1331" t="s">
        <v>1423</v>
      </c>
      <c r="F7876" s="1334">
        <v>1</v>
      </c>
      <c r="G7876" s="1104">
        <f>DUB!$I$662</f>
        <v>341604</v>
      </c>
      <c r="H7876" s="1236">
        <f t="shared" si="198"/>
        <v>341604</v>
      </c>
      <c r="M7876" s="1566"/>
    </row>
    <row r="7877" spans="2:13" hidden="1">
      <c r="B7877" s="1543"/>
      <c r="C7877" s="1332" t="s">
        <v>3644</v>
      </c>
      <c r="D7877" s="1331"/>
      <c r="E7877" s="1331" t="s">
        <v>1423</v>
      </c>
      <c r="F7877" s="1334">
        <v>1</v>
      </c>
      <c r="G7877" s="1104">
        <f>$G$7843</f>
        <v>40095</v>
      </c>
      <c r="H7877" s="1236">
        <f t="shared" si="198"/>
        <v>40095</v>
      </c>
      <c r="M7877" s="1566"/>
    </row>
    <row r="7878" spans="2:13" hidden="1">
      <c r="B7878" s="1543"/>
      <c r="C7878" s="1332" t="s">
        <v>3645</v>
      </c>
      <c r="D7878" s="1331"/>
      <c r="E7878" s="1331" t="s">
        <v>1423</v>
      </c>
      <c r="F7878" s="1334">
        <v>1</v>
      </c>
      <c r="G7878" s="1104">
        <f>$G$7844</f>
        <v>322578</v>
      </c>
      <c r="H7878" s="1236">
        <f t="shared" si="198"/>
        <v>322578</v>
      </c>
      <c r="M7878" s="1566"/>
    </row>
    <row r="7879" spans="2:13" hidden="1">
      <c r="B7879" s="1543"/>
      <c r="C7879" s="1332" t="s">
        <v>3646</v>
      </c>
      <c r="D7879" s="1331"/>
      <c r="E7879" s="1331" t="s">
        <v>1423</v>
      </c>
      <c r="F7879" s="1334">
        <v>1</v>
      </c>
      <c r="G7879" s="1104">
        <f>$G$7845</f>
        <v>63738</v>
      </c>
      <c r="H7879" s="1236">
        <f t="shared" si="198"/>
        <v>63738</v>
      </c>
      <c r="M7879" s="1566"/>
    </row>
    <row r="7880" spans="2:13" hidden="1">
      <c r="B7880" s="1543"/>
      <c r="C7880" s="1332" t="s">
        <v>3647</v>
      </c>
      <c r="D7880" s="1331"/>
      <c r="E7880" s="1331" t="s">
        <v>1423</v>
      </c>
      <c r="F7880" s="1334">
        <v>1</v>
      </c>
      <c r="G7880" s="1104">
        <f>$G$7846</f>
        <v>296874</v>
      </c>
      <c r="H7880" s="1236">
        <f t="shared" si="198"/>
        <v>296874</v>
      </c>
      <c r="M7880" s="1566"/>
    </row>
    <row r="7881" spans="2:13" hidden="1">
      <c r="B7881" s="1543"/>
      <c r="C7881" s="1332" t="s">
        <v>3648</v>
      </c>
      <c r="D7881" s="1331"/>
      <c r="E7881" s="1331" t="s">
        <v>1423</v>
      </c>
      <c r="F7881" s="1334">
        <v>2</v>
      </c>
      <c r="G7881" s="1104">
        <f>$G$7847</f>
        <v>13491</v>
      </c>
      <c r="H7881" s="1236">
        <f t="shared" si="198"/>
        <v>26982</v>
      </c>
      <c r="M7881" s="1566"/>
    </row>
    <row r="7882" spans="2:13" hidden="1">
      <c r="B7882" s="1543"/>
      <c r="C7882" s="1332" t="s">
        <v>3649</v>
      </c>
      <c r="D7882" s="1331"/>
      <c r="E7882" s="1331" t="s">
        <v>1423</v>
      </c>
      <c r="F7882" s="1334">
        <v>1</v>
      </c>
      <c r="G7882" s="1104">
        <f>$G$7848</f>
        <v>57960</v>
      </c>
      <c r="H7882" s="1236">
        <f t="shared" si="198"/>
        <v>57960</v>
      </c>
      <c r="M7882" s="1566"/>
    </row>
    <row r="7883" spans="2:13" hidden="1">
      <c r="B7883" s="1543"/>
      <c r="C7883" s="1332" t="s">
        <v>3650</v>
      </c>
      <c r="D7883" s="1331"/>
      <c r="E7883" s="1331" t="s">
        <v>1423</v>
      </c>
      <c r="F7883" s="1334">
        <v>1</v>
      </c>
      <c r="G7883" s="1104">
        <f>$G$7849</f>
        <v>6939</v>
      </c>
      <c r="H7883" s="1236">
        <f t="shared" si="198"/>
        <v>6939</v>
      </c>
      <c r="M7883" s="1566"/>
    </row>
    <row r="7884" spans="2:13" hidden="1">
      <c r="B7884" s="1543"/>
      <c r="C7884" s="1332" t="s">
        <v>3651</v>
      </c>
      <c r="D7884" s="1331"/>
      <c r="E7884" s="1331" t="s">
        <v>1423</v>
      </c>
      <c r="F7884" s="1334">
        <v>1</v>
      </c>
      <c r="G7884" s="1104">
        <f>$G$7850</f>
        <v>6552</v>
      </c>
      <c r="H7884" s="1236">
        <f t="shared" si="198"/>
        <v>6552</v>
      </c>
      <c r="M7884" s="1566"/>
    </row>
    <row r="7885" spans="2:13" hidden="1">
      <c r="B7885" s="1543"/>
      <c r="C7885" s="1332" t="s">
        <v>3652</v>
      </c>
      <c r="D7885" s="1331"/>
      <c r="E7885" s="1331" t="s">
        <v>1423</v>
      </c>
      <c r="F7885" s="1334">
        <v>1</v>
      </c>
      <c r="G7885" s="1104">
        <f>$G$7851</f>
        <v>383760</v>
      </c>
      <c r="H7885" s="1236">
        <f t="shared" si="198"/>
        <v>383760</v>
      </c>
      <c r="M7885" s="1566"/>
    </row>
    <row r="7886" spans="2:13" hidden="1">
      <c r="B7886" s="1543"/>
      <c r="C7886" s="1332" t="s">
        <v>3653</v>
      </c>
      <c r="D7886" s="1331"/>
      <c r="E7886" s="1331" t="s">
        <v>1423</v>
      </c>
      <c r="F7886" s="1334">
        <v>1</v>
      </c>
      <c r="G7886" s="1104">
        <f>$G$7852</f>
        <v>848232</v>
      </c>
      <c r="H7886" s="1236">
        <f t="shared" si="198"/>
        <v>848232</v>
      </c>
      <c r="M7886" s="1566"/>
    </row>
    <row r="7887" spans="2:13" hidden="1">
      <c r="B7887" s="1543"/>
      <c r="C7887" s="1332" t="s">
        <v>3654</v>
      </c>
      <c r="D7887" s="1331"/>
      <c r="E7887" s="1331" t="s">
        <v>1423</v>
      </c>
      <c r="F7887" s="1334">
        <v>2</v>
      </c>
      <c r="G7887" s="1104">
        <f>$G$7853</f>
        <v>4284</v>
      </c>
      <c r="H7887" s="1236">
        <f t="shared" si="198"/>
        <v>8568</v>
      </c>
      <c r="M7887" s="1566"/>
    </row>
    <row r="7888" spans="2:13" hidden="1">
      <c r="B7888" s="1543"/>
      <c r="C7888" s="1332" t="s">
        <v>3655</v>
      </c>
      <c r="D7888" s="1331"/>
      <c r="E7888" s="1331" t="s">
        <v>1423</v>
      </c>
      <c r="F7888" s="1334">
        <v>1</v>
      </c>
      <c r="G7888" s="1104">
        <f>$G$7854</f>
        <v>4239</v>
      </c>
      <c r="H7888" s="1236">
        <f t="shared" si="198"/>
        <v>4239</v>
      </c>
      <c r="M7888" s="1566"/>
    </row>
    <row r="7889" spans="2:13" hidden="1">
      <c r="B7889" s="1543"/>
      <c r="C7889" s="1332" t="s">
        <v>3656</v>
      </c>
      <c r="D7889" s="1331"/>
      <c r="E7889" s="1331" t="s">
        <v>1423</v>
      </c>
      <c r="F7889" s="1334">
        <v>1</v>
      </c>
      <c r="G7889" s="1104">
        <f>$G$7855</f>
        <v>13104</v>
      </c>
      <c r="H7889" s="1236">
        <f t="shared" si="198"/>
        <v>13104</v>
      </c>
      <c r="M7889" s="1566"/>
    </row>
    <row r="7890" spans="2:13" hidden="1">
      <c r="B7890" s="1543"/>
      <c r="C7890" s="1332"/>
      <c r="D7890" s="1331"/>
      <c r="E7890" s="1331"/>
      <c r="F7890" s="2074" t="s">
        <v>702</v>
      </c>
      <c r="G7890" s="2074"/>
      <c r="H7890" s="1236">
        <f>SUM(H7873:H7889)</f>
        <v>2722536</v>
      </c>
      <c r="M7890" s="1566"/>
    </row>
    <row r="7891" spans="2:13" hidden="1">
      <c r="B7891" s="1543" t="s">
        <v>703</v>
      </c>
      <c r="C7891" s="1332" t="s">
        <v>704</v>
      </c>
      <c r="D7891" s="1331"/>
      <c r="E7891" s="1331"/>
      <c r="F7891" s="1334"/>
      <c r="G7891" s="1104"/>
      <c r="H7891" s="1236"/>
      <c r="M7891" s="1566"/>
    </row>
    <row r="7892" spans="2:13" hidden="1">
      <c r="B7892" s="1543"/>
      <c r="C7892" s="1126" t="s">
        <v>3509</v>
      </c>
      <c r="D7892" s="1331"/>
      <c r="E7892" s="1187" t="s">
        <v>1011</v>
      </c>
      <c r="F7892" s="1179">
        <v>1</v>
      </c>
      <c r="G7892" s="1104">
        <v>50000</v>
      </c>
      <c r="H7892" s="1236">
        <f>G7892*F7892</f>
        <v>50000</v>
      </c>
      <c r="M7892" s="1566"/>
    </row>
    <row r="7893" spans="2:13" hidden="1">
      <c r="B7893" s="1543"/>
      <c r="C7893" s="1332"/>
      <c r="D7893" s="1331"/>
      <c r="E7893" s="1331"/>
      <c r="F7893" s="2074" t="s">
        <v>705</v>
      </c>
      <c r="G7893" s="2074"/>
      <c r="H7893" s="1236">
        <f>SUM(H7892)</f>
        <v>50000</v>
      </c>
      <c r="M7893" s="1566"/>
    </row>
    <row r="7894" spans="2:13" hidden="1">
      <c r="B7894" s="1543" t="s">
        <v>706</v>
      </c>
      <c r="C7894" s="2075" t="s">
        <v>707</v>
      </c>
      <c r="D7894" s="2075"/>
      <c r="E7894" s="2075"/>
      <c r="F7894" s="2075"/>
      <c r="G7894" s="2075"/>
      <c r="H7894" s="1239">
        <f>H7871+H7890+H7893</f>
        <v>3068116</v>
      </c>
      <c r="M7894" s="1566"/>
    </row>
    <row r="7895" spans="2:13" hidden="1">
      <c r="B7895" s="1543" t="s">
        <v>708</v>
      </c>
      <c r="C7895" s="2075" t="s">
        <v>709</v>
      </c>
      <c r="D7895" s="2075"/>
      <c r="E7895" s="2075"/>
      <c r="F7895" s="2077" t="s">
        <v>710</v>
      </c>
      <c r="G7895" s="2077"/>
      <c r="H7895" s="1107">
        <f>H7894*0.15</f>
        <v>460217.39999999997</v>
      </c>
      <c r="M7895" s="1566"/>
    </row>
    <row r="7896" spans="2:13" hidden="1">
      <c r="B7896" s="1543" t="s">
        <v>711</v>
      </c>
      <c r="C7896" s="2078" t="s">
        <v>712</v>
      </c>
      <c r="D7896" s="2078"/>
      <c r="E7896" s="2078"/>
      <c r="F7896" s="2078"/>
      <c r="G7896" s="2078"/>
      <c r="H7896" s="1107">
        <f>ROUND(SUM(H7894:H7895),2)</f>
        <v>3528333.4</v>
      </c>
      <c r="M7896" s="1566"/>
    </row>
    <row r="7897" spans="2:13" hidden="1">
      <c r="B7897" s="1129"/>
      <c r="C7897" s="1130"/>
      <c r="D7897" s="1129"/>
      <c r="E7897" s="1129"/>
      <c r="F7897" s="1131"/>
      <c r="G7897" s="1132"/>
      <c r="H7897" s="1249"/>
      <c r="M7897" s="1566"/>
    </row>
    <row r="7898" spans="2:13" hidden="1">
      <c r="B7898" s="1100" t="s">
        <v>3659</v>
      </c>
      <c r="C7898" s="1232" t="s">
        <v>4285</v>
      </c>
      <c r="F7898" s="1172"/>
      <c r="G7898" s="1173"/>
      <c r="H7898" s="1711"/>
      <c r="M7898" s="1566"/>
    </row>
    <row r="7899" spans="2:13" s="507" customFormat="1" ht="24.9" hidden="1" customHeight="1">
      <c r="B7899" s="1748" t="s">
        <v>1003</v>
      </c>
      <c r="C7899" s="1101" t="s">
        <v>1004</v>
      </c>
      <c r="D7899" s="1101" t="s">
        <v>1005</v>
      </c>
      <c r="E7899" s="1101" t="s">
        <v>1006</v>
      </c>
      <c r="F7899" s="1102" t="s">
        <v>1007</v>
      </c>
      <c r="G7899" s="1109" t="s">
        <v>2637</v>
      </c>
      <c r="H7899" s="1235" t="s">
        <v>2638</v>
      </c>
      <c r="J7899" s="1625"/>
      <c r="K7899" s="1625"/>
      <c r="L7899" s="1625"/>
      <c r="M7899" s="1570"/>
    </row>
    <row r="7900" spans="2:13" hidden="1">
      <c r="B7900" s="1543" t="s">
        <v>671</v>
      </c>
      <c r="C7900" s="1332" t="s">
        <v>672</v>
      </c>
      <c r="D7900" s="1331"/>
      <c r="E7900" s="1331"/>
      <c r="F7900" s="1334"/>
      <c r="G7900" s="1104"/>
      <c r="H7900" s="1236"/>
      <c r="M7900" s="1566"/>
    </row>
    <row r="7901" spans="2:13" hidden="1">
      <c r="B7901" s="1543"/>
      <c r="C7901" s="1332" t="s">
        <v>673</v>
      </c>
      <c r="D7901" s="1331" t="s">
        <v>674</v>
      </c>
      <c r="E7901" s="1331" t="s">
        <v>675</v>
      </c>
      <c r="F7901" s="1334">
        <f>0.106*10</f>
        <v>1.06</v>
      </c>
      <c r="G7901" s="1104">
        <f>$G$7833</f>
        <v>150000</v>
      </c>
      <c r="H7901" s="1236">
        <f>G7901*F7901</f>
        <v>159000</v>
      </c>
      <c r="M7901" s="1566"/>
    </row>
    <row r="7902" spans="2:13" hidden="1">
      <c r="B7902" s="1543"/>
      <c r="C7902" s="1332" t="s">
        <v>1480</v>
      </c>
      <c r="D7902" s="1331" t="s">
        <v>678</v>
      </c>
      <c r="E7902" s="1331" t="s">
        <v>675</v>
      </c>
      <c r="F7902" s="1334">
        <f>0.053*10</f>
        <v>0.53</v>
      </c>
      <c r="G7902" s="1104">
        <f>$G$7834</f>
        <v>187000</v>
      </c>
      <c r="H7902" s="1236">
        <f>G7902*F7902</f>
        <v>99110</v>
      </c>
      <c r="M7902" s="1566"/>
    </row>
    <row r="7903" spans="2:13" hidden="1">
      <c r="B7903" s="1543"/>
      <c r="C7903" s="1332" t="s">
        <v>751</v>
      </c>
      <c r="D7903" s="1331" t="s">
        <v>681</v>
      </c>
      <c r="E7903" s="1331" t="s">
        <v>675</v>
      </c>
      <c r="F7903" s="1334">
        <v>5.3000000000000005E-2</v>
      </c>
      <c r="G7903" s="1104">
        <f>$G$7044</f>
        <v>240000</v>
      </c>
      <c r="H7903" s="1236">
        <f>G7903*F7903</f>
        <v>12720.000000000002</v>
      </c>
      <c r="M7903" s="1566"/>
    </row>
    <row r="7904" spans="2:13" hidden="1">
      <c r="B7904" s="1543"/>
      <c r="C7904" s="1332" t="s">
        <v>683</v>
      </c>
      <c r="D7904" s="1331" t="s">
        <v>684</v>
      </c>
      <c r="E7904" s="1331" t="s">
        <v>675</v>
      </c>
      <c r="F7904" s="1334">
        <f>0.011*10</f>
        <v>0.10999999999999999</v>
      </c>
      <c r="G7904" s="1104">
        <f>$G$7836</f>
        <v>225000</v>
      </c>
      <c r="H7904" s="1236">
        <f>G7904*F7904</f>
        <v>24749.999999999996</v>
      </c>
      <c r="M7904" s="1566"/>
    </row>
    <row r="7905" spans="2:13" hidden="1">
      <c r="B7905" s="1120"/>
      <c r="C7905" s="1253"/>
      <c r="D7905" s="1254"/>
      <c r="E7905" s="1253"/>
      <c r="F7905" s="2080" t="s">
        <v>685</v>
      </c>
      <c r="G7905" s="2081"/>
      <c r="H7905" s="1236">
        <f>SUM(H7901:H7904)</f>
        <v>295580</v>
      </c>
      <c r="M7905" s="1566"/>
    </row>
    <row r="7906" spans="2:13" hidden="1">
      <c r="B7906" s="1543" t="s">
        <v>686</v>
      </c>
      <c r="C7906" s="1332" t="s">
        <v>687</v>
      </c>
      <c r="D7906" s="1331"/>
      <c r="E7906" s="1331"/>
      <c r="F7906" s="1334"/>
      <c r="G7906" s="1104"/>
      <c r="H7906" s="1236"/>
      <c r="M7906" s="1566"/>
    </row>
    <row r="7907" spans="2:13" hidden="1">
      <c r="B7907" s="1543"/>
      <c r="C7907" s="1332" t="s">
        <v>3639</v>
      </c>
      <c r="D7907" s="1331"/>
      <c r="E7907" s="1331" t="s">
        <v>2944</v>
      </c>
      <c r="F7907" s="1334">
        <v>6</v>
      </c>
      <c r="G7907" s="1104">
        <f>$G$7873</f>
        <v>15543</v>
      </c>
      <c r="H7907" s="1236">
        <f t="shared" ref="H7907:H7923" si="199">G7907*F7907</f>
        <v>93258</v>
      </c>
      <c r="M7907" s="1566"/>
    </row>
    <row r="7908" spans="2:13" hidden="1">
      <c r="B7908" s="1543"/>
      <c r="C7908" s="1332" t="s">
        <v>3640</v>
      </c>
      <c r="D7908" s="1331"/>
      <c r="E7908" s="1331" t="s">
        <v>2944</v>
      </c>
      <c r="F7908" s="1334">
        <v>2</v>
      </c>
      <c r="G7908" s="1104">
        <f>$G$7874</f>
        <v>72864</v>
      </c>
      <c r="H7908" s="1236">
        <f t="shared" si="199"/>
        <v>145728</v>
      </c>
      <c r="M7908" s="1566"/>
    </row>
    <row r="7909" spans="2:13" hidden="1">
      <c r="B7909" s="1543"/>
      <c r="C7909" s="1332" t="s">
        <v>3642</v>
      </c>
      <c r="D7909" s="1331"/>
      <c r="E7909" s="1331" t="s">
        <v>1423</v>
      </c>
      <c r="F7909" s="1334">
        <v>1</v>
      </c>
      <c r="G7909" s="1104">
        <f>$G$7875</f>
        <v>62325</v>
      </c>
      <c r="H7909" s="1236">
        <f t="shared" si="199"/>
        <v>62325</v>
      </c>
      <c r="M7909" s="1566"/>
    </row>
    <row r="7910" spans="2:13" hidden="1">
      <c r="B7910" s="1543"/>
      <c r="C7910" s="1332" t="s">
        <v>3817</v>
      </c>
      <c r="D7910" s="1331"/>
      <c r="E7910" s="1331" t="s">
        <v>1423</v>
      </c>
      <c r="F7910" s="1334">
        <v>1</v>
      </c>
      <c r="G7910" s="1104">
        <f>DUB!$I$661</f>
        <v>360495</v>
      </c>
      <c r="H7910" s="1236">
        <f t="shared" si="199"/>
        <v>360495</v>
      </c>
      <c r="M7910" s="1566"/>
    </row>
    <row r="7911" spans="2:13" hidden="1">
      <c r="B7911" s="1543"/>
      <c r="C7911" s="1332" t="s">
        <v>3644</v>
      </c>
      <c r="D7911" s="1331"/>
      <c r="E7911" s="1331" t="s">
        <v>1423</v>
      </c>
      <c r="F7911" s="1334">
        <v>1</v>
      </c>
      <c r="G7911" s="1104">
        <f>$G$7877</f>
        <v>40095</v>
      </c>
      <c r="H7911" s="1236">
        <f t="shared" si="199"/>
        <v>40095</v>
      </c>
      <c r="M7911" s="1566"/>
    </row>
    <row r="7912" spans="2:13" hidden="1">
      <c r="B7912" s="1543"/>
      <c r="C7912" s="1332" t="s">
        <v>3645</v>
      </c>
      <c r="D7912" s="1331"/>
      <c r="E7912" s="1331" t="s">
        <v>1423</v>
      </c>
      <c r="F7912" s="1334">
        <v>1</v>
      </c>
      <c r="G7912" s="1104">
        <f>$G$7878</f>
        <v>322578</v>
      </c>
      <c r="H7912" s="1236">
        <f t="shared" si="199"/>
        <v>322578</v>
      </c>
      <c r="M7912" s="1566"/>
    </row>
    <row r="7913" spans="2:13" hidden="1">
      <c r="B7913" s="1543"/>
      <c r="C7913" s="1332" t="s">
        <v>3646</v>
      </c>
      <c r="D7913" s="1331"/>
      <c r="E7913" s="1331" t="s">
        <v>1423</v>
      </c>
      <c r="F7913" s="1334">
        <v>1</v>
      </c>
      <c r="G7913" s="1104">
        <f>$G$7879</f>
        <v>63738</v>
      </c>
      <c r="H7913" s="1236">
        <f t="shared" si="199"/>
        <v>63738</v>
      </c>
      <c r="M7913" s="1566"/>
    </row>
    <row r="7914" spans="2:13" hidden="1">
      <c r="B7914" s="1543"/>
      <c r="C7914" s="1332" t="s">
        <v>3647</v>
      </c>
      <c r="D7914" s="1331"/>
      <c r="E7914" s="1331" t="s">
        <v>1423</v>
      </c>
      <c r="F7914" s="1334">
        <v>1</v>
      </c>
      <c r="G7914" s="1104">
        <f>$G$7880</f>
        <v>296874</v>
      </c>
      <c r="H7914" s="1236">
        <f t="shared" si="199"/>
        <v>296874</v>
      </c>
      <c r="M7914" s="1566"/>
    </row>
    <row r="7915" spans="2:13" hidden="1">
      <c r="B7915" s="1543"/>
      <c r="C7915" s="1332" t="s">
        <v>3648</v>
      </c>
      <c r="D7915" s="1331"/>
      <c r="E7915" s="1331" t="s">
        <v>1423</v>
      </c>
      <c r="F7915" s="1334">
        <v>2</v>
      </c>
      <c r="G7915" s="1104">
        <f>$G$7881</f>
        <v>13491</v>
      </c>
      <c r="H7915" s="1236">
        <f t="shared" si="199"/>
        <v>26982</v>
      </c>
      <c r="M7915" s="1566"/>
    </row>
    <row r="7916" spans="2:13" hidden="1">
      <c r="B7916" s="1543"/>
      <c r="C7916" s="1332" t="s">
        <v>3649</v>
      </c>
      <c r="D7916" s="1331"/>
      <c r="E7916" s="1331" t="s">
        <v>1423</v>
      </c>
      <c r="F7916" s="1334">
        <v>1</v>
      </c>
      <c r="G7916" s="1104">
        <f>$G$7882</f>
        <v>57960</v>
      </c>
      <c r="H7916" s="1236">
        <f t="shared" si="199"/>
        <v>57960</v>
      </c>
      <c r="M7916" s="1566"/>
    </row>
    <row r="7917" spans="2:13" hidden="1">
      <c r="B7917" s="1543"/>
      <c r="C7917" s="1332" t="s">
        <v>3650</v>
      </c>
      <c r="D7917" s="1331"/>
      <c r="E7917" s="1331" t="s">
        <v>1423</v>
      </c>
      <c r="F7917" s="1334">
        <v>1</v>
      </c>
      <c r="G7917" s="1104">
        <f>$G$7883</f>
        <v>6939</v>
      </c>
      <c r="H7917" s="1236">
        <f t="shared" si="199"/>
        <v>6939</v>
      </c>
      <c r="M7917" s="1566"/>
    </row>
    <row r="7918" spans="2:13" hidden="1">
      <c r="B7918" s="1543"/>
      <c r="C7918" s="1332" t="s">
        <v>3651</v>
      </c>
      <c r="D7918" s="1331"/>
      <c r="E7918" s="1331" t="s">
        <v>1423</v>
      </c>
      <c r="F7918" s="1334">
        <v>1</v>
      </c>
      <c r="G7918" s="1104">
        <f>$G$7884</f>
        <v>6552</v>
      </c>
      <c r="H7918" s="1236">
        <f t="shared" si="199"/>
        <v>6552</v>
      </c>
      <c r="M7918" s="1566"/>
    </row>
    <row r="7919" spans="2:13" hidden="1">
      <c r="B7919" s="1543"/>
      <c r="C7919" s="1332" t="s">
        <v>3652</v>
      </c>
      <c r="D7919" s="1331"/>
      <c r="E7919" s="1331" t="s">
        <v>1423</v>
      </c>
      <c r="F7919" s="1334">
        <v>1</v>
      </c>
      <c r="G7919" s="1104">
        <f>$G$7885</f>
        <v>383760</v>
      </c>
      <c r="H7919" s="1236">
        <f t="shared" si="199"/>
        <v>383760</v>
      </c>
      <c r="M7919" s="1566"/>
    </row>
    <row r="7920" spans="2:13" hidden="1">
      <c r="B7920" s="1543"/>
      <c r="C7920" s="1332" t="s">
        <v>3653</v>
      </c>
      <c r="D7920" s="1331"/>
      <c r="E7920" s="1331" t="s">
        <v>1423</v>
      </c>
      <c r="F7920" s="1334">
        <v>1</v>
      </c>
      <c r="G7920" s="1104">
        <f>$G$7886</f>
        <v>848232</v>
      </c>
      <c r="H7920" s="1236">
        <f t="shared" si="199"/>
        <v>848232</v>
      </c>
      <c r="M7920" s="1566"/>
    </row>
    <row r="7921" spans="2:13" hidden="1">
      <c r="B7921" s="1543"/>
      <c r="C7921" s="1332" t="s">
        <v>3654</v>
      </c>
      <c r="D7921" s="1331"/>
      <c r="E7921" s="1331" t="s">
        <v>1423</v>
      </c>
      <c r="F7921" s="1334">
        <v>2</v>
      </c>
      <c r="G7921" s="1104">
        <f>$G$7887</f>
        <v>4284</v>
      </c>
      <c r="H7921" s="1236">
        <f t="shared" si="199"/>
        <v>8568</v>
      </c>
      <c r="M7921" s="1566"/>
    </row>
    <row r="7922" spans="2:13" hidden="1">
      <c r="B7922" s="1543"/>
      <c r="C7922" s="1332" t="s">
        <v>3655</v>
      </c>
      <c r="D7922" s="1331"/>
      <c r="E7922" s="1331" t="s">
        <v>1423</v>
      </c>
      <c r="F7922" s="1334">
        <v>1</v>
      </c>
      <c r="G7922" s="1104">
        <f>$G$7888</f>
        <v>4239</v>
      </c>
      <c r="H7922" s="1236">
        <f t="shared" si="199"/>
        <v>4239</v>
      </c>
      <c r="M7922" s="1566"/>
    </row>
    <row r="7923" spans="2:13" hidden="1">
      <c r="B7923" s="1543"/>
      <c r="C7923" s="1332" t="s">
        <v>3656</v>
      </c>
      <c r="D7923" s="1331"/>
      <c r="E7923" s="1331" t="s">
        <v>1423</v>
      </c>
      <c r="F7923" s="1334">
        <v>1</v>
      </c>
      <c r="G7923" s="1104">
        <f>$G$7889</f>
        <v>13104</v>
      </c>
      <c r="H7923" s="1236">
        <f t="shared" si="199"/>
        <v>13104</v>
      </c>
      <c r="M7923" s="1566"/>
    </row>
    <row r="7924" spans="2:13" hidden="1">
      <c r="B7924" s="1543"/>
      <c r="C7924" s="1332"/>
      <c r="D7924" s="1331"/>
      <c r="E7924" s="1331"/>
      <c r="F7924" s="2074" t="s">
        <v>702</v>
      </c>
      <c r="G7924" s="2074"/>
      <c r="H7924" s="1236">
        <f>SUM(H7907:H7923)</f>
        <v>2741427</v>
      </c>
      <c r="M7924" s="1566"/>
    </row>
    <row r="7925" spans="2:13" hidden="1">
      <c r="B7925" s="1543" t="s">
        <v>703</v>
      </c>
      <c r="C7925" s="1332" t="s">
        <v>704</v>
      </c>
      <c r="D7925" s="1331"/>
      <c r="E7925" s="1331"/>
      <c r="F7925" s="1334"/>
      <c r="G7925" s="1104"/>
      <c r="H7925" s="1236"/>
      <c r="M7925" s="1566"/>
    </row>
    <row r="7926" spans="2:13" hidden="1">
      <c r="B7926" s="1543"/>
      <c r="C7926" s="1126" t="s">
        <v>3509</v>
      </c>
      <c r="D7926" s="1331"/>
      <c r="E7926" s="1187" t="s">
        <v>1011</v>
      </c>
      <c r="F7926" s="1179">
        <v>1</v>
      </c>
      <c r="G7926" s="1104">
        <v>50000</v>
      </c>
      <c r="H7926" s="1236">
        <f>G7926*F7926</f>
        <v>50000</v>
      </c>
      <c r="M7926" s="1566"/>
    </row>
    <row r="7927" spans="2:13" hidden="1">
      <c r="B7927" s="1543"/>
      <c r="C7927" s="1332"/>
      <c r="D7927" s="1331"/>
      <c r="E7927" s="1331"/>
      <c r="F7927" s="2074" t="s">
        <v>705</v>
      </c>
      <c r="G7927" s="2074"/>
      <c r="H7927" s="1236">
        <f>SUM(H7926)</f>
        <v>50000</v>
      </c>
      <c r="M7927" s="1566"/>
    </row>
    <row r="7928" spans="2:13" hidden="1">
      <c r="B7928" s="1543" t="s">
        <v>706</v>
      </c>
      <c r="C7928" s="2075" t="s">
        <v>707</v>
      </c>
      <c r="D7928" s="2075"/>
      <c r="E7928" s="2075"/>
      <c r="F7928" s="2075"/>
      <c r="G7928" s="2075"/>
      <c r="H7928" s="1239">
        <f>H7905+H7924+H7927</f>
        <v>3087007</v>
      </c>
      <c r="M7928" s="1566"/>
    </row>
    <row r="7929" spans="2:13" hidden="1">
      <c r="B7929" s="1543" t="s">
        <v>708</v>
      </c>
      <c r="C7929" s="2075" t="s">
        <v>709</v>
      </c>
      <c r="D7929" s="2075"/>
      <c r="E7929" s="2075"/>
      <c r="F7929" s="2077" t="s">
        <v>710</v>
      </c>
      <c r="G7929" s="2077"/>
      <c r="H7929" s="1107">
        <f>H7928*0.15</f>
        <v>463051.05</v>
      </c>
      <c r="M7929" s="1566"/>
    </row>
    <row r="7930" spans="2:13" hidden="1">
      <c r="B7930" s="1543" t="s">
        <v>711</v>
      </c>
      <c r="C7930" s="2078" t="s">
        <v>712</v>
      </c>
      <c r="D7930" s="2078"/>
      <c r="E7930" s="2078"/>
      <c r="F7930" s="2078"/>
      <c r="G7930" s="2078"/>
      <c r="H7930" s="1107">
        <f>ROUND(SUM(H7928:H7929),2)</f>
        <v>3550058.05</v>
      </c>
      <c r="M7930" s="1566"/>
    </row>
    <row r="7931" spans="2:13" hidden="1">
      <c r="B7931" s="1129"/>
      <c r="C7931" s="1130"/>
      <c r="D7931" s="1129"/>
      <c r="E7931" s="1129"/>
      <c r="F7931" s="1131"/>
      <c r="G7931" s="1132"/>
      <c r="H7931" s="1249"/>
      <c r="M7931" s="1566"/>
    </row>
    <row r="7932" spans="2:13" hidden="1">
      <c r="B7932" s="1100" t="s">
        <v>3678</v>
      </c>
      <c r="C7932" s="1232" t="s">
        <v>3679</v>
      </c>
      <c r="F7932" s="1172"/>
      <c r="G7932" s="1173"/>
      <c r="H7932" s="1711"/>
      <c r="M7932" s="1566"/>
    </row>
    <row r="7933" spans="2:13" hidden="1">
      <c r="B7933" s="1100" t="s">
        <v>3680</v>
      </c>
      <c r="C7933" s="1232" t="s">
        <v>3681</v>
      </c>
      <c r="F7933" s="1172"/>
      <c r="G7933" s="1173"/>
      <c r="H7933" s="1711"/>
      <c r="M7933" s="1566"/>
    </row>
    <row r="7934" spans="2:13" s="507" customFormat="1" ht="24.9" hidden="1" customHeight="1">
      <c r="B7934" s="1748" t="s">
        <v>1003</v>
      </c>
      <c r="C7934" s="1101" t="s">
        <v>1004</v>
      </c>
      <c r="D7934" s="1101" t="s">
        <v>1005</v>
      </c>
      <c r="E7934" s="1101" t="s">
        <v>1006</v>
      </c>
      <c r="F7934" s="1102" t="s">
        <v>1007</v>
      </c>
      <c r="G7934" s="1109" t="s">
        <v>2637</v>
      </c>
      <c r="H7934" s="1235" t="s">
        <v>2638</v>
      </c>
      <c r="J7934" s="1625"/>
      <c r="K7934" s="1625"/>
      <c r="L7934" s="1625"/>
      <c r="M7934" s="1570"/>
    </row>
    <row r="7935" spans="2:13" hidden="1">
      <c r="B7935" s="1543" t="s">
        <v>671</v>
      </c>
      <c r="C7935" s="1332" t="s">
        <v>672</v>
      </c>
      <c r="D7935" s="1331"/>
      <c r="E7935" s="1331"/>
      <c r="F7935" s="1334"/>
      <c r="G7935" s="1104"/>
      <c r="H7935" s="1236"/>
      <c r="M7935" s="1566"/>
    </row>
    <row r="7936" spans="2:13" hidden="1">
      <c r="B7936" s="1543"/>
      <c r="C7936" s="1332" t="s">
        <v>673</v>
      </c>
      <c r="D7936" s="1331" t="s">
        <v>674</v>
      </c>
      <c r="E7936" s="1331" t="s">
        <v>675</v>
      </c>
      <c r="F7936" s="1334">
        <v>0.216</v>
      </c>
      <c r="G7936" s="1104">
        <f>DUB!$I$10</f>
        <v>150000</v>
      </c>
      <c r="H7936" s="1236">
        <f>G7936*F7936</f>
        <v>32400</v>
      </c>
      <c r="M7936" s="1566"/>
    </row>
    <row r="7937" spans="2:13" hidden="1">
      <c r="B7937" s="1543"/>
      <c r="C7937" s="1332" t="s">
        <v>1480</v>
      </c>
      <c r="D7937" s="1331" t="s">
        <v>678</v>
      </c>
      <c r="E7937" s="1331" t="s">
        <v>675</v>
      </c>
      <c r="F7937" s="1334">
        <v>0.108</v>
      </c>
      <c r="G7937" s="1104">
        <f>DUB!$I$11</f>
        <v>187000</v>
      </c>
      <c r="H7937" s="1236">
        <f>G7937*F7937</f>
        <v>20196</v>
      </c>
      <c r="M7937" s="1566"/>
    </row>
    <row r="7938" spans="2:13" hidden="1">
      <c r="B7938" s="1543"/>
      <c r="C7938" s="1332" t="s">
        <v>751</v>
      </c>
      <c r="D7938" s="1331" t="s">
        <v>681</v>
      </c>
      <c r="E7938" s="1331" t="s">
        <v>675</v>
      </c>
      <c r="F7938" s="1334">
        <v>1.0800000000000001E-2</v>
      </c>
      <c r="G7938" s="1104">
        <f>$G$7044</f>
        <v>240000</v>
      </c>
      <c r="H7938" s="1236">
        <f>G7938*F7938</f>
        <v>2592</v>
      </c>
      <c r="M7938" s="1566"/>
    </row>
    <row r="7939" spans="2:13" hidden="1">
      <c r="B7939" s="1543"/>
      <c r="C7939" s="1332" t="s">
        <v>683</v>
      </c>
      <c r="D7939" s="1331" t="s">
        <v>684</v>
      </c>
      <c r="E7939" s="1331" t="s">
        <v>675</v>
      </c>
      <c r="F7939" s="1334">
        <v>2.1999999999999999E-2</v>
      </c>
      <c r="G7939" s="1104">
        <f>$G$7836</f>
        <v>225000</v>
      </c>
      <c r="H7939" s="1236">
        <f>G7939*F7939</f>
        <v>4950</v>
      </c>
      <c r="M7939" s="1566"/>
    </row>
    <row r="7940" spans="2:13" hidden="1">
      <c r="B7940" s="1120"/>
      <c r="C7940" s="1253"/>
      <c r="D7940" s="1254"/>
      <c r="E7940" s="1253"/>
      <c r="F7940" s="2080" t="s">
        <v>685</v>
      </c>
      <c r="G7940" s="2081"/>
      <c r="H7940" s="1236">
        <f>SUM(H7936:H7939)</f>
        <v>60138</v>
      </c>
      <c r="M7940" s="1566"/>
    </row>
    <row r="7941" spans="2:13" hidden="1">
      <c r="B7941" s="1543" t="s">
        <v>686</v>
      </c>
      <c r="C7941" s="1332" t="s">
        <v>687</v>
      </c>
      <c r="D7941" s="1331"/>
      <c r="E7941" s="1331"/>
      <c r="F7941" s="1334"/>
      <c r="G7941" s="1104"/>
      <c r="H7941" s="1236"/>
      <c r="M7941" s="1566"/>
    </row>
    <row r="7942" spans="2:13" hidden="1">
      <c r="B7942" s="1543"/>
      <c r="C7942" s="1332" t="s">
        <v>3682</v>
      </c>
      <c r="D7942" s="1331"/>
      <c r="E7942" s="1331" t="s">
        <v>1423</v>
      </c>
      <c r="F7942" s="1334">
        <v>1</v>
      </c>
      <c r="G7942" s="1104">
        <f>DUB!$I$573</f>
        <v>198045</v>
      </c>
      <c r="H7942" s="1236">
        <f>G7942*F7942</f>
        <v>198045</v>
      </c>
      <c r="M7942" s="1566"/>
    </row>
    <row r="7943" spans="2:13" hidden="1">
      <c r="B7943" s="1543"/>
      <c r="C7943" s="1332" t="s">
        <v>3570</v>
      </c>
      <c r="D7943" s="1331"/>
      <c r="E7943" s="1331" t="s">
        <v>773</v>
      </c>
      <c r="F7943" s="1334">
        <v>2.5000000000000001E-2</v>
      </c>
      <c r="G7943" s="1104">
        <f>DUB!$I$575</f>
        <v>134172</v>
      </c>
      <c r="H7943" s="1236">
        <f>G7943*F7943</f>
        <v>3354.3</v>
      </c>
      <c r="M7943" s="1566"/>
    </row>
    <row r="7944" spans="2:13" hidden="1">
      <c r="B7944" s="1543"/>
      <c r="C7944" s="1332"/>
      <c r="D7944" s="1331"/>
      <c r="E7944" s="1331"/>
      <c r="F7944" s="2074"/>
      <c r="G7944" s="2074"/>
      <c r="H7944" s="1236">
        <f>SUM(H7942:H7943)</f>
        <v>201399.3</v>
      </c>
      <c r="M7944" s="1566"/>
    </row>
    <row r="7945" spans="2:13" hidden="1">
      <c r="B7945" s="1543" t="s">
        <v>703</v>
      </c>
      <c r="C7945" s="1332" t="s">
        <v>704</v>
      </c>
      <c r="D7945" s="1331"/>
      <c r="E7945" s="1331"/>
      <c r="F7945" s="1334"/>
      <c r="G7945" s="1104"/>
      <c r="H7945" s="1236"/>
      <c r="M7945" s="1566"/>
    </row>
    <row r="7946" spans="2:13" hidden="1">
      <c r="B7946" s="1543"/>
      <c r="C7946" s="1126" t="s">
        <v>3509</v>
      </c>
      <c r="D7946" s="1331"/>
      <c r="E7946" s="1187" t="s">
        <v>1011</v>
      </c>
      <c r="F7946" s="1179">
        <v>1</v>
      </c>
      <c r="G7946" s="1104">
        <v>2000</v>
      </c>
      <c r="H7946" s="1236">
        <f>G7946*F7946</f>
        <v>2000</v>
      </c>
      <c r="M7946" s="1566"/>
    </row>
    <row r="7947" spans="2:13" hidden="1">
      <c r="B7947" s="1543"/>
      <c r="C7947" s="1332"/>
      <c r="D7947" s="1331"/>
      <c r="E7947" s="1331"/>
      <c r="F7947" s="2074" t="s">
        <v>705</v>
      </c>
      <c r="G7947" s="2074"/>
      <c r="H7947" s="1236">
        <f>SUM(H7946)</f>
        <v>2000</v>
      </c>
      <c r="M7947" s="1566"/>
    </row>
    <row r="7948" spans="2:13" hidden="1">
      <c r="B7948" s="1543" t="s">
        <v>706</v>
      </c>
      <c r="C7948" s="2075" t="s">
        <v>707</v>
      </c>
      <c r="D7948" s="2075"/>
      <c r="E7948" s="2075"/>
      <c r="F7948" s="2075"/>
      <c r="G7948" s="2075"/>
      <c r="H7948" s="1239">
        <f>H7940+H7944+H7947</f>
        <v>263537.3</v>
      </c>
      <c r="M7948" s="1566"/>
    </row>
    <row r="7949" spans="2:13" hidden="1">
      <c r="B7949" s="1543" t="s">
        <v>708</v>
      </c>
      <c r="C7949" s="2075" t="s">
        <v>709</v>
      </c>
      <c r="D7949" s="2075"/>
      <c r="E7949" s="2075"/>
      <c r="F7949" s="2077" t="s">
        <v>710</v>
      </c>
      <c r="G7949" s="2077"/>
      <c r="H7949" s="1107">
        <f>H7948*0.15</f>
        <v>39530.594999999994</v>
      </c>
      <c r="M7949" s="1566"/>
    </row>
    <row r="7950" spans="2:13" hidden="1">
      <c r="B7950" s="1543" t="s">
        <v>711</v>
      </c>
      <c r="C7950" s="2078" t="s">
        <v>712</v>
      </c>
      <c r="D7950" s="2078"/>
      <c r="E7950" s="2078"/>
      <c r="F7950" s="2078"/>
      <c r="G7950" s="2078"/>
      <c r="H7950" s="1107">
        <f>ROUND(SUM(H7948:H7949),2)</f>
        <v>303067.90000000002</v>
      </c>
      <c r="M7950" s="1566"/>
    </row>
    <row r="7951" spans="2:13" hidden="1">
      <c r="F7951" s="1172"/>
      <c r="G7951" s="1173"/>
      <c r="H7951" s="1711"/>
      <c r="M7951" s="1566"/>
    </row>
    <row r="7952" spans="2:13" hidden="1">
      <c r="B7952" s="1100" t="s">
        <v>3683</v>
      </c>
      <c r="C7952" s="1232" t="s">
        <v>3684</v>
      </c>
      <c r="F7952" s="1172"/>
      <c r="G7952" s="1173"/>
      <c r="H7952" s="1711"/>
      <c r="M7952" s="1566"/>
    </row>
    <row r="7953" spans="2:13" s="507" customFormat="1" ht="24.9" hidden="1" customHeight="1">
      <c r="B7953" s="1748" t="s">
        <v>1003</v>
      </c>
      <c r="C7953" s="1101" t="s">
        <v>1004</v>
      </c>
      <c r="D7953" s="1101" t="s">
        <v>1005</v>
      </c>
      <c r="E7953" s="1101" t="s">
        <v>1006</v>
      </c>
      <c r="F7953" s="1102" t="s">
        <v>1007</v>
      </c>
      <c r="G7953" s="1109" t="s">
        <v>2637</v>
      </c>
      <c r="H7953" s="1235" t="s">
        <v>2638</v>
      </c>
      <c r="J7953" s="1625"/>
      <c r="K7953" s="1625"/>
      <c r="L7953" s="1625"/>
      <c r="M7953" s="1570"/>
    </row>
    <row r="7954" spans="2:13" hidden="1">
      <c r="B7954" s="1543" t="s">
        <v>671</v>
      </c>
      <c r="C7954" s="1332" t="s">
        <v>672</v>
      </c>
      <c r="D7954" s="1331"/>
      <c r="E7954" s="1331"/>
      <c r="F7954" s="1334"/>
      <c r="G7954" s="1104"/>
      <c r="H7954" s="1236"/>
      <c r="M7954" s="1566"/>
    </row>
    <row r="7955" spans="2:13" hidden="1">
      <c r="B7955" s="1543"/>
      <c r="C7955" s="1332" t="s">
        <v>673</v>
      </c>
      <c r="D7955" s="1331" t="s">
        <v>674</v>
      </c>
      <c r="E7955" s="1331" t="s">
        <v>675</v>
      </c>
      <c r="F7955" s="1334">
        <v>0.216</v>
      </c>
      <c r="G7955" s="1104">
        <f>DUB!$I$10</f>
        <v>150000</v>
      </c>
      <c r="H7955" s="1236">
        <f>G7955*F7955</f>
        <v>32400</v>
      </c>
      <c r="M7955" s="1566"/>
    </row>
    <row r="7956" spans="2:13" hidden="1">
      <c r="B7956" s="1543"/>
      <c r="C7956" s="1332" t="s">
        <v>1480</v>
      </c>
      <c r="D7956" s="1331" t="s">
        <v>678</v>
      </c>
      <c r="E7956" s="1331" t="s">
        <v>675</v>
      </c>
      <c r="F7956" s="1334">
        <v>0.108</v>
      </c>
      <c r="G7956" s="1104">
        <f>DUB!$I$11</f>
        <v>187000</v>
      </c>
      <c r="H7956" s="1236">
        <f>G7956*F7956</f>
        <v>20196</v>
      </c>
      <c r="M7956" s="1566"/>
    </row>
    <row r="7957" spans="2:13" hidden="1">
      <c r="B7957" s="1543"/>
      <c r="C7957" s="1332" t="s">
        <v>751</v>
      </c>
      <c r="D7957" s="1331" t="s">
        <v>681</v>
      </c>
      <c r="E7957" s="1331" t="s">
        <v>675</v>
      </c>
      <c r="F7957" s="1334">
        <f>F7956*0.1</f>
        <v>1.0800000000000001E-2</v>
      </c>
      <c r="G7957" s="1104">
        <f>$G$7044</f>
        <v>240000</v>
      </c>
      <c r="H7957" s="1236">
        <f>G7957*F7957</f>
        <v>2592</v>
      </c>
      <c r="M7957" s="1566"/>
    </row>
    <row r="7958" spans="2:13" hidden="1">
      <c r="B7958" s="1543"/>
      <c r="C7958" s="1332" t="s">
        <v>683</v>
      </c>
      <c r="D7958" s="1331" t="s">
        <v>684</v>
      </c>
      <c r="E7958" s="1331" t="s">
        <v>675</v>
      </c>
      <c r="F7958" s="1334">
        <v>2.1999999999999999E-2</v>
      </c>
      <c r="G7958" s="1104">
        <f>$G$7836</f>
        <v>225000</v>
      </c>
      <c r="H7958" s="1236">
        <f>G7958*F7958</f>
        <v>4950</v>
      </c>
      <c r="M7958" s="1566"/>
    </row>
    <row r="7959" spans="2:13" hidden="1">
      <c r="B7959" s="1120"/>
      <c r="C7959" s="1253"/>
      <c r="D7959" s="1254"/>
      <c r="E7959" s="1253"/>
      <c r="F7959" s="2080" t="s">
        <v>685</v>
      </c>
      <c r="G7959" s="2081"/>
      <c r="H7959" s="1236">
        <f>SUM(H7955:H7958)</f>
        <v>60138</v>
      </c>
      <c r="M7959" s="1566"/>
    </row>
    <row r="7960" spans="2:13" hidden="1">
      <c r="B7960" s="1543" t="s">
        <v>686</v>
      </c>
      <c r="C7960" s="1332" t="s">
        <v>687</v>
      </c>
      <c r="D7960" s="1331"/>
      <c r="E7960" s="1331"/>
      <c r="F7960" s="1334"/>
      <c r="G7960" s="1104"/>
      <c r="H7960" s="1236"/>
      <c r="M7960" s="1566"/>
    </row>
    <row r="7961" spans="2:13" hidden="1">
      <c r="B7961" s="1543"/>
      <c r="C7961" s="1332" t="s">
        <v>3208</v>
      </c>
      <c r="D7961" s="1331"/>
      <c r="E7961" s="1331" t="s">
        <v>1423</v>
      </c>
      <c r="F7961" s="1334">
        <v>1</v>
      </c>
      <c r="G7961" s="1104">
        <f>DUB!$I$572</f>
        <v>530010</v>
      </c>
      <c r="H7961" s="1236">
        <f>G7961*F7961</f>
        <v>530010</v>
      </c>
      <c r="M7961" s="1566"/>
    </row>
    <row r="7962" spans="2:13" hidden="1">
      <c r="B7962" s="1543"/>
      <c r="C7962" s="1332" t="s">
        <v>3570</v>
      </c>
      <c r="D7962" s="1331"/>
      <c r="E7962" s="1331" t="s">
        <v>773</v>
      </c>
      <c r="F7962" s="1334">
        <v>2.5000000000000001E-2</v>
      </c>
      <c r="G7962" s="1104">
        <f>$G$7943</f>
        <v>134172</v>
      </c>
      <c r="H7962" s="1236">
        <f>G7962*F7962</f>
        <v>3354.3</v>
      </c>
      <c r="M7962" s="1566"/>
    </row>
    <row r="7963" spans="2:13" hidden="1">
      <c r="B7963" s="1543"/>
      <c r="C7963" s="1332"/>
      <c r="D7963" s="1331"/>
      <c r="E7963" s="1331"/>
      <c r="F7963" s="2115" t="s">
        <v>702</v>
      </c>
      <c r="G7963" s="2116"/>
      <c r="H7963" s="1236">
        <f>SUM(H7961:H7962)</f>
        <v>533364.30000000005</v>
      </c>
      <c r="M7963" s="1566"/>
    </row>
    <row r="7964" spans="2:13" hidden="1">
      <c r="B7964" s="1543" t="s">
        <v>703</v>
      </c>
      <c r="C7964" s="1332" t="s">
        <v>704</v>
      </c>
      <c r="D7964" s="1331"/>
      <c r="E7964" s="1331"/>
      <c r="F7964" s="1334"/>
      <c r="G7964" s="1104"/>
      <c r="H7964" s="1236"/>
      <c r="M7964" s="1566"/>
    </row>
    <row r="7965" spans="2:13" hidden="1">
      <c r="B7965" s="1543"/>
      <c r="C7965" s="1126" t="s">
        <v>3509</v>
      </c>
      <c r="D7965" s="1331"/>
      <c r="E7965" s="1187" t="s">
        <v>1011</v>
      </c>
      <c r="F7965" s="1179">
        <v>1</v>
      </c>
      <c r="G7965" s="1104">
        <v>2000</v>
      </c>
      <c r="H7965" s="1236">
        <f>G7965*F7965</f>
        <v>2000</v>
      </c>
      <c r="M7965" s="1566"/>
    </row>
    <row r="7966" spans="2:13" hidden="1">
      <c r="B7966" s="1543"/>
      <c r="C7966" s="1332"/>
      <c r="D7966" s="1331"/>
      <c r="E7966" s="1331"/>
      <c r="F7966" s="2074" t="s">
        <v>705</v>
      </c>
      <c r="G7966" s="2074"/>
      <c r="H7966" s="1236">
        <f>SUM(H7965)</f>
        <v>2000</v>
      </c>
      <c r="M7966" s="1566"/>
    </row>
    <row r="7967" spans="2:13" hidden="1">
      <c r="B7967" s="1543" t="s">
        <v>706</v>
      </c>
      <c r="C7967" s="2075" t="s">
        <v>707</v>
      </c>
      <c r="D7967" s="2075"/>
      <c r="E7967" s="2075"/>
      <c r="F7967" s="2075"/>
      <c r="G7967" s="2075"/>
      <c r="H7967" s="1239">
        <f>H7959+H7963+H7966</f>
        <v>595502.30000000005</v>
      </c>
      <c r="M7967" s="1566"/>
    </row>
    <row r="7968" spans="2:13" hidden="1">
      <c r="B7968" s="1543" t="s">
        <v>708</v>
      </c>
      <c r="C7968" s="2075" t="s">
        <v>709</v>
      </c>
      <c r="D7968" s="2075"/>
      <c r="E7968" s="2075"/>
      <c r="F7968" s="2077" t="s">
        <v>710</v>
      </c>
      <c r="G7968" s="2077"/>
      <c r="H7968" s="1107">
        <f>H7967*0.15</f>
        <v>89325.345000000001</v>
      </c>
      <c r="M7968" s="1566"/>
    </row>
    <row r="7969" spans="2:13" hidden="1">
      <c r="B7969" s="1543" t="s">
        <v>711</v>
      </c>
      <c r="C7969" s="2078" t="s">
        <v>712</v>
      </c>
      <c r="D7969" s="2078"/>
      <c r="E7969" s="2078"/>
      <c r="F7969" s="2078"/>
      <c r="G7969" s="2078"/>
      <c r="H7969" s="1107">
        <f>ROUND(SUM(H7967:H7968),2)</f>
        <v>684827.65</v>
      </c>
      <c r="M7969" s="1566"/>
    </row>
    <row r="7970" spans="2:13" hidden="1">
      <c r="B7970" s="1129"/>
      <c r="C7970" s="1130"/>
      <c r="D7970" s="1129"/>
      <c r="E7970" s="1129"/>
      <c r="F7970" s="1131"/>
      <c r="G7970" s="1132"/>
      <c r="H7970" s="1249"/>
      <c r="M7970" s="1566"/>
    </row>
    <row r="7971" spans="2:13" hidden="1">
      <c r="B7971" s="1100" t="s">
        <v>3685</v>
      </c>
      <c r="C7971" s="1232" t="s">
        <v>4487</v>
      </c>
      <c r="F7971" s="1172"/>
      <c r="G7971" s="1173"/>
      <c r="H7971" s="1711"/>
      <c r="M7971" s="1566"/>
    </row>
    <row r="7972" spans="2:13" s="507" customFormat="1" ht="24.9" hidden="1" customHeight="1">
      <c r="B7972" s="1748" t="s">
        <v>1003</v>
      </c>
      <c r="C7972" s="1101" t="s">
        <v>1004</v>
      </c>
      <c r="D7972" s="1101" t="s">
        <v>1005</v>
      </c>
      <c r="E7972" s="1101" t="s">
        <v>1006</v>
      </c>
      <c r="F7972" s="1102" t="s">
        <v>1007</v>
      </c>
      <c r="G7972" s="1109" t="s">
        <v>2637</v>
      </c>
      <c r="H7972" s="1235" t="s">
        <v>2638</v>
      </c>
      <c r="J7972" s="1625"/>
      <c r="K7972" s="1625"/>
      <c r="L7972" s="1625"/>
      <c r="M7972" s="1570"/>
    </row>
    <row r="7973" spans="2:13" hidden="1">
      <c r="B7973" s="1786" t="s">
        <v>671</v>
      </c>
      <c r="C7973" s="1332" t="s">
        <v>3686</v>
      </c>
      <c r="D7973" s="1156"/>
      <c r="E7973" s="1156"/>
      <c r="F7973" s="1158"/>
      <c r="G7973" s="1159"/>
      <c r="H7973" s="1239"/>
      <c r="M7973" s="1566"/>
    </row>
    <row r="7974" spans="2:13" ht="27.6" hidden="1">
      <c r="B7974" s="1786"/>
      <c r="C7974" s="1258" t="str">
        <f>'[95]analisa baru'!$B$366</f>
        <v xml:space="preserve"> Penggalian 1 m3 tanah biasa sedalam 1 m</v>
      </c>
      <c r="D7974" s="1331" t="str">
        <f>Rekap!$B$22</f>
        <v>A.2.3.1.1</v>
      </c>
      <c r="E7974" s="1539" t="s">
        <v>2646</v>
      </c>
      <c r="F7974" s="1334">
        <f>0.4*0.4*0.5</f>
        <v>8.0000000000000016E-2</v>
      </c>
      <c r="G7974" s="1104">
        <f>Rekap!$D$22</f>
        <v>135843.75</v>
      </c>
      <c r="H7974" s="1236">
        <f>G7974*F7974</f>
        <v>10867.500000000002</v>
      </c>
      <c r="M7974" s="1566"/>
    </row>
    <row r="7975" spans="2:13" hidden="1">
      <c r="B7975" s="1786"/>
      <c r="C7975" s="1258"/>
      <c r="D7975" s="1331"/>
      <c r="E7975" s="1539"/>
      <c r="F7975" s="1334" t="str">
        <f>"JUMLAH "&amp;C7973</f>
        <v>JUMLAH GALIAN TANAH</v>
      </c>
      <c r="G7975" s="1104"/>
      <c r="H7975" s="1236">
        <f>SUM(H7974)</f>
        <v>10867.500000000002</v>
      </c>
      <c r="M7975" s="1566"/>
    </row>
    <row r="7976" spans="2:13" hidden="1">
      <c r="B7976" s="1786" t="s">
        <v>686</v>
      </c>
      <c r="C7976" s="1332" t="s">
        <v>3687</v>
      </c>
      <c r="D7976" s="1331"/>
      <c r="E7976" s="1331"/>
      <c r="F7976" s="1334"/>
      <c r="G7976" s="1104"/>
      <c r="H7976" s="1236"/>
      <c r="M7976" s="1566"/>
    </row>
    <row r="7977" spans="2:13" ht="41.4" hidden="1">
      <c r="B7977" s="1786"/>
      <c r="C7977" s="1126" t="str">
        <f>Rekap!$C$152</f>
        <v>Pemasangan 1m2  dinding bata merah (5x11x22) cm tebal ½ batu campuran  1SP :2PP</v>
      </c>
      <c r="D7977" s="1331" t="str">
        <f>Rekap!$B$152</f>
        <v>A. 4.4.1.7</v>
      </c>
      <c r="E7977" s="1331" t="s">
        <v>2647</v>
      </c>
      <c r="F7977" s="1334">
        <f>0.4*0.4*4</f>
        <v>0.64000000000000012</v>
      </c>
      <c r="G7977" s="1104">
        <f>Rekap!$D$152</f>
        <v>170824.27</v>
      </c>
      <c r="H7977" s="1236">
        <f>G7977*F7977</f>
        <v>109327.53280000002</v>
      </c>
      <c r="M7977" s="1566"/>
    </row>
    <row r="7978" spans="2:13" ht="27.6" hidden="1">
      <c r="B7978" s="1786"/>
      <c r="C7978" s="1126" t="str">
        <f>Rekap!$C$170</f>
        <v>Pemasangan 1 m2 plesteran 1SP : 2PP tebal 15 mm</v>
      </c>
      <c r="D7978" s="1331" t="str">
        <f>Rekap!$B$170</f>
        <v>A.4.4.2.2</v>
      </c>
      <c r="E7978" s="1331" t="s">
        <v>2647</v>
      </c>
      <c r="F7978" s="1334">
        <f>0.3*0.4*4</f>
        <v>0.48</v>
      </c>
      <c r="G7978" s="1104">
        <f>Rekap!$D$170</f>
        <v>115341.62</v>
      </c>
      <c r="H7978" s="1236">
        <f>G7978*F7978</f>
        <v>55363.977599999998</v>
      </c>
      <c r="M7978" s="1566"/>
    </row>
    <row r="7979" spans="2:13" hidden="1">
      <c r="B7979" s="1786"/>
      <c r="C7979" s="1126"/>
      <c r="D7979" s="1331"/>
      <c r="E7979" s="1331"/>
      <c r="F7979" s="1334" t="str">
        <f>"JUMLAH "&amp;C7976</f>
        <v>JUMLAH PAS.BATU BATA</v>
      </c>
      <c r="G7979" s="1104"/>
      <c r="H7979" s="1236">
        <f>SUM(H7977:H7978)</f>
        <v>164691.51040000003</v>
      </c>
      <c r="M7979" s="1566"/>
    </row>
    <row r="7980" spans="2:13" hidden="1">
      <c r="B7980" s="1786" t="s">
        <v>703</v>
      </c>
      <c r="C7980" s="1332" t="s">
        <v>3688</v>
      </c>
      <c r="D7980" s="1331"/>
      <c r="E7980" s="1331"/>
      <c r="F7980" s="1334"/>
      <c r="G7980" s="1104"/>
      <c r="H7980" s="1236"/>
      <c r="M7980" s="1566"/>
    </row>
    <row r="7981" spans="2:13" ht="27.6" hidden="1">
      <c r="B7981" s="1786"/>
      <c r="C7981" s="1126" t="str">
        <f>'[95]analisa baru'!$B$869</f>
        <v>Membuat 1 m3 beton mutu f’= 7.4 MPa (K 100). slump (12 ± 2) cm. w/c = 0.87</v>
      </c>
      <c r="D7981" s="1331" t="str">
        <f>Rekap!$B$51</f>
        <v>A.4.1.1.1</v>
      </c>
      <c r="E7981" s="1331" t="s">
        <v>2646</v>
      </c>
      <c r="F7981" s="1334">
        <f>0.3*0.3*0.1</f>
        <v>8.9999999999999993E-3</v>
      </c>
      <c r="G7981" s="1104">
        <f>Rekap!$D$51</f>
        <v>1298044.5</v>
      </c>
      <c r="H7981" s="1236">
        <f>G7981*F7981</f>
        <v>11682.4005</v>
      </c>
      <c r="M7981" s="1566"/>
    </row>
    <row r="7982" spans="2:13" hidden="1">
      <c r="B7982" s="1786"/>
      <c r="C7982" s="1332"/>
      <c r="D7982" s="1331"/>
      <c r="E7982" s="1331"/>
      <c r="F7982" s="1334" t="str">
        <f>"JUMLAH "&amp;C7980</f>
        <v xml:space="preserve">JUMLAH COR BETON </v>
      </c>
      <c r="G7982" s="1104"/>
      <c r="H7982" s="1236">
        <f>SUM(H7981)</f>
        <v>11682.4005</v>
      </c>
      <c r="M7982" s="1566"/>
    </row>
    <row r="7983" spans="2:13" hidden="1">
      <c r="B7983" s="1786" t="s">
        <v>706</v>
      </c>
      <c r="C7983" s="1332" t="s">
        <v>3689</v>
      </c>
      <c r="D7983" s="1331"/>
      <c r="E7983" s="1331"/>
      <c r="F7983" s="1334"/>
      <c r="G7983" s="1104"/>
      <c r="H7983" s="1236"/>
      <c r="M7983" s="1566"/>
    </row>
    <row r="7984" spans="2:13" ht="27.6" hidden="1">
      <c r="B7984" s="1786"/>
      <c r="C7984" s="1126" t="str">
        <f>'[95]analisa baru'!$B$963</f>
        <v>Membuat 1 m3 beton mutu f’  = 14.5 MPa (K 175). slump (12 ±2) cm. w/c = 0.66</v>
      </c>
      <c r="D7984" s="1331" t="str">
        <f>Rekap!$B$55</f>
        <v>A.4.1.1.5</v>
      </c>
      <c r="E7984" s="1331" t="s">
        <v>2646</v>
      </c>
      <c r="F7984" s="1334">
        <f>0.3*0.3*0.05</f>
        <v>4.4999999999999997E-3</v>
      </c>
      <c r="G7984" s="1104">
        <f>Rekap!$D$55</f>
        <v>1477199.01</v>
      </c>
      <c r="H7984" s="1236">
        <f>G7984*F7984</f>
        <v>6647.3955449999994</v>
      </c>
      <c r="M7984" s="1566"/>
    </row>
    <row r="7985" spans="2:13" hidden="1">
      <c r="B7985" s="1786"/>
      <c r="C7985" s="1332" t="str">
        <f>'[95]analisa baru'!$B$1231</f>
        <v xml:space="preserve">Pembesian 1 kg dengan besi polos </v>
      </c>
      <c r="D7985" s="1331" t="str">
        <f>Rekap!$B$67</f>
        <v>A.4.1.1.17</v>
      </c>
      <c r="E7985" s="1331" t="s">
        <v>773</v>
      </c>
      <c r="F7985" s="1334">
        <f>$F$7984*75</f>
        <v>0.33749999999999997</v>
      </c>
      <c r="G7985" s="1104">
        <f>Rekap!$D$67</f>
        <v>21993.13</v>
      </c>
      <c r="H7985" s="1236">
        <f>G7985*F7985</f>
        <v>7422.6813749999992</v>
      </c>
      <c r="M7985" s="1566"/>
    </row>
    <row r="7986" spans="2:13" hidden="1">
      <c r="B7986" s="1786"/>
      <c r="C7986" s="1332" t="str">
        <f>'[95]analisa baru'!$B$1317</f>
        <v>Pemasangan 1 m2  bekisting untuk pondasi</v>
      </c>
      <c r="D7986" s="1331" t="str">
        <f>Rekap!$B$70</f>
        <v>A.4.1.1.20</v>
      </c>
      <c r="E7986" s="1331" t="s">
        <v>2646</v>
      </c>
      <c r="F7986" s="1334">
        <f>(0.3*0.3)/(1.2*2.4)</f>
        <v>3.125E-2</v>
      </c>
      <c r="G7986" s="1104">
        <f>Rekap!$D$70</f>
        <v>455616.21</v>
      </c>
      <c r="H7986" s="1236">
        <f>G7986*F7986</f>
        <v>14238.006562500001</v>
      </c>
      <c r="M7986" s="1566"/>
    </row>
    <row r="7987" spans="2:13" hidden="1">
      <c r="B7987" s="1786"/>
      <c r="C7987" s="1332"/>
      <c r="D7987" s="1331"/>
      <c r="E7987" s="1331"/>
      <c r="F7987" s="1334" t="str">
        <f>"JUMLAH "&amp;C7983</f>
        <v>JUMLAH COR BETON BERTULANG</v>
      </c>
      <c r="G7987" s="1104"/>
      <c r="H7987" s="1236">
        <f>SUM(H7984:H7986)</f>
        <v>28308.083482499998</v>
      </c>
      <c r="M7987" s="1566"/>
    </row>
    <row r="7988" spans="2:13" hidden="1">
      <c r="B7988" s="1786" t="s">
        <v>708</v>
      </c>
      <c r="C7988" s="1332" t="s">
        <v>3690</v>
      </c>
      <c r="D7988" s="1331"/>
      <c r="E7988" s="1331"/>
      <c r="F7988" s="1334"/>
      <c r="G7988" s="1104"/>
      <c r="H7988" s="1236"/>
      <c r="M7988" s="1566"/>
    </row>
    <row r="7989" spans="2:13" hidden="1">
      <c r="B7989" s="1786"/>
      <c r="C7989" s="1332" t="str">
        <f>'[95]analisa baru'!$B$2295</f>
        <v>Pemasangan 1 kg besi profil</v>
      </c>
      <c r="D7989" s="1331" t="str">
        <f>Rekap!$B$114</f>
        <v>A.4.2.1.1</v>
      </c>
      <c r="E7989" s="1331" t="s">
        <v>773</v>
      </c>
      <c r="F7989" s="1334">
        <f>(0.3*4*2)*(18.4/5)</f>
        <v>8.831999999999999</v>
      </c>
      <c r="G7989" s="1104">
        <f>Rekap!$D$114</f>
        <v>50105.5</v>
      </c>
      <c r="H7989" s="1236">
        <f>G7989*F7989</f>
        <v>442531.77599999995</v>
      </c>
      <c r="M7989" s="1566"/>
    </row>
    <row r="7990" spans="2:13" hidden="1">
      <c r="B7990" s="1786"/>
      <c r="C7990" s="1332"/>
      <c r="D7990" s="1331"/>
      <c r="E7990" s="1331"/>
      <c r="F7990" s="1334" t="str">
        <f>"JUMLAH "&amp;C7988</f>
        <v>JUMLAH PAS.BESI SIKU L.50.50.4</v>
      </c>
      <c r="G7990" s="1104"/>
      <c r="H7990" s="1236">
        <f>SUM(H7989)</f>
        <v>442531.77599999995</v>
      </c>
      <c r="M7990" s="1566"/>
    </row>
    <row r="7991" spans="2:13" hidden="1">
      <c r="B7991" s="1543"/>
      <c r="C7991" s="1332"/>
      <c r="D7991" s="1331"/>
      <c r="E7991" s="1331"/>
      <c r="F7991" s="1334"/>
      <c r="G7991" s="1104"/>
      <c r="H7991" s="1236"/>
      <c r="M7991" s="1566"/>
    </row>
    <row r="7992" spans="2:13" s="496" customFormat="1" hidden="1">
      <c r="B7992" s="1543" t="s">
        <v>711</v>
      </c>
      <c r="C7992" s="2111" t="s">
        <v>3691</v>
      </c>
      <c r="D7992" s="2112"/>
      <c r="E7992" s="2112"/>
      <c r="F7992" s="2112"/>
      <c r="G7992" s="2113"/>
      <c r="H7992" s="1239">
        <f>SUM(H7975,H7979,H7982,H7990)</f>
        <v>629773.18689999997</v>
      </c>
      <c r="J7992" s="1559"/>
      <c r="K7992" s="1559"/>
      <c r="L7992" s="1559"/>
      <c r="M7992" s="1635"/>
    </row>
    <row r="7993" spans="2:13" s="496" customFormat="1" hidden="1">
      <c r="B7993" s="1543" t="s">
        <v>3400</v>
      </c>
      <c r="C7993" s="2111" t="s">
        <v>709</v>
      </c>
      <c r="D7993" s="2112"/>
      <c r="E7993" s="2113"/>
      <c r="F7993" s="2151" t="s">
        <v>3692</v>
      </c>
      <c r="G7993" s="2127"/>
      <c r="H7993" s="1239">
        <f>H7992*0%</f>
        <v>0</v>
      </c>
      <c r="J7993" s="1559"/>
      <c r="K7993" s="1559"/>
      <c r="L7993" s="1559"/>
      <c r="M7993" s="1635"/>
    </row>
    <row r="7994" spans="2:13" s="496" customFormat="1" hidden="1">
      <c r="B7994" s="1543" t="s">
        <v>3693</v>
      </c>
      <c r="C7994" s="2111" t="s">
        <v>3694</v>
      </c>
      <c r="D7994" s="2112"/>
      <c r="E7994" s="2112"/>
      <c r="F7994" s="2112"/>
      <c r="G7994" s="2113"/>
      <c r="H7994" s="1239">
        <f>SUM(H7992:H7993)</f>
        <v>629773.18689999997</v>
      </c>
      <c r="J7994" s="1559"/>
      <c r="K7994" s="1559"/>
      <c r="L7994" s="1559"/>
      <c r="M7994" s="1635"/>
    </row>
    <row r="7995" spans="2:13" hidden="1">
      <c r="B7995" s="1129"/>
      <c r="C7995" s="1130"/>
      <c r="D7995" s="1129"/>
      <c r="E7995" s="1129"/>
      <c r="F7995" s="1131"/>
      <c r="G7995" s="1132"/>
      <c r="H7995" s="1249"/>
      <c r="M7995" s="1566"/>
    </row>
    <row r="7996" spans="2:13" hidden="1">
      <c r="B7996" s="1100" t="s">
        <v>4286</v>
      </c>
      <c r="C7996" s="1232" t="s">
        <v>4486</v>
      </c>
      <c r="F7996" s="1172"/>
      <c r="G7996" s="1173"/>
      <c r="H7996" s="1711"/>
      <c r="M7996" s="1566"/>
    </row>
    <row r="7997" spans="2:13" ht="24.9" hidden="1" customHeight="1">
      <c r="B7997" s="1748" t="s">
        <v>1003</v>
      </c>
      <c r="C7997" s="1101" t="s">
        <v>1004</v>
      </c>
      <c r="D7997" s="1101" t="s">
        <v>1005</v>
      </c>
      <c r="E7997" s="1101" t="s">
        <v>1006</v>
      </c>
      <c r="F7997" s="1102" t="s">
        <v>1007</v>
      </c>
      <c r="G7997" s="1109" t="s">
        <v>2637</v>
      </c>
      <c r="H7997" s="1235" t="s">
        <v>2638</v>
      </c>
      <c r="M7997" s="1566"/>
    </row>
    <row r="7998" spans="2:13" hidden="1">
      <c r="B7998" s="1786" t="s">
        <v>671</v>
      </c>
      <c r="C7998" s="1332" t="s">
        <v>3686</v>
      </c>
      <c r="D7998" s="1156"/>
      <c r="E7998" s="1156"/>
      <c r="F7998" s="1158"/>
      <c r="G7998" s="1159"/>
      <c r="H7998" s="1239"/>
      <c r="M7998" s="1566"/>
    </row>
    <row r="7999" spans="2:13" ht="27.6" hidden="1">
      <c r="B7999" s="1786"/>
      <c r="C7999" s="1258" t="str">
        <f>'[95]analisa baru'!$B$366</f>
        <v xml:space="preserve"> Penggalian 1 m3 tanah biasa sedalam 1 m</v>
      </c>
      <c r="D7999" s="1331" t="str">
        <f>Rekap!$B$22</f>
        <v>A.2.3.1.1</v>
      </c>
      <c r="E7999" s="1539" t="s">
        <v>2646</v>
      </c>
      <c r="F7999" s="1334">
        <f>0.55*0.55*0.6</f>
        <v>0.18150000000000002</v>
      </c>
      <c r="G7999" s="1104">
        <f>Rekap!$D$22</f>
        <v>135843.75</v>
      </c>
      <c r="H7999" s="1236">
        <f>G7999*F7999</f>
        <v>24655.640625000004</v>
      </c>
      <c r="M7999" s="1566"/>
    </row>
    <row r="8000" spans="2:13" hidden="1">
      <c r="B8000" s="1786"/>
      <c r="C8000" s="1258"/>
      <c r="D8000" s="1331"/>
      <c r="E8000" s="1539"/>
      <c r="F8000" s="1334" t="str">
        <f>"JUMLAH "&amp;C7998</f>
        <v>JUMLAH GALIAN TANAH</v>
      </c>
      <c r="G8000" s="1104"/>
      <c r="H8000" s="1236">
        <f>SUM(H7999)</f>
        <v>24655.640625000004</v>
      </c>
      <c r="M8000" s="1566"/>
    </row>
    <row r="8001" spans="2:13" hidden="1">
      <c r="B8001" s="1786" t="s">
        <v>686</v>
      </c>
      <c r="C8001" s="1332" t="s">
        <v>3687</v>
      </c>
      <c r="D8001" s="1331"/>
      <c r="E8001" s="1331"/>
      <c r="F8001" s="1334"/>
      <c r="G8001" s="1104"/>
      <c r="H8001" s="1236"/>
      <c r="M8001" s="1566"/>
    </row>
    <row r="8002" spans="2:13" ht="41.4" hidden="1">
      <c r="B8002" s="1786"/>
      <c r="C8002" s="1126" t="str">
        <f>$C$7977</f>
        <v>Pemasangan 1m2  dinding bata merah (5x11x22) cm tebal ½ batu campuran  1SP :2PP</v>
      </c>
      <c r="D8002" s="1331" t="str">
        <f>$D$7977</f>
        <v>A. 4.4.1.7</v>
      </c>
      <c r="E8002" s="1331" t="s">
        <v>2647</v>
      </c>
      <c r="F8002" s="1334">
        <f>0.55*0.45*4</f>
        <v>0.9900000000000001</v>
      </c>
      <c r="G8002" s="1104">
        <f>$G$7977</f>
        <v>170824.27</v>
      </c>
      <c r="H8002" s="1236">
        <f>G8002*F8002</f>
        <v>169116.02730000002</v>
      </c>
      <c r="M8002" s="1566"/>
    </row>
    <row r="8003" spans="2:13" ht="27.6" hidden="1">
      <c r="B8003" s="1786"/>
      <c r="C8003" s="1126" t="str">
        <f>$C$7978</f>
        <v>Pemasangan 1 m2 plesteran 1SP : 2PP tebal 15 mm</v>
      </c>
      <c r="D8003" s="1331" t="str">
        <f>$D$7978</f>
        <v>A.4.4.2.2</v>
      </c>
      <c r="E8003" s="1331" t="s">
        <v>2647</v>
      </c>
      <c r="F8003" s="1334">
        <f>0.45*0.4*4</f>
        <v>0.72000000000000008</v>
      </c>
      <c r="G8003" s="1104">
        <f>$G$7978</f>
        <v>115341.62</v>
      </c>
      <c r="H8003" s="1236">
        <f>G8003*F8003</f>
        <v>83045.966400000005</v>
      </c>
      <c r="M8003" s="1566"/>
    </row>
    <row r="8004" spans="2:13" hidden="1">
      <c r="B8004" s="1786"/>
      <c r="C8004" s="1126"/>
      <c r="D8004" s="1331"/>
      <c r="E8004" s="1331"/>
      <c r="F8004" s="1334" t="str">
        <f>"JUMLAH "&amp;C8001</f>
        <v>JUMLAH PAS.BATU BATA</v>
      </c>
      <c r="G8004" s="1104"/>
      <c r="H8004" s="1236">
        <f>SUM(H8002:H8003)</f>
        <v>252161.99370000002</v>
      </c>
      <c r="M8004" s="1566"/>
    </row>
    <row r="8005" spans="2:13" hidden="1">
      <c r="B8005" s="1786" t="s">
        <v>703</v>
      </c>
      <c r="C8005" s="1332" t="s">
        <v>3688</v>
      </c>
      <c r="D8005" s="1331"/>
      <c r="E8005" s="1331"/>
      <c r="F8005" s="1334"/>
      <c r="G8005" s="1104"/>
      <c r="H8005" s="1236"/>
      <c r="M8005" s="1566"/>
    </row>
    <row r="8006" spans="2:13" ht="27.6" hidden="1">
      <c r="B8006" s="1786"/>
      <c r="C8006" s="1126" t="str">
        <f>'[95]analisa baru'!$B$869</f>
        <v>Membuat 1 m3 beton mutu f’= 7.4 MPa (K 100). slump (12 ± 2) cm. w/c = 0.87</v>
      </c>
      <c r="D8006" s="1331" t="str">
        <f>Rekap!$B$51</f>
        <v>A.4.1.1.1</v>
      </c>
      <c r="E8006" s="1331" t="s">
        <v>2646</v>
      </c>
      <c r="F8006" s="1334">
        <f>0.45*0.45*0.1</f>
        <v>2.0250000000000004E-2</v>
      </c>
      <c r="G8006" s="1104">
        <f>Rekap!$D$51</f>
        <v>1298044.5</v>
      </c>
      <c r="H8006" s="1236">
        <f>G8006*F8006</f>
        <v>26285.401125000004</v>
      </c>
      <c r="M8006" s="1566"/>
    </row>
    <row r="8007" spans="2:13" hidden="1">
      <c r="B8007" s="1786"/>
      <c r="C8007" s="1332"/>
      <c r="D8007" s="1331"/>
      <c r="E8007" s="1331"/>
      <c r="F8007" s="1334" t="str">
        <f>"JUMLAH "&amp;C8005</f>
        <v xml:space="preserve">JUMLAH COR BETON </v>
      </c>
      <c r="G8007" s="1104"/>
      <c r="H8007" s="1236">
        <f>SUM(H8006)</f>
        <v>26285.401125000004</v>
      </c>
      <c r="M8007" s="1566"/>
    </row>
    <row r="8008" spans="2:13" hidden="1">
      <c r="B8008" s="1786" t="s">
        <v>706</v>
      </c>
      <c r="C8008" s="1332" t="s">
        <v>3689</v>
      </c>
      <c r="D8008" s="1331"/>
      <c r="E8008" s="1331"/>
      <c r="F8008" s="1334"/>
      <c r="G8008" s="1104"/>
      <c r="H8008" s="1236"/>
      <c r="M8008" s="1566"/>
    </row>
    <row r="8009" spans="2:13" ht="27.6" hidden="1">
      <c r="B8009" s="1786"/>
      <c r="C8009" s="1126" t="str">
        <f>'[95]analisa baru'!$B$963</f>
        <v>Membuat 1 m3 beton mutu f’  = 14.5 MPa (K 175). slump (12 ±2) cm. w/c = 0.66</v>
      </c>
      <c r="D8009" s="1331" t="str">
        <f>Rekap!$B$55</f>
        <v>A.4.1.1.5</v>
      </c>
      <c r="E8009" s="1331" t="s">
        <v>2646</v>
      </c>
      <c r="F8009" s="1334">
        <f>0.4*0.4*0.05</f>
        <v>8.0000000000000019E-3</v>
      </c>
      <c r="G8009" s="1104">
        <f>Rekap!$D$55</f>
        <v>1477199.01</v>
      </c>
      <c r="H8009" s="1236">
        <f>G8009*F8009</f>
        <v>11817.592080000002</v>
      </c>
      <c r="M8009" s="1566"/>
    </row>
    <row r="8010" spans="2:13" hidden="1">
      <c r="B8010" s="1786"/>
      <c r="C8010" s="1332" t="str">
        <f>'[95]analisa baru'!$B$1231</f>
        <v xml:space="preserve">Pembesian 1 kg dengan besi polos </v>
      </c>
      <c r="D8010" s="1331" t="str">
        <f>Rekap!$B$67</f>
        <v>A.4.1.1.17</v>
      </c>
      <c r="E8010" s="1331" t="s">
        <v>773</v>
      </c>
      <c r="F8010" s="1334">
        <f>$F$8009*75</f>
        <v>0.60000000000000009</v>
      </c>
      <c r="G8010" s="1104">
        <f>Rekap!$D$67</f>
        <v>21993.13</v>
      </c>
      <c r="H8010" s="1236">
        <f>G8010*F8010</f>
        <v>13195.878000000002</v>
      </c>
      <c r="M8010" s="1566"/>
    </row>
    <row r="8011" spans="2:13" hidden="1">
      <c r="B8011" s="1786"/>
      <c r="C8011" s="1332" t="str">
        <f>'[95]analisa baru'!$B$1317</f>
        <v>Pemasangan 1 m2  bekisting untuk pondasi</v>
      </c>
      <c r="D8011" s="1331" t="str">
        <f>Rekap!$B$70</f>
        <v>A.4.1.1.20</v>
      </c>
      <c r="E8011" s="1331" t="s">
        <v>2646</v>
      </c>
      <c r="F8011" s="1334">
        <f>(0.45*0.45)/(1.2*2.4)</f>
        <v>7.0312500000000014E-2</v>
      </c>
      <c r="G8011" s="1104">
        <f>Rekap!$D$70</f>
        <v>455616.21</v>
      </c>
      <c r="H8011" s="1236">
        <f>G8011*F8011</f>
        <v>32035.514765625008</v>
      </c>
      <c r="M8011" s="1566"/>
    </row>
    <row r="8012" spans="2:13" hidden="1">
      <c r="B8012" s="1786"/>
      <c r="C8012" s="1332"/>
      <c r="D8012" s="1331"/>
      <c r="E8012" s="1331"/>
      <c r="F8012" s="1334" t="str">
        <f>"JUMLAH "&amp;C8008</f>
        <v>JUMLAH COR BETON BERTULANG</v>
      </c>
      <c r="G8012" s="1104"/>
      <c r="H8012" s="1236">
        <f>SUM(H8009:H8011)</f>
        <v>57048.984845625018</v>
      </c>
      <c r="M8012" s="1566"/>
    </row>
    <row r="8013" spans="2:13" hidden="1">
      <c r="B8013" s="1786" t="s">
        <v>708</v>
      </c>
      <c r="C8013" s="1332" t="s">
        <v>3690</v>
      </c>
      <c r="D8013" s="1331"/>
      <c r="E8013" s="1331"/>
      <c r="F8013" s="1334"/>
      <c r="G8013" s="1104"/>
      <c r="H8013" s="1236"/>
      <c r="M8013" s="1566"/>
    </row>
    <row r="8014" spans="2:13" hidden="1">
      <c r="B8014" s="1786"/>
      <c r="C8014" s="1332" t="str">
        <f>'[95]analisa baru'!$B$2295</f>
        <v>Pemasangan 1 kg besi profil</v>
      </c>
      <c r="D8014" s="1331" t="str">
        <f>Rekap!$B$114</f>
        <v>A.4.2.1.1</v>
      </c>
      <c r="E8014" s="1331" t="s">
        <v>773</v>
      </c>
      <c r="F8014" s="1334">
        <f>(0.45*4*2)*(18.4/5)</f>
        <v>13.247999999999999</v>
      </c>
      <c r="G8014" s="1104">
        <f>Rekap!$D$114</f>
        <v>50105.5</v>
      </c>
      <c r="H8014" s="1236">
        <f>G8014*F8014</f>
        <v>663797.66399999999</v>
      </c>
      <c r="M8014" s="1566"/>
    </row>
    <row r="8015" spans="2:13" hidden="1">
      <c r="B8015" s="1786"/>
      <c r="C8015" s="1332"/>
      <c r="D8015" s="1331"/>
      <c r="E8015" s="1331"/>
      <c r="F8015" s="1334" t="str">
        <f>"JUMLAH "&amp;C8013</f>
        <v>JUMLAH PAS.BESI SIKU L.50.50.4</v>
      </c>
      <c r="G8015" s="1104"/>
      <c r="H8015" s="1236">
        <f>SUM(H8014)</f>
        <v>663797.66399999999</v>
      </c>
      <c r="M8015" s="1566"/>
    </row>
    <row r="8016" spans="2:13" hidden="1">
      <c r="B8016" s="1543"/>
      <c r="C8016" s="1332"/>
      <c r="D8016" s="1331"/>
      <c r="E8016" s="1331"/>
      <c r="F8016" s="1334"/>
      <c r="G8016" s="1104"/>
      <c r="H8016" s="1236"/>
      <c r="M8016" s="1566"/>
    </row>
    <row r="8017" spans="2:13" hidden="1">
      <c r="B8017" s="1543" t="s">
        <v>711</v>
      </c>
      <c r="C8017" s="2111" t="s">
        <v>3691</v>
      </c>
      <c r="D8017" s="2112"/>
      <c r="E8017" s="2112"/>
      <c r="F8017" s="2112"/>
      <c r="G8017" s="2113"/>
      <c r="H8017" s="1239">
        <f>SUM(H8000,H8004,H8007,H8015)</f>
        <v>966900.69945000007</v>
      </c>
      <c r="M8017" s="1566"/>
    </row>
    <row r="8018" spans="2:13" hidden="1">
      <c r="B8018" s="1543" t="s">
        <v>3400</v>
      </c>
      <c r="C8018" s="2111" t="s">
        <v>709</v>
      </c>
      <c r="D8018" s="2112"/>
      <c r="E8018" s="2113"/>
      <c r="F8018" s="2151" t="s">
        <v>3692</v>
      </c>
      <c r="G8018" s="2127"/>
      <c r="H8018" s="1239">
        <f>H8017*0%</f>
        <v>0</v>
      </c>
      <c r="M8018" s="1566"/>
    </row>
    <row r="8019" spans="2:13" hidden="1">
      <c r="B8019" s="1543" t="s">
        <v>3693</v>
      </c>
      <c r="C8019" s="2111" t="s">
        <v>3694</v>
      </c>
      <c r="D8019" s="2112"/>
      <c r="E8019" s="2112"/>
      <c r="F8019" s="2112"/>
      <c r="G8019" s="2113"/>
      <c r="H8019" s="1239">
        <f>SUM(H8017:H8018)</f>
        <v>966900.69945000007</v>
      </c>
      <c r="M8019" s="1566"/>
    </row>
    <row r="8020" spans="2:13" hidden="1">
      <c r="B8020" s="1129"/>
      <c r="C8020" s="1130"/>
      <c r="D8020" s="1129"/>
      <c r="E8020" s="1129"/>
      <c r="F8020" s="1131"/>
      <c r="G8020" s="1132"/>
      <c r="H8020" s="1249"/>
      <c r="M8020" s="1566"/>
    </row>
    <row r="8021" spans="2:13" hidden="1">
      <c r="B8021" s="1100" t="s">
        <v>4488</v>
      </c>
      <c r="C8021" s="1232" t="s">
        <v>4489</v>
      </c>
      <c r="F8021" s="1172"/>
      <c r="G8021" s="1173"/>
      <c r="H8021" s="1711"/>
      <c r="M8021" s="1566"/>
    </row>
    <row r="8022" spans="2:13" ht="24.9" hidden="1" customHeight="1">
      <c r="B8022" s="1748" t="s">
        <v>1003</v>
      </c>
      <c r="C8022" s="1101" t="s">
        <v>1004</v>
      </c>
      <c r="D8022" s="1101" t="s">
        <v>1005</v>
      </c>
      <c r="E8022" s="1101" t="s">
        <v>1006</v>
      </c>
      <c r="F8022" s="1102" t="s">
        <v>1007</v>
      </c>
      <c r="G8022" s="1109" t="s">
        <v>2637</v>
      </c>
      <c r="H8022" s="1235" t="s">
        <v>2638</v>
      </c>
      <c r="M8022" s="1566"/>
    </row>
    <row r="8023" spans="2:13" hidden="1">
      <c r="B8023" s="1786" t="s">
        <v>671</v>
      </c>
      <c r="C8023" s="1332" t="s">
        <v>3686</v>
      </c>
      <c r="D8023" s="1156"/>
      <c r="E8023" s="1156"/>
      <c r="F8023" s="1158"/>
      <c r="G8023" s="1159"/>
      <c r="H8023" s="1239"/>
      <c r="M8023" s="1566"/>
    </row>
    <row r="8024" spans="2:13" ht="27.6" hidden="1">
      <c r="B8024" s="1786"/>
      <c r="C8024" s="1258" t="str">
        <f>'[95]analisa baru'!$B$366</f>
        <v xml:space="preserve"> Penggalian 1 m3 tanah biasa sedalam 1 m</v>
      </c>
      <c r="D8024" s="1331" t="str">
        <f>Rekap!$B$22</f>
        <v>A.2.3.1.1</v>
      </c>
      <c r="E8024" s="1539" t="s">
        <v>2646</v>
      </c>
      <c r="F8024" s="1334">
        <f>0.7*0.7*0.75</f>
        <v>0.36749999999999994</v>
      </c>
      <c r="G8024" s="1104">
        <f>Rekap!$D$22</f>
        <v>135843.75</v>
      </c>
      <c r="H8024" s="1236">
        <f>G8024*F8024</f>
        <v>49922.578124999993</v>
      </c>
      <c r="M8024" s="1566"/>
    </row>
    <row r="8025" spans="2:13" hidden="1">
      <c r="B8025" s="1786"/>
      <c r="C8025" s="1258"/>
      <c r="D8025" s="1331"/>
      <c r="E8025" s="1539"/>
      <c r="F8025" s="1334" t="str">
        <f>"JUMLAH "&amp;C8023</f>
        <v>JUMLAH GALIAN TANAH</v>
      </c>
      <c r="G8025" s="1104"/>
      <c r="H8025" s="1236">
        <f>SUM(H8024)</f>
        <v>49922.578124999993</v>
      </c>
      <c r="M8025" s="1566"/>
    </row>
    <row r="8026" spans="2:13" hidden="1">
      <c r="B8026" s="1786" t="s">
        <v>686</v>
      </c>
      <c r="C8026" s="1332" t="s">
        <v>3687</v>
      </c>
      <c r="D8026" s="1331"/>
      <c r="E8026" s="1331"/>
      <c r="F8026" s="1334"/>
      <c r="G8026" s="1104"/>
      <c r="H8026" s="1236"/>
      <c r="M8026" s="1566"/>
    </row>
    <row r="8027" spans="2:13" ht="41.4" hidden="1">
      <c r="B8027" s="1786"/>
      <c r="C8027" s="1126" t="str">
        <f>$C$7977</f>
        <v>Pemasangan 1m2  dinding bata merah (5x11x22) cm tebal ½ batu campuran  1SP :2PP</v>
      </c>
      <c r="D8027" s="1331" t="str">
        <f>$D$7977</f>
        <v>A. 4.4.1.7</v>
      </c>
      <c r="E8027" s="1331" t="s">
        <v>2647</v>
      </c>
      <c r="F8027" s="1334">
        <f>0.7*0.65*4</f>
        <v>1.8199999999999998</v>
      </c>
      <c r="G8027" s="1104">
        <f>$G$7977</f>
        <v>170824.27</v>
      </c>
      <c r="H8027" s="1236">
        <f>G8027*F8027</f>
        <v>310900.17139999993</v>
      </c>
      <c r="M8027" s="1566"/>
    </row>
    <row r="8028" spans="2:13" ht="27.6" hidden="1">
      <c r="B8028" s="1786"/>
      <c r="C8028" s="1126" t="str">
        <f>$C$7978</f>
        <v>Pemasangan 1 m2 plesteran 1SP : 2PP tebal 15 mm</v>
      </c>
      <c r="D8028" s="1331" t="str">
        <f>$D$7978</f>
        <v>A.4.4.2.2</v>
      </c>
      <c r="E8028" s="1331" t="s">
        <v>2647</v>
      </c>
      <c r="F8028" s="1334">
        <f>0.6*0.65*4</f>
        <v>1.56</v>
      </c>
      <c r="G8028" s="1104">
        <f>$G$7978</f>
        <v>115341.62</v>
      </c>
      <c r="H8028" s="1236">
        <f>G8028*F8028</f>
        <v>179932.92720000001</v>
      </c>
      <c r="M8028" s="1566"/>
    </row>
    <row r="8029" spans="2:13" hidden="1">
      <c r="B8029" s="1786"/>
      <c r="C8029" s="1126"/>
      <c r="D8029" s="1331"/>
      <c r="E8029" s="1331"/>
      <c r="F8029" s="1334" t="str">
        <f>"JUMLAH "&amp;C8026</f>
        <v>JUMLAH PAS.BATU BATA</v>
      </c>
      <c r="G8029" s="1104"/>
      <c r="H8029" s="1236">
        <f>SUM(H8027:H8028)</f>
        <v>490833.09859999991</v>
      </c>
      <c r="M8029" s="1566"/>
    </row>
    <row r="8030" spans="2:13" hidden="1">
      <c r="B8030" s="1786" t="s">
        <v>703</v>
      </c>
      <c r="C8030" s="1332" t="s">
        <v>3688</v>
      </c>
      <c r="D8030" s="1331"/>
      <c r="E8030" s="1331"/>
      <c r="F8030" s="1334"/>
      <c r="G8030" s="1104"/>
      <c r="H8030" s="1236"/>
      <c r="M8030" s="1566"/>
    </row>
    <row r="8031" spans="2:13" ht="27.6" hidden="1">
      <c r="B8031" s="1786"/>
      <c r="C8031" s="1126" t="str">
        <f>'[95]analisa baru'!$B$869</f>
        <v>Membuat 1 m3 beton mutu f’= 7.4 MPa (K 100). slump (12 ± 2) cm. w/c = 0.87</v>
      </c>
      <c r="D8031" s="1331" t="str">
        <f>Rekap!$B$51</f>
        <v>A.4.1.1.1</v>
      </c>
      <c r="E8031" s="1331" t="s">
        <v>2646</v>
      </c>
      <c r="F8031" s="1334">
        <f>0.6*0.6*0.1</f>
        <v>3.5999999999999997E-2</v>
      </c>
      <c r="G8031" s="1104">
        <f>Rekap!$D$51</f>
        <v>1298044.5</v>
      </c>
      <c r="H8031" s="1236">
        <f>G8031*F8031</f>
        <v>46729.601999999999</v>
      </c>
      <c r="M8031" s="1566"/>
    </row>
    <row r="8032" spans="2:13" hidden="1">
      <c r="B8032" s="1786"/>
      <c r="C8032" s="1332"/>
      <c r="D8032" s="1331"/>
      <c r="E8032" s="1331"/>
      <c r="F8032" s="1334" t="str">
        <f>"JUMLAH "&amp;C8030</f>
        <v xml:space="preserve">JUMLAH COR BETON </v>
      </c>
      <c r="G8032" s="1104"/>
      <c r="H8032" s="1236">
        <f>SUM(H8031)</f>
        <v>46729.601999999999</v>
      </c>
      <c r="M8032" s="1566"/>
    </row>
    <row r="8033" spans="2:13" hidden="1">
      <c r="B8033" s="1786" t="s">
        <v>706</v>
      </c>
      <c r="C8033" s="1332" t="s">
        <v>3689</v>
      </c>
      <c r="D8033" s="1331"/>
      <c r="E8033" s="1331"/>
      <c r="F8033" s="1334"/>
      <c r="G8033" s="1104"/>
      <c r="H8033" s="1236"/>
      <c r="M8033" s="1566"/>
    </row>
    <row r="8034" spans="2:13" ht="27.6" hidden="1">
      <c r="B8034" s="1786"/>
      <c r="C8034" s="1126" t="str">
        <f>'[95]analisa baru'!$B$963</f>
        <v>Membuat 1 m3 beton mutu f’  = 14.5 MPa (K 175). slump (12 ±2) cm. w/c = 0.66</v>
      </c>
      <c r="D8034" s="1331" t="str">
        <f>Rekap!$B$55</f>
        <v>A.4.1.1.5</v>
      </c>
      <c r="E8034" s="1331" t="s">
        <v>2646</v>
      </c>
      <c r="F8034" s="1334">
        <f>0.6*0.6*0.05</f>
        <v>1.7999999999999999E-2</v>
      </c>
      <c r="G8034" s="1104">
        <f>Rekap!$D$55</f>
        <v>1477199.01</v>
      </c>
      <c r="H8034" s="1236">
        <f>G8034*F8034</f>
        <v>26589.582179999998</v>
      </c>
      <c r="M8034" s="1566"/>
    </row>
    <row r="8035" spans="2:13" hidden="1">
      <c r="B8035" s="1786"/>
      <c r="C8035" s="1332" t="str">
        <f>'[95]analisa baru'!$B$1231</f>
        <v xml:space="preserve">Pembesian 1 kg dengan besi polos </v>
      </c>
      <c r="D8035" s="1331" t="str">
        <f>Rekap!$B$67</f>
        <v>A.4.1.1.17</v>
      </c>
      <c r="E8035" s="1331" t="s">
        <v>773</v>
      </c>
      <c r="F8035" s="1334">
        <f>$F$8034*75</f>
        <v>1.3499999999999999</v>
      </c>
      <c r="G8035" s="1104">
        <f>Rekap!$D$67</f>
        <v>21993.13</v>
      </c>
      <c r="H8035" s="1236">
        <f>G8035*F8035</f>
        <v>29690.725499999997</v>
      </c>
      <c r="M8035" s="1566"/>
    </row>
    <row r="8036" spans="2:13" hidden="1">
      <c r="B8036" s="1786"/>
      <c r="C8036" s="1332" t="str">
        <f>'[95]analisa baru'!$B$1317</f>
        <v>Pemasangan 1 m2  bekisting untuk pondasi</v>
      </c>
      <c r="D8036" s="1331" t="str">
        <f>Rekap!$B$70</f>
        <v>A.4.1.1.20</v>
      </c>
      <c r="E8036" s="1331" t="s">
        <v>2646</v>
      </c>
      <c r="F8036" s="1334">
        <f>(0.6*0.6)/(1.2*2.4)</f>
        <v>0.125</v>
      </c>
      <c r="G8036" s="1104">
        <f>Rekap!$D$70</f>
        <v>455616.21</v>
      </c>
      <c r="H8036" s="1236">
        <f>G8036*F8036</f>
        <v>56952.026250000003</v>
      </c>
      <c r="M8036" s="1566"/>
    </row>
    <row r="8037" spans="2:13" hidden="1">
      <c r="B8037" s="1786"/>
      <c r="C8037" s="1332"/>
      <c r="D8037" s="1331"/>
      <c r="E8037" s="1331"/>
      <c r="F8037" s="1334" t="str">
        <f>"JUMLAH "&amp;C8033</f>
        <v>JUMLAH COR BETON BERTULANG</v>
      </c>
      <c r="G8037" s="1104"/>
      <c r="H8037" s="1236">
        <f>SUM(H8034:H8036)</f>
        <v>113232.33392999999</v>
      </c>
      <c r="M8037" s="1566"/>
    </row>
    <row r="8038" spans="2:13" hidden="1">
      <c r="B8038" s="1786" t="s">
        <v>708</v>
      </c>
      <c r="C8038" s="1332" t="s">
        <v>3690</v>
      </c>
      <c r="D8038" s="1331"/>
      <c r="E8038" s="1331"/>
      <c r="F8038" s="1334"/>
      <c r="G8038" s="1104"/>
      <c r="H8038" s="1236"/>
      <c r="M8038" s="1566"/>
    </row>
    <row r="8039" spans="2:13" hidden="1">
      <c r="B8039" s="1786"/>
      <c r="C8039" s="1332" t="str">
        <f>'[95]analisa baru'!$B$2295</f>
        <v>Pemasangan 1 kg besi profil</v>
      </c>
      <c r="D8039" s="1331" t="str">
        <f>Rekap!$B$114</f>
        <v>A.4.2.1.1</v>
      </c>
      <c r="E8039" s="1331" t="s">
        <v>773</v>
      </c>
      <c r="F8039" s="1334">
        <f>(0.6*4*2)*(18.4/5)</f>
        <v>17.663999999999998</v>
      </c>
      <c r="G8039" s="1104">
        <f>Rekap!$D$114</f>
        <v>50105.5</v>
      </c>
      <c r="H8039" s="1236">
        <f>G8039*F8039</f>
        <v>885063.55199999991</v>
      </c>
      <c r="M8039" s="1566"/>
    </row>
    <row r="8040" spans="2:13" hidden="1">
      <c r="B8040" s="1786"/>
      <c r="C8040" s="1332"/>
      <c r="D8040" s="1331"/>
      <c r="E8040" s="1331"/>
      <c r="F8040" s="1334" t="str">
        <f>"JUMLAH "&amp;C8038</f>
        <v>JUMLAH PAS.BESI SIKU L.50.50.4</v>
      </c>
      <c r="G8040" s="1104"/>
      <c r="H8040" s="1236">
        <f>SUM(H8039)</f>
        <v>885063.55199999991</v>
      </c>
      <c r="M8040" s="1566"/>
    </row>
    <row r="8041" spans="2:13" hidden="1">
      <c r="B8041" s="1543"/>
      <c r="C8041" s="1332"/>
      <c r="D8041" s="1331"/>
      <c r="E8041" s="1331"/>
      <c r="F8041" s="1334"/>
      <c r="G8041" s="1104"/>
      <c r="H8041" s="1236"/>
      <c r="M8041" s="1566"/>
    </row>
    <row r="8042" spans="2:13" hidden="1">
      <c r="B8042" s="1543" t="s">
        <v>711</v>
      </c>
      <c r="C8042" s="2111" t="s">
        <v>3691</v>
      </c>
      <c r="D8042" s="2112"/>
      <c r="E8042" s="2112"/>
      <c r="F8042" s="2112"/>
      <c r="G8042" s="2113"/>
      <c r="H8042" s="1239">
        <f>SUM(H8025,H8029,H8032,H8040)</f>
        <v>1472548.8307249998</v>
      </c>
      <c r="M8042" s="1566"/>
    </row>
    <row r="8043" spans="2:13" hidden="1">
      <c r="B8043" s="1543" t="s">
        <v>3400</v>
      </c>
      <c r="C8043" s="2111" t="s">
        <v>709</v>
      </c>
      <c r="D8043" s="2112"/>
      <c r="E8043" s="2113"/>
      <c r="F8043" s="2151" t="s">
        <v>3692</v>
      </c>
      <c r="G8043" s="2127"/>
      <c r="H8043" s="1239">
        <f>H8042*0%</f>
        <v>0</v>
      </c>
      <c r="M8043" s="1566"/>
    </row>
    <row r="8044" spans="2:13" hidden="1">
      <c r="B8044" s="1543" t="s">
        <v>3693</v>
      </c>
      <c r="C8044" s="2111" t="s">
        <v>3694</v>
      </c>
      <c r="D8044" s="2112"/>
      <c r="E8044" s="2112"/>
      <c r="F8044" s="2112"/>
      <c r="G8044" s="2113"/>
      <c r="H8044" s="1239">
        <f>SUM(H8042:H8043)</f>
        <v>1472548.8307249998</v>
      </c>
      <c r="M8044" s="1566"/>
    </row>
    <row r="8045" spans="2:13" hidden="1">
      <c r="B8045" s="1129"/>
      <c r="C8045" s="1130"/>
      <c r="D8045" s="1129"/>
      <c r="E8045" s="1129"/>
      <c r="F8045" s="1131"/>
      <c r="G8045" s="1132"/>
      <c r="H8045" s="1249"/>
      <c r="M8045" s="1566"/>
    </row>
    <row r="8046" spans="2:13" hidden="1">
      <c r="B8046" s="1100" t="s">
        <v>4490</v>
      </c>
      <c r="C8046" s="1232" t="s">
        <v>3695</v>
      </c>
      <c r="D8046" s="1129"/>
      <c r="E8046" s="1129"/>
      <c r="F8046" s="1131"/>
      <c r="G8046" s="1132"/>
      <c r="H8046" s="1249"/>
      <c r="M8046" s="1566"/>
    </row>
    <row r="8047" spans="2:13" s="507" customFormat="1" ht="24.9" hidden="1" customHeight="1">
      <c r="B8047" s="1748" t="s">
        <v>1003</v>
      </c>
      <c r="C8047" s="1101" t="s">
        <v>1004</v>
      </c>
      <c r="D8047" s="1101" t="s">
        <v>1005</v>
      </c>
      <c r="E8047" s="1101" t="s">
        <v>1006</v>
      </c>
      <c r="F8047" s="1102" t="s">
        <v>1007</v>
      </c>
      <c r="G8047" s="1109" t="s">
        <v>2637</v>
      </c>
      <c r="H8047" s="1235" t="s">
        <v>2638</v>
      </c>
      <c r="J8047" s="1625"/>
      <c r="K8047" s="1625"/>
      <c r="L8047" s="1625"/>
      <c r="M8047" s="1570"/>
    </row>
    <row r="8048" spans="2:13" hidden="1">
      <c r="B8048" s="1543" t="s">
        <v>671</v>
      </c>
      <c r="C8048" s="1332" t="s">
        <v>672</v>
      </c>
      <c r="D8048" s="1331"/>
      <c r="E8048" s="1331"/>
      <c r="F8048" s="1334"/>
      <c r="G8048" s="1104"/>
      <c r="H8048" s="1236"/>
      <c r="M8048" s="1566"/>
    </row>
    <row r="8049" spans="2:13" hidden="1">
      <c r="B8049" s="1543"/>
      <c r="C8049" s="1332" t="s">
        <v>673</v>
      </c>
      <c r="D8049" s="1331" t="s">
        <v>674</v>
      </c>
      <c r="E8049" s="1331" t="s">
        <v>675</v>
      </c>
      <c r="F8049" s="1334">
        <v>0.2</v>
      </c>
      <c r="G8049" s="1104">
        <f>DUB!I10</f>
        <v>150000</v>
      </c>
      <c r="H8049" s="1236">
        <f>G8049*F8049</f>
        <v>30000</v>
      </c>
      <c r="M8049" s="1566"/>
    </row>
    <row r="8050" spans="2:13" hidden="1">
      <c r="B8050" s="1543"/>
      <c r="C8050" s="1332" t="s">
        <v>1480</v>
      </c>
      <c r="D8050" s="1331" t="s">
        <v>678</v>
      </c>
      <c r="E8050" s="1331" t="s">
        <v>675</v>
      </c>
      <c r="F8050" s="1334">
        <v>0.1</v>
      </c>
      <c r="G8050" s="1104">
        <f>DUB!I11</f>
        <v>187000</v>
      </c>
      <c r="H8050" s="1236">
        <f>G8050*F8050</f>
        <v>18700</v>
      </c>
      <c r="M8050" s="1566"/>
    </row>
    <row r="8051" spans="2:13" hidden="1">
      <c r="B8051" s="1543"/>
      <c r="C8051" s="1332" t="s">
        <v>683</v>
      </c>
      <c r="D8051" s="1331" t="s">
        <v>684</v>
      </c>
      <c r="E8051" s="1331" t="s">
        <v>675</v>
      </c>
      <c r="F8051" s="1334">
        <v>0.02</v>
      </c>
      <c r="G8051" s="1104">
        <f>DUB!I12</f>
        <v>225000</v>
      </c>
      <c r="H8051" s="1236">
        <f>G8051*F8051</f>
        <v>4500</v>
      </c>
      <c r="M8051" s="1566"/>
    </row>
    <row r="8052" spans="2:13" hidden="1">
      <c r="B8052" s="1120"/>
      <c r="C8052" s="1253"/>
      <c r="D8052" s="1254"/>
      <c r="E8052" s="1253"/>
      <c r="F8052" s="2080" t="s">
        <v>685</v>
      </c>
      <c r="G8052" s="2081"/>
      <c r="H8052" s="1236">
        <f>SUM(H8049:H8051)</f>
        <v>53200</v>
      </c>
      <c r="M8052" s="1566"/>
    </row>
    <row r="8053" spans="2:13" hidden="1">
      <c r="B8053" s="1543" t="s">
        <v>686</v>
      </c>
      <c r="C8053" s="1332" t="s">
        <v>687</v>
      </c>
      <c r="D8053" s="1331"/>
      <c r="E8053" s="1331"/>
      <c r="F8053" s="1334"/>
      <c r="G8053" s="1104"/>
      <c r="H8053" s="1236"/>
      <c r="M8053" s="1566"/>
    </row>
    <row r="8054" spans="2:13" hidden="1">
      <c r="B8054" s="1543"/>
      <c r="C8054" s="1332" t="str">
        <f>'[95]UPAD-BAHAN-ALAT'!$B$577</f>
        <v xml:space="preserve">Box kontrol precast dia. 30cm h=60cm </v>
      </c>
      <c r="D8054" s="1331"/>
      <c r="E8054" s="1331" t="s">
        <v>1423</v>
      </c>
      <c r="F8054" s="1334">
        <v>1</v>
      </c>
      <c r="G8054" s="1104">
        <f>DUB!$I$574</f>
        <v>1249209</v>
      </c>
      <c r="H8054" s="1236">
        <f>G8054*F8054</f>
        <v>1249209</v>
      </c>
      <c r="M8054" s="1566"/>
    </row>
    <row r="8055" spans="2:13" hidden="1">
      <c r="B8055" s="1543"/>
      <c r="C8055" s="1332"/>
      <c r="D8055" s="1331"/>
      <c r="E8055" s="1331"/>
      <c r="F8055" s="2115" t="s">
        <v>702</v>
      </c>
      <c r="G8055" s="2116"/>
      <c r="H8055" s="1236">
        <f>SUM(H8054:H8054)</f>
        <v>1249209</v>
      </c>
      <c r="M8055" s="1566"/>
    </row>
    <row r="8056" spans="2:13" hidden="1">
      <c r="B8056" s="1543" t="s">
        <v>703</v>
      </c>
      <c r="C8056" s="1332" t="s">
        <v>704</v>
      </c>
      <c r="D8056" s="1331"/>
      <c r="E8056" s="1331"/>
      <c r="F8056" s="1334"/>
      <c r="G8056" s="1104"/>
      <c r="H8056" s="1236"/>
      <c r="M8056" s="1566"/>
    </row>
    <row r="8057" spans="2:13" hidden="1">
      <c r="B8057" s="1543"/>
      <c r="C8057" s="1126" t="s">
        <v>3509</v>
      </c>
      <c r="D8057" s="1331"/>
      <c r="E8057" s="1187" t="s">
        <v>1011</v>
      </c>
      <c r="F8057" s="1179">
        <v>1</v>
      </c>
      <c r="G8057" s="1104">
        <v>10000</v>
      </c>
      <c r="H8057" s="1236">
        <f>G8057*F8057</f>
        <v>10000</v>
      </c>
      <c r="M8057" s="1566"/>
    </row>
    <row r="8058" spans="2:13" hidden="1">
      <c r="B8058" s="1543"/>
      <c r="C8058" s="1332"/>
      <c r="D8058" s="1331"/>
      <c r="E8058" s="1331"/>
      <c r="F8058" s="2115" t="s">
        <v>705</v>
      </c>
      <c r="G8058" s="2116"/>
      <c r="H8058" s="1236">
        <f>SUM(H8057)</f>
        <v>10000</v>
      </c>
      <c r="M8058" s="1566"/>
    </row>
    <row r="8059" spans="2:13" s="496" customFormat="1" hidden="1">
      <c r="B8059" s="1543" t="s">
        <v>706</v>
      </c>
      <c r="C8059" s="2111" t="s">
        <v>707</v>
      </c>
      <c r="D8059" s="2112"/>
      <c r="E8059" s="2112"/>
      <c r="F8059" s="2112"/>
      <c r="G8059" s="2113"/>
      <c r="H8059" s="1239">
        <f>H8052+H8055+H8058</f>
        <v>1312409</v>
      </c>
      <c r="J8059" s="1559"/>
      <c r="K8059" s="1559"/>
      <c r="L8059" s="1559"/>
      <c r="M8059" s="1635"/>
    </row>
    <row r="8060" spans="2:13" s="496" customFormat="1" hidden="1">
      <c r="B8060" s="1543" t="s">
        <v>708</v>
      </c>
      <c r="C8060" s="2111" t="s">
        <v>709</v>
      </c>
      <c r="D8060" s="2112"/>
      <c r="E8060" s="2113"/>
      <c r="F8060" s="2151" t="s">
        <v>710</v>
      </c>
      <c r="G8060" s="2127"/>
      <c r="H8060" s="1107">
        <f>H8059*0.15</f>
        <v>196861.35</v>
      </c>
      <c r="J8060" s="1559"/>
      <c r="K8060" s="1559"/>
      <c r="L8060" s="1559"/>
      <c r="M8060" s="1635"/>
    </row>
    <row r="8061" spans="2:13" s="496" customFormat="1" hidden="1">
      <c r="B8061" s="1543" t="s">
        <v>711</v>
      </c>
      <c r="C8061" s="2111" t="s">
        <v>712</v>
      </c>
      <c r="D8061" s="2112"/>
      <c r="E8061" s="2112"/>
      <c r="F8061" s="2112"/>
      <c r="G8061" s="2113"/>
      <c r="H8061" s="1107">
        <f>ROUND(SUM(H8059:H8060),2)</f>
        <v>1509270.35</v>
      </c>
      <c r="J8061" s="1559"/>
      <c r="K8061" s="1559"/>
      <c r="L8061" s="1559"/>
      <c r="M8061" s="1635"/>
    </row>
    <row r="8062" spans="2:13" hidden="1">
      <c r="F8062" s="1172"/>
      <c r="G8062" s="1173"/>
      <c r="H8062" s="1711"/>
      <c r="M8062" s="1566"/>
    </row>
    <row r="8063" spans="2:13" hidden="1">
      <c r="B8063" s="1100" t="s">
        <v>3696</v>
      </c>
      <c r="C8063" s="1232" t="s">
        <v>3697</v>
      </c>
      <c r="F8063" s="1172"/>
      <c r="G8063" s="1173"/>
      <c r="H8063" s="1711"/>
      <c r="M8063" s="1566"/>
    </row>
    <row r="8064" spans="2:13" s="507" customFormat="1" ht="24.9" hidden="1" customHeight="1">
      <c r="B8064" s="1748" t="s">
        <v>1003</v>
      </c>
      <c r="C8064" s="1101" t="s">
        <v>1004</v>
      </c>
      <c r="D8064" s="1101" t="s">
        <v>1005</v>
      </c>
      <c r="E8064" s="1101" t="s">
        <v>1006</v>
      </c>
      <c r="F8064" s="1102" t="s">
        <v>1007</v>
      </c>
      <c r="G8064" s="1109" t="s">
        <v>2637</v>
      </c>
      <c r="H8064" s="1235" t="s">
        <v>2638</v>
      </c>
      <c r="J8064" s="1625"/>
      <c r="K8064" s="1625"/>
      <c r="L8064" s="1625"/>
      <c r="M8064" s="1570"/>
    </row>
    <row r="8065" spans="2:13" hidden="1">
      <c r="B8065" s="1786" t="s">
        <v>671</v>
      </c>
      <c r="C8065" s="1332" t="s">
        <v>3686</v>
      </c>
      <c r="D8065" s="1156"/>
      <c r="E8065" s="1156"/>
      <c r="F8065" s="1158"/>
      <c r="G8065" s="1159"/>
      <c r="H8065" s="1239"/>
      <c r="M8065" s="1566"/>
    </row>
    <row r="8066" spans="2:13" ht="27.6" hidden="1">
      <c r="B8066" s="1786"/>
      <c r="C8066" s="1258" t="str">
        <f>'[95]analisa baru'!$B$366</f>
        <v xml:space="preserve"> Penggalian 1 m3 tanah biasa sedalam 1 m</v>
      </c>
      <c r="D8066" s="1331" t="str">
        <f>'[95]analisa baru'!$A$366</f>
        <v>A.2.3.1.1.</v>
      </c>
      <c r="E8066" s="1539" t="s">
        <v>2646</v>
      </c>
      <c r="F8066" s="1334">
        <f>0.5*0.5*0.7</f>
        <v>0.17499999999999999</v>
      </c>
      <c r="G8066" s="1104">
        <f>G7974</f>
        <v>135843.75</v>
      </c>
      <c r="H8066" s="1236">
        <f>G8066*F8066</f>
        <v>23772.65625</v>
      </c>
      <c r="M8066" s="1566"/>
    </row>
    <row r="8067" spans="2:13" hidden="1">
      <c r="B8067" s="1786"/>
      <c r="C8067" s="1332"/>
      <c r="D8067" s="1331"/>
      <c r="E8067" s="1539"/>
      <c r="F8067" s="1334" t="str">
        <f>"JUMLAH "&amp;C8065</f>
        <v>JUMLAH GALIAN TANAH</v>
      </c>
      <c r="G8067" s="1104"/>
      <c r="H8067" s="1236">
        <f>SUM(H8066)</f>
        <v>23772.65625</v>
      </c>
      <c r="M8067" s="1566"/>
    </row>
    <row r="8068" spans="2:13" hidden="1">
      <c r="B8068" s="1786" t="s">
        <v>686</v>
      </c>
      <c r="C8068" s="1332" t="s">
        <v>3687</v>
      </c>
      <c r="D8068" s="1331"/>
      <c r="E8068" s="1331"/>
      <c r="F8068" s="1334"/>
      <c r="G8068" s="1104"/>
      <c r="H8068" s="1236"/>
      <c r="M8068" s="1566"/>
    </row>
    <row r="8069" spans="2:13" ht="41.4" hidden="1">
      <c r="B8069" s="1786"/>
      <c r="C8069" s="1126" t="str">
        <f>$C$7977</f>
        <v>Pemasangan 1m2  dinding bata merah (5x11x22) cm tebal ½ batu campuran  1SP :2PP</v>
      </c>
      <c r="D8069" s="1331" t="str">
        <f>$D$7977</f>
        <v>A. 4.4.1.7</v>
      </c>
      <c r="E8069" s="1331" t="s">
        <v>2647</v>
      </c>
      <c r="F8069" s="1334">
        <f>0.65*(0.5*4)</f>
        <v>1.3</v>
      </c>
      <c r="G8069" s="1104">
        <f>$G$7977</f>
        <v>170824.27</v>
      </c>
      <c r="H8069" s="1236">
        <f>G8069*F8069</f>
        <v>222071.55100000001</v>
      </c>
      <c r="M8069" s="1566"/>
    </row>
    <row r="8070" spans="2:13" ht="27.6" hidden="1">
      <c r="B8070" s="1786"/>
      <c r="C8070" s="1126" t="str">
        <f>$C$7978</f>
        <v>Pemasangan 1 m2 plesteran 1SP : 2PP tebal 15 mm</v>
      </c>
      <c r="D8070" s="1331" t="str">
        <f>$D$7978</f>
        <v>A.4.4.2.2</v>
      </c>
      <c r="E8070" s="1331" t="s">
        <v>2647</v>
      </c>
      <c r="F8070" s="1334">
        <f>0.5*0.5*4</f>
        <v>1</v>
      </c>
      <c r="G8070" s="1104">
        <f>$G$7978</f>
        <v>115341.62</v>
      </c>
      <c r="H8070" s="1236">
        <f>G8070*F8070</f>
        <v>115341.62</v>
      </c>
      <c r="M8070" s="1566"/>
    </row>
    <row r="8071" spans="2:13" hidden="1">
      <c r="B8071" s="1786"/>
      <c r="C8071" s="1126"/>
      <c r="D8071" s="1331"/>
      <c r="E8071" s="1331"/>
      <c r="F8071" s="1334" t="str">
        <f>"JUMLAH "&amp;C8068</f>
        <v>JUMLAH PAS.BATU BATA</v>
      </c>
      <c r="G8071" s="1104"/>
      <c r="H8071" s="1236">
        <f>SUM(H8069:H8070)</f>
        <v>337413.17099999997</v>
      </c>
      <c r="M8071" s="1566"/>
    </row>
    <row r="8072" spans="2:13" hidden="1">
      <c r="B8072" s="1786" t="s">
        <v>703</v>
      </c>
      <c r="C8072" s="1332" t="s">
        <v>3688</v>
      </c>
      <c r="D8072" s="1331"/>
      <c r="E8072" s="1331"/>
      <c r="F8072" s="1334"/>
      <c r="G8072" s="1104"/>
      <c r="H8072" s="1236"/>
      <c r="M8072" s="1566"/>
    </row>
    <row r="8073" spans="2:13" ht="27.6" hidden="1">
      <c r="B8073" s="1786"/>
      <c r="C8073" s="1126" t="str">
        <f>'[95]analisa baru'!$B$869</f>
        <v>Membuat 1 m3 beton mutu f’= 7.4 MPa (K 100). slump (12 ± 2) cm. w/c = 0.87</v>
      </c>
      <c r="D8073" s="1331" t="str">
        <f>'[95]analisa baru'!$A$869</f>
        <v xml:space="preserve">A.4.1.1.1 </v>
      </c>
      <c r="E8073" s="1331" t="s">
        <v>2646</v>
      </c>
      <c r="F8073" s="1334">
        <f>0.49*0.3</f>
        <v>0.14699999999999999</v>
      </c>
      <c r="G8073" s="1104">
        <f>G7981</f>
        <v>1298044.5</v>
      </c>
      <c r="H8073" s="1236">
        <f>G8073*F8073</f>
        <v>190812.54149999999</v>
      </c>
      <c r="M8073" s="1566"/>
    </row>
    <row r="8074" spans="2:13" hidden="1">
      <c r="B8074" s="1786"/>
      <c r="C8074" s="1332"/>
      <c r="D8074" s="1331"/>
      <c r="E8074" s="1331"/>
      <c r="F8074" s="1334" t="str">
        <f>"JUMLAH "&amp;C8072</f>
        <v xml:space="preserve">JUMLAH COR BETON </v>
      </c>
      <c r="G8074" s="1104"/>
      <c r="H8074" s="1236">
        <f>SUM(H8073)</f>
        <v>190812.54149999999</v>
      </c>
      <c r="M8074" s="1566"/>
    </row>
    <row r="8075" spans="2:13" hidden="1">
      <c r="B8075" s="1786" t="s">
        <v>706</v>
      </c>
      <c r="C8075" s="1332" t="s">
        <v>3689</v>
      </c>
      <c r="D8075" s="1331"/>
      <c r="E8075" s="1331"/>
      <c r="F8075" s="1334"/>
      <c r="G8075" s="1104"/>
      <c r="H8075" s="1236"/>
      <c r="M8075" s="1566"/>
    </row>
    <row r="8076" spans="2:13" ht="27.6" hidden="1">
      <c r="B8076" s="1786"/>
      <c r="C8076" s="1126" t="str">
        <f>'[95]analisa baru'!$B$963</f>
        <v>Membuat 1 m3 beton mutu f’  = 14.5 MPa (K 175). slump (12 ±2) cm. w/c = 0.66</v>
      </c>
      <c r="D8076" s="1331" t="str">
        <f>'[95]analisa baru'!$A$963</f>
        <v xml:space="preserve">A.4.1.1.5. </v>
      </c>
      <c r="E8076" s="1331" t="s">
        <v>2646</v>
      </c>
      <c r="F8076" s="1334">
        <f>0.4*0.4*0.06</f>
        <v>9.6000000000000009E-3</v>
      </c>
      <c r="G8076" s="1104">
        <f>G7984</f>
        <v>1477199.01</v>
      </c>
      <c r="H8076" s="1236">
        <f>G8076*F8076</f>
        <v>14181.110496000001</v>
      </c>
      <c r="M8076" s="1566"/>
    </row>
    <row r="8077" spans="2:13" hidden="1">
      <c r="B8077" s="1786"/>
      <c r="C8077" s="1332" t="str">
        <f>'[95]analisa baru'!$B$1231</f>
        <v xml:space="preserve">Pembesian 1 kg dengan besi polos </v>
      </c>
      <c r="D8077" s="1331" t="str">
        <f>'[95]analisa baru'!$A$1231</f>
        <v xml:space="preserve">A.4.1.1.17  </v>
      </c>
      <c r="E8077" s="1331" t="s">
        <v>773</v>
      </c>
      <c r="F8077" s="1334">
        <f>F8076*75</f>
        <v>0.72000000000000008</v>
      </c>
      <c r="G8077" s="1104">
        <f>Analisa!G7985</f>
        <v>21993.13</v>
      </c>
      <c r="H8077" s="1236">
        <f>G8077*F8077</f>
        <v>15835.053600000003</v>
      </c>
      <c r="M8077" s="1566"/>
    </row>
    <row r="8078" spans="2:13" hidden="1">
      <c r="B8078" s="1786"/>
      <c r="C8078" s="1332" t="str">
        <f>'[95]analisa baru'!$B$1317</f>
        <v>Pemasangan 1 m2  bekisting untuk pondasi</v>
      </c>
      <c r="D8078" s="1331" t="str">
        <f>'[95]analisa baru'!$A$1317</f>
        <v xml:space="preserve">A.4.1.1.20  </v>
      </c>
      <c r="E8078" s="1331" t="s">
        <v>2646</v>
      </c>
      <c r="F8078" s="1334">
        <f>(0.4*0.4)/(1.2*2.4)</f>
        <v>5.5555555555555566E-2</v>
      </c>
      <c r="G8078" s="1104">
        <f>G7986</f>
        <v>455616.21</v>
      </c>
      <c r="H8078" s="1236">
        <f>G8078*F8078</f>
        <v>25312.011666666673</v>
      </c>
      <c r="M8078" s="1566"/>
    </row>
    <row r="8079" spans="2:13" hidden="1">
      <c r="B8079" s="1786"/>
      <c r="C8079" s="1332"/>
      <c r="D8079" s="1331"/>
      <c r="E8079" s="1331"/>
      <c r="F8079" s="1334" t="str">
        <f>"JUMLAH "&amp;C8075</f>
        <v>JUMLAH COR BETON BERTULANG</v>
      </c>
      <c r="G8079" s="1104"/>
      <c r="H8079" s="1236">
        <f>SUM(H8076:H8078)</f>
        <v>55328.17576266668</v>
      </c>
      <c r="M8079" s="1566"/>
    </row>
    <row r="8080" spans="2:13" hidden="1">
      <c r="B8080" s="1786" t="s">
        <v>708</v>
      </c>
      <c r="C8080" s="1332" t="s">
        <v>3698</v>
      </c>
      <c r="D8080" s="1331"/>
      <c r="E8080" s="1331"/>
      <c r="F8080" s="1334"/>
      <c r="G8080" s="1104"/>
      <c r="H8080" s="1236"/>
      <c r="M8080" s="1566"/>
    </row>
    <row r="8081" spans="2:13" hidden="1">
      <c r="B8081" s="1786"/>
      <c r="C8081" s="1332" t="str">
        <f>'[95]analisa baru'!$B$2295</f>
        <v>Pemasangan 1 kg besi profil</v>
      </c>
      <c r="D8081" s="1331" t="str">
        <f>'[95]analisa baru'!$A$2295</f>
        <v xml:space="preserve"> A.4.2.1.1. </v>
      </c>
      <c r="E8081" s="1331" t="s">
        <v>773</v>
      </c>
      <c r="F8081" s="1334">
        <f>((0.4*4)*(27.3/5))+((0.4*4*2)*(6.72/6))</f>
        <v>12.32</v>
      </c>
      <c r="G8081" s="1104">
        <f>G7989</f>
        <v>50105.5</v>
      </c>
      <c r="H8081" s="1236">
        <f>G8081*F8081</f>
        <v>617299.76</v>
      </c>
      <c r="M8081" s="1566"/>
    </row>
    <row r="8082" spans="2:13" hidden="1">
      <c r="B8082" s="1543"/>
      <c r="C8082" s="1332"/>
      <c r="D8082" s="1331"/>
      <c r="E8082" s="1331"/>
      <c r="F8082" s="1334" t="str">
        <f>"JUMLAH "&amp;C8080</f>
        <v>JUMLAH PAS.BESI SIKU L.60.60.5 + L.25.25.3</v>
      </c>
      <c r="G8082" s="1104"/>
      <c r="H8082" s="1236">
        <f>SUM(H8081)</f>
        <v>617299.76</v>
      </c>
      <c r="M8082" s="1566"/>
    </row>
    <row r="8083" spans="2:13" s="496" customFormat="1" hidden="1">
      <c r="B8083" s="1543" t="s">
        <v>711</v>
      </c>
      <c r="C8083" s="2111" t="s">
        <v>3691</v>
      </c>
      <c r="D8083" s="2112"/>
      <c r="E8083" s="2112"/>
      <c r="F8083" s="2112"/>
      <c r="G8083" s="2113"/>
      <c r="H8083" s="1239">
        <f>H8067+H8071+H8074+H8079+H8081</f>
        <v>1224626.3045126665</v>
      </c>
      <c r="J8083" s="1559"/>
      <c r="K8083" s="1559"/>
      <c r="L8083" s="1559"/>
      <c r="M8083" s="1635"/>
    </row>
    <row r="8084" spans="2:13" s="496" customFormat="1" hidden="1">
      <c r="B8084" s="1543" t="s">
        <v>3400</v>
      </c>
      <c r="C8084" s="2111" t="s">
        <v>709</v>
      </c>
      <c r="D8084" s="2112"/>
      <c r="E8084" s="2113"/>
      <c r="F8084" s="2151" t="s">
        <v>3692</v>
      </c>
      <c r="G8084" s="2127"/>
      <c r="H8084" s="1239">
        <f>H8083*0%</f>
        <v>0</v>
      </c>
      <c r="J8084" s="1559"/>
      <c r="K8084" s="1559"/>
      <c r="L8084" s="1559"/>
      <c r="M8084" s="1635"/>
    </row>
    <row r="8085" spans="2:13" s="496" customFormat="1" hidden="1">
      <c r="B8085" s="1543" t="s">
        <v>3693</v>
      </c>
      <c r="C8085" s="2111" t="s">
        <v>3694</v>
      </c>
      <c r="D8085" s="2112"/>
      <c r="E8085" s="2112"/>
      <c r="F8085" s="2112"/>
      <c r="G8085" s="2113"/>
      <c r="H8085" s="1239">
        <f>SUM(H8083:H8084)</f>
        <v>1224626.3045126665</v>
      </c>
      <c r="J8085" s="1559"/>
      <c r="K8085" s="1559"/>
      <c r="L8085" s="1559"/>
      <c r="M8085" s="1635"/>
    </row>
    <row r="8086" spans="2:13" hidden="1">
      <c r="B8086" s="1129"/>
      <c r="C8086" s="1130"/>
      <c r="D8086" s="1129"/>
      <c r="E8086" s="1129"/>
      <c r="F8086" s="1131"/>
      <c r="G8086" s="1132"/>
      <c r="H8086" s="1249"/>
      <c r="M8086" s="1566"/>
    </row>
    <row r="8087" spans="2:13" hidden="1">
      <c r="B8087" s="1100" t="s">
        <v>3699</v>
      </c>
      <c r="C8087" s="1232" t="s">
        <v>3700</v>
      </c>
      <c r="F8087" s="1172"/>
      <c r="G8087" s="1173"/>
      <c r="H8087" s="1711"/>
      <c r="M8087" s="1566"/>
    </row>
    <row r="8088" spans="2:13" s="507" customFormat="1" ht="24.9" hidden="1" customHeight="1">
      <c r="B8088" s="1748" t="s">
        <v>1003</v>
      </c>
      <c r="C8088" s="1101" t="s">
        <v>1004</v>
      </c>
      <c r="D8088" s="1101" t="s">
        <v>1005</v>
      </c>
      <c r="E8088" s="1101" t="s">
        <v>1006</v>
      </c>
      <c r="F8088" s="1102" t="s">
        <v>1007</v>
      </c>
      <c r="G8088" s="1109" t="s">
        <v>2637</v>
      </c>
      <c r="H8088" s="1235" t="s">
        <v>2638</v>
      </c>
      <c r="J8088" s="1625"/>
      <c r="K8088" s="1625"/>
      <c r="L8088" s="1625"/>
      <c r="M8088" s="1570"/>
    </row>
    <row r="8089" spans="2:13" hidden="1">
      <c r="B8089" s="1786" t="s">
        <v>671</v>
      </c>
      <c r="C8089" s="1332" t="s">
        <v>3686</v>
      </c>
      <c r="D8089" s="1156"/>
      <c r="E8089" s="1156"/>
      <c r="F8089" s="1158"/>
      <c r="G8089" s="1159"/>
      <c r="H8089" s="1239"/>
      <c r="M8089" s="1566"/>
    </row>
    <row r="8090" spans="2:13" ht="27.6" hidden="1">
      <c r="B8090" s="1786"/>
      <c r="C8090" s="1258" t="str">
        <f>'[95]analisa baru'!$B$366</f>
        <v xml:space="preserve"> Penggalian 1 m3 tanah biasa sedalam 1 m</v>
      </c>
      <c r="D8090" s="1331" t="str">
        <f>'[95]analisa baru'!$A$366</f>
        <v>A.2.3.1.1.</v>
      </c>
      <c r="E8090" s="1539" t="s">
        <v>2646</v>
      </c>
      <c r="F8090" s="1334">
        <f>0.5*0.5*0.6</f>
        <v>0.15</v>
      </c>
      <c r="G8090" s="1104">
        <f>G8066</f>
        <v>135843.75</v>
      </c>
      <c r="H8090" s="1236">
        <f>G8090*F8090</f>
        <v>20376.5625</v>
      </c>
      <c r="M8090" s="1566"/>
    </row>
    <row r="8091" spans="2:13" hidden="1">
      <c r="B8091" s="1786"/>
      <c r="C8091" s="1332"/>
      <c r="D8091" s="1331"/>
      <c r="E8091" s="1539"/>
      <c r="F8091" s="1334" t="str">
        <f>"JUMLAH "&amp;C8089</f>
        <v>JUMLAH GALIAN TANAH</v>
      </c>
      <c r="G8091" s="1104"/>
      <c r="H8091" s="1236">
        <f>SUM(H8090)</f>
        <v>20376.5625</v>
      </c>
      <c r="M8091" s="1566"/>
    </row>
    <row r="8092" spans="2:13" hidden="1">
      <c r="B8092" s="1786" t="s">
        <v>686</v>
      </c>
      <c r="C8092" s="1332" t="s">
        <v>3687</v>
      </c>
      <c r="D8092" s="1331"/>
      <c r="E8092" s="1331"/>
      <c r="F8092" s="1334"/>
      <c r="G8092" s="1104"/>
      <c r="H8092" s="1236"/>
      <c r="M8092" s="1566"/>
    </row>
    <row r="8093" spans="2:13" ht="41.4" hidden="1">
      <c r="B8093" s="1786"/>
      <c r="C8093" s="1126" t="str">
        <f>$C$7977</f>
        <v>Pemasangan 1m2  dinding bata merah (5x11x22) cm tebal ½ batu campuran  1SP :2PP</v>
      </c>
      <c r="D8093" s="1331" t="str">
        <f>$D$7977</f>
        <v>A. 4.4.1.7</v>
      </c>
      <c r="E8093" s="1331" t="s">
        <v>2647</v>
      </c>
      <c r="F8093" s="1334">
        <f>0.55*(0.5*4)</f>
        <v>1.1000000000000001</v>
      </c>
      <c r="G8093" s="1104">
        <f>$G$8069</f>
        <v>170824.27</v>
      </c>
      <c r="H8093" s="1236">
        <f>G8093*F8093</f>
        <v>187906.69700000001</v>
      </c>
      <c r="M8093" s="1566"/>
    </row>
    <row r="8094" spans="2:13" ht="27.6" hidden="1">
      <c r="B8094" s="1786"/>
      <c r="C8094" s="1126" t="str">
        <f>$C$7978</f>
        <v>Pemasangan 1 m2 plesteran 1SP : 2PP tebal 15 mm</v>
      </c>
      <c r="D8094" s="1331" t="str">
        <f>$D$7978</f>
        <v>A.4.4.2.2</v>
      </c>
      <c r="E8094" s="1331" t="s">
        <v>2647</v>
      </c>
      <c r="F8094" s="1334">
        <f>0.4*0.4*4</f>
        <v>0.64000000000000012</v>
      </c>
      <c r="G8094" s="1104">
        <f>$G$8070</f>
        <v>115341.62</v>
      </c>
      <c r="H8094" s="1236">
        <f>G8094*F8094</f>
        <v>73818.636800000007</v>
      </c>
      <c r="M8094" s="1566"/>
    </row>
    <row r="8095" spans="2:13" hidden="1">
      <c r="B8095" s="1786"/>
      <c r="C8095" s="1126"/>
      <c r="D8095" s="1331"/>
      <c r="E8095" s="1331"/>
      <c r="F8095" s="1334" t="str">
        <f>"JUMLAH "&amp;C8092</f>
        <v>JUMLAH PAS.BATU BATA</v>
      </c>
      <c r="G8095" s="1104"/>
      <c r="H8095" s="1236">
        <f>SUM(H8093:H8094)</f>
        <v>261725.33380000002</v>
      </c>
      <c r="M8095" s="1566"/>
    </row>
    <row r="8096" spans="2:13" hidden="1">
      <c r="B8096" s="1786" t="s">
        <v>703</v>
      </c>
      <c r="C8096" s="1332" t="s">
        <v>3688</v>
      </c>
      <c r="D8096" s="1331"/>
      <c r="E8096" s="1331"/>
      <c r="F8096" s="1334"/>
      <c r="G8096" s="1104"/>
      <c r="H8096" s="1236"/>
      <c r="M8096" s="1566"/>
    </row>
    <row r="8097" spans="2:13" ht="27.6" hidden="1">
      <c r="B8097" s="1786"/>
      <c r="C8097" s="1126" t="str">
        <f>'[95]analisa baru'!$B$869</f>
        <v>Membuat 1 m3 beton mutu f’= 7.4 MPa (K 100). slump (12 ± 2) cm. w/c = 0.87</v>
      </c>
      <c r="D8097" s="1331" t="str">
        <f>'[95]analisa baru'!$A$869</f>
        <v xml:space="preserve">A.4.1.1.1 </v>
      </c>
      <c r="E8097" s="1331" t="s">
        <v>2646</v>
      </c>
      <c r="F8097" s="1334">
        <f>0.49*0.3</f>
        <v>0.14699999999999999</v>
      </c>
      <c r="G8097" s="1104">
        <f>G8073</f>
        <v>1298044.5</v>
      </c>
      <c r="H8097" s="1236">
        <f>G8097*F8097</f>
        <v>190812.54149999999</v>
      </c>
      <c r="M8097" s="1566"/>
    </row>
    <row r="8098" spans="2:13" hidden="1">
      <c r="B8098" s="1786"/>
      <c r="C8098" s="1332"/>
      <c r="D8098" s="1331"/>
      <c r="E8098" s="1331"/>
      <c r="F8098" s="1334" t="str">
        <f>"JUMLAH "&amp;C8096</f>
        <v xml:space="preserve">JUMLAH COR BETON </v>
      </c>
      <c r="G8098" s="1104"/>
      <c r="H8098" s="1236">
        <f>SUM(H8097)</f>
        <v>190812.54149999999</v>
      </c>
      <c r="M8098" s="1566"/>
    </row>
    <row r="8099" spans="2:13" hidden="1">
      <c r="B8099" s="1786" t="s">
        <v>706</v>
      </c>
      <c r="C8099" s="1332" t="s">
        <v>3689</v>
      </c>
      <c r="D8099" s="1331"/>
      <c r="E8099" s="1331"/>
      <c r="F8099" s="1334"/>
      <c r="G8099" s="1104"/>
      <c r="H8099" s="1236"/>
      <c r="M8099" s="1566"/>
    </row>
    <row r="8100" spans="2:13" ht="27.6" hidden="1">
      <c r="B8100" s="1786"/>
      <c r="C8100" s="1126" t="str">
        <f>'[95]analisa baru'!$B$963</f>
        <v>Membuat 1 m3 beton mutu f’  = 14.5 MPa (K 175). slump (12 ±2) cm. w/c = 0.66</v>
      </c>
      <c r="D8100" s="1331" t="str">
        <f>'[95]analisa baru'!$A$963</f>
        <v xml:space="preserve">A.4.1.1.5. </v>
      </c>
      <c r="E8100" s="1331" t="s">
        <v>2646</v>
      </c>
      <c r="F8100" s="1334">
        <f>0.4*0.4*0.06</f>
        <v>9.6000000000000009E-3</v>
      </c>
      <c r="G8100" s="1104">
        <f>G8076</f>
        <v>1477199.01</v>
      </c>
      <c r="H8100" s="1236">
        <f>G8100*F8100</f>
        <v>14181.110496000001</v>
      </c>
      <c r="M8100" s="1566"/>
    </row>
    <row r="8101" spans="2:13" hidden="1">
      <c r="B8101" s="1786"/>
      <c r="C8101" s="1332" t="str">
        <f>'[95]analisa baru'!$B$1231</f>
        <v xml:space="preserve">Pembesian 1 kg dengan besi polos </v>
      </c>
      <c r="D8101" s="1331" t="str">
        <f>'[95]analisa baru'!$A$1231</f>
        <v xml:space="preserve">A.4.1.1.17  </v>
      </c>
      <c r="E8101" s="1331" t="s">
        <v>773</v>
      </c>
      <c r="F8101" s="1334">
        <f>F8100*75</f>
        <v>0.72000000000000008</v>
      </c>
      <c r="G8101" s="1104">
        <f>G8077</f>
        <v>21993.13</v>
      </c>
      <c r="H8101" s="1236">
        <f>G8101*F8101</f>
        <v>15835.053600000003</v>
      </c>
      <c r="M8101" s="1566"/>
    </row>
    <row r="8102" spans="2:13" hidden="1">
      <c r="B8102" s="1786"/>
      <c r="C8102" s="1332" t="str">
        <f>'[95]analisa baru'!$B$1317</f>
        <v>Pemasangan 1 m2  bekisting untuk pondasi</v>
      </c>
      <c r="D8102" s="1331" t="str">
        <f>'[95]analisa baru'!$A$1317</f>
        <v xml:space="preserve">A.4.1.1.20  </v>
      </c>
      <c r="E8102" s="1331" t="s">
        <v>2646</v>
      </c>
      <c r="F8102" s="1334">
        <f>(0.4*0.4)/(1.2*2.4)</f>
        <v>5.5555555555555566E-2</v>
      </c>
      <c r="G8102" s="1104">
        <f>G8078</f>
        <v>455616.21</v>
      </c>
      <c r="H8102" s="1236">
        <f>G8102*F8102</f>
        <v>25312.011666666673</v>
      </c>
      <c r="M8102" s="1566"/>
    </row>
    <row r="8103" spans="2:13" hidden="1">
      <c r="B8103" s="1786"/>
      <c r="C8103" s="1332"/>
      <c r="D8103" s="1331"/>
      <c r="E8103" s="1331"/>
      <c r="F8103" s="1334" t="str">
        <f>"JUMLAH "&amp;C8099</f>
        <v>JUMLAH COR BETON BERTULANG</v>
      </c>
      <c r="G8103" s="1104"/>
      <c r="H8103" s="1236">
        <f>SUM(H8100:H8102)</f>
        <v>55328.17576266668</v>
      </c>
      <c r="M8103" s="1566"/>
    </row>
    <row r="8104" spans="2:13" hidden="1">
      <c r="B8104" s="1786" t="s">
        <v>708</v>
      </c>
      <c r="C8104" s="1332" t="s">
        <v>3698</v>
      </c>
      <c r="D8104" s="1331"/>
      <c r="E8104" s="1331"/>
      <c r="F8104" s="1334"/>
      <c r="G8104" s="1104"/>
      <c r="H8104" s="1236"/>
      <c r="M8104" s="1566"/>
    </row>
    <row r="8105" spans="2:13" hidden="1">
      <c r="B8105" s="1792"/>
      <c r="C8105" s="1332" t="str">
        <f>'[95]analisa baru'!$B$2295</f>
        <v>Pemasangan 1 kg besi profil</v>
      </c>
      <c r="D8105" s="1331" t="str">
        <f>'[95]analisa baru'!$A$2295</f>
        <v xml:space="preserve"> A.4.2.1.1. </v>
      </c>
      <c r="E8105" s="1331" t="s">
        <v>773</v>
      </c>
      <c r="F8105" s="1334">
        <f>((0.4*4)*(27.3/5))+((0.4*4*2)*(6.72/6))</f>
        <v>12.32</v>
      </c>
      <c r="G8105" s="1104">
        <f>G8081</f>
        <v>50105.5</v>
      </c>
      <c r="H8105" s="1236">
        <f>G8105*F8105</f>
        <v>617299.76</v>
      </c>
      <c r="M8105" s="1566"/>
    </row>
    <row r="8106" spans="2:13" hidden="1">
      <c r="B8106" s="1540"/>
      <c r="C8106" s="1332"/>
      <c r="D8106" s="1331"/>
      <c r="E8106" s="1331"/>
      <c r="F8106" s="1334" t="str">
        <f>"JUMLAH "&amp;C8104</f>
        <v>JUMLAH PAS.BESI SIKU L.60.60.5 + L.25.25.3</v>
      </c>
      <c r="G8106" s="1104"/>
      <c r="H8106" s="1236">
        <f>SUM(H8105)</f>
        <v>617299.76</v>
      </c>
      <c r="M8106" s="1566"/>
    </row>
    <row r="8107" spans="2:13" s="496" customFormat="1" hidden="1">
      <c r="B8107" s="1543" t="s">
        <v>711</v>
      </c>
      <c r="C8107" s="2111" t="s">
        <v>3691</v>
      </c>
      <c r="D8107" s="2112"/>
      <c r="E8107" s="2112"/>
      <c r="F8107" s="2112"/>
      <c r="G8107" s="2113"/>
      <c r="H8107" s="1239">
        <f>H8091+H8095+H8098+H8103+H8106</f>
        <v>1145542.3735626666</v>
      </c>
      <c r="J8107" s="1559"/>
      <c r="K8107" s="1559"/>
      <c r="L8107" s="1559"/>
      <c r="M8107" s="1635"/>
    </row>
    <row r="8108" spans="2:13" s="496" customFormat="1" hidden="1">
      <c r="B8108" s="1543" t="s">
        <v>3400</v>
      </c>
      <c r="C8108" s="2111" t="s">
        <v>709</v>
      </c>
      <c r="D8108" s="2112"/>
      <c r="E8108" s="2113"/>
      <c r="F8108" s="2151" t="s">
        <v>3692</v>
      </c>
      <c r="G8108" s="2127"/>
      <c r="H8108" s="1239">
        <f>H8107*0%</f>
        <v>0</v>
      </c>
      <c r="J8108" s="1559"/>
      <c r="K8108" s="1559"/>
      <c r="L8108" s="1559"/>
      <c r="M8108" s="1635"/>
    </row>
    <row r="8109" spans="2:13" s="496" customFormat="1" hidden="1">
      <c r="B8109" s="1543" t="s">
        <v>3693</v>
      </c>
      <c r="C8109" s="2111" t="s">
        <v>3694</v>
      </c>
      <c r="D8109" s="2112"/>
      <c r="E8109" s="2112"/>
      <c r="F8109" s="2112"/>
      <c r="G8109" s="2113"/>
      <c r="H8109" s="1239">
        <f>SUM(H8107:H8108)</f>
        <v>1145542.3735626666</v>
      </c>
      <c r="J8109" s="1559"/>
      <c r="K8109" s="1559"/>
      <c r="L8109" s="1559"/>
      <c r="M8109" s="1635"/>
    </row>
    <row r="8110" spans="2:13" hidden="1">
      <c r="B8110" s="1129"/>
      <c r="C8110" s="1130"/>
      <c r="D8110" s="1129"/>
      <c r="E8110" s="1129"/>
      <c r="F8110" s="1131"/>
      <c r="G8110" s="1132"/>
      <c r="H8110" s="1249"/>
      <c r="M8110" s="1566"/>
    </row>
    <row r="8111" spans="2:13" hidden="1">
      <c r="B8111" s="1100" t="s">
        <v>3701</v>
      </c>
      <c r="C8111" s="1232" t="s">
        <v>3702</v>
      </c>
      <c r="F8111" s="1172"/>
      <c r="G8111" s="1173"/>
      <c r="H8111" s="1711"/>
      <c r="M8111" s="1566"/>
    </row>
    <row r="8112" spans="2:13" s="507" customFormat="1" ht="24.9" hidden="1" customHeight="1">
      <c r="B8112" s="1748" t="s">
        <v>1003</v>
      </c>
      <c r="C8112" s="1101" t="s">
        <v>1004</v>
      </c>
      <c r="D8112" s="1101" t="s">
        <v>1005</v>
      </c>
      <c r="E8112" s="1101" t="s">
        <v>1006</v>
      </c>
      <c r="F8112" s="1102" t="s">
        <v>1007</v>
      </c>
      <c r="G8112" s="1109" t="s">
        <v>2637</v>
      </c>
      <c r="H8112" s="1235" t="s">
        <v>2638</v>
      </c>
      <c r="J8112" s="1625"/>
      <c r="K8112" s="1625"/>
      <c r="L8112" s="1625"/>
      <c r="M8112" s="1570"/>
    </row>
    <row r="8113" spans="2:13" hidden="1">
      <c r="B8113" s="1786" t="s">
        <v>671</v>
      </c>
      <c r="C8113" s="1332" t="s">
        <v>3686</v>
      </c>
      <c r="D8113" s="1156"/>
      <c r="E8113" s="1156"/>
      <c r="F8113" s="1158"/>
      <c r="G8113" s="1159"/>
      <c r="H8113" s="1239"/>
      <c r="M8113" s="1566"/>
    </row>
    <row r="8114" spans="2:13" ht="27.6" hidden="1">
      <c r="B8114" s="1786"/>
      <c r="C8114" s="1258" t="str">
        <f>'[95]analisa baru'!$B$366</f>
        <v xml:space="preserve"> Penggalian 1 m3 tanah biasa sedalam 1 m</v>
      </c>
      <c r="D8114" s="1331" t="str">
        <f>'[95]analisa baru'!$A$366</f>
        <v>A.2.3.1.1.</v>
      </c>
      <c r="E8114" s="1539" t="s">
        <v>2646</v>
      </c>
      <c r="F8114" s="1334">
        <f>0.5*0.5*0.6</f>
        <v>0.15</v>
      </c>
      <c r="G8114" s="1104">
        <f>G8090</f>
        <v>135843.75</v>
      </c>
      <c r="H8114" s="1236">
        <f>G8114*F8114</f>
        <v>20376.5625</v>
      </c>
      <c r="M8114" s="1566"/>
    </row>
    <row r="8115" spans="2:13" hidden="1">
      <c r="B8115" s="1786"/>
      <c r="C8115" s="1332"/>
      <c r="D8115" s="1331"/>
      <c r="E8115" s="1539"/>
      <c r="F8115" s="1334" t="str">
        <f>"JUMLAH "&amp;C8113</f>
        <v>JUMLAH GALIAN TANAH</v>
      </c>
      <c r="G8115" s="1104"/>
      <c r="H8115" s="1236">
        <f>SUM(H8114)</f>
        <v>20376.5625</v>
      </c>
      <c r="M8115" s="1566"/>
    </row>
    <row r="8116" spans="2:13" hidden="1">
      <c r="B8116" s="1786" t="s">
        <v>686</v>
      </c>
      <c r="C8116" s="1332" t="s">
        <v>3687</v>
      </c>
      <c r="D8116" s="1331"/>
      <c r="E8116" s="1331"/>
      <c r="F8116" s="1334"/>
      <c r="G8116" s="1104"/>
      <c r="H8116" s="1236"/>
      <c r="M8116" s="1566"/>
    </row>
    <row r="8117" spans="2:13" ht="41.4" hidden="1">
      <c r="B8117" s="1786"/>
      <c r="C8117" s="1126" t="str">
        <f>$C$7977</f>
        <v>Pemasangan 1m2  dinding bata merah (5x11x22) cm tebal ½ batu campuran  1SP :2PP</v>
      </c>
      <c r="D8117" s="1331" t="str">
        <f>$D$7977</f>
        <v>A. 4.4.1.7</v>
      </c>
      <c r="E8117" s="1331" t="s">
        <v>2647</v>
      </c>
      <c r="F8117" s="1334">
        <f>0.55*(0.5*4)</f>
        <v>1.1000000000000001</v>
      </c>
      <c r="G8117" s="1104">
        <f>G8093</f>
        <v>170824.27</v>
      </c>
      <c r="H8117" s="1236">
        <f>G8117*F8117</f>
        <v>187906.69700000001</v>
      </c>
      <c r="M8117" s="1566"/>
    </row>
    <row r="8118" spans="2:13" ht="27.6" hidden="1">
      <c r="B8118" s="1786"/>
      <c r="C8118" s="1126" t="str">
        <f>$C$7978</f>
        <v>Pemasangan 1 m2 plesteran 1SP : 2PP tebal 15 mm</v>
      </c>
      <c r="D8118" s="1331" t="str">
        <f>$D$7978</f>
        <v>A.4.4.2.2</v>
      </c>
      <c r="E8118" s="1331" t="s">
        <v>2647</v>
      </c>
      <c r="F8118" s="1334">
        <f>0.4*0.4*4</f>
        <v>0.64000000000000012</v>
      </c>
      <c r="G8118" s="1104">
        <f>G8094</f>
        <v>115341.62</v>
      </c>
      <c r="H8118" s="1236">
        <f>G8118*F8118</f>
        <v>73818.636800000007</v>
      </c>
      <c r="M8118" s="1566"/>
    </row>
    <row r="8119" spans="2:13" hidden="1">
      <c r="B8119" s="1786"/>
      <c r="C8119" s="1126"/>
      <c r="D8119" s="1331"/>
      <c r="E8119" s="1331"/>
      <c r="F8119" s="1334" t="str">
        <f>"JUMLAH "&amp;C8116</f>
        <v>JUMLAH PAS.BATU BATA</v>
      </c>
      <c r="G8119" s="1104"/>
      <c r="H8119" s="1236">
        <f>SUM(H8117:H8118)</f>
        <v>261725.33380000002</v>
      </c>
      <c r="M8119" s="1566"/>
    </row>
    <row r="8120" spans="2:13" hidden="1">
      <c r="B8120" s="1786" t="s">
        <v>703</v>
      </c>
      <c r="C8120" s="1332" t="s">
        <v>3688</v>
      </c>
      <c r="D8120" s="1331"/>
      <c r="E8120" s="1331"/>
      <c r="F8120" s="1334"/>
      <c r="G8120" s="1104"/>
      <c r="H8120" s="1236"/>
      <c r="M8120" s="1566"/>
    </row>
    <row r="8121" spans="2:13" ht="27.6" hidden="1">
      <c r="B8121" s="1786"/>
      <c r="C8121" s="1126" t="str">
        <f>'[95]analisa baru'!$B$869</f>
        <v>Membuat 1 m3 beton mutu f’= 7.4 MPa (K 100). slump (12 ± 2) cm. w/c = 0.87</v>
      </c>
      <c r="D8121" s="1331" t="str">
        <f>'[95]analisa baru'!$A$869</f>
        <v xml:space="preserve">A.4.1.1.1 </v>
      </c>
      <c r="E8121" s="1331" t="s">
        <v>2646</v>
      </c>
      <c r="F8121" s="1334">
        <f>0.49*0.3</f>
        <v>0.14699999999999999</v>
      </c>
      <c r="G8121" s="1104">
        <f>G8097</f>
        <v>1298044.5</v>
      </c>
      <c r="H8121" s="1236">
        <f>G8121*F8121</f>
        <v>190812.54149999999</v>
      </c>
      <c r="M8121" s="1566"/>
    </row>
    <row r="8122" spans="2:13" hidden="1">
      <c r="B8122" s="1786"/>
      <c r="C8122" s="1332"/>
      <c r="D8122" s="1331"/>
      <c r="E8122" s="1331"/>
      <c r="F8122" s="1334" t="str">
        <f>"JUMLAH "&amp;C8120</f>
        <v xml:space="preserve">JUMLAH COR BETON </v>
      </c>
      <c r="G8122" s="1104"/>
      <c r="H8122" s="1236">
        <f>SUM(H8121)</f>
        <v>190812.54149999999</v>
      </c>
      <c r="M8122" s="1566"/>
    </row>
    <row r="8123" spans="2:13" hidden="1">
      <c r="B8123" s="1786" t="s">
        <v>706</v>
      </c>
      <c r="C8123" s="1332" t="s">
        <v>3689</v>
      </c>
      <c r="D8123" s="1331"/>
      <c r="E8123" s="1331"/>
      <c r="F8123" s="1334"/>
      <c r="G8123" s="1104"/>
      <c r="H8123" s="1236"/>
      <c r="M8123" s="1566"/>
    </row>
    <row r="8124" spans="2:13" ht="27.6" hidden="1">
      <c r="B8124" s="1786"/>
      <c r="C8124" s="1126" t="str">
        <f>'[95]analisa baru'!$B$963</f>
        <v>Membuat 1 m3 beton mutu f’  = 14.5 MPa (K 175). slump (12 ±2) cm. w/c = 0.66</v>
      </c>
      <c r="D8124" s="1331" t="str">
        <f>'[95]analisa baru'!$A$963</f>
        <v xml:space="preserve">A.4.1.1.5. </v>
      </c>
      <c r="E8124" s="1331" t="s">
        <v>2646</v>
      </c>
      <c r="F8124" s="1334">
        <f>0.4*0.4*0.06</f>
        <v>9.6000000000000009E-3</v>
      </c>
      <c r="G8124" s="1104">
        <f>G8100</f>
        <v>1477199.01</v>
      </c>
      <c r="H8124" s="1236">
        <f>G8124*F8124</f>
        <v>14181.110496000001</v>
      </c>
      <c r="M8124" s="1566"/>
    </row>
    <row r="8125" spans="2:13" hidden="1">
      <c r="B8125" s="1786"/>
      <c r="C8125" s="1332" t="str">
        <f>'[95]analisa baru'!$B$1231</f>
        <v xml:space="preserve">Pembesian 1 kg dengan besi polos </v>
      </c>
      <c r="D8125" s="1331" t="str">
        <f>'[95]analisa baru'!$A$1231</f>
        <v xml:space="preserve">A.4.1.1.17  </v>
      </c>
      <c r="E8125" s="1331" t="s">
        <v>773</v>
      </c>
      <c r="F8125" s="1334">
        <f>F8124*75</f>
        <v>0.72000000000000008</v>
      </c>
      <c r="G8125" s="1104">
        <f>G8101</f>
        <v>21993.13</v>
      </c>
      <c r="H8125" s="1236">
        <f>G8125*F8125</f>
        <v>15835.053600000003</v>
      </c>
      <c r="M8125" s="1566"/>
    </row>
    <row r="8126" spans="2:13" hidden="1">
      <c r="B8126" s="1786"/>
      <c r="C8126" s="1332" t="str">
        <f>'[95]analisa baru'!$B$1317</f>
        <v>Pemasangan 1 m2  bekisting untuk pondasi</v>
      </c>
      <c r="D8126" s="1331" t="str">
        <f>'[95]analisa baru'!$A$1317</f>
        <v xml:space="preserve">A.4.1.1.20  </v>
      </c>
      <c r="E8126" s="1331" t="s">
        <v>2646</v>
      </c>
      <c r="F8126" s="1334">
        <f>(0.4*0.4)/(1.2*2.4)</f>
        <v>5.5555555555555566E-2</v>
      </c>
      <c r="G8126" s="1104">
        <f>G8102</f>
        <v>455616.21</v>
      </c>
      <c r="H8126" s="1236">
        <f>G8126*F8126</f>
        <v>25312.011666666673</v>
      </c>
      <c r="M8126" s="1566"/>
    </row>
    <row r="8127" spans="2:13" hidden="1">
      <c r="B8127" s="1786"/>
      <c r="C8127" s="1332"/>
      <c r="D8127" s="1331"/>
      <c r="E8127" s="1331"/>
      <c r="F8127" s="1334" t="str">
        <f>"JUMLAH "&amp;C8123</f>
        <v>JUMLAH COR BETON BERTULANG</v>
      </c>
      <c r="G8127" s="1104"/>
      <c r="H8127" s="1236">
        <f>SUM(H8124:H8126)</f>
        <v>55328.17576266668</v>
      </c>
      <c r="M8127" s="1566"/>
    </row>
    <row r="8128" spans="2:13" hidden="1">
      <c r="B8128" s="1786" t="s">
        <v>708</v>
      </c>
      <c r="C8128" s="1332" t="s">
        <v>3698</v>
      </c>
      <c r="D8128" s="1331"/>
      <c r="E8128" s="1331"/>
      <c r="F8128" s="1334"/>
      <c r="G8128" s="1104"/>
      <c r="H8128" s="1236"/>
      <c r="M8128" s="1566"/>
    </row>
    <row r="8129" spans="2:13" hidden="1">
      <c r="B8129" s="1786"/>
      <c r="C8129" s="1332" t="str">
        <f>'[95]analisa baru'!$B$2295</f>
        <v>Pemasangan 1 kg besi profil</v>
      </c>
      <c r="D8129" s="1331" t="str">
        <f>'[95]analisa baru'!$A$2295</f>
        <v xml:space="preserve"> A.4.2.1.1. </v>
      </c>
      <c r="E8129" s="1331" t="s">
        <v>773</v>
      </c>
      <c r="F8129" s="1334">
        <f>((0.4*4)*(27.3/5))+((0.4*4*2)*(6.72/6))</f>
        <v>12.32</v>
      </c>
      <c r="G8129" s="1104">
        <f>G8105</f>
        <v>50105.5</v>
      </c>
      <c r="H8129" s="1236">
        <f>G8129*F8129</f>
        <v>617299.76</v>
      </c>
      <c r="M8129" s="1566"/>
    </row>
    <row r="8130" spans="2:13" hidden="1">
      <c r="B8130" s="1786"/>
      <c r="C8130" s="1332"/>
      <c r="D8130" s="1331"/>
      <c r="E8130" s="1331"/>
      <c r="F8130" s="1334" t="str">
        <f>"JUMLAH "&amp;C8128</f>
        <v>JUMLAH PAS.BESI SIKU L.60.60.5 + L.25.25.3</v>
      </c>
      <c r="G8130" s="1104"/>
      <c r="H8130" s="1236">
        <f>SUM(H8129)</f>
        <v>617299.76</v>
      </c>
      <c r="M8130" s="1566"/>
    </row>
    <row r="8131" spans="2:13" hidden="1">
      <c r="B8131" s="1786" t="s">
        <v>711</v>
      </c>
      <c r="C8131" s="1332" t="s">
        <v>3703</v>
      </c>
      <c r="D8131" s="1331"/>
      <c r="E8131" s="1331"/>
      <c r="F8131" s="1334"/>
      <c r="G8131" s="1104"/>
      <c r="H8131" s="1236"/>
      <c r="M8131" s="1566"/>
    </row>
    <row r="8132" spans="2:13" hidden="1">
      <c r="B8132" s="1786"/>
      <c r="C8132" s="1332" t="s">
        <v>3790</v>
      </c>
      <c r="D8132" s="1331" t="s">
        <v>3704</v>
      </c>
      <c r="E8132" s="1331" t="s">
        <v>1423</v>
      </c>
      <c r="F8132" s="1334">
        <v>1</v>
      </c>
      <c r="G8132" s="1104">
        <f>DUB!$I$582</f>
        <v>64260</v>
      </c>
      <c r="H8132" s="1236">
        <f>G8132*F8132</f>
        <v>64260</v>
      </c>
      <c r="M8132" s="1566"/>
    </row>
    <row r="8133" spans="2:13" hidden="1">
      <c r="B8133" s="1786"/>
      <c r="C8133" s="1332" t="s">
        <v>3791</v>
      </c>
      <c r="D8133" s="1331" t="s">
        <v>3704</v>
      </c>
      <c r="E8133" s="1331" t="s">
        <v>1423</v>
      </c>
      <c r="F8133" s="1334">
        <v>1</v>
      </c>
      <c r="G8133" s="1104">
        <f>DUB!$I$583</f>
        <v>96390</v>
      </c>
      <c r="H8133" s="1236">
        <f>G8133*F8133</f>
        <v>96390</v>
      </c>
      <c r="M8133" s="1566"/>
    </row>
    <row r="8134" spans="2:13" hidden="1">
      <c r="B8134" s="1786"/>
      <c r="C8134" s="1332" t="s">
        <v>3705</v>
      </c>
      <c r="D8134" s="1331" t="s">
        <v>3704</v>
      </c>
      <c r="E8134" s="1331" t="s">
        <v>2944</v>
      </c>
      <c r="F8134" s="1334">
        <v>0.3</v>
      </c>
      <c r="G8134" s="1104">
        <f>DUB!I571</f>
        <v>112068</v>
      </c>
      <c r="H8134" s="1236">
        <f>G8134*F8134</f>
        <v>33620.400000000001</v>
      </c>
      <c r="M8134" s="1566"/>
    </row>
    <row r="8135" spans="2:13" hidden="1">
      <c r="B8135" s="1540"/>
      <c r="C8135" s="1332"/>
      <c r="D8135" s="1331"/>
      <c r="E8135" s="1331"/>
      <c r="F8135" s="1334" t="str">
        <f>"JUMLAH "&amp;C8131</f>
        <v>JUMLAH Pas. Smell trap</v>
      </c>
      <c r="G8135" s="1104"/>
      <c r="H8135" s="1236">
        <f>SUM(H8132:H8134)</f>
        <v>194270.4</v>
      </c>
      <c r="M8135" s="1566"/>
    </row>
    <row r="8136" spans="2:13" s="496" customFormat="1" hidden="1">
      <c r="B8136" s="1543" t="s">
        <v>3400</v>
      </c>
      <c r="C8136" s="2111" t="s">
        <v>3706</v>
      </c>
      <c r="D8136" s="2112"/>
      <c r="E8136" s="2112"/>
      <c r="F8136" s="2112"/>
      <c r="G8136" s="2113"/>
      <c r="H8136" s="1239">
        <f>SUM(H8115,H8119,H8122,H8127,H8130,H8135)</f>
        <v>1339812.7735626665</v>
      </c>
      <c r="J8136" s="1559"/>
      <c r="K8136" s="1559"/>
      <c r="L8136" s="1559"/>
      <c r="M8136" s="1635"/>
    </row>
    <row r="8137" spans="2:13" s="496" customFormat="1" hidden="1">
      <c r="B8137" s="1543" t="s">
        <v>3693</v>
      </c>
      <c r="C8137" s="2111" t="s">
        <v>709</v>
      </c>
      <c r="D8137" s="2112"/>
      <c r="E8137" s="2113"/>
      <c r="F8137" s="2151" t="s">
        <v>3692</v>
      </c>
      <c r="G8137" s="2127"/>
      <c r="H8137" s="1239">
        <f>H8136*0%</f>
        <v>0</v>
      </c>
      <c r="J8137" s="1559"/>
      <c r="K8137" s="1559"/>
      <c r="L8137" s="1559"/>
      <c r="M8137" s="1635"/>
    </row>
    <row r="8138" spans="2:13" s="496" customFormat="1" hidden="1">
      <c r="B8138" s="1543" t="s">
        <v>2097</v>
      </c>
      <c r="C8138" s="2111" t="s">
        <v>3707</v>
      </c>
      <c r="D8138" s="2112"/>
      <c r="E8138" s="2112"/>
      <c r="F8138" s="2112"/>
      <c r="G8138" s="2113"/>
      <c r="H8138" s="1239">
        <f>SUM(H8136:H8137)</f>
        <v>1339812.7735626665</v>
      </c>
      <c r="J8138" s="1559"/>
      <c r="K8138" s="1559"/>
      <c r="L8138" s="1559"/>
      <c r="M8138" s="1635"/>
    </row>
    <row r="8139" spans="2:13" hidden="1">
      <c r="B8139" s="1129"/>
      <c r="C8139" s="1130"/>
      <c r="D8139" s="1129"/>
      <c r="E8139" s="1129"/>
      <c r="F8139" s="1131"/>
      <c r="G8139" s="1132"/>
      <c r="H8139" s="1249"/>
      <c r="M8139" s="1566"/>
    </row>
    <row r="8140" spans="2:13" hidden="1">
      <c r="B8140" s="1100" t="s">
        <v>3708</v>
      </c>
      <c r="C8140" s="1232" t="s">
        <v>3709</v>
      </c>
      <c r="F8140" s="1172"/>
      <c r="G8140" s="1173"/>
      <c r="H8140" s="1711"/>
      <c r="M8140" s="1566"/>
    </row>
    <row r="8141" spans="2:13" s="507" customFormat="1" ht="24.9" hidden="1" customHeight="1">
      <c r="B8141" s="1748" t="s">
        <v>1003</v>
      </c>
      <c r="C8141" s="1101" t="s">
        <v>1004</v>
      </c>
      <c r="D8141" s="1101" t="s">
        <v>1005</v>
      </c>
      <c r="E8141" s="1101" t="s">
        <v>1006</v>
      </c>
      <c r="F8141" s="1102" t="s">
        <v>1007</v>
      </c>
      <c r="G8141" s="1109" t="s">
        <v>2637</v>
      </c>
      <c r="H8141" s="1235" t="s">
        <v>2638</v>
      </c>
      <c r="J8141" s="1625"/>
      <c r="K8141" s="1625"/>
      <c r="L8141" s="1625"/>
      <c r="M8141" s="1570"/>
    </row>
    <row r="8142" spans="2:13" hidden="1">
      <c r="B8142" s="1786" t="s">
        <v>671</v>
      </c>
      <c r="C8142" s="1332" t="s">
        <v>3686</v>
      </c>
      <c r="D8142" s="1156"/>
      <c r="E8142" s="1156"/>
      <c r="F8142" s="1158"/>
      <c r="G8142" s="1159"/>
      <c r="H8142" s="1239"/>
      <c r="M8142" s="1566"/>
    </row>
    <row r="8143" spans="2:13" ht="27.6" hidden="1">
      <c r="B8143" s="1786"/>
      <c r="C8143" s="1258" t="str">
        <f>'[95]analisa baru'!$B$366</f>
        <v xml:space="preserve"> Penggalian 1 m3 tanah biasa sedalam 1 m</v>
      </c>
      <c r="D8143" s="1331" t="str">
        <f>'[95]analisa baru'!$A$366</f>
        <v>A.2.3.1.1.</v>
      </c>
      <c r="E8143" s="1539" t="s">
        <v>2646</v>
      </c>
      <c r="F8143" s="1334">
        <f>0.7*0.6*1</f>
        <v>0.42</v>
      </c>
      <c r="G8143" s="1104">
        <f>G8066</f>
        <v>135843.75</v>
      </c>
      <c r="H8143" s="1236">
        <f>G8143*F8143</f>
        <v>57054.375</v>
      </c>
      <c r="M8143" s="1566"/>
    </row>
    <row r="8144" spans="2:13" hidden="1">
      <c r="B8144" s="1786"/>
      <c r="C8144" s="1332"/>
      <c r="D8144" s="1331"/>
      <c r="E8144" s="1539"/>
      <c r="F8144" s="1334" t="str">
        <f>"JUMLAH "&amp;C8142</f>
        <v>JUMLAH GALIAN TANAH</v>
      </c>
      <c r="G8144" s="1104"/>
      <c r="H8144" s="1236">
        <f>SUM(H8143)</f>
        <v>57054.375</v>
      </c>
      <c r="M8144" s="1566"/>
    </row>
    <row r="8145" spans="2:13" hidden="1">
      <c r="B8145" s="1786" t="s">
        <v>686</v>
      </c>
      <c r="C8145" s="1332" t="s">
        <v>3687</v>
      </c>
      <c r="D8145" s="1331"/>
      <c r="E8145" s="1331"/>
      <c r="F8145" s="1334"/>
      <c r="G8145" s="1104"/>
      <c r="H8145" s="1236"/>
      <c r="M8145" s="1566"/>
    </row>
    <row r="8146" spans="2:13" ht="41.4" hidden="1">
      <c r="B8146" s="1786"/>
      <c r="C8146" s="1126" t="str">
        <f>$C$7977</f>
        <v>Pemasangan 1m2  dinding bata merah (5x11x22) cm tebal ½ batu campuran  1SP :2PP</v>
      </c>
      <c r="D8146" s="1331" t="str">
        <f>$D$7977</f>
        <v>A. 4.4.1.7</v>
      </c>
      <c r="E8146" s="1331" t="s">
        <v>2647</v>
      </c>
      <c r="F8146" s="1334">
        <f>1*(0.8+0.8+0.7+0.7)</f>
        <v>3</v>
      </c>
      <c r="G8146" s="1104">
        <f>$G$8069</f>
        <v>170824.27</v>
      </c>
      <c r="H8146" s="1236">
        <f>G8146*F8146</f>
        <v>512472.80999999994</v>
      </c>
      <c r="M8146" s="1566"/>
    </row>
    <row r="8147" spans="2:13" ht="27.6" hidden="1">
      <c r="B8147" s="1786"/>
      <c r="C8147" s="1126" t="str">
        <f>$C$7978</f>
        <v>Pemasangan 1 m2 plesteran 1SP : 2PP tebal 15 mm</v>
      </c>
      <c r="D8147" s="1331" t="str">
        <f>$D$7978</f>
        <v>A.4.4.2.2</v>
      </c>
      <c r="E8147" s="1331" t="s">
        <v>2647</v>
      </c>
      <c r="F8147" s="1334">
        <f>(0.8*0.7*2)+(0.8*0.6*2)</f>
        <v>2.08</v>
      </c>
      <c r="G8147" s="1104">
        <f>$G$8070</f>
        <v>115341.62</v>
      </c>
      <c r="H8147" s="1236">
        <f>G8147*F8147</f>
        <v>239910.56959999999</v>
      </c>
      <c r="M8147" s="1566"/>
    </row>
    <row r="8148" spans="2:13" hidden="1">
      <c r="B8148" s="1786"/>
      <c r="C8148" s="1126"/>
      <c r="D8148" s="1331"/>
      <c r="E8148" s="1331"/>
      <c r="F8148" s="1334" t="str">
        <f>"JUMLAH "&amp;C8145</f>
        <v>JUMLAH PAS.BATU BATA</v>
      </c>
      <c r="G8148" s="1104"/>
      <c r="H8148" s="1236">
        <f>SUM(H8146:H8147)</f>
        <v>752383.37959999987</v>
      </c>
      <c r="M8148" s="1566"/>
    </row>
    <row r="8149" spans="2:13" hidden="1">
      <c r="B8149" s="1786" t="s">
        <v>703</v>
      </c>
      <c r="C8149" s="1332" t="s">
        <v>3688</v>
      </c>
      <c r="D8149" s="1331"/>
      <c r="E8149" s="1331"/>
      <c r="F8149" s="1334"/>
      <c r="G8149" s="1104"/>
      <c r="H8149" s="1236"/>
      <c r="M8149" s="1566"/>
    </row>
    <row r="8150" spans="2:13" ht="27.6" hidden="1">
      <c r="B8150" s="1786"/>
      <c r="C8150" s="1126" t="str">
        <f>'[95]analisa baru'!$B$869</f>
        <v>Membuat 1 m3 beton mutu f’= 7.4 MPa (K 100). slump (12 ± 2) cm. w/c = 0.87</v>
      </c>
      <c r="D8150" s="1331" t="str">
        <f>'[95]analisa baru'!$A$869</f>
        <v xml:space="preserve">A.4.1.1.1 </v>
      </c>
      <c r="E8150" s="1331" t="s">
        <v>2646</v>
      </c>
      <c r="F8150" s="1334">
        <f>0.973*0.8</f>
        <v>0.77839999999999998</v>
      </c>
      <c r="G8150" s="1104">
        <f>G8073</f>
        <v>1298044.5</v>
      </c>
      <c r="H8150" s="1236">
        <f>G8150*F8150</f>
        <v>1010397.8388</v>
      </c>
      <c r="M8150" s="1566"/>
    </row>
    <row r="8151" spans="2:13" hidden="1">
      <c r="B8151" s="1786"/>
      <c r="C8151" s="1332"/>
      <c r="D8151" s="1331"/>
      <c r="E8151" s="1331"/>
      <c r="F8151" s="1334" t="str">
        <f>"JUMLAH "&amp;C8149</f>
        <v xml:space="preserve">JUMLAH COR BETON </v>
      </c>
      <c r="G8151" s="1104"/>
      <c r="H8151" s="1236">
        <f>SUM(H8150)</f>
        <v>1010397.8388</v>
      </c>
      <c r="M8151" s="1566"/>
    </row>
    <row r="8152" spans="2:13" hidden="1">
      <c r="B8152" s="1786" t="s">
        <v>706</v>
      </c>
      <c r="C8152" s="1332" t="s">
        <v>3689</v>
      </c>
      <c r="D8152" s="1331"/>
      <c r="E8152" s="1331"/>
      <c r="F8152" s="1334"/>
      <c r="G8152" s="1104"/>
      <c r="H8152" s="1236"/>
      <c r="M8152" s="1566"/>
    </row>
    <row r="8153" spans="2:13" ht="27.6" hidden="1">
      <c r="B8153" s="1786"/>
      <c r="C8153" s="1126" t="str">
        <f>'[95]analisa baru'!$B$963</f>
        <v>Membuat 1 m3 beton mutu f’  = 14.5 MPa (K 175). slump (12 ±2) cm. w/c = 0.66</v>
      </c>
      <c r="D8153" s="1331" t="str">
        <f>'[95]analisa baru'!$A$963</f>
        <v xml:space="preserve">A.4.1.1.5. </v>
      </c>
      <c r="E8153" s="1331" t="s">
        <v>2646</v>
      </c>
      <c r="F8153" s="1334">
        <f>0.6*0.7*0.08*2</f>
        <v>6.7199999999999996E-2</v>
      </c>
      <c r="G8153" s="1104">
        <f>G8076</f>
        <v>1477199.01</v>
      </c>
      <c r="H8153" s="1236">
        <f>G8153*F8153</f>
        <v>99267.773472000001</v>
      </c>
      <c r="M8153" s="1566"/>
    </row>
    <row r="8154" spans="2:13" hidden="1">
      <c r="B8154" s="1786"/>
      <c r="C8154" s="1332" t="str">
        <f>'[95]analisa baru'!$B$1231</f>
        <v xml:space="preserve">Pembesian 1 kg dengan besi polos </v>
      </c>
      <c r="D8154" s="1331" t="str">
        <f>'[95]analisa baru'!$A$1231</f>
        <v xml:space="preserve">A.4.1.1.17  </v>
      </c>
      <c r="E8154" s="1331" t="s">
        <v>773</v>
      </c>
      <c r="F8154" s="1334">
        <f>F8153*125</f>
        <v>8.4</v>
      </c>
      <c r="G8154" s="1104">
        <f>G8077</f>
        <v>21993.13</v>
      </c>
      <c r="H8154" s="1236">
        <f>G8154*F8154</f>
        <v>184742.29200000002</v>
      </c>
      <c r="M8154" s="1566"/>
    </row>
    <row r="8155" spans="2:13" hidden="1">
      <c r="B8155" s="1786"/>
      <c r="C8155" s="1332" t="str">
        <f>'[95]analisa baru'!$B$1317</f>
        <v>Pemasangan 1 m2  bekisting untuk pondasi</v>
      </c>
      <c r="D8155" s="1331" t="str">
        <f>'[95]analisa baru'!$A$1317</f>
        <v xml:space="preserve">A.4.1.1.20  </v>
      </c>
      <c r="E8155" s="1331" t="s">
        <v>2646</v>
      </c>
      <c r="F8155" s="1334">
        <f>(0.6*0.7*2)/(1.2*2.4)</f>
        <v>0.29166666666666669</v>
      </c>
      <c r="G8155" s="1104">
        <f>G8078</f>
        <v>455616.21</v>
      </c>
      <c r="H8155" s="1236">
        <f>G8155*F8155</f>
        <v>132888.06125000003</v>
      </c>
      <c r="M8155" s="1566"/>
    </row>
    <row r="8156" spans="2:13" hidden="1">
      <c r="B8156" s="1786"/>
      <c r="C8156" s="1332"/>
      <c r="D8156" s="1331"/>
      <c r="E8156" s="1331"/>
      <c r="F8156" s="1334" t="str">
        <f>"JUMLAH "&amp;C8152</f>
        <v>JUMLAH COR BETON BERTULANG</v>
      </c>
      <c r="G8156" s="1104"/>
      <c r="H8156" s="1236">
        <f>SUM(H8153:H8155)</f>
        <v>416898.12672200007</v>
      </c>
      <c r="M8156" s="1566"/>
    </row>
    <row r="8157" spans="2:13" hidden="1">
      <c r="B8157" s="1786" t="s">
        <v>708</v>
      </c>
      <c r="C8157" s="1332" t="s">
        <v>3698</v>
      </c>
      <c r="D8157" s="1331"/>
      <c r="E8157" s="1331"/>
      <c r="F8157" s="1334"/>
      <c r="G8157" s="1104"/>
      <c r="H8157" s="1236"/>
      <c r="M8157" s="1566"/>
    </row>
    <row r="8158" spans="2:13" hidden="1">
      <c r="B8158" s="1792"/>
      <c r="C8158" s="1332" t="str">
        <f>'[95]analisa baru'!$B$2295</f>
        <v>Pemasangan 1 kg besi profil</v>
      </c>
      <c r="D8158" s="1331" t="str">
        <f>'[95]analisa baru'!$A$2295</f>
        <v xml:space="preserve"> A.4.2.1.1. </v>
      </c>
      <c r="E8158" s="1331" t="s">
        <v>773</v>
      </c>
      <c r="F8158" s="1334">
        <f>((1.4+1.2)*(27.3/5))+((2*4)*(6.72/6))</f>
        <v>23.155999999999999</v>
      </c>
      <c r="G8158" s="1104">
        <f>G8081</f>
        <v>50105.5</v>
      </c>
      <c r="H8158" s="1236">
        <f>G8158*F8158</f>
        <v>1160242.9579999999</v>
      </c>
      <c r="M8158" s="1566"/>
    </row>
    <row r="8159" spans="2:13" hidden="1">
      <c r="B8159" s="1792"/>
      <c r="C8159" s="1332"/>
      <c r="D8159" s="1331"/>
      <c r="E8159" s="1331"/>
      <c r="F8159" s="1334" t="str">
        <f>"JUMLAH "&amp;C8157</f>
        <v>JUMLAH PAS.BESI SIKU L.60.60.5 + L.25.25.3</v>
      </c>
      <c r="G8159" s="1104"/>
      <c r="H8159" s="1236">
        <f>SUM(H8158)</f>
        <v>1160242.9579999999</v>
      </c>
      <c r="M8159" s="1566"/>
    </row>
    <row r="8160" spans="2:13" s="496" customFormat="1" hidden="1">
      <c r="B8160" s="1543" t="s">
        <v>711</v>
      </c>
      <c r="C8160" s="2111" t="s">
        <v>3691</v>
      </c>
      <c r="D8160" s="2112"/>
      <c r="E8160" s="2112"/>
      <c r="F8160" s="2112"/>
      <c r="G8160" s="2113"/>
      <c r="H8160" s="1239">
        <f>SUM(H8144,H8148,H8151,H8156,H8159)</f>
        <v>3396976.6781219998</v>
      </c>
      <c r="J8160" s="1559"/>
      <c r="K8160" s="1559"/>
      <c r="L8160" s="1559"/>
      <c r="M8160" s="1635"/>
    </row>
    <row r="8161" spans="2:13" s="496" customFormat="1" hidden="1">
      <c r="B8161" s="1543" t="s">
        <v>3400</v>
      </c>
      <c r="C8161" s="2111" t="s">
        <v>709</v>
      </c>
      <c r="D8161" s="2112"/>
      <c r="E8161" s="2113"/>
      <c r="F8161" s="2151" t="s">
        <v>3692</v>
      </c>
      <c r="G8161" s="2127"/>
      <c r="H8161" s="1239">
        <f>H8160*0%</f>
        <v>0</v>
      </c>
      <c r="J8161" s="1559"/>
      <c r="K8161" s="1559"/>
      <c r="L8161" s="1559"/>
      <c r="M8161" s="1635"/>
    </row>
    <row r="8162" spans="2:13" s="496" customFormat="1" hidden="1">
      <c r="B8162" s="1543" t="s">
        <v>3693</v>
      </c>
      <c r="C8162" s="2111" t="s">
        <v>3694</v>
      </c>
      <c r="D8162" s="2112"/>
      <c r="E8162" s="2112"/>
      <c r="F8162" s="2112"/>
      <c r="G8162" s="2113"/>
      <c r="H8162" s="1239">
        <f>SUM(H8160:H8161)</f>
        <v>3396976.6781219998</v>
      </c>
      <c r="J8162" s="1559"/>
      <c r="K8162" s="1559"/>
      <c r="L8162" s="1559"/>
      <c r="M8162" s="1635"/>
    </row>
    <row r="8163" spans="2:13" hidden="1">
      <c r="B8163" s="1129"/>
      <c r="C8163" s="1130"/>
      <c r="D8163" s="1129"/>
      <c r="E8163" s="1129"/>
      <c r="F8163" s="1131"/>
      <c r="G8163" s="1132"/>
      <c r="H8163" s="1249"/>
      <c r="M8163" s="1566"/>
    </row>
    <row r="8164" spans="2:13" hidden="1">
      <c r="B8164" s="1100" t="s">
        <v>3710</v>
      </c>
      <c r="C8164" s="1232" t="s">
        <v>3711</v>
      </c>
      <c r="F8164" s="1172"/>
      <c r="G8164" s="1173"/>
      <c r="H8164" s="1711"/>
      <c r="M8164" s="1566"/>
    </row>
    <row r="8165" spans="2:13" s="507" customFormat="1" ht="24.9" hidden="1" customHeight="1">
      <c r="B8165" s="1748" t="s">
        <v>1003</v>
      </c>
      <c r="C8165" s="1101" t="s">
        <v>1004</v>
      </c>
      <c r="D8165" s="1101" t="s">
        <v>1005</v>
      </c>
      <c r="E8165" s="1101" t="s">
        <v>1006</v>
      </c>
      <c r="F8165" s="1102" t="s">
        <v>1007</v>
      </c>
      <c r="G8165" s="1109" t="s">
        <v>2637</v>
      </c>
      <c r="H8165" s="1235" t="s">
        <v>2638</v>
      </c>
      <c r="J8165" s="1625"/>
      <c r="K8165" s="1625"/>
      <c r="L8165" s="1625"/>
      <c r="M8165" s="1570"/>
    </row>
    <row r="8166" spans="2:13" hidden="1">
      <c r="B8166" s="1543" t="s">
        <v>671</v>
      </c>
      <c r="C8166" s="1332" t="s">
        <v>672</v>
      </c>
      <c r="D8166" s="1331"/>
      <c r="E8166" s="1331"/>
      <c r="F8166" s="1334"/>
      <c r="G8166" s="1104"/>
      <c r="H8166" s="1236"/>
      <c r="M8166" s="1566"/>
    </row>
    <row r="8167" spans="2:13" hidden="1">
      <c r="B8167" s="1543"/>
      <c r="C8167" s="1332" t="s">
        <v>673</v>
      </c>
      <c r="D8167" s="1331" t="s">
        <v>674</v>
      </c>
      <c r="E8167" s="1331" t="s">
        <v>675</v>
      </c>
      <c r="F8167" s="1334">
        <v>0.33</v>
      </c>
      <c r="G8167" s="1104">
        <f>DUB!$I$10</f>
        <v>150000</v>
      </c>
      <c r="H8167" s="1236">
        <f>G8167*F8167</f>
        <v>49500</v>
      </c>
      <c r="M8167" s="1566"/>
    </row>
    <row r="8168" spans="2:13" hidden="1">
      <c r="B8168" s="1543"/>
      <c r="C8168" s="1332" t="s">
        <v>782</v>
      </c>
      <c r="D8168" s="1331" t="s">
        <v>678</v>
      </c>
      <c r="E8168" s="1331" t="s">
        <v>675</v>
      </c>
      <c r="F8168" s="1334">
        <v>0.33</v>
      </c>
      <c r="G8168" s="1104">
        <f>DUB!$I$11</f>
        <v>187000</v>
      </c>
      <c r="H8168" s="1236">
        <f>G8168*F8168</f>
        <v>61710</v>
      </c>
      <c r="M8168" s="1566"/>
    </row>
    <row r="8169" spans="2:13" hidden="1">
      <c r="B8169" s="1543"/>
      <c r="C8169" s="1332" t="s">
        <v>683</v>
      </c>
      <c r="D8169" s="1331" t="s">
        <v>684</v>
      </c>
      <c r="E8169" s="1331" t="s">
        <v>675</v>
      </c>
      <c r="F8169" s="1334">
        <v>2.5000000000000001E-2</v>
      </c>
      <c r="G8169" s="1104">
        <f>$G$7836</f>
        <v>225000</v>
      </c>
      <c r="H8169" s="1236">
        <f>G8169*F8169</f>
        <v>5625</v>
      </c>
      <c r="M8169" s="1566"/>
    </row>
    <row r="8170" spans="2:13" hidden="1">
      <c r="B8170" s="1543"/>
      <c r="C8170" s="1332" t="s">
        <v>751</v>
      </c>
      <c r="D8170" s="1331" t="s">
        <v>3712</v>
      </c>
      <c r="E8170" s="1331" t="s">
        <v>675</v>
      </c>
      <c r="F8170" s="1334">
        <v>3.3000000000000002E-2</v>
      </c>
      <c r="G8170" s="1104">
        <f>$G$7044</f>
        <v>240000</v>
      </c>
      <c r="H8170" s="1236">
        <f>G8170*F8170</f>
        <v>7920</v>
      </c>
      <c r="M8170" s="1566"/>
    </row>
    <row r="8171" spans="2:13" hidden="1">
      <c r="B8171" s="1120"/>
      <c r="C8171" s="1253"/>
      <c r="D8171" s="1254"/>
      <c r="E8171" s="1253"/>
      <c r="F8171" s="1532" t="s">
        <v>685</v>
      </c>
      <c r="G8171" s="1140"/>
      <c r="H8171" s="1236">
        <f>SUM(H8167:H8170)</f>
        <v>124755</v>
      </c>
      <c r="M8171" s="1566"/>
    </row>
    <row r="8172" spans="2:13" hidden="1">
      <c r="B8172" s="1543" t="s">
        <v>686</v>
      </c>
      <c r="C8172" s="1332" t="s">
        <v>687</v>
      </c>
      <c r="D8172" s="1331"/>
      <c r="E8172" s="1331"/>
      <c r="F8172" s="1334"/>
      <c r="G8172" s="1104"/>
      <c r="H8172" s="1236"/>
      <c r="M8172" s="1566"/>
    </row>
    <row r="8173" spans="2:13" hidden="1">
      <c r="B8173" s="1543"/>
      <c r="C8173" s="1332" t="s">
        <v>3713</v>
      </c>
      <c r="D8173" s="1331"/>
      <c r="E8173" s="1331" t="s">
        <v>2646</v>
      </c>
      <c r="F8173" s="1334">
        <v>0.11</v>
      </c>
      <c r="G8173" s="1104">
        <f>DUB!I83</f>
        <v>10710000</v>
      </c>
      <c r="H8173" s="1236">
        <f>G8173*F8173</f>
        <v>1178100</v>
      </c>
      <c r="M8173" s="1566"/>
    </row>
    <row r="8174" spans="2:13" hidden="1">
      <c r="B8174" s="1543"/>
      <c r="C8174" s="1332" t="s">
        <v>3714</v>
      </c>
      <c r="D8174" s="1331"/>
      <c r="E8174" s="1331" t="s">
        <v>2646</v>
      </c>
      <c r="F8174" s="1334">
        <v>0.3</v>
      </c>
      <c r="G8174" s="1104">
        <f>DUB!I84</f>
        <v>6961500</v>
      </c>
      <c r="H8174" s="1236">
        <f>G8174*F8174</f>
        <v>2088450</v>
      </c>
      <c r="M8174" s="1566"/>
    </row>
    <row r="8175" spans="2:13" hidden="1">
      <c r="B8175" s="1543"/>
      <c r="C8175" s="1332" t="s">
        <v>834</v>
      </c>
      <c r="D8175" s="1331"/>
      <c r="E8175" s="1331" t="s">
        <v>773</v>
      </c>
      <c r="F8175" s="1334">
        <v>11</v>
      </c>
      <c r="G8175" s="1104">
        <f>DUB!I101</f>
        <v>15300</v>
      </c>
      <c r="H8175" s="1236">
        <f>G8175*F8175</f>
        <v>168300</v>
      </c>
      <c r="M8175" s="1566"/>
    </row>
    <row r="8176" spans="2:13" hidden="1">
      <c r="B8176" s="1543"/>
      <c r="C8176" s="1332" t="s">
        <v>734</v>
      </c>
      <c r="D8176" s="1331"/>
      <c r="E8176" s="1331" t="s">
        <v>773</v>
      </c>
      <c r="F8176" s="1334">
        <v>2</v>
      </c>
      <c r="G8176" s="1104">
        <f>DUB!I128</f>
        <v>20441.7</v>
      </c>
      <c r="H8176" s="1236">
        <f>G8176*F8176</f>
        <v>40883.4</v>
      </c>
      <c r="M8176" s="1566"/>
    </row>
    <row r="8177" spans="2:13" hidden="1">
      <c r="B8177" s="1120"/>
      <c r="C8177" s="1253"/>
      <c r="D8177" s="1254"/>
      <c r="E8177" s="1118" t="s">
        <v>3715</v>
      </c>
      <c r="F8177" s="1151"/>
      <c r="G8177" s="1140"/>
      <c r="H8177" s="1236">
        <f>SUM(H8173:H8176)</f>
        <v>3475733.4</v>
      </c>
      <c r="M8177" s="1566"/>
    </row>
    <row r="8178" spans="2:13" hidden="1">
      <c r="B8178" s="1120"/>
      <c r="C8178" s="1253"/>
      <c r="D8178" s="1254"/>
      <c r="E8178" s="1118" t="s">
        <v>3716</v>
      </c>
      <c r="F8178" s="1151"/>
      <c r="G8178" s="1140"/>
      <c r="H8178" s="1236">
        <f>H8177/6</f>
        <v>579288.9</v>
      </c>
      <c r="M8178" s="1566"/>
    </row>
    <row r="8179" spans="2:13" hidden="1">
      <c r="B8179" s="1543" t="s">
        <v>703</v>
      </c>
      <c r="C8179" s="1332" t="s">
        <v>704</v>
      </c>
      <c r="D8179" s="1331"/>
      <c r="E8179" s="1331"/>
      <c r="F8179" s="1334"/>
      <c r="G8179" s="1104"/>
      <c r="H8179" s="1236"/>
      <c r="M8179" s="1566"/>
    </row>
    <row r="8180" spans="2:13" hidden="1">
      <c r="B8180" s="1543"/>
      <c r="C8180" s="1126" t="s">
        <v>3509</v>
      </c>
      <c r="D8180" s="1331"/>
      <c r="E8180" s="1187" t="s">
        <v>1011</v>
      </c>
      <c r="F8180" s="1179">
        <v>1</v>
      </c>
      <c r="G8180" s="1104">
        <v>10000</v>
      </c>
      <c r="H8180" s="1236">
        <f>G8180*F8180</f>
        <v>10000</v>
      </c>
      <c r="M8180" s="1566"/>
    </row>
    <row r="8181" spans="2:13" hidden="1">
      <c r="B8181" s="1540"/>
      <c r="C8181" s="1125"/>
      <c r="D8181" s="1333"/>
      <c r="E8181" s="1333"/>
      <c r="F8181" s="2074" t="s">
        <v>705</v>
      </c>
      <c r="G8181" s="2074"/>
      <c r="H8181" s="1236">
        <f>SUM(H8180)</f>
        <v>10000</v>
      </c>
      <c r="M8181" s="1566"/>
    </row>
    <row r="8182" spans="2:13" s="496" customFormat="1" hidden="1">
      <c r="B8182" s="1543" t="s">
        <v>706</v>
      </c>
      <c r="C8182" s="2075" t="s">
        <v>707</v>
      </c>
      <c r="D8182" s="2075"/>
      <c r="E8182" s="2075"/>
      <c r="F8182" s="2075"/>
      <c r="G8182" s="2075"/>
      <c r="H8182" s="1239">
        <f>H8171+H8178+H8181</f>
        <v>714043.9</v>
      </c>
      <c r="J8182" s="1559"/>
      <c r="K8182" s="1559"/>
      <c r="L8182" s="1559"/>
      <c r="M8182" s="1635"/>
    </row>
    <row r="8183" spans="2:13" s="496" customFormat="1" hidden="1">
      <c r="B8183" s="1543" t="s">
        <v>708</v>
      </c>
      <c r="C8183" s="2075" t="s">
        <v>709</v>
      </c>
      <c r="D8183" s="2075"/>
      <c r="E8183" s="2075"/>
      <c r="F8183" s="2077" t="s">
        <v>710</v>
      </c>
      <c r="G8183" s="2077"/>
      <c r="H8183" s="1107">
        <f>H8182*0.15</f>
        <v>107106.58500000001</v>
      </c>
      <c r="J8183" s="1559"/>
      <c r="K8183" s="1559"/>
      <c r="L8183" s="1559"/>
      <c r="M8183" s="1635"/>
    </row>
    <row r="8184" spans="2:13" s="496" customFormat="1" hidden="1">
      <c r="B8184" s="1543" t="s">
        <v>711</v>
      </c>
      <c r="C8184" s="2078" t="s">
        <v>712</v>
      </c>
      <c r="D8184" s="2078"/>
      <c r="E8184" s="2078"/>
      <c r="F8184" s="2078"/>
      <c r="G8184" s="2078"/>
      <c r="H8184" s="1107">
        <f>ROUND(SUM(H8182:H8183),2)</f>
        <v>821150.49</v>
      </c>
      <c r="J8184" s="1559"/>
      <c r="K8184" s="1559"/>
      <c r="L8184" s="1559"/>
      <c r="M8184" s="1635"/>
    </row>
    <row r="8185" spans="2:13" hidden="1">
      <c r="B8185" s="1129"/>
      <c r="C8185" s="1130"/>
      <c r="D8185" s="1129"/>
      <c r="E8185" s="1129"/>
      <c r="F8185" s="1131"/>
      <c r="G8185" s="1132"/>
      <c r="H8185" s="1249"/>
      <c r="M8185" s="1566"/>
    </row>
    <row r="8186" spans="2:13" hidden="1">
      <c r="B8186" s="1100" t="s">
        <v>3717</v>
      </c>
      <c r="C8186" s="1232" t="s">
        <v>3718</v>
      </c>
      <c r="F8186" s="1172"/>
      <c r="G8186" s="1173"/>
      <c r="H8186" s="1711"/>
      <c r="M8186" s="1566"/>
    </row>
    <row r="8187" spans="2:13" s="507" customFormat="1" ht="24.9" hidden="1" customHeight="1">
      <c r="B8187" s="1748" t="s">
        <v>1003</v>
      </c>
      <c r="C8187" s="1101" t="s">
        <v>1004</v>
      </c>
      <c r="D8187" s="1101" t="s">
        <v>1005</v>
      </c>
      <c r="E8187" s="1101" t="s">
        <v>1006</v>
      </c>
      <c r="F8187" s="1102" t="s">
        <v>1007</v>
      </c>
      <c r="G8187" s="1109" t="s">
        <v>2637</v>
      </c>
      <c r="H8187" s="1235" t="s">
        <v>2638</v>
      </c>
      <c r="J8187" s="1625"/>
      <c r="K8187" s="1625"/>
      <c r="L8187" s="1625"/>
      <c r="M8187" s="1570"/>
    </row>
    <row r="8188" spans="2:13" hidden="1">
      <c r="B8188" s="1543" t="s">
        <v>671</v>
      </c>
      <c r="C8188" s="1332" t="s">
        <v>672</v>
      </c>
      <c r="D8188" s="1331"/>
      <c r="E8188" s="1331"/>
      <c r="F8188" s="1334"/>
      <c r="G8188" s="1104"/>
      <c r="H8188" s="1236"/>
      <c r="M8188" s="1566"/>
    </row>
    <row r="8189" spans="2:13" hidden="1">
      <c r="B8189" s="1543"/>
      <c r="C8189" s="1332" t="s">
        <v>673</v>
      </c>
      <c r="D8189" s="1331" t="s">
        <v>674</v>
      </c>
      <c r="E8189" s="1331" t="s">
        <v>675</v>
      </c>
      <c r="F8189" s="1334">
        <v>0.39600000000000002</v>
      </c>
      <c r="G8189" s="1104">
        <f>DUB!$I$10</f>
        <v>150000</v>
      </c>
      <c r="H8189" s="1236">
        <f>G8189*F8189</f>
        <v>59400</v>
      </c>
      <c r="M8189" s="1566"/>
    </row>
    <row r="8190" spans="2:13" hidden="1">
      <c r="B8190" s="1543"/>
      <c r="C8190" s="1332" t="s">
        <v>782</v>
      </c>
      <c r="D8190" s="1331" t="s">
        <v>678</v>
      </c>
      <c r="E8190" s="1331" t="s">
        <v>675</v>
      </c>
      <c r="F8190" s="1334">
        <v>0.39600000000000002</v>
      </c>
      <c r="G8190" s="1104">
        <f>DUB!$I$11</f>
        <v>187000</v>
      </c>
      <c r="H8190" s="1236">
        <f>G8190*F8190</f>
        <v>74052</v>
      </c>
      <c r="M8190" s="1566"/>
    </row>
    <row r="8191" spans="2:13" hidden="1">
      <c r="B8191" s="1543"/>
      <c r="C8191" s="1332" t="s">
        <v>683</v>
      </c>
      <c r="D8191" s="1331" t="s">
        <v>684</v>
      </c>
      <c r="E8191" s="1331" t="s">
        <v>675</v>
      </c>
      <c r="F8191" s="1334">
        <v>0.03</v>
      </c>
      <c r="G8191" s="1104">
        <f>$G$7836</f>
        <v>225000</v>
      </c>
      <c r="H8191" s="1236">
        <f>G8191*F8191</f>
        <v>6750</v>
      </c>
      <c r="M8191" s="1566"/>
    </row>
    <row r="8192" spans="2:13" hidden="1">
      <c r="B8192" s="1543"/>
      <c r="C8192" s="1332" t="s">
        <v>751</v>
      </c>
      <c r="D8192" s="1331" t="s">
        <v>3712</v>
      </c>
      <c r="E8192" s="1331" t="s">
        <v>675</v>
      </c>
      <c r="F8192" s="1334">
        <v>0.03</v>
      </c>
      <c r="G8192" s="1104">
        <f>$G$7044</f>
        <v>240000</v>
      </c>
      <c r="H8192" s="1236">
        <f>G8192*F8192</f>
        <v>7200</v>
      </c>
      <c r="M8192" s="1566"/>
    </row>
    <row r="8193" spans="2:13" hidden="1">
      <c r="B8193" s="1120"/>
      <c r="C8193" s="1253"/>
      <c r="D8193" s="1254"/>
      <c r="E8193" s="1253"/>
      <c r="F8193" s="1532" t="s">
        <v>685</v>
      </c>
      <c r="G8193" s="1140"/>
      <c r="H8193" s="1236">
        <f>SUM(H8189:H8192)</f>
        <v>147402</v>
      </c>
      <c r="M8193" s="1566"/>
    </row>
    <row r="8194" spans="2:13" hidden="1">
      <c r="B8194" s="1543" t="s">
        <v>686</v>
      </c>
      <c r="C8194" s="1332" t="s">
        <v>687</v>
      </c>
      <c r="D8194" s="1331"/>
      <c r="E8194" s="1331"/>
      <c r="F8194" s="1334"/>
      <c r="G8194" s="1104"/>
      <c r="H8194" s="1236"/>
      <c r="M8194" s="1566"/>
    </row>
    <row r="8195" spans="2:13" hidden="1">
      <c r="B8195" s="1543"/>
      <c r="C8195" s="1332" t="s">
        <v>3713</v>
      </c>
      <c r="D8195" s="1331"/>
      <c r="E8195" s="1331" t="s">
        <v>2646</v>
      </c>
      <c r="F8195" s="1334">
        <v>0.11</v>
      </c>
      <c r="G8195" s="1104">
        <f>G8173</f>
        <v>10710000</v>
      </c>
      <c r="H8195" s="1236">
        <f>G8195*F8195</f>
        <v>1178100</v>
      </c>
      <c r="M8195" s="1566"/>
    </row>
    <row r="8196" spans="2:13" hidden="1">
      <c r="B8196" s="1543"/>
      <c r="C8196" s="1332" t="s">
        <v>3714</v>
      </c>
      <c r="D8196" s="1331"/>
      <c r="E8196" s="1331" t="s">
        <v>2646</v>
      </c>
      <c r="F8196" s="1334">
        <v>0.41</v>
      </c>
      <c r="G8196" s="1104">
        <f>G8174</f>
        <v>6961500</v>
      </c>
      <c r="H8196" s="1236">
        <f>G8196*F8196</f>
        <v>2854215</v>
      </c>
      <c r="M8196" s="1566"/>
    </row>
    <row r="8197" spans="2:13" hidden="1">
      <c r="B8197" s="1543"/>
      <c r="C8197" s="1332" t="s">
        <v>834</v>
      </c>
      <c r="D8197" s="1331"/>
      <c r="E8197" s="1331" t="s">
        <v>773</v>
      </c>
      <c r="F8197" s="1334">
        <v>17</v>
      </c>
      <c r="G8197" s="1104">
        <f>G8175</f>
        <v>15300</v>
      </c>
      <c r="H8197" s="1236">
        <f>G8197*F8197</f>
        <v>260100</v>
      </c>
      <c r="M8197" s="1566"/>
    </row>
    <row r="8198" spans="2:13" hidden="1">
      <c r="B8198" s="1543"/>
      <c r="C8198" s="1332" t="s">
        <v>734</v>
      </c>
      <c r="D8198" s="1331"/>
      <c r="E8198" s="1331" t="s">
        <v>773</v>
      </c>
      <c r="F8198" s="1334">
        <v>3</v>
      </c>
      <c r="G8198" s="1104">
        <f>G8176</f>
        <v>20441.7</v>
      </c>
      <c r="H8198" s="1236">
        <f>G8198*F8198</f>
        <v>61325.100000000006</v>
      </c>
      <c r="M8198" s="1566"/>
    </row>
    <row r="8199" spans="2:13" hidden="1">
      <c r="B8199" s="1120"/>
      <c r="C8199" s="1253"/>
      <c r="D8199" s="1254"/>
      <c r="E8199" s="1118" t="s">
        <v>3715</v>
      </c>
      <c r="F8199" s="1151"/>
      <c r="G8199" s="1140"/>
      <c r="H8199" s="1236">
        <f>SUM(H8195:H8198)</f>
        <v>4353740.0999999996</v>
      </c>
      <c r="M8199" s="1566"/>
    </row>
    <row r="8200" spans="2:13" hidden="1">
      <c r="B8200" s="1120"/>
      <c r="C8200" s="1253"/>
      <c r="D8200" s="1254"/>
      <c r="E8200" s="1118" t="s">
        <v>3716</v>
      </c>
      <c r="F8200" s="1151"/>
      <c r="G8200" s="1140"/>
      <c r="H8200" s="1236">
        <f>H8199/6</f>
        <v>725623.35</v>
      </c>
      <c r="M8200" s="1566"/>
    </row>
    <row r="8201" spans="2:13" hidden="1">
      <c r="B8201" s="1543" t="s">
        <v>703</v>
      </c>
      <c r="C8201" s="1332" t="s">
        <v>704</v>
      </c>
      <c r="D8201" s="1331"/>
      <c r="E8201" s="1331"/>
      <c r="F8201" s="1334"/>
      <c r="G8201" s="1104"/>
      <c r="H8201" s="1236"/>
      <c r="M8201" s="1566"/>
    </row>
    <row r="8202" spans="2:13" hidden="1">
      <c r="B8202" s="1543"/>
      <c r="C8202" s="1126" t="str">
        <f>'[95]UPAD-BAHAN-ALAT'!$B$548</f>
        <v>Excavator</v>
      </c>
      <c r="D8202" s="1331"/>
      <c r="E8202" s="1187" t="s">
        <v>948</v>
      </c>
      <c r="F8202" s="1179">
        <v>0.5</v>
      </c>
      <c r="G8202" s="1104">
        <f>DUB!I540</f>
        <v>378000</v>
      </c>
      <c r="H8202" s="1236">
        <f>G8202*F8202</f>
        <v>189000</v>
      </c>
      <c r="M8202" s="1566"/>
    </row>
    <row r="8203" spans="2:13" hidden="1">
      <c r="B8203" s="1543"/>
      <c r="C8203" s="1125"/>
      <c r="D8203" s="1333"/>
      <c r="E8203" s="1333"/>
      <c r="F8203" s="2074" t="s">
        <v>705</v>
      </c>
      <c r="G8203" s="2074"/>
      <c r="H8203" s="1236">
        <f>SUM(H8202)</f>
        <v>189000</v>
      </c>
      <c r="M8203" s="1566"/>
    </row>
    <row r="8204" spans="2:13" s="496" customFormat="1" hidden="1">
      <c r="B8204" s="1543" t="s">
        <v>706</v>
      </c>
      <c r="C8204" s="2075" t="s">
        <v>707</v>
      </c>
      <c r="D8204" s="2075"/>
      <c r="E8204" s="2075"/>
      <c r="F8204" s="2075"/>
      <c r="G8204" s="2075"/>
      <c r="H8204" s="1239">
        <f>H8193+H8200+H8203</f>
        <v>1062025.3500000001</v>
      </c>
      <c r="J8204" s="1559"/>
      <c r="K8204" s="1559"/>
      <c r="L8204" s="1559"/>
      <c r="M8204" s="1635"/>
    </row>
    <row r="8205" spans="2:13" s="496" customFormat="1" hidden="1">
      <c r="B8205" s="1543" t="s">
        <v>708</v>
      </c>
      <c r="C8205" s="2075" t="s">
        <v>709</v>
      </c>
      <c r="D8205" s="2075"/>
      <c r="E8205" s="2075"/>
      <c r="F8205" s="2077" t="s">
        <v>710</v>
      </c>
      <c r="G8205" s="2077"/>
      <c r="H8205" s="1107">
        <f>H8204*0.15</f>
        <v>159303.80250000002</v>
      </c>
      <c r="J8205" s="1559"/>
      <c r="K8205" s="1559"/>
      <c r="L8205" s="1559"/>
      <c r="M8205" s="1635"/>
    </row>
    <row r="8206" spans="2:13" s="496" customFormat="1" hidden="1">
      <c r="B8206" s="1543" t="s">
        <v>711</v>
      </c>
      <c r="C8206" s="2078" t="s">
        <v>712</v>
      </c>
      <c r="D8206" s="2078"/>
      <c r="E8206" s="2078"/>
      <c r="F8206" s="2078"/>
      <c r="G8206" s="2078"/>
      <c r="H8206" s="1107">
        <f>ROUND(SUM(H8204:H8205),2)</f>
        <v>1221329.1499999999</v>
      </c>
      <c r="J8206" s="1559"/>
      <c r="K8206" s="1559"/>
      <c r="L8206" s="1559"/>
      <c r="M8206" s="1635"/>
    </row>
    <row r="8207" spans="2:13" hidden="1">
      <c r="B8207" s="1129"/>
      <c r="C8207" s="1130"/>
      <c r="D8207" s="1129"/>
      <c r="E8207" s="1129"/>
      <c r="F8207" s="1131"/>
      <c r="G8207" s="1132"/>
      <c r="H8207" s="1249"/>
      <c r="M8207" s="1566"/>
    </row>
    <row r="8208" spans="2:13" hidden="1">
      <c r="B8208" s="1100" t="s">
        <v>3719</v>
      </c>
      <c r="C8208" s="1232" t="s">
        <v>3720</v>
      </c>
      <c r="F8208" s="1172"/>
      <c r="G8208" s="1173"/>
      <c r="H8208" s="1711"/>
      <c r="M8208" s="1566"/>
    </row>
    <row r="8209" spans="2:13" s="507" customFormat="1" ht="24.9" hidden="1" customHeight="1">
      <c r="B8209" s="1748" t="s">
        <v>1003</v>
      </c>
      <c r="C8209" s="1101" t="s">
        <v>1004</v>
      </c>
      <c r="D8209" s="1101" t="s">
        <v>1005</v>
      </c>
      <c r="E8209" s="1101" t="s">
        <v>1006</v>
      </c>
      <c r="F8209" s="1102" t="s">
        <v>1007</v>
      </c>
      <c r="G8209" s="1109" t="s">
        <v>2637</v>
      </c>
      <c r="H8209" s="1235" t="s">
        <v>2638</v>
      </c>
      <c r="J8209" s="1625"/>
      <c r="K8209" s="1625"/>
      <c r="L8209" s="1625"/>
      <c r="M8209" s="1570"/>
    </row>
    <row r="8210" spans="2:13" hidden="1">
      <c r="B8210" s="1543" t="s">
        <v>671</v>
      </c>
      <c r="C8210" s="1332" t="s">
        <v>672</v>
      </c>
      <c r="D8210" s="1331"/>
      <c r="E8210" s="1331"/>
      <c r="F8210" s="1334"/>
      <c r="G8210" s="1104"/>
      <c r="H8210" s="1236"/>
      <c r="M8210" s="1566"/>
    </row>
    <row r="8211" spans="2:13" hidden="1">
      <c r="B8211" s="1543"/>
      <c r="C8211" s="1332" t="s">
        <v>673</v>
      </c>
      <c r="D8211" s="1331" t="s">
        <v>674</v>
      </c>
      <c r="E8211" s="1331" t="s">
        <v>675</v>
      </c>
      <c r="F8211" s="1334">
        <v>0.42899999999999999</v>
      </c>
      <c r="G8211" s="1104">
        <f>DUB!$I$10</f>
        <v>150000</v>
      </c>
      <c r="H8211" s="1236">
        <f>G8211*F8211</f>
        <v>64350</v>
      </c>
      <c r="M8211" s="1566"/>
    </row>
    <row r="8212" spans="2:13" hidden="1">
      <c r="B8212" s="1543"/>
      <c r="C8212" s="1332" t="s">
        <v>782</v>
      </c>
      <c r="D8212" s="1331" t="s">
        <v>678</v>
      </c>
      <c r="E8212" s="1331" t="s">
        <v>675</v>
      </c>
      <c r="F8212" s="1334">
        <v>0.42899999999999999</v>
      </c>
      <c r="G8212" s="1104">
        <f>DUB!$I$11</f>
        <v>187000</v>
      </c>
      <c r="H8212" s="1236">
        <f>G8212*F8212</f>
        <v>80223</v>
      </c>
      <c r="M8212" s="1566"/>
    </row>
    <row r="8213" spans="2:13" hidden="1">
      <c r="B8213" s="1543"/>
      <c r="C8213" s="1332" t="s">
        <v>683</v>
      </c>
      <c r="D8213" s="1331" t="s">
        <v>684</v>
      </c>
      <c r="E8213" s="1331" t="s">
        <v>675</v>
      </c>
      <c r="F8213" s="1334">
        <v>3.3000000000000002E-2</v>
      </c>
      <c r="G8213" s="1104">
        <f>$G$7836</f>
        <v>225000</v>
      </c>
      <c r="H8213" s="1236">
        <f>G8213*F8213</f>
        <v>7425</v>
      </c>
      <c r="M8213" s="1566"/>
    </row>
    <row r="8214" spans="2:13" hidden="1">
      <c r="B8214" s="1543"/>
      <c r="C8214" s="1332" t="s">
        <v>751</v>
      </c>
      <c r="D8214" s="1331" t="s">
        <v>3712</v>
      </c>
      <c r="E8214" s="1331" t="s">
        <v>675</v>
      </c>
      <c r="F8214" s="1334">
        <v>0.03</v>
      </c>
      <c r="G8214" s="1104">
        <f>$G$7044</f>
        <v>240000</v>
      </c>
      <c r="H8214" s="1236">
        <f>G8214*F8214</f>
        <v>7200</v>
      </c>
      <c r="M8214" s="1566"/>
    </row>
    <row r="8215" spans="2:13" hidden="1">
      <c r="B8215" s="1120"/>
      <c r="C8215" s="1253"/>
      <c r="D8215" s="1254"/>
      <c r="E8215" s="1253"/>
      <c r="F8215" s="1532" t="s">
        <v>685</v>
      </c>
      <c r="G8215" s="1140"/>
      <c r="H8215" s="1236">
        <f>SUM(H8211:H8214)</f>
        <v>159198</v>
      </c>
      <c r="M8215" s="1566"/>
    </row>
    <row r="8216" spans="2:13" hidden="1">
      <c r="B8216" s="1543" t="s">
        <v>686</v>
      </c>
      <c r="C8216" s="1332" t="s">
        <v>687</v>
      </c>
      <c r="D8216" s="1331"/>
      <c r="E8216" s="1331"/>
      <c r="F8216" s="1334"/>
      <c r="G8216" s="1104"/>
      <c r="H8216" s="1236"/>
      <c r="M8216" s="1566"/>
    </row>
    <row r="8217" spans="2:13" hidden="1">
      <c r="B8217" s="1543"/>
      <c r="C8217" s="1332" t="s">
        <v>3713</v>
      </c>
      <c r="D8217" s="1331"/>
      <c r="E8217" s="1331" t="s">
        <v>2646</v>
      </c>
      <c r="F8217" s="1334">
        <v>0.22</v>
      </c>
      <c r="G8217" s="1104">
        <f>G8195</f>
        <v>10710000</v>
      </c>
      <c r="H8217" s="1236">
        <f>G8217*F8217</f>
        <v>2356200</v>
      </c>
      <c r="M8217" s="1566"/>
    </row>
    <row r="8218" spans="2:13" hidden="1">
      <c r="B8218" s="1543"/>
      <c r="C8218" s="1332" t="s">
        <v>3714</v>
      </c>
      <c r="D8218" s="1331"/>
      <c r="E8218" s="1331" t="s">
        <v>2646</v>
      </c>
      <c r="F8218" s="1334">
        <v>0.51</v>
      </c>
      <c r="G8218" s="1104">
        <f>G8196</f>
        <v>6961500</v>
      </c>
      <c r="H8218" s="1236">
        <f>G8218*F8218</f>
        <v>3550365</v>
      </c>
      <c r="M8218" s="1566"/>
    </row>
    <row r="8219" spans="2:13" hidden="1">
      <c r="B8219" s="1543"/>
      <c r="C8219" s="1332" t="s">
        <v>834</v>
      </c>
      <c r="D8219" s="1331"/>
      <c r="E8219" s="1331" t="s">
        <v>773</v>
      </c>
      <c r="F8219" s="1334">
        <v>23</v>
      </c>
      <c r="G8219" s="1104">
        <f>G8197</f>
        <v>15300</v>
      </c>
      <c r="H8219" s="1236">
        <f>G8219*F8219</f>
        <v>351900</v>
      </c>
      <c r="M8219" s="1566"/>
    </row>
    <row r="8220" spans="2:13" hidden="1">
      <c r="B8220" s="1543"/>
      <c r="C8220" s="1332" t="s">
        <v>734</v>
      </c>
      <c r="D8220" s="1331"/>
      <c r="E8220" s="1331" t="s">
        <v>773</v>
      </c>
      <c r="F8220" s="1334">
        <v>5</v>
      </c>
      <c r="G8220" s="1104">
        <f>G8198</f>
        <v>20441.7</v>
      </c>
      <c r="H8220" s="1236">
        <f>G8220*F8220</f>
        <v>102208.5</v>
      </c>
      <c r="M8220" s="1566"/>
    </row>
    <row r="8221" spans="2:13" hidden="1">
      <c r="B8221" s="1120"/>
      <c r="C8221" s="1253"/>
      <c r="D8221" s="1254"/>
      <c r="E8221" s="1118" t="s">
        <v>3715</v>
      </c>
      <c r="F8221" s="1151"/>
      <c r="G8221" s="1140"/>
      <c r="H8221" s="1236">
        <f>SUM(H8217:H8220)</f>
        <v>6360673.5</v>
      </c>
      <c r="M8221" s="1566"/>
    </row>
    <row r="8222" spans="2:13" hidden="1">
      <c r="B8222" s="1120"/>
      <c r="C8222" s="1253"/>
      <c r="D8222" s="1254"/>
      <c r="E8222" s="1118" t="s">
        <v>3716</v>
      </c>
      <c r="F8222" s="1151"/>
      <c r="G8222" s="1140"/>
      <c r="H8222" s="1236">
        <f>H8221/6</f>
        <v>1060112.25</v>
      </c>
      <c r="M8222" s="1566"/>
    </row>
    <row r="8223" spans="2:13" hidden="1">
      <c r="B8223" s="1543" t="s">
        <v>703</v>
      </c>
      <c r="C8223" s="1332" t="s">
        <v>704</v>
      </c>
      <c r="D8223" s="1331"/>
      <c r="E8223" s="1331"/>
      <c r="F8223" s="1334"/>
      <c r="G8223" s="1104"/>
      <c r="H8223" s="1236"/>
      <c r="M8223" s="1566"/>
    </row>
    <row r="8224" spans="2:13" hidden="1">
      <c r="B8224" s="1543"/>
      <c r="C8224" s="1126" t="str">
        <f>'[95]UPAD-BAHAN-ALAT'!$B$548</f>
        <v>Excavator</v>
      </c>
      <c r="D8224" s="1331"/>
      <c r="E8224" s="1187" t="s">
        <v>948</v>
      </c>
      <c r="F8224" s="1179">
        <v>1</v>
      </c>
      <c r="G8224" s="1104">
        <f>G8202</f>
        <v>378000</v>
      </c>
      <c r="H8224" s="1236">
        <f>G8224*F8224</f>
        <v>378000</v>
      </c>
      <c r="M8224" s="1566"/>
    </row>
    <row r="8225" spans="2:13" hidden="1">
      <c r="B8225" s="1543"/>
      <c r="C8225" s="1332"/>
      <c r="D8225" s="1331"/>
      <c r="E8225" s="1331"/>
      <c r="F8225" s="2074" t="s">
        <v>705</v>
      </c>
      <c r="G8225" s="2074"/>
      <c r="H8225" s="1236">
        <f>SUM(H8224)</f>
        <v>378000</v>
      </c>
      <c r="M8225" s="1566"/>
    </row>
    <row r="8226" spans="2:13" hidden="1">
      <c r="B8226" s="1543" t="s">
        <v>706</v>
      </c>
      <c r="C8226" s="2075" t="s">
        <v>707</v>
      </c>
      <c r="D8226" s="2075"/>
      <c r="E8226" s="2075"/>
      <c r="F8226" s="2075"/>
      <c r="G8226" s="2075"/>
      <c r="H8226" s="1239">
        <f>H8215+H8222+H8225</f>
        <v>1597310.25</v>
      </c>
      <c r="M8226" s="1566"/>
    </row>
    <row r="8227" spans="2:13" hidden="1">
      <c r="B8227" s="1543" t="s">
        <v>708</v>
      </c>
      <c r="C8227" s="2075" t="s">
        <v>709</v>
      </c>
      <c r="D8227" s="2075"/>
      <c r="E8227" s="2075"/>
      <c r="F8227" s="2077" t="s">
        <v>710</v>
      </c>
      <c r="G8227" s="2077"/>
      <c r="H8227" s="1107">
        <f>H8226*0.15</f>
        <v>239596.53749999998</v>
      </c>
      <c r="M8227" s="1566"/>
    </row>
    <row r="8228" spans="2:13" hidden="1">
      <c r="B8228" s="1543" t="s">
        <v>711</v>
      </c>
      <c r="C8228" s="2078" t="s">
        <v>712</v>
      </c>
      <c r="D8228" s="2078"/>
      <c r="E8228" s="2078"/>
      <c r="F8228" s="2078"/>
      <c r="G8228" s="2078"/>
      <c r="H8228" s="1107">
        <f>ROUND(SUM(H8226:H8227),2)</f>
        <v>1836906.79</v>
      </c>
      <c r="M8228" s="1566"/>
    </row>
    <row r="8229" spans="2:13" hidden="1">
      <c r="B8229" s="1129"/>
      <c r="C8229" s="1130"/>
      <c r="D8229" s="1129"/>
      <c r="E8229" s="1129"/>
      <c r="F8229" s="1131"/>
      <c r="G8229" s="1132"/>
      <c r="H8229" s="1249"/>
      <c r="M8229" s="1566"/>
    </row>
    <row r="8230" spans="2:13" hidden="1">
      <c r="B8230" s="1150" t="s">
        <v>2708</v>
      </c>
      <c r="C8230" s="1112" t="s">
        <v>3721</v>
      </c>
      <c r="D8230" s="1129"/>
      <c r="E8230" s="1129"/>
      <c r="F8230" s="1131"/>
      <c r="G8230" s="1132"/>
      <c r="H8230" s="1249"/>
      <c r="M8230" s="1566"/>
    </row>
    <row r="8231" spans="2:13" hidden="1">
      <c r="B8231" s="1150" t="s">
        <v>4287</v>
      </c>
      <c r="C8231" s="1112" t="s">
        <v>3722</v>
      </c>
      <c r="D8231" s="1129"/>
      <c r="E8231" s="1129"/>
      <c r="F8231" s="1131"/>
      <c r="G8231" s="1132"/>
      <c r="H8231" s="1249"/>
      <c r="M8231" s="1566"/>
    </row>
    <row r="8232" spans="2:13" s="507" customFormat="1" ht="24.9" hidden="1" customHeight="1">
      <c r="B8232" s="1748" t="s">
        <v>1003</v>
      </c>
      <c r="C8232" s="1101" t="s">
        <v>1004</v>
      </c>
      <c r="D8232" s="1101" t="s">
        <v>1005</v>
      </c>
      <c r="E8232" s="1101" t="s">
        <v>1006</v>
      </c>
      <c r="F8232" s="1102" t="s">
        <v>1007</v>
      </c>
      <c r="G8232" s="1109" t="s">
        <v>2637</v>
      </c>
      <c r="H8232" s="1235" t="s">
        <v>2638</v>
      </c>
      <c r="J8232" s="1625"/>
      <c r="K8232" s="1625"/>
      <c r="L8232" s="1625"/>
      <c r="M8232" s="1570"/>
    </row>
    <row r="8233" spans="2:13" hidden="1">
      <c r="B8233" s="1543" t="s">
        <v>671</v>
      </c>
      <c r="C8233" s="1332" t="s">
        <v>672</v>
      </c>
      <c r="D8233" s="1331"/>
      <c r="E8233" s="1331"/>
      <c r="F8233" s="1334"/>
      <c r="G8233" s="1104"/>
      <c r="H8233" s="1236"/>
      <c r="M8233" s="1566"/>
    </row>
    <row r="8234" spans="2:13" hidden="1">
      <c r="B8234" s="1543"/>
      <c r="C8234" s="1332" t="s">
        <v>673</v>
      </c>
      <c r="D8234" s="1331" t="s">
        <v>674</v>
      </c>
      <c r="E8234" s="1331" t="s">
        <v>675</v>
      </c>
      <c r="F8234" s="1334">
        <f>1.466*3</f>
        <v>4.3979999999999997</v>
      </c>
      <c r="G8234" s="1104">
        <f>DUB!$I$10</f>
        <v>150000</v>
      </c>
      <c r="H8234" s="1236">
        <f>G8234*F8234</f>
        <v>659700</v>
      </c>
      <c r="M8234" s="1566"/>
    </row>
    <row r="8235" spans="2:13" hidden="1">
      <c r="B8235" s="1543"/>
      <c r="C8235" s="1332" t="s">
        <v>1480</v>
      </c>
      <c r="D8235" s="1331" t="s">
        <v>678</v>
      </c>
      <c r="E8235" s="1331" t="s">
        <v>675</v>
      </c>
      <c r="F8235" s="1334">
        <v>0.73299999999999998</v>
      </c>
      <c r="G8235" s="1104">
        <f>DUB!$I$11</f>
        <v>187000</v>
      </c>
      <c r="H8235" s="1236">
        <f>G8235*F8235</f>
        <v>137071</v>
      </c>
      <c r="M8235" s="1566"/>
    </row>
    <row r="8236" spans="2:13" hidden="1">
      <c r="B8236" s="1543"/>
      <c r="C8236" s="1332" t="s">
        <v>683</v>
      </c>
      <c r="D8236" s="1331" t="s">
        <v>684</v>
      </c>
      <c r="E8236" s="1331" t="s">
        <v>675</v>
      </c>
      <c r="F8236" s="1334">
        <v>0.14699999999999999</v>
      </c>
      <c r="G8236" s="1104">
        <f>$G$7836</f>
        <v>225000</v>
      </c>
      <c r="H8236" s="1236">
        <f>G8236*F8236</f>
        <v>33075</v>
      </c>
      <c r="M8236" s="1566"/>
    </row>
    <row r="8237" spans="2:13" hidden="1">
      <c r="B8237" s="1120"/>
      <c r="C8237" s="1253"/>
      <c r="D8237" s="1254"/>
      <c r="E8237" s="1253"/>
      <c r="F8237" s="2080" t="s">
        <v>685</v>
      </c>
      <c r="G8237" s="2081"/>
      <c r="H8237" s="1236">
        <f>SUM(H8234:H8236)</f>
        <v>829846</v>
      </c>
      <c r="M8237" s="1566"/>
    </row>
    <row r="8238" spans="2:13" hidden="1">
      <c r="B8238" s="1543" t="s">
        <v>686</v>
      </c>
      <c r="C8238" s="1332" t="s">
        <v>687</v>
      </c>
      <c r="D8238" s="1331"/>
      <c r="E8238" s="1331"/>
      <c r="F8238" s="1334"/>
      <c r="G8238" s="1104"/>
      <c r="H8238" s="1236"/>
      <c r="M8238" s="1566"/>
    </row>
    <row r="8239" spans="2:13" hidden="1">
      <c r="B8239" s="1543"/>
      <c r="C8239" s="1332" t="s">
        <v>3723</v>
      </c>
      <c r="D8239" s="1331"/>
      <c r="E8239" s="1331" t="s">
        <v>853</v>
      </c>
      <c r="F8239" s="1334">
        <v>1</v>
      </c>
      <c r="G8239" s="1104">
        <f>DUB!I565</f>
        <v>85203</v>
      </c>
      <c r="H8239" s="1236">
        <f>G8239*F8239</f>
        <v>85203</v>
      </c>
      <c r="M8239" s="1566"/>
    </row>
    <row r="8240" spans="2:13" hidden="1">
      <c r="B8240" s="1543"/>
      <c r="C8240" s="1332"/>
      <c r="D8240" s="1331"/>
      <c r="E8240" s="1331"/>
      <c r="F8240" s="2074" t="s">
        <v>702</v>
      </c>
      <c r="G8240" s="2074"/>
      <c r="H8240" s="1236">
        <f>SUM(H8239)</f>
        <v>85203</v>
      </c>
      <c r="M8240" s="1566"/>
    </row>
    <row r="8241" spans="2:13" hidden="1">
      <c r="B8241" s="1543" t="s">
        <v>703</v>
      </c>
      <c r="C8241" s="1332" t="s">
        <v>704</v>
      </c>
      <c r="D8241" s="1331"/>
      <c r="E8241" s="1331"/>
      <c r="F8241" s="1334"/>
      <c r="G8241" s="1104"/>
      <c r="H8241" s="1236"/>
      <c r="M8241" s="1566"/>
    </row>
    <row r="8242" spans="2:13" ht="27.6" hidden="1">
      <c r="B8242" s="1543"/>
      <c r="C8242" s="1126" t="s">
        <v>4288</v>
      </c>
      <c r="D8242" s="1331"/>
      <c r="E8242" s="1187" t="s">
        <v>1665</v>
      </c>
      <c r="F8242" s="1179">
        <v>0.60599999999999998</v>
      </c>
      <c r="G8242" s="1104">
        <v>100000</v>
      </c>
      <c r="H8242" s="1236">
        <f>G8242*F8242</f>
        <v>60600</v>
      </c>
      <c r="M8242" s="1566"/>
    </row>
    <row r="8243" spans="2:13" hidden="1">
      <c r="B8243" s="1543"/>
      <c r="C8243" s="1126" t="s">
        <v>2645</v>
      </c>
      <c r="D8243" s="1331"/>
      <c r="E8243" s="1187" t="s">
        <v>1665</v>
      </c>
      <c r="F8243" s="1179">
        <v>7.4999999999999997E-2</v>
      </c>
      <c r="G8243" s="1104">
        <f>DUB!I536</f>
        <v>135000</v>
      </c>
      <c r="H8243" s="1236">
        <f>G8243*F8243</f>
        <v>10125</v>
      </c>
      <c r="M8243" s="1566"/>
    </row>
    <row r="8244" spans="2:13" hidden="1">
      <c r="B8244" s="1543"/>
      <c r="C8244" s="1126" t="s">
        <v>4289</v>
      </c>
      <c r="D8244" s="1331"/>
      <c r="E8244" s="1187" t="s">
        <v>1665</v>
      </c>
      <c r="F8244" s="1179">
        <v>0.96799999999999997</v>
      </c>
      <c r="G8244" s="1104">
        <f>DUB!I538</f>
        <v>63000</v>
      </c>
      <c r="H8244" s="1236">
        <f>G8244*F8244</f>
        <v>60984</v>
      </c>
      <c r="M8244" s="1566"/>
    </row>
    <row r="8245" spans="2:13" hidden="1">
      <c r="B8245" s="1543"/>
      <c r="C8245" s="1126" t="s">
        <v>4290</v>
      </c>
      <c r="D8245" s="1331"/>
      <c r="E8245" s="1187" t="s">
        <v>1665</v>
      </c>
      <c r="F8245" s="1179">
        <v>0.86499999999999999</v>
      </c>
      <c r="G8245" s="1104">
        <v>150000</v>
      </c>
      <c r="H8245" s="1236">
        <f>G8245*F8245</f>
        <v>129750</v>
      </c>
      <c r="M8245" s="1566"/>
    </row>
    <row r="8246" spans="2:13" hidden="1">
      <c r="B8246" s="1543"/>
      <c r="C8246" s="1332"/>
      <c r="D8246" s="1331"/>
      <c r="E8246" s="1331"/>
      <c r="F8246" s="2074" t="s">
        <v>705</v>
      </c>
      <c r="G8246" s="2074"/>
      <c r="H8246" s="1236">
        <f>SUM(H8242:H8245)</f>
        <v>261459</v>
      </c>
      <c r="M8246" s="1566"/>
    </row>
    <row r="8247" spans="2:13" hidden="1">
      <c r="B8247" s="1543" t="s">
        <v>706</v>
      </c>
      <c r="C8247" s="2075" t="s">
        <v>707</v>
      </c>
      <c r="D8247" s="2075"/>
      <c r="E8247" s="2075"/>
      <c r="F8247" s="2075"/>
      <c r="G8247" s="2075"/>
      <c r="H8247" s="1239">
        <f>H8237+H8240+H8246</f>
        <v>1176508</v>
      </c>
      <c r="M8247" s="1566"/>
    </row>
    <row r="8248" spans="2:13" hidden="1">
      <c r="B8248" s="1543" t="s">
        <v>708</v>
      </c>
      <c r="C8248" s="2075" t="s">
        <v>709</v>
      </c>
      <c r="D8248" s="2075"/>
      <c r="E8248" s="2075"/>
      <c r="F8248" s="2077" t="s">
        <v>710</v>
      </c>
      <c r="G8248" s="2077"/>
      <c r="H8248" s="1107">
        <f>H8247*0.15</f>
        <v>176476.19999999998</v>
      </c>
      <c r="M8248" s="1566"/>
    </row>
    <row r="8249" spans="2:13" hidden="1">
      <c r="B8249" s="1543" t="s">
        <v>711</v>
      </c>
      <c r="C8249" s="2078" t="s">
        <v>712</v>
      </c>
      <c r="D8249" s="2078"/>
      <c r="E8249" s="2078"/>
      <c r="F8249" s="2078"/>
      <c r="G8249" s="2078"/>
      <c r="H8249" s="1107">
        <f>ROUND(SUM(H8247:H8248),2)</f>
        <v>1352984.2</v>
      </c>
      <c r="M8249" s="1566"/>
    </row>
    <row r="8250" spans="2:13" hidden="1">
      <c r="F8250" s="1172"/>
      <c r="G8250" s="1173"/>
      <c r="H8250" s="1711"/>
      <c r="M8250" s="1566"/>
    </row>
    <row r="8251" spans="2:13" hidden="1">
      <c r="B8251" s="1100" t="s">
        <v>2707</v>
      </c>
      <c r="C8251" s="1232" t="s">
        <v>3724</v>
      </c>
      <c r="F8251" s="1172"/>
      <c r="G8251" s="1173"/>
      <c r="H8251" s="1711"/>
      <c r="M8251" s="1566"/>
    </row>
    <row r="8252" spans="2:13" s="507" customFormat="1" ht="24.9" hidden="1" customHeight="1">
      <c r="B8252" s="1748" t="s">
        <v>1003</v>
      </c>
      <c r="C8252" s="1101" t="s">
        <v>1004</v>
      </c>
      <c r="D8252" s="1101" t="s">
        <v>1005</v>
      </c>
      <c r="E8252" s="1101" t="s">
        <v>1006</v>
      </c>
      <c r="F8252" s="1102" t="s">
        <v>1007</v>
      </c>
      <c r="G8252" s="1109" t="s">
        <v>2637</v>
      </c>
      <c r="H8252" s="1235" t="s">
        <v>2638</v>
      </c>
      <c r="J8252" s="1625"/>
      <c r="K8252" s="1625"/>
      <c r="L8252" s="1625"/>
      <c r="M8252" s="1570"/>
    </row>
    <row r="8253" spans="2:13" hidden="1">
      <c r="B8253" s="1543" t="s">
        <v>671</v>
      </c>
      <c r="C8253" s="1332" t="s">
        <v>672</v>
      </c>
      <c r="D8253" s="1331"/>
      <c r="E8253" s="1331"/>
      <c r="F8253" s="1334"/>
      <c r="G8253" s="1104"/>
      <c r="H8253" s="1236"/>
      <c r="M8253" s="1566"/>
    </row>
    <row r="8254" spans="2:13" hidden="1">
      <c r="B8254" s="1543"/>
      <c r="C8254" s="1332" t="s">
        <v>673</v>
      </c>
      <c r="D8254" s="1331" t="s">
        <v>674</v>
      </c>
      <c r="E8254" s="1331" t="s">
        <v>675</v>
      </c>
      <c r="F8254" s="1334">
        <f>1.646*3</f>
        <v>4.9379999999999997</v>
      </c>
      <c r="G8254" s="1104">
        <f>DUB!$I$10</f>
        <v>150000</v>
      </c>
      <c r="H8254" s="1236">
        <f>G8254*F8254</f>
        <v>740700</v>
      </c>
      <c r="M8254" s="1566"/>
    </row>
    <row r="8255" spans="2:13" hidden="1">
      <c r="B8255" s="1543"/>
      <c r="C8255" s="1332" t="s">
        <v>1480</v>
      </c>
      <c r="D8255" s="1331" t="s">
        <v>678</v>
      </c>
      <c r="E8255" s="1331" t="s">
        <v>675</v>
      </c>
      <c r="F8255" s="1334">
        <v>0.82299999999999995</v>
      </c>
      <c r="G8255" s="1104">
        <f>DUB!$I$11</f>
        <v>187000</v>
      </c>
      <c r="H8255" s="1236">
        <f>G8255*F8255</f>
        <v>153901</v>
      </c>
      <c r="M8255" s="1566"/>
    </row>
    <row r="8256" spans="2:13" hidden="1">
      <c r="B8256" s="1543"/>
      <c r="C8256" s="1332" t="s">
        <v>683</v>
      </c>
      <c r="D8256" s="1331" t="s">
        <v>684</v>
      </c>
      <c r="E8256" s="1331" t="s">
        <v>675</v>
      </c>
      <c r="F8256" s="1334">
        <v>0.16500000000000001</v>
      </c>
      <c r="G8256" s="1104">
        <f>$G$7836</f>
        <v>225000</v>
      </c>
      <c r="H8256" s="1236">
        <f>G8256*F8256</f>
        <v>37125</v>
      </c>
      <c r="M8256" s="1566"/>
    </row>
    <row r="8257" spans="2:13" hidden="1">
      <c r="B8257" s="1120"/>
      <c r="C8257" s="1253"/>
      <c r="D8257" s="1254"/>
      <c r="E8257" s="1253"/>
      <c r="F8257" s="2080" t="s">
        <v>685</v>
      </c>
      <c r="G8257" s="2081"/>
      <c r="H8257" s="1236">
        <f>SUM(H8254:H8256)</f>
        <v>931726</v>
      </c>
      <c r="M8257" s="1566"/>
    </row>
    <row r="8258" spans="2:13" hidden="1">
      <c r="B8258" s="1543" t="s">
        <v>686</v>
      </c>
      <c r="C8258" s="1332" t="s">
        <v>687</v>
      </c>
      <c r="D8258" s="1331"/>
      <c r="E8258" s="1331"/>
      <c r="F8258" s="1334"/>
      <c r="G8258" s="1104"/>
      <c r="H8258" s="1236"/>
      <c r="M8258" s="1566"/>
    </row>
    <row r="8259" spans="2:13" hidden="1">
      <c r="B8259" s="1543"/>
      <c r="C8259" s="1332" t="s">
        <v>3725</v>
      </c>
      <c r="D8259" s="1331"/>
      <c r="E8259" s="1331" t="s">
        <v>853</v>
      </c>
      <c r="F8259" s="1334">
        <v>1</v>
      </c>
      <c r="G8259" s="1104">
        <f>DUB!I564</f>
        <v>125433</v>
      </c>
      <c r="H8259" s="1236">
        <f>G8259*F8259</f>
        <v>125433</v>
      </c>
      <c r="M8259" s="1566"/>
    </row>
    <row r="8260" spans="2:13" hidden="1">
      <c r="B8260" s="1543"/>
      <c r="C8260" s="1332"/>
      <c r="D8260" s="1331"/>
      <c r="E8260" s="1331"/>
      <c r="F8260" s="2074" t="s">
        <v>702</v>
      </c>
      <c r="G8260" s="2074"/>
      <c r="H8260" s="1236">
        <f>SUM(H8259)</f>
        <v>125433</v>
      </c>
      <c r="M8260" s="1566"/>
    </row>
    <row r="8261" spans="2:13" hidden="1">
      <c r="B8261" s="1543" t="s">
        <v>703</v>
      </c>
      <c r="C8261" s="1332" t="s">
        <v>704</v>
      </c>
      <c r="D8261" s="1331"/>
      <c r="E8261" s="1331"/>
      <c r="F8261" s="1334"/>
      <c r="G8261" s="1104"/>
      <c r="H8261" s="1236"/>
      <c r="M8261" s="1566"/>
    </row>
    <row r="8262" spans="2:13" ht="27.6" hidden="1">
      <c r="B8262" s="1543"/>
      <c r="C8262" s="1126" t="s">
        <v>4288</v>
      </c>
      <c r="D8262" s="1331"/>
      <c r="E8262" s="1187" t="s">
        <v>1665</v>
      </c>
      <c r="F8262" s="1179">
        <v>0.65</v>
      </c>
      <c r="G8262" s="1104">
        <f>G8242</f>
        <v>100000</v>
      </c>
      <c r="H8262" s="1236">
        <f>G8262*F8262</f>
        <v>65000</v>
      </c>
      <c r="M8262" s="1566"/>
    </row>
    <row r="8263" spans="2:13" hidden="1">
      <c r="B8263" s="1543"/>
      <c r="C8263" s="1126" t="s">
        <v>2645</v>
      </c>
      <c r="D8263" s="1331"/>
      <c r="E8263" s="1187" t="s">
        <v>1665</v>
      </c>
      <c r="F8263" s="1179">
        <v>0.159</v>
      </c>
      <c r="G8263" s="1104">
        <f>G8243</f>
        <v>135000</v>
      </c>
      <c r="H8263" s="1236">
        <f>G8263*F8263</f>
        <v>21465</v>
      </c>
      <c r="M8263" s="1566"/>
    </row>
    <row r="8264" spans="2:13" hidden="1">
      <c r="B8264" s="1543"/>
      <c r="C8264" s="1126" t="s">
        <v>4289</v>
      </c>
      <c r="D8264" s="1331"/>
      <c r="E8264" s="1187" t="s">
        <v>1665</v>
      </c>
      <c r="F8264" s="1179">
        <v>1.0780000000000001</v>
      </c>
      <c r="G8264" s="1104">
        <f>G8244</f>
        <v>63000</v>
      </c>
      <c r="H8264" s="1236">
        <f>G8264*F8264</f>
        <v>67914</v>
      </c>
      <c r="M8264" s="1566"/>
    </row>
    <row r="8265" spans="2:13" hidden="1">
      <c r="B8265" s="1543"/>
      <c r="C8265" s="1126" t="s">
        <v>4290</v>
      </c>
      <c r="D8265" s="1331"/>
      <c r="E8265" s="1187" t="s">
        <v>1665</v>
      </c>
      <c r="F8265" s="1179">
        <v>0.91100000000000003</v>
      </c>
      <c r="G8265" s="1104">
        <f>G8245</f>
        <v>150000</v>
      </c>
      <c r="H8265" s="1236">
        <f>G8265*F8265</f>
        <v>136650</v>
      </c>
      <c r="M8265" s="1566"/>
    </row>
    <row r="8266" spans="2:13" hidden="1">
      <c r="B8266" s="1543"/>
      <c r="C8266" s="1332"/>
      <c r="D8266" s="1331"/>
      <c r="E8266" s="1331"/>
      <c r="F8266" s="2079" t="s">
        <v>705</v>
      </c>
      <c r="G8266" s="2079"/>
      <c r="H8266" s="1236">
        <f>SUM(H8262:H8265)</f>
        <v>291029</v>
      </c>
      <c r="M8266" s="1566"/>
    </row>
    <row r="8267" spans="2:13" hidden="1">
      <c r="B8267" s="1543" t="s">
        <v>706</v>
      </c>
      <c r="C8267" s="2075" t="s">
        <v>707</v>
      </c>
      <c r="D8267" s="2075"/>
      <c r="E8267" s="2075"/>
      <c r="F8267" s="2075"/>
      <c r="G8267" s="2075"/>
      <c r="H8267" s="1239">
        <f>H8257+H8260+H8266</f>
        <v>1348188</v>
      </c>
      <c r="M8267" s="1566"/>
    </row>
    <row r="8268" spans="2:13" hidden="1">
      <c r="B8268" s="1543" t="s">
        <v>708</v>
      </c>
      <c r="C8268" s="2075" t="s">
        <v>709</v>
      </c>
      <c r="D8268" s="2075"/>
      <c r="E8268" s="2075"/>
      <c r="F8268" s="2077" t="s">
        <v>710</v>
      </c>
      <c r="G8268" s="2077"/>
      <c r="H8268" s="1107">
        <f>H8267*0.15</f>
        <v>202228.19999999998</v>
      </c>
      <c r="M8268" s="1566"/>
    </row>
    <row r="8269" spans="2:13" hidden="1">
      <c r="B8269" s="1543" t="s">
        <v>711</v>
      </c>
      <c r="C8269" s="2078" t="s">
        <v>712</v>
      </c>
      <c r="D8269" s="2078"/>
      <c r="E8269" s="2078"/>
      <c r="F8269" s="2078"/>
      <c r="G8269" s="2078"/>
      <c r="H8269" s="1107">
        <f>ROUND(SUM(H8267:H8268),2)</f>
        <v>1550416.2</v>
      </c>
      <c r="M8269" s="1566"/>
    </row>
    <row r="8270" spans="2:13" hidden="1">
      <c r="B8270" s="1143"/>
      <c r="C8270" s="1144"/>
      <c r="D8270" s="1143"/>
      <c r="E8270" s="1143"/>
      <c r="F8270" s="1145"/>
      <c r="G8270" s="1146"/>
      <c r="H8270" s="1252"/>
      <c r="M8270" s="1566"/>
    </row>
    <row r="8271" spans="2:13" hidden="1">
      <c r="B8271" s="1100" t="s">
        <v>2706</v>
      </c>
      <c r="C8271" s="1112" t="s">
        <v>3726</v>
      </c>
      <c r="D8271" s="1129"/>
      <c r="E8271" s="1129"/>
      <c r="F8271" s="1131"/>
      <c r="G8271" s="1132"/>
      <c r="H8271" s="1249"/>
      <c r="M8271" s="1566"/>
    </row>
    <row r="8272" spans="2:13" s="507" customFormat="1" ht="24.9" hidden="1" customHeight="1">
      <c r="B8272" s="1748" t="s">
        <v>1003</v>
      </c>
      <c r="C8272" s="1101" t="s">
        <v>1004</v>
      </c>
      <c r="D8272" s="1101" t="s">
        <v>1005</v>
      </c>
      <c r="E8272" s="1101" t="s">
        <v>1006</v>
      </c>
      <c r="F8272" s="1102" t="s">
        <v>1007</v>
      </c>
      <c r="G8272" s="1109" t="s">
        <v>2637</v>
      </c>
      <c r="H8272" s="1235" t="s">
        <v>2638</v>
      </c>
      <c r="J8272" s="1625"/>
      <c r="K8272" s="1625"/>
      <c r="L8272" s="1625"/>
      <c r="M8272" s="1570"/>
    </row>
    <row r="8273" spans="2:13" hidden="1">
      <c r="B8273" s="1543" t="s">
        <v>671</v>
      </c>
      <c r="C8273" s="1332" t="s">
        <v>672</v>
      </c>
      <c r="D8273" s="1331"/>
      <c r="E8273" s="1331"/>
      <c r="F8273" s="1334"/>
      <c r="G8273" s="1104"/>
      <c r="H8273" s="1236"/>
      <c r="M8273" s="1566"/>
    </row>
    <row r="8274" spans="2:13" hidden="1">
      <c r="B8274" s="1543"/>
      <c r="C8274" s="1332" t="s">
        <v>673</v>
      </c>
      <c r="D8274" s="1331" t="s">
        <v>674</v>
      </c>
      <c r="E8274" s="1331" t="s">
        <v>675</v>
      </c>
      <c r="F8274" s="1334">
        <f>2.096*3</f>
        <v>6.2880000000000003</v>
      </c>
      <c r="G8274" s="1104">
        <f>DUB!$I$10</f>
        <v>150000</v>
      </c>
      <c r="H8274" s="1236">
        <f>G8274*F8274</f>
        <v>943200</v>
      </c>
      <c r="M8274" s="1566"/>
    </row>
    <row r="8275" spans="2:13" hidden="1">
      <c r="B8275" s="1543"/>
      <c r="C8275" s="1332" t="s">
        <v>1480</v>
      </c>
      <c r="D8275" s="1331" t="s">
        <v>678</v>
      </c>
      <c r="E8275" s="1331" t="s">
        <v>675</v>
      </c>
      <c r="F8275" s="1334">
        <v>1.048</v>
      </c>
      <c r="G8275" s="1104">
        <f>DUB!$I$11</f>
        <v>187000</v>
      </c>
      <c r="H8275" s="1236">
        <f>G8275*F8275</f>
        <v>195976</v>
      </c>
      <c r="M8275" s="1566"/>
    </row>
    <row r="8276" spans="2:13" hidden="1">
      <c r="B8276" s="1543"/>
      <c r="C8276" s="1332" t="s">
        <v>683</v>
      </c>
      <c r="D8276" s="1331" t="s">
        <v>684</v>
      </c>
      <c r="E8276" s="1331" t="s">
        <v>675</v>
      </c>
      <c r="F8276" s="1334">
        <v>0.21</v>
      </c>
      <c r="G8276" s="1104">
        <f>$G$7836</f>
        <v>225000</v>
      </c>
      <c r="H8276" s="1236">
        <f>G8276*F8276</f>
        <v>47250</v>
      </c>
      <c r="M8276" s="1566"/>
    </row>
    <row r="8277" spans="2:13" hidden="1">
      <c r="B8277" s="1120"/>
      <c r="C8277" s="1253"/>
      <c r="D8277" s="1254"/>
      <c r="E8277" s="1253"/>
      <c r="F8277" s="2080" t="s">
        <v>685</v>
      </c>
      <c r="G8277" s="2081"/>
      <c r="H8277" s="1236">
        <f>SUM(H8274:H8276)</f>
        <v>1186426</v>
      </c>
      <c r="M8277" s="1566"/>
    </row>
    <row r="8278" spans="2:13" hidden="1">
      <c r="B8278" s="1543" t="s">
        <v>686</v>
      </c>
      <c r="C8278" s="1332" t="s">
        <v>687</v>
      </c>
      <c r="D8278" s="1331"/>
      <c r="E8278" s="1331"/>
      <c r="F8278" s="1334"/>
      <c r="G8278" s="1104"/>
      <c r="H8278" s="1236"/>
      <c r="M8278" s="1566"/>
    </row>
    <row r="8279" spans="2:13" hidden="1">
      <c r="B8279" s="1543"/>
      <c r="C8279" s="1332" t="s">
        <v>3727</v>
      </c>
      <c r="D8279" s="1331"/>
      <c r="E8279" s="1331" t="s">
        <v>853</v>
      </c>
      <c r="F8279" s="1334">
        <v>1</v>
      </c>
      <c r="G8279" s="1104">
        <f>DUB!$I$563</f>
        <v>270144</v>
      </c>
      <c r="H8279" s="1236">
        <f>G8279*F8279</f>
        <v>270144</v>
      </c>
      <c r="M8279" s="1566"/>
    </row>
    <row r="8280" spans="2:13" hidden="1">
      <c r="B8280" s="1543"/>
      <c r="C8280" s="1332"/>
      <c r="D8280" s="1331"/>
      <c r="E8280" s="1331"/>
      <c r="F8280" s="2074" t="s">
        <v>702</v>
      </c>
      <c r="G8280" s="2074"/>
      <c r="H8280" s="1236">
        <f>SUM(H8279)</f>
        <v>270144</v>
      </c>
      <c r="M8280" s="1566"/>
    </row>
    <row r="8281" spans="2:13" hidden="1">
      <c r="B8281" s="1543" t="s">
        <v>703</v>
      </c>
      <c r="C8281" s="1332" t="s">
        <v>704</v>
      </c>
      <c r="D8281" s="1331"/>
      <c r="E8281" s="1331"/>
      <c r="F8281" s="1334"/>
      <c r="G8281" s="1104"/>
      <c r="H8281" s="1236"/>
      <c r="M8281" s="1566"/>
    </row>
    <row r="8282" spans="2:13" ht="27.6" hidden="1">
      <c r="B8282" s="1543"/>
      <c r="C8282" s="1126" t="s">
        <v>4288</v>
      </c>
      <c r="D8282" s="1331"/>
      <c r="E8282" s="1187" t="s">
        <v>1665</v>
      </c>
      <c r="F8282" s="1179">
        <v>0.76</v>
      </c>
      <c r="G8282" s="1104">
        <f>G8262</f>
        <v>100000</v>
      </c>
      <c r="H8282" s="1236">
        <f>G8282*F8282</f>
        <v>76000</v>
      </c>
      <c r="M8282" s="1566"/>
    </row>
    <row r="8283" spans="2:13" hidden="1">
      <c r="B8283" s="1543"/>
      <c r="C8283" s="1126" t="s">
        <v>2645</v>
      </c>
      <c r="D8283" s="1331"/>
      <c r="E8283" s="1187" t="s">
        <v>1665</v>
      </c>
      <c r="F8283" s="1179">
        <v>0.36899999999999999</v>
      </c>
      <c r="G8283" s="1104">
        <f>G8263</f>
        <v>135000</v>
      </c>
      <c r="H8283" s="1236">
        <f>G8283*F8283</f>
        <v>49815</v>
      </c>
      <c r="M8283" s="1566"/>
    </row>
    <row r="8284" spans="2:13" hidden="1">
      <c r="B8284" s="1540"/>
      <c r="C8284" s="1126" t="s">
        <v>4289</v>
      </c>
      <c r="D8284" s="1331"/>
      <c r="E8284" s="1187" t="s">
        <v>1665</v>
      </c>
      <c r="F8284" s="1179">
        <v>1.353</v>
      </c>
      <c r="G8284" s="1104">
        <f>G8264</f>
        <v>63000</v>
      </c>
      <c r="H8284" s="1236">
        <f>G8284*F8284</f>
        <v>85239</v>
      </c>
      <c r="M8284" s="1566"/>
    </row>
    <row r="8285" spans="2:13" hidden="1">
      <c r="B8285" s="1540"/>
      <c r="C8285" s="1126" t="s">
        <v>4290</v>
      </c>
      <c r="D8285" s="1331"/>
      <c r="E8285" s="1187" t="s">
        <v>1665</v>
      </c>
      <c r="F8285" s="1179">
        <v>1.026</v>
      </c>
      <c r="G8285" s="1104">
        <f>G8265</f>
        <v>150000</v>
      </c>
      <c r="H8285" s="1236">
        <f>G8285*F8285</f>
        <v>153900</v>
      </c>
      <c r="M8285" s="1566"/>
    </row>
    <row r="8286" spans="2:13" hidden="1">
      <c r="B8286" s="1540"/>
      <c r="C8286" s="1332"/>
      <c r="D8286" s="1331"/>
      <c r="E8286" s="1331"/>
      <c r="F8286" s="2079" t="s">
        <v>705</v>
      </c>
      <c r="G8286" s="2079"/>
      <c r="H8286" s="1236">
        <f>SUM(H8282:H8285)</f>
        <v>364954</v>
      </c>
      <c r="M8286" s="1566"/>
    </row>
    <row r="8287" spans="2:13" hidden="1">
      <c r="B8287" s="1543" t="s">
        <v>706</v>
      </c>
      <c r="C8287" s="2075" t="s">
        <v>707</v>
      </c>
      <c r="D8287" s="2075"/>
      <c r="E8287" s="2075"/>
      <c r="F8287" s="2075"/>
      <c r="G8287" s="2075"/>
      <c r="H8287" s="1239">
        <f>H8277+H8280+H8286</f>
        <v>1821524</v>
      </c>
      <c r="M8287" s="1566"/>
    </row>
    <row r="8288" spans="2:13" hidden="1">
      <c r="B8288" s="1543" t="s">
        <v>708</v>
      </c>
      <c r="C8288" s="2075" t="s">
        <v>709</v>
      </c>
      <c r="D8288" s="2075"/>
      <c r="E8288" s="2075"/>
      <c r="F8288" s="2077" t="s">
        <v>710</v>
      </c>
      <c r="G8288" s="2077"/>
      <c r="H8288" s="1107">
        <f>H8287*0.15</f>
        <v>273228.59999999998</v>
      </c>
      <c r="M8288" s="1566"/>
    </row>
    <row r="8289" spans="2:13" hidden="1">
      <c r="B8289" s="1543" t="s">
        <v>711</v>
      </c>
      <c r="C8289" s="2078" t="s">
        <v>712</v>
      </c>
      <c r="D8289" s="2078"/>
      <c r="E8289" s="2078"/>
      <c r="F8289" s="2078"/>
      <c r="G8289" s="2078"/>
      <c r="H8289" s="1107">
        <f>ROUND(SUM(H8287:H8288),2)</f>
        <v>2094752.6</v>
      </c>
      <c r="M8289" s="1566"/>
    </row>
    <row r="8290" spans="2:13" hidden="1">
      <c r="F8290" s="1172"/>
      <c r="G8290" s="1173"/>
      <c r="H8290" s="1711"/>
      <c r="M8290" s="1566"/>
    </row>
    <row r="8291" spans="2:13" hidden="1">
      <c r="B8291" s="1100" t="s">
        <v>4291</v>
      </c>
      <c r="C8291" s="1232" t="s">
        <v>3728</v>
      </c>
      <c r="F8291" s="1172"/>
      <c r="G8291" s="1173"/>
      <c r="H8291" s="1711"/>
      <c r="M8291" s="1566"/>
    </row>
    <row r="8292" spans="2:13" s="507" customFormat="1" ht="24.9" hidden="1" customHeight="1">
      <c r="B8292" s="1748" t="s">
        <v>1003</v>
      </c>
      <c r="C8292" s="1101" t="s">
        <v>1004</v>
      </c>
      <c r="D8292" s="1101" t="s">
        <v>1005</v>
      </c>
      <c r="E8292" s="1101" t="s">
        <v>1006</v>
      </c>
      <c r="F8292" s="1102" t="s">
        <v>1007</v>
      </c>
      <c r="G8292" s="1109" t="s">
        <v>2637</v>
      </c>
      <c r="H8292" s="1235" t="s">
        <v>2638</v>
      </c>
      <c r="J8292" s="1625"/>
      <c r="K8292" s="1625"/>
      <c r="L8292" s="1625"/>
      <c r="M8292" s="1570"/>
    </row>
    <row r="8293" spans="2:13" hidden="1">
      <c r="B8293" s="1543" t="s">
        <v>671</v>
      </c>
      <c r="C8293" s="1332" t="s">
        <v>672</v>
      </c>
      <c r="D8293" s="1331"/>
      <c r="E8293" s="1331"/>
      <c r="F8293" s="1334"/>
      <c r="G8293" s="1104"/>
      <c r="H8293" s="1236"/>
      <c r="M8293" s="1566"/>
    </row>
    <row r="8294" spans="2:13" hidden="1">
      <c r="B8294" s="1543"/>
      <c r="C8294" s="1332" t="s">
        <v>673</v>
      </c>
      <c r="D8294" s="1331" t="s">
        <v>674</v>
      </c>
      <c r="E8294" s="1331" t="s">
        <v>675</v>
      </c>
      <c r="F8294" s="1334">
        <f>2.546*3</f>
        <v>7.6379999999999999</v>
      </c>
      <c r="G8294" s="1104">
        <f>DUB!$I$10</f>
        <v>150000</v>
      </c>
      <c r="H8294" s="1236">
        <f>G8294*F8294</f>
        <v>1145700</v>
      </c>
      <c r="M8294" s="1566"/>
    </row>
    <row r="8295" spans="2:13" hidden="1">
      <c r="B8295" s="1543"/>
      <c r="C8295" s="1332" t="s">
        <v>1480</v>
      </c>
      <c r="D8295" s="1331" t="s">
        <v>678</v>
      </c>
      <c r="E8295" s="1331" t="s">
        <v>675</v>
      </c>
      <c r="F8295" s="1334">
        <v>1.2729999999999999</v>
      </c>
      <c r="G8295" s="1104">
        <f>DUB!$I$11</f>
        <v>187000</v>
      </c>
      <c r="H8295" s="1236">
        <f>G8295*F8295</f>
        <v>238050.99999999997</v>
      </c>
      <c r="M8295" s="1566"/>
    </row>
    <row r="8296" spans="2:13" hidden="1">
      <c r="B8296" s="1543"/>
      <c r="C8296" s="1332" t="s">
        <v>683</v>
      </c>
      <c r="D8296" s="1331" t="s">
        <v>684</v>
      </c>
      <c r="E8296" s="1331" t="s">
        <v>675</v>
      </c>
      <c r="F8296" s="1334">
        <v>0.255</v>
      </c>
      <c r="G8296" s="1104">
        <f>$G$7836</f>
        <v>225000</v>
      </c>
      <c r="H8296" s="1236">
        <f>G8296*F8296</f>
        <v>57375</v>
      </c>
      <c r="M8296" s="1566"/>
    </row>
    <row r="8297" spans="2:13" hidden="1">
      <c r="B8297" s="1120"/>
      <c r="C8297" s="1253"/>
      <c r="D8297" s="1254"/>
      <c r="E8297" s="1253"/>
      <c r="F8297" s="2080" t="s">
        <v>685</v>
      </c>
      <c r="G8297" s="2081"/>
      <c r="H8297" s="1236">
        <f>SUM(H8294:H8296)</f>
        <v>1441126</v>
      </c>
      <c r="M8297" s="1566"/>
    </row>
    <row r="8298" spans="2:13" hidden="1">
      <c r="B8298" s="1543" t="s">
        <v>686</v>
      </c>
      <c r="C8298" s="1332" t="s">
        <v>687</v>
      </c>
      <c r="D8298" s="1331"/>
      <c r="E8298" s="1331"/>
      <c r="F8298" s="1334"/>
      <c r="G8298" s="1104"/>
      <c r="H8298" s="1236"/>
      <c r="M8298" s="1566"/>
    </row>
    <row r="8299" spans="2:13" hidden="1">
      <c r="B8299" s="1543"/>
      <c r="C8299" s="1332" t="s">
        <v>2026</v>
      </c>
      <c r="D8299" s="1331"/>
      <c r="E8299" s="1331" t="s">
        <v>853</v>
      </c>
      <c r="F8299" s="1334">
        <v>1</v>
      </c>
      <c r="G8299" s="1104">
        <f>DUB!I562</f>
        <v>420768</v>
      </c>
      <c r="H8299" s="1236">
        <f>G8299*F8299</f>
        <v>420768</v>
      </c>
      <c r="M8299" s="1566"/>
    </row>
    <row r="8300" spans="2:13" hidden="1">
      <c r="B8300" s="1543"/>
      <c r="C8300" s="1332"/>
      <c r="D8300" s="1331"/>
      <c r="E8300" s="1331"/>
      <c r="F8300" s="2074" t="s">
        <v>702</v>
      </c>
      <c r="G8300" s="2074"/>
      <c r="H8300" s="1236">
        <f>SUM(H8299)</f>
        <v>420768</v>
      </c>
      <c r="M8300" s="1566"/>
    </row>
    <row r="8301" spans="2:13" hidden="1">
      <c r="B8301" s="1543" t="s">
        <v>703</v>
      </c>
      <c r="C8301" s="1332" t="s">
        <v>704</v>
      </c>
      <c r="D8301" s="1331"/>
      <c r="E8301" s="1331"/>
      <c r="F8301" s="1334"/>
      <c r="G8301" s="1104"/>
      <c r="H8301" s="1236"/>
      <c r="M8301" s="1566"/>
    </row>
    <row r="8302" spans="2:13" ht="27.6" hidden="1">
      <c r="B8302" s="1543"/>
      <c r="C8302" s="1126" t="s">
        <v>4288</v>
      </c>
      <c r="D8302" s="1331"/>
      <c r="E8302" s="1187" t="s">
        <v>1665</v>
      </c>
      <c r="F8302" s="1179">
        <v>0.87</v>
      </c>
      <c r="G8302" s="1104">
        <f>G8282</f>
        <v>100000</v>
      </c>
      <c r="H8302" s="1236">
        <f>G8302*F8302</f>
        <v>87000</v>
      </c>
      <c r="M8302" s="1566"/>
    </row>
    <row r="8303" spans="2:13" hidden="1">
      <c r="B8303" s="1540"/>
      <c r="C8303" s="1126" t="s">
        <v>2645</v>
      </c>
      <c r="D8303" s="1331"/>
      <c r="E8303" s="1187" t="s">
        <v>1665</v>
      </c>
      <c r="F8303" s="1179">
        <v>0.57899999999999996</v>
      </c>
      <c r="G8303" s="1104">
        <f>G8283</f>
        <v>135000</v>
      </c>
      <c r="H8303" s="1236">
        <f>G8303*F8303</f>
        <v>78165</v>
      </c>
      <c r="M8303" s="1566"/>
    </row>
    <row r="8304" spans="2:13" hidden="1">
      <c r="B8304" s="1540"/>
      <c r="C8304" s="1126" t="s">
        <v>4289</v>
      </c>
      <c r="D8304" s="1331"/>
      <c r="E8304" s="1187" t="s">
        <v>1665</v>
      </c>
      <c r="F8304" s="1179">
        <v>1.6279999999999999</v>
      </c>
      <c r="G8304" s="1104">
        <f>G8284</f>
        <v>63000</v>
      </c>
      <c r="H8304" s="1236">
        <f>G8304*F8304</f>
        <v>102564</v>
      </c>
      <c r="M8304" s="1566"/>
    </row>
    <row r="8305" spans="2:13" hidden="1">
      <c r="B8305" s="1540"/>
      <c r="C8305" s="1126" t="s">
        <v>4290</v>
      </c>
      <c r="D8305" s="1331"/>
      <c r="E8305" s="1187" t="s">
        <v>1665</v>
      </c>
      <c r="F8305" s="1179">
        <v>1.141</v>
      </c>
      <c r="G8305" s="1104">
        <f>G8285</f>
        <v>150000</v>
      </c>
      <c r="H8305" s="1236">
        <f>G8305*F8305</f>
        <v>171150</v>
      </c>
      <c r="M8305" s="1566"/>
    </row>
    <row r="8306" spans="2:13" hidden="1">
      <c r="B8306" s="1540"/>
      <c r="C8306" s="1332"/>
      <c r="D8306" s="1331"/>
      <c r="E8306" s="1331"/>
      <c r="F8306" s="2079" t="s">
        <v>705</v>
      </c>
      <c r="G8306" s="2079"/>
      <c r="H8306" s="1236">
        <f>SUM(H8302:H8305)</f>
        <v>438879</v>
      </c>
      <c r="M8306" s="1566"/>
    </row>
    <row r="8307" spans="2:13" hidden="1">
      <c r="B8307" s="1543" t="s">
        <v>706</v>
      </c>
      <c r="C8307" s="2075" t="s">
        <v>707</v>
      </c>
      <c r="D8307" s="2075"/>
      <c r="E8307" s="2075"/>
      <c r="F8307" s="2075"/>
      <c r="G8307" s="2075"/>
      <c r="H8307" s="1239">
        <f>H8297+H8300+H8306</f>
        <v>2300773</v>
      </c>
      <c r="M8307" s="1566"/>
    </row>
    <row r="8308" spans="2:13" hidden="1">
      <c r="B8308" s="1543" t="s">
        <v>708</v>
      </c>
      <c r="C8308" s="2075" t="s">
        <v>709</v>
      </c>
      <c r="D8308" s="2075"/>
      <c r="E8308" s="2075"/>
      <c r="F8308" s="2077" t="s">
        <v>710</v>
      </c>
      <c r="G8308" s="2077"/>
      <c r="H8308" s="1107">
        <f>H8307*0.15</f>
        <v>345115.95</v>
      </c>
      <c r="M8308" s="1566"/>
    </row>
    <row r="8309" spans="2:13" hidden="1">
      <c r="B8309" s="1543" t="s">
        <v>711</v>
      </c>
      <c r="C8309" s="2078" t="s">
        <v>712</v>
      </c>
      <c r="D8309" s="2078"/>
      <c r="E8309" s="2078"/>
      <c r="F8309" s="2078"/>
      <c r="G8309" s="2078"/>
      <c r="H8309" s="1107">
        <f>ROUND(SUM(H8307:H8308),2)</f>
        <v>2645888.9500000002</v>
      </c>
      <c r="M8309" s="1566"/>
    </row>
    <row r="8310" spans="2:13" hidden="1">
      <c r="B8310" s="1143"/>
      <c r="C8310" s="1144"/>
      <c r="D8310" s="1143"/>
      <c r="E8310" s="1143"/>
      <c r="F8310" s="1145"/>
      <c r="G8310" s="1146"/>
      <c r="H8310" s="1252"/>
      <c r="M8310" s="1566"/>
    </row>
    <row r="8311" spans="2:13" hidden="1">
      <c r="B8311" s="1100" t="s">
        <v>4292</v>
      </c>
      <c r="C8311" s="1112" t="s">
        <v>3729</v>
      </c>
      <c r="D8311" s="1129"/>
      <c r="E8311" s="1129"/>
      <c r="F8311" s="1131"/>
      <c r="G8311" s="1132"/>
      <c r="H8311" s="1249"/>
      <c r="M8311" s="1566"/>
    </row>
    <row r="8312" spans="2:13" s="507" customFormat="1" ht="24.9" hidden="1" customHeight="1">
      <c r="B8312" s="1748" t="s">
        <v>1003</v>
      </c>
      <c r="C8312" s="1101" t="s">
        <v>1004</v>
      </c>
      <c r="D8312" s="1101" t="s">
        <v>1005</v>
      </c>
      <c r="E8312" s="1101" t="s">
        <v>1006</v>
      </c>
      <c r="F8312" s="1102" t="s">
        <v>1007</v>
      </c>
      <c r="G8312" s="1109" t="s">
        <v>2637</v>
      </c>
      <c r="H8312" s="1235" t="s">
        <v>2638</v>
      </c>
      <c r="J8312" s="1625"/>
      <c r="K8312" s="1625"/>
      <c r="L8312" s="1625"/>
      <c r="M8312" s="1570"/>
    </row>
    <row r="8313" spans="2:13" hidden="1">
      <c r="B8313" s="1543" t="s">
        <v>671</v>
      </c>
      <c r="C8313" s="1332" t="s">
        <v>672</v>
      </c>
      <c r="D8313" s="1331"/>
      <c r="E8313" s="1331"/>
      <c r="F8313" s="1334"/>
      <c r="G8313" s="1104"/>
      <c r="H8313" s="1236"/>
      <c r="M8313" s="1566"/>
    </row>
    <row r="8314" spans="2:13" hidden="1">
      <c r="B8314" s="1543"/>
      <c r="C8314" s="1332" t="s">
        <v>673</v>
      </c>
      <c r="D8314" s="1331" t="s">
        <v>674</v>
      </c>
      <c r="E8314" s="1331" t="s">
        <v>675</v>
      </c>
      <c r="F8314" s="1334">
        <f>2.996*3</f>
        <v>8.9879999999999995</v>
      </c>
      <c r="G8314" s="1104">
        <f>DUB!$I$10</f>
        <v>150000</v>
      </c>
      <c r="H8314" s="1236">
        <f>G8314*F8314</f>
        <v>1348200</v>
      </c>
      <c r="M8314" s="1566"/>
    </row>
    <row r="8315" spans="2:13" hidden="1">
      <c r="B8315" s="1543"/>
      <c r="C8315" s="1332" t="s">
        <v>1480</v>
      </c>
      <c r="D8315" s="1331" t="s">
        <v>678</v>
      </c>
      <c r="E8315" s="1331" t="s">
        <v>675</v>
      </c>
      <c r="F8315" s="1334">
        <v>1.498</v>
      </c>
      <c r="G8315" s="1104">
        <f>DUB!$I$11</f>
        <v>187000</v>
      </c>
      <c r="H8315" s="1236">
        <f>G8315*F8315</f>
        <v>280126</v>
      </c>
      <c r="M8315" s="1566"/>
    </row>
    <row r="8316" spans="2:13" hidden="1">
      <c r="B8316" s="1543"/>
      <c r="C8316" s="1332" t="s">
        <v>683</v>
      </c>
      <c r="D8316" s="1331" t="s">
        <v>684</v>
      </c>
      <c r="E8316" s="1331" t="s">
        <v>675</v>
      </c>
      <c r="F8316" s="1334">
        <v>0.3</v>
      </c>
      <c r="G8316" s="1104">
        <f>$G$7836</f>
        <v>225000</v>
      </c>
      <c r="H8316" s="1236">
        <f>G8316*F8316</f>
        <v>67500</v>
      </c>
      <c r="M8316" s="1566"/>
    </row>
    <row r="8317" spans="2:13" hidden="1">
      <c r="B8317" s="1120"/>
      <c r="C8317" s="1253"/>
      <c r="D8317" s="1254"/>
      <c r="E8317" s="1253"/>
      <c r="F8317" s="2080" t="s">
        <v>685</v>
      </c>
      <c r="G8317" s="2081"/>
      <c r="H8317" s="1236">
        <f>SUM(H8314:H8316)</f>
        <v>1695826</v>
      </c>
      <c r="M8317" s="1566"/>
    </row>
    <row r="8318" spans="2:13" hidden="1">
      <c r="B8318" s="1543" t="s">
        <v>686</v>
      </c>
      <c r="C8318" s="1332" t="s">
        <v>687</v>
      </c>
      <c r="D8318" s="1331"/>
      <c r="E8318" s="1331"/>
      <c r="F8318" s="1334"/>
      <c r="G8318" s="1104"/>
      <c r="H8318" s="1236"/>
      <c r="M8318" s="1566"/>
    </row>
    <row r="8319" spans="2:13" hidden="1">
      <c r="B8319" s="1543"/>
      <c r="C8319" s="1332" t="s">
        <v>2033</v>
      </c>
      <c r="D8319" s="1331"/>
      <c r="E8319" s="1331" t="s">
        <v>853</v>
      </c>
      <c r="F8319" s="1334">
        <v>1</v>
      </c>
      <c r="G8319" s="1104">
        <f>DUB!I561</f>
        <v>669456</v>
      </c>
      <c r="H8319" s="1236">
        <f>G8319*F8319</f>
        <v>669456</v>
      </c>
      <c r="M8319" s="1566"/>
    </row>
    <row r="8320" spans="2:13" hidden="1">
      <c r="B8320" s="1543"/>
      <c r="C8320" s="1332"/>
      <c r="D8320" s="1331"/>
      <c r="E8320" s="1331"/>
      <c r="F8320" s="2074" t="s">
        <v>702</v>
      </c>
      <c r="G8320" s="2074"/>
      <c r="H8320" s="1236">
        <f>SUM(H8319)</f>
        <v>669456</v>
      </c>
      <c r="M8320" s="1566"/>
    </row>
    <row r="8321" spans="2:13" hidden="1">
      <c r="B8321" s="1543" t="s">
        <v>703</v>
      </c>
      <c r="C8321" s="1332" t="s">
        <v>704</v>
      </c>
      <c r="D8321" s="1331"/>
      <c r="E8321" s="1331"/>
      <c r="F8321" s="1334"/>
      <c r="G8321" s="1104"/>
      <c r="H8321" s="1236"/>
      <c r="M8321" s="1566"/>
    </row>
    <row r="8322" spans="2:13" ht="27.6" hidden="1">
      <c r="B8322" s="1540"/>
      <c r="C8322" s="1126" t="s">
        <v>4288</v>
      </c>
      <c r="D8322" s="1331"/>
      <c r="E8322" s="1187" t="s">
        <v>1665</v>
      </c>
      <c r="F8322" s="1179">
        <v>0.98</v>
      </c>
      <c r="G8322" s="1104">
        <f>G8302</f>
        <v>100000</v>
      </c>
      <c r="H8322" s="1236">
        <f>G8322*F8322</f>
        <v>98000</v>
      </c>
      <c r="M8322" s="1566"/>
    </row>
    <row r="8323" spans="2:13" hidden="1">
      <c r="B8323" s="1540"/>
      <c r="C8323" s="1332" t="s">
        <v>2645</v>
      </c>
      <c r="D8323" s="1331"/>
      <c r="E8323" s="1187" t="s">
        <v>1665</v>
      </c>
      <c r="F8323" s="1179">
        <v>0.78900000000000003</v>
      </c>
      <c r="G8323" s="1104">
        <f>G8303</f>
        <v>135000</v>
      </c>
      <c r="H8323" s="1236">
        <f>G8323*F8323</f>
        <v>106515</v>
      </c>
      <c r="M8323" s="1566"/>
    </row>
    <row r="8324" spans="2:13" hidden="1">
      <c r="B8324" s="1540"/>
      <c r="C8324" s="1126" t="s">
        <v>4289</v>
      </c>
      <c r="D8324" s="1331"/>
      <c r="E8324" s="1187" t="s">
        <v>1665</v>
      </c>
      <c r="F8324" s="1179">
        <v>1.903</v>
      </c>
      <c r="G8324" s="1104">
        <f>G8304</f>
        <v>63000</v>
      </c>
      <c r="H8324" s="1236">
        <f>G8324*F8324</f>
        <v>119889</v>
      </c>
      <c r="M8324" s="1566"/>
    </row>
    <row r="8325" spans="2:13" hidden="1">
      <c r="B8325" s="1540"/>
      <c r="C8325" s="1126" t="s">
        <v>4290</v>
      </c>
      <c r="D8325" s="1331"/>
      <c r="E8325" s="1187" t="s">
        <v>1665</v>
      </c>
      <c r="F8325" s="1179">
        <v>1.256</v>
      </c>
      <c r="G8325" s="1104">
        <f>G8305</f>
        <v>150000</v>
      </c>
      <c r="H8325" s="1236">
        <f>G8325*F8325</f>
        <v>188400</v>
      </c>
      <c r="M8325" s="1566"/>
    </row>
    <row r="8326" spans="2:13" hidden="1">
      <c r="B8326" s="1540"/>
      <c r="C8326" s="1332"/>
      <c r="D8326" s="1331"/>
      <c r="E8326" s="1331"/>
      <c r="F8326" s="2079" t="s">
        <v>705</v>
      </c>
      <c r="G8326" s="2079"/>
      <c r="H8326" s="1236">
        <f>SUM(H8322:H8325)</f>
        <v>512804</v>
      </c>
      <c r="M8326" s="1566"/>
    </row>
    <row r="8327" spans="2:13" hidden="1">
      <c r="B8327" s="1543" t="s">
        <v>706</v>
      </c>
      <c r="C8327" s="2075" t="s">
        <v>707</v>
      </c>
      <c r="D8327" s="2075"/>
      <c r="E8327" s="2075"/>
      <c r="F8327" s="2075"/>
      <c r="G8327" s="2075"/>
      <c r="H8327" s="1239">
        <f>H8317+H8320+H8326</f>
        <v>2878086</v>
      </c>
      <c r="M8327" s="1566"/>
    </row>
    <row r="8328" spans="2:13" hidden="1">
      <c r="B8328" s="1543" t="s">
        <v>708</v>
      </c>
      <c r="C8328" s="2075" t="s">
        <v>709</v>
      </c>
      <c r="D8328" s="2075"/>
      <c r="E8328" s="2075"/>
      <c r="F8328" s="2077" t="s">
        <v>710</v>
      </c>
      <c r="G8328" s="2077"/>
      <c r="H8328" s="1107">
        <f>H8327*0.15</f>
        <v>431712.89999999997</v>
      </c>
      <c r="M8328" s="1566"/>
    </row>
    <row r="8329" spans="2:13" hidden="1">
      <c r="B8329" s="1543" t="s">
        <v>711</v>
      </c>
      <c r="C8329" s="2078" t="s">
        <v>712</v>
      </c>
      <c r="D8329" s="2078"/>
      <c r="E8329" s="2078"/>
      <c r="F8329" s="2078"/>
      <c r="G8329" s="2078"/>
      <c r="H8329" s="1107">
        <f>ROUND(SUM(H8327:H8328),2)</f>
        <v>3309798.9</v>
      </c>
      <c r="M8329" s="1566"/>
    </row>
    <row r="8330" spans="2:13" hidden="1">
      <c r="F8330" s="1172"/>
      <c r="G8330" s="1173"/>
      <c r="H8330" s="1711"/>
      <c r="M8330" s="1566"/>
    </row>
    <row r="8331" spans="2:13" hidden="1">
      <c r="B8331" s="1100" t="s">
        <v>4293</v>
      </c>
      <c r="C8331" s="1232" t="s">
        <v>3730</v>
      </c>
      <c r="F8331" s="1172"/>
      <c r="G8331" s="1173"/>
      <c r="H8331" s="1711"/>
      <c r="M8331" s="1566"/>
    </row>
    <row r="8332" spans="2:13" s="507" customFormat="1" ht="24.9" hidden="1" customHeight="1">
      <c r="B8332" s="1748" t="s">
        <v>1003</v>
      </c>
      <c r="C8332" s="1101" t="s">
        <v>1004</v>
      </c>
      <c r="D8332" s="1101" t="s">
        <v>1005</v>
      </c>
      <c r="E8332" s="1101" t="s">
        <v>1006</v>
      </c>
      <c r="F8332" s="1102" t="s">
        <v>1007</v>
      </c>
      <c r="G8332" s="1109" t="s">
        <v>2637</v>
      </c>
      <c r="H8332" s="1235" t="s">
        <v>2638</v>
      </c>
      <c r="J8332" s="1625"/>
      <c r="K8332" s="1625"/>
      <c r="L8332" s="1625"/>
      <c r="M8332" s="1570"/>
    </row>
    <row r="8333" spans="2:13" hidden="1">
      <c r="B8333" s="1543" t="s">
        <v>671</v>
      </c>
      <c r="C8333" s="1332" t="s">
        <v>672</v>
      </c>
      <c r="D8333" s="1331"/>
      <c r="E8333" s="1331"/>
      <c r="F8333" s="1334"/>
      <c r="G8333" s="1104"/>
      <c r="H8333" s="1236"/>
      <c r="M8333" s="1566"/>
    </row>
    <row r="8334" spans="2:13" hidden="1">
      <c r="B8334" s="1543"/>
      <c r="C8334" s="1332" t="s">
        <v>673</v>
      </c>
      <c r="D8334" s="1331" t="s">
        <v>674</v>
      </c>
      <c r="E8334" s="1331" t="s">
        <v>675</v>
      </c>
      <c r="F8334" s="1334">
        <f>3.446*3</f>
        <v>10.338000000000001</v>
      </c>
      <c r="G8334" s="1104">
        <f>DUB!$I$10</f>
        <v>150000</v>
      </c>
      <c r="H8334" s="1236">
        <f>G8334*F8334</f>
        <v>1550700.0000000002</v>
      </c>
      <c r="M8334" s="1566"/>
    </row>
    <row r="8335" spans="2:13" hidden="1">
      <c r="B8335" s="1543"/>
      <c r="C8335" s="1332" t="s">
        <v>1480</v>
      </c>
      <c r="D8335" s="1331" t="s">
        <v>678</v>
      </c>
      <c r="E8335" s="1331" t="s">
        <v>675</v>
      </c>
      <c r="F8335" s="1334">
        <v>1.7230000000000001</v>
      </c>
      <c r="G8335" s="1104">
        <f>DUB!$I$11</f>
        <v>187000</v>
      </c>
      <c r="H8335" s="1236">
        <f>G8335*F8335</f>
        <v>322201</v>
      </c>
      <c r="M8335" s="1566"/>
    </row>
    <row r="8336" spans="2:13" hidden="1">
      <c r="B8336" s="1543"/>
      <c r="C8336" s="1332" t="s">
        <v>683</v>
      </c>
      <c r="D8336" s="1331" t="s">
        <v>684</v>
      </c>
      <c r="E8336" s="1331" t="s">
        <v>675</v>
      </c>
      <c r="F8336" s="1334">
        <v>0.34499999999999997</v>
      </c>
      <c r="G8336" s="1104">
        <f>$G$7836</f>
        <v>225000</v>
      </c>
      <c r="H8336" s="1236">
        <f>G8336*F8336</f>
        <v>77625</v>
      </c>
      <c r="M8336" s="1566"/>
    </row>
    <row r="8337" spans="2:13" hidden="1">
      <c r="B8337" s="1120"/>
      <c r="C8337" s="1253"/>
      <c r="D8337" s="1254"/>
      <c r="E8337" s="1253"/>
      <c r="F8337" s="2080" t="s">
        <v>685</v>
      </c>
      <c r="G8337" s="2081"/>
      <c r="H8337" s="1236">
        <f>SUM(H8334:H8336)</f>
        <v>1950526.0000000002</v>
      </c>
      <c r="M8337" s="1566"/>
    </row>
    <row r="8338" spans="2:13" hidden="1">
      <c r="B8338" s="1543" t="s">
        <v>686</v>
      </c>
      <c r="C8338" s="1332" t="s">
        <v>687</v>
      </c>
      <c r="D8338" s="1331"/>
      <c r="E8338" s="1331"/>
      <c r="F8338" s="1334"/>
      <c r="G8338" s="1104"/>
      <c r="H8338" s="1236"/>
      <c r="M8338" s="1566"/>
    </row>
    <row r="8339" spans="2:13" hidden="1">
      <c r="B8339" s="1543"/>
      <c r="C8339" s="1332" t="s">
        <v>2041</v>
      </c>
      <c r="D8339" s="1331"/>
      <c r="E8339" s="1331" t="s">
        <v>853</v>
      </c>
      <c r="F8339" s="1334">
        <v>1</v>
      </c>
      <c r="G8339" s="1104">
        <f>DUB!I560</f>
        <v>1073007</v>
      </c>
      <c r="H8339" s="1236">
        <f>G8339*F8339</f>
        <v>1073007</v>
      </c>
      <c r="M8339" s="1566"/>
    </row>
    <row r="8340" spans="2:13" hidden="1">
      <c r="B8340" s="1543"/>
      <c r="C8340" s="1332"/>
      <c r="D8340" s="1331"/>
      <c r="E8340" s="1331"/>
      <c r="F8340" s="2074" t="s">
        <v>702</v>
      </c>
      <c r="G8340" s="2074"/>
      <c r="H8340" s="1236">
        <f>SUM(H8339)</f>
        <v>1073007</v>
      </c>
      <c r="M8340" s="1566"/>
    </row>
    <row r="8341" spans="2:13" hidden="1">
      <c r="B8341" s="1543" t="s">
        <v>703</v>
      </c>
      <c r="C8341" s="1332" t="s">
        <v>704</v>
      </c>
      <c r="D8341" s="1331"/>
      <c r="E8341" s="1331"/>
      <c r="F8341" s="1334"/>
      <c r="G8341" s="1104"/>
      <c r="H8341" s="1236"/>
      <c r="M8341" s="1566"/>
    </row>
    <row r="8342" spans="2:13" ht="27.6" hidden="1">
      <c r="B8342" s="1543"/>
      <c r="C8342" s="1126" t="s">
        <v>4288</v>
      </c>
      <c r="D8342" s="1331"/>
      <c r="E8342" s="1187" t="s">
        <v>1665</v>
      </c>
      <c r="F8342" s="1179">
        <v>1.0900000000000001</v>
      </c>
      <c r="G8342" s="1104">
        <f>G8322</f>
        <v>100000</v>
      </c>
      <c r="H8342" s="1236">
        <f>G8342*F8342</f>
        <v>109000.00000000001</v>
      </c>
      <c r="M8342" s="1566"/>
    </row>
    <row r="8343" spans="2:13" hidden="1">
      <c r="B8343" s="1543"/>
      <c r="C8343" s="1126" t="s">
        <v>2645</v>
      </c>
      <c r="D8343" s="1331"/>
      <c r="E8343" s="1187" t="s">
        <v>1665</v>
      </c>
      <c r="F8343" s="1179">
        <v>0.999</v>
      </c>
      <c r="G8343" s="1104">
        <f>G8323</f>
        <v>135000</v>
      </c>
      <c r="H8343" s="1236">
        <f>G8343*F8343</f>
        <v>134865</v>
      </c>
      <c r="M8343" s="1566"/>
    </row>
    <row r="8344" spans="2:13" hidden="1">
      <c r="B8344" s="1540"/>
      <c r="C8344" s="1126" t="s">
        <v>4289</v>
      </c>
      <c r="D8344" s="1331"/>
      <c r="E8344" s="1187" t="s">
        <v>1665</v>
      </c>
      <c r="F8344" s="1179">
        <v>2.1779999999999999</v>
      </c>
      <c r="G8344" s="1104">
        <f>G8324</f>
        <v>63000</v>
      </c>
      <c r="H8344" s="1236">
        <f>G8344*F8344</f>
        <v>137214</v>
      </c>
      <c r="M8344" s="1566"/>
    </row>
    <row r="8345" spans="2:13" hidden="1">
      <c r="B8345" s="1540"/>
      <c r="C8345" s="1126" t="s">
        <v>4290</v>
      </c>
      <c r="D8345" s="1331"/>
      <c r="E8345" s="1187" t="s">
        <v>1665</v>
      </c>
      <c r="F8345" s="1179">
        <v>1.371</v>
      </c>
      <c r="G8345" s="1104">
        <f>G8325</f>
        <v>150000</v>
      </c>
      <c r="H8345" s="1236">
        <f>G8345*F8345</f>
        <v>205650</v>
      </c>
      <c r="M8345" s="1566"/>
    </row>
    <row r="8346" spans="2:13" hidden="1">
      <c r="B8346" s="1540"/>
      <c r="C8346" s="1332"/>
      <c r="D8346" s="1331"/>
      <c r="E8346" s="1331"/>
      <c r="F8346" s="2079" t="s">
        <v>705</v>
      </c>
      <c r="G8346" s="2079"/>
      <c r="H8346" s="1236">
        <f>SUM(H8342:H8345)</f>
        <v>586729</v>
      </c>
      <c r="M8346" s="1566"/>
    </row>
    <row r="8347" spans="2:13" hidden="1">
      <c r="B8347" s="1543" t="s">
        <v>706</v>
      </c>
      <c r="C8347" s="2075" t="s">
        <v>707</v>
      </c>
      <c r="D8347" s="2075"/>
      <c r="E8347" s="2075"/>
      <c r="F8347" s="2075"/>
      <c r="G8347" s="2075"/>
      <c r="H8347" s="1239">
        <f>H8337+H8340+H8346</f>
        <v>3610262</v>
      </c>
      <c r="M8347" s="1566"/>
    </row>
    <row r="8348" spans="2:13" hidden="1">
      <c r="B8348" s="1543" t="s">
        <v>708</v>
      </c>
      <c r="C8348" s="2075" t="s">
        <v>709</v>
      </c>
      <c r="D8348" s="2075"/>
      <c r="E8348" s="2075"/>
      <c r="F8348" s="2077" t="s">
        <v>710</v>
      </c>
      <c r="G8348" s="2077"/>
      <c r="H8348" s="1107">
        <f>H8347*0.15</f>
        <v>541539.29999999993</v>
      </c>
      <c r="M8348" s="1566"/>
    </row>
    <row r="8349" spans="2:13" hidden="1">
      <c r="B8349" s="1543" t="s">
        <v>711</v>
      </c>
      <c r="C8349" s="2078" t="s">
        <v>712</v>
      </c>
      <c r="D8349" s="2078"/>
      <c r="E8349" s="2078"/>
      <c r="F8349" s="2078"/>
      <c r="G8349" s="2078"/>
      <c r="H8349" s="1107">
        <f>ROUND(SUM(H8347:H8348),2)</f>
        <v>4151801.3</v>
      </c>
      <c r="M8349" s="1566"/>
    </row>
    <row r="8350" spans="2:13" hidden="1">
      <c r="B8350" s="1143"/>
      <c r="C8350" s="1144"/>
      <c r="D8350" s="1143"/>
      <c r="E8350" s="1143"/>
      <c r="F8350" s="1145"/>
      <c r="G8350" s="1146"/>
      <c r="H8350" s="1252"/>
      <c r="M8350" s="1566"/>
    </row>
    <row r="8351" spans="2:13" hidden="1">
      <c r="B8351" s="1150" t="s">
        <v>3731</v>
      </c>
      <c r="C8351" s="1112" t="s">
        <v>3732</v>
      </c>
      <c r="D8351" s="1129"/>
      <c r="E8351" s="1129"/>
      <c r="F8351" s="1131"/>
      <c r="G8351" s="1132"/>
      <c r="H8351" s="1249"/>
      <c r="M8351" s="1566"/>
    </row>
    <row r="8352" spans="2:13" hidden="1">
      <c r="B8352" s="1150" t="s">
        <v>4294</v>
      </c>
      <c r="C8352" s="1112" t="s">
        <v>3733</v>
      </c>
      <c r="D8352" s="1129"/>
      <c r="E8352" s="1129"/>
      <c r="F8352" s="1131"/>
      <c r="G8352" s="1132"/>
      <c r="H8352" s="1249"/>
      <c r="M8352" s="1566"/>
    </row>
    <row r="8353" spans="2:13" s="507" customFormat="1" ht="24.9" hidden="1" customHeight="1">
      <c r="B8353" s="1748" t="s">
        <v>1003</v>
      </c>
      <c r="C8353" s="1101" t="s">
        <v>1004</v>
      </c>
      <c r="D8353" s="1101" t="s">
        <v>1005</v>
      </c>
      <c r="E8353" s="1101" t="s">
        <v>1006</v>
      </c>
      <c r="F8353" s="1102" t="s">
        <v>1007</v>
      </c>
      <c r="G8353" s="1109" t="s">
        <v>2637</v>
      </c>
      <c r="H8353" s="1235" t="s">
        <v>2638</v>
      </c>
      <c r="J8353" s="1625"/>
      <c r="K8353" s="1625"/>
      <c r="L8353" s="1625"/>
      <c r="M8353" s="1570"/>
    </row>
    <row r="8354" spans="2:13" hidden="1">
      <c r="B8354" s="1543" t="s">
        <v>671</v>
      </c>
      <c r="C8354" s="1332" t="s">
        <v>672</v>
      </c>
      <c r="D8354" s="1331"/>
      <c r="E8354" s="1331"/>
      <c r="F8354" s="1334"/>
      <c r="G8354" s="1104"/>
      <c r="H8354" s="1236"/>
      <c r="M8354" s="1566"/>
    </row>
    <row r="8355" spans="2:13" hidden="1">
      <c r="B8355" s="1543"/>
      <c r="C8355" s="1332" t="s">
        <v>673</v>
      </c>
      <c r="D8355" s="1331" t="s">
        <v>674</v>
      </c>
      <c r="E8355" s="1331" t="s">
        <v>675</v>
      </c>
      <c r="F8355" s="1334">
        <v>0.56000000000000005</v>
      </c>
      <c r="G8355" s="1104">
        <f>DUB!$I$10</f>
        <v>150000</v>
      </c>
      <c r="H8355" s="1236">
        <f>G8355*F8355</f>
        <v>84000.000000000015</v>
      </c>
      <c r="M8355" s="1566"/>
    </row>
    <row r="8356" spans="2:13" hidden="1">
      <c r="B8356" s="1543"/>
      <c r="C8356" s="1332" t="s">
        <v>683</v>
      </c>
      <c r="D8356" s="1331" t="s">
        <v>684</v>
      </c>
      <c r="E8356" s="1331" t="s">
        <v>675</v>
      </c>
      <c r="F8356" s="1334">
        <v>2.4E-2</v>
      </c>
      <c r="G8356" s="1104">
        <f>$G$7836</f>
        <v>225000</v>
      </c>
      <c r="H8356" s="1236">
        <f>G8356*F8356</f>
        <v>5400</v>
      </c>
      <c r="M8356" s="1566"/>
    </row>
    <row r="8357" spans="2:13" hidden="1">
      <c r="B8357" s="1120"/>
      <c r="C8357" s="1253"/>
      <c r="D8357" s="1254"/>
      <c r="E8357" s="1253"/>
      <c r="F8357" s="2080" t="s">
        <v>685</v>
      </c>
      <c r="G8357" s="2081"/>
      <c r="H8357" s="1236">
        <f>SUM(H8355:H8356)</f>
        <v>89400.000000000015</v>
      </c>
      <c r="M8357" s="1566"/>
    </row>
    <row r="8358" spans="2:13" hidden="1">
      <c r="B8358" s="1543" t="s">
        <v>686</v>
      </c>
      <c r="C8358" s="1332" t="s">
        <v>704</v>
      </c>
      <c r="D8358" s="1331"/>
      <c r="E8358" s="1331"/>
      <c r="F8358" s="1334"/>
      <c r="G8358" s="1104"/>
      <c r="H8358" s="1236"/>
      <c r="M8358" s="1566"/>
    </row>
    <row r="8359" spans="2:13" hidden="1">
      <c r="B8359" s="1543"/>
      <c r="C8359" s="1126" t="s">
        <v>3734</v>
      </c>
      <c r="D8359" s="1331"/>
      <c r="E8359" s="1187" t="s">
        <v>1665</v>
      </c>
      <c r="F8359" s="1179">
        <f>1/8</f>
        <v>0.125</v>
      </c>
      <c r="G8359" s="1104">
        <v>200000</v>
      </c>
      <c r="H8359" s="1236">
        <f>G8359*F8359</f>
        <v>25000</v>
      </c>
      <c r="M8359" s="1566"/>
    </row>
    <row r="8360" spans="2:13" hidden="1">
      <c r="B8360" s="1543"/>
      <c r="C8360" s="1332"/>
      <c r="D8360" s="1331"/>
      <c r="E8360" s="1331"/>
      <c r="F8360" s="2115" t="s">
        <v>705</v>
      </c>
      <c r="G8360" s="2116"/>
      <c r="H8360" s="1236">
        <f>SUM(H8359:H8359)</f>
        <v>25000</v>
      </c>
      <c r="M8360" s="1566"/>
    </row>
    <row r="8361" spans="2:13" s="496" customFormat="1" hidden="1">
      <c r="B8361" s="1543" t="s">
        <v>703</v>
      </c>
      <c r="C8361" s="2111" t="s">
        <v>3764</v>
      </c>
      <c r="D8361" s="2112"/>
      <c r="E8361" s="2112"/>
      <c r="F8361" s="2112"/>
      <c r="G8361" s="2113"/>
      <c r="H8361" s="1239">
        <f>H8357+H8360</f>
        <v>114400.00000000001</v>
      </c>
      <c r="J8361" s="1559"/>
      <c r="K8361" s="1559"/>
      <c r="L8361" s="1559"/>
      <c r="M8361" s="1635"/>
    </row>
    <row r="8362" spans="2:13" s="496" customFormat="1" hidden="1">
      <c r="B8362" s="1543" t="s">
        <v>706</v>
      </c>
      <c r="C8362" s="2111" t="s">
        <v>709</v>
      </c>
      <c r="D8362" s="2112"/>
      <c r="E8362" s="2113"/>
      <c r="F8362" s="2151" t="s">
        <v>3873</v>
      </c>
      <c r="G8362" s="2127"/>
      <c r="H8362" s="1107">
        <f>H8361*0.15</f>
        <v>17160</v>
      </c>
      <c r="J8362" s="1559"/>
      <c r="K8362" s="1559"/>
      <c r="L8362" s="1559"/>
      <c r="M8362" s="1635"/>
    </row>
    <row r="8363" spans="2:13" s="496" customFormat="1" hidden="1">
      <c r="B8363" s="1543" t="s">
        <v>708</v>
      </c>
      <c r="C8363" s="2111" t="s">
        <v>3765</v>
      </c>
      <c r="D8363" s="2112"/>
      <c r="E8363" s="2112"/>
      <c r="F8363" s="2112"/>
      <c r="G8363" s="2113"/>
      <c r="H8363" s="1107">
        <f>ROUND(SUM(H8361:H8362),2)</f>
        <v>131560</v>
      </c>
      <c r="J8363" s="1559"/>
      <c r="K8363" s="1559"/>
      <c r="L8363" s="1559"/>
      <c r="M8363" s="1635"/>
    </row>
    <row r="8364" spans="2:13" hidden="1">
      <c r="F8364" s="1172"/>
      <c r="G8364" s="1173"/>
      <c r="H8364" s="1711"/>
      <c r="M8364" s="1566"/>
    </row>
    <row r="8365" spans="2:13" hidden="1">
      <c r="B8365" s="1150" t="s">
        <v>3735</v>
      </c>
      <c r="C8365" s="1112" t="s">
        <v>3736</v>
      </c>
      <c r="D8365" s="1129"/>
      <c r="E8365" s="1129"/>
      <c r="F8365" s="1131"/>
      <c r="G8365" s="1132"/>
      <c r="H8365" s="1249"/>
      <c r="M8365" s="1566"/>
    </row>
    <row r="8366" spans="2:13" s="507" customFormat="1" ht="24.9" hidden="1" customHeight="1">
      <c r="B8366" s="1748" t="s">
        <v>1003</v>
      </c>
      <c r="C8366" s="1101" t="s">
        <v>1004</v>
      </c>
      <c r="D8366" s="1101" t="s">
        <v>1005</v>
      </c>
      <c r="E8366" s="1101" t="s">
        <v>1006</v>
      </c>
      <c r="F8366" s="1102" t="s">
        <v>1007</v>
      </c>
      <c r="G8366" s="1109" t="s">
        <v>2637</v>
      </c>
      <c r="H8366" s="1235" t="s">
        <v>2638</v>
      </c>
      <c r="J8366" s="1625"/>
      <c r="K8366" s="1625"/>
      <c r="L8366" s="1625"/>
      <c r="M8366" s="1570"/>
    </row>
    <row r="8367" spans="2:13" hidden="1">
      <c r="B8367" s="1543" t="s">
        <v>671</v>
      </c>
      <c r="C8367" s="1332" t="s">
        <v>672</v>
      </c>
      <c r="D8367" s="1331"/>
      <c r="E8367" s="1331"/>
      <c r="F8367" s="1334"/>
      <c r="G8367" s="1104"/>
      <c r="H8367" s="1236"/>
      <c r="M8367" s="1566"/>
    </row>
    <row r="8368" spans="2:13" hidden="1">
      <c r="B8368" s="1543"/>
      <c r="C8368" s="1332" t="s">
        <v>673</v>
      </c>
      <c r="D8368" s="1331" t="s">
        <v>674</v>
      </c>
      <c r="E8368" s="1331" t="s">
        <v>675</v>
      </c>
      <c r="F8368" s="1334">
        <v>0.92800000000000005</v>
      </c>
      <c r="G8368" s="1104">
        <f>DUB!$I$10</f>
        <v>150000</v>
      </c>
      <c r="H8368" s="1236">
        <f>G8368*F8368</f>
        <v>139200</v>
      </c>
      <c r="M8368" s="1566"/>
    </row>
    <row r="8369" spans="2:13" hidden="1">
      <c r="B8369" s="1543"/>
      <c r="C8369" s="1332" t="s">
        <v>816</v>
      </c>
      <c r="D8369" s="1331" t="s">
        <v>678</v>
      </c>
      <c r="E8369" s="1331" t="s">
        <v>675</v>
      </c>
      <c r="F8369" s="1334">
        <v>8.7999999999999995E-2</v>
      </c>
      <c r="G8369" s="1104">
        <f>DUB!$I$11</f>
        <v>187000</v>
      </c>
      <c r="H8369" s="1236">
        <f>G8369*F8369</f>
        <v>16456</v>
      </c>
      <c r="M8369" s="1566"/>
    </row>
    <row r="8370" spans="2:13" hidden="1">
      <c r="B8370" s="1543"/>
      <c r="C8370" s="1332" t="s">
        <v>680</v>
      </c>
      <c r="D8370" s="1331" t="s">
        <v>681</v>
      </c>
      <c r="E8370" s="1331" t="s">
        <v>675</v>
      </c>
      <c r="F8370" s="1334">
        <v>8.9999999999999993E-3</v>
      </c>
      <c r="G8370" s="1104">
        <f>DUB!$I$13</f>
        <v>240000</v>
      </c>
      <c r="H8370" s="1236">
        <f>G8370*F8370</f>
        <v>2160</v>
      </c>
      <c r="M8370" s="1566"/>
    </row>
    <row r="8371" spans="2:13" hidden="1">
      <c r="B8371" s="1543"/>
      <c r="C8371" s="1332" t="s">
        <v>683</v>
      </c>
      <c r="D8371" s="1331" t="s">
        <v>684</v>
      </c>
      <c r="E8371" s="1331" t="s">
        <v>675</v>
      </c>
      <c r="F8371" s="1334">
        <v>5.0599999999999999E-2</v>
      </c>
      <c r="G8371" s="1104">
        <f>DUB!$I$12</f>
        <v>225000</v>
      </c>
      <c r="H8371" s="1236">
        <f>G8371*F8371</f>
        <v>11385</v>
      </c>
      <c r="M8371" s="1566"/>
    </row>
    <row r="8372" spans="2:13" hidden="1">
      <c r="B8372" s="1120"/>
      <c r="C8372" s="1253"/>
      <c r="D8372" s="1254"/>
      <c r="E8372" s="1253"/>
      <c r="F8372" s="2080" t="s">
        <v>685</v>
      </c>
      <c r="G8372" s="2081"/>
      <c r="H8372" s="1236">
        <f>SUM(H8368:H8371)</f>
        <v>169201</v>
      </c>
      <c r="M8372" s="1566"/>
    </row>
    <row r="8373" spans="2:13" hidden="1">
      <c r="B8373" s="1543" t="s">
        <v>686</v>
      </c>
      <c r="C8373" s="1332" t="s">
        <v>687</v>
      </c>
      <c r="D8373" s="1331"/>
      <c r="E8373" s="1331"/>
      <c r="F8373" s="1334"/>
      <c r="G8373" s="1104"/>
      <c r="H8373" s="1236"/>
      <c r="M8373" s="1566"/>
    </row>
    <row r="8374" spans="2:13" hidden="1">
      <c r="B8374" s="1543"/>
      <c r="C8374" s="1332" t="s">
        <v>738</v>
      </c>
      <c r="D8374" s="1331"/>
      <c r="E8374" s="1331" t="s">
        <v>773</v>
      </c>
      <c r="F8374" s="1334">
        <v>13.04</v>
      </c>
      <c r="G8374" s="1104">
        <f>DUB!$I$65</f>
        <v>1575</v>
      </c>
      <c r="H8374" s="1236">
        <f>G8374*F8374</f>
        <v>20538</v>
      </c>
      <c r="M8374" s="1566"/>
    </row>
    <row r="8375" spans="2:13" hidden="1">
      <c r="B8375" s="1543"/>
      <c r="C8375" s="1332" t="s">
        <v>831</v>
      </c>
      <c r="D8375" s="1331"/>
      <c r="E8375" s="1331" t="s">
        <v>773</v>
      </c>
      <c r="F8375" s="1334">
        <v>30.4</v>
      </c>
      <c r="G8375" s="1104">
        <f>DUB!$I$60</f>
        <v>208.46299999999999</v>
      </c>
      <c r="H8375" s="1236">
        <f>G8375*F8375</f>
        <v>6337.2751999999991</v>
      </c>
      <c r="M8375" s="1566"/>
    </row>
    <row r="8376" spans="2:13" hidden="1">
      <c r="B8376" s="1543"/>
      <c r="C8376" s="1332" t="s">
        <v>841</v>
      </c>
      <c r="D8376" s="1331"/>
      <c r="E8376" s="1331" t="s">
        <v>773</v>
      </c>
      <c r="F8376" s="1334">
        <v>41.16</v>
      </c>
      <c r="G8376" s="1104">
        <f>DUB!$I$58</f>
        <v>225</v>
      </c>
      <c r="H8376" s="1236">
        <f>G8376*F8376</f>
        <v>9261</v>
      </c>
      <c r="M8376" s="1566"/>
    </row>
    <row r="8377" spans="2:13" hidden="1">
      <c r="B8377" s="1540"/>
      <c r="C8377" s="1332" t="s">
        <v>842</v>
      </c>
      <c r="D8377" s="1331"/>
      <c r="E8377" s="1331" t="s">
        <v>701</v>
      </c>
      <c r="F8377" s="1334">
        <v>8.6</v>
      </c>
      <c r="G8377" s="1104">
        <f>DUB!$I$33</f>
        <v>44</v>
      </c>
      <c r="H8377" s="1236">
        <f>G8377*F8377</f>
        <v>378.4</v>
      </c>
      <c r="M8377" s="1566"/>
    </row>
    <row r="8378" spans="2:13" hidden="1">
      <c r="B8378" s="1540"/>
      <c r="C8378" s="1332"/>
      <c r="D8378" s="1331"/>
      <c r="E8378" s="1331"/>
      <c r="F8378" s="2115" t="s">
        <v>702</v>
      </c>
      <c r="G8378" s="2116"/>
      <c r="H8378" s="1236">
        <f>SUM(H8374)</f>
        <v>20538</v>
      </c>
      <c r="M8378" s="1566"/>
    </row>
    <row r="8379" spans="2:13" hidden="1">
      <c r="B8379" s="1543" t="s">
        <v>703</v>
      </c>
      <c r="C8379" s="1332" t="s">
        <v>704</v>
      </c>
      <c r="D8379" s="1331"/>
      <c r="E8379" s="1331"/>
      <c r="F8379" s="1334"/>
      <c r="G8379" s="1104"/>
      <c r="H8379" s="1236"/>
      <c r="M8379" s="1566"/>
    </row>
    <row r="8380" spans="2:13" hidden="1">
      <c r="B8380" s="1540"/>
      <c r="C8380" s="1126" t="s">
        <v>3734</v>
      </c>
      <c r="D8380" s="1331"/>
      <c r="E8380" s="1187" t="s">
        <v>1665</v>
      </c>
      <c r="F8380" s="1179">
        <f>1/8</f>
        <v>0.125</v>
      </c>
      <c r="G8380" s="1104">
        <f>G8359</f>
        <v>200000</v>
      </c>
      <c r="H8380" s="1236">
        <f>G8380*F8380</f>
        <v>25000</v>
      </c>
      <c r="M8380" s="1566"/>
    </row>
    <row r="8381" spans="2:13" hidden="1">
      <c r="B8381" s="1540"/>
      <c r="C8381" s="1332"/>
      <c r="D8381" s="1331"/>
      <c r="E8381" s="1331"/>
      <c r="F8381" s="2115" t="s">
        <v>705</v>
      </c>
      <c r="G8381" s="2116"/>
      <c r="H8381" s="1236">
        <f>SUM(H8380:H8380)</f>
        <v>25000</v>
      </c>
      <c r="M8381" s="1566"/>
    </row>
    <row r="8382" spans="2:13" s="496" customFormat="1" hidden="1">
      <c r="B8382" s="1543" t="s">
        <v>706</v>
      </c>
      <c r="C8382" s="2075" t="s">
        <v>707</v>
      </c>
      <c r="D8382" s="2075"/>
      <c r="E8382" s="2075"/>
      <c r="F8382" s="2075"/>
      <c r="G8382" s="2075"/>
      <c r="H8382" s="1239">
        <f>H8372+H8378+H8381</f>
        <v>214739</v>
      </c>
      <c r="J8382" s="1559"/>
      <c r="K8382" s="1559"/>
      <c r="L8382" s="1559"/>
      <c r="M8382" s="1635"/>
    </row>
    <row r="8383" spans="2:13" s="496" customFormat="1" hidden="1">
      <c r="B8383" s="1543" t="s">
        <v>708</v>
      </c>
      <c r="C8383" s="2075" t="s">
        <v>709</v>
      </c>
      <c r="D8383" s="2075"/>
      <c r="E8383" s="2075"/>
      <c r="F8383" s="2077" t="s">
        <v>710</v>
      </c>
      <c r="G8383" s="2077"/>
      <c r="H8383" s="1107">
        <f>H8382*0.15</f>
        <v>32210.85</v>
      </c>
      <c r="J8383" s="1559"/>
      <c r="K8383" s="1559"/>
      <c r="L8383" s="1559"/>
      <c r="M8383" s="1635"/>
    </row>
    <row r="8384" spans="2:13" s="496" customFormat="1" hidden="1">
      <c r="B8384" s="1543" t="s">
        <v>711</v>
      </c>
      <c r="C8384" s="2078" t="s">
        <v>712</v>
      </c>
      <c r="D8384" s="2078"/>
      <c r="E8384" s="2078"/>
      <c r="F8384" s="2078"/>
      <c r="G8384" s="2078"/>
      <c r="H8384" s="1107">
        <f>ROUND(SUM(H8382:H8383),2)</f>
        <v>246949.85</v>
      </c>
      <c r="J8384" s="1559"/>
      <c r="K8384" s="1559"/>
      <c r="L8384" s="1559"/>
      <c r="M8384" s="1635"/>
    </row>
    <row r="8385" spans="2:13" hidden="1">
      <c r="B8385" s="1129"/>
      <c r="C8385" s="1130"/>
      <c r="D8385" s="1129"/>
      <c r="E8385" s="1129"/>
      <c r="F8385" s="1131"/>
      <c r="G8385" s="1132"/>
      <c r="H8385" s="1249"/>
      <c r="M8385" s="1566"/>
    </row>
    <row r="8386" spans="2:13" hidden="1">
      <c r="B8386" s="1150" t="s">
        <v>3737</v>
      </c>
      <c r="C8386" s="1112" t="s">
        <v>3738</v>
      </c>
      <c r="D8386" s="1129"/>
      <c r="E8386" s="1129"/>
      <c r="F8386" s="1131"/>
      <c r="G8386" s="1132"/>
      <c r="H8386" s="1249"/>
      <c r="M8386" s="1566"/>
    </row>
    <row r="8387" spans="2:13" s="507" customFormat="1" ht="24.9" hidden="1" customHeight="1">
      <c r="B8387" s="1748" t="s">
        <v>1003</v>
      </c>
      <c r="C8387" s="1101" t="s">
        <v>1004</v>
      </c>
      <c r="D8387" s="1101" t="s">
        <v>1005</v>
      </c>
      <c r="E8387" s="1101" t="s">
        <v>1006</v>
      </c>
      <c r="F8387" s="1102" t="s">
        <v>1007</v>
      </c>
      <c r="G8387" s="1109" t="s">
        <v>2637</v>
      </c>
      <c r="H8387" s="1235" t="s">
        <v>2638</v>
      </c>
      <c r="J8387" s="1625"/>
      <c r="K8387" s="1625"/>
      <c r="L8387" s="1625"/>
      <c r="M8387" s="1570"/>
    </row>
    <row r="8388" spans="2:13" hidden="1">
      <c r="B8388" s="1543" t="s">
        <v>671</v>
      </c>
      <c r="C8388" s="1332" t="s">
        <v>672</v>
      </c>
      <c r="D8388" s="1331"/>
      <c r="E8388" s="1331"/>
      <c r="F8388" s="1334"/>
      <c r="G8388" s="1104"/>
      <c r="H8388" s="1236"/>
      <c r="M8388" s="1566"/>
    </row>
    <row r="8389" spans="2:13" hidden="1">
      <c r="B8389" s="1543"/>
      <c r="C8389" s="1332" t="s">
        <v>673</v>
      </c>
      <c r="D8389" s="1331" t="s">
        <v>674</v>
      </c>
      <c r="E8389" s="1331" t="s">
        <v>675</v>
      </c>
      <c r="F8389" s="1334">
        <v>0.48</v>
      </c>
      <c r="G8389" s="1104">
        <f>DUB!$I$10</f>
        <v>150000</v>
      </c>
      <c r="H8389" s="1236">
        <f>G8389*F8389</f>
        <v>72000</v>
      </c>
      <c r="M8389" s="1566"/>
    </row>
    <row r="8390" spans="2:13" hidden="1">
      <c r="B8390" s="1543"/>
      <c r="C8390" s="1332" t="s">
        <v>816</v>
      </c>
      <c r="D8390" s="1331" t="s">
        <v>678</v>
      </c>
      <c r="E8390" s="1331" t="s">
        <v>675</v>
      </c>
      <c r="F8390" s="1334">
        <v>6.4000000000000003E-3</v>
      </c>
      <c r="G8390" s="1104">
        <f>DUB!$I$11</f>
        <v>187000</v>
      </c>
      <c r="H8390" s="1236">
        <f>G8390*F8390</f>
        <v>1196.8</v>
      </c>
      <c r="M8390" s="1566"/>
    </row>
    <row r="8391" spans="2:13" hidden="1">
      <c r="B8391" s="1543"/>
      <c r="C8391" s="1332" t="s">
        <v>680</v>
      </c>
      <c r="D8391" s="1331" t="s">
        <v>681</v>
      </c>
      <c r="E8391" s="1331" t="s">
        <v>675</v>
      </c>
      <c r="F8391" s="1334">
        <v>3.2000000000000002E-3</v>
      </c>
      <c r="G8391" s="1104">
        <f>DUB!$I$13</f>
        <v>240000</v>
      </c>
      <c r="H8391" s="1236">
        <f>G8391*F8391</f>
        <v>768</v>
      </c>
      <c r="M8391" s="1566"/>
    </row>
    <row r="8392" spans="2:13" hidden="1">
      <c r="B8392" s="1543"/>
      <c r="C8392" s="1332" t="s">
        <v>683</v>
      </c>
      <c r="D8392" s="1331" t="s">
        <v>684</v>
      </c>
      <c r="E8392" s="1331" t="s">
        <v>675</v>
      </c>
      <c r="F8392" s="1334">
        <v>0.34399999999999997</v>
      </c>
      <c r="G8392" s="1104">
        <f>DUB!$I$12</f>
        <v>225000</v>
      </c>
      <c r="H8392" s="1236">
        <f>G8392*F8392</f>
        <v>77400</v>
      </c>
      <c r="M8392" s="1566"/>
    </row>
    <row r="8393" spans="2:13" hidden="1">
      <c r="B8393" s="1120"/>
      <c r="C8393" s="1253"/>
      <c r="D8393" s="1254"/>
      <c r="E8393" s="1253"/>
      <c r="F8393" s="2080" t="s">
        <v>685</v>
      </c>
      <c r="G8393" s="2081"/>
      <c r="H8393" s="1236">
        <f>SUM(H8389:H8392)</f>
        <v>151364.79999999999</v>
      </c>
      <c r="M8393" s="1566"/>
    </row>
    <row r="8394" spans="2:13" hidden="1">
      <c r="B8394" s="1543" t="s">
        <v>686</v>
      </c>
      <c r="C8394" s="1332" t="s">
        <v>687</v>
      </c>
      <c r="D8394" s="1331"/>
      <c r="E8394" s="1331"/>
      <c r="F8394" s="1334"/>
      <c r="G8394" s="1104"/>
      <c r="H8394" s="1236"/>
      <c r="M8394" s="1566"/>
    </row>
    <row r="8395" spans="2:13" hidden="1">
      <c r="B8395" s="1543"/>
      <c r="C8395" s="1332" t="s">
        <v>2914</v>
      </c>
      <c r="D8395" s="1331"/>
      <c r="E8395" s="1331" t="s">
        <v>773</v>
      </c>
      <c r="F8395" s="1334">
        <v>3</v>
      </c>
      <c r="G8395" s="1104">
        <f>DUB!$I$34</f>
        <v>19872</v>
      </c>
      <c r="H8395" s="1236">
        <f>G8395*F8395</f>
        <v>59616</v>
      </c>
      <c r="M8395" s="1566"/>
    </row>
    <row r="8396" spans="2:13" hidden="1">
      <c r="B8396" s="1543"/>
      <c r="C8396" s="1332" t="s">
        <v>3739</v>
      </c>
      <c r="D8396" s="1331"/>
      <c r="E8396" s="1331" t="s">
        <v>2916</v>
      </c>
      <c r="F8396" s="1334">
        <v>0.4</v>
      </c>
      <c r="G8396" s="1104">
        <f>DUB!$I$35</f>
        <v>22649.4</v>
      </c>
      <c r="H8396" s="1236">
        <f>G8396*F8396</f>
        <v>9059.76</v>
      </c>
      <c r="M8396" s="1566"/>
    </row>
    <row r="8397" spans="2:13" hidden="1">
      <c r="B8397" s="1543"/>
      <c r="C8397" s="1332" t="s">
        <v>831</v>
      </c>
      <c r="D8397" s="1331"/>
      <c r="E8397" s="1331" t="s">
        <v>2646</v>
      </c>
      <c r="F8397" s="1334">
        <v>1.2E-2</v>
      </c>
      <c r="G8397" s="1104">
        <f>DUB!$I$59</f>
        <v>208463</v>
      </c>
      <c r="H8397" s="1236">
        <f>G8397*F8397</f>
        <v>2501.556</v>
      </c>
      <c r="M8397" s="1566"/>
    </row>
    <row r="8398" spans="2:13" hidden="1">
      <c r="B8398" s="1543"/>
      <c r="C8398" s="1332" t="s">
        <v>3533</v>
      </c>
      <c r="D8398" s="1331"/>
      <c r="E8398" s="1331" t="s">
        <v>2646</v>
      </c>
      <c r="F8398" s="1334">
        <v>1.2E-2</v>
      </c>
      <c r="G8398" s="1104">
        <f>DUB!$I$43</f>
        <v>471183.75</v>
      </c>
      <c r="H8398" s="1236">
        <f>G8398*F8398</f>
        <v>5654.2049999999999</v>
      </c>
      <c r="M8398" s="1566"/>
    </row>
    <row r="8399" spans="2:13" hidden="1">
      <c r="B8399" s="1543"/>
      <c r="C8399" s="1332"/>
      <c r="D8399" s="1331"/>
      <c r="E8399" s="1331"/>
      <c r="F8399" s="2115" t="s">
        <v>702</v>
      </c>
      <c r="G8399" s="2116"/>
      <c r="H8399" s="1236">
        <f>SUM(H8395)</f>
        <v>59616</v>
      </c>
      <c r="M8399" s="1566"/>
    </row>
    <row r="8400" spans="2:13" hidden="1">
      <c r="B8400" s="1543" t="s">
        <v>703</v>
      </c>
      <c r="C8400" s="1332" t="s">
        <v>704</v>
      </c>
      <c r="D8400" s="1331"/>
      <c r="E8400" s="1331"/>
      <c r="F8400" s="1334"/>
      <c r="G8400" s="1104"/>
      <c r="H8400" s="1236"/>
      <c r="M8400" s="1566"/>
    </row>
    <row r="8401" spans="2:13" hidden="1">
      <c r="B8401" s="1543"/>
      <c r="C8401" s="1126" t="s">
        <v>3734</v>
      </c>
      <c r="D8401" s="1331"/>
      <c r="E8401" s="1187" t="s">
        <v>1665</v>
      </c>
      <c r="F8401" s="1179">
        <f>1/8</f>
        <v>0.125</v>
      </c>
      <c r="G8401" s="1104">
        <f>G8380</f>
        <v>200000</v>
      </c>
      <c r="H8401" s="1236">
        <f>G8401*F8401</f>
        <v>25000</v>
      </c>
      <c r="M8401" s="1566"/>
    </row>
    <row r="8402" spans="2:13" hidden="1">
      <c r="B8402" s="1540"/>
      <c r="C8402" s="1332"/>
      <c r="D8402" s="1331"/>
      <c r="E8402" s="1331"/>
      <c r="F8402" s="2115" t="s">
        <v>705</v>
      </c>
      <c r="G8402" s="2116"/>
      <c r="H8402" s="1236">
        <f>SUM(H8401:H8401)</f>
        <v>25000</v>
      </c>
      <c r="M8402" s="1566"/>
    </row>
    <row r="8403" spans="2:13" hidden="1">
      <c r="B8403" s="1543" t="s">
        <v>706</v>
      </c>
      <c r="C8403" s="2075" t="s">
        <v>707</v>
      </c>
      <c r="D8403" s="2075"/>
      <c r="E8403" s="2075"/>
      <c r="F8403" s="2075"/>
      <c r="G8403" s="2075"/>
      <c r="H8403" s="1239">
        <f>H8393+H8399+H8402</f>
        <v>235980.79999999999</v>
      </c>
      <c r="M8403" s="1566"/>
    </row>
    <row r="8404" spans="2:13" hidden="1">
      <c r="B8404" s="1543" t="s">
        <v>708</v>
      </c>
      <c r="C8404" s="2075" t="s">
        <v>709</v>
      </c>
      <c r="D8404" s="2075"/>
      <c r="E8404" s="2075"/>
      <c r="F8404" s="2077" t="s">
        <v>710</v>
      </c>
      <c r="G8404" s="2077"/>
      <c r="H8404" s="1107">
        <f>H8403*0.15</f>
        <v>35397.119999999995</v>
      </c>
      <c r="M8404" s="1566"/>
    </row>
    <row r="8405" spans="2:13" hidden="1">
      <c r="B8405" s="1543" t="s">
        <v>711</v>
      </c>
      <c r="C8405" s="2078" t="s">
        <v>712</v>
      </c>
      <c r="D8405" s="2078"/>
      <c r="E8405" s="2078"/>
      <c r="F8405" s="2078"/>
      <c r="G8405" s="2078"/>
      <c r="H8405" s="1107">
        <f>ROUND(SUM(H8403:H8404),2)</f>
        <v>271377.91999999998</v>
      </c>
      <c r="M8405" s="1566"/>
    </row>
    <row r="8406" spans="2:13" hidden="1">
      <c r="B8406" s="1129"/>
      <c r="C8406" s="1130"/>
      <c r="D8406" s="1129"/>
      <c r="E8406" s="1129"/>
      <c r="F8406" s="1131"/>
      <c r="G8406" s="1132"/>
      <c r="H8406" s="1249"/>
      <c r="M8406" s="1566"/>
    </row>
    <row r="8407" spans="2:13" hidden="1">
      <c r="B8407" s="1150" t="s">
        <v>3740</v>
      </c>
      <c r="C8407" s="1112" t="s">
        <v>3741</v>
      </c>
      <c r="D8407" s="1129"/>
      <c r="E8407" s="1129"/>
      <c r="F8407" s="1131"/>
      <c r="G8407" s="1132"/>
      <c r="H8407" s="1249"/>
      <c r="M8407" s="1566"/>
    </row>
    <row r="8408" spans="2:13" s="507" customFormat="1" ht="24.9" hidden="1" customHeight="1">
      <c r="B8408" s="1748" t="s">
        <v>1003</v>
      </c>
      <c r="C8408" s="1101" t="s">
        <v>1004</v>
      </c>
      <c r="D8408" s="1101" t="s">
        <v>1005</v>
      </c>
      <c r="E8408" s="1101" t="s">
        <v>1006</v>
      </c>
      <c r="F8408" s="1102" t="s">
        <v>1007</v>
      </c>
      <c r="G8408" s="1109" t="s">
        <v>2637</v>
      </c>
      <c r="H8408" s="1235" t="s">
        <v>2638</v>
      </c>
      <c r="J8408" s="1625"/>
      <c r="K8408" s="1625"/>
      <c r="L8408" s="1625"/>
      <c r="M8408" s="1570"/>
    </row>
    <row r="8409" spans="2:13" hidden="1">
      <c r="B8409" s="1543" t="s">
        <v>671</v>
      </c>
      <c r="C8409" s="1332" t="s">
        <v>672</v>
      </c>
      <c r="D8409" s="1331"/>
      <c r="E8409" s="1331"/>
      <c r="F8409" s="1334"/>
      <c r="G8409" s="1104"/>
      <c r="H8409" s="1236"/>
      <c r="M8409" s="1566"/>
    </row>
    <row r="8410" spans="2:13" hidden="1">
      <c r="B8410" s="1543"/>
      <c r="C8410" s="1332" t="s">
        <v>673</v>
      </c>
      <c r="D8410" s="1331" t="s">
        <v>674</v>
      </c>
      <c r="E8410" s="1331" t="s">
        <v>675</v>
      </c>
      <c r="F8410" s="1334">
        <v>1.125</v>
      </c>
      <c r="G8410" s="1104">
        <f>DUB!$I$10</f>
        <v>150000</v>
      </c>
      <c r="H8410" s="1236">
        <f>G8410*F8410</f>
        <v>168750</v>
      </c>
      <c r="M8410" s="1566"/>
    </row>
    <row r="8411" spans="2:13" hidden="1">
      <c r="B8411" s="1543"/>
      <c r="C8411" s="1332" t="s">
        <v>683</v>
      </c>
      <c r="D8411" s="1331" t="s">
        <v>684</v>
      </c>
      <c r="E8411" s="1331" t="s">
        <v>675</v>
      </c>
      <c r="F8411" s="1334">
        <v>6.7500000000000004E-2</v>
      </c>
      <c r="G8411" s="1104">
        <f>DUB!$I$12</f>
        <v>225000</v>
      </c>
      <c r="H8411" s="1236">
        <f>G8411*F8411</f>
        <v>15187.500000000002</v>
      </c>
      <c r="M8411" s="1566"/>
    </row>
    <row r="8412" spans="2:13" hidden="1">
      <c r="B8412" s="1120"/>
      <c r="C8412" s="1253"/>
      <c r="D8412" s="1254"/>
      <c r="E8412" s="1253"/>
      <c r="F8412" s="2080" t="s">
        <v>685</v>
      </c>
      <c r="G8412" s="2081"/>
      <c r="H8412" s="1236">
        <f>SUM(H8410:H8411)</f>
        <v>183937.5</v>
      </c>
      <c r="M8412" s="1566"/>
    </row>
    <row r="8413" spans="2:13" hidden="1">
      <c r="B8413" s="1543" t="s">
        <v>686</v>
      </c>
      <c r="C8413" s="1332" t="s">
        <v>704</v>
      </c>
      <c r="D8413" s="1331"/>
      <c r="E8413" s="1331"/>
      <c r="F8413" s="1334"/>
      <c r="G8413" s="1104"/>
      <c r="H8413" s="1236"/>
      <c r="M8413" s="1566"/>
    </row>
    <row r="8414" spans="2:13" hidden="1">
      <c r="B8414" s="1540"/>
      <c r="C8414" s="1126" t="s">
        <v>3734</v>
      </c>
      <c r="D8414" s="1331"/>
      <c r="E8414" s="1187" t="s">
        <v>1665</v>
      </c>
      <c r="F8414" s="1179">
        <f>2/8</f>
        <v>0.25</v>
      </c>
      <c r="G8414" s="1104">
        <f>G8401</f>
        <v>200000</v>
      </c>
      <c r="H8414" s="1236">
        <f>G8414*F8414</f>
        <v>50000</v>
      </c>
      <c r="M8414" s="1566"/>
    </row>
    <row r="8415" spans="2:13" hidden="1">
      <c r="B8415" s="1540"/>
      <c r="C8415" s="1332"/>
      <c r="D8415" s="1331"/>
      <c r="E8415" s="1331"/>
      <c r="F8415" s="2115" t="s">
        <v>705</v>
      </c>
      <c r="G8415" s="2116"/>
      <c r="H8415" s="1236">
        <f>SUM(H8414:H8414)</f>
        <v>50000</v>
      </c>
      <c r="M8415" s="1566"/>
    </row>
    <row r="8416" spans="2:13" hidden="1">
      <c r="B8416" s="1543" t="s">
        <v>703</v>
      </c>
      <c r="C8416" s="2111" t="s">
        <v>3764</v>
      </c>
      <c r="D8416" s="2112"/>
      <c r="E8416" s="2112"/>
      <c r="F8416" s="2112"/>
      <c r="G8416" s="2113"/>
      <c r="H8416" s="1239">
        <f>H8412+H8415</f>
        <v>233937.5</v>
      </c>
      <c r="M8416" s="1566"/>
    </row>
    <row r="8417" spans="2:13" hidden="1">
      <c r="B8417" s="1543" t="s">
        <v>706</v>
      </c>
      <c r="C8417" s="2111" t="s">
        <v>709</v>
      </c>
      <c r="D8417" s="2112"/>
      <c r="E8417" s="2113"/>
      <c r="F8417" s="2151" t="s">
        <v>3873</v>
      </c>
      <c r="G8417" s="2127"/>
      <c r="H8417" s="1107">
        <f>H8416*0.15</f>
        <v>35090.625</v>
      </c>
      <c r="M8417" s="1566"/>
    </row>
    <row r="8418" spans="2:13" hidden="1">
      <c r="B8418" s="1543" t="s">
        <v>708</v>
      </c>
      <c r="C8418" s="2111" t="s">
        <v>3765</v>
      </c>
      <c r="D8418" s="2112"/>
      <c r="E8418" s="2112"/>
      <c r="F8418" s="2112"/>
      <c r="G8418" s="2113"/>
      <c r="H8418" s="1107">
        <f>ROUND(SUM(H8416:H8417),2)</f>
        <v>269028.13</v>
      </c>
      <c r="M8418" s="1566"/>
    </row>
    <row r="8419" spans="2:13" hidden="1">
      <c r="F8419" s="1172"/>
      <c r="G8419" s="1173"/>
      <c r="H8419" s="1711"/>
      <c r="M8419" s="1566"/>
    </row>
    <row r="8420" spans="2:13" hidden="1">
      <c r="B8420" s="1150" t="s">
        <v>3742</v>
      </c>
      <c r="C8420" s="1112" t="s">
        <v>3743</v>
      </c>
      <c r="D8420" s="1129"/>
      <c r="E8420" s="1129"/>
      <c r="F8420" s="1131"/>
      <c r="G8420" s="1132"/>
      <c r="H8420" s="1249"/>
      <c r="M8420" s="1566"/>
    </row>
    <row r="8421" spans="2:13" s="507" customFormat="1" ht="24.9" hidden="1" customHeight="1">
      <c r="B8421" s="1748" t="s">
        <v>1003</v>
      </c>
      <c r="C8421" s="1101" t="s">
        <v>1004</v>
      </c>
      <c r="D8421" s="1101" t="s">
        <v>1005</v>
      </c>
      <c r="E8421" s="1101" t="s">
        <v>1006</v>
      </c>
      <c r="F8421" s="1102" t="s">
        <v>1007</v>
      </c>
      <c r="G8421" s="1109" t="s">
        <v>2637</v>
      </c>
      <c r="H8421" s="1235" t="s">
        <v>2638</v>
      </c>
      <c r="J8421" s="1625"/>
      <c r="K8421" s="1625"/>
      <c r="L8421" s="1625"/>
      <c r="M8421" s="1570"/>
    </row>
    <row r="8422" spans="2:13" hidden="1">
      <c r="B8422" s="1543" t="s">
        <v>671</v>
      </c>
      <c r="C8422" s="1332" t="s">
        <v>672</v>
      </c>
      <c r="D8422" s="1331"/>
      <c r="E8422" s="1331"/>
      <c r="F8422" s="1334"/>
      <c r="G8422" s="1104"/>
      <c r="H8422" s="1236"/>
      <c r="M8422" s="1566"/>
    </row>
    <row r="8423" spans="2:13" hidden="1">
      <c r="B8423" s="1543"/>
      <c r="C8423" s="1332" t="s">
        <v>673</v>
      </c>
      <c r="D8423" s="1331" t="s">
        <v>674</v>
      </c>
      <c r="E8423" s="1331" t="s">
        <v>675</v>
      </c>
      <c r="F8423" s="1334">
        <v>2.61</v>
      </c>
      <c r="G8423" s="1104">
        <f>DUB!$I$10</f>
        <v>150000</v>
      </c>
      <c r="H8423" s="1236">
        <f>G8423*F8423</f>
        <v>391500</v>
      </c>
      <c r="M8423" s="1566"/>
    </row>
    <row r="8424" spans="2:13" hidden="1">
      <c r="B8424" s="1543"/>
      <c r="C8424" s="1332" t="s">
        <v>816</v>
      </c>
      <c r="D8424" s="1331" t="s">
        <v>678</v>
      </c>
      <c r="E8424" s="1331" t="s">
        <v>675</v>
      </c>
      <c r="F8424" s="1334">
        <v>0.2475</v>
      </c>
      <c r="G8424" s="1104">
        <f>DUB!$I$11</f>
        <v>187000</v>
      </c>
      <c r="H8424" s="1236">
        <f>G8424*F8424</f>
        <v>46282.5</v>
      </c>
      <c r="M8424" s="1566"/>
    </row>
    <row r="8425" spans="2:13" hidden="1">
      <c r="B8425" s="1543"/>
      <c r="C8425" s="1332" t="s">
        <v>680</v>
      </c>
      <c r="D8425" s="1331" t="s">
        <v>681</v>
      </c>
      <c r="E8425" s="1331" t="s">
        <v>675</v>
      </c>
      <c r="F8425" s="1334">
        <v>2.52E-2</v>
      </c>
      <c r="G8425" s="1104">
        <f>DUB!$I$13</f>
        <v>240000</v>
      </c>
      <c r="H8425" s="1236">
        <f>G8425*F8425</f>
        <v>6048</v>
      </c>
      <c r="M8425" s="1566"/>
    </row>
    <row r="8426" spans="2:13" hidden="1">
      <c r="B8426" s="1543"/>
      <c r="C8426" s="1332" t="s">
        <v>683</v>
      </c>
      <c r="D8426" s="1331" t="s">
        <v>684</v>
      </c>
      <c r="E8426" s="1331" t="s">
        <v>675</v>
      </c>
      <c r="F8426" s="1334">
        <v>0.14219999999999999</v>
      </c>
      <c r="G8426" s="1104">
        <f>DUB!$I$12</f>
        <v>225000</v>
      </c>
      <c r="H8426" s="1236">
        <f>G8426*F8426</f>
        <v>31995</v>
      </c>
      <c r="M8426" s="1566"/>
    </row>
    <row r="8427" spans="2:13" hidden="1">
      <c r="B8427" s="1120"/>
      <c r="C8427" s="1253"/>
      <c r="D8427" s="1254"/>
      <c r="E8427" s="1253"/>
      <c r="F8427" s="2080" t="s">
        <v>685</v>
      </c>
      <c r="G8427" s="2081"/>
      <c r="H8427" s="1236">
        <f>SUM(H8423:H8426)</f>
        <v>475825.5</v>
      </c>
      <c r="M8427" s="1566"/>
    </row>
    <row r="8428" spans="2:13" hidden="1">
      <c r="B8428" s="1543" t="s">
        <v>686</v>
      </c>
      <c r="C8428" s="1332" t="s">
        <v>687</v>
      </c>
      <c r="D8428" s="1331"/>
      <c r="E8428" s="1331"/>
      <c r="F8428" s="1334"/>
      <c r="G8428" s="1104"/>
      <c r="H8428" s="1236"/>
      <c r="M8428" s="1566"/>
    </row>
    <row r="8429" spans="2:13" hidden="1">
      <c r="B8429" s="1543"/>
      <c r="C8429" s="1332" t="s">
        <v>738</v>
      </c>
      <c r="D8429" s="1331"/>
      <c r="E8429" s="1331" t="s">
        <v>773</v>
      </c>
      <c r="F8429" s="1334">
        <v>19.559999999999999</v>
      </c>
      <c r="G8429" s="1104">
        <f>DUB!$I$65</f>
        <v>1575</v>
      </c>
      <c r="H8429" s="1236">
        <f>G8429*F8429</f>
        <v>30806.999999999996</v>
      </c>
      <c r="M8429" s="1566"/>
    </row>
    <row r="8430" spans="2:13" hidden="1">
      <c r="B8430" s="1543"/>
      <c r="C8430" s="1332" t="s">
        <v>831</v>
      </c>
      <c r="D8430" s="1331"/>
      <c r="E8430" s="1331" t="s">
        <v>773</v>
      </c>
      <c r="F8430" s="1334">
        <v>45.6</v>
      </c>
      <c r="G8430" s="1104">
        <f>DUB!$I$60</f>
        <v>208.46299999999999</v>
      </c>
      <c r="H8430" s="1236">
        <f>G8430*F8430</f>
        <v>9505.9128000000001</v>
      </c>
      <c r="M8430" s="1566"/>
    </row>
    <row r="8431" spans="2:13" hidden="1">
      <c r="B8431" s="1543"/>
      <c r="C8431" s="1332" t="s">
        <v>841</v>
      </c>
      <c r="D8431" s="1331"/>
      <c r="E8431" s="1331" t="s">
        <v>773</v>
      </c>
      <c r="F8431" s="1334">
        <v>61.74</v>
      </c>
      <c r="G8431" s="1104">
        <f>DUB!$I$58</f>
        <v>225</v>
      </c>
      <c r="H8431" s="1236">
        <f>G8431*F8431</f>
        <v>13891.5</v>
      </c>
      <c r="M8431" s="1566"/>
    </row>
    <row r="8432" spans="2:13" hidden="1">
      <c r="B8432" s="1543"/>
      <c r="C8432" s="1332" t="s">
        <v>842</v>
      </c>
      <c r="D8432" s="1331"/>
      <c r="E8432" s="1331" t="s">
        <v>701</v>
      </c>
      <c r="F8432" s="1334">
        <v>12.9</v>
      </c>
      <c r="G8432" s="1104">
        <f>DUB!$I$33</f>
        <v>44</v>
      </c>
      <c r="H8432" s="1236">
        <f>G8432*F8432</f>
        <v>567.6</v>
      </c>
      <c r="M8432" s="1566"/>
    </row>
    <row r="8433" spans="2:13" hidden="1">
      <c r="B8433" s="1543"/>
      <c r="C8433" s="1332"/>
      <c r="D8433" s="1331"/>
      <c r="E8433" s="1331"/>
      <c r="F8433" s="2115" t="s">
        <v>702</v>
      </c>
      <c r="G8433" s="2116"/>
      <c r="H8433" s="1236">
        <f>SUM(H8429:H8432)</f>
        <v>54772.012799999997</v>
      </c>
      <c r="M8433" s="1566"/>
    </row>
    <row r="8434" spans="2:13" hidden="1">
      <c r="B8434" s="1543" t="s">
        <v>703</v>
      </c>
      <c r="C8434" s="1332" t="s">
        <v>704</v>
      </c>
      <c r="D8434" s="1331"/>
      <c r="E8434" s="1331"/>
      <c r="F8434" s="1334"/>
      <c r="G8434" s="1104"/>
      <c r="H8434" s="1236"/>
      <c r="M8434" s="1566"/>
    </row>
    <row r="8435" spans="2:13" hidden="1">
      <c r="B8435" s="1543"/>
      <c r="C8435" s="1126" t="s">
        <v>3734</v>
      </c>
      <c r="D8435" s="1331"/>
      <c r="E8435" s="1187" t="s">
        <v>1665</v>
      </c>
      <c r="F8435" s="1179">
        <f>2/8</f>
        <v>0.25</v>
      </c>
      <c r="G8435" s="1104">
        <f>G8414</f>
        <v>200000</v>
      </c>
      <c r="H8435" s="1236">
        <f>G8435*F8435</f>
        <v>50000</v>
      </c>
      <c r="M8435" s="1566"/>
    </row>
    <row r="8436" spans="2:13" hidden="1">
      <c r="B8436" s="1543"/>
      <c r="C8436" s="1332"/>
      <c r="D8436" s="1331"/>
      <c r="E8436" s="1331"/>
      <c r="F8436" s="2115" t="s">
        <v>705</v>
      </c>
      <c r="G8436" s="2116"/>
      <c r="H8436" s="1236">
        <f>SUM(H8435:H8435)</f>
        <v>50000</v>
      </c>
      <c r="M8436" s="1566"/>
    </row>
    <row r="8437" spans="2:13" s="496" customFormat="1" hidden="1">
      <c r="B8437" s="1543" t="s">
        <v>706</v>
      </c>
      <c r="C8437" s="2075" t="s">
        <v>707</v>
      </c>
      <c r="D8437" s="2075"/>
      <c r="E8437" s="2075"/>
      <c r="F8437" s="2075"/>
      <c r="G8437" s="2075"/>
      <c r="H8437" s="1239">
        <f>H8427+H8433+H8436</f>
        <v>580597.51280000003</v>
      </c>
      <c r="J8437" s="1559"/>
      <c r="K8437" s="1559"/>
      <c r="L8437" s="1559"/>
      <c r="M8437" s="1635"/>
    </row>
    <row r="8438" spans="2:13" s="496" customFormat="1" hidden="1">
      <c r="B8438" s="1543" t="s">
        <v>708</v>
      </c>
      <c r="C8438" s="2075" t="s">
        <v>709</v>
      </c>
      <c r="D8438" s="2075"/>
      <c r="E8438" s="2075"/>
      <c r="F8438" s="2077" t="s">
        <v>710</v>
      </c>
      <c r="G8438" s="2077"/>
      <c r="H8438" s="1107">
        <f>H8437*0.15</f>
        <v>87089.626919999995</v>
      </c>
      <c r="J8438" s="1559"/>
      <c r="K8438" s="1559"/>
      <c r="L8438" s="1559"/>
      <c r="M8438" s="1635"/>
    </row>
    <row r="8439" spans="2:13" s="496" customFormat="1" hidden="1">
      <c r="B8439" s="1543" t="s">
        <v>711</v>
      </c>
      <c r="C8439" s="2078" t="s">
        <v>712</v>
      </c>
      <c r="D8439" s="2078"/>
      <c r="E8439" s="2078"/>
      <c r="F8439" s="2078"/>
      <c r="G8439" s="2078"/>
      <c r="H8439" s="1107">
        <f>ROUND(SUM(H8437:H8438),2)</f>
        <v>667687.14</v>
      </c>
      <c r="J8439" s="1559"/>
      <c r="K8439" s="1559"/>
      <c r="L8439" s="1559"/>
      <c r="M8439" s="1635"/>
    </row>
    <row r="8440" spans="2:13" hidden="1">
      <c r="B8440" s="1129"/>
      <c r="C8440" s="1130"/>
      <c r="D8440" s="1129"/>
      <c r="E8440" s="1129"/>
      <c r="F8440" s="1131"/>
      <c r="G8440" s="1132"/>
      <c r="H8440" s="1249"/>
      <c r="M8440" s="1566"/>
    </row>
    <row r="8441" spans="2:13" hidden="1">
      <c r="B8441" s="1150" t="s">
        <v>3744</v>
      </c>
      <c r="C8441" s="1112" t="s">
        <v>3745</v>
      </c>
      <c r="D8441" s="1129"/>
      <c r="E8441" s="1129"/>
      <c r="F8441" s="1131"/>
      <c r="G8441" s="1132"/>
      <c r="H8441" s="1249"/>
      <c r="M8441" s="1566"/>
    </row>
    <row r="8442" spans="2:13" s="507" customFormat="1" ht="24.9" hidden="1" customHeight="1">
      <c r="B8442" s="1748" t="s">
        <v>1003</v>
      </c>
      <c r="C8442" s="1101" t="s">
        <v>1004</v>
      </c>
      <c r="D8442" s="1101" t="s">
        <v>1005</v>
      </c>
      <c r="E8442" s="1101" t="s">
        <v>1006</v>
      </c>
      <c r="F8442" s="1102" t="s">
        <v>1007</v>
      </c>
      <c r="G8442" s="1109" t="s">
        <v>2637</v>
      </c>
      <c r="H8442" s="1235" t="s">
        <v>2638</v>
      </c>
      <c r="J8442" s="1625"/>
      <c r="K8442" s="1625"/>
      <c r="L8442" s="1625"/>
      <c r="M8442" s="1570"/>
    </row>
    <row r="8443" spans="2:13" hidden="1">
      <c r="B8443" s="1543" t="s">
        <v>671</v>
      </c>
      <c r="C8443" s="1332" t="s">
        <v>672</v>
      </c>
      <c r="D8443" s="1331"/>
      <c r="E8443" s="1331"/>
      <c r="F8443" s="1334"/>
      <c r="G8443" s="1104"/>
      <c r="H8443" s="1236"/>
      <c r="M8443" s="1566"/>
    </row>
    <row r="8444" spans="2:13" hidden="1">
      <c r="B8444" s="1543"/>
      <c r="C8444" s="1332" t="s">
        <v>673</v>
      </c>
      <c r="D8444" s="1331" t="s">
        <v>674</v>
      </c>
      <c r="E8444" s="1331" t="s">
        <v>675</v>
      </c>
      <c r="F8444" s="1334">
        <v>1.35</v>
      </c>
      <c r="G8444" s="1104">
        <f>DUB!$I$10</f>
        <v>150000</v>
      </c>
      <c r="H8444" s="1236">
        <f>G8444*F8444</f>
        <v>202500</v>
      </c>
      <c r="M8444" s="1566"/>
    </row>
    <row r="8445" spans="2:13" hidden="1">
      <c r="B8445" s="1543"/>
      <c r="C8445" s="1332" t="s">
        <v>816</v>
      </c>
      <c r="D8445" s="1331" t="s">
        <v>678</v>
      </c>
      <c r="E8445" s="1331" t="s">
        <v>675</v>
      </c>
      <c r="F8445" s="1334">
        <v>1.7999999999999999E-2</v>
      </c>
      <c r="G8445" s="1104">
        <f>DUB!$I$11</f>
        <v>187000</v>
      </c>
      <c r="H8445" s="1236">
        <f>G8445*F8445</f>
        <v>3365.9999999999995</v>
      </c>
      <c r="M8445" s="1566"/>
    </row>
    <row r="8446" spans="2:13" hidden="1">
      <c r="B8446" s="1543"/>
      <c r="C8446" s="1332" t="s">
        <v>680</v>
      </c>
      <c r="D8446" s="1331" t="s">
        <v>681</v>
      </c>
      <c r="E8446" s="1331" t="s">
        <v>675</v>
      </c>
      <c r="F8446" s="1334">
        <v>8.9999999999999993E-3</v>
      </c>
      <c r="G8446" s="1104">
        <f>DUB!$I$13</f>
        <v>240000</v>
      </c>
      <c r="H8446" s="1236">
        <f>G8446*F8446</f>
        <v>2160</v>
      </c>
      <c r="M8446" s="1566"/>
    </row>
    <row r="8447" spans="2:13" hidden="1">
      <c r="B8447" s="1543"/>
      <c r="C8447" s="1332" t="s">
        <v>683</v>
      </c>
      <c r="D8447" s="1331" t="s">
        <v>684</v>
      </c>
      <c r="E8447" s="1331" t="s">
        <v>675</v>
      </c>
      <c r="F8447" s="1334">
        <v>0.96750000000000003</v>
      </c>
      <c r="G8447" s="1104">
        <f>DUB!$I$12</f>
        <v>225000</v>
      </c>
      <c r="H8447" s="1236">
        <f>G8447*F8447</f>
        <v>217687.5</v>
      </c>
      <c r="M8447" s="1566"/>
    </row>
    <row r="8448" spans="2:13" hidden="1">
      <c r="B8448" s="1120"/>
      <c r="C8448" s="1253"/>
      <c r="D8448" s="1254"/>
      <c r="E8448" s="1253"/>
      <c r="F8448" s="2080" t="s">
        <v>685</v>
      </c>
      <c r="G8448" s="2081"/>
      <c r="H8448" s="1236">
        <f>SUM(H8444:H8447)</f>
        <v>425713.5</v>
      </c>
      <c r="M8448" s="1566"/>
    </row>
    <row r="8449" spans="2:13" hidden="1">
      <c r="B8449" s="1543" t="s">
        <v>686</v>
      </c>
      <c r="C8449" s="1332" t="s">
        <v>687</v>
      </c>
      <c r="D8449" s="1331"/>
      <c r="E8449" s="1331"/>
      <c r="F8449" s="1334"/>
      <c r="G8449" s="1104"/>
      <c r="H8449" s="1236"/>
      <c r="M8449" s="1566"/>
    </row>
    <row r="8450" spans="2:13" hidden="1">
      <c r="B8450" s="1543"/>
      <c r="C8450" s="1332" t="s">
        <v>2914</v>
      </c>
      <c r="D8450" s="1331"/>
      <c r="E8450" s="1331" t="s">
        <v>773</v>
      </c>
      <c r="F8450" s="1334">
        <v>4.5</v>
      </c>
      <c r="G8450" s="1104">
        <f>DUB!$I$34</f>
        <v>19872</v>
      </c>
      <c r="H8450" s="1236">
        <f>G8450*F8450</f>
        <v>89424</v>
      </c>
      <c r="M8450" s="1566"/>
    </row>
    <row r="8451" spans="2:13" hidden="1">
      <c r="B8451" s="1543"/>
      <c r="C8451" s="1332" t="s">
        <v>3739</v>
      </c>
      <c r="D8451" s="1331"/>
      <c r="E8451" s="1331" t="s">
        <v>2916</v>
      </c>
      <c r="F8451" s="1334">
        <v>0.6</v>
      </c>
      <c r="G8451" s="1104">
        <f>DUB!$I$35</f>
        <v>22649.4</v>
      </c>
      <c r="H8451" s="1236">
        <f>G8451*F8451</f>
        <v>13589.640000000001</v>
      </c>
      <c r="M8451" s="1566"/>
    </row>
    <row r="8452" spans="2:13" hidden="1">
      <c r="B8452" s="1543"/>
      <c r="C8452" s="1332" t="s">
        <v>831</v>
      </c>
      <c r="D8452" s="1331"/>
      <c r="E8452" s="1331" t="s">
        <v>2646</v>
      </c>
      <c r="F8452" s="1334">
        <v>1.7999999999999999E-2</v>
      </c>
      <c r="G8452" s="1104">
        <f>DUB!$I$59</f>
        <v>208463</v>
      </c>
      <c r="H8452" s="1236">
        <f>G8452*F8452</f>
        <v>3752.3339999999998</v>
      </c>
      <c r="M8452" s="1566"/>
    </row>
    <row r="8453" spans="2:13" hidden="1">
      <c r="B8453" s="1543"/>
      <c r="C8453" s="1332" t="s">
        <v>3533</v>
      </c>
      <c r="D8453" s="1331"/>
      <c r="E8453" s="1331" t="s">
        <v>2646</v>
      </c>
      <c r="F8453" s="1334">
        <v>1.7999999999999999E-2</v>
      </c>
      <c r="G8453" s="1104">
        <f>DUB!$I$43</f>
        <v>471183.75</v>
      </c>
      <c r="H8453" s="1236">
        <f>G8453*F8453</f>
        <v>8481.307499999999</v>
      </c>
      <c r="M8453" s="1566"/>
    </row>
    <row r="8454" spans="2:13" hidden="1">
      <c r="B8454" s="1543"/>
      <c r="C8454" s="1332"/>
      <c r="D8454" s="1331"/>
      <c r="E8454" s="1331"/>
      <c r="F8454" s="2115" t="s">
        <v>702</v>
      </c>
      <c r="G8454" s="2116"/>
      <c r="H8454" s="1236">
        <f>SUM(H8450:H8453)</f>
        <v>115247.2815</v>
      </c>
      <c r="M8454" s="1566"/>
    </row>
    <row r="8455" spans="2:13" hidden="1">
      <c r="B8455" s="1543" t="s">
        <v>703</v>
      </c>
      <c r="C8455" s="1332" t="s">
        <v>704</v>
      </c>
      <c r="D8455" s="1331"/>
      <c r="E8455" s="1331"/>
      <c r="F8455" s="1334"/>
      <c r="G8455" s="1104"/>
      <c r="H8455" s="1236"/>
      <c r="M8455" s="1566"/>
    </row>
    <row r="8456" spans="2:13" hidden="1">
      <c r="B8456" s="1543"/>
      <c r="C8456" s="1126" t="s">
        <v>3734</v>
      </c>
      <c r="D8456" s="1331"/>
      <c r="E8456" s="1187" t="s">
        <v>1665</v>
      </c>
      <c r="F8456" s="1179">
        <f>2/8</f>
        <v>0.25</v>
      </c>
      <c r="G8456" s="1104">
        <f>G8435</f>
        <v>200000</v>
      </c>
      <c r="H8456" s="1236">
        <f>G8456*F8456</f>
        <v>50000</v>
      </c>
      <c r="M8456" s="1566"/>
    </row>
    <row r="8457" spans="2:13" hidden="1">
      <c r="B8457" s="1543"/>
      <c r="C8457" s="1332"/>
      <c r="D8457" s="1331"/>
      <c r="E8457" s="1331"/>
      <c r="F8457" s="2115" t="s">
        <v>705</v>
      </c>
      <c r="G8457" s="2116"/>
      <c r="H8457" s="1236">
        <f>SUM(H8456:H8456)</f>
        <v>50000</v>
      </c>
      <c r="M8457" s="1566"/>
    </row>
    <row r="8458" spans="2:13" hidden="1">
      <c r="B8458" s="1543" t="s">
        <v>706</v>
      </c>
      <c r="C8458" s="2075" t="s">
        <v>707</v>
      </c>
      <c r="D8458" s="2075"/>
      <c r="E8458" s="2075"/>
      <c r="F8458" s="2075"/>
      <c r="G8458" s="2075"/>
      <c r="H8458" s="1239">
        <f>H8448+H8454+H8457</f>
        <v>590960.78150000004</v>
      </c>
      <c r="M8458" s="1566"/>
    </row>
    <row r="8459" spans="2:13" hidden="1">
      <c r="B8459" s="1543" t="s">
        <v>708</v>
      </c>
      <c r="C8459" s="2075" t="s">
        <v>709</v>
      </c>
      <c r="D8459" s="2075"/>
      <c r="E8459" s="2075"/>
      <c r="F8459" s="2077" t="s">
        <v>710</v>
      </c>
      <c r="G8459" s="2077"/>
      <c r="H8459" s="1107">
        <f>H8458*0.15</f>
        <v>88644.117225000009</v>
      </c>
      <c r="M8459" s="1566"/>
    </row>
    <row r="8460" spans="2:13" hidden="1">
      <c r="B8460" s="1543" t="s">
        <v>711</v>
      </c>
      <c r="C8460" s="2078" t="s">
        <v>712</v>
      </c>
      <c r="D8460" s="2078"/>
      <c r="E8460" s="2078"/>
      <c r="F8460" s="2078"/>
      <c r="G8460" s="2078"/>
      <c r="H8460" s="1107">
        <f>ROUND(SUM(H8458:H8459),2)</f>
        <v>679604.9</v>
      </c>
      <c r="M8460" s="1566"/>
    </row>
    <row r="8461" spans="2:13" hidden="1">
      <c r="B8461" s="1129"/>
      <c r="C8461" s="1130"/>
      <c r="D8461" s="1129"/>
      <c r="E8461" s="1129"/>
      <c r="F8461" s="1131"/>
      <c r="G8461" s="1132"/>
      <c r="H8461" s="1249"/>
      <c r="M8461" s="1566"/>
    </row>
    <row r="8462" spans="2:13" hidden="1">
      <c r="B8462" s="1150" t="s">
        <v>3746</v>
      </c>
      <c r="C8462" s="1112" t="s">
        <v>3747</v>
      </c>
      <c r="D8462" s="1129"/>
      <c r="E8462" s="1129"/>
      <c r="F8462" s="1131"/>
      <c r="G8462" s="1132"/>
      <c r="H8462" s="1249"/>
      <c r="M8462" s="1566"/>
    </row>
    <row r="8463" spans="2:13" s="507" customFormat="1" ht="24.9" hidden="1" customHeight="1">
      <c r="B8463" s="1748" t="s">
        <v>1003</v>
      </c>
      <c r="C8463" s="1101" t="s">
        <v>1004</v>
      </c>
      <c r="D8463" s="1101" t="s">
        <v>1005</v>
      </c>
      <c r="E8463" s="1101" t="s">
        <v>1006</v>
      </c>
      <c r="F8463" s="1102" t="s">
        <v>1007</v>
      </c>
      <c r="G8463" s="1109" t="s">
        <v>2637</v>
      </c>
      <c r="H8463" s="1235" t="s">
        <v>2638</v>
      </c>
      <c r="J8463" s="1625"/>
      <c r="K8463" s="1625"/>
      <c r="L8463" s="1625"/>
      <c r="M8463" s="1570"/>
    </row>
    <row r="8464" spans="2:13" hidden="1">
      <c r="B8464" s="1543" t="s">
        <v>671</v>
      </c>
      <c r="C8464" s="1332" t="s">
        <v>672</v>
      </c>
      <c r="D8464" s="1331"/>
      <c r="E8464" s="1331"/>
      <c r="F8464" s="1334"/>
      <c r="G8464" s="1104"/>
      <c r="H8464" s="1236"/>
      <c r="M8464" s="1566"/>
    </row>
    <row r="8465" spans="2:13" hidden="1">
      <c r="B8465" s="1543"/>
      <c r="C8465" s="1332" t="s">
        <v>673</v>
      </c>
      <c r="D8465" s="1331" t="s">
        <v>674</v>
      </c>
      <c r="E8465" s="1331" t="s">
        <v>675</v>
      </c>
      <c r="F8465" s="1334">
        <v>0.92800000000000016</v>
      </c>
      <c r="G8465" s="1104">
        <f>DUB!$I$10</f>
        <v>150000</v>
      </c>
      <c r="H8465" s="1236">
        <f>G8465*F8465</f>
        <v>139200.00000000003</v>
      </c>
      <c r="M8465" s="1566"/>
    </row>
    <row r="8466" spans="2:13" hidden="1">
      <c r="B8466" s="1543"/>
      <c r="C8466" s="1332" t="s">
        <v>816</v>
      </c>
      <c r="D8466" s="1331" t="s">
        <v>678</v>
      </c>
      <c r="E8466" s="1331" t="s">
        <v>675</v>
      </c>
      <c r="F8466" s="1334">
        <v>8.8000000000000023E-2</v>
      </c>
      <c r="G8466" s="1104">
        <f>DUB!$I$11</f>
        <v>187000</v>
      </c>
      <c r="H8466" s="1236">
        <f>G8466*F8466</f>
        <v>16456.000000000004</v>
      </c>
      <c r="M8466" s="1566"/>
    </row>
    <row r="8467" spans="2:13" hidden="1">
      <c r="B8467" s="1543"/>
      <c r="C8467" s="1332" t="s">
        <v>680</v>
      </c>
      <c r="D8467" s="1331" t="s">
        <v>681</v>
      </c>
      <c r="E8467" s="1331" t="s">
        <v>675</v>
      </c>
      <c r="F8467" s="1334">
        <v>8.9999999999999993E-3</v>
      </c>
      <c r="G8467" s="1104">
        <f>DUB!$I$13</f>
        <v>240000</v>
      </c>
      <c r="H8467" s="1236">
        <f>G8467*F8467</f>
        <v>2160</v>
      </c>
      <c r="M8467" s="1566"/>
    </row>
    <row r="8468" spans="2:13" hidden="1">
      <c r="B8468" s="1543"/>
      <c r="C8468" s="1332" t="s">
        <v>683</v>
      </c>
      <c r="D8468" s="1331" t="s">
        <v>684</v>
      </c>
      <c r="E8468" s="1331" t="s">
        <v>675</v>
      </c>
      <c r="F8468" s="1334">
        <v>5.0599999999999999E-2</v>
      </c>
      <c r="G8468" s="1104">
        <f>DUB!$I$12</f>
        <v>225000</v>
      </c>
      <c r="H8468" s="1236">
        <f>G8468*F8468</f>
        <v>11385</v>
      </c>
      <c r="M8468" s="1566"/>
    </row>
    <row r="8469" spans="2:13" hidden="1">
      <c r="B8469" s="1120"/>
      <c r="C8469" s="1253"/>
      <c r="D8469" s="1254"/>
      <c r="E8469" s="1253"/>
      <c r="F8469" s="2080" t="s">
        <v>685</v>
      </c>
      <c r="G8469" s="2081"/>
      <c r="H8469" s="1236">
        <f>SUM(H8465:H8468)</f>
        <v>169201.00000000003</v>
      </c>
      <c r="M8469" s="1566"/>
    </row>
    <row r="8470" spans="2:13" hidden="1">
      <c r="B8470" s="1543" t="s">
        <v>686</v>
      </c>
      <c r="C8470" s="1332" t="s">
        <v>687</v>
      </c>
      <c r="D8470" s="1331"/>
      <c r="E8470" s="1331"/>
      <c r="F8470" s="1334"/>
      <c r="G8470" s="1104"/>
      <c r="H8470" s="1236"/>
      <c r="M8470" s="1566"/>
    </row>
    <row r="8471" spans="2:13" hidden="1">
      <c r="B8471" s="1543"/>
      <c r="C8471" s="1332" t="s">
        <v>842</v>
      </c>
      <c r="D8471" s="1331"/>
      <c r="E8471" s="1331" t="s">
        <v>701</v>
      </c>
      <c r="F8471" s="1334">
        <f>8.6*4</f>
        <v>34.4</v>
      </c>
      <c r="G8471" s="1104">
        <f>DUB!$I$33</f>
        <v>44</v>
      </c>
      <c r="H8471" s="1236">
        <f>G8471*F8471</f>
        <v>1513.6</v>
      </c>
      <c r="M8471" s="1566"/>
    </row>
    <row r="8472" spans="2:13" hidden="1">
      <c r="B8472" s="1543"/>
      <c r="C8472" s="1332"/>
      <c r="D8472" s="1331"/>
      <c r="E8472" s="1331"/>
      <c r="F8472" s="2115" t="s">
        <v>702</v>
      </c>
      <c r="G8472" s="2116"/>
      <c r="H8472" s="1236">
        <f>SUM(H8471)</f>
        <v>1513.6</v>
      </c>
      <c r="M8472" s="1566"/>
    </row>
    <row r="8473" spans="2:13" hidden="1">
      <c r="B8473" s="1543" t="s">
        <v>703</v>
      </c>
      <c r="C8473" s="1332" t="s">
        <v>704</v>
      </c>
      <c r="D8473" s="1331"/>
      <c r="E8473" s="1331"/>
      <c r="F8473" s="1334"/>
      <c r="G8473" s="1104"/>
      <c r="H8473" s="1236"/>
      <c r="M8473" s="1566"/>
    </row>
    <row r="8474" spans="2:13" hidden="1">
      <c r="B8474" s="1543"/>
      <c r="C8474" s="1126" t="s">
        <v>3509</v>
      </c>
      <c r="D8474" s="1331"/>
      <c r="E8474" s="1187" t="s">
        <v>3513</v>
      </c>
      <c r="F8474" s="1179">
        <v>1</v>
      </c>
      <c r="G8474" s="1104">
        <v>75000</v>
      </c>
      <c r="H8474" s="1236">
        <f>G8474*F8474</f>
        <v>75000</v>
      </c>
      <c r="M8474" s="1566"/>
    </row>
    <row r="8475" spans="2:13" hidden="1">
      <c r="B8475" s="1543"/>
      <c r="C8475" s="1332"/>
      <c r="D8475" s="1331"/>
      <c r="E8475" s="1331"/>
      <c r="F8475" s="2115" t="s">
        <v>705</v>
      </c>
      <c r="G8475" s="2116"/>
      <c r="H8475" s="1236">
        <f>SUM(H8474:H8474)</f>
        <v>75000</v>
      </c>
      <c r="M8475" s="1566"/>
    </row>
    <row r="8476" spans="2:13" hidden="1">
      <c r="B8476" s="1543" t="s">
        <v>706</v>
      </c>
      <c r="C8476" s="2075" t="s">
        <v>707</v>
      </c>
      <c r="D8476" s="2075"/>
      <c r="E8476" s="2075"/>
      <c r="F8476" s="2075"/>
      <c r="G8476" s="2075"/>
      <c r="H8476" s="1239">
        <f>H8469+H8472+H8475</f>
        <v>245714.60000000003</v>
      </c>
      <c r="M8476" s="1566"/>
    </row>
    <row r="8477" spans="2:13" hidden="1">
      <c r="B8477" s="1543" t="s">
        <v>708</v>
      </c>
      <c r="C8477" s="2075" t="s">
        <v>709</v>
      </c>
      <c r="D8477" s="2075"/>
      <c r="E8477" s="2075"/>
      <c r="F8477" s="2077" t="s">
        <v>710</v>
      </c>
      <c r="G8477" s="2077"/>
      <c r="H8477" s="1107">
        <f>H8476*0.15</f>
        <v>36857.19</v>
      </c>
      <c r="M8477" s="1566"/>
    </row>
    <row r="8478" spans="2:13" hidden="1">
      <c r="B8478" s="1543" t="s">
        <v>711</v>
      </c>
      <c r="C8478" s="2078" t="s">
        <v>712</v>
      </c>
      <c r="D8478" s="2078"/>
      <c r="E8478" s="2078"/>
      <c r="F8478" s="2078"/>
      <c r="G8478" s="2078"/>
      <c r="H8478" s="1107">
        <f>ROUND(SUM(H8476:H8477),2)</f>
        <v>282571.78999999998</v>
      </c>
      <c r="M8478" s="1566"/>
    </row>
    <row r="8479" spans="2:13" hidden="1">
      <c r="B8479" s="1129"/>
      <c r="C8479" s="1130"/>
      <c r="D8479" s="1129"/>
      <c r="E8479" s="1129"/>
      <c r="F8479" s="1131"/>
      <c r="G8479" s="1132"/>
      <c r="H8479" s="1249"/>
      <c r="M8479" s="1566"/>
    </row>
    <row r="8480" spans="2:13" hidden="1">
      <c r="B8480" s="1150" t="s">
        <v>3748</v>
      </c>
      <c r="C8480" s="1112" t="s">
        <v>3749</v>
      </c>
      <c r="D8480" s="1129"/>
      <c r="E8480" s="1129"/>
      <c r="F8480" s="1131"/>
      <c r="G8480" s="1132"/>
      <c r="H8480" s="1249"/>
      <c r="M8480" s="1566"/>
    </row>
    <row r="8481" spans="2:13" s="507" customFormat="1" ht="24.9" hidden="1" customHeight="1">
      <c r="B8481" s="1748" t="s">
        <v>1003</v>
      </c>
      <c r="C8481" s="1101" t="s">
        <v>1004</v>
      </c>
      <c r="D8481" s="1101" t="s">
        <v>1005</v>
      </c>
      <c r="E8481" s="1101" t="s">
        <v>1006</v>
      </c>
      <c r="F8481" s="1102" t="s">
        <v>1007</v>
      </c>
      <c r="G8481" s="1109" t="s">
        <v>2637</v>
      </c>
      <c r="H8481" s="1235" t="s">
        <v>2638</v>
      </c>
      <c r="J8481" s="1625"/>
      <c r="K8481" s="1625"/>
      <c r="L8481" s="1625"/>
      <c r="M8481" s="1570"/>
    </row>
    <row r="8482" spans="2:13" hidden="1">
      <c r="B8482" s="1543" t="s">
        <v>671</v>
      </c>
      <c r="C8482" s="1332" t="s">
        <v>672</v>
      </c>
      <c r="D8482" s="1331"/>
      <c r="E8482" s="1331"/>
      <c r="F8482" s="1334"/>
      <c r="G8482" s="1104"/>
      <c r="H8482" s="1236"/>
      <c r="M8482" s="1566"/>
    </row>
    <row r="8483" spans="2:13" hidden="1">
      <c r="B8483" s="1543"/>
      <c r="C8483" s="1332" t="s">
        <v>673</v>
      </c>
      <c r="D8483" s="1331" t="s">
        <v>674</v>
      </c>
      <c r="E8483" s="1331" t="s">
        <v>675</v>
      </c>
      <c r="F8483" s="1334">
        <v>0.92800000000000016</v>
      </c>
      <c r="G8483" s="1104">
        <f>DUB!$I$10</f>
        <v>150000</v>
      </c>
      <c r="H8483" s="1236">
        <f>G8483*F8483</f>
        <v>139200.00000000003</v>
      </c>
      <c r="M8483" s="1566"/>
    </row>
    <row r="8484" spans="2:13" hidden="1">
      <c r="B8484" s="1543"/>
      <c r="C8484" s="1332" t="s">
        <v>816</v>
      </c>
      <c r="D8484" s="1331" t="s">
        <v>678</v>
      </c>
      <c r="E8484" s="1331" t="s">
        <v>675</v>
      </c>
      <c r="F8484" s="1334">
        <v>8.8000000000000023E-2</v>
      </c>
      <c r="G8484" s="1104">
        <f>DUB!$I$11</f>
        <v>187000</v>
      </c>
      <c r="H8484" s="1236">
        <f>G8484*F8484</f>
        <v>16456.000000000004</v>
      </c>
      <c r="M8484" s="1566"/>
    </row>
    <row r="8485" spans="2:13" hidden="1">
      <c r="B8485" s="1543"/>
      <c r="C8485" s="1332" t="s">
        <v>680</v>
      </c>
      <c r="D8485" s="1331" t="s">
        <v>681</v>
      </c>
      <c r="E8485" s="1331" t="s">
        <v>675</v>
      </c>
      <c r="F8485" s="1334">
        <v>8.9999999999999993E-3</v>
      </c>
      <c r="G8485" s="1104">
        <f>DUB!$I$13</f>
        <v>240000</v>
      </c>
      <c r="H8485" s="1236">
        <f>G8485*F8485</f>
        <v>2160</v>
      </c>
      <c r="M8485" s="1566"/>
    </row>
    <row r="8486" spans="2:13" hidden="1">
      <c r="B8486" s="1543"/>
      <c r="C8486" s="1332" t="s">
        <v>683</v>
      </c>
      <c r="D8486" s="1331" t="s">
        <v>684</v>
      </c>
      <c r="E8486" s="1331" t="s">
        <v>675</v>
      </c>
      <c r="F8486" s="1334">
        <v>5.0560000000000022E-2</v>
      </c>
      <c r="G8486" s="1104">
        <f>DUB!$I$12</f>
        <v>225000</v>
      </c>
      <c r="H8486" s="1236">
        <f>G8486*F8486</f>
        <v>11376.000000000005</v>
      </c>
      <c r="M8486" s="1566"/>
    </row>
    <row r="8487" spans="2:13" hidden="1">
      <c r="B8487" s="1120"/>
      <c r="C8487" s="1253"/>
      <c r="D8487" s="1254"/>
      <c r="E8487" s="1253"/>
      <c r="F8487" s="2080" t="s">
        <v>685</v>
      </c>
      <c r="G8487" s="2081"/>
      <c r="H8487" s="1236">
        <f>SUM(H8483:H8486)</f>
        <v>169192.00000000003</v>
      </c>
      <c r="M8487" s="1566"/>
    </row>
    <row r="8488" spans="2:13" hidden="1">
      <c r="B8488" s="1543" t="s">
        <v>686</v>
      </c>
      <c r="C8488" s="1332" t="s">
        <v>687</v>
      </c>
      <c r="D8488" s="1331"/>
      <c r="E8488" s="1331"/>
      <c r="F8488" s="1334"/>
      <c r="G8488" s="1104"/>
      <c r="H8488" s="1236"/>
      <c r="M8488" s="1566"/>
    </row>
    <row r="8489" spans="2:13" hidden="1">
      <c r="B8489" s="1543"/>
      <c r="C8489" s="1332" t="s">
        <v>842</v>
      </c>
      <c r="D8489" s="1331"/>
      <c r="E8489" s="1331" t="s">
        <v>701</v>
      </c>
      <c r="F8489" s="1334">
        <f>8.6*4</f>
        <v>34.4</v>
      </c>
      <c r="G8489" s="1104">
        <f>DUB!$I$33</f>
        <v>44</v>
      </c>
      <c r="H8489" s="1236">
        <f>G8489*F8489</f>
        <v>1513.6</v>
      </c>
      <c r="M8489" s="1566"/>
    </row>
    <row r="8490" spans="2:13" hidden="1">
      <c r="B8490" s="1543"/>
      <c r="C8490" s="1332"/>
      <c r="D8490" s="1331"/>
      <c r="E8490" s="1331"/>
      <c r="F8490" s="1532" t="s">
        <v>702</v>
      </c>
      <c r="G8490" s="1140"/>
      <c r="H8490" s="1236">
        <f>SUM(H8489)</f>
        <v>1513.6</v>
      </c>
      <c r="M8490" s="1566"/>
    </row>
    <row r="8491" spans="2:13" hidden="1">
      <c r="B8491" s="1543" t="s">
        <v>703</v>
      </c>
      <c r="C8491" s="1332" t="s">
        <v>704</v>
      </c>
      <c r="D8491" s="1331"/>
      <c r="E8491" s="1331"/>
      <c r="F8491" s="1334"/>
      <c r="G8491" s="1104"/>
      <c r="H8491" s="1236"/>
      <c r="M8491" s="1566"/>
    </row>
    <row r="8492" spans="2:13" hidden="1">
      <c r="B8492" s="1543"/>
      <c r="C8492" s="1126" t="s">
        <v>3509</v>
      </c>
      <c r="D8492" s="1331"/>
      <c r="E8492" s="1187" t="s">
        <v>3513</v>
      </c>
      <c r="F8492" s="1179">
        <v>1</v>
      </c>
      <c r="G8492" s="1104">
        <v>75000</v>
      </c>
      <c r="H8492" s="1236">
        <f>G8492*F8492</f>
        <v>75000</v>
      </c>
      <c r="M8492" s="1566"/>
    </row>
    <row r="8493" spans="2:13" hidden="1">
      <c r="B8493" s="1543"/>
      <c r="C8493" s="1332"/>
      <c r="D8493" s="1331"/>
      <c r="E8493" s="1331"/>
      <c r="F8493" s="2115" t="s">
        <v>705</v>
      </c>
      <c r="G8493" s="2116"/>
      <c r="H8493" s="1236">
        <f>SUM(H8492:H8492)</f>
        <v>75000</v>
      </c>
      <c r="M8493" s="1566"/>
    </row>
    <row r="8494" spans="2:13" hidden="1">
      <c r="B8494" s="1543" t="s">
        <v>706</v>
      </c>
      <c r="C8494" s="2075" t="s">
        <v>707</v>
      </c>
      <c r="D8494" s="2075"/>
      <c r="E8494" s="2075"/>
      <c r="F8494" s="2075"/>
      <c r="G8494" s="2075"/>
      <c r="H8494" s="1239">
        <f>H8487+H8490+H8493</f>
        <v>245705.60000000003</v>
      </c>
      <c r="M8494" s="1566"/>
    </row>
    <row r="8495" spans="2:13" hidden="1">
      <c r="B8495" s="1543" t="s">
        <v>708</v>
      </c>
      <c r="C8495" s="2075" t="s">
        <v>709</v>
      </c>
      <c r="D8495" s="2075"/>
      <c r="E8495" s="2075"/>
      <c r="F8495" s="2077" t="s">
        <v>710</v>
      </c>
      <c r="G8495" s="2077"/>
      <c r="H8495" s="1107">
        <f>H8494*0.15</f>
        <v>36855.840000000004</v>
      </c>
      <c r="M8495" s="1566"/>
    </row>
    <row r="8496" spans="2:13" hidden="1">
      <c r="B8496" s="1543" t="s">
        <v>711</v>
      </c>
      <c r="C8496" s="2078" t="s">
        <v>712</v>
      </c>
      <c r="D8496" s="2078"/>
      <c r="E8496" s="2078"/>
      <c r="F8496" s="2078"/>
      <c r="G8496" s="2078"/>
      <c r="H8496" s="1107">
        <f>ROUND(SUM(H8494:H8495),2)</f>
        <v>282561.44</v>
      </c>
      <c r="M8496" s="1566"/>
    </row>
    <row r="8497" spans="2:13" hidden="1">
      <c r="B8497" s="1129"/>
      <c r="C8497" s="1130"/>
      <c r="D8497" s="1129"/>
      <c r="E8497" s="1129"/>
      <c r="F8497" s="1131"/>
      <c r="G8497" s="1132"/>
      <c r="H8497" s="1249"/>
      <c r="M8497" s="1566"/>
    </row>
    <row r="8498" spans="2:13" hidden="1">
      <c r="B8498" s="1150" t="s">
        <v>3750</v>
      </c>
      <c r="C8498" s="1112" t="s">
        <v>3751</v>
      </c>
      <c r="D8498" s="1129"/>
      <c r="E8498" s="1129"/>
      <c r="F8498" s="1131"/>
      <c r="G8498" s="1132"/>
      <c r="H8498" s="1249"/>
      <c r="M8498" s="1566"/>
    </row>
    <row r="8499" spans="2:13" s="507" customFormat="1" ht="24.9" hidden="1" customHeight="1">
      <c r="B8499" s="1748" t="s">
        <v>1003</v>
      </c>
      <c r="C8499" s="1101" t="s">
        <v>1004</v>
      </c>
      <c r="D8499" s="1101" t="s">
        <v>1005</v>
      </c>
      <c r="E8499" s="1101" t="s">
        <v>1006</v>
      </c>
      <c r="F8499" s="1102" t="s">
        <v>1007</v>
      </c>
      <c r="G8499" s="1109" t="s">
        <v>2637</v>
      </c>
      <c r="H8499" s="1235" t="s">
        <v>2638</v>
      </c>
      <c r="J8499" s="1625"/>
      <c r="K8499" s="1625"/>
      <c r="L8499" s="1625"/>
      <c r="M8499" s="1570"/>
    </row>
    <row r="8500" spans="2:13" hidden="1">
      <c r="B8500" s="1543" t="s">
        <v>671</v>
      </c>
      <c r="C8500" s="1332" t="s">
        <v>672</v>
      </c>
      <c r="D8500" s="1331"/>
      <c r="E8500" s="1331"/>
      <c r="F8500" s="1334"/>
      <c r="G8500" s="1104"/>
      <c r="H8500" s="1236"/>
      <c r="M8500" s="1566"/>
    </row>
    <row r="8501" spans="2:13" hidden="1">
      <c r="B8501" s="1543"/>
      <c r="C8501" s="1332" t="s">
        <v>673</v>
      </c>
      <c r="D8501" s="1331" t="s">
        <v>674</v>
      </c>
      <c r="E8501" s="1331" t="s">
        <v>675</v>
      </c>
      <c r="F8501" s="1334">
        <f>0.928*2</f>
        <v>1.8560000000000001</v>
      </c>
      <c r="G8501" s="1104">
        <f>DUB!$I$10</f>
        <v>150000</v>
      </c>
      <c r="H8501" s="1236">
        <f>G8501*F8501</f>
        <v>278400</v>
      </c>
      <c r="M8501" s="1566"/>
    </row>
    <row r="8502" spans="2:13" hidden="1">
      <c r="B8502" s="1543"/>
      <c r="C8502" s="1332" t="s">
        <v>816</v>
      </c>
      <c r="D8502" s="1331" t="s">
        <v>678</v>
      </c>
      <c r="E8502" s="1331" t="s">
        <v>675</v>
      </c>
      <c r="F8502" s="1334">
        <f>0.088*2</f>
        <v>0.17599999999999999</v>
      </c>
      <c r="G8502" s="1104">
        <f>DUB!$I$11</f>
        <v>187000</v>
      </c>
      <c r="H8502" s="1236">
        <f>G8502*F8502</f>
        <v>32912</v>
      </c>
      <c r="M8502" s="1566"/>
    </row>
    <row r="8503" spans="2:13" hidden="1">
      <c r="B8503" s="1543"/>
      <c r="C8503" s="1332" t="s">
        <v>680</v>
      </c>
      <c r="D8503" s="1331" t="s">
        <v>681</v>
      </c>
      <c r="E8503" s="1331" t="s">
        <v>675</v>
      </c>
      <c r="F8503" s="1334">
        <v>1.7899999999999999E-2</v>
      </c>
      <c r="G8503" s="1104">
        <f>DUB!$I$13</f>
        <v>240000</v>
      </c>
      <c r="H8503" s="1236">
        <f>G8503*F8503</f>
        <v>4296</v>
      </c>
      <c r="M8503" s="1566"/>
    </row>
    <row r="8504" spans="2:13" hidden="1">
      <c r="B8504" s="1543"/>
      <c r="C8504" s="1332" t="s">
        <v>683</v>
      </c>
      <c r="D8504" s="1331" t="s">
        <v>684</v>
      </c>
      <c r="E8504" s="1331" t="s">
        <v>675</v>
      </c>
      <c r="F8504" s="1334">
        <f>0.05056*2</f>
        <v>0.10112</v>
      </c>
      <c r="G8504" s="1104">
        <f>DUB!$I$12</f>
        <v>225000</v>
      </c>
      <c r="H8504" s="1236">
        <f>G8504*F8504</f>
        <v>22752</v>
      </c>
      <c r="M8504" s="1566"/>
    </row>
    <row r="8505" spans="2:13" hidden="1">
      <c r="B8505" s="1120"/>
      <c r="C8505" s="1253"/>
      <c r="D8505" s="1254"/>
      <c r="E8505" s="1253"/>
      <c r="F8505" s="2080" t="s">
        <v>685</v>
      </c>
      <c r="G8505" s="2081"/>
      <c r="H8505" s="1236">
        <f>SUM(H8501:H8504)</f>
        <v>338360</v>
      </c>
      <c r="M8505" s="1566"/>
    </row>
    <row r="8506" spans="2:13" hidden="1">
      <c r="B8506" s="1543" t="s">
        <v>686</v>
      </c>
      <c r="C8506" s="1332" t="s">
        <v>687</v>
      </c>
      <c r="D8506" s="1331"/>
      <c r="E8506" s="1331"/>
      <c r="F8506" s="1334"/>
      <c r="G8506" s="1104"/>
      <c r="H8506" s="1236"/>
      <c r="M8506" s="1566"/>
    </row>
    <row r="8507" spans="2:13" hidden="1">
      <c r="B8507" s="1543"/>
      <c r="C8507" s="1332" t="s">
        <v>842</v>
      </c>
      <c r="D8507" s="1331"/>
      <c r="E8507" s="1331" t="s">
        <v>701</v>
      </c>
      <c r="F8507" s="1334">
        <f>8.6*5</f>
        <v>43</v>
      </c>
      <c r="G8507" s="1104">
        <f>DUB!$I$33</f>
        <v>44</v>
      </c>
      <c r="H8507" s="1236">
        <f>G8507*F8507</f>
        <v>1892</v>
      </c>
      <c r="M8507" s="1566"/>
    </row>
    <row r="8508" spans="2:13" hidden="1">
      <c r="B8508" s="1543"/>
      <c r="C8508" s="1332"/>
      <c r="D8508" s="1331"/>
      <c r="E8508" s="1331"/>
      <c r="F8508" s="2115" t="s">
        <v>702</v>
      </c>
      <c r="G8508" s="2116"/>
      <c r="H8508" s="1236">
        <f>SUM(H8507)</f>
        <v>1892</v>
      </c>
      <c r="M8508" s="1566"/>
    </row>
    <row r="8509" spans="2:13" hidden="1">
      <c r="B8509" s="1543" t="s">
        <v>703</v>
      </c>
      <c r="C8509" s="1332" t="s">
        <v>704</v>
      </c>
      <c r="D8509" s="1331"/>
      <c r="E8509" s="1331"/>
      <c r="F8509" s="1334"/>
      <c r="G8509" s="1104"/>
      <c r="H8509" s="1236"/>
      <c r="M8509" s="1566"/>
    </row>
    <row r="8510" spans="2:13" hidden="1">
      <c r="B8510" s="1540"/>
      <c r="C8510" s="1126" t="s">
        <v>3509</v>
      </c>
      <c r="D8510" s="1331"/>
      <c r="E8510" s="1187" t="s">
        <v>3513</v>
      </c>
      <c r="F8510" s="1179">
        <v>1</v>
      </c>
      <c r="G8510" s="1104">
        <v>75000</v>
      </c>
      <c r="H8510" s="1236">
        <f>G8510*F8510</f>
        <v>75000</v>
      </c>
      <c r="M8510" s="1566"/>
    </row>
    <row r="8511" spans="2:13" hidden="1">
      <c r="B8511" s="1540"/>
      <c r="C8511" s="1332"/>
      <c r="D8511" s="1331"/>
      <c r="E8511" s="1331"/>
      <c r="F8511" s="2115" t="s">
        <v>705</v>
      </c>
      <c r="G8511" s="2116"/>
      <c r="H8511" s="1236">
        <f>SUM(H8510:H8510)</f>
        <v>75000</v>
      </c>
      <c r="M8511" s="1566"/>
    </row>
    <row r="8512" spans="2:13" hidden="1">
      <c r="B8512" s="1543" t="s">
        <v>706</v>
      </c>
      <c r="C8512" s="2075" t="s">
        <v>707</v>
      </c>
      <c r="D8512" s="2075"/>
      <c r="E8512" s="2075"/>
      <c r="F8512" s="2075"/>
      <c r="G8512" s="2075"/>
      <c r="H8512" s="1239">
        <f>H8505+H8508+H8511</f>
        <v>415252</v>
      </c>
      <c r="M8512" s="1566"/>
    </row>
    <row r="8513" spans="2:13" hidden="1">
      <c r="B8513" s="1543" t="s">
        <v>708</v>
      </c>
      <c r="C8513" s="2075" t="s">
        <v>709</v>
      </c>
      <c r="D8513" s="2075"/>
      <c r="E8513" s="2075"/>
      <c r="F8513" s="2077" t="s">
        <v>710</v>
      </c>
      <c r="G8513" s="2077"/>
      <c r="H8513" s="1107">
        <f>H8512*0.15</f>
        <v>62287.799999999996</v>
      </c>
      <c r="M8513" s="1566"/>
    </row>
    <row r="8514" spans="2:13" hidden="1">
      <c r="B8514" s="1543" t="s">
        <v>711</v>
      </c>
      <c r="C8514" s="2078" t="s">
        <v>712</v>
      </c>
      <c r="D8514" s="2078"/>
      <c r="E8514" s="2078"/>
      <c r="F8514" s="2078"/>
      <c r="G8514" s="2078"/>
      <c r="H8514" s="1107">
        <f>ROUND(SUM(H8512:H8513),2)</f>
        <v>477539.8</v>
      </c>
      <c r="M8514" s="1566"/>
    </row>
    <row r="8515" spans="2:13" hidden="1">
      <c r="B8515" s="1129"/>
      <c r="C8515" s="1130"/>
      <c r="D8515" s="1129"/>
      <c r="E8515" s="1129"/>
      <c r="F8515" s="1131"/>
      <c r="G8515" s="1132"/>
      <c r="H8515" s="1249"/>
      <c r="M8515" s="1566"/>
    </row>
    <row r="8516" spans="2:13" hidden="1">
      <c r="B8516" s="1150" t="s">
        <v>2705</v>
      </c>
      <c r="C8516" s="1112" t="s">
        <v>3752</v>
      </c>
      <c r="D8516" s="1129"/>
      <c r="E8516" s="1129"/>
      <c r="F8516" s="1131"/>
      <c r="G8516" s="1132"/>
      <c r="H8516" s="1249"/>
      <c r="M8516" s="1566"/>
    </row>
    <row r="8517" spans="2:13" s="507" customFormat="1" ht="24.9" hidden="1" customHeight="1">
      <c r="B8517" s="1748" t="s">
        <v>1003</v>
      </c>
      <c r="C8517" s="1101" t="s">
        <v>1004</v>
      </c>
      <c r="D8517" s="1101" t="s">
        <v>1005</v>
      </c>
      <c r="E8517" s="1101" t="s">
        <v>1006</v>
      </c>
      <c r="F8517" s="1102" t="s">
        <v>1007</v>
      </c>
      <c r="G8517" s="1109" t="s">
        <v>2637</v>
      </c>
      <c r="H8517" s="1235" t="s">
        <v>2638</v>
      </c>
      <c r="J8517" s="1625"/>
      <c r="K8517" s="1625"/>
      <c r="L8517" s="1625"/>
      <c r="M8517" s="1570"/>
    </row>
    <row r="8518" spans="2:13" hidden="1">
      <c r="B8518" s="1543" t="s">
        <v>671</v>
      </c>
      <c r="C8518" s="1332" t="s">
        <v>672</v>
      </c>
      <c r="D8518" s="1331"/>
      <c r="E8518" s="1331"/>
      <c r="F8518" s="1334"/>
      <c r="G8518" s="1104"/>
      <c r="H8518" s="1236"/>
      <c r="M8518" s="1566"/>
    </row>
    <row r="8519" spans="2:13" hidden="1">
      <c r="B8519" s="1543"/>
      <c r="C8519" s="1332" t="s">
        <v>673</v>
      </c>
      <c r="D8519" s="1331" t="s">
        <v>674</v>
      </c>
      <c r="E8519" s="1331" t="s">
        <v>675</v>
      </c>
      <c r="F8519" s="1334">
        <v>1.8560000000000001</v>
      </c>
      <c r="G8519" s="1104">
        <f>DUB!$I$10</f>
        <v>150000</v>
      </c>
      <c r="H8519" s="1236">
        <f>G8519*F8519</f>
        <v>278400</v>
      </c>
      <c r="M8519" s="1566"/>
    </row>
    <row r="8520" spans="2:13" hidden="1">
      <c r="B8520" s="1543"/>
      <c r="C8520" s="1332" t="s">
        <v>816</v>
      </c>
      <c r="D8520" s="1331" t="s">
        <v>678</v>
      </c>
      <c r="E8520" s="1331" t="s">
        <v>675</v>
      </c>
      <c r="F8520" s="1334">
        <v>0.17599999999999999</v>
      </c>
      <c r="G8520" s="1104">
        <f>DUB!$I$11</f>
        <v>187000</v>
      </c>
      <c r="H8520" s="1236">
        <f>G8520*F8520</f>
        <v>32912</v>
      </c>
      <c r="M8520" s="1566"/>
    </row>
    <row r="8521" spans="2:13" hidden="1">
      <c r="B8521" s="1543"/>
      <c r="C8521" s="1332" t="s">
        <v>680</v>
      </c>
      <c r="D8521" s="1331" t="s">
        <v>681</v>
      </c>
      <c r="E8521" s="1331" t="s">
        <v>675</v>
      </c>
      <c r="F8521" s="1334">
        <v>1.7899999999999999E-2</v>
      </c>
      <c r="G8521" s="1104">
        <f>DUB!$I$13</f>
        <v>240000</v>
      </c>
      <c r="H8521" s="1236">
        <f>G8521*F8521</f>
        <v>4296</v>
      </c>
      <c r="M8521" s="1566"/>
    </row>
    <row r="8522" spans="2:13" hidden="1">
      <c r="B8522" s="1543"/>
      <c r="C8522" s="1332" t="s">
        <v>683</v>
      </c>
      <c r="D8522" s="1331" t="s">
        <v>684</v>
      </c>
      <c r="E8522" s="1331" t="s">
        <v>675</v>
      </c>
      <c r="F8522" s="1334">
        <v>0.1011</v>
      </c>
      <c r="G8522" s="1104">
        <f>DUB!$I$12</f>
        <v>225000</v>
      </c>
      <c r="H8522" s="1236">
        <f>G8522*F8522</f>
        <v>22747.5</v>
      </c>
      <c r="M8522" s="1566"/>
    </row>
    <row r="8523" spans="2:13" hidden="1">
      <c r="B8523" s="1120"/>
      <c r="C8523" s="1253"/>
      <c r="D8523" s="1254"/>
      <c r="E8523" s="1253"/>
      <c r="F8523" s="2080" t="s">
        <v>685</v>
      </c>
      <c r="G8523" s="2081"/>
      <c r="H8523" s="1236">
        <f>SUM(H8519:H8522)</f>
        <v>338355.5</v>
      </c>
      <c r="M8523" s="1566"/>
    </row>
    <row r="8524" spans="2:13" hidden="1">
      <c r="B8524" s="1543" t="s">
        <v>686</v>
      </c>
      <c r="C8524" s="1332" t="s">
        <v>687</v>
      </c>
      <c r="D8524" s="1331"/>
      <c r="E8524" s="1331"/>
      <c r="F8524" s="1334"/>
      <c r="G8524" s="1104"/>
      <c r="H8524" s="1236"/>
      <c r="M8524" s="1566"/>
    </row>
    <row r="8525" spans="2:13" hidden="1">
      <c r="B8525" s="1543"/>
      <c r="C8525" s="1332" t="s">
        <v>842</v>
      </c>
      <c r="D8525" s="1331"/>
      <c r="E8525" s="1331" t="s">
        <v>701</v>
      </c>
      <c r="F8525" s="1334">
        <f>8.6*5</f>
        <v>43</v>
      </c>
      <c r="G8525" s="1104">
        <f>DUB!$I$33</f>
        <v>44</v>
      </c>
      <c r="H8525" s="1236">
        <f>G8525*F8525</f>
        <v>1892</v>
      </c>
      <c r="M8525" s="1566"/>
    </row>
    <row r="8526" spans="2:13" hidden="1">
      <c r="B8526" s="1543"/>
      <c r="C8526" s="1332"/>
      <c r="D8526" s="1331"/>
      <c r="E8526" s="1331"/>
      <c r="F8526" s="2080" t="s">
        <v>702</v>
      </c>
      <c r="G8526" s="2081"/>
      <c r="H8526" s="1236">
        <f>SUM(H8525)</f>
        <v>1892</v>
      </c>
      <c r="M8526" s="1566"/>
    </row>
    <row r="8527" spans="2:13" hidden="1">
      <c r="B8527" s="1543" t="s">
        <v>703</v>
      </c>
      <c r="C8527" s="1332" t="s">
        <v>704</v>
      </c>
      <c r="D8527" s="1331"/>
      <c r="E8527" s="1331"/>
      <c r="F8527" s="1334"/>
      <c r="G8527" s="1104"/>
      <c r="H8527" s="1236"/>
      <c r="M8527" s="1566"/>
    </row>
    <row r="8528" spans="2:13" hidden="1">
      <c r="B8528" s="1543"/>
      <c r="C8528" s="1126" t="s">
        <v>3509</v>
      </c>
      <c r="D8528" s="1331"/>
      <c r="E8528" s="1187" t="s">
        <v>3513</v>
      </c>
      <c r="F8528" s="1179">
        <v>1</v>
      </c>
      <c r="G8528" s="1104">
        <v>100000</v>
      </c>
      <c r="H8528" s="1236">
        <f>G8528*F8528</f>
        <v>100000</v>
      </c>
      <c r="M8528" s="1566"/>
    </row>
    <row r="8529" spans="2:13" hidden="1">
      <c r="B8529" s="1543"/>
      <c r="C8529" s="1332"/>
      <c r="D8529" s="1331"/>
      <c r="E8529" s="1331"/>
      <c r="F8529" s="2115" t="s">
        <v>705</v>
      </c>
      <c r="G8529" s="2116"/>
      <c r="H8529" s="1236">
        <f>SUM(H8528:H8528)</f>
        <v>100000</v>
      </c>
      <c r="M8529" s="1566"/>
    </row>
    <row r="8530" spans="2:13" hidden="1">
      <c r="B8530" s="1543" t="s">
        <v>706</v>
      </c>
      <c r="C8530" s="2075" t="s">
        <v>707</v>
      </c>
      <c r="D8530" s="2075"/>
      <c r="E8530" s="2075"/>
      <c r="F8530" s="2075"/>
      <c r="G8530" s="2075"/>
      <c r="H8530" s="1239">
        <f>H8523+H8526+H8529</f>
        <v>440247.5</v>
      </c>
      <c r="M8530" s="1566"/>
    </row>
    <row r="8531" spans="2:13" hidden="1">
      <c r="B8531" s="1543" t="s">
        <v>708</v>
      </c>
      <c r="C8531" s="2075" t="s">
        <v>709</v>
      </c>
      <c r="D8531" s="2075"/>
      <c r="E8531" s="2075"/>
      <c r="F8531" s="2077" t="s">
        <v>710</v>
      </c>
      <c r="G8531" s="2077"/>
      <c r="H8531" s="1107">
        <f>H8530*0.15</f>
        <v>66037.125</v>
      </c>
      <c r="M8531" s="1566"/>
    </row>
    <row r="8532" spans="2:13" hidden="1">
      <c r="B8532" s="1543" t="s">
        <v>711</v>
      </c>
      <c r="C8532" s="2078" t="s">
        <v>712</v>
      </c>
      <c r="D8532" s="2078"/>
      <c r="E8532" s="2078"/>
      <c r="F8532" s="2078"/>
      <c r="G8532" s="2078"/>
      <c r="H8532" s="1107">
        <f>ROUND(SUM(H8530:H8531),2)</f>
        <v>506284.63</v>
      </c>
      <c r="M8532" s="1566"/>
    </row>
    <row r="8533" spans="2:13" hidden="1">
      <c r="B8533" s="1129"/>
      <c r="C8533" s="1130"/>
      <c r="D8533" s="1129"/>
      <c r="E8533" s="1129"/>
      <c r="F8533" s="1131"/>
      <c r="G8533" s="1132"/>
      <c r="H8533" s="1249"/>
      <c r="M8533" s="1566"/>
    </row>
    <row r="8534" spans="2:13" hidden="1">
      <c r="B8534" s="1150" t="s">
        <v>2665</v>
      </c>
      <c r="C8534" s="1112" t="s">
        <v>3753</v>
      </c>
      <c r="D8534" s="1129"/>
      <c r="E8534" s="1129"/>
      <c r="F8534" s="1131"/>
      <c r="G8534" s="1132"/>
      <c r="H8534" s="1249"/>
      <c r="M8534" s="1566"/>
    </row>
    <row r="8535" spans="2:13" hidden="1">
      <c r="B8535" s="1150" t="s">
        <v>3754</v>
      </c>
      <c r="C8535" s="1112" t="s">
        <v>3755</v>
      </c>
      <c r="D8535" s="1129"/>
      <c r="E8535" s="1129"/>
      <c r="F8535" s="1131"/>
      <c r="G8535" s="1132"/>
      <c r="H8535" s="1249"/>
      <c r="M8535" s="1566"/>
    </row>
    <row r="8536" spans="2:13" s="507" customFormat="1" ht="24.9" hidden="1" customHeight="1">
      <c r="B8536" s="1748" t="s">
        <v>1003</v>
      </c>
      <c r="C8536" s="1101" t="s">
        <v>1004</v>
      </c>
      <c r="D8536" s="1101" t="s">
        <v>1005</v>
      </c>
      <c r="E8536" s="1101" t="s">
        <v>1006</v>
      </c>
      <c r="F8536" s="1102" t="s">
        <v>1007</v>
      </c>
      <c r="G8536" s="1109" t="s">
        <v>2637</v>
      </c>
      <c r="H8536" s="1235" t="s">
        <v>2638</v>
      </c>
      <c r="J8536" s="1625"/>
      <c r="K8536" s="1625"/>
      <c r="L8536" s="1625"/>
      <c r="M8536" s="1570"/>
    </row>
    <row r="8537" spans="2:13" hidden="1">
      <c r="B8537" s="1543" t="s">
        <v>671</v>
      </c>
      <c r="C8537" s="1332" t="s">
        <v>3756</v>
      </c>
      <c r="D8537" s="1156"/>
      <c r="E8537" s="1156"/>
      <c r="F8537" s="1158"/>
      <c r="G8537" s="1159"/>
      <c r="H8537" s="1239"/>
      <c r="M8537" s="1566"/>
    </row>
    <row r="8538" spans="2:13" ht="27.6" hidden="1">
      <c r="B8538" s="1540"/>
      <c r="C8538" s="1258" t="s">
        <v>3295</v>
      </c>
      <c r="D8538" s="1331"/>
      <c r="E8538" s="1331" t="s">
        <v>3296</v>
      </c>
      <c r="F8538" s="1334">
        <v>1</v>
      </c>
      <c r="G8538" s="1104">
        <f>DUB!I794</f>
        <v>180442080</v>
      </c>
      <c r="H8538" s="1236">
        <f>F8538*G8538</f>
        <v>180442080</v>
      </c>
      <c r="M8538" s="1566"/>
    </row>
    <row r="8539" spans="2:13" hidden="1">
      <c r="B8539" s="1540"/>
      <c r="C8539" s="1258" t="s">
        <v>3297</v>
      </c>
      <c r="D8539" s="1331"/>
      <c r="E8539" s="1331" t="s">
        <v>3296</v>
      </c>
      <c r="F8539" s="1334">
        <v>1</v>
      </c>
      <c r="G8539" s="1104">
        <f>DUB!I795</f>
        <v>8353800</v>
      </c>
      <c r="H8539" s="1236">
        <f>F8539*G8539</f>
        <v>8353800</v>
      </c>
      <c r="M8539" s="1566"/>
    </row>
    <row r="8540" spans="2:13" ht="69" hidden="1">
      <c r="B8540" s="1540"/>
      <c r="C8540" s="1258" t="s">
        <v>3757</v>
      </c>
      <c r="D8540" s="1331"/>
      <c r="E8540" s="1331" t="s">
        <v>3296</v>
      </c>
      <c r="F8540" s="1334">
        <v>1</v>
      </c>
      <c r="G8540" s="1104">
        <f>DUB!I796</f>
        <v>8353800</v>
      </c>
      <c r="H8540" s="1236">
        <f>F8540*G8540</f>
        <v>8353800</v>
      </c>
      <c r="M8540" s="1566"/>
    </row>
    <row r="8541" spans="2:13" ht="27.6" hidden="1">
      <c r="B8541" s="1540"/>
      <c r="C8541" s="1258" t="s">
        <v>3298</v>
      </c>
      <c r="D8541" s="1331"/>
      <c r="E8541" s="1331" t="s">
        <v>3296</v>
      </c>
      <c r="F8541" s="1334">
        <v>1</v>
      </c>
      <c r="G8541" s="1104">
        <f>DUB!I797</f>
        <v>2506140</v>
      </c>
      <c r="H8541" s="1236">
        <f>F8541*G8541</f>
        <v>2506140</v>
      </c>
      <c r="M8541" s="1566"/>
    </row>
    <row r="8542" spans="2:13" hidden="1">
      <c r="B8542" s="1540"/>
      <c r="C8542" s="1258" t="s">
        <v>3299</v>
      </c>
      <c r="D8542" s="1331"/>
      <c r="E8542" s="1331" t="s">
        <v>3296</v>
      </c>
      <c r="F8542" s="1334">
        <v>1</v>
      </c>
      <c r="G8542" s="1104">
        <f>DUB!I798</f>
        <v>3341520</v>
      </c>
      <c r="H8542" s="1236">
        <f>F8542*G8542</f>
        <v>3341520</v>
      </c>
      <c r="M8542" s="1566"/>
    </row>
    <row r="8543" spans="2:13" hidden="1">
      <c r="B8543" s="1254"/>
      <c r="C8543" s="1253"/>
      <c r="D8543" s="1254"/>
      <c r="E8543" s="1253"/>
      <c r="F8543" s="1532" t="s">
        <v>3758</v>
      </c>
      <c r="G8543" s="1140"/>
      <c r="H8543" s="1236">
        <f>SUM(H8538:H8542)</f>
        <v>202997340</v>
      </c>
      <c r="M8543" s="1566"/>
    </row>
    <row r="8544" spans="2:13" hidden="1">
      <c r="B8544" s="1540"/>
      <c r="C8544" s="1258"/>
      <c r="D8544" s="1331"/>
      <c r="E8544" s="1331"/>
      <c r="F8544" s="1334"/>
      <c r="G8544" s="1104"/>
      <c r="H8544" s="1236"/>
      <c r="M8544" s="1566"/>
    </row>
    <row r="8545" spans="2:13" hidden="1">
      <c r="B8545" s="1543" t="s">
        <v>686</v>
      </c>
      <c r="C8545" s="1332" t="s">
        <v>687</v>
      </c>
      <c r="D8545" s="1331"/>
      <c r="E8545" s="1331"/>
      <c r="F8545" s="1334"/>
      <c r="G8545" s="1104"/>
      <c r="H8545" s="1236"/>
      <c r="M8545" s="1566"/>
    </row>
    <row r="8546" spans="2:13" hidden="1">
      <c r="B8546" s="1540"/>
      <c r="C8546" s="1258" t="s">
        <v>3279</v>
      </c>
      <c r="D8546" s="1331"/>
      <c r="E8546" s="1331" t="s">
        <v>2944</v>
      </c>
      <c r="F8546" s="1334">
        <v>120</v>
      </c>
      <c r="G8546" s="1104">
        <f>DUB!I772</f>
        <v>575892</v>
      </c>
      <c r="H8546" s="1236">
        <f>F8546*G8546</f>
        <v>69107040</v>
      </c>
      <c r="M8546" s="1566"/>
    </row>
    <row r="8547" spans="2:13" hidden="1">
      <c r="B8547" s="1540"/>
      <c r="C8547" s="1258" t="s">
        <v>3280</v>
      </c>
      <c r="D8547" s="1331"/>
      <c r="E8547" s="1331" t="s">
        <v>2944</v>
      </c>
      <c r="F8547" s="1334">
        <v>84</v>
      </c>
      <c r="G8547" s="1104">
        <f>DUB!I773</f>
        <v>874701</v>
      </c>
      <c r="H8547" s="1236">
        <f t="shared" ref="H8547:H8568" si="200">F8547*G8547</f>
        <v>73474884</v>
      </c>
      <c r="M8547" s="1566"/>
    </row>
    <row r="8548" spans="2:13" hidden="1">
      <c r="B8548" s="1540"/>
      <c r="C8548" s="1258" t="s">
        <v>3281</v>
      </c>
      <c r="D8548" s="1331"/>
      <c r="E8548" s="1331" t="s">
        <v>2944</v>
      </c>
      <c r="F8548" s="1334">
        <v>30</v>
      </c>
      <c r="G8548" s="1104">
        <f>DUB!I774</f>
        <v>1804419</v>
      </c>
      <c r="H8548" s="1236">
        <f t="shared" si="200"/>
        <v>54132570</v>
      </c>
      <c r="M8548" s="1566"/>
    </row>
    <row r="8549" spans="2:13" hidden="1">
      <c r="B8549" s="1540"/>
      <c r="C8549" s="1258" t="s">
        <v>3282</v>
      </c>
      <c r="D8549" s="1331"/>
      <c r="E8549" s="1331" t="s">
        <v>1423</v>
      </c>
      <c r="F8549" s="1334">
        <v>1</v>
      </c>
      <c r="G8549" s="1104">
        <f>DUB!I775</f>
        <v>781911</v>
      </c>
      <c r="H8549" s="1236">
        <f t="shared" si="200"/>
        <v>781911</v>
      </c>
      <c r="M8549" s="1566"/>
    </row>
    <row r="8550" spans="2:13" hidden="1">
      <c r="B8550" s="1540"/>
      <c r="C8550" s="1258" t="s">
        <v>3759</v>
      </c>
      <c r="D8550" s="1331"/>
      <c r="E8550" s="1331" t="s">
        <v>1423</v>
      </c>
      <c r="F8550" s="1334">
        <v>1</v>
      </c>
      <c r="G8550" s="1104">
        <f>DUB!I776</f>
        <v>616509</v>
      </c>
      <c r="H8550" s="1236">
        <f t="shared" si="200"/>
        <v>616509</v>
      </c>
      <c r="M8550" s="1566"/>
    </row>
    <row r="8551" spans="2:13" hidden="1">
      <c r="B8551" s="1540"/>
      <c r="C8551" s="1258" t="s">
        <v>3283</v>
      </c>
      <c r="D8551" s="1331"/>
      <c r="E8551" s="1331" t="s">
        <v>1423</v>
      </c>
      <c r="F8551" s="1334">
        <v>1</v>
      </c>
      <c r="G8551" s="1104">
        <f>DUB!I777</f>
        <v>97668</v>
      </c>
      <c r="H8551" s="1236">
        <f t="shared" si="200"/>
        <v>97668</v>
      </c>
      <c r="M8551" s="1566"/>
    </row>
    <row r="8552" spans="2:13" hidden="1">
      <c r="B8552" s="1540"/>
      <c r="C8552" s="1258" t="s">
        <v>3284</v>
      </c>
      <c r="D8552" s="1331"/>
      <c r="E8552" s="1331" t="s">
        <v>1423</v>
      </c>
      <c r="F8552" s="1334">
        <v>1</v>
      </c>
      <c r="G8552" s="1104">
        <f>DUB!I778</f>
        <v>6014736</v>
      </c>
      <c r="H8552" s="1236">
        <f t="shared" si="200"/>
        <v>6014736</v>
      </c>
      <c r="M8552" s="1566"/>
    </row>
    <row r="8553" spans="2:13" hidden="1">
      <c r="B8553" s="1540"/>
      <c r="C8553" s="1258" t="s">
        <v>3760</v>
      </c>
      <c r="D8553" s="1331"/>
      <c r="E8553" s="1331" t="s">
        <v>1423</v>
      </c>
      <c r="F8553" s="1334">
        <v>2</v>
      </c>
      <c r="G8553" s="1104">
        <f>DUB!I779</f>
        <v>2352294</v>
      </c>
      <c r="H8553" s="1236">
        <f t="shared" si="200"/>
        <v>4704588</v>
      </c>
      <c r="M8553" s="1566"/>
    </row>
    <row r="8554" spans="2:13" hidden="1">
      <c r="B8554" s="1540"/>
      <c r="C8554" s="1258" t="s">
        <v>3285</v>
      </c>
      <c r="D8554" s="1331"/>
      <c r="E8554" s="1331" t="s">
        <v>1423</v>
      </c>
      <c r="F8554" s="1334">
        <v>12</v>
      </c>
      <c r="G8554" s="1104">
        <f>DUB!I780</f>
        <v>381960</v>
      </c>
      <c r="H8554" s="1236">
        <f t="shared" si="200"/>
        <v>4583520</v>
      </c>
      <c r="M8554" s="1566"/>
    </row>
    <row r="8555" spans="2:13" hidden="1">
      <c r="B8555" s="1540"/>
      <c r="C8555" s="1258" t="s">
        <v>3286</v>
      </c>
      <c r="D8555" s="1331"/>
      <c r="E8555" s="1331" t="s">
        <v>1423</v>
      </c>
      <c r="F8555" s="1334">
        <v>20</v>
      </c>
      <c r="G8555" s="1104">
        <f>DUB!I781</f>
        <v>85464</v>
      </c>
      <c r="H8555" s="1236">
        <f t="shared" si="200"/>
        <v>1709280</v>
      </c>
      <c r="M8555" s="1566"/>
    </row>
    <row r="8556" spans="2:13" hidden="1">
      <c r="B8556" s="1540"/>
      <c r="C8556" s="1258" t="s">
        <v>3287</v>
      </c>
      <c r="D8556" s="1331"/>
      <c r="E8556" s="1331" t="s">
        <v>1423</v>
      </c>
      <c r="F8556" s="1334">
        <v>1</v>
      </c>
      <c r="G8556" s="1104">
        <f>DUB!I782</f>
        <v>180441</v>
      </c>
      <c r="H8556" s="1236">
        <f t="shared" si="200"/>
        <v>180441</v>
      </c>
      <c r="M8556" s="1566"/>
    </row>
    <row r="8557" spans="2:13" hidden="1">
      <c r="B8557" s="1540"/>
      <c r="C8557" s="1258" t="s">
        <v>3288</v>
      </c>
      <c r="D8557" s="1331"/>
      <c r="E8557" s="1331" t="s">
        <v>1423</v>
      </c>
      <c r="F8557" s="1334">
        <v>1</v>
      </c>
      <c r="G8557" s="1104">
        <f>DUB!I783</f>
        <v>11167740</v>
      </c>
      <c r="H8557" s="1236">
        <f t="shared" si="200"/>
        <v>11167740</v>
      </c>
      <c r="M8557" s="1566"/>
    </row>
    <row r="8558" spans="2:13" ht="27.6" hidden="1">
      <c r="B8558" s="1540"/>
      <c r="C8558" s="1258" t="s">
        <v>3761</v>
      </c>
      <c r="D8558" s="1331"/>
      <c r="E8558" s="1331" t="s">
        <v>1405</v>
      </c>
      <c r="F8558" s="1334">
        <v>1</v>
      </c>
      <c r="G8558" s="1104">
        <f>DUB!I785</f>
        <v>49274568</v>
      </c>
      <c r="H8558" s="1236">
        <f t="shared" si="200"/>
        <v>49274568</v>
      </c>
      <c r="M8558" s="1566"/>
    </row>
    <row r="8559" spans="2:13" ht="41.4" hidden="1">
      <c r="B8559" s="1540"/>
      <c r="C8559" s="1258" t="s">
        <v>3762</v>
      </c>
      <c r="D8559" s="1331"/>
      <c r="E8559" s="1331" t="s">
        <v>1405</v>
      </c>
      <c r="F8559" s="1334">
        <v>1</v>
      </c>
      <c r="G8559" s="1104">
        <f>DUB!I786</f>
        <v>9773946</v>
      </c>
      <c r="H8559" s="1236">
        <f t="shared" si="200"/>
        <v>9773946</v>
      </c>
      <c r="M8559" s="1566"/>
    </row>
    <row r="8560" spans="2:13" hidden="1">
      <c r="B8560" s="1540"/>
      <c r="C8560" s="1258" t="s">
        <v>3289</v>
      </c>
      <c r="D8560" s="1331"/>
      <c r="E8560" s="1331" t="s">
        <v>2944</v>
      </c>
      <c r="F8560" s="1334">
        <v>42</v>
      </c>
      <c r="G8560" s="1104">
        <f>DUB!I787</f>
        <v>213723</v>
      </c>
      <c r="H8560" s="1236">
        <f t="shared" si="200"/>
        <v>8976366</v>
      </c>
      <c r="M8560" s="1566"/>
    </row>
    <row r="8561" spans="2:13" hidden="1">
      <c r="B8561" s="1540"/>
      <c r="C8561" s="1258" t="s">
        <v>3290</v>
      </c>
      <c r="D8561" s="1331"/>
      <c r="E8561" s="1331" t="s">
        <v>1423</v>
      </c>
      <c r="F8561" s="1334">
        <v>10</v>
      </c>
      <c r="G8561" s="1104">
        <f>DUB!I788</f>
        <v>181854</v>
      </c>
      <c r="H8561" s="1236">
        <f t="shared" si="200"/>
        <v>1818540</v>
      </c>
      <c r="M8561" s="1566"/>
    </row>
    <row r="8562" spans="2:13" hidden="1">
      <c r="B8562" s="1540"/>
      <c r="C8562" s="1258" t="s">
        <v>3291</v>
      </c>
      <c r="D8562" s="1331"/>
      <c r="E8562" s="1331" t="s">
        <v>1423</v>
      </c>
      <c r="F8562" s="1334">
        <v>2</v>
      </c>
      <c r="G8562" s="1104">
        <f>DUB!I789</f>
        <v>1157832</v>
      </c>
      <c r="H8562" s="1236">
        <f t="shared" si="200"/>
        <v>2315664</v>
      </c>
      <c r="M8562" s="1566"/>
    </row>
    <row r="8563" spans="2:13" hidden="1">
      <c r="B8563" s="1540"/>
      <c r="C8563" s="1258" t="s">
        <v>3292</v>
      </c>
      <c r="D8563" s="1331"/>
      <c r="E8563" s="1331" t="s">
        <v>2646</v>
      </c>
      <c r="F8563" s="1334">
        <v>7</v>
      </c>
      <c r="G8563" s="1104">
        <f>DUB!I790</f>
        <v>1157832</v>
      </c>
      <c r="H8563" s="1236">
        <f t="shared" si="200"/>
        <v>8104824</v>
      </c>
      <c r="M8563" s="1566"/>
    </row>
    <row r="8564" spans="2:13" hidden="1">
      <c r="B8564" s="1540"/>
      <c r="C8564" s="1258" t="s">
        <v>3293</v>
      </c>
      <c r="D8564" s="1331"/>
      <c r="E8564" s="1331" t="s">
        <v>2933</v>
      </c>
      <c r="F8564" s="1334">
        <v>15</v>
      </c>
      <c r="G8564" s="1104">
        <f>DUB!I792</f>
        <v>1240470</v>
      </c>
      <c r="H8564" s="1236">
        <f t="shared" si="200"/>
        <v>18607050</v>
      </c>
      <c r="M8564" s="1566"/>
    </row>
    <row r="8565" spans="2:13" ht="27.6" hidden="1">
      <c r="B8565" s="1540"/>
      <c r="C8565" s="1258" t="s">
        <v>3294</v>
      </c>
      <c r="D8565" s="1331"/>
      <c r="E8565" s="1331" t="s">
        <v>1405</v>
      </c>
      <c r="F8565" s="1334">
        <v>1</v>
      </c>
      <c r="G8565" s="1104">
        <f>DUB!I793</f>
        <v>6014736</v>
      </c>
      <c r="H8565" s="1236">
        <f t="shared" si="200"/>
        <v>6014736</v>
      </c>
      <c r="M8565" s="1566"/>
    </row>
    <row r="8566" spans="2:13" ht="27.6" hidden="1">
      <c r="B8566" s="1540"/>
      <c r="C8566" s="1258" t="s">
        <v>2683</v>
      </c>
      <c r="D8566" s="1331"/>
      <c r="E8566" s="1331" t="s">
        <v>2646</v>
      </c>
      <c r="F8566" s="1334">
        <v>0.16</v>
      </c>
      <c r="G8566" s="1104">
        <f>H561</f>
        <v>1470440.09</v>
      </c>
      <c r="H8566" s="1236">
        <f t="shared" si="200"/>
        <v>235270.41440000001</v>
      </c>
      <c r="M8566" s="1566"/>
    </row>
    <row r="8567" spans="2:13" ht="41.4" hidden="1">
      <c r="B8567" s="1540"/>
      <c r="C8567" s="1258" t="s">
        <v>2879</v>
      </c>
      <c r="D8567" s="1331"/>
      <c r="E8567" s="1331" t="s">
        <v>2647</v>
      </c>
      <c r="F8567" s="1334">
        <v>0.21299999999999999</v>
      </c>
      <c r="G8567" s="1104">
        <f>G8117</f>
        <v>170824.27</v>
      </c>
      <c r="H8567" s="1236">
        <f t="shared" si="200"/>
        <v>36385.569509999994</v>
      </c>
      <c r="M8567" s="1566"/>
    </row>
    <row r="8568" spans="2:13" ht="27.6" hidden="1">
      <c r="B8568" s="1540"/>
      <c r="C8568" s="1258" t="s">
        <v>2829</v>
      </c>
      <c r="D8568" s="1331"/>
      <c r="E8568" s="1331" t="s">
        <v>2647</v>
      </c>
      <c r="F8568" s="1334">
        <v>1.1499999999999999</v>
      </c>
      <c r="G8568" s="1104">
        <f>G8147</f>
        <v>115341.62</v>
      </c>
      <c r="H8568" s="1236">
        <f t="shared" si="200"/>
        <v>132642.86299999998</v>
      </c>
      <c r="M8568" s="1566"/>
    </row>
    <row r="8569" spans="2:13" hidden="1">
      <c r="B8569" s="1254"/>
      <c r="C8569" s="1253"/>
      <c r="D8569" s="1254"/>
      <c r="E8569" s="1253"/>
      <c r="F8569" s="1532" t="s">
        <v>3763</v>
      </c>
      <c r="G8569" s="1140"/>
      <c r="H8569" s="1236">
        <f>SUM(H8546:H8568)</f>
        <v>331860879.84690994</v>
      </c>
      <c r="M8569" s="1566"/>
    </row>
    <row r="8570" spans="2:13" s="496" customFormat="1" hidden="1">
      <c r="B8570" s="1543" t="s">
        <v>703</v>
      </c>
      <c r="C8570" s="2111" t="s">
        <v>3764</v>
      </c>
      <c r="D8570" s="2112"/>
      <c r="E8570" s="2112"/>
      <c r="F8570" s="2112"/>
      <c r="G8570" s="2113"/>
      <c r="H8570" s="1239">
        <f>H8543+H8569</f>
        <v>534858219.84690994</v>
      </c>
      <c r="J8570" s="1559"/>
      <c r="K8570" s="1559"/>
      <c r="L8570" s="1559"/>
      <c r="M8570" s="1635"/>
    </row>
    <row r="8571" spans="2:13" s="496" customFormat="1" hidden="1">
      <c r="B8571" s="1543" t="s">
        <v>706</v>
      </c>
      <c r="C8571" s="2111" t="s">
        <v>709</v>
      </c>
      <c r="D8571" s="2112"/>
      <c r="E8571" s="2113"/>
      <c r="F8571" s="2151" t="s">
        <v>3873</v>
      </c>
      <c r="G8571" s="2127"/>
      <c r="H8571" s="1107">
        <f>H8570*0.15</f>
        <v>80228732.977036491</v>
      </c>
      <c r="J8571" s="1559"/>
      <c r="K8571" s="1559"/>
      <c r="L8571" s="1559"/>
      <c r="M8571" s="1635"/>
    </row>
    <row r="8572" spans="2:13" s="496" customFormat="1" hidden="1">
      <c r="B8572" s="1543" t="s">
        <v>708</v>
      </c>
      <c r="C8572" s="2111" t="s">
        <v>3765</v>
      </c>
      <c r="D8572" s="2112"/>
      <c r="E8572" s="2112"/>
      <c r="F8572" s="2112"/>
      <c r="G8572" s="2113"/>
      <c r="H8572" s="1107">
        <f>ROUND(SUM(H8570:H8571),2)</f>
        <v>615086952.82000005</v>
      </c>
      <c r="J8572" s="1559"/>
      <c r="K8572" s="1559"/>
      <c r="L8572" s="1559"/>
      <c r="M8572" s="1635"/>
    </row>
    <row r="8573" spans="2:13" hidden="1">
      <c r="B8573" s="1129"/>
      <c r="C8573" s="1130"/>
      <c r="D8573" s="1129"/>
      <c r="E8573" s="1129"/>
      <c r="F8573" s="1131"/>
      <c r="G8573" s="1132"/>
      <c r="H8573" s="1249"/>
      <c r="M8573" s="1566"/>
    </row>
    <row r="8574" spans="2:13" hidden="1">
      <c r="B8574" s="1150" t="s">
        <v>3766</v>
      </c>
      <c r="C8574" s="1112" t="s">
        <v>3767</v>
      </c>
      <c r="D8574" s="1129"/>
      <c r="E8574" s="1129"/>
      <c r="F8574" s="1131"/>
      <c r="G8574" s="1132"/>
      <c r="H8574" s="1249"/>
      <c r="M8574" s="1566"/>
    </row>
    <row r="8575" spans="2:13" s="507" customFormat="1" ht="24.9" hidden="1" customHeight="1">
      <c r="B8575" s="1748" t="s">
        <v>1003</v>
      </c>
      <c r="C8575" s="1101" t="s">
        <v>1004</v>
      </c>
      <c r="D8575" s="1101" t="s">
        <v>1005</v>
      </c>
      <c r="E8575" s="1101" t="s">
        <v>1006</v>
      </c>
      <c r="F8575" s="1102" t="s">
        <v>1007</v>
      </c>
      <c r="G8575" s="1109" t="s">
        <v>2637</v>
      </c>
      <c r="H8575" s="1235" t="s">
        <v>2638</v>
      </c>
      <c r="J8575" s="1625"/>
      <c r="K8575" s="1625"/>
      <c r="L8575" s="1625"/>
      <c r="M8575" s="1570"/>
    </row>
    <row r="8576" spans="2:13" hidden="1">
      <c r="B8576" s="1543" t="s">
        <v>671</v>
      </c>
      <c r="C8576" s="1332" t="s">
        <v>3756</v>
      </c>
      <c r="D8576" s="1156"/>
      <c r="E8576" s="1156"/>
      <c r="F8576" s="1158"/>
      <c r="G8576" s="1159"/>
      <c r="H8576" s="1239"/>
      <c r="M8576" s="1566"/>
    </row>
    <row r="8577" spans="2:13" ht="27.6" hidden="1">
      <c r="B8577" s="1543"/>
      <c r="C8577" s="1258" t="s">
        <v>3294</v>
      </c>
      <c r="D8577" s="1331"/>
      <c r="E8577" s="1331" t="s">
        <v>1405</v>
      </c>
      <c r="F8577" s="1334">
        <v>1</v>
      </c>
      <c r="G8577" s="1104">
        <f>DUB!I793</f>
        <v>6014736</v>
      </c>
      <c r="H8577" s="1236">
        <f t="shared" ref="H8577:H8582" si="201">F8577*G8577</f>
        <v>6014736</v>
      </c>
      <c r="M8577" s="1566"/>
    </row>
    <row r="8578" spans="2:13" ht="27.6" hidden="1">
      <c r="B8578" s="1543"/>
      <c r="C8578" s="1258" t="s">
        <v>3295</v>
      </c>
      <c r="D8578" s="1331"/>
      <c r="E8578" s="1331" t="s">
        <v>3296</v>
      </c>
      <c r="F8578" s="1334">
        <v>1</v>
      </c>
      <c r="G8578" s="1104">
        <f>DUB!I794</f>
        <v>180442080</v>
      </c>
      <c r="H8578" s="1236">
        <f t="shared" si="201"/>
        <v>180442080</v>
      </c>
      <c r="M8578" s="1566"/>
    </row>
    <row r="8579" spans="2:13" hidden="1">
      <c r="B8579" s="1543"/>
      <c r="C8579" s="1258" t="s">
        <v>3297</v>
      </c>
      <c r="D8579" s="1331"/>
      <c r="E8579" s="1331" t="s">
        <v>3296</v>
      </c>
      <c r="F8579" s="1334">
        <v>1</v>
      </c>
      <c r="G8579" s="1104">
        <f>DUB!I795</f>
        <v>8353800</v>
      </c>
      <c r="H8579" s="1236">
        <f t="shared" si="201"/>
        <v>8353800</v>
      </c>
      <c r="M8579" s="1566"/>
    </row>
    <row r="8580" spans="2:13" ht="69" hidden="1">
      <c r="B8580" s="1543"/>
      <c r="C8580" s="1258" t="s">
        <v>3757</v>
      </c>
      <c r="D8580" s="1331"/>
      <c r="E8580" s="1331" t="s">
        <v>3296</v>
      </c>
      <c r="F8580" s="1334">
        <v>1</v>
      </c>
      <c r="G8580" s="1104">
        <f>DUB!I796</f>
        <v>8353800</v>
      </c>
      <c r="H8580" s="1236">
        <f t="shared" si="201"/>
        <v>8353800</v>
      </c>
      <c r="M8580" s="1566"/>
    </row>
    <row r="8581" spans="2:13" ht="27.6" hidden="1">
      <c r="B8581" s="1543"/>
      <c r="C8581" s="1258" t="s">
        <v>3298</v>
      </c>
      <c r="D8581" s="1331"/>
      <c r="E8581" s="1331" t="s">
        <v>3296</v>
      </c>
      <c r="F8581" s="1334">
        <v>1</v>
      </c>
      <c r="G8581" s="1104">
        <f>DUB!I797</f>
        <v>2506140</v>
      </c>
      <c r="H8581" s="1236">
        <f t="shared" si="201"/>
        <v>2506140</v>
      </c>
      <c r="M8581" s="1566"/>
    </row>
    <row r="8582" spans="2:13" hidden="1">
      <c r="B8582" s="1543"/>
      <c r="C8582" s="1258" t="s">
        <v>3299</v>
      </c>
      <c r="D8582" s="1331"/>
      <c r="E8582" s="1331" t="s">
        <v>3296</v>
      </c>
      <c r="F8582" s="1334">
        <v>1</v>
      </c>
      <c r="G8582" s="1104">
        <f>DUB!I798</f>
        <v>3341520</v>
      </c>
      <c r="H8582" s="1236">
        <f t="shared" si="201"/>
        <v>3341520</v>
      </c>
      <c r="M8582" s="1566"/>
    </row>
    <row r="8583" spans="2:13" hidden="1">
      <c r="B8583" s="1120"/>
      <c r="C8583" s="1253"/>
      <c r="D8583" s="1254"/>
      <c r="E8583" s="1253"/>
      <c r="F8583" s="1532" t="s">
        <v>3758</v>
      </c>
      <c r="G8583" s="1140"/>
      <c r="H8583" s="1236">
        <f>SUM(H8577:H8582)</f>
        <v>209012076</v>
      </c>
      <c r="M8583" s="1566"/>
    </row>
    <row r="8584" spans="2:13" hidden="1">
      <c r="B8584" s="1543" t="s">
        <v>686</v>
      </c>
      <c r="C8584" s="1332" t="s">
        <v>687</v>
      </c>
      <c r="D8584" s="1331"/>
      <c r="E8584" s="1331"/>
      <c r="F8584" s="1334"/>
      <c r="G8584" s="1104"/>
      <c r="H8584" s="1236"/>
      <c r="M8584" s="1566"/>
    </row>
    <row r="8585" spans="2:13" hidden="1">
      <c r="B8585" s="1543"/>
      <c r="C8585" s="1258" t="s">
        <v>3279</v>
      </c>
      <c r="D8585" s="1331"/>
      <c r="E8585" s="1331" t="s">
        <v>2944</v>
      </c>
      <c r="F8585" s="1334">
        <v>72</v>
      </c>
      <c r="G8585" s="1104">
        <f t="shared" ref="G8585:G8596" si="202">G8546</f>
        <v>575892</v>
      </c>
      <c r="H8585" s="1236">
        <f>F8585*G8585</f>
        <v>41464224</v>
      </c>
      <c r="M8585" s="1566"/>
    </row>
    <row r="8586" spans="2:13" hidden="1">
      <c r="B8586" s="1543"/>
      <c r="C8586" s="1258" t="s">
        <v>3280</v>
      </c>
      <c r="D8586" s="1331"/>
      <c r="E8586" s="1331" t="s">
        <v>2944</v>
      </c>
      <c r="F8586" s="1334">
        <v>60</v>
      </c>
      <c r="G8586" s="1104">
        <f t="shared" si="202"/>
        <v>874701</v>
      </c>
      <c r="H8586" s="1236">
        <f t="shared" ref="H8586:H8606" si="203">F8586*G8586</f>
        <v>52482060</v>
      </c>
      <c r="M8586" s="1566"/>
    </row>
    <row r="8587" spans="2:13" hidden="1">
      <c r="B8587" s="1543"/>
      <c r="C8587" s="1258" t="s">
        <v>3281</v>
      </c>
      <c r="D8587" s="1331"/>
      <c r="E8587" s="1331" t="s">
        <v>2944</v>
      </c>
      <c r="F8587" s="1334">
        <v>24</v>
      </c>
      <c r="G8587" s="1104">
        <f t="shared" si="202"/>
        <v>1804419</v>
      </c>
      <c r="H8587" s="1236">
        <f t="shared" si="203"/>
        <v>43306056</v>
      </c>
      <c r="M8587" s="1566"/>
    </row>
    <row r="8588" spans="2:13" hidden="1">
      <c r="B8588" s="1543"/>
      <c r="C8588" s="1258" t="s">
        <v>3282</v>
      </c>
      <c r="D8588" s="1331"/>
      <c r="E8588" s="1331" t="s">
        <v>1423</v>
      </c>
      <c r="F8588" s="1334">
        <v>1</v>
      </c>
      <c r="G8588" s="1104">
        <f t="shared" si="202"/>
        <v>781911</v>
      </c>
      <c r="H8588" s="1236">
        <f t="shared" si="203"/>
        <v>781911</v>
      </c>
      <c r="M8588" s="1566"/>
    </row>
    <row r="8589" spans="2:13" hidden="1">
      <c r="B8589" s="1543"/>
      <c r="C8589" s="1258" t="s">
        <v>3759</v>
      </c>
      <c r="D8589" s="1331"/>
      <c r="E8589" s="1331" t="s">
        <v>1423</v>
      </c>
      <c r="F8589" s="1334">
        <v>1</v>
      </c>
      <c r="G8589" s="1104">
        <f t="shared" si="202"/>
        <v>616509</v>
      </c>
      <c r="H8589" s="1236">
        <f t="shared" si="203"/>
        <v>616509</v>
      </c>
      <c r="M8589" s="1566"/>
    </row>
    <row r="8590" spans="2:13" hidden="1">
      <c r="B8590" s="1540"/>
      <c r="C8590" s="1258" t="s">
        <v>3283</v>
      </c>
      <c r="D8590" s="1331"/>
      <c r="E8590" s="1331" t="s">
        <v>1423</v>
      </c>
      <c r="F8590" s="1334">
        <v>1</v>
      </c>
      <c r="G8590" s="1104">
        <f t="shared" si="202"/>
        <v>97668</v>
      </c>
      <c r="H8590" s="1236">
        <f t="shared" si="203"/>
        <v>97668</v>
      </c>
      <c r="M8590" s="1566"/>
    </row>
    <row r="8591" spans="2:13" hidden="1">
      <c r="B8591" s="1540"/>
      <c r="C8591" s="1258" t="s">
        <v>3284</v>
      </c>
      <c r="D8591" s="1331"/>
      <c r="E8591" s="1331" t="s">
        <v>1423</v>
      </c>
      <c r="F8591" s="1334">
        <v>1</v>
      </c>
      <c r="G8591" s="1104">
        <f t="shared" si="202"/>
        <v>6014736</v>
      </c>
      <c r="H8591" s="1236">
        <f t="shared" si="203"/>
        <v>6014736</v>
      </c>
      <c r="M8591" s="1566"/>
    </row>
    <row r="8592" spans="2:13" hidden="1">
      <c r="B8592" s="1540"/>
      <c r="C8592" s="1258" t="s">
        <v>3760</v>
      </c>
      <c r="D8592" s="1331"/>
      <c r="E8592" s="1331" t="s">
        <v>1423</v>
      </c>
      <c r="F8592" s="1334">
        <v>2</v>
      </c>
      <c r="G8592" s="1104">
        <f t="shared" si="202"/>
        <v>2352294</v>
      </c>
      <c r="H8592" s="1236">
        <f t="shared" si="203"/>
        <v>4704588</v>
      </c>
      <c r="M8592" s="1566"/>
    </row>
    <row r="8593" spans="2:13" hidden="1">
      <c r="B8593" s="1540"/>
      <c r="C8593" s="1258" t="s">
        <v>3285</v>
      </c>
      <c r="D8593" s="1331"/>
      <c r="E8593" s="1331" t="s">
        <v>1423</v>
      </c>
      <c r="F8593" s="1334">
        <v>12</v>
      </c>
      <c r="G8593" s="1104">
        <f t="shared" si="202"/>
        <v>381960</v>
      </c>
      <c r="H8593" s="1236">
        <f t="shared" si="203"/>
        <v>4583520</v>
      </c>
      <c r="M8593" s="1566"/>
    </row>
    <row r="8594" spans="2:13" hidden="1">
      <c r="B8594" s="1540"/>
      <c r="C8594" s="1258" t="s">
        <v>3286</v>
      </c>
      <c r="D8594" s="1331"/>
      <c r="E8594" s="1331" t="s">
        <v>1423</v>
      </c>
      <c r="F8594" s="1334">
        <v>20</v>
      </c>
      <c r="G8594" s="1104">
        <f t="shared" si="202"/>
        <v>85464</v>
      </c>
      <c r="H8594" s="1236">
        <f t="shared" si="203"/>
        <v>1709280</v>
      </c>
      <c r="M8594" s="1566"/>
    </row>
    <row r="8595" spans="2:13" hidden="1">
      <c r="B8595" s="1540"/>
      <c r="C8595" s="1258" t="s">
        <v>3287</v>
      </c>
      <c r="D8595" s="1331"/>
      <c r="E8595" s="1331" t="s">
        <v>1423</v>
      </c>
      <c r="F8595" s="1334">
        <v>1</v>
      </c>
      <c r="G8595" s="1104">
        <f t="shared" si="202"/>
        <v>180441</v>
      </c>
      <c r="H8595" s="1236">
        <f t="shared" si="203"/>
        <v>180441</v>
      </c>
      <c r="M8595" s="1566"/>
    </row>
    <row r="8596" spans="2:13" hidden="1">
      <c r="B8596" s="1540"/>
      <c r="C8596" s="1258" t="s">
        <v>3288</v>
      </c>
      <c r="D8596" s="1331"/>
      <c r="E8596" s="1331" t="s">
        <v>1423</v>
      </c>
      <c r="F8596" s="1334">
        <v>1</v>
      </c>
      <c r="G8596" s="1104">
        <f t="shared" si="202"/>
        <v>11167740</v>
      </c>
      <c r="H8596" s="1236">
        <f t="shared" si="203"/>
        <v>11167740</v>
      </c>
      <c r="M8596" s="1566"/>
    </row>
    <row r="8597" spans="2:13" ht="27.6" hidden="1">
      <c r="B8597" s="1540"/>
      <c r="C8597" s="1258" t="s">
        <v>3827</v>
      </c>
      <c r="D8597" s="1331"/>
      <c r="E8597" s="1331" t="s">
        <v>1405</v>
      </c>
      <c r="F8597" s="1334">
        <v>1</v>
      </c>
      <c r="G8597" s="1104">
        <f>DUB!$I$784</f>
        <v>31889664</v>
      </c>
      <c r="H8597" s="1236">
        <f t="shared" si="203"/>
        <v>31889664</v>
      </c>
      <c r="M8597" s="1566"/>
    </row>
    <row r="8598" spans="2:13" ht="41.4" hidden="1">
      <c r="B8598" s="1540"/>
      <c r="C8598" s="1258" t="s">
        <v>3762</v>
      </c>
      <c r="D8598" s="1331"/>
      <c r="E8598" s="1331" t="s">
        <v>1405</v>
      </c>
      <c r="F8598" s="1334">
        <v>1</v>
      </c>
      <c r="G8598" s="1104">
        <f t="shared" ref="G8598:G8603" si="204">G8559</f>
        <v>9773946</v>
      </c>
      <c r="H8598" s="1236">
        <f t="shared" si="203"/>
        <v>9773946</v>
      </c>
      <c r="M8598" s="1566"/>
    </row>
    <row r="8599" spans="2:13" hidden="1">
      <c r="B8599" s="1540"/>
      <c r="C8599" s="1258" t="s">
        <v>3289</v>
      </c>
      <c r="D8599" s="1331"/>
      <c r="E8599" s="1331" t="s">
        <v>2944</v>
      </c>
      <c r="F8599" s="1334">
        <v>42</v>
      </c>
      <c r="G8599" s="1104">
        <f t="shared" si="204"/>
        <v>213723</v>
      </c>
      <c r="H8599" s="1236">
        <f t="shared" si="203"/>
        <v>8976366</v>
      </c>
      <c r="M8599" s="1566"/>
    </row>
    <row r="8600" spans="2:13" hidden="1">
      <c r="B8600" s="1540"/>
      <c r="C8600" s="1258" t="s">
        <v>3290</v>
      </c>
      <c r="D8600" s="1331"/>
      <c r="E8600" s="1331" t="s">
        <v>1423</v>
      </c>
      <c r="F8600" s="1334">
        <v>10</v>
      </c>
      <c r="G8600" s="1104">
        <f t="shared" si="204"/>
        <v>181854</v>
      </c>
      <c r="H8600" s="1236">
        <f t="shared" si="203"/>
        <v>1818540</v>
      </c>
      <c r="M8600" s="1566"/>
    </row>
    <row r="8601" spans="2:13" hidden="1">
      <c r="B8601" s="1540"/>
      <c r="C8601" s="1258" t="s">
        <v>3291</v>
      </c>
      <c r="D8601" s="1331"/>
      <c r="E8601" s="1331" t="s">
        <v>1423</v>
      </c>
      <c r="F8601" s="1334">
        <v>2</v>
      </c>
      <c r="G8601" s="1104">
        <f t="shared" si="204"/>
        <v>1157832</v>
      </c>
      <c r="H8601" s="1236">
        <f t="shared" si="203"/>
        <v>2315664</v>
      </c>
      <c r="M8601" s="1566"/>
    </row>
    <row r="8602" spans="2:13" hidden="1">
      <c r="B8602" s="1540"/>
      <c r="C8602" s="1258" t="s">
        <v>3292</v>
      </c>
      <c r="D8602" s="1331"/>
      <c r="E8602" s="1331" t="s">
        <v>2646</v>
      </c>
      <c r="F8602" s="1334">
        <v>7</v>
      </c>
      <c r="G8602" s="1104">
        <f t="shared" si="204"/>
        <v>1157832</v>
      </c>
      <c r="H8602" s="1236">
        <f t="shared" si="203"/>
        <v>8104824</v>
      </c>
      <c r="M8602" s="1566"/>
    </row>
    <row r="8603" spans="2:13" hidden="1">
      <c r="B8603" s="1540"/>
      <c r="C8603" s="1258" t="s">
        <v>3293</v>
      </c>
      <c r="D8603" s="1331"/>
      <c r="E8603" s="1331" t="s">
        <v>2933</v>
      </c>
      <c r="F8603" s="1334">
        <v>15</v>
      </c>
      <c r="G8603" s="1104">
        <f t="shared" si="204"/>
        <v>1240470</v>
      </c>
      <c r="H8603" s="1236">
        <f t="shared" si="203"/>
        <v>18607050</v>
      </c>
      <c r="M8603" s="1566"/>
    </row>
    <row r="8604" spans="2:13" ht="27.6" hidden="1">
      <c r="B8604" s="1540"/>
      <c r="C8604" s="1258" t="s">
        <v>2683</v>
      </c>
      <c r="D8604" s="1331"/>
      <c r="E8604" s="1331" t="s">
        <v>2646</v>
      </c>
      <c r="F8604" s="1334">
        <v>0.16</v>
      </c>
      <c r="G8604" s="1104">
        <f>G8566</f>
        <v>1470440.09</v>
      </c>
      <c r="H8604" s="1236">
        <f t="shared" si="203"/>
        <v>235270.41440000001</v>
      </c>
      <c r="M8604" s="1566"/>
    </row>
    <row r="8605" spans="2:13" ht="41.4" hidden="1">
      <c r="B8605" s="1540"/>
      <c r="C8605" s="1258" t="s">
        <v>2879</v>
      </c>
      <c r="D8605" s="1331"/>
      <c r="E8605" s="1331" t="s">
        <v>2647</v>
      </c>
      <c r="F8605" s="1334">
        <v>0.21299999999999999</v>
      </c>
      <c r="G8605" s="1104">
        <f>G8567</f>
        <v>170824.27</v>
      </c>
      <c r="H8605" s="1236">
        <f t="shared" si="203"/>
        <v>36385.569509999994</v>
      </c>
      <c r="M8605" s="1566"/>
    </row>
    <row r="8606" spans="2:13" ht="27.6" hidden="1">
      <c r="B8606" s="1540"/>
      <c r="C8606" s="1258" t="s">
        <v>2829</v>
      </c>
      <c r="D8606" s="1331"/>
      <c r="E8606" s="1331" t="s">
        <v>2647</v>
      </c>
      <c r="F8606" s="1334">
        <v>1.1499999999999999</v>
      </c>
      <c r="G8606" s="1104">
        <f>G8568</f>
        <v>115341.62</v>
      </c>
      <c r="H8606" s="1236">
        <f t="shared" si="203"/>
        <v>132642.86299999998</v>
      </c>
      <c r="M8606" s="1566"/>
    </row>
    <row r="8607" spans="2:13" hidden="1">
      <c r="B8607" s="1254"/>
      <c r="C8607" s="1253"/>
      <c r="D8607" s="1254"/>
      <c r="E8607" s="1253"/>
      <c r="F8607" s="1532" t="s">
        <v>3763</v>
      </c>
      <c r="G8607" s="1140"/>
      <c r="H8607" s="1236">
        <f>SUM(H8585:H8606)</f>
        <v>248999085.84691003</v>
      </c>
      <c r="M8607" s="1566"/>
    </row>
    <row r="8608" spans="2:13" s="496" customFormat="1" hidden="1">
      <c r="B8608" s="1543" t="s">
        <v>703</v>
      </c>
      <c r="C8608" s="2111" t="s">
        <v>3764</v>
      </c>
      <c r="D8608" s="2112"/>
      <c r="E8608" s="2112"/>
      <c r="F8608" s="2112"/>
      <c r="G8608" s="2113"/>
      <c r="H8608" s="1239">
        <f>H8583+H8607</f>
        <v>458011161.84691</v>
      </c>
      <c r="J8608" s="1559"/>
      <c r="K8608" s="1559"/>
      <c r="L8608" s="1559"/>
      <c r="M8608" s="1635"/>
    </row>
    <row r="8609" spans="2:13" s="496" customFormat="1" hidden="1">
      <c r="B8609" s="1543" t="s">
        <v>706</v>
      </c>
      <c r="C8609" s="2111" t="s">
        <v>709</v>
      </c>
      <c r="D8609" s="2112"/>
      <c r="E8609" s="2113"/>
      <c r="F8609" s="2151" t="s">
        <v>3873</v>
      </c>
      <c r="G8609" s="2127"/>
      <c r="H8609" s="1107">
        <f>H8608*0.15</f>
        <v>68701674.277036503</v>
      </c>
      <c r="J8609" s="1559"/>
      <c r="K8609" s="1559"/>
      <c r="L8609" s="1559"/>
      <c r="M8609" s="1635"/>
    </row>
    <row r="8610" spans="2:13" s="496" customFormat="1" hidden="1">
      <c r="B8610" s="1543" t="s">
        <v>708</v>
      </c>
      <c r="C8610" s="2111" t="s">
        <v>3765</v>
      </c>
      <c r="D8610" s="2112"/>
      <c r="E8610" s="2112"/>
      <c r="F8610" s="2112"/>
      <c r="G8610" s="2113"/>
      <c r="H8610" s="1107">
        <f>ROUND(SUM(H8608:H8609),2)</f>
        <v>526712836.12</v>
      </c>
      <c r="J8610" s="1559"/>
      <c r="K8610" s="1559"/>
      <c r="L8610" s="1559"/>
      <c r="M8610" s="1635"/>
    </row>
    <row r="8611" spans="2:13" hidden="1">
      <c r="B8611" s="1129"/>
      <c r="C8611" s="1130"/>
      <c r="D8611" s="1129"/>
      <c r="E8611" s="1129"/>
      <c r="F8611" s="1131"/>
      <c r="G8611" s="1132"/>
      <c r="H8611" s="1249"/>
      <c r="M8611" s="1566"/>
    </row>
    <row r="8612" spans="2:13" hidden="1">
      <c r="B8612" s="1150" t="s">
        <v>3768</v>
      </c>
      <c r="C8612" s="1112" t="s">
        <v>3769</v>
      </c>
      <c r="D8612" s="1129"/>
      <c r="E8612" s="1129"/>
      <c r="F8612" s="1131"/>
      <c r="G8612" s="1132"/>
      <c r="H8612" s="1249"/>
      <c r="M8612" s="1566"/>
    </row>
    <row r="8613" spans="2:13" s="507" customFormat="1" ht="24.9" hidden="1" customHeight="1">
      <c r="B8613" s="1748" t="s">
        <v>1003</v>
      </c>
      <c r="C8613" s="1101" t="s">
        <v>1004</v>
      </c>
      <c r="D8613" s="1101" t="s">
        <v>1005</v>
      </c>
      <c r="E8613" s="1101" t="s">
        <v>1006</v>
      </c>
      <c r="F8613" s="1102" t="s">
        <v>1007</v>
      </c>
      <c r="G8613" s="1109" t="s">
        <v>2637</v>
      </c>
      <c r="H8613" s="1235" t="s">
        <v>2638</v>
      </c>
      <c r="J8613" s="1625"/>
      <c r="K8613" s="1625"/>
      <c r="L8613" s="1625"/>
      <c r="M8613" s="1570"/>
    </row>
    <row r="8614" spans="2:13" hidden="1">
      <c r="B8614" s="1543" t="s">
        <v>671</v>
      </c>
      <c r="C8614" s="1332" t="s">
        <v>3756</v>
      </c>
      <c r="D8614" s="1331"/>
      <c r="E8614" s="1331"/>
      <c r="F8614" s="1334"/>
      <c r="G8614" s="1104"/>
      <c r="H8614" s="1236"/>
      <c r="M8614" s="1566"/>
    </row>
    <row r="8615" spans="2:13" ht="27.6" hidden="1">
      <c r="B8615" s="1543"/>
      <c r="C8615" s="1258" t="str">
        <f>'[95]analisa baru'!$B$2378</f>
        <v>Pengerjaan 10 cm pengelasan dengan las listrik</v>
      </c>
      <c r="D8615" s="1331" t="str">
        <f>'[95]analisa baru'!$A$2378</f>
        <v xml:space="preserve">A.4.2.1.5. </v>
      </c>
      <c r="E8615" s="1331" t="s">
        <v>959</v>
      </c>
      <c r="F8615" s="1334">
        <f>(5.65+5.65+5.65+(4*(F8620+F8621)))/0.1</f>
        <v>510.75000000000006</v>
      </c>
      <c r="G8615" s="1104">
        <f>H1905</f>
        <v>56719.38</v>
      </c>
      <c r="H8615" s="1236">
        <f>F8615*G8615</f>
        <v>28969423.335000001</v>
      </c>
      <c r="M8615" s="1566"/>
    </row>
    <row r="8616" spans="2:13" hidden="1">
      <c r="B8616" s="1543"/>
      <c r="C8616" s="1258" t="str">
        <f>'[95]analisa baru'!$B$2335</f>
        <v xml:space="preserve"> Pengerjaan 100 kg pekerjaan perakitan</v>
      </c>
      <c r="D8616" s="1331" t="str">
        <f>'[95]analisa baru'!$A$2335</f>
        <v>A.4.2.1.3.</v>
      </c>
      <c r="E8616" s="1331" t="s">
        <v>773</v>
      </c>
      <c r="F8616" s="1334">
        <f>((7850*(F8620+F8621+(F8622*2.54))*0.006)+(F8630*7850)+(F8629*2.5))/100</f>
        <v>45.60963841666667</v>
      </c>
      <c r="G8616" s="1104">
        <f>H1867</f>
        <v>73278</v>
      </c>
      <c r="H8616" s="1236">
        <f>F8616*G8616</f>
        <v>3342183.0838965001</v>
      </c>
      <c r="M8616" s="1566"/>
    </row>
    <row r="8617" spans="2:13" ht="27.6" hidden="1">
      <c r="B8617" s="1543"/>
      <c r="C8617" s="1258" t="s">
        <v>3524</v>
      </c>
      <c r="D8617" s="1331"/>
      <c r="E8617" s="1331" t="s">
        <v>2970</v>
      </c>
      <c r="F8617" s="1334">
        <v>1</v>
      </c>
      <c r="G8617" s="1104">
        <v>1000000</v>
      </c>
      <c r="H8617" s="1236">
        <f>F8617*G8617</f>
        <v>1000000</v>
      </c>
      <c r="M8617" s="1566"/>
    </row>
    <row r="8618" spans="2:13" hidden="1">
      <c r="B8618" s="1120"/>
      <c r="C8618" s="1253"/>
      <c r="D8618" s="1254"/>
      <c r="E8618" s="1253"/>
      <c r="F8618" s="1532" t="s">
        <v>685</v>
      </c>
      <c r="G8618" s="1140"/>
      <c r="H8618" s="1236">
        <f>SUM(H8615:H8617)</f>
        <v>33311606.4188965</v>
      </c>
      <c r="M8618" s="1566"/>
    </row>
    <row r="8619" spans="2:13" hidden="1">
      <c r="B8619" s="1543" t="s">
        <v>686</v>
      </c>
      <c r="C8619" s="1332" t="s">
        <v>687</v>
      </c>
      <c r="D8619" s="1331"/>
      <c r="E8619" s="1331"/>
      <c r="F8619" s="1334"/>
      <c r="G8619" s="1104"/>
      <c r="H8619" s="1236"/>
      <c r="M8619" s="1566"/>
    </row>
    <row r="8620" spans="2:13" hidden="1">
      <c r="B8620" s="1540"/>
      <c r="C8620" s="1258" t="s">
        <v>3256</v>
      </c>
      <c r="D8620" s="1331"/>
      <c r="E8620" s="1331" t="s">
        <v>3025</v>
      </c>
      <c r="F8620" s="1334">
        <f>(2.54*3)/(1.2*2.4)</f>
        <v>2.6458333333333335</v>
      </c>
      <c r="G8620" s="1104">
        <f>DUB!I744</f>
        <v>6438465</v>
      </c>
      <c r="H8620" s="1236">
        <f t="shared" ref="H8620:H8641" si="205">F8620*G8620</f>
        <v>17035105.3125</v>
      </c>
      <c r="M8620" s="1566"/>
    </row>
    <row r="8621" spans="2:13" hidden="1">
      <c r="B8621" s="1540"/>
      <c r="C8621" s="1258" t="s">
        <v>3257</v>
      </c>
      <c r="D8621" s="1331"/>
      <c r="E8621" s="1331" t="s">
        <v>3025</v>
      </c>
      <c r="F8621" s="1334">
        <f>(5.65*3)/(1.2*2.4)</f>
        <v>5.8854166666666679</v>
      </c>
      <c r="G8621" s="1104">
        <f>DUB!I745</f>
        <v>8599914</v>
      </c>
      <c r="H8621" s="1236">
        <f t="shared" si="205"/>
        <v>50614077.187500007</v>
      </c>
      <c r="M8621" s="1566"/>
    </row>
    <row r="8622" spans="2:13" hidden="1">
      <c r="B8622" s="1540"/>
      <c r="C8622" s="1258" t="s">
        <v>3258</v>
      </c>
      <c r="D8622" s="1331"/>
      <c r="E8622" s="1331" t="s">
        <v>3025</v>
      </c>
      <c r="F8622" s="1334">
        <f>(2.54*1.2*2)/(1.2*2.4)</f>
        <v>2.1166666666666667</v>
      </c>
      <c r="G8622" s="1104">
        <f>DUB!I746</f>
        <v>9721377</v>
      </c>
      <c r="H8622" s="1236">
        <f t="shared" si="205"/>
        <v>20576914.649999999</v>
      </c>
      <c r="M8622" s="1566"/>
    </row>
    <row r="8623" spans="2:13" hidden="1">
      <c r="B8623" s="1540"/>
      <c r="C8623" s="1258" t="s">
        <v>3259</v>
      </c>
      <c r="D8623" s="1331"/>
      <c r="E8623" s="1331" t="s">
        <v>1423</v>
      </c>
      <c r="F8623" s="1334">
        <v>2</v>
      </c>
      <c r="G8623" s="1104">
        <f>DUB!I747</f>
        <v>4087188</v>
      </c>
      <c r="H8623" s="1236">
        <f t="shared" si="205"/>
        <v>8174376</v>
      </c>
      <c r="M8623" s="1566"/>
    </row>
    <row r="8624" spans="2:13" hidden="1">
      <c r="B8624" s="1540"/>
      <c r="C8624" s="1258" t="s">
        <v>3260</v>
      </c>
      <c r="D8624" s="1331"/>
      <c r="E8624" s="1331" t="s">
        <v>1423</v>
      </c>
      <c r="F8624" s="1334">
        <v>2</v>
      </c>
      <c r="G8624" s="1104">
        <f>DUB!I748</f>
        <v>4087188</v>
      </c>
      <c r="H8624" s="1236">
        <f t="shared" si="205"/>
        <v>8174376</v>
      </c>
      <c r="M8624" s="1566"/>
    </row>
    <row r="8625" spans="2:13" hidden="1">
      <c r="B8625" s="1540"/>
      <c r="C8625" s="1258" t="s">
        <v>3770</v>
      </c>
      <c r="D8625" s="1331"/>
      <c r="E8625" s="1331" t="s">
        <v>1423</v>
      </c>
      <c r="F8625" s="1334">
        <v>6</v>
      </c>
      <c r="G8625" s="1104">
        <f>DUB!I749</f>
        <v>1619217</v>
      </c>
      <c r="H8625" s="1236">
        <f t="shared" si="205"/>
        <v>9715302</v>
      </c>
      <c r="M8625" s="1566"/>
    </row>
    <row r="8626" spans="2:13" hidden="1">
      <c r="B8626" s="1540"/>
      <c r="C8626" s="1258" t="s">
        <v>3771</v>
      </c>
      <c r="D8626" s="1331"/>
      <c r="E8626" s="1331" t="s">
        <v>1423</v>
      </c>
      <c r="F8626" s="1334">
        <f>(F8625*2)+8</f>
        <v>20</v>
      </c>
      <c r="G8626" s="1104">
        <f>DUB!I750</f>
        <v>109107</v>
      </c>
      <c r="H8626" s="1236">
        <f t="shared" si="205"/>
        <v>2182140</v>
      </c>
      <c r="M8626" s="1566"/>
    </row>
    <row r="8627" spans="2:13" hidden="1">
      <c r="B8627" s="1540"/>
      <c r="C8627" s="1258" t="s">
        <v>3262</v>
      </c>
      <c r="D8627" s="1331"/>
      <c r="E8627" s="1331" t="s">
        <v>1423</v>
      </c>
      <c r="F8627" s="1334">
        <v>6</v>
      </c>
      <c r="G8627" s="1104">
        <f>DUB!I752</f>
        <v>311661</v>
      </c>
      <c r="H8627" s="1236">
        <f t="shared" si="205"/>
        <v>1869966</v>
      </c>
      <c r="M8627" s="1566"/>
    </row>
    <row r="8628" spans="2:13" hidden="1">
      <c r="B8628" s="1540"/>
      <c r="C8628" s="1258" t="s">
        <v>3772</v>
      </c>
      <c r="D8628" s="1331"/>
      <c r="E8628" s="1331" t="s">
        <v>1423</v>
      </c>
      <c r="F8628" s="1334">
        <v>4</v>
      </c>
      <c r="G8628" s="1104">
        <f>DUB!I753</f>
        <v>311661</v>
      </c>
      <c r="H8628" s="1236">
        <f t="shared" si="205"/>
        <v>1246644</v>
      </c>
      <c r="M8628" s="1566"/>
    </row>
    <row r="8629" spans="2:13" hidden="1">
      <c r="B8629" s="1540"/>
      <c r="C8629" s="1258" t="s">
        <v>3264</v>
      </c>
      <c r="D8629" s="1331"/>
      <c r="E8629" s="1331" t="s">
        <v>853</v>
      </c>
      <c r="F8629" s="1334">
        <v>13.3</v>
      </c>
      <c r="G8629" s="1104">
        <f>DUB!I755</f>
        <v>648891</v>
      </c>
      <c r="H8629" s="1236">
        <f t="shared" si="205"/>
        <v>8630250.3000000007</v>
      </c>
      <c r="M8629" s="1566"/>
    </row>
    <row r="8630" spans="2:13" hidden="1">
      <c r="B8630" s="1540"/>
      <c r="C8630" s="1258" t="s">
        <v>3265</v>
      </c>
      <c r="D8630" s="1331"/>
      <c r="E8630" s="1331" t="s">
        <v>2666</v>
      </c>
      <c r="F8630" s="1334">
        <f>(0.74*4)/6</f>
        <v>0.49333333333333335</v>
      </c>
      <c r="G8630" s="1104">
        <f>DUB!I756</f>
        <v>13134357</v>
      </c>
      <c r="H8630" s="1236">
        <f t="shared" si="205"/>
        <v>6479616.1200000001</v>
      </c>
      <c r="M8630" s="1566"/>
    </row>
    <row r="8631" spans="2:13" hidden="1">
      <c r="B8631" s="1540"/>
      <c r="C8631" s="1258" t="s">
        <v>3266</v>
      </c>
      <c r="D8631" s="1331"/>
      <c r="E8631" s="1331" t="s">
        <v>1423</v>
      </c>
      <c r="F8631" s="1334">
        <v>1</v>
      </c>
      <c r="G8631" s="1104">
        <f>DUB!I757</f>
        <v>7081704</v>
      </c>
      <c r="H8631" s="1236">
        <f t="shared" si="205"/>
        <v>7081704</v>
      </c>
      <c r="M8631" s="1566"/>
    </row>
    <row r="8632" spans="2:13" hidden="1">
      <c r="B8632" s="1540"/>
      <c r="C8632" s="1258" t="s">
        <v>3267</v>
      </c>
      <c r="D8632" s="1331"/>
      <c r="E8632" s="1331" t="s">
        <v>1423</v>
      </c>
      <c r="F8632" s="1334">
        <v>1</v>
      </c>
      <c r="G8632" s="1104">
        <f>DUB!I758</f>
        <v>595431</v>
      </c>
      <c r="H8632" s="1236">
        <f t="shared" si="205"/>
        <v>595431</v>
      </c>
      <c r="M8632" s="1566"/>
    </row>
    <row r="8633" spans="2:13" hidden="1">
      <c r="B8633" s="1540"/>
      <c r="C8633" s="1258" t="s">
        <v>3268</v>
      </c>
      <c r="D8633" s="1331"/>
      <c r="E8633" s="1331" t="s">
        <v>1423</v>
      </c>
      <c r="F8633" s="1334">
        <v>160</v>
      </c>
      <c r="G8633" s="1104">
        <f>DUB!I759</f>
        <v>120294</v>
      </c>
      <c r="H8633" s="1236">
        <f t="shared" si="205"/>
        <v>19247040</v>
      </c>
      <c r="M8633" s="1566"/>
    </row>
    <row r="8634" spans="2:13" hidden="1">
      <c r="B8634" s="1540"/>
      <c r="C8634" s="1258" t="s">
        <v>3269</v>
      </c>
      <c r="D8634" s="1331"/>
      <c r="E8634" s="1331" t="s">
        <v>773</v>
      </c>
      <c r="F8634" s="1334">
        <f>2.54*0.75*1800</f>
        <v>3429</v>
      </c>
      <c r="G8634" s="1104">
        <f>DUB!I760</f>
        <v>2565</v>
      </c>
      <c r="H8634" s="1236">
        <f t="shared" si="205"/>
        <v>8795385</v>
      </c>
      <c r="M8634" s="1566"/>
    </row>
    <row r="8635" spans="2:13" hidden="1">
      <c r="B8635" s="1540"/>
      <c r="C8635" s="1258" t="s">
        <v>3270</v>
      </c>
      <c r="D8635" s="1331"/>
      <c r="E8635" s="1331" t="s">
        <v>773</v>
      </c>
      <c r="F8635" s="1334">
        <f>2.54*0.4*1800</f>
        <v>1828.8</v>
      </c>
      <c r="G8635" s="1104">
        <f>DUB!I761</f>
        <v>2565</v>
      </c>
      <c r="H8635" s="1236">
        <f t="shared" si="205"/>
        <v>4690872</v>
      </c>
      <c r="M8635" s="1566"/>
    </row>
    <row r="8636" spans="2:13" hidden="1">
      <c r="B8636" s="1540"/>
      <c r="C8636" s="1258" t="s">
        <v>3271</v>
      </c>
      <c r="D8636" s="1331"/>
      <c r="E8636" s="1331" t="s">
        <v>773</v>
      </c>
      <c r="F8636" s="1334">
        <f>2.54*0.35*1800</f>
        <v>1600.1999999999998</v>
      </c>
      <c r="G8636" s="1104">
        <f>DUB!I762</f>
        <v>2565</v>
      </c>
      <c r="H8636" s="1236">
        <f t="shared" si="205"/>
        <v>4104512.9999999995</v>
      </c>
      <c r="M8636" s="1566"/>
    </row>
    <row r="8637" spans="2:13" hidden="1">
      <c r="B8637" s="1540"/>
      <c r="C8637" s="1258" t="s">
        <v>3272</v>
      </c>
      <c r="D8637" s="1331"/>
      <c r="E8637" s="1331" t="s">
        <v>773</v>
      </c>
      <c r="F8637" s="1334">
        <f>2.54*0.3*1800</f>
        <v>1371.6</v>
      </c>
      <c r="G8637" s="1104">
        <f>DUB!I763</f>
        <v>2313</v>
      </c>
      <c r="H8637" s="1236">
        <f t="shared" si="205"/>
        <v>3172510.8</v>
      </c>
      <c r="M8637" s="1566"/>
    </row>
    <row r="8638" spans="2:13" hidden="1">
      <c r="B8638" s="1540"/>
      <c r="C8638" s="1258" t="s">
        <v>3273</v>
      </c>
      <c r="D8638" s="1331"/>
      <c r="E8638" s="1331" t="s">
        <v>2647</v>
      </c>
      <c r="F8638" s="1334">
        <v>4</v>
      </c>
      <c r="G8638" s="1104">
        <f>DUB!I764</f>
        <v>178506</v>
      </c>
      <c r="H8638" s="1236">
        <f t="shared" si="205"/>
        <v>714024</v>
      </c>
      <c r="M8638" s="1566"/>
    </row>
    <row r="8639" spans="2:13" hidden="1">
      <c r="B8639" s="1540"/>
      <c r="C8639" s="1258" t="s">
        <v>3274</v>
      </c>
      <c r="D8639" s="1331"/>
      <c r="E8639" s="1331" t="s">
        <v>1423</v>
      </c>
      <c r="F8639" s="1334">
        <f>17*4</f>
        <v>68</v>
      </c>
      <c r="G8639" s="1104">
        <f>DUB!I765</f>
        <v>9252</v>
      </c>
      <c r="H8639" s="1236">
        <f t="shared" si="205"/>
        <v>629136</v>
      </c>
      <c r="M8639" s="1566"/>
    </row>
    <row r="8640" spans="2:13" hidden="1">
      <c r="B8640" s="1540"/>
      <c r="C8640" s="1258" t="s">
        <v>3275</v>
      </c>
      <c r="D8640" s="1331"/>
      <c r="E8640" s="1331" t="s">
        <v>1423</v>
      </c>
      <c r="F8640" s="1334">
        <v>32</v>
      </c>
      <c r="G8640" s="1104">
        <f>DUB!I766</f>
        <v>130959</v>
      </c>
      <c r="H8640" s="1236">
        <f t="shared" si="205"/>
        <v>4190688</v>
      </c>
      <c r="M8640" s="1566"/>
    </row>
    <row r="8641" spans="2:13" hidden="1">
      <c r="B8641" s="1540"/>
      <c r="C8641" s="1258" t="s">
        <v>3276</v>
      </c>
      <c r="D8641" s="1331"/>
      <c r="E8641" s="1331" t="s">
        <v>1423</v>
      </c>
      <c r="F8641" s="1334">
        <v>16</v>
      </c>
      <c r="G8641" s="1104">
        <f>DUB!I767</f>
        <v>36369</v>
      </c>
      <c r="H8641" s="1236">
        <f t="shared" si="205"/>
        <v>581904</v>
      </c>
      <c r="M8641" s="1566"/>
    </row>
    <row r="8642" spans="2:13" hidden="1">
      <c r="B8642" s="1254"/>
      <c r="C8642" s="1253"/>
      <c r="D8642" s="1254"/>
      <c r="E8642" s="1253"/>
      <c r="F8642" s="1532" t="s">
        <v>3763</v>
      </c>
      <c r="G8642" s="1140"/>
      <c r="H8642" s="1236">
        <f>SUM(H8620:H8641)</f>
        <v>188501975.37</v>
      </c>
      <c r="M8642" s="1566"/>
    </row>
    <row r="8643" spans="2:13" s="496" customFormat="1" hidden="1">
      <c r="B8643" s="1543" t="s">
        <v>703</v>
      </c>
      <c r="C8643" s="2111" t="s">
        <v>3764</v>
      </c>
      <c r="D8643" s="2112"/>
      <c r="E8643" s="2112"/>
      <c r="F8643" s="2112"/>
      <c r="G8643" s="2113"/>
      <c r="H8643" s="1239">
        <f>H8618+H8642</f>
        <v>221813581.7888965</v>
      </c>
      <c r="J8643" s="1559"/>
      <c r="K8643" s="1559"/>
      <c r="L8643" s="1559"/>
      <c r="M8643" s="1635"/>
    </row>
    <row r="8644" spans="2:13" s="496" customFormat="1" hidden="1">
      <c r="B8644" s="1543" t="s">
        <v>706</v>
      </c>
      <c r="C8644" s="2111" t="s">
        <v>709</v>
      </c>
      <c r="D8644" s="2112"/>
      <c r="E8644" s="2113"/>
      <c r="F8644" s="2151" t="s">
        <v>3873</v>
      </c>
      <c r="G8644" s="2127"/>
      <c r="H8644" s="1107">
        <f>H8643*0.15</f>
        <v>33272037.268334474</v>
      </c>
      <c r="J8644" s="1559"/>
      <c r="K8644" s="1559"/>
      <c r="L8644" s="1559"/>
      <c r="M8644" s="1635"/>
    </row>
    <row r="8645" spans="2:13" s="496" customFormat="1" hidden="1">
      <c r="B8645" s="1543" t="s">
        <v>708</v>
      </c>
      <c r="C8645" s="2111" t="s">
        <v>3765</v>
      </c>
      <c r="D8645" s="2112"/>
      <c r="E8645" s="2112"/>
      <c r="F8645" s="2112"/>
      <c r="G8645" s="2113"/>
      <c r="H8645" s="1107">
        <f>ROUND(SUM(H8643:H8644),2)</f>
        <v>255085619.06</v>
      </c>
      <c r="J8645" s="1559"/>
      <c r="K8645" s="1559"/>
      <c r="L8645" s="1559"/>
      <c r="M8645" s="1635"/>
    </row>
    <row r="8646" spans="2:13" hidden="1">
      <c r="B8646" s="1804"/>
      <c r="C8646" s="1805"/>
      <c r="D8646" s="1806"/>
      <c r="E8646" s="1726"/>
      <c r="F8646" s="1172"/>
      <c r="G8646" s="1173"/>
      <c r="H8646" s="1807"/>
      <c r="M8646" s="1566"/>
    </row>
    <row r="8647" spans="2:13" hidden="1">
      <c r="B8647" s="1150" t="s">
        <v>3773</v>
      </c>
      <c r="C8647" s="1112" t="s">
        <v>3774</v>
      </c>
      <c r="D8647" s="1129"/>
      <c r="E8647" s="1129"/>
      <c r="F8647" s="1131"/>
      <c r="G8647" s="1132"/>
      <c r="H8647" s="1249"/>
      <c r="M8647" s="1566"/>
    </row>
    <row r="8648" spans="2:13" s="507" customFormat="1" ht="24.9" hidden="1" customHeight="1">
      <c r="B8648" s="1748" t="s">
        <v>1003</v>
      </c>
      <c r="C8648" s="1101" t="s">
        <v>1004</v>
      </c>
      <c r="D8648" s="1101" t="s">
        <v>1005</v>
      </c>
      <c r="E8648" s="1101" t="s">
        <v>1006</v>
      </c>
      <c r="F8648" s="1102" t="s">
        <v>1007</v>
      </c>
      <c r="G8648" s="1109" t="s">
        <v>2637</v>
      </c>
      <c r="H8648" s="1235" t="s">
        <v>2638</v>
      </c>
      <c r="J8648" s="1625"/>
      <c r="K8648" s="1625"/>
      <c r="L8648" s="1625"/>
      <c r="M8648" s="1570"/>
    </row>
    <row r="8649" spans="2:13" hidden="1">
      <c r="B8649" s="1543" t="s">
        <v>671</v>
      </c>
      <c r="C8649" s="1332" t="s">
        <v>3756</v>
      </c>
      <c r="D8649" s="1331"/>
      <c r="E8649" s="1331"/>
      <c r="F8649" s="1334"/>
      <c r="G8649" s="1104"/>
      <c r="H8649" s="1236"/>
      <c r="M8649" s="1566"/>
    </row>
    <row r="8650" spans="2:13" ht="27.6" hidden="1">
      <c r="B8650" s="1543"/>
      <c r="C8650" s="1258" t="str">
        <f>'[95]analisa baru'!$B$2378</f>
        <v>Pengerjaan 10 cm pengelasan dengan las listrik</v>
      </c>
      <c r="D8650" s="1331" t="str">
        <f>'[95]analisa baru'!$A$2378</f>
        <v xml:space="preserve">A.4.2.1.5. </v>
      </c>
      <c r="E8650" s="1331" t="s">
        <v>959</v>
      </c>
      <c r="F8650" s="1334">
        <f>(3.23+3.23+3.23+(4*(F8655+F8656)))/0.1</f>
        <v>208.19583333333333</v>
      </c>
      <c r="G8650" s="1104">
        <f>G8615</f>
        <v>56719.38</v>
      </c>
      <c r="H8650" s="1236">
        <f>F8650*G8650</f>
        <v>11808738.58525</v>
      </c>
      <c r="M8650" s="1566"/>
    </row>
    <row r="8651" spans="2:13" hidden="1">
      <c r="B8651" s="1543"/>
      <c r="C8651" s="1258" t="str">
        <f>'[95]analisa baru'!$B$2335</f>
        <v xml:space="preserve"> Pengerjaan 100 kg pekerjaan perakitan</v>
      </c>
      <c r="D8651" s="1331" t="str">
        <f>'[95]analisa baru'!$A$2335</f>
        <v>A.4.2.1.3.</v>
      </c>
      <c r="E8651" s="1331" t="s">
        <v>773</v>
      </c>
      <c r="F8651" s="1334">
        <f>((7850*(F8655+F8656+(F8657*2.54))*0.006)+(F8665*7850)+(F8664*2.5))/100</f>
        <v>28.534643604166668</v>
      </c>
      <c r="G8651" s="1104">
        <f>G8616</f>
        <v>73278</v>
      </c>
      <c r="H8651" s="1236">
        <f>F8651*G8651</f>
        <v>2090961.6140261251</v>
      </c>
      <c r="M8651" s="1566"/>
    </row>
    <row r="8652" spans="2:13" ht="27.6" hidden="1">
      <c r="B8652" s="1543"/>
      <c r="C8652" s="1258" t="s">
        <v>3524</v>
      </c>
      <c r="D8652" s="1331"/>
      <c r="E8652" s="1331" t="s">
        <v>2970</v>
      </c>
      <c r="F8652" s="1334">
        <v>1</v>
      </c>
      <c r="G8652" s="1104">
        <v>750000</v>
      </c>
      <c r="H8652" s="1236">
        <f>F8652*G8652</f>
        <v>750000</v>
      </c>
      <c r="M8652" s="1566"/>
    </row>
    <row r="8653" spans="2:13" hidden="1">
      <c r="B8653" s="1120"/>
      <c r="C8653" s="1253"/>
      <c r="D8653" s="1254"/>
      <c r="E8653" s="1253"/>
      <c r="F8653" s="1532" t="s">
        <v>685</v>
      </c>
      <c r="G8653" s="1140"/>
      <c r="H8653" s="1236">
        <f>SUM(H8650:H8652)</f>
        <v>14649700.199276125</v>
      </c>
      <c r="M8653" s="1566"/>
    </row>
    <row r="8654" spans="2:13" hidden="1">
      <c r="B8654" s="1543" t="s">
        <v>686</v>
      </c>
      <c r="C8654" s="1332" t="s">
        <v>687</v>
      </c>
      <c r="D8654" s="1331"/>
      <c r="E8654" s="1331"/>
      <c r="F8654" s="1334"/>
      <c r="G8654" s="1104"/>
      <c r="H8654" s="1236"/>
      <c r="M8654" s="1566"/>
    </row>
    <row r="8655" spans="2:13" hidden="1">
      <c r="B8655" s="1543"/>
      <c r="C8655" s="1258" t="s">
        <v>3256</v>
      </c>
      <c r="D8655" s="1331"/>
      <c r="E8655" s="1331" t="s">
        <v>3025</v>
      </c>
      <c r="F8655" s="1334">
        <f>(0.83*3)/(1.2*2.4)</f>
        <v>0.86458333333333326</v>
      </c>
      <c r="G8655" s="1104">
        <f>DUB!I744</f>
        <v>6438465</v>
      </c>
      <c r="H8655" s="1236">
        <f t="shared" ref="H8655:H8676" si="206">F8655*G8655</f>
        <v>5566589.5312499991</v>
      </c>
      <c r="M8655" s="1566"/>
    </row>
    <row r="8656" spans="2:13" hidden="1">
      <c r="B8656" s="1540"/>
      <c r="C8656" s="1258" t="s">
        <v>3257</v>
      </c>
      <c r="D8656" s="1331"/>
      <c r="E8656" s="1331" t="s">
        <v>3025</v>
      </c>
      <c r="F8656" s="1334">
        <f>(3.23*1.71)/(1.2*2.4)</f>
        <v>1.9178124999999999</v>
      </c>
      <c r="G8656" s="1104">
        <f>DUB!I745</f>
        <v>8599914</v>
      </c>
      <c r="H8656" s="1236">
        <f t="shared" si="206"/>
        <v>16493022.568125</v>
      </c>
      <c r="M8656" s="1566"/>
    </row>
    <row r="8657" spans="2:13" hidden="1">
      <c r="B8657" s="1540"/>
      <c r="C8657" s="1258" t="s">
        <v>3258</v>
      </c>
      <c r="D8657" s="1331"/>
      <c r="E8657" s="1331" t="s">
        <v>3025</v>
      </c>
      <c r="F8657" s="1334">
        <f>(0.83*1.2*2)/(1.2*2.4)</f>
        <v>0.69166666666666665</v>
      </c>
      <c r="G8657" s="1104">
        <f>DUB!I746</f>
        <v>9721377</v>
      </c>
      <c r="H8657" s="1236">
        <f t="shared" si="206"/>
        <v>6723952.4249999998</v>
      </c>
      <c r="M8657" s="1566"/>
    </row>
    <row r="8658" spans="2:13" hidden="1">
      <c r="B8658" s="1540"/>
      <c r="C8658" s="1258" t="s">
        <v>3259</v>
      </c>
      <c r="D8658" s="1331"/>
      <c r="E8658" s="1331" t="s">
        <v>1423</v>
      </c>
      <c r="F8658" s="1334">
        <v>1</v>
      </c>
      <c r="G8658" s="1104">
        <f>DUB!I747</f>
        <v>4087188</v>
      </c>
      <c r="H8658" s="1236">
        <f t="shared" si="206"/>
        <v>4087188</v>
      </c>
      <c r="M8658" s="1566"/>
    </row>
    <row r="8659" spans="2:13" hidden="1">
      <c r="B8659" s="1540"/>
      <c r="C8659" s="1258" t="s">
        <v>3260</v>
      </c>
      <c r="D8659" s="1331"/>
      <c r="E8659" s="1331" t="s">
        <v>1423</v>
      </c>
      <c r="F8659" s="1334">
        <v>1</v>
      </c>
      <c r="G8659" s="1104">
        <f>DUB!I748</f>
        <v>4087188</v>
      </c>
      <c r="H8659" s="1236">
        <f t="shared" si="206"/>
        <v>4087188</v>
      </c>
      <c r="M8659" s="1566"/>
    </row>
    <row r="8660" spans="2:13" hidden="1">
      <c r="B8660" s="1540"/>
      <c r="C8660" s="1258" t="s">
        <v>3770</v>
      </c>
      <c r="D8660" s="1331"/>
      <c r="E8660" s="1331" t="s">
        <v>1423</v>
      </c>
      <c r="F8660" s="1334">
        <v>5</v>
      </c>
      <c r="G8660" s="1104">
        <f>DUB!I749</f>
        <v>1619217</v>
      </c>
      <c r="H8660" s="1236">
        <f t="shared" si="206"/>
        <v>8096085</v>
      </c>
      <c r="M8660" s="1566"/>
    </row>
    <row r="8661" spans="2:13" hidden="1">
      <c r="B8661" s="1540"/>
      <c r="C8661" s="1258" t="s">
        <v>3771</v>
      </c>
      <c r="D8661" s="1331"/>
      <c r="E8661" s="1331" t="s">
        <v>1423</v>
      </c>
      <c r="F8661" s="1334">
        <f>(F8660*2)+8</f>
        <v>18</v>
      </c>
      <c r="G8661" s="1104">
        <f>DUB!I750</f>
        <v>109107</v>
      </c>
      <c r="H8661" s="1236">
        <f t="shared" si="206"/>
        <v>1963926</v>
      </c>
      <c r="M8661" s="1566"/>
    </row>
    <row r="8662" spans="2:13" hidden="1">
      <c r="B8662" s="1540"/>
      <c r="C8662" s="1258" t="s">
        <v>3262</v>
      </c>
      <c r="D8662" s="1331"/>
      <c r="E8662" s="1331" t="s">
        <v>1423</v>
      </c>
      <c r="F8662" s="1334">
        <v>5</v>
      </c>
      <c r="G8662" s="1104">
        <f>DUB!I752</f>
        <v>311661</v>
      </c>
      <c r="H8662" s="1236">
        <f t="shared" si="206"/>
        <v>1558305</v>
      </c>
      <c r="M8662" s="1566"/>
    </row>
    <row r="8663" spans="2:13" hidden="1">
      <c r="B8663" s="1540"/>
      <c r="C8663" s="1258" t="s">
        <v>3772</v>
      </c>
      <c r="D8663" s="1331"/>
      <c r="E8663" s="1331" t="s">
        <v>1423</v>
      </c>
      <c r="F8663" s="1334">
        <v>4</v>
      </c>
      <c r="G8663" s="1104">
        <f>DUB!I753</f>
        <v>311661</v>
      </c>
      <c r="H8663" s="1236">
        <f t="shared" si="206"/>
        <v>1246644</v>
      </c>
      <c r="M8663" s="1566"/>
    </row>
    <row r="8664" spans="2:13" hidden="1">
      <c r="B8664" s="1540"/>
      <c r="C8664" s="1258" t="s">
        <v>3264</v>
      </c>
      <c r="D8664" s="1331"/>
      <c r="E8664" s="1331" t="s">
        <v>853</v>
      </c>
      <c r="F8664" s="1334">
        <v>9.1999999999999993</v>
      </c>
      <c r="G8664" s="1104">
        <f>DUB!I755</f>
        <v>648891</v>
      </c>
      <c r="H8664" s="1236">
        <f t="shared" si="206"/>
        <v>5969797.1999999993</v>
      </c>
      <c r="M8664" s="1566"/>
    </row>
    <row r="8665" spans="2:13" hidden="1">
      <c r="B8665" s="1540"/>
      <c r="C8665" s="1258" t="s">
        <v>3265</v>
      </c>
      <c r="D8665" s="1331"/>
      <c r="E8665" s="1331" t="s">
        <v>2666</v>
      </c>
      <c r="F8665" s="1334">
        <f>(0.5*4)/6</f>
        <v>0.33333333333333331</v>
      </c>
      <c r="G8665" s="1104">
        <f>DUB!I756</f>
        <v>13134357</v>
      </c>
      <c r="H8665" s="1236">
        <f t="shared" si="206"/>
        <v>4378119</v>
      </c>
      <c r="M8665" s="1566"/>
    </row>
    <row r="8666" spans="2:13" hidden="1">
      <c r="B8666" s="1540"/>
      <c r="C8666" s="1258" t="s">
        <v>3775</v>
      </c>
      <c r="D8666" s="1331"/>
      <c r="E8666" s="1331" t="s">
        <v>1423</v>
      </c>
      <c r="F8666" s="1334">
        <v>1</v>
      </c>
      <c r="G8666" s="1104">
        <f>DUB!I630</f>
        <v>2985768</v>
      </c>
      <c r="H8666" s="1236">
        <f t="shared" si="206"/>
        <v>2985768</v>
      </c>
      <c r="M8666" s="1566"/>
    </row>
    <row r="8667" spans="2:13" hidden="1">
      <c r="B8667" s="1540"/>
      <c r="C8667" s="1258" t="s">
        <v>3267</v>
      </c>
      <c r="D8667" s="1331"/>
      <c r="E8667" s="1331" t="s">
        <v>1423</v>
      </c>
      <c r="F8667" s="1334">
        <v>1</v>
      </c>
      <c r="G8667" s="1104">
        <f>DUB!I758</f>
        <v>595431</v>
      </c>
      <c r="H8667" s="1236">
        <f t="shared" si="206"/>
        <v>595431</v>
      </c>
      <c r="M8667" s="1566"/>
    </row>
    <row r="8668" spans="2:13" hidden="1">
      <c r="B8668" s="1540"/>
      <c r="C8668" s="1258" t="s">
        <v>3268</v>
      </c>
      <c r="D8668" s="1331"/>
      <c r="E8668" s="1331" t="s">
        <v>1423</v>
      </c>
      <c r="F8668" s="1334">
        <v>90</v>
      </c>
      <c r="G8668" s="1104">
        <f>DUB!I759</f>
        <v>120294</v>
      </c>
      <c r="H8668" s="1236">
        <f t="shared" si="206"/>
        <v>10826460</v>
      </c>
      <c r="M8668" s="1566"/>
    </row>
    <row r="8669" spans="2:13" hidden="1">
      <c r="B8669" s="1540"/>
      <c r="C8669" s="1258" t="s">
        <v>3269</v>
      </c>
      <c r="D8669" s="1331"/>
      <c r="E8669" s="1331" t="s">
        <v>773</v>
      </c>
      <c r="F8669" s="1334">
        <f>0.83*0.45*1800</f>
        <v>672.3</v>
      </c>
      <c r="G8669" s="1104">
        <f>DUB!I760</f>
        <v>2565</v>
      </c>
      <c r="H8669" s="1236">
        <f t="shared" si="206"/>
        <v>1724449.4999999998</v>
      </c>
      <c r="M8669" s="1566"/>
    </row>
    <row r="8670" spans="2:13" hidden="1">
      <c r="B8670" s="1540"/>
      <c r="C8670" s="1258" t="s">
        <v>3270</v>
      </c>
      <c r="D8670" s="1331"/>
      <c r="E8670" s="1331" t="s">
        <v>773</v>
      </c>
      <c r="F8670" s="1334">
        <f>0.83*0.25*1800</f>
        <v>373.5</v>
      </c>
      <c r="G8670" s="1104">
        <f>DUB!I761</f>
        <v>2565</v>
      </c>
      <c r="H8670" s="1236">
        <f t="shared" si="206"/>
        <v>958027.5</v>
      </c>
      <c r="M8670" s="1566"/>
    </row>
    <row r="8671" spans="2:13" hidden="1">
      <c r="B8671" s="1540"/>
      <c r="C8671" s="1258" t="s">
        <v>3271</v>
      </c>
      <c r="D8671" s="1331"/>
      <c r="E8671" s="1331" t="s">
        <v>773</v>
      </c>
      <c r="F8671" s="1334">
        <f>0.83*0.2*1800</f>
        <v>298.8</v>
      </c>
      <c r="G8671" s="1104">
        <f>DUB!I762</f>
        <v>2565</v>
      </c>
      <c r="H8671" s="1236">
        <f t="shared" si="206"/>
        <v>766422</v>
      </c>
      <c r="M8671" s="1566"/>
    </row>
    <row r="8672" spans="2:13" hidden="1">
      <c r="B8672" s="1540"/>
      <c r="C8672" s="1258" t="s">
        <v>3272</v>
      </c>
      <c r="D8672" s="1331"/>
      <c r="E8672" s="1331" t="s">
        <v>773</v>
      </c>
      <c r="F8672" s="1334">
        <f>0.83*0.2*1800</f>
        <v>298.8</v>
      </c>
      <c r="G8672" s="1104">
        <f>DUB!I763</f>
        <v>2313</v>
      </c>
      <c r="H8672" s="1236">
        <f t="shared" si="206"/>
        <v>691124.4</v>
      </c>
      <c r="M8672" s="1566"/>
    </row>
    <row r="8673" spans="2:13" hidden="1">
      <c r="B8673" s="1540"/>
      <c r="C8673" s="1258" t="s">
        <v>3273</v>
      </c>
      <c r="D8673" s="1331"/>
      <c r="E8673" s="1331" t="s">
        <v>2647</v>
      </c>
      <c r="F8673" s="1334">
        <v>3</v>
      </c>
      <c r="G8673" s="1104">
        <f>DUB!I764</f>
        <v>178506</v>
      </c>
      <c r="H8673" s="1236">
        <f t="shared" si="206"/>
        <v>535518</v>
      </c>
      <c r="M8673" s="1566"/>
    </row>
    <row r="8674" spans="2:13" hidden="1">
      <c r="B8674" s="1540"/>
      <c r="C8674" s="1258" t="s">
        <v>3274</v>
      </c>
      <c r="D8674" s="1331"/>
      <c r="E8674" s="1331" t="s">
        <v>1423</v>
      </c>
      <c r="F8674" s="1334">
        <f>17*4</f>
        <v>68</v>
      </c>
      <c r="G8674" s="1104">
        <f>DUB!I765</f>
        <v>9252</v>
      </c>
      <c r="H8674" s="1236">
        <f t="shared" si="206"/>
        <v>629136</v>
      </c>
      <c r="M8674" s="1566"/>
    </row>
    <row r="8675" spans="2:13" hidden="1">
      <c r="B8675" s="1540"/>
      <c r="C8675" s="1258" t="s">
        <v>3275</v>
      </c>
      <c r="D8675" s="1331"/>
      <c r="E8675" s="1331" t="s">
        <v>1423</v>
      </c>
      <c r="F8675" s="1334">
        <v>32</v>
      </c>
      <c r="G8675" s="1104">
        <f>DUB!I766</f>
        <v>130959</v>
      </c>
      <c r="H8675" s="1236">
        <f t="shared" si="206"/>
        <v>4190688</v>
      </c>
      <c r="M8675" s="1566"/>
    </row>
    <row r="8676" spans="2:13" hidden="1">
      <c r="B8676" s="1540"/>
      <c r="C8676" s="1258" t="s">
        <v>3276</v>
      </c>
      <c r="D8676" s="1331"/>
      <c r="E8676" s="1331" t="s">
        <v>1423</v>
      </c>
      <c r="F8676" s="1334">
        <v>16</v>
      </c>
      <c r="G8676" s="1104">
        <f>DUB!I767</f>
        <v>36369</v>
      </c>
      <c r="H8676" s="1236">
        <f t="shared" si="206"/>
        <v>581904</v>
      </c>
      <c r="M8676" s="1566"/>
    </row>
    <row r="8677" spans="2:13" hidden="1">
      <c r="B8677" s="1254"/>
      <c r="C8677" s="1253"/>
      <c r="D8677" s="1254"/>
      <c r="E8677" s="1253"/>
      <c r="F8677" s="1532" t="s">
        <v>3763</v>
      </c>
      <c r="G8677" s="1140"/>
      <c r="H8677" s="1236">
        <f>SUM(H8655:H8676)</f>
        <v>84655745.124375001</v>
      </c>
      <c r="M8677" s="1566"/>
    </row>
    <row r="8678" spans="2:13" s="496" customFormat="1" hidden="1">
      <c r="B8678" s="1543" t="s">
        <v>703</v>
      </c>
      <c r="C8678" s="2111" t="s">
        <v>3764</v>
      </c>
      <c r="D8678" s="2112"/>
      <c r="E8678" s="2112"/>
      <c r="F8678" s="2112"/>
      <c r="G8678" s="2113"/>
      <c r="H8678" s="1239">
        <f>H8653+H8677</f>
        <v>99305445.32365112</v>
      </c>
      <c r="J8678" s="1559"/>
      <c r="K8678" s="1559"/>
      <c r="L8678" s="1559"/>
      <c r="M8678" s="1635"/>
    </row>
    <row r="8679" spans="2:13" s="496" customFormat="1" hidden="1">
      <c r="B8679" s="1543" t="s">
        <v>706</v>
      </c>
      <c r="C8679" s="2111" t="s">
        <v>709</v>
      </c>
      <c r="D8679" s="2112"/>
      <c r="E8679" s="2113"/>
      <c r="F8679" s="2151" t="s">
        <v>3873</v>
      </c>
      <c r="G8679" s="2127"/>
      <c r="H8679" s="1107">
        <f>H8678*0.15</f>
        <v>14895816.798547668</v>
      </c>
      <c r="J8679" s="1559"/>
      <c r="K8679" s="1559"/>
      <c r="L8679" s="1559"/>
      <c r="M8679" s="1635"/>
    </row>
    <row r="8680" spans="2:13" s="496" customFormat="1" hidden="1">
      <c r="B8680" s="1543" t="s">
        <v>708</v>
      </c>
      <c r="C8680" s="2111" t="s">
        <v>3765</v>
      </c>
      <c r="D8680" s="2112"/>
      <c r="E8680" s="2112"/>
      <c r="F8680" s="2112"/>
      <c r="G8680" s="2113"/>
      <c r="H8680" s="1107">
        <f>ROUND(SUM(H8678:H8679),2)</f>
        <v>114201262.12</v>
      </c>
      <c r="J8680" s="1559"/>
      <c r="K8680" s="1559"/>
      <c r="L8680" s="1559"/>
      <c r="M8680" s="1635"/>
    </row>
    <row r="8681" spans="2:13" hidden="1">
      <c r="B8681" s="1804"/>
      <c r="C8681" s="1805"/>
      <c r="D8681" s="1806"/>
      <c r="E8681" s="1726"/>
      <c r="F8681" s="1172"/>
      <c r="G8681" s="1173"/>
      <c r="H8681" s="1807"/>
      <c r="M8681" s="1566"/>
    </row>
    <row r="8682" spans="2:13" hidden="1">
      <c r="B8682" s="1150" t="s">
        <v>3776</v>
      </c>
      <c r="C8682" s="1112" t="s">
        <v>3777</v>
      </c>
      <c r="D8682" s="1129"/>
      <c r="E8682" s="1129"/>
      <c r="F8682" s="1131"/>
      <c r="G8682" s="1132"/>
      <c r="H8682" s="1249"/>
      <c r="M8682" s="1566"/>
    </row>
    <row r="8683" spans="2:13" s="507" customFormat="1" ht="24.9" hidden="1" customHeight="1">
      <c r="B8683" s="1748" t="s">
        <v>1003</v>
      </c>
      <c r="C8683" s="1101" t="s">
        <v>1004</v>
      </c>
      <c r="D8683" s="1101" t="s">
        <v>1005</v>
      </c>
      <c r="E8683" s="1101" t="s">
        <v>1006</v>
      </c>
      <c r="F8683" s="1102" t="s">
        <v>1007</v>
      </c>
      <c r="G8683" s="1109" t="s">
        <v>2637</v>
      </c>
      <c r="H8683" s="1235" t="s">
        <v>2638</v>
      </c>
      <c r="J8683" s="1625"/>
      <c r="K8683" s="1625"/>
      <c r="L8683" s="1625"/>
      <c r="M8683" s="1570"/>
    </row>
    <row r="8684" spans="2:13" hidden="1">
      <c r="B8684" s="1543" t="s">
        <v>671</v>
      </c>
      <c r="C8684" s="1332" t="s">
        <v>3756</v>
      </c>
      <c r="D8684" s="1331"/>
      <c r="E8684" s="1331"/>
      <c r="F8684" s="1334"/>
      <c r="G8684" s="1104"/>
      <c r="H8684" s="1236"/>
      <c r="M8684" s="1566"/>
    </row>
    <row r="8685" spans="2:13" ht="27.6" hidden="1">
      <c r="B8685" s="1543"/>
      <c r="C8685" s="1258" t="s">
        <v>3524</v>
      </c>
      <c r="D8685" s="1331"/>
      <c r="E8685" s="1331" t="s">
        <v>2970</v>
      </c>
      <c r="F8685" s="1334">
        <v>1</v>
      </c>
      <c r="G8685" s="1104">
        <v>500000</v>
      </c>
      <c r="H8685" s="1236">
        <f>F8685*G8685</f>
        <v>500000</v>
      </c>
      <c r="M8685" s="1566"/>
    </row>
    <row r="8686" spans="2:13" hidden="1">
      <c r="B8686" s="1120"/>
      <c r="C8686" s="1253"/>
      <c r="D8686" s="1254"/>
      <c r="E8686" s="1253"/>
      <c r="F8686" s="1532" t="s">
        <v>685</v>
      </c>
      <c r="G8686" s="1140"/>
      <c r="H8686" s="1236">
        <f>SUM(H8685:H8685)</f>
        <v>500000</v>
      </c>
      <c r="M8686" s="1566"/>
    </row>
    <row r="8687" spans="2:13" hidden="1">
      <c r="B8687" s="1543" t="s">
        <v>686</v>
      </c>
      <c r="C8687" s="1332" t="s">
        <v>687</v>
      </c>
      <c r="D8687" s="1331"/>
      <c r="E8687" s="1331"/>
      <c r="F8687" s="1334"/>
      <c r="G8687" s="1104"/>
      <c r="H8687" s="1236"/>
      <c r="M8687" s="1566"/>
    </row>
    <row r="8688" spans="2:13" hidden="1">
      <c r="B8688" s="1543"/>
      <c r="C8688" s="1258" t="s">
        <v>3259</v>
      </c>
      <c r="D8688" s="1331"/>
      <c r="E8688" s="1331" t="s">
        <v>1423</v>
      </c>
      <c r="F8688" s="1334">
        <v>2</v>
      </c>
      <c r="G8688" s="1104">
        <f>DUB!$I$747</f>
        <v>4087188</v>
      </c>
      <c r="H8688" s="1236">
        <f t="shared" ref="H8688:H8700" si="207">F8688*G8688</f>
        <v>8174376</v>
      </c>
      <c r="M8688" s="1566"/>
    </row>
    <row r="8689" spans="2:13" hidden="1">
      <c r="B8689" s="1543"/>
      <c r="C8689" s="1258" t="s">
        <v>3260</v>
      </c>
      <c r="D8689" s="1331"/>
      <c r="E8689" s="1331" t="s">
        <v>1423</v>
      </c>
      <c r="F8689" s="1334">
        <v>2</v>
      </c>
      <c r="G8689" s="1104">
        <f>DUB!$I$748</f>
        <v>4087188</v>
      </c>
      <c r="H8689" s="1236">
        <f t="shared" si="207"/>
        <v>8174376</v>
      </c>
      <c r="M8689" s="1566"/>
    </row>
    <row r="8690" spans="2:13" hidden="1">
      <c r="B8690" s="1540"/>
      <c r="C8690" s="1258" t="s">
        <v>3770</v>
      </c>
      <c r="D8690" s="1331"/>
      <c r="E8690" s="1331" t="s">
        <v>1423</v>
      </c>
      <c r="F8690" s="1334">
        <v>4</v>
      </c>
      <c r="G8690" s="1104">
        <f>DUB!$I$749</f>
        <v>1619217</v>
      </c>
      <c r="H8690" s="1236">
        <f t="shared" si="207"/>
        <v>6476868</v>
      </c>
      <c r="M8690" s="1566"/>
    </row>
    <row r="8691" spans="2:13" hidden="1">
      <c r="B8691" s="1540"/>
      <c r="C8691" s="1258" t="s">
        <v>3771</v>
      </c>
      <c r="D8691" s="1331"/>
      <c r="E8691" s="1331" t="s">
        <v>1423</v>
      </c>
      <c r="F8691" s="1334">
        <f>F8690+7</f>
        <v>11</v>
      </c>
      <c r="G8691" s="1104">
        <f>DUB!$I$750</f>
        <v>109107</v>
      </c>
      <c r="H8691" s="1236">
        <f t="shared" si="207"/>
        <v>1200177</v>
      </c>
      <c r="M8691" s="1566"/>
    </row>
    <row r="8692" spans="2:13" hidden="1">
      <c r="B8692" s="1540"/>
      <c r="C8692" s="1258" t="s">
        <v>3262</v>
      </c>
      <c r="D8692" s="1331"/>
      <c r="E8692" s="1331" t="s">
        <v>1423</v>
      </c>
      <c r="F8692" s="1334">
        <v>5</v>
      </c>
      <c r="G8692" s="1104">
        <f>DUB!$I$752</f>
        <v>311661</v>
      </c>
      <c r="H8692" s="1236">
        <f t="shared" si="207"/>
        <v>1558305</v>
      </c>
      <c r="M8692" s="1566"/>
    </row>
    <row r="8693" spans="2:13" hidden="1">
      <c r="B8693" s="1540"/>
      <c r="C8693" s="1258" t="s">
        <v>3772</v>
      </c>
      <c r="D8693" s="1331"/>
      <c r="E8693" s="1331" t="s">
        <v>1423</v>
      </c>
      <c r="F8693" s="1334">
        <v>2</v>
      </c>
      <c r="G8693" s="1104">
        <f>DUB!$I$753</f>
        <v>311661</v>
      </c>
      <c r="H8693" s="1236">
        <f t="shared" si="207"/>
        <v>623322</v>
      </c>
      <c r="M8693" s="1566"/>
    </row>
    <row r="8694" spans="2:13" hidden="1">
      <c r="B8694" s="1540"/>
      <c r="C8694" s="1258" t="s">
        <v>3263</v>
      </c>
      <c r="D8694" s="1331"/>
      <c r="E8694" s="1331" t="s">
        <v>853</v>
      </c>
      <c r="F8694" s="1334">
        <v>3</v>
      </c>
      <c r="G8694" s="1104">
        <f>DUB!$I$754</f>
        <v>6409800</v>
      </c>
      <c r="H8694" s="1236">
        <f t="shared" si="207"/>
        <v>19229400</v>
      </c>
      <c r="M8694" s="1566"/>
    </row>
    <row r="8695" spans="2:13" hidden="1">
      <c r="B8695" s="1540"/>
      <c r="C8695" s="1258" t="s">
        <v>3264</v>
      </c>
      <c r="D8695" s="1331"/>
      <c r="E8695" s="1331" t="s">
        <v>853</v>
      </c>
      <c r="F8695" s="1334">
        <v>9.5</v>
      </c>
      <c r="G8695" s="1104">
        <f>DUB!$I$755</f>
        <v>648891</v>
      </c>
      <c r="H8695" s="1236">
        <f t="shared" si="207"/>
        <v>6164464.5</v>
      </c>
      <c r="M8695" s="1566"/>
    </row>
    <row r="8696" spans="2:13" hidden="1">
      <c r="B8696" s="1540"/>
      <c r="C8696" s="1258" t="s">
        <v>3265</v>
      </c>
      <c r="D8696" s="1331"/>
      <c r="E8696" s="1331" t="s">
        <v>2666</v>
      </c>
      <c r="F8696" s="1334">
        <f>4/6</f>
        <v>0.66666666666666663</v>
      </c>
      <c r="G8696" s="1104">
        <f>DUB!$I$756</f>
        <v>13134357</v>
      </c>
      <c r="H8696" s="1236">
        <f t="shared" si="207"/>
        <v>8756238</v>
      </c>
      <c r="M8696" s="1566"/>
    </row>
    <row r="8697" spans="2:13" hidden="1">
      <c r="B8697" s="1540"/>
      <c r="C8697" s="1258" t="s">
        <v>3272</v>
      </c>
      <c r="D8697" s="1331"/>
      <c r="E8697" s="1331" t="s">
        <v>773</v>
      </c>
      <c r="F8697" s="1334">
        <f>0.84*3*1800</f>
        <v>4536</v>
      </c>
      <c r="G8697" s="1104">
        <f>DUB!$I$763</f>
        <v>2313</v>
      </c>
      <c r="H8697" s="1236">
        <f t="shared" si="207"/>
        <v>10491768</v>
      </c>
      <c r="M8697" s="1566"/>
    </row>
    <row r="8698" spans="2:13" hidden="1">
      <c r="B8698" s="1540"/>
      <c r="C8698" s="1258" t="s">
        <v>3273</v>
      </c>
      <c r="D8698" s="1331"/>
      <c r="E8698" s="1331" t="s">
        <v>2647</v>
      </c>
      <c r="F8698" s="1334">
        <f>0.284*4</f>
        <v>1.1359999999999999</v>
      </c>
      <c r="G8698" s="1104">
        <f>DUB!$I$764</f>
        <v>178506</v>
      </c>
      <c r="H8698" s="1236">
        <f t="shared" si="207"/>
        <v>202782.81599999999</v>
      </c>
      <c r="M8698" s="1566"/>
    </row>
    <row r="8699" spans="2:13" hidden="1">
      <c r="B8699" s="1540"/>
      <c r="C8699" s="1258" t="s">
        <v>3275</v>
      </c>
      <c r="D8699" s="1331"/>
      <c r="E8699" s="1331" t="s">
        <v>1423</v>
      </c>
      <c r="F8699" s="1334">
        <v>32</v>
      </c>
      <c r="G8699" s="1104">
        <f>DUB!$I$766</f>
        <v>130959</v>
      </c>
      <c r="H8699" s="1236">
        <f t="shared" si="207"/>
        <v>4190688</v>
      </c>
      <c r="M8699" s="1566"/>
    </row>
    <row r="8700" spans="2:13" hidden="1">
      <c r="B8700" s="1540"/>
      <c r="C8700" s="1258" t="s">
        <v>3276</v>
      </c>
      <c r="D8700" s="1331"/>
      <c r="E8700" s="1331" t="s">
        <v>1423</v>
      </c>
      <c r="F8700" s="1334">
        <v>16</v>
      </c>
      <c r="G8700" s="1104">
        <f>DUB!$I$767</f>
        <v>36369</v>
      </c>
      <c r="H8700" s="1236">
        <f t="shared" si="207"/>
        <v>581904</v>
      </c>
      <c r="M8700" s="1566"/>
    </row>
    <row r="8701" spans="2:13" hidden="1">
      <c r="B8701" s="1254"/>
      <c r="C8701" s="1253"/>
      <c r="D8701" s="1254"/>
      <c r="E8701" s="1253"/>
      <c r="F8701" s="1532" t="s">
        <v>3763</v>
      </c>
      <c r="G8701" s="1140"/>
      <c r="H8701" s="1236">
        <f>SUM(H8688:H8700)</f>
        <v>75824669.316</v>
      </c>
      <c r="M8701" s="1566"/>
    </row>
    <row r="8702" spans="2:13" hidden="1">
      <c r="B8702" s="1543" t="s">
        <v>703</v>
      </c>
      <c r="C8702" s="2111" t="s">
        <v>3764</v>
      </c>
      <c r="D8702" s="2112"/>
      <c r="E8702" s="2112"/>
      <c r="F8702" s="2112"/>
      <c r="G8702" s="2113"/>
      <c r="H8702" s="1239">
        <f>H8686+H8701</f>
        <v>76324669.316</v>
      </c>
      <c r="M8702" s="1566"/>
    </row>
    <row r="8703" spans="2:13" hidden="1">
      <c r="B8703" s="1543" t="s">
        <v>706</v>
      </c>
      <c r="C8703" s="2111" t="s">
        <v>709</v>
      </c>
      <c r="D8703" s="2112"/>
      <c r="E8703" s="2113"/>
      <c r="F8703" s="2151" t="s">
        <v>3873</v>
      </c>
      <c r="G8703" s="2127"/>
      <c r="H8703" s="1107">
        <f>H8702*0.15</f>
        <v>11448700.397399999</v>
      </c>
      <c r="M8703" s="1566"/>
    </row>
    <row r="8704" spans="2:13" hidden="1">
      <c r="B8704" s="1543" t="s">
        <v>708</v>
      </c>
      <c r="C8704" s="2111" t="s">
        <v>3765</v>
      </c>
      <c r="D8704" s="2112"/>
      <c r="E8704" s="2112"/>
      <c r="F8704" s="2112"/>
      <c r="G8704" s="2113"/>
      <c r="H8704" s="1107">
        <f>ROUND(SUM(H8702:H8703),2)</f>
        <v>87773369.709999993</v>
      </c>
      <c r="M8704" s="1566"/>
    </row>
    <row r="8705" spans="2:13" hidden="1">
      <c r="B8705" s="1804"/>
      <c r="C8705" s="1805"/>
      <c r="D8705" s="1806"/>
      <c r="E8705" s="1726"/>
      <c r="F8705" s="1172"/>
      <c r="G8705" s="1173"/>
      <c r="H8705" s="1807"/>
      <c r="M8705" s="1566"/>
    </row>
    <row r="8706" spans="2:13" hidden="1">
      <c r="B8706" s="1150" t="s">
        <v>3778</v>
      </c>
      <c r="C8706" s="1112" t="s">
        <v>3779</v>
      </c>
      <c r="D8706" s="1129"/>
      <c r="E8706" s="1129"/>
      <c r="F8706" s="1131"/>
      <c r="G8706" s="1132"/>
      <c r="H8706" s="1249"/>
      <c r="M8706" s="1566"/>
    </row>
    <row r="8707" spans="2:13" s="507" customFormat="1" ht="24.9" hidden="1" customHeight="1">
      <c r="B8707" s="1748" t="s">
        <v>1003</v>
      </c>
      <c r="C8707" s="1101" t="s">
        <v>1004</v>
      </c>
      <c r="D8707" s="1101" t="s">
        <v>1005</v>
      </c>
      <c r="E8707" s="1101" t="s">
        <v>1006</v>
      </c>
      <c r="F8707" s="1102" t="s">
        <v>1007</v>
      </c>
      <c r="G8707" s="1109" t="s">
        <v>2637</v>
      </c>
      <c r="H8707" s="1235" t="s">
        <v>2638</v>
      </c>
      <c r="J8707" s="1625"/>
      <c r="K8707" s="1625"/>
      <c r="L8707" s="1625"/>
      <c r="M8707" s="1570"/>
    </row>
    <row r="8708" spans="2:13" hidden="1">
      <c r="B8708" s="1543" t="s">
        <v>671</v>
      </c>
      <c r="C8708" s="1332" t="s">
        <v>3756</v>
      </c>
      <c r="D8708" s="1331"/>
      <c r="E8708" s="1331"/>
      <c r="F8708" s="1334"/>
      <c r="G8708" s="1104"/>
      <c r="H8708" s="1236"/>
      <c r="M8708" s="1566"/>
    </row>
    <row r="8709" spans="2:13" ht="27.6" hidden="1">
      <c r="B8709" s="1543"/>
      <c r="C8709" s="1258" t="s">
        <v>3524</v>
      </c>
      <c r="D8709" s="1331"/>
      <c r="E8709" s="1331" t="s">
        <v>2970</v>
      </c>
      <c r="F8709" s="1334">
        <v>1</v>
      </c>
      <c r="G8709" s="1104">
        <v>350000</v>
      </c>
      <c r="H8709" s="1236">
        <f>F8709*G8709</f>
        <v>350000</v>
      </c>
      <c r="M8709" s="1566"/>
    </row>
    <row r="8710" spans="2:13" hidden="1">
      <c r="B8710" s="1120"/>
      <c r="C8710" s="1253"/>
      <c r="D8710" s="1254"/>
      <c r="E8710" s="1253"/>
      <c r="F8710" s="1532" t="s">
        <v>685</v>
      </c>
      <c r="G8710" s="1140"/>
      <c r="H8710" s="1236">
        <f>SUM(H8709:H8709)</f>
        <v>350000</v>
      </c>
      <c r="M8710" s="1566"/>
    </row>
    <row r="8711" spans="2:13" hidden="1">
      <c r="B8711" s="1543" t="s">
        <v>686</v>
      </c>
      <c r="C8711" s="1332" t="s">
        <v>687</v>
      </c>
      <c r="D8711" s="1331"/>
      <c r="E8711" s="1331"/>
      <c r="F8711" s="1334"/>
      <c r="G8711" s="1104"/>
      <c r="H8711" s="1236"/>
      <c r="M8711" s="1566"/>
    </row>
    <row r="8712" spans="2:13" hidden="1">
      <c r="B8712" s="1543"/>
      <c r="C8712" s="1258" t="s">
        <v>3259</v>
      </c>
      <c r="D8712" s="1331"/>
      <c r="E8712" s="1331" t="s">
        <v>1423</v>
      </c>
      <c r="F8712" s="1334">
        <v>2</v>
      </c>
      <c r="G8712" s="1104">
        <f>DUB!$I$747</f>
        <v>4087188</v>
      </c>
      <c r="H8712" s="1236">
        <f t="shared" ref="H8712:H8724" si="208">F8712*G8712</f>
        <v>8174376</v>
      </c>
      <c r="M8712" s="1566"/>
    </row>
    <row r="8713" spans="2:13" hidden="1">
      <c r="B8713" s="1543"/>
      <c r="C8713" s="1258" t="s">
        <v>3260</v>
      </c>
      <c r="D8713" s="1331"/>
      <c r="E8713" s="1331" t="s">
        <v>1423</v>
      </c>
      <c r="F8713" s="1334">
        <v>2</v>
      </c>
      <c r="G8713" s="1104">
        <f>DUB!$I$748</f>
        <v>4087188</v>
      </c>
      <c r="H8713" s="1236">
        <f t="shared" si="208"/>
        <v>8174376</v>
      </c>
      <c r="M8713" s="1566"/>
    </row>
    <row r="8714" spans="2:13" hidden="1">
      <c r="B8714" s="1540"/>
      <c r="C8714" s="1258" t="s">
        <v>3770</v>
      </c>
      <c r="D8714" s="1331"/>
      <c r="E8714" s="1331" t="s">
        <v>1423</v>
      </c>
      <c r="F8714" s="1334">
        <v>4</v>
      </c>
      <c r="G8714" s="1104">
        <f>DUB!$I$749</f>
        <v>1619217</v>
      </c>
      <c r="H8714" s="1236">
        <f t="shared" si="208"/>
        <v>6476868</v>
      </c>
      <c r="M8714" s="1566"/>
    </row>
    <row r="8715" spans="2:13" hidden="1">
      <c r="B8715" s="1540"/>
      <c r="C8715" s="1258" t="s">
        <v>3771</v>
      </c>
      <c r="D8715" s="1331"/>
      <c r="E8715" s="1331" t="s">
        <v>1423</v>
      </c>
      <c r="F8715" s="1334">
        <f>F8714+7</f>
        <v>11</v>
      </c>
      <c r="G8715" s="1104">
        <f>DUB!$I$750</f>
        <v>109107</v>
      </c>
      <c r="H8715" s="1236">
        <f t="shared" si="208"/>
        <v>1200177</v>
      </c>
      <c r="M8715" s="1566"/>
    </row>
    <row r="8716" spans="2:13" hidden="1">
      <c r="B8716" s="1540"/>
      <c r="C8716" s="1258" t="s">
        <v>3262</v>
      </c>
      <c r="D8716" s="1331"/>
      <c r="E8716" s="1331" t="s">
        <v>1423</v>
      </c>
      <c r="F8716" s="1334">
        <v>5</v>
      </c>
      <c r="G8716" s="1104">
        <f>DUB!$I$752</f>
        <v>311661</v>
      </c>
      <c r="H8716" s="1236">
        <f t="shared" si="208"/>
        <v>1558305</v>
      </c>
      <c r="M8716" s="1566"/>
    </row>
    <row r="8717" spans="2:13" hidden="1">
      <c r="B8717" s="1540"/>
      <c r="C8717" s="1258" t="s">
        <v>3772</v>
      </c>
      <c r="D8717" s="1331"/>
      <c r="E8717" s="1331" t="s">
        <v>1423</v>
      </c>
      <c r="F8717" s="1334">
        <v>2</v>
      </c>
      <c r="G8717" s="1104">
        <f>DUB!$I$753</f>
        <v>311661</v>
      </c>
      <c r="H8717" s="1236">
        <f t="shared" si="208"/>
        <v>623322</v>
      </c>
      <c r="M8717" s="1566"/>
    </row>
    <row r="8718" spans="2:13" hidden="1">
      <c r="B8718" s="1540"/>
      <c r="C8718" s="1258" t="s">
        <v>3263</v>
      </c>
      <c r="D8718" s="1331"/>
      <c r="E8718" s="1331" t="s">
        <v>853</v>
      </c>
      <c r="F8718" s="1334">
        <v>2.4</v>
      </c>
      <c r="G8718" s="1104">
        <f>DUB!$I$754</f>
        <v>6409800</v>
      </c>
      <c r="H8718" s="1236">
        <f t="shared" si="208"/>
        <v>15383520</v>
      </c>
      <c r="M8718" s="1566"/>
    </row>
    <row r="8719" spans="2:13" hidden="1">
      <c r="B8719" s="1540"/>
      <c r="C8719" s="1258" t="s">
        <v>3264</v>
      </c>
      <c r="D8719" s="1331"/>
      <c r="E8719" s="1331" t="s">
        <v>853</v>
      </c>
      <c r="F8719" s="1334">
        <v>9.5</v>
      </c>
      <c r="G8719" s="1104">
        <f>DUB!$I$755</f>
        <v>648891</v>
      </c>
      <c r="H8719" s="1236">
        <f t="shared" si="208"/>
        <v>6164464.5</v>
      </c>
      <c r="M8719" s="1566"/>
    </row>
    <row r="8720" spans="2:13" hidden="1">
      <c r="B8720" s="1540"/>
      <c r="C8720" s="1258" t="s">
        <v>3265</v>
      </c>
      <c r="D8720" s="1331"/>
      <c r="E8720" s="1331" t="s">
        <v>2666</v>
      </c>
      <c r="F8720" s="1334">
        <f>4/6</f>
        <v>0.66666666666666663</v>
      </c>
      <c r="G8720" s="1104">
        <f>DUB!$I$756</f>
        <v>13134357</v>
      </c>
      <c r="H8720" s="1236">
        <f t="shared" si="208"/>
        <v>8756238</v>
      </c>
      <c r="M8720" s="1566"/>
    </row>
    <row r="8721" spans="2:13" hidden="1">
      <c r="B8721" s="1540"/>
      <c r="C8721" s="1258" t="s">
        <v>3272</v>
      </c>
      <c r="D8721" s="1331"/>
      <c r="E8721" s="1331" t="s">
        <v>773</v>
      </c>
      <c r="F8721" s="1334">
        <f>0.84*2.4*1800</f>
        <v>3628.8</v>
      </c>
      <c r="G8721" s="1104">
        <f>DUB!$I$763</f>
        <v>2313</v>
      </c>
      <c r="H8721" s="1236">
        <f t="shared" si="208"/>
        <v>8393414.4000000004</v>
      </c>
      <c r="M8721" s="1566"/>
    </row>
    <row r="8722" spans="2:13" hidden="1">
      <c r="B8722" s="1540"/>
      <c r="C8722" s="1258" t="s">
        <v>3273</v>
      </c>
      <c r="D8722" s="1331"/>
      <c r="E8722" s="1331" t="s">
        <v>2647</v>
      </c>
      <c r="F8722" s="1334">
        <f>0.284*4</f>
        <v>1.1359999999999999</v>
      </c>
      <c r="G8722" s="1104">
        <f>DUB!$I$764</f>
        <v>178506</v>
      </c>
      <c r="H8722" s="1236">
        <f t="shared" si="208"/>
        <v>202782.81599999999</v>
      </c>
      <c r="M8722" s="1566"/>
    </row>
    <row r="8723" spans="2:13" hidden="1">
      <c r="B8723" s="1540"/>
      <c r="C8723" s="1258" t="s">
        <v>3275</v>
      </c>
      <c r="D8723" s="1331"/>
      <c r="E8723" s="1331" t="s">
        <v>1423</v>
      </c>
      <c r="F8723" s="1334">
        <v>32</v>
      </c>
      <c r="G8723" s="1104">
        <f>DUB!$I$766</f>
        <v>130959</v>
      </c>
      <c r="H8723" s="1236">
        <f t="shared" si="208"/>
        <v>4190688</v>
      </c>
      <c r="M8723" s="1566"/>
    </row>
    <row r="8724" spans="2:13" hidden="1">
      <c r="B8724" s="1540"/>
      <c r="C8724" s="1258" t="s">
        <v>3276</v>
      </c>
      <c r="D8724" s="1331"/>
      <c r="E8724" s="1331" t="s">
        <v>1423</v>
      </c>
      <c r="F8724" s="1334">
        <v>16</v>
      </c>
      <c r="G8724" s="1104">
        <f>DUB!$I$767</f>
        <v>36369</v>
      </c>
      <c r="H8724" s="1236">
        <f t="shared" si="208"/>
        <v>581904</v>
      </c>
      <c r="M8724" s="1566"/>
    </row>
    <row r="8725" spans="2:13" hidden="1">
      <c r="B8725" s="1254"/>
      <c r="C8725" s="1253"/>
      <c r="D8725" s="1254"/>
      <c r="E8725" s="1253"/>
      <c r="F8725" s="1532" t="s">
        <v>3763</v>
      </c>
      <c r="G8725" s="1140"/>
      <c r="H8725" s="1236">
        <f>SUM(H8712:H8724)</f>
        <v>69880435.715999991</v>
      </c>
      <c r="M8725" s="1566"/>
    </row>
    <row r="8726" spans="2:13" hidden="1">
      <c r="B8726" s="1543" t="s">
        <v>703</v>
      </c>
      <c r="C8726" s="2111" t="s">
        <v>3764</v>
      </c>
      <c r="D8726" s="2112"/>
      <c r="E8726" s="2112"/>
      <c r="F8726" s="2112"/>
      <c r="G8726" s="2113"/>
      <c r="H8726" s="1239">
        <f>H8710+H8725</f>
        <v>70230435.715999991</v>
      </c>
      <c r="M8726" s="1566"/>
    </row>
    <row r="8727" spans="2:13" hidden="1">
      <c r="B8727" s="1543" t="s">
        <v>706</v>
      </c>
      <c r="C8727" s="2111" t="s">
        <v>709</v>
      </c>
      <c r="D8727" s="2112"/>
      <c r="E8727" s="2113"/>
      <c r="F8727" s="2151" t="s">
        <v>3873</v>
      </c>
      <c r="G8727" s="2127"/>
      <c r="H8727" s="1107">
        <f>H8726*0.15</f>
        <v>10534565.357399998</v>
      </c>
      <c r="M8727" s="1566"/>
    </row>
    <row r="8728" spans="2:13" hidden="1">
      <c r="B8728" s="1543" t="s">
        <v>708</v>
      </c>
      <c r="C8728" s="2111" t="s">
        <v>3765</v>
      </c>
      <c r="D8728" s="2112"/>
      <c r="E8728" s="2112"/>
      <c r="F8728" s="2112"/>
      <c r="G8728" s="2113"/>
      <c r="H8728" s="1107">
        <f>ROUND(SUM(H8726:H8727),2)</f>
        <v>80765001.069999993</v>
      </c>
      <c r="M8728" s="1566"/>
    </row>
    <row r="8729" spans="2:13" hidden="1">
      <c r="F8729" s="1172"/>
      <c r="G8729" s="1173"/>
      <c r="H8729" s="1133"/>
      <c r="M8729" s="1566"/>
    </row>
    <row r="8730" spans="2:13" s="496" customFormat="1">
      <c r="B8730" s="1100" t="s">
        <v>4295</v>
      </c>
      <c r="C8730" s="1232" t="s">
        <v>4296</v>
      </c>
      <c r="D8730" s="1100"/>
      <c r="E8730" s="1100"/>
      <c r="F8730" s="1174"/>
      <c r="G8730" s="1175"/>
      <c r="H8730" s="1134"/>
      <c r="J8730" s="1559"/>
      <c r="K8730" s="1559"/>
      <c r="L8730" s="1559"/>
      <c r="M8730" s="1635"/>
    </row>
    <row r="8731" spans="2:13">
      <c r="B8731" s="1100" t="s">
        <v>4297</v>
      </c>
      <c r="C8731" s="1808" t="s">
        <v>4423</v>
      </c>
      <c r="F8731" s="1172"/>
      <c r="G8731" s="1173"/>
      <c r="H8731" s="1133"/>
      <c r="M8731" s="1566"/>
    </row>
    <row r="8732" spans="2:13" ht="24.9" customHeight="1">
      <c r="B8732" s="1101" t="s">
        <v>1003</v>
      </c>
      <c r="C8732" s="1101" t="s">
        <v>1004</v>
      </c>
      <c r="D8732" s="1101" t="s">
        <v>1005</v>
      </c>
      <c r="E8732" s="1101" t="s">
        <v>1006</v>
      </c>
      <c r="F8732" s="1102" t="s">
        <v>1007</v>
      </c>
      <c r="G8732" s="1109" t="s">
        <v>2637</v>
      </c>
      <c r="H8732" s="1110" t="s">
        <v>2638</v>
      </c>
      <c r="I8732" s="1822"/>
      <c r="J8732" s="1823" t="s">
        <v>5335</v>
      </c>
      <c r="K8732" s="1824" t="s">
        <v>5336</v>
      </c>
      <c r="L8732" s="1824" t="s">
        <v>5337</v>
      </c>
      <c r="M8732" s="1825" t="s">
        <v>5338</v>
      </c>
    </row>
    <row r="8733" spans="2:13">
      <c r="B8733" s="1330" t="s">
        <v>671</v>
      </c>
      <c r="C8733" s="1329" t="s">
        <v>672</v>
      </c>
      <c r="D8733" s="1331"/>
      <c r="E8733" s="1331"/>
      <c r="F8733" s="1334"/>
      <c r="G8733" s="1104"/>
      <c r="H8733" s="1106"/>
      <c r="J8733" s="1596"/>
      <c r="K8733" s="1597"/>
      <c r="L8733" s="1597"/>
      <c r="M8733" s="1826"/>
    </row>
    <row r="8734" spans="2:13">
      <c r="B8734" s="1331"/>
      <c r="C8734" s="1332" t="s">
        <v>3515</v>
      </c>
      <c r="D8734" s="1331"/>
      <c r="E8734" s="1331" t="s">
        <v>2647</v>
      </c>
      <c r="F8734" s="1334">
        <v>56</v>
      </c>
      <c r="G8734" s="1104">
        <v>58000</v>
      </c>
      <c r="H8734" s="1106">
        <f>G8734*F8734</f>
        <v>3248000</v>
      </c>
      <c r="J8734" s="1609" t="s">
        <v>5339</v>
      </c>
      <c r="K8734" s="1611">
        <v>1</v>
      </c>
      <c r="L8734" s="1608" t="s">
        <v>5340</v>
      </c>
      <c r="M8734" s="1827">
        <f>H8734*K8734</f>
        <v>3248000</v>
      </c>
    </row>
    <row r="8735" spans="2:13">
      <c r="B8735" s="1331"/>
      <c r="C8735" s="1332"/>
      <c r="D8735" s="1331"/>
      <c r="E8735" s="1331"/>
      <c r="F8735" s="2153" t="s">
        <v>685</v>
      </c>
      <c r="G8735" s="2153"/>
      <c r="H8735" s="1106">
        <f>SUM(H8734:H8734)</f>
        <v>3248000</v>
      </c>
      <c r="J8735" s="1596"/>
      <c r="K8735" s="1597"/>
      <c r="L8735" s="1597"/>
      <c r="M8735" s="1826"/>
    </row>
    <row r="8736" spans="2:13">
      <c r="B8736" s="1330" t="s">
        <v>686</v>
      </c>
      <c r="C8736" s="1329" t="s">
        <v>687</v>
      </c>
      <c r="D8736" s="1331"/>
      <c r="E8736" s="1331"/>
      <c r="F8736" s="1334"/>
      <c r="G8736" s="1104"/>
      <c r="H8736" s="1106"/>
      <c r="J8736" s="1596"/>
      <c r="K8736" s="1597"/>
      <c r="L8736" s="1597"/>
      <c r="M8736" s="1826"/>
    </row>
    <row r="8737" spans="2:13">
      <c r="B8737" s="1331"/>
      <c r="C8737" s="1831" t="s">
        <v>3057</v>
      </c>
      <c r="D8737" s="1331"/>
      <c r="E8737" s="1331" t="s">
        <v>2666</v>
      </c>
      <c r="F8737" s="1813">
        <v>12</v>
      </c>
      <c r="G8737" s="1104">
        <f>DUB!I293</f>
        <v>26775</v>
      </c>
      <c r="H8737" s="1106">
        <f t="shared" ref="H8737:H8744" si="209">G8737*F8737</f>
        <v>321300</v>
      </c>
      <c r="J8737" s="1634" t="s">
        <v>4925</v>
      </c>
      <c r="K8737" s="1611">
        <v>0.63739999999999997</v>
      </c>
      <c r="L8737" s="1607" t="s">
        <v>5343</v>
      </c>
      <c r="M8737" s="1827">
        <f>H8737*K8737</f>
        <v>204796.62</v>
      </c>
    </row>
    <row r="8738" spans="2:13">
      <c r="B8738" s="1331"/>
      <c r="C8738" s="1831" t="s">
        <v>3058</v>
      </c>
      <c r="D8738" s="1331"/>
      <c r="E8738" s="1331" t="s">
        <v>2666</v>
      </c>
      <c r="F8738" s="1813">
        <v>41</v>
      </c>
      <c r="G8738" s="1104">
        <f>DUB!I294</f>
        <v>19809</v>
      </c>
      <c r="H8738" s="1106">
        <f t="shared" si="209"/>
        <v>812169</v>
      </c>
      <c r="J8738" s="1634" t="s">
        <v>4925</v>
      </c>
      <c r="K8738" s="1611">
        <v>0.63739999999999997</v>
      </c>
      <c r="L8738" s="1607" t="s">
        <v>5343</v>
      </c>
      <c r="M8738" s="1827">
        <f t="shared" ref="M8738:M8744" si="210">H8738*K8738</f>
        <v>517676.52059999999</v>
      </c>
    </row>
    <row r="8739" spans="2:13">
      <c r="B8739" s="1331"/>
      <c r="C8739" s="1831" t="s">
        <v>3059</v>
      </c>
      <c r="D8739" s="1331"/>
      <c r="E8739" s="1331" t="s">
        <v>2666</v>
      </c>
      <c r="F8739" s="1813">
        <v>11</v>
      </c>
      <c r="G8739" s="1104">
        <f>DUB!I295</f>
        <v>36414</v>
      </c>
      <c r="H8739" s="1106">
        <f t="shared" si="209"/>
        <v>400554</v>
      </c>
      <c r="J8739" s="1634" t="s">
        <v>4925</v>
      </c>
      <c r="K8739" s="1611">
        <v>0.63739999999999997</v>
      </c>
      <c r="L8739" s="1607" t="s">
        <v>5343</v>
      </c>
      <c r="M8739" s="1827">
        <f t="shared" si="210"/>
        <v>255313.11959999998</v>
      </c>
    </row>
    <row r="8740" spans="2:13">
      <c r="B8740" s="1331"/>
      <c r="C8740" s="1831" t="s">
        <v>3060</v>
      </c>
      <c r="D8740" s="1331"/>
      <c r="E8740" s="1331" t="s">
        <v>1423</v>
      </c>
      <c r="F8740" s="1813">
        <v>32</v>
      </c>
      <c r="G8740" s="1104">
        <f>DUB!I296</f>
        <v>6795</v>
      </c>
      <c r="H8740" s="1106">
        <f t="shared" si="209"/>
        <v>217440</v>
      </c>
      <c r="J8740" s="1634" t="s">
        <v>4925</v>
      </c>
      <c r="K8740" s="1611">
        <v>0.63739999999999997</v>
      </c>
      <c r="L8740" s="1607" t="s">
        <v>5343</v>
      </c>
      <c r="M8740" s="1827">
        <f t="shared" si="210"/>
        <v>138596.25599999999</v>
      </c>
    </row>
    <row r="8741" spans="2:13" ht="27.6">
      <c r="B8741" s="1331"/>
      <c r="C8741" s="1831" t="s">
        <v>3061</v>
      </c>
      <c r="D8741" s="1331"/>
      <c r="E8741" s="1331" t="s">
        <v>1423</v>
      </c>
      <c r="F8741" s="1813">
        <v>17</v>
      </c>
      <c r="G8741" s="1104">
        <f>DUB!I297</f>
        <v>7704</v>
      </c>
      <c r="H8741" s="1106">
        <f t="shared" si="209"/>
        <v>130968</v>
      </c>
      <c r="J8741" s="1634" t="s">
        <v>4925</v>
      </c>
      <c r="K8741" s="1611">
        <v>0.63739999999999997</v>
      </c>
      <c r="L8741" s="1607" t="s">
        <v>5343</v>
      </c>
      <c r="M8741" s="1827">
        <f t="shared" si="210"/>
        <v>83479.003199999992</v>
      </c>
    </row>
    <row r="8742" spans="2:13">
      <c r="B8742" s="1331"/>
      <c r="C8742" s="1831" t="s">
        <v>3062</v>
      </c>
      <c r="D8742" s="1331"/>
      <c r="E8742" s="1331" t="s">
        <v>1423</v>
      </c>
      <c r="F8742" s="1813">
        <v>32</v>
      </c>
      <c r="G8742" s="1104">
        <f>DUB!I298</f>
        <v>2673</v>
      </c>
      <c r="H8742" s="1106">
        <f t="shared" si="209"/>
        <v>85536</v>
      </c>
      <c r="J8742" s="1634" t="s">
        <v>4925</v>
      </c>
      <c r="K8742" s="1611">
        <v>0.63739999999999997</v>
      </c>
      <c r="L8742" s="1607" t="s">
        <v>5343</v>
      </c>
      <c r="M8742" s="1827">
        <f t="shared" si="210"/>
        <v>54520.646399999998</v>
      </c>
    </row>
    <row r="8743" spans="2:13">
      <c r="B8743" s="1331"/>
      <c r="C8743" s="1831" t="s">
        <v>3063</v>
      </c>
      <c r="D8743" s="1331"/>
      <c r="E8743" s="1331" t="s">
        <v>1423</v>
      </c>
      <c r="F8743" s="1813">
        <v>41</v>
      </c>
      <c r="G8743" s="1104">
        <f>DUB!I299</f>
        <v>3105</v>
      </c>
      <c r="H8743" s="1106">
        <f t="shared" si="209"/>
        <v>127305</v>
      </c>
      <c r="J8743" s="1634" t="s">
        <v>4925</v>
      </c>
      <c r="K8743" s="1611">
        <v>0.3165</v>
      </c>
      <c r="L8743" s="1607" t="s">
        <v>5343</v>
      </c>
      <c r="M8743" s="1827">
        <f t="shared" si="210"/>
        <v>40292.032500000001</v>
      </c>
    </row>
    <row r="8744" spans="2:13">
      <c r="B8744" s="1331"/>
      <c r="C8744" s="1831" t="s">
        <v>3064</v>
      </c>
      <c r="D8744" s="1331"/>
      <c r="E8744" s="1331" t="s">
        <v>1423</v>
      </c>
      <c r="F8744" s="1813">
        <v>41</v>
      </c>
      <c r="G8744" s="1104">
        <f>DUB!I300</f>
        <v>180</v>
      </c>
      <c r="H8744" s="1106">
        <f t="shared" si="209"/>
        <v>7380</v>
      </c>
      <c r="J8744" s="1634" t="s">
        <v>4925</v>
      </c>
      <c r="K8744" s="1611">
        <v>0.3165</v>
      </c>
      <c r="L8744" s="1607" t="s">
        <v>5343</v>
      </c>
      <c r="M8744" s="1827">
        <f t="shared" si="210"/>
        <v>2335.77</v>
      </c>
    </row>
    <row r="8745" spans="2:13">
      <c r="B8745" s="1331"/>
      <c r="C8745" s="1125"/>
      <c r="D8745" s="1333"/>
      <c r="E8745" s="1333"/>
      <c r="F8745" s="2074" t="s">
        <v>702</v>
      </c>
      <c r="G8745" s="2074"/>
      <c r="H8745" s="1106">
        <f>SUM(H8737:H8744)</f>
        <v>2102652</v>
      </c>
      <c r="J8745" s="1596"/>
      <c r="K8745" s="1597"/>
      <c r="L8745" s="1597"/>
      <c r="M8745" s="1106">
        <f>SUM(M8737:M8744)</f>
        <v>1297009.9682999998</v>
      </c>
    </row>
    <row r="8746" spans="2:13">
      <c r="B8746" s="1330" t="s">
        <v>703</v>
      </c>
      <c r="C8746" s="2075" t="s">
        <v>3764</v>
      </c>
      <c r="D8746" s="2075"/>
      <c r="E8746" s="2075"/>
      <c r="F8746" s="2075"/>
      <c r="G8746" s="2075"/>
      <c r="H8746" s="1107">
        <f>H8735+H8745</f>
        <v>5350652</v>
      </c>
      <c r="J8746" s="1596"/>
      <c r="K8746" s="1633">
        <f>M8746/H8746</f>
        <v>0.24240222842001308</v>
      </c>
      <c r="L8746" s="1597"/>
      <c r="M8746" s="1107">
        <f>M8735+M8745</f>
        <v>1297009.9682999998</v>
      </c>
    </row>
    <row r="8747" spans="2:13">
      <c r="B8747" s="1330" t="s">
        <v>706</v>
      </c>
      <c r="C8747" s="2076" t="s">
        <v>876</v>
      </c>
      <c r="D8747" s="2076"/>
      <c r="E8747" s="2076"/>
      <c r="F8747" s="2077" t="s">
        <v>3873</v>
      </c>
      <c r="G8747" s="2077"/>
      <c r="H8747" s="1107">
        <f>H8746*0.15</f>
        <v>802597.79999999993</v>
      </c>
      <c r="J8747" s="1596"/>
      <c r="K8747" s="1597"/>
      <c r="L8747" s="1597"/>
      <c r="M8747" s="1107">
        <f>M8746*0.15</f>
        <v>194551.49524499997</v>
      </c>
    </row>
    <row r="8748" spans="2:13">
      <c r="B8748" s="1330" t="s">
        <v>708</v>
      </c>
      <c r="C8748" s="2075" t="s">
        <v>3765</v>
      </c>
      <c r="D8748" s="2075"/>
      <c r="E8748" s="2075"/>
      <c r="F8748" s="2075"/>
      <c r="G8748" s="2075"/>
      <c r="H8748" s="1107">
        <f>ROUND(SUM(H8746:H8747),2)</f>
        <v>6153249.7999999998</v>
      </c>
      <c r="J8748" s="1596"/>
      <c r="K8748" s="1597"/>
      <c r="L8748" s="1597"/>
      <c r="M8748" s="1107">
        <f>ROUND(SUM(M8746:M8747),2)</f>
        <v>1491561.46</v>
      </c>
    </row>
    <row r="8749" spans="2:13" s="980" customFormat="1">
      <c r="B8749" s="1534" t="s">
        <v>711</v>
      </c>
      <c r="C8749" s="1260" t="s">
        <v>4298</v>
      </c>
      <c r="D8749" s="1261"/>
      <c r="E8749" s="1261"/>
      <c r="F8749" s="1262"/>
      <c r="G8749" s="1263"/>
      <c r="H8749" s="1138">
        <f>ROUND((H8748/56),2)</f>
        <v>109879.46</v>
      </c>
      <c r="I8749" s="1832"/>
      <c r="J8749" s="1833"/>
      <c r="K8749" s="1637"/>
      <c r="L8749" s="1637"/>
      <c r="M8749" s="1138">
        <f>ROUND((M8748/56),2)</f>
        <v>26635.03</v>
      </c>
    </row>
    <row r="8750" spans="2:13" s="979" customFormat="1">
      <c r="B8750" s="1095"/>
      <c r="C8750" s="1096"/>
      <c r="D8750" s="1095"/>
      <c r="E8750" s="1095"/>
      <c r="F8750" s="1172"/>
      <c r="G8750" s="1173"/>
      <c r="H8750" s="1133"/>
      <c r="J8750" s="1557"/>
      <c r="K8750" s="1557"/>
      <c r="L8750" s="1557"/>
      <c r="M8750" s="1566"/>
    </row>
    <row r="8751" spans="2:13" s="980" customFormat="1" hidden="1">
      <c r="B8751" s="1100" t="s">
        <v>4299</v>
      </c>
      <c r="C8751" s="1264" t="s">
        <v>4495</v>
      </c>
      <c r="D8751" s="1100"/>
      <c r="E8751" s="1100"/>
      <c r="F8751" s="1174"/>
      <c r="G8751" s="1175"/>
      <c r="H8751" s="1134"/>
      <c r="J8751" s="1559"/>
      <c r="K8751" s="1559"/>
      <c r="L8751" s="1559"/>
      <c r="M8751" s="1635"/>
    </row>
    <row r="8752" spans="2:13" s="1042" customFormat="1" ht="24.9" hidden="1" customHeight="1">
      <c r="B8752" s="1748" t="s">
        <v>1003</v>
      </c>
      <c r="C8752" s="1101" t="s">
        <v>1004</v>
      </c>
      <c r="D8752" s="1101" t="s">
        <v>1005</v>
      </c>
      <c r="E8752" s="1101" t="s">
        <v>1006</v>
      </c>
      <c r="F8752" s="1102" t="s">
        <v>1007</v>
      </c>
      <c r="G8752" s="1109" t="s">
        <v>2637</v>
      </c>
      <c r="H8752" s="1110" t="s">
        <v>2638</v>
      </c>
      <c r="J8752" s="1687"/>
      <c r="K8752" s="1687"/>
      <c r="L8752" s="1687"/>
      <c r="M8752" s="1787"/>
    </row>
    <row r="8753" spans="2:13" s="979" customFormat="1" hidden="1">
      <c r="B8753" s="1543" t="s">
        <v>671</v>
      </c>
      <c r="C8753" s="1329" t="s">
        <v>672</v>
      </c>
      <c r="D8753" s="1331"/>
      <c r="E8753" s="1331"/>
      <c r="F8753" s="1334"/>
      <c r="G8753" s="1104"/>
      <c r="H8753" s="1106"/>
      <c r="J8753" s="1557"/>
      <c r="K8753" s="1557"/>
      <c r="L8753" s="1557"/>
      <c r="M8753" s="1566"/>
    </row>
    <row r="8754" spans="2:13" s="979" customFormat="1" hidden="1">
      <c r="B8754" s="1540"/>
      <c r="C8754" s="1332" t="s">
        <v>673</v>
      </c>
      <c r="D8754" s="1331" t="s">
        <v>674</v>
      </c>
      <c r="E8754" s="1331" t="s">
        <v>675</v>
      </c>
      <c r="F8754" s="1334">
        <v>0.25</v>
      </c>
      <c r="G8754" s="1104">
        <f>$G$2491</f>
        <v>150000</v>
      </c>
      <c r="H8754" s="1106">
        <f>G8754*F8754</f>
        <v>37500</v>
      </c>
      <c r="J8754" s="1557"/>
      <c r="K8754" s="1557"/>
      <c r="L8754" s="1557"/>
      <c r="M8754" s="1566"/>
    </row>
    <row r="8755" spans="2:13" s="979" customFormat="1" hidden="1">
      <c r="B8755" s="1540"/>
      <c r="C8755" s="1332" t="s">
        <v>4300</v>
      </c>
      <c r="D8755" s="1331" t="s">
        <v>678</v>
      </c>
      <c r="E8755" s="1331" t="s">
        <v>675</v>
      </c>
      <c r="F8755" s="1334">
        <v>0.25</v>
      </c>
      <c r="G8755" s="1104">
        <f>$G$2492</f>
        <v>187000</v>
      </c>
      <c r="H8755" s="1106">
        <f t="shared" ref="H8755:H8757" si="211">G8755*F8755</f>
        <v>46750</v>
      </c>
      <c r="J8755" s="1557"/>
      <c r="K8755" s="1557"/>
      <c r="L8755" s="1557"/>
      <c r="M8755" s="1566"/>
    </row>
    <row r="8756" spans="2:13" s="979" customFormat="1" hidden="1">
      <c r="B8756" s="1540"/>
      <c r="C8756" s="1332" t="s">
        <v>680</v>
      </c>
      <c r="D8756" s="1331" t="s">
        <v>681</v>
      </c>
      <c r="E8756" s="1331" t="s">
        <v>675</v>
      </c>
      <c r="F8756" s="1334">
        <v>2.5000000000000001E-2</v>
      </c>
      <c r="G8756" s="1104">
        <f>$G$2493</f>
        <v>240000</v>
      </c>
      <c r="H8756" s="1106">
        <f t="shared" si="211"/>
        <v>6000</v>
      </c>
      <c r="J8756" s="1557"/>
      <c r="K8756" s="1557"/>
      <c r="L8756" s="1557"/>
      <c r="M8756" s="1566"/>
    </row>
    <row r="8757" spans="2:13" s="979" customFormat="1" hidden="1">
      <c r="B8757" s="1540"/>
      <c r="C8757" s="1332" t="s">
        <v>683</v>
      </c>
      <c r="D8757" s="1331" t="s">
        <v>684</v>
      </c>
      <c r="E8757" s="1331" t="s">
        <v>675</v>
      </c>
      <c r="F8757" s="1334">
        <v>2.5000000000000001E-3</v>
      </c>
      <c r="G8757" s="1104">
        <f>$G$2494</f>
        <v>225000</v>
      </c>
      <c r="H8757" s="1106">
        <f t="shared" si="211"/>
        <v>562.5</v>
      </c>
      <c r="J8757" s="1557"/>
      <c r="K8757" s="1557"/>
      <c r="L8757" s="1557"/>
      <c r="M8757" s="1566"/>
    </row>
    <row r="8758" spans="2:13" s="979" customFormat="1" hidden="1">
      <c r="B8758" s="1540"/>
      <c r="C8758" s="1332"/>
      <c r="D8758" s="1331"/>
      <c r="E8758" s="1331"/>
      <c r="F8758" s="2110" t="s">
        <v>685</v>
      </c>
      <c r="G8758" s="2110"/>
      <c r="H8758" s="1106">
        <f>SUM(H8754:H8757)</f>
        <v>90812.5</v>
      </c>
      <c r="J8758" s="1557"/>
      <c r="K8758" s="1557"/>
      <c r="L8758" s="1557"/>
      <c r="M8758" s="1566"/>
    </row>
    <row r="8759" spans="2:13" s="979" customFormat="1" hidden="1">
      <c r="B8759" s="1543" t="s">
        <v>686</v>
      </c>
      <c r="C8759" s="1329" t="s">
        <v>687</v>
      </c>
      <c r="D8759" s="1331"/>
      <c r="E8759" s="1331"/>
      <c r="F8759" s="1334"/>
      <c r="G8759" s="1104"/>
      <c r="H8759" s="1106"/>
      <c r="J8759" s="1557"/>
      <c r="K8759" s="1557"/>
      <c r="L8759" s="1557"/>
      <c r="M8759" s="1566"/>
    </row>
    <row r="8760" spans="2:13" s="979" customFormat="1" hidden="1">
      <c r="B8760" s="1540"/>
      <c r="C8760" s="1812" t="s">
        <v>4496</v>
      </c>
      <c r="D8760" s="1331"/>
      <c r="E8760" s="1331" t="s">
        <v>1452</v>
      </c>
      <c r="F8760" s="1813">
        <v>9</v>
      </c>
      <c r="G8760" s="1104">
        <f>DUB!$I$405</f>
        <v>15309</v>
      </c>
      <c r="H8760" s="1106">
        <f>G8760*F8760</f>
        <v>137781</v>
      </c>
      <c r="J8760" s="1557"/>
      <c r="K8760" s="1557"/>
      <c r="L8760" s="1557"/>
      <c r="M8760" s="1566"/>
    </row>
    <row r="8761" spans="2:13" s="979" customFormat="1" hidden="1">
      <c r="B8761" s="1540"/>
      <c r="C8761" s="1812" t="s">
        <v>3128</v>
      </c>
      <c r="D8761" s="1331"/>
      <c r="E8761" s="1331" t="s">
        <v>3129</v>
      </c>
      <c r="F8761" s="1813">
        <v>3</v>
      </c>
      <c r="G8761" s="1104">
        <f>DUB!$I$412</f>
        <v>10008</v>
      </c>
      <c r="H8761" s="1106">
        <f t="shared" ref="H8761:H8762" si="212">G8761*F8761</f>
        <v>30024</v>
      </c>
      <c r="J8761" s="1557"/>
      <c r="K8761" s="1557"/>
      <c r="L8761" s="1557"/>
      <c r="M8761" s="1566"/>
    </row>
    <row r="8762" spans="2:13" s="979" customFormat="1" hidden="1">
      <c r="B8762" s="1540"/>
      <c r="C8762" s="1812" t="s">
        <v>3509</v>
      </c>
      <c r="D8762" s="1331"/>
      <c r="E8762" s="1331" t="s">
        <v>1011</v>
      </c>
      <c r="F8762" s="1813">
        <v>1</v>
      </c>
      <c r="G8762" s="1104">
        <v>1000</v>
      </c>
      <c r="H8762" s="1106">
        <f t="shared" si="212"/>
        <v>1000</v>
      </c>
      <c r="J8762" s="1557"/>
      <c r="K8762" s="1557"/>
      <c r="L8762" s="1557"/>
      <c r="M8762" s="1566"/>
    </row>
    <row r="8763" spans="2:13" s="979" customFormat="1" hidden="1">
      <c r="B8763" s="1540"/>
      <c r="C8763" s="1125"/>
      <c r="D8763" s="1333"/>
      <c r="E8763" s="1333"/>
      <c r="F8763" s="2074" t="s">
        <v>702</v>
      </c>
      <c r="G8763" s="2074"/>
      <c r="H8763" s="1106">
        <f>SUM(H8760:H8762)</f>
        <v>168805</v>
      </c>
      <c r="J8763" s="1557"/>
      <c r="K8763" s="1557"/>
      <c r="L8763" s="1557"/>
      <c r="M8763" s="1566"/>
    </row>
    <row r="8764" spans="2:13" s="979" customFormat="1" hidden="1">
      <c r="B8764" s="1543" t="s">
        <v>703</v>
      </c>
      <c r="C8764" s="2075" t="s">
        <v>3764</v>
      </c>
      <c r="D8764" s="2075"/>
      <c r="E8764" s="2075"/>
      <c r="F8764" s="2075"/>
      <c r="G8764" s="2075"/>
      <c r="H8764" s="1107">
        <f>H8758+H8763</f>
        <v>259617.5</v>
      </c>
      <c r="J8764" s="1557"/>
      <c r="K8764" s="1557"/>
      <c r="L8764" s="1557"/>
      <c r="M8764" s="1566"/>
    </row>
    <row r="8765" spans="2:13" s="979" customFormat="1" hidden="1">
      <c r="B8765" s="1543" t="s">
        <v>706</v>
      </c>
      <c r="C8765" s="2076" t="s">
        <v>876</v>
      </c>
      <c r="D8765" s="2076"/>
      <c r="E8765" s="2076"/>
      <c r="F8765" s="2077" t="s">
        <v>3873</v>
      </c>
      <c r="G8765" s="2077"/>
      <c r="H8765" s="1107">
        <f>H8764*0.15</f>
        <v>38942.625</v>
      </c>
      <c r="J8765" s="1557"/>
      <c r="K8765" s="1557"/>
      <c r="L8765" s="1557"/>
      <c r="M8765" s="1566"/>
    </row>
    <row r="8766" spans="2:13" s="979" customFormat="1" hidden="1">
      <c r="B8766" s="1543" t="s">
        <v>708</v>
      </c>
      <c r="C8766" s="2075" t="s">
        <v>3765</v>
      </c>
      <c r="D8766" s="2075"/>
      <c r="E8766" s="2075"/>
      <c r="F8766" s="2075"/>
      <c r="G8766" s="2075"/>
      <c r="H8766" s="1107">
        <f>ROUND(SUM(H8764:H8765),2)</f>
        <v>298560.13</v>
      </c>
      <c r="J8766" s="1557"/>
      <c r="K8766" s="1557"/>
      <c r="L8766" s="1557"/>
      <c r="M8766" s="1566"/>
    </row>
    <row r="8767" spans="2:13" s="979" customFormat="1" hidden="1">
      <c r="B8767" s="1095"/>
      <c r="C8767" s="1096"/>
      <c r="D8767" s="1095"/>
      <c r="E8767" s="1095"/>
      <c r="F8767" s="1172"/>
      <c r="G8767" s="1173"/>
      <c r="H8767" s="1133"/>
      <c r="J8767" s="1557"/>
      <c r="K8767" s="1557"/>
      <c r="L8767" s="1557"/>
      <c r="M8767" s="1566"/>
    </row>
    <row r="8768" spans="2:13" s="979" customFormat="1" hidden="1">
      <c r="B8768" s="1100" t="s">
        <v>4302</v>
      </c>
      <c r="C8768" s="1264" t="s">
        <v>4507</v>
      </c>
      <c r="D8768" s="1100"/>
      <c r="E8768" s="1100"/>
      <c r="F8768" s="1174"/>
      <c r="G8768" s="1175"/>
      <c r="H8768" s="1134"/>
      <c r="J8768" s="1557"/>
      <c r="K8768" s="1557"/>
      <c r="L8768" s="1557"/>
      <c r="M8768" s="1566"/>
    </row>
    <row r="8769" spans="2:13" s="979" customFormat="1" ht="24.9" hidden="1" customHeight="1">
      <c r="B8769" s="1748" t="s">
        <v>1003</v>
      </c>
      <c r="C8769" s="1101" t="s">
        <v>1004</v>
      </c>
      <c r="D8769" s="1101" t="s">
        <v>1005</v>
      </c>
      <c r="E8769" s="1101" t="s">
        <v>1006</v>
      </c>
      <c r="F8769" s="1102" t="s">
        <v>1007</v>
      </c>
      <c r="G8769" s="1109" t="s">
        <v>2637</v>
      </c>
      <c r="H8769" s="1110" t="s">
        <v>2638</v>
      </c>
      <c r="J8769" s="1557"/>
      <c r="K8769" s="1557"/>
      <c r="L8769" s="1557"/>
      <c r="M8769" s="1566"/>
    </row>
    <row r="8770" spans="2:13" s="979" customFormat="1" hidden="1">
      <c r="B8770" s="1543" t="s">
        <v>671</v>
      </c>
      <c r="C8770" s="1329" t="s">
        <v>672</v>
      </c>
      <c r="D8770" s="1331"/>
      <c r="E8770" s="1331"/>
      <c r="F8770" s="1334"/>
      <c r="G8770" s="1104"/>
      <c r="H8770" s="1106"/>
      <c r="J8770" s="1557"/>
      <c r="K8770" s="1557"/>
      <c r="L8770" s="1557"/>
      <c r="M8770" s="1566"/>
    </row>
    <row r="8771" spans="2:13" s="979" customFormat="1" hidden="1">
      <c r="B8771" s="1540"/>
      <c r="C8771" s="1332" t="s">
        <v>673</v>
      </c>
      <c r="D8771" s="1331" t="s">
        <v>674</v>
      </c>
      <c r="E8771" s="1331" t="s">
        <v>675</v>
      </c>
      <c r="F8771" s="1334">
        <v>0.25</v>
      </c>
      <c r="G8771" s="1104">
        <f>$G$2491</f>
        <v>150000</v>
      </c>
      <c r="H8771" s="1106">
        <f>G8771*F8771</f>
        <v>37500</v>
      </c>
      <c r="J8771" s="1557"/>
      <c r="K8771" s="1557"/>
      <c r="L8771" s="1557"/>
      <c r="M8771" s="1566"/>
    </row>
    <row r="8772" spans="2:13" s="979" customFormat="1" hidden="1">
      <c r="B8772" s="1540"/>
      <c r="C8772" s="1332" t="s">
        <v>4300</v>
      </c>
      <c r="D8772" s="1331" t="s">
        <v>678</v>
      </c>
      <c r="E8772" s="1331" t="s">
        <v>675</v>
      </c>
      <c r="F8772" s="1334">
        <v>0.25</v>
      </c>
      <c r="G8772" s="1104">
        <f>$G$2492</f>
        <v>187000</v>
      </c>
      <c r="H8772" s="1106">
        <f t="shared" ref="H8772:H8774" si="213">G8772*F8772</f>
        <v>46750</v>
      </c>
      <c r="J8772" s="1557"/>
      <c r="K8772" s="1557"/>
      <c r="L8772" s="1557"/>
      <c r="M8772" s="1566"/>
    </row>
    <row r="8773" spans="2:13" s="979" customFormat="1" hidden="1">
      <c r="B8773" s="1540"/>
      <c r="C8773" s="1332" t="s">
        <v>680</v>
      </c>
      <c r="D8773" s="1331" t="s">
        <v>681</v>
      </c>
      <c r="E8773" s="1331" t="s">
        <v>675</v>
      </c>
      <c r="F8773" s="1334">
        <v>2.5000000000000001E-2</v>
      </c>
      <c r="G8773" s="1104">
        <f>$G$2493</f>
        <v>240000</v>
      </c>
      <c r="H8773" s="1106">
        <f t="shared" si="213"/>
        <v>6000</v>
      </c>
      <c r="J8773" s="1557"/>
      <c r="K8773" s="1557"/>
      <c r="L8773" s="1557"/>
      <c r="M8773" s="1566"/>
    </row>
    <row r="8774" spans="2:13" s="979" customFormat="1" hidden="1">
      <c r="B8774" s="1540"/>
      <c r="C8774" s="1332" t="s">
        <v>683</v>
      </c>
      <c r="D8774" s="1331" t="s">
        <v>684</v>
      </c>
      <c r="E8774" s="1331" t="s">
        <v>675</v>
      </c>
      <c r="F8774" s="1334">
        <v>2.5000000000000001E-3</v>
      </c>
      <c r="G8774" s="1104">
        <f>$G$2494</f>
        <v>225000</v>
      </c>
      <c r="H8774" s="1106">
        <f t="shared" si="213"/>
        <v>562.5</v>
      </c>
      <c r="J8774" s="1557"/>
      <c r="K8774" s="1557"/>
      <c r="L8774" s="1557"/>
      <c r="M8774" s="1566"/>
    </row>
    <row r="8775" spans="2:13" s="979" customFormat="1" hidden="1">
      <c r="B8775" s="1540"/>
      <c r="C8775" s="1332"/>
      <c r="D8775" s="1331"/>
      <c r="E8775" s="1331"/>
      <c r="F8775" s="2110" t="s">
        <v>685</v>
      </c>
      <c r="G8775" s="2110"/>
      <c r="H8775" s="1106">
        <f>SUM(H8771:H8774)</f>
        <v>90812.5</v>
      </c>
      <c r="J8775" s="1557"/>
      <c r="K8775" s="1557"/>
      <c r="L8775" s="1557"/>
      <c r="M8775" s="1566"/>
    </row>
    <row r="8776" spans="2:13" s="979" customFormat="1" hidden="1">
      <c r="B8776" s="1543" t="s">
        <v>686</v>
      </c>
      <c r="C8776" s="1329" t="s">
        <v>687</v>
      </c>
      <c r="D8776" s="1331"/>
      <c r="E8776" s="1331"/>
      <c r="F8776" s="1334"/>
      <c r="G8776" s="1104"/>
      <c r="H8776" s="1106"/>
      <c r="J8776" s="1557"/>
      <c r="K8776" s="1557"/>
      <c r="L8776" s="1557"/>
      <c r="M8776" s="1566"/>
    </row>
    <row r="8777" spans="2:13" s="979" customFormat="1" hidden="1">
      <c r="B8777" s="1540"/>
      <c r="C8777" s="1812" t="s">
        <v>4508</v>
      </c>
      <c r="D8777" s="1331"/>
      <c r="E8777" s="1331" t="s">
        <v>1452</v>
      </c>
      <c r="F8777" s="1813">
        <v>9</v>
      </c>
      <c r="G8777" s="1104">
        <f>DUB!$I$404</f>
        <v>8991</v>
      </c>
      <c r="H8777" s="1106">
        <f>G8777*F8777</f>
        <v>80919</v>
      </c>
      <c r="J8777" s="1557"/>
      <c r="K8777" s="1557"/>
      <c r="L8777" s="1557"/>
      <c r="M8777" s="1566"/>
    </row>
    <row r="8778" spans="2:13" s="979" customFormat="1" hidden="1">
      <c r="B8778" s="1540"/>
      <c r="C8778" s="1812" t="s">
        <v>3128</v>
      </c>
      <c r="D8778" s="1331"/>
      <c r="E8778" s="1331" t="s">
        <v>3129</v>
      </c>
      <c r="F8778" s="1813">
        <v>3</v>
      </c>
      <c r="G8778" s="1104">
        <f>DUB!$I$412</f>
        <v>10008</v>
      </c>
      <c r="H8778" s="1106">
        <f t="shared" ref="H8778:H8779" si="214">G8778*F8778</f>
        <v>30024</v>
      </c>
      <c r="J8778" s="1557"/>
      <c r="K8778" s="1557"/>
      <c r="L8778" s="1557"/>
      <c r="M8778" s="1566"/>
    </row>
    <row r="8779" spans="2:13" s="979" customFormat="1" hidden="1">
      <c r="B8779" s="1540"/>
      <c r="C8779" s="1812" t="s">
        <v>3509</v>
      </c>
      <c r="D8779" s="1331"/>
      <c r="E8779" s="1331" t="s">
        <v>1011</v>
      </c>
      <c r="F8779" s="1813">
        <v>1</v>
      </c>
      <c r="G8779" s="1104">
        <v>1000</v>
      </c>
      <c r="H8779" s="1106">
        <f t="shared" si="214"/>
        <v>1000</v>
      </c>
      <c r="J8779" s="1557"/>
      <c r="K8779" s="1557"/>
      <c r="L8779" s="1557"/>
      <c r="M8779" s="1566"/>
    </row>
    <row r="8780" spans="2:13" s="979" customFormat="1" hidden="1">
      <c r="B8780" s="1540"/>
      <c r="C8780" s="1125"/>
      <c r="D8780" s="1333"/>
      <c r="E8780" s="1333"/>
      <c r="F8780" s="2074" t="s">
        <v>702</v>
      </c>
      <c r="G8780" s="2074"/>
      <c r="H8780" s="1106">
        <f>SUM(H8777:H8779)</f>
        <v>111943</v>
      </c>
      <c r="J8780" s="1557"/>
      <c r="K8780" s="1557"/>
      <c r="L8780" s="1557"/>
      <c r="M8780" s="1566"/>
    </row>
    <row r="8781" spans="2:13" s="979" customFormat="1" hidden="1">
      <c r="B8781" s="1543" t="s">
        <v>703</v>
      </c>
      <c r="C8781" s="2075" t="s">
        <v>3764</v>
      </c>
      <c r="D8781" s="2075"/>
      <c r="E8781" s="2075"/>
      <c r="F8781" s="2075"/>
      <c r="G8781" s="2075"/>
      <c r="H8781" s="1107">
        <f>H8775+H8780</f>
        <v>202755.5</v>
      </c>
      <c r="J8781" s="1557"/>
      <c r="K8781" s="1557"/>
      <c r="L8781" s="1557"/>
      <c r="M8781" s="1566"/>
    </row>
    <row r="8782" spans="2:13" s="979" customFormat="1" hidden="1">
      <c r="B8782" s="1543" t="s">
        <v>706</v>
      </c>
      <c r="C8782" s="2076" t="s">
        <v>876</v>
      </c>
      <c r="D8782" s="2076"/>
      <c r="E8782" s="2076"/>
      <c r="F8782" s="2077" t="s">
        <v>3873</v>
      </c>
      <c r="G8782" s="2077"/>
      <c r="H8782" s="1107">
        <f>H8781*0.15</f>
        <v>30413.324999999997</v>
      </c>
      <c r="J8782" s="1557"/>
      <c r="K8782" s="1557"/>
      <c r="L8782" s="1557"/>
      <c r="M8782" s="1566"/>
    </row>
    <row r="8783" spans="2:13" s="979" customFormat="1" hidden="1">
      <c r="B8783" s="1543" t="s">
        <v>708</v>
      </c>
      <c r="C8783" s="2075" t="s">
        <v>3765</v>
      </c>
      <c r="D8783" s="2075"/>
      <c r="E8783" s="2075"/>
      <c r="F8783" s="2075"/>
      <c r="G8783" s="2075"/>
      <c r="H8783" s="1107">
        <f>ROUND(SUM(H8781:H8782),2)</f>
        <v>233168.83</v>
      </c>
      <c r="J8783" s="1557"/>
      <c r="K8783" s="1557"/>
      <c r="L8783" s="1557"/>
      <c r="M8783" s="1566"/>
    </row>
    <row r="8784" spans="2:13" s="979" customFormat="1" hidden="1">
      <c r="B8784" s="1095"/>
      <c r="C8784" s="1096"/>
      <c r="D8784" s="1095"/>
      <c r="E8784" s="1095"/>
      <c r="F8784" s="1172"/>
      <c r="G8784" s="1173"/>
      <c r="H8784" s="1133"/>
      <c r="J8784" s="1557"/>
      <c r="K8784" s="1557"/>
      <c r="L8784" s="1557"/>
      <c r="M8784" s="1566"/>
    </row>
    <row r="8785" spans="2:13" s="979" customFormat="1" hidden="1">
      <c r="B8785" s="1100" t="s">
        <v>4303</v>
      </c>
      <c r="C8785" s="1264" t="s">
        <v>4498</v>
      </c>
      <c r="D8785" s="1100"/>
      <c r="E8785" s="1100"/>
      <c r="F8785" s="1174"/>
      <c r="G8785" s="1175"/>
      <c r="H8785" s="1134"/>
      <c r="J8785" s="1557"/>
      <c r="K8785" s="1557"/>
      <c r="L8785" s="1557"/>
      <c r="M8785" s="1566"/>
    </row>
    <row r="8786" spans="2:13" s="978" customFormat="1" ht="24.9" hidden="1" customHeight="1">
      <c r="B8786" s="1748" t="s">
        <v>1003</v>
      </c>
      <c r="C8786" s="1101" t="s">
        <v>1004</v>
      </c>
      <c r="D8786" s="1101" t="s">
        <v>1005</v>
      </c>
      <c r="E8786" s="1101" t="s">
        <v>1006</v>
      </c>
      <c r="F8786" s="1102" t="s">
        <v>1007</v>
      </c>
      <c r="G8786" s="1109" t="s">
        <v>2637</v>
      </c>
      <c r="H8786" s="1110" t="s">
        <v>2638</v>
      </c>
      <c r="J8786" s="1621"/>
      <c r="K8786" s="1621"/>
      <c r="L8786" s="1621"/>
      <c r="M8786" s="1814"/>
    </row>
    <row r="8787" spans="2:13" s="979" customFormat="1" hidden="1">
      <c r="B8787" s="1543" t="s">
        <v>671</v>
      </c>
      <c r="C8787" s="1329" t="s">
        <v>672</v>
      </c>
      <c r="D8787" s="1331"/>
      <c r="E8787" s="1331"/>
      <c r="F8787" s="1334"/>
      <c r="G8787" s="1104"/>
      <c r="H8787" s="1106"/>
      <c r="J8787" s="1557"/>
      <c r="K8787" s="1557"/>
      <c r="L8787" s="1557"/>
      <c r="M8787" s="1566"/>
    </row>
    <row r="8788" spans="2:13" s="979" customFormat="1" hidden="1">
      <c r="B8788" s="1540"/>
      <c r="C8788" s="1332" t="s">
        <v>673</v>
      </c>
      <c r="D8788" s="1331" t="s">
        <v>674</v>
      </c>
      <c r="E8788" s="1331" t="s">
        <v>675</v>
      </c>
      <c r="F8788" s="1334">
        <v>0.25</v>
      </c>
      <c r="G8788" s="1104">
        <f>$G$2491</f>
        <v>150000</v>
      </c>
      <c r="H8788" s="1106">
        <f>G8788*F8788</f>
        <v>37500</v>
      </c>
      <c r="J8788" s="1557"/>
      <c r="K8788" s="1557"/>
      <c r="L8788" s="1557"/>
      <c r="M8788" s="1566"/>
    </row>
    <row r="8789" spans="2:13" s="979" customFormat="1" hidden="1">
      <c r="B8789" s="1540"/>
      <c r="C8789" s="1332" t="s">
        <v>4300</v>
      </c>
      <c r="D8789" s="1331" t="s">
        <v>678</v>
      </c>
      <c r="E8789" s="1331" t="s">
        <v>675</v>
      </c>
      <c r="F8789" s="1334">
        <v>0.25</v>
      </c>
      <c r="G8789" s="1104">
        <f>$G$2492</f>
        <v>187000</v>
      </c>
      <c r="H8789" s="1106">
        <f t="shared" ref="H8789:H8791" si="215">G8789*F8789</f>
        <v>46750</v>
      </c>
      <c r="J8789" s="1557"/>
      <c r="K8789" s="1557"/>
      <c r="L8789" s="1557"/>
      <c r="M8789" s="1566"/>
    </row>
    <row r="8790" spans="2:13" s="979" customFormat="1" hidden="1">
      <c r="B8790" s="1540"/>
      <c r="C8790" s="1332" t="s">
        <v>680</v>
      </c>
      <c r="D8790" s="1331" t="s">
        <v>681</v>
      </c>
      <c r="E8790" s="1331" t="s">
        <v>675</v>
      </c>
      <c r="F8790" s="1334">
        <v>2.5000000000000001E-2</v>
      </c>
      <c r="G8790" s="1104">
        <f>$G$2493</f>
        <v>240000</v>
      </c>
      <c r="H8790" s="1106">
        <f t="shared" si="215"/>
        <v>6000</v>
      </c>
      <c r="J8790" s="1557"/>
      <c r="K8790" s="1557"/>
      <c r="L8790" s="1557"/>
      <c r="M8790" s="1566"/>
    </row>
    <row r="8791" spans="2:13" s="979" customFormat="1" hidden="1">
      <c r="B8791" s="1540"/>
      <c r="C8791" s="1332" t="s">
        <v>683</v>
      </c>
      <c r="D8791" s="1331" t="s">
        <v>684</v>
      </c>
      <c r="E8791" s="1331" t="s">
        <v>675</v>
      </c>
      <c r="F8791" s="1334">
        <v>2.5000000000000001E-3</v>
      </c>
      <c r="G8791" s="1104">
        <f>$G$2494</f>
        <v>225000</v>
      </c>
      <c r="H8791" s="1106">
        <f t="shared" si="215"/>
        <v>562.5</v>
      </c>
      <c r="J8791" s="1557"/>
      <c r="K8791" s="1557"/>
      <c r="L8791" s="1557"/>
      <c r="M8791" s="1566"/>
    </row>
    <row r="8792" spans="2:13" s="979" customFormat="1" hidden="1">
      <c r="B8792" s="1540"/>
      <c r="C8792" s="1332"/>
      <c r="D8792" s="1331"/>
      <c r="E8792" s="1331"/>
      <c r="F8792" s="2110" t="s">
        <v>685</v>
      </c>
      <c r="G8792" s="2110"/>
      <c r="H8792" s="1106">
        <f>SUM(H8788:H8791)</f>
        <v>90812.5</v>
      </c>
      <c r="J8792" s="1557"/>
      <c r="K8792" s="1557"/>
      <c r="L8792" s="1557"/>
      <c r="M8792" s="1566"/>
    </row>
    <row r="8793" spans="2:13" s="979" customFormat="1" hidden="1">
      <c r="B8793" s="1543" t="s">
        <v>686</v>
      </c>
      <c r="C8793" s="1329" t="s">
        <v>687</v>
      </c>
      <c r="D8793" s="1331"/>
      <c r="E8793" s="1331"/>
      <c r="F8793" s="1334"/>
      <c r="G8793" s="1104"/>
      <c r="H8793" s="1106"/>
      <c r="J8793" s="1557"/>
      <c r="K8793" s="1557"/>
      <c r="L8793" s="1557"/>
      <c r="M8793" s="1566"/>
    </row>
    <row r="8794" spans="2:13" s="979" customFormat="1" hidden="1">
      <c r="B8794" s="1540"/>
      <c r="C8794" s="1812" t="s">
        <v>4499</v>
      </c>
      <c r="D8794" s="1331"/>
      <c r="E8794" s="1331" t="s">
        <v>1452</v>
      </c>
      <c r="F8794" s="1813">
        <v>9</v>
      </c>
      <c r="G8794" s="1104">
        <f>DUB!$I$403</f>
        <v>14130</v>
      </c>
      <c r="H8794" s="1106">
        <f>G8794*F8794</f>
        <v>127170</v>
      </c>
      <c r="J8794" s="1557"/>
      <c r="K8794" s="1557"/>
      <c r="L8794" s="1557"/>
      <c r="M8794" s="1566"/>
    </row>
    <row r="8795" spans="2:13" s="979" customFormat="1" hidden="1">
      <c r="B8795" s="1540"/>
      <c r="C8795" s="1812" t="s">
        <v>3128</v>
      </c>
      <c r="D8795" s="1331"/>
      <c r="E8795" s="1331" t="s">
        <v>3129</v>
      </c>
      <c r="F8795" s="1813">
        <v>3</v>
      </c>
      <c r="G8795" s="1104">
        <f>DUB!$I$412</f>
        <v>10008</v>
      </c>
      <c r="H8795" s="1106">
        <f t="shared" ref="H8795:H8796" si="216">G8795*F8795</f>
        <v>30024</v>
      </c>
      <c r="J8795" s="1557"/>
      <c r="K8795" s="1557"/>
      <c r="L8795" s="1557"/>
      <c r="M8795" s="1566"/>
    </row>
    <row r="8796" spans="2:13" s="979" customFormat="1" hidden="1">
      <c r="B8796" s="1540"/>
      <c r="C8796" s="1812" t="s">
        <v>3509</v>
      </c>
      <c r="D8796" s="1331"/>
      <c r="E8796" s="1331" t="s">
        <v>1011</v>
      </c>
      <c r="F8796" s="1813">
        <v>1</v>
      </c>
      <c r="G8796" s="1104">
        <v>1000</v>
      </c>
      <c r="H8796" s="1106">
        <f t="shared" si="216"/>
        <v>1000</v>
      </c>
      <c r="J8796" s="1557"/>
      <c r="K8796" s="1557"/>
      <c r="L8796" s="1557"/>
      <c r="M8796" s="1566"/>
    </row>
    <row r="8797" spans="2:13" s="979" customFormat="1" hidden="1">
      <c r="B8797" s="1540"/>
      <c r="C8797" s="1125"/>
      <c r="D8797" s="1333"/>
      <c r="E8797" s="1333"/>
      <c r="F8797" s="2074" t="s">
        <v>702</v>
      </c>
      <c r="G8797" s="2074"/>
      <c r="H8797" s="1106">
        <f>SUM(H8794:H8796)</f>
        <v>158194</v>
      </c>
      <c r="J8797" s="1557"/>
      <c r="K8797" s="1557"/>
      <c r="L8797" s="1557"/>
      <c r="M8797" s="1566"/>
    </row>
    <row r="8798" spans="2:13" s="979" customFormat="1" hidden="1">
      <c r="B8798" s="1543" t="s">
        <v>703</v>
      </c>
      <c r="C8798" s="2075" t="s">
        <v>3764</v>
      </c>
      <c r="D8798" s="2075"/>
      <c r="E8798" s="2075"/>
      <c r="F8798" s="2075"/>
      <c r="G8798" s="2075"/>
      <c r="H8798" s="1107">
        <f>H8792+H8797</f>
        <v>249006.5</v>
      </c>
      <c r="J8798" s="1557"/>
      <c r="K8798" s="1557"/>
      <c r="L8798" s="1557"/>
      <c r="M8798" s="1566"/>
    </row>
    <row r="8799" spans="2:13" s="979" customFormat="1" hidden="1">
      <c r="B8799" s="1543" t="s">
        <v>706</v>
      </c>
      <c r="C8799" s="2076" t="s">
        <v>876</v>
      </c>
      <c r="D8799" s="2076"/>
      <c r="E8799" s="2076"/>
      <c r="F8799" s="2077" t="s">
        <v>3873</v>
      </c>
      <c r="G8799" s="2077"/>
      <c r="H8799" s="1107">
        <f>H8798*0.15</f>
        <v>37350.974999999999</v>
      </c>
      <c r="J8799" s="1557"/>
      <c r="K8799" s="1557"/>
      <c r="L8799" s="1557"/>
      <c r="M8799" s="1566"/>
    </row>
    <row r="8800" spans="2:13" s="979" customFormat="1" hidden="1">
      <c r="B8800" s="1543" t="s">
        <v>708</v>
      </c>
      <c r="C8800" s="2075" t="s">
        <v>3765</v>
      </c>
      <c r="D8800" s="2075"/>
      <c r="E8800" s="2075"/>
      <c r="F8800" s="2075"/>
      <c r="G8800" s="2075"/>
      <c r="H8800" s="1107">
        <f>ROUND(SUM(H8798:H8799),2)</f>
        <v>286357.48</v>
      </c>
      <c r="J8800" s="1557"/>
      <c r="K8800" s="1557"/>
      <c r="L8800" s="1557"/>
      <c r="M8800" s="1566"/>
    </row>
    <row r="8801" spans="2:13" s="979" customFormat="1" hidden="1">
      <c r="B8801" s="1095"/>
      <c r="C8801" s="1096"/>
      <c r="D8801" s="1095"/>
      <c r="E8801" s="1095"/>
      <c r="F8801" s="1172"/>
      <c r="G8801" s="1173"/>
      <c r="H8801" s="1133"/>
      <c r="J8801" s="1557"/>
      <c r="K8801" s="1557"/>
      <c r="L8801" s="1557"/>
      <c r="M8801" s="1566"/>
    </row>
    <row r="8802" spans="2:13" s="979" customFormat="1" hidden="1">
      <c r="B8802" s="1100" t="s">
        <v>4501</v>
      </c>
      <c r="C8802" s="1264" t="s">
        <v>4497</v>
      </c>
      <c r="D8802" s="1095"/>
      <c r="E8802" s="1095"/>
      <c r="F8802" s="1172"/>
      <c r="G8802" s="1173"/>
      <c r="H8802" s="1133"/>
      <c r="J8802" s="1557"/>
      <c r="K8802" s="1557"/>
      <c r="L8802" s="1557"/>
      <c r="M8802" s="1566"/>
    </row>
    <row r="8803" spans="2:13" s="979" customFormat="1" ht="24.9" hidden="1" customHeight="1">
      <c r="B8803" s="1748" t="s">
        <v>1003</v>
      </c>
      <c r="C8803" s="1101" t="s">
        <v>1004</v>
      </c>
      <c r="D8803" s="1101" t="s">
        <v>1005</v>
      </c>
      <c r="E8803" s="1101" t="s">
        <v>1006</v>
      </c>
      <c r="F8803" s="1102" t="s">
        <v>1007</v>
      </c>
      <c r="G8803" s="1109" t="s">
        <v>2637</v>
      </c>
      <c r="H8803" s="1110" t="s">
        <v>2638</v>
      </c>
      <c r="J8803" s="1557"/>
      <c r="K8803" s="1557"/>
      <c r="L8803" s="1557"/>
      <c r="M8803" s="1566"/>
    </row>
    <row r="8804" spans="2:13" s="979" customFormat="1" hidden="1">
      <c r="B8804" s="1543" t="s">
        <v>671</v>
      </c>
      <c r="C8804" s="1329" t="s">
        <v>672</v>
      </c>
      <c r="D8804" s="1331"/>
      <c r="E8804" s="1331"/>
      <c r="F8804" s="1334"/>
      <c r="G8804" s="1104"/>
      <c r="H8804" s="1106"/>
      <c r="J8804" s="1557"/>
      <c r="K8804" s="1557"/>
      <c r="L8804" s="1557"/>
      <c r="M8804" s="1566"/>
    </row>
    <row r="8805" spans="2:13" s="979" customFormat="1" hidden="1">
      <c r="B8805" s="1540"/>
      <c r="C8805" s="1332" t="s">
        <v>673</v>
      </c>
      <c r="D8805" s="1331" t="s">
        <v>674</v>
      </c>
      <c r="E8805" s="1331" t="s">
        <v>675</v>
      </c>
      <c r="F8805" s="1334">
        <v>0.25</v>
      </c>
      <c r="G8805" s="1104">
        <f>$G$2491</f>
        <v>150000</v>
      </c>
      <c r="H8805" s="1106">
        <f>G8805*F8805</f>
        <v>37500</v>
      </c>
      <c r="J8805" s="1557"/>
      <c r="K8805" s="1557"/>
      <c r="L8805" s="1557"/>
      <c r="M8805" s="1566"/>
    </row>
    <row r="8806" spans="2:13" s="979" customFormat="1" hidden="1">
      <c r="B8806" s="1540"/>
      <c r="C8806" s="1332" t="s">
        <v>4300</v>
      </c>
      <c r="D8806" s="1331" t="s">
        <v>678</v>
      </c>
      <c r="E8806" s="1331" t="s">
        <v>675</v>
      </c>
      <c r="F8806" s="1334">
        <v>0.25</v>
      </c>
      <c r="G8806" s="1104">
        <f>$G$2492</f>
        <v>187000</v>
      </c>
      <c r="H8806" s="1106">
        <f t="shared" ref="H8806:H8808" si="217">G8806*F8806</f>
        <v>46750</v>
      </c>
      <c r="J8806" s="1557"/>
      <c r="K8806" s="1557"/>
      <c r="L8806" s="1557"/>
      <c r="M8806" s="1566"/>
    </row>
    <row r="8807" spans="2:13" s="979" customFormat="1" hidden="1">
      <c r="B8807" s="1540"/>
      <c r="C8807" s="1332" t="s">
        <v>680</v>
      </c>
      <c r="D8807" s="1331" t="s">
        <v>681</v>
      </c>
      <c r="E8807" s="1331" t="s">
        <v>675</v>
      </c>
      <c r="F8807" s="1334">
        <v>2.5000000000000001E-2</v>
      </c>
      <c r="G8807" s="1104">
        <f>$G$2493</f>
        <v>240000</v>
      </c>
      <c r="H8807" s="1106">
        <f t="shared" si="217"/>
        <v>6000</v>
      </c>
      <c r="J8807" s="1557"/>
      <c r="K8807" s="1557"/>
      <c r="L8807" s="1557"/>
      <c r="M8807" s="1566"/>
    </row>
    <row r="8808" spans="2:13" s="979" customFormat="1" hidden="1">
      <c r="B8808" s="1540"/>
      <c r="C8808" s="1332" t="s">
        <v>683</v>
      </c>
      <c r="D8808" s="1331" t="s">
        <v>684</v>
      </c>
      <c r="E8808" s="1331" t="s">
        <v>675</v>
      </c>
      <c r="F8808" s="1334">
        <v>2.5000000000000001E-3</v>
      </c>
      <c r="G8808" s="1104">
        <f>$G$2494</f>
        <v>225000</v>
      </c>
      <c r="H8808" s="1106">
        <f t="shared" si="217"/>
        <v>562.5</v>
      </c>
      <c r="J8808" s="1557"/>
      <c r="K8808" s="1557"/>
      <c r="L8808" s="1557"/>
      <c r="M8808" s="1566"/>
    </row>
    <row r="8809" spans="2:13" s="979" customFormat="1" hidden="1">
      <c r="B8809" s="1540"/>
      <c r="C8809" s="1332"/>
      <c r="D8809" s="1331"/>
      <c r="E8809" s="1331"/>
      <c r="F8809" s="2110" t="s">
        <v>685</v>
      </c>
      <c r="G8809" s="2110"/>
      <c r="H8809" s="1106">
        <f>SUM(H8805:H8808)</f>
        <v>90812.5</v>
      </c>
      <c r="J8809" s="1557"/>
      <c r="K8809" s="1557"/>
      <c r="L8809" s="1557"/>
      <c r="M8809" s="1566"/>
    </row>
    <row r="8810" spans="2:13" s="979" customFormat="1" hidden="1">
      <c r="B8810" s="1543" t="s">
        <v>686</v>
      </c>
      <c r="C8810" s="1329" t="s">
        <v>687</v>
      </c>
      <c r="D8810" s="1331"/>
      <c r="E8810" s="1331"/>
      <c r="F8810" s="1334"/>
      <c r="G8810" s="1104"/>
      <c r="H8810" s="1106"/>
      <c r="J8810" s="1557"/>
      <c r="K8810" s="1557"/>
      <c r="L8810" s="1557"/>
      <c r="M8810" s="1566"/>
    </row>
    <row r="8811" spans="2:13" s="979" customFormat="1" hidden="1">
      <c r="B8811" s="1540"/>
      <c r="C8811" s="1812" t="s">
        <v>4500</v>
      </c>
      <c r="D8811" s="1331"/>
      <c r="E8811" s="1331" t="s">
        <v>1452</v>
      </c>
      <c r="F8811" s="1813">
        <v>9</v>
      </c>
      <c r="G8811" s="1104">
        <f>DUB!$I$402</f>
        <v>7281</v>
      </c>
      <c r="H8811" s="1106">
        <f>G8811*F8811</f>
        <v>65529</v>
      </c>
      <c r="J8811" s="1557"/>
      <c r="K8811" s="1557"/>
      <c r="L8811" s="1557"/>
      <c r="M8811" s="1566"/>
    </row>
    <row r="8812" spans="2:13" s="979" customFormat="1" hidden="1">
      <c r="B8812" s="1540"/>
      <c r="C8812" s="1812" t="s">
        <v>3128</v>
      </c>
      <c r="D8812" s="1331"/>
      <c r="E8812" s="1331" t="s">
        <v>3129</v>
      </c>
      <c r="F8812" s="1813">
        <v>3</v>
      </c>
      <c r="G8812" s="1104">
        <f>DUB!$I$412</f>
        <v>10008</v>
      </c>
      <c r="H8812" s="1106">
        <f t="shared" ref="H8812:H8813" si="218">G8812*F8812</f>
        <v>30024</v>
      </c>
      <c r="J8812" s="1557"/>
      <c r="K8812" s="1557"/>
      <c r="L8812" s="1557"/>
      <c r="M8812" s="1566"/>
    </row>
    <row r="8813" spans="2:13" s="979" customFormat="1" hidden="1">
      <c r="B8813" s="1540"/>
      <c r="C8813" s="1812" t="s">
        <v>3509</v>
      </c>
      <c r="D8813" s="1331"/>
      <c r="E8813" s="1331" t="s">
        <v>1011</v>
      </c>
      <c r="F8813" s="1813">
        <v>1</v>
      </c>
      <c r="G8813" s="1104">
        <v>1000</v>
      </c>
      <c r="H8813" s="1106">
        <f t="shared" si="218"/>
        <v>1000</v>
      </c>
      <c r="J8813" s="1557"/>
      <c r="K8813" s="1557"/>
      <c r="L8813" s="1557"/>
      <c r="M8813" s="1566"/>
    </row>
    <row r="8814" spans="2:13" s="979" customFormat="1" hidden="1">
      <c r="B8814" s="1540"/>
      <c r="C8814" s="1125"/>
      <c r="D8814" s="1333"/>
      <c r="E8814" s="1333"/>
      <c r="F8814" s="2074" t="s">
        <v>702</v>
      </c>
      <c r="G8814" s="2074"/>
      <c r="H8814" s="1106">
        <f>SUM(H8811:H8813)</f>
        <v>96553</v>
      </c>
      <c r="J8814" s="1557"/>
      <c r="K8814" s="1557"/>
      <c r="L8814" s="1557"/>
      <c r="M8814" s="1566"/>
    </row>
    <row r="8815" spans="2:13" s="979" customFormat="1" hidden="1">
      <c r="B8815" s="1543" t="s">
        <v>703</v>
      </c>
      <c r="C8815" s="2075" t="s">
        <v>3764</v>
      </c>
      <c r="D8815" s="2075"/>
      <c r="E8815" s="2075"/>
      <c r="F8815" s="2075"/>
      <c r="G8815" s="2075"/>
      <c r="H8815" s="1107">
        <f>H8809+H8814</f>
        <v>187365.5</v>
      </c>
      <c r="J8815" s="1557"/>
      <c r="K8815" s="1557"/>
      <c r="L8815" s="1557"/>
      <c r="M8815" s="1566"/>
    </row>
    <row r="8816" spans="2:13" s="979" customFormat="1" hidden="1">
      <c r="B8816" s="1543" t="s">
        <v>706</v>
      </c>
      <c r="C8816" s="2076" t="s">
        <v>876</v>
      </c>
      <c r="D8816" s="2076"/>
      <c r="E8816" s="2076"/>
      <c r="F8816" s="2077" t="s">
        <v>3873</v>
      </c>
      <c r="G8816" s="2077"/>
      <c r="H8816" s="1107">
        <f>H8815*0.15</f>
        <v>28104.825000000001</v>
      </c>
      <c r="J8816" s="1557"/>
      <c r="K8816" s="1557"/>
      <c r="L8816" s="1557"/>
      <c r="M8816" s="1566"/>
    </row>
    <row r="8817" spans="2:13" s="979" customFormat="1" hidden="1">
      <c r="B8817" s="1543" t="s">
        <v>708</v>
      </c>
      <c r="C8817" s="2075" t="s">
        <v>3765</v>
      </c>
      <c r="D8817" s="2075"/>
      <c r="E8817" s="2075"/>
      <c r="F8817" s="2075"/>
      <c r="G8817" s="2075"/>
      <c r="H8817" s="1107">
        <f>ROUND(SUM(H8815:H8816),2)</f>
        <v>215470.33</v>
      </c>
      <c r="J8817" s="1557"/>
      <c r="K8817" s="1557"/>
      <c r="L8817" s="1557"/>
      <c r="M8817" s="1566"/>
    </row>
    <row r="8818" spans="2:13" s="979" customFormat="1" hidden="1">
      <c r="B8818" s="1095"/>
      <c r="C8818" s="1096"/>
      <c r="D8818" s="1095"/>
      <c r="E8818" s="1095"/>
      <c r="F8818" s="1172"/>
      <c r="G8818" s="1173"/>
      <c r="H8818" s="1133"/>
      <c r="J8818" s="1557"/>
      <c r="K8818" s="1557"/>
      <c r="L8818" s="1557"/>
      <c r="M8818" s="1566"/>
    </row>
    <row r="8819" spans="2:13" s="979" customFormat="1" hidden="1">
      <c r="B8819" s="1100" t="s">
        <v>4503</v>
      </c>
      <c r="C8819" s="1264" t="s">
        <v>3516</v>
      </c>
      <c r="D8819" s="1095"/>
      <c r="E8819" s="1095"/>
      <c r="F8819" s="1172"/>
      <c r="G8819" s="1173"/>
      <c r="H8819" s="1133"/>
      <c r="J8819" s="1557"/>
      <c r="K8819" s="1557"/>
      <c r="L8819" s="1557"/>
      <c r="M8819" s="1566"/>
    </row>
    <row r="8820" spans="2:13" s="979" customFormat="1" ht="24.9" hidden="1" customHeight="1">
      <c r="B8820" s="1748" t="s">
        <v>1003</v>
      </c>
      <c r="C8820" s="1101" t="s">
        <v>1004</v>
      </c>
      <c r="D8820" s="1101" t="s">
        <v>1005</v>
      </c>
      <c r="E8820" s="1101" t="s">
        <v>1006</v>
      </c>
      <c r="F8820" s="1102" t="s">
        <v>1007</v>
      </c>
      <c r="G8820" s="1109" t="s">
        <v>2637</v>
      </c>
      <c r="H8820" s="1110" t="s">
        <v>2638</v>
      </c>
      <c r="J8820" s="1557"/>
      <c r="K8820" s="1557"/>
      <c r="L8820" s="1557"/>
      <c r="M8820" s="1566"/>
    </row>
    <row r="8821" spans="2:13" s="979" customFormat="1" hidden="1">
      <c r="B8821" s="1543" t="s">
        <v>671</v>
      </c>
      <c r="C8821" s="1329" t="s">
        <v>672</v>
      </c>
      <c r="D8821" s="1331"/>
      <c r="E8821" s="1331"/>
      <c r="F8821" s="1334"/>
      <c r="G8821" s="1104"/>
      <c r="H8821" s="1106"/>
      <c r="J8821" s="1557"/>
      <c r="K8821" s="1557"/>
      <c r="L8821" s="1557"/>
      <c r="M8821" s="1566"/>
    </row>
    <row r="8822" spans="2:13" s="979" customFormat="1" hidden="1">
      <c r="B8822" s="1540"/>
      <c r="C8822" s="1332" t="s">
        <v>673</v>
      </c>
      <c r="D8822" s="1331" t="s">
        <v>674</v>
      </c>
      <c r="E8822" s="1331" t="s">
        <v>675</v>
      </c>
      <c r="F8822" s="1334">
        <v>0.25</v>
      </c>
      <c r="G8822" s="1104">
        <f>$G$2491</f>
        <v>150000</v>
      </c>
      <c r="H8822" s="1106">
        <f>G8822*F8822</f>
        <v>37500</v>
      </c>
      <c r="J8822" s="1557"/>
      <c r="K8822" s="1557"/>
      <c r="L8822" s="1557"/>
      <c r="M8822" s="1566"/>
    </row>
    <row r="8823" spans="2:13" s="979" customFormat="1" hidden="1">
      <c r="B8823" s="1540"/>
      <c r="C8823" s="1332" t="s">
        <v>4300</v>
      </c>
      <c r="D8823" s="1331" t="s">
        <v>678</v>
      </c>
      <c r="E8823" s="1331" t="s">
        <v>675</v>
      </c>
      <c r="F8823" s="1334">
        <v>0.25</v>
      </c>
      <c r="G8823" s="1104">
        <f>$G$2492</f>
        <v>187000</v>
      </c>
      <c r="H8823" s="1106">
        <f t="shared" ref="H8823:H8825" si="219">G8823*F8823</f>
        <v>46750</v>
      </c>
      <c r="J8823" s="1557"/>
      <c r="K8823" s="1557"/>
      <c r="L8823" s="1557"/>
      <c r="M8823" s="1566"/>
    </row>
    <row r="8824" spans="2:13" s="979" customFormat="1" hidden="1">
      <c r="B8824" s="1540"/>
      <c r="C8824" s="1332" t="s">
        <v>680</v>
      </c>
      <c r="D8824" s="1331" t="s">
        <v>681</v>
      </c>
      <c r="E8824" s="1331" t="s">
        <v>675</v>
      </c>
      <c r="F8824" s="1334">
        <v>2.5000000000000001E-2</v>
      </c>
      <c r="G8824" s="1104">
        <f>$G$2493</f>
        <v>240000</v>
      </c>
      <c r="H8824" s="1106">
        <f t="shared" si="219"/>
        <v>6000</v>
      </c>
      <c r="J8824" s="1557"/>
      <c r="K8824" s="1557"/>
      <c r="L8824" s="1557"/>
      <c r="M8824" s="1566"/>
    </row>
    <row r="8825" spans="2:13" s="979" customFormat="1" hidden="1">
      <c r="B8825" s="1540"/>
      <c r="C8825" s="1332" t="s">
        <v>683</v>
      </c>
      <c r="D8825" s="1331" t="s">
        <v>684</v>
      </c>
      <c r="E8825" s="1331" t="s">
        <v>675</v>
      </c>
      <c r="F8825" s="1334">
        <v>2.5000000000000001E-3</v>
      </c>
      <c r="G8825" s="1104">
        <f>$G$2494</f>
        <v>225000</v>
      </c>
      <c r="H8825" s="1106">
        <f t="shared" si="219"/>
        <v>562.5</v>
      </c>
      <c r="J8825" s="1557"/>
      <c r="K8825" s="1557"/>
      <c r="L8825" s="1557"/>
      <c r="M8825" s="1566"/>
    </row>
    <row r="8826" spans="2:13" s="979" customFormat="1" hidden="1">
      <c r="B8826" s="1540"/>
      <c r="C8826" s="1332"/>
      <c r="D8826" s="1331"/>
      <c r="E8826" s="1331"/>
      <c r="F8826" s="2110" t="s">
        <v>685</v>
      </c>
      <c r="G8826" s="2110"/>
      <c r="H8826" s="1106">
        <f>SUM(H8822:H8825)</f>
        <v>90812.5</v>
      </c>
      <c r="J8826" s="1557"/>
      <c r="K8826" s="1557"/>
      <c r="L8826" s="1557"/>
      <c r="M8826" s="1566"/>
    </row>
    <row r="8827" spans="2:13" s="979" customFormat="1" hidden="1">
      <c r="B8827" s="1543" t="s">
        <v>686</v>
      </c>
      <c r="C8827" s="1329" t="s">
        <v>687</v>
      </c>
      <c r="D8827" s="1331"/>
      <c r="E8827" s="1331"/>
      <c r="F8827" s="1334"/>
      <c r="G8827" s="1104"/>
      <c r="H8827" s="1106"/>
      <c r="J8827" s="1557"/>
      <c r="K8827" s="1557"/>
      <c r="L8827" s="1557"/>
      <c r="M8827" s="1566"/>
    </row>
    <row r="8828" spans="2:13" s="979" customFormat="1" hidden="1">
      <c r="B8828" s="1540"/>
      <c r="C8828" s="1812" t="s">
        <v>4502</v>
      </c>
      <c r="D8828" s="1331"/>
      <c r="E8828" s="1331" t="s">
        <v>1452</v>
      </c>
      <c r="F8828" s="1813">
        <f>9*3</f>
        <v>27</v>
      </c>
      <c r="G8828" s="1104">
        <f>DUB!$I$400</f>
        <v>7650</v>
      </c>
      <c r="H8828" s="1106">
        <f>G8828*F8828</f>
        <v>206550</v>
      </c>
      <c r="J8828" s="1557"/>
      <c r="K8828" s="1557"/>
      <c r="L8828" s="1557"/>
      <c r="M8828" s="1566"/>
    </row>
    <row r="8829" spans="2:13" s="979" customFormat="1" hidden="1">
      <c r="B8829" s="1540"/>
      <c r="C8829" s="1812" t="s">
        <v>3128</v>
      </c>
      <c r="D8829" s="1331"/>
      <c r="E8829" s="1331" t="s">
        <v>3129</v>
      </c>
      <c r="F8829" s="1813">
        <v>3</v>
      </c>
      <c r="G8829" s="1104">
        <f>DUB!$I$412</f>
        <v>10008</v>
      </c>
      <c r="H8829" s="1106">
        <f t="shared" ref="H8829:H8830" si="220">G8829*F8829</f>
        <v>30024</v>
      </c>
      <c r="J8829" s="1557"/>
      <c r="K8829" s="1557"/>
      <c r="L8829" s="1557"/>
      <c r="M8829" s="1566"/>
    </row>
    <row r="8830" spans="2:13" s="979" customFormat="1" hidden="1">
      <c r="B8830" s="1540"/>
      <c r="C8830" s="1812" t="s">
        <v>3509</v>
      </c>
      <c r="D8830" s="1331"/>
      <c r="E8830" s="1331" t="s">
        <v>1011</v>
      </c>
      <c r="F8830" s="1813">
        <v>1</v>
      </c>
      <c r="G8830" s="1104">
        <v>1000</v>
      </c>
      <c r="H8830" s="1106">
        <f t="shared" si="220"/>
        <v>1000</v>
      </c>
      <c r="J8830" s="1557"/>
      <c r="K8830" s="1557"/>
      <c r="L8830" s="1557"/>
      <c r="M8830" s="1566"/>
    </row>
    <row r="8831" spans="2:13" s="979" customFormat="1" hidden="1">
      <c r="B8831" s="1540"/>
      <c r="C8831" s="1125"/>
      <c r="D8831" s="1333"/>
      <c r="E8831" s="1333"/>
      <c r="F8831" s="2074" t="s">
        <v>702</v>
      </c>
      <c r="G8831" s="2074"/>
      <c r="H8831" s="1106">
        <f>SUM(H8828:H8830)</f>
        <v>237574</v>
      </c>
      <c r="J8831" s="1557"/>
      <c r="K8831" s="1557"/>
      <c r="L8831" s="1557"/>
      <c r="M8831" s="1566"/>
    </row>
    <row r="8832" spans="2:13" s="979" customFormat="1" hidden="1">
      <c r="B8832" s="1543" t="s">
        <v>703</v>
      </c>
      <c r="C8832" s="2075" t="s">
        <v>3764</v>
      </c>
      <c r="D8832" s="2075"/>
      <c r="E8832" s="2075"/>
      <c r="F8832" s="2075"/>
      <c r="G8832" s="2075"/>
      <c r="H8832" s="1107">
        <f>H8826+H8831</f>
        <v>328386.5</v>
      </c>
      <c r="J8832" s="1557"/>
      <c r="K8832" s="1557"/>
      <c r="L8832" s="1557"/>
      <c r="M8832" s="1566"/>
    </row>
    <row r="8833" spans="2:13" s="979" customFormat="1" hidden="1">
      <c r="B8833" s="1543" t="s">
        <v>706</v>
      </c>
      <c r="C8833" s="2076" t="s">
        <v>876</v>
      </c>
      <c r="D8833" s="2076"/>
      <c r="E8833" s="2076"/>
      <c r="F8833" s="2077" t="s">
        <v>3873</v>
      </c>
      <c r="G8833" s="2077"/>
      <c r="H8833" s="1107">
        <f>H8832*0.15</f>
        <v>49257.974999999999</v>
      </c>
      <c r="J8833" s="1557"/>
      <c r="K8833" s="1557"/>
      <c r="L8833" s="1557"/>
      <c r="M8833" s="1566"/>
    </row>
    <row r="8834" spans="2:13" s="979" customFormat="1" hidden="1">
      <c r="B8834" s="1543" t="s">
        <v>708</v>
      </c>
      <c r="C8834" s="2075" t="s">
        <v>3765</v>
      </c>
      <c r="D8834" s="2075"/>
      <c r="E8834" s="2075"/>
      <c r="F8834" s="2075"/>
      <c r="G8834" s="2075"/>
      <c r="H8834" s="1107">
        <f>ROUND(SUM(H8832:H8833),2)</f>
        <v>377644.48</v>
      </c>
      <c r="J8834" s="1557"/>
      <c r="K8834" s="1557"/>
      <c r="L8834" s="1557"/>
      <c r="M8834" s="1566"/>
    </row>
    <row r="8835" spans="2:13" s="979" customFormat="1" hidden="1">
      <c r="B8835" s="1095"/>
      <c r="C8835" s="1096"/>
      <c r="D8835" s="1095"/>
      <c r="E8835" s="1095"/>
      <c r="F8835" s="1172"/>
      <c r="G8835" s="1173"/>
      <c r="H8835" s="1133"/>
      <c r="J8835" s="1557"/>
      <c r="K8835" s="1557"/>
      <c r="L8835" s="1557"/>
      <c r="M8835" s="1566"/>
    </row>
    <row r="8836" spans="2:13" s="979" customFormat="1" hidden="1">
      <c r="B8836" s="1100" t="s">
        <v>4506</v>
      </c>
      <c r="C8836" s="1264" t="s">
        <v>4504</v>
      </c>
      <c r="D8836" s="1095"/>
      <c r="E8836" s="1095"/>
      <c r="F8836" s="1172"/>
      <c r="G8836" s="1173"/>
      <c r="H8836" s="1133"/>
      <c r="J8836" s="1557"/>
      <c r="K8836" s="1557"/>
      <c r="L8836" s="1557"/>
      <c r="M8836" s="1566"/>
    </row>
    <row r="8837" spans="2:13" s="979" customFormat="1" ht="24.9" hidden="1" customHeight="1">
      <c r="B8837" s="1748" t="s">
        <v>1003</v>
      </c>
      <c r="C8837" s="1101" t="s">
        <v>1004</v>
      </c>
      <c r="D8837" s="1101" t="s">
        <v>1005</v>
      </c>
      <c r="E8837" s="1101" t="s">
        <v>1006</v>
      </c>
      <c r="F8837" s="1102" t="s">
        <v>1007</v>
      </c>
      <c r="G8837" s="1109" t="s">
        <v>2637</v>
      </c>
      <c r="H8837" s="1110" t="s">
        <v>2638</v>
      </c>
      <c r="J8837" s="1557"/>
      <c r="K8837" s="1557"/>
      <c r="L8837" s="1557"/>
      <c r="M8837" s="1566"/>
    </row>
    <row r="8838" spans="2:13" s="979" customFormat="1" hidden="1">
      <c r="B8838" s="1543" t="s">
        <v>671</v>
      </c>
      <c r="C8838" s="1329" t="s">
        <v>672</v>
      </c>
      <c r="D8838" s="1331"/>
      <c r="E8838" s="1331"/>
      <c r="F8838" s="1334"/>
      <c r="G8838" s="1104"/>
      <c r="H8838" s="1106"/>
      <c r="J8838" s="1557"/>
      <c r="K8838" s="1557"/>
      <c r="L8838" s="1557"/>
      <c r="M8838" s="1566"/>
    </row>
    <row r="8839" spans="2:13" s="979" customFormat="1" hidden="1">
      <c r="B8839" s="1540"/>
      <c r="C8839" s="1332" t="s">
        <v>673</v>
      </c>
      <c r="D8839" s="1331" t="s">
        <v>674</v>
      </c>
      <c r="E8839" s="1331" t="s">
        <v>675</v>
      </c>
      <c r="F8839" s="1334">
        <v>0.25</v>
      </c>
      <c r="G8839" s="1104">
        <f>$G$2491</f>
        <v>150000</v>
      </c>
      <c r="H8839" s="1106">
        <f>G8839*F8839</f>
        <v>37500</v>
      </c>
      <c r="J8839" s="1557"/>
      <c r="K8839" s="1557"/>
      <c r="L8839" s="1557"/>
      <c r="M8839" s="1566"/>
    </row>
    <row r="8840" spans="2:13" s="979" customFormat="1" hidden="1">
      <c r="B8840" s="1540"/>
      <c r="C8840" s="1332" t="s">
        <v>4300</v>
      </c>
      <c r="D8840" s="1331" t="s">
        <v>678</v>
      </c>
      <c r="E8840" s="1331" t="s">
        <v>675</v>
      </c>
      <c r="F8840" s="1334">
        <v>0.25</v>
      </c>
      <c r="G8840" s="1104">
        <f>$G$2492</f>
        <v>187000</v>
      </c>
      <c r="H8840" s="1106">
        <f t="shared" ref="H8840:H8842" si="221">G8840*F8840</f>
        <v>46750</v>
      </c>
      <c r="J8840" s="1557"/>
      <c r="K8840" s="1557"/>
      <c r="L8840" s="1557"/>
      <c r="M8840" s="1566"/>
    </row>
    <row r="8841" spans="2:13" s="979" customFormat="1" hidden="1">
      <c r="B8841" s="1540"/>
      <c r="C8841" s="1332" t="s">
        <v>680</v>
      </c>
      <c r="D8841" s="1331" t="s">
        <v>681</v>
      </c>
      <c r="E8841" s="1331" t="s">
        <v>675</v>
      </c>
      <c r="F8841" s="1334">
        <v>2.5000000000000001E-2</v>
      </c>
      <c r="G8841" s="1104">
        <f>$G$2493</f>
        <v>240000</v>
      </c>
      <c r="H8841" s="1106">
        <f t="shared" si="221"/>
        <v>6000</v>
      </c>
      <c r="J8841" s="1557"/>
      <c r="K8841" s="1557"/>
      <c r="L8841" s="1557"/>
      <c r="M8841" s="1566"/>
    </row>
    <row r="8842" spans="2:13" s="979" customFormat="1" hidden="1">
      <c r="B8842" s="1540"/>
      <c r="C8842" s="1332" t="s">
        <v>683</v>
      </c>
      <c r="D8842" s="1331" t="s">
        <v>684</v>
      </c>
      <c r="E8842" s="1331" t="s">
        <v>675</v>
      </c>
      <c r="F8842" s="1334">
        <v>2.5000000000000001E-3</v>
      </c>
      <c r="G8842" s="1104">
        <f>$G$2494</f>
        <v>225000</v>
      </c>
      <c r="H8842" s="1106">
        <f t="shared" si="221"/>
        <v>562.5</v>
      </c>
      <c r="J8842" s="1557"/>
      <c r="K8842" s="1557"/>
      <c r="L8842" s="1557"/>
      <c r="M8842" s="1566"/>
    </row>
    <row r="8843" spans="2:13" s="979" customFormat="1" hidden="1">
      <c r="B8843" s="1540"/>
      <c r="C8843" s="1332"/>
      <c r="D8843" s="1331"/>
      <c r="E8843" s="1331"/>
      <c r="F8843" s="2110" t="s">
        <v>685</v>
      </c>
      <c r="G8843" s="2110"/>
      <c r="H8843" s="1106">
        <f>SUM(H8839:H8842)</f>
        <v>90812.5</v>
      </c>
      <c r="J8843" s="1557"/>
      <c r="K8843" s="1557"/>
      <c r="L8843" s="1557"/>
      <c r="M8843" s="1566"/>
    </row>
    <row r="8844" spans="2:13" s="979" customFormat="1" hidden="1">
      <c r="B8844" s="1543" t="s">
        <v>686</v>
      </c>
      <c r="C8844" s="1329" t="s">
        <v>687</v>
      </c>
      <c r="D8844" s="1331"/>
      <c r="E8844" s="1331"/>
      <c r="F8844" s="1334"/>
      <c r="G8844" s="1104"/>
      <c r="H8844" s="1106"/>
      <c r="J8844" s="1557"/>
      <c r="K8844" s="1557"/>
      <c r="L8844" s="1557"/>
      <c r="M8844" s="1566"/>
    </row>
    <row r="8845" spans="2:13" s="979" customFormat="1" hidden="1">
      <c r="B8845" s="1540"/>
      <c r="C8845" s="1812" t="s">
        <v>4505</v>
      </c>
      <c r="D8845" s="1331"/>
      <c r="E8845" s="1331" t="s">
        <v>1452</v>
      </c>
      <c r="F8845" s="1813">
        <f>9*3</f>
        <v>27</v>
      </c>
      <c r="G8845" s="1104">
        <f>DUB!$I$399</f>
        <v>3528</v>
      </c>
      <c r="H8845" s="1106">
        <f>G8845*F8845</f>
        <v>95256</v>
      </c>
      <c r="J8845" s="1557"/>
      <c r="K8845" s="1557"/>
      <c r="L8845" s="1557"/>
      <c r="M8845" s="1566"/>
    </row>
    <row r="8846" spans="2:13" s="979" customFormat="1" hidden="1">
      <c r="B8846" s="1540"/>
      <c r="C8846" s="1812" t="s">
        <v>3128</v>
      </c>
      <c r="D8846" s="1331"/>
      <c r="E8846" s="1331" t="s">
        <v>3129</v>
      </c>
      <c r="F8846" s="1813">
        <v>3</v>
      </c>
      <c r="G8846" s="1104">
        <f>DUB!$I$412</f>
        <v>10008</v>
      </c>
      <c r="H8846" s="1106">
        <f t="shared" ref="H8846:H8847" si="222">G8846*F8846</f>
        <v>30024</v>
      </c>
      <c r="J8846" s="1557"/>
      <c r="K8846" s="1557"/>
      <c r="L8846" s="1557"/>
      <c r="M8846" s="1566"/>
    </row>
    <row r="8847" spans="2:13" s="979" customFormat="1" hidden="1">
      <c r="B8847" s="1540"/>
      <c r="C8847" s="1812" t="s">
        <v>3509</v>
      </c>
      <c r="D8847" s="1331"/>
      <c r="E8847" s="1331" t="s">
        <v>1011</v>
      </c>
      <c r="F8847" s="1813">
        <v>1</v>
      </c>
      <c r="G8847" s="1104">
        <v>1000</v>
      </c>
      <c r="H8847" s="1106">
        <f t="shared" si="222"/>
        <v>1000</v>
      </c>
      <c r="J8847" s="1557"/>
      <c r="K8847" s="1557"/>
      <c r="L8847" s="1557"/>
      <c r="M8847" s="1566"/>
    </row>
    <row r="8848" spans="2:13" s="979" customFormat="1" hidden="1">
      <c r="B8848" s="1540"/>
      <c r="C8848" s="1125"/>
      <c r="D8848" s="1333"/>
      <c r="E8848" s="1333"/>
      <c r="F8848" s="2074" t="s">
        <v>702</v>
      </c>
      <c r="G8848" s="2074"/>
      <c r="H8848" s="1106">
        <f>SUM(H8845:H8847)</f>
        <v>126280</v>
      </c>
      <c r="J8848" s="1557"/>
      <c r="K8848" s="1557"/>
      <c r="L8848" s="1557"/>
      <c r="M8848" s="1566"/>
    </row>
    <row r="8849" spans="2:27" s="979" customFormat="1" hidden="1">
      <c r="B8849" s="1543" t="s">
        <v>703</v>
      </c>
      <c r="C8849" s="2075" t="s">
        <v>3764</v>
      </c>
      <c r="D8849" s="2075"/>
      <c r="E8849" s="2075"/>
      <c r="F8849" s="2075"/>
      <c r="G8849" s="2075"/>
      <c r="H8849" s="1107">
        <f>H8843+H8848</f>
        <v>217092.5</v>
      </c>
      <c r="J8849" s="1557"/>
      <c r="K8849" s="1557"/>
      <c r="L8849" s="1557"/>
      <c r="M8849" s="1566"/>
    </row>
    <row r="8850" spans="2:27" s="979" customFormat="1" hidden="1">
      <c r="B8850" s="1543" t="s">
        <v>706</v>
      </c>
      <c r="C8850" s="2076" t="s">
        <v>876</v>
      </c>
      <c r="D8850" s="2076"/>
      <c r="E8850" s="2076"/>
      <c r="F8850" s="2077" t="s">
        <v>3873</v>
      </c>
      <c r="G8850" s="2077"/>
      <c r="H8850" s="1107">
        <f>H8849*0.15</f>
        <v>32563.875</v>
      </c>
      <c r="J8850" s="1557"/>
      <c r="K8850" s="1557"/>
      <c r="L8850" s="1557"/>
      <c r="M8850" s="1566"/>
    </row>
    <row r="8851" spans="2:27" s="979" customFormat="1" hidden="1">
      <c r="B8851" s="1543" t="s">
        <v>708</v>
      </c>
      <c r="C8851" s="2075" t="s">
        <v>3765</v>
      </c>
      <c r="D8851" s="2075"/>
      <c r="E8851" s="2075"/>
      <c r="F8851" s="2075"/>
      <c r="G8851" s="2075"/>
      <c r="H8851" s="1107">
        <f>ROUND(SUM(H8849:H8850),2)</f>
        <v>249656.38</v>
      </c>
      <c r="J8851" s="1557"/>
      <c r="K8851" s="1557"/>
      <c r="L8851" s="1557"/>
      <c r="M8851" s="1566"/>
    </row>
    <row r="8852" spans="2:27" s="979" customFormat="1" hidden="1">
      <c r="B8852" s="1095"/>
      <c r="C8852" s="1096"/>
      <c r="D8852" s="1095"/>
      <c r="E8852" s="1095"/>
      <c r="F8852" s="1172"/>
      <c r="G8852" s="1173"/>
      <c r="H8852" s="1133"/>
      <c r="J8852" s="1557"/>
      <c r="K8852" s="1557"/>
      <c r="L8852" s="1557"/>
      <c r="M8852" s="1566"/>
    </row>
    <row r="8853" spans="2:27" s="979" customFormat="1" hidden="1">
      <c r="B8853" s="1100" t="s">
        <v>4509</v>
      </c>
      <c r="C8853" s="1264" t="s">
        <v>3534</v>
      </c>
      <c r="D8853" s="1095"/>
      <c r="E8853" s="1095"/>
      <c r="F8853" s="1172"/>
      <c r="G8853" s="1173"/>
      <c r="H8853" s="1133"/>
      <c r="J8853" s="1557"/>
      <c r="K8853" s="1557"/>
      <c r="L8853" s="1815" t="s">
        <v>4509</v>
      </c>
      <c r="M8853" s="1571" t="s">
        <v>3534</v>
      </c>
      <c r="N8853" s="978"/>
      <c r="O8853" s="978"/>
      <c r="P8853" s="1816"/>
      <c r="Q8853" s="1817"/>
      <c r="R8853" s="1035"/>
      <c r="U8853" s="1036" t="s">
        <v>5037</v>
      </c>
      <c r="V8853" s="1037" t="s">
        <v>5038</v>
      </c>
      <c r="W8853" s="978"/>
      <c r="X8853" s="978"/>
      <c r="Y8853" s="1033"/>
      <c r="Z8853" s="1034"/>
      <c r="AA8853" s="1035"/>
    </row>
    <row r="8854" spans="2:27" s="979" customFormat="1" ht="24.9" hidden="1" customHeight="1">
      <c r="B8854" s="1748" t="s">
        <v>1003</v>
      </c>
      <c r="C8854" s="1101" t="s">
        <v>1004</v>
      </c>
      <c r="D8854" s="1101" t="s">
        <v>1005</v>
      </c>
      <c r="E8854" s="1101" t="s">
        <v>1006</v>
      </c>
      <c r="F8854" s="1102" t="s">
        <v>1007</v>
      </c>
      <c r="G8854" s="1109" t="s">
        <v>2637</v>
      </c>
      <c r="H8854" s="1110" t="s">
        <v>2638</v>
      </c>
      <c r="J8854" s="1557"/>
      <c r="K8854" s="1557"/>
      <c r="L8854" s="1572" t="s">
        <v>1003</v>
      </c>
      <c r="M8854" s="1572" t="s">
        <v>1004</v>
      </c>
      <c r="N8854" s="1038" t="s">
        <v>1005</v>
      </c>
      <c r="O8854" s="1038" t="s">
        <v>1006</v>
      </c>
      <c r="P8854" s="1039" t="s">
        <v>1007</v>
      </c>
      <c r="Q8854" s="1818" t="s">
        <v>2637</v>
      </c>
      <c r="R8854" s="1809" t="s">
        <v>2638</v>
      </c>
      <c r="U8854" s="1038" t="s">
        <v>1003</v>
      </c>
      <c r="V8854" s="1038" t="s">
        <v>1004</v>
      </c>
      <c r="W8854" s="1038" t="s">
        <v>1005</v>
      </c>
      <c r="X8854" s="1038" t="s">
        <v>1006</v>
      </c>
      <c r="Y8854" s="1039" t="s">
        <v>1007</v>
      </c>
      <c r="Z8854" s="1040" t="s">
        <v>2637</v>
      </c>
      <c r="AA8854" s="1041" t="s">
        <v>2638</v>
      </c>
    </row>
    <row r="8855" spans="2:27" s="979" customFormat="1" hidden="1">
      <c r="B8855" s="1543" t="s">
        <v>671</v>
      </c>
      <c r="C8855" s="1329" t="s">
        <v>672</v>
      </c>
      <c r="D8855" s="1331"/>
      <c r="E8855" s="1331"/>
      <c r="F8855" s="1334"/>
      <c r="G8855" s="1104"/>
      <c r="H8855" s="1106"/>
      <c r="J8855" s="1557"/>
      <c r="K8855" s="1557"/>
      <c r="L8855" s="1573" t="s">
        <v>671</v>
      </c>
      <c r="M8855" s="1574" t="s">
        <v>672</v>
      </c>
      <c r="N8855" s="1045"/>
      <c r="O8855" s="1045"/>
      <c r="P8855" s="1046"/>
      <c r="Q8855" s="1819"/>
      <c r="R8855" s="1810"/>
      <c r="U8855" s="1043" t="s">
        <v>671</v>
      </c>
      <c r="V8855" s="1044" t="s">
        <v>672</v>
      </c>
      <c r="W8855" s="1045"/>
      <c r="X8855" s="1045"/>
      <c r="Y8855" s="1046"/>
      <c r="Z8855" s="1047"/>
      <c r="AA8855" s="1048"/>
    </row>
    <row r="8856" spans="2:27" s="979" customFormat="1" hidden="1">
      <c r="B8856" s="1540"/>
      <c r="C8856" s="1332" t="s">
        <v>673</v>
      </c>
      <c r="D8856" s="1331" t="s">
        <v>674</v>
      </c>
      <c r="E8856" s="1331" t="s">
        <v>675</v>
      </c>
      <c r="F8856" s="1334">
        <v>0.25</v>
      </c>
      <c r="G8856" s="1104">
        <f>$G$2491</f>
        <v>150000</v>
      </c>
      <c r="H8856" s="1106">
        <f>G8856*F8856</f>
        <v>37500</v>
      </c>
      <c r="J8856" s="1557"/>
      <c r="K8856" s="1557"/>
      <c r="L8856" s="1575"/>
      <c r="M8856" s="1576" t="s">
        <v>673</v>
      </c>
      <c r="N8856" s="1045" t="s">
        <v>674</v>
      </c>
      <c r="O8856" s="1045" t="s">
        <v>675</v>
      </c>
      <c r="P8856" s="1046">
        <v>0.25</v>
      </c>
      <c r="Q8856" s="1819">
        <f>$G$2491</f>
        <v>150000</v>
      </c>
      <c r="R8856" s="1810">
        <f>Q8856*P8856</f>
        <v>37500</v>
      </c>
      <c r="U8856" s="1045"/>
      <c r="V8856" s="1049" t="s">
        <v>673</v>
      </c>
      <c r="W8856" s="1045" t="s">
        <v>674</v>
      </c>
      <c r="X8856" s="1045" t="s">
        <v>675</v>
      </c>
      <c r="Y8856" s="1046">
        <v>0.25</v>
      </c>
      <c r="Z8856" s="1047">
        <f>$G$2491</f>
        <v>150000</v>
      </c>
      <c r="AA8856" s="1048">
        <f>Z8856*Y8856</f>
        <v>37500</v>
      </c>
    </row>
    <row r="8857" spans="2:27" s="979" customFormat="1" hidden="1">
      <c r="B8857" s="1540"/>
      <c r="C8857" s="1332" t="s">
        <v>4300</v>
      </c>
      <c r="D8857" s="1331" t="s">
        <v>678</v>
      </c>
      <c r="E8857" s="1331" t="s">
        <v>675</v>
      </c>
      <c r="F8857" s="1334">
        <v>0.25</v>
      </c>
      <c r="G8857" s="1104">
        <f>$G$2492</f>
        <v>187000</v>
      </c>
      <c r="H8857" s="1106">
        <f t="shared" ref="H8857:H8859" si="223">G8857*F8857</f>
        <v>46750</v>
      </c>
      <c r="J8857" s="1557"/>
      <c r="K8857" s="1557"/>
      <c r="L8857" s="1575"/>
      <c r="M8857" s="1576" t="s">
        <v>4300</v>
      </c>
      <c r="N8857" s="1045" t="s">
        <v>678</v>
      </c>
      <c r="O8857" s="1045" t="s">
        <v>675</v>
      </c>
      <c r="P8857" s="1046">
        <v>0.25</v>
      </c>
      <c r="Q8857" s="1819">
        <f>$G$2492</f>
        <v>187000</v>
      </c>
      <c r="R8857" s="1810">
        <f t="shared" ref="R8857:R8859" si="224">Q8857*P8857</f>
        <v>46750</v>
      </c>
      <c r="U8857" s="1045"/>
      <c r="V8857" s="1049" t="s">
        <v>4300</v>
      </c>
      <c r="W8857" s="1045" t="s">
        <v>678</v>
      </c>
      <c r="X8857" s="1045" t="s">
        <v>675</v>
      </c>
      <c r="Y8857" s="1046">
        <v>0.25</v>
      </c>
      <c r="Z8857" s="1047">
        <f>$G$2492</f>
        <v>187000</v>
      </c>
      <c r="AA8857" s="1048">
        <f t="shared" ref="AA8857:AA8859" si="225">Z8857*Y8857</f>
        <v>46750</v>
      </c>
    </row>
    <row r="8858" spans="2:27" s="979" customFormat="1" hidden="1">
      <c r="B8858" s="1540"/>
      <c r="C8858" s="1332" t="s">
        <v>680</v>
      </c>
      <c r="D8858" s="1331" t="s">
        <v>681</v>
      </c>
      <c r="E8858" s="1331" t="s">
        <v>675</v>
      </c>
      <c r="F8858" s="1334">
        <v>2.5000000000000001E-2</v>
      </c>
      <c r="G8858" s="1104">
        <f>$G$2493</f>
        <v>240000</v>
      </c>
      <c r="H8858" s="1106">
        <f t="shared" si="223"/>
        <v>6000</v>
      </c>
      <c r="J8858" s="1557"/>
      <c r="K8858" s="1557"/>
      <c r="L8858" s="1575"/>
      <c r="M8858" s="1576" t="s">
        <v>680</v>
      </c>
      <c r="N8858" s="1045" t="s">
        <v>681</v>
      </c>
      <c r="O8858" s="1045" t="s">
        <v>675</v>
      </c>
      <c r="P8858" s="1046">
        <v>2.5000000000000001E-2</v>
      </c>
      <c r="Q8858" s="1819"/>
      <c r="R8858" s="1810">
        <f t="shared" si="224"/>
        <v>0</v>
      </c>
      <c r="U8858" s="1045"/>
      <c r="V8858" s="1049" t="s">
        <v>680</v>
      </c>
      <c r="W8858" s="1045" t="s">
        <v>681</v>
      </c>
      <c r="X8858" s="1045" t="s">
        <v>675</v>
      </c>
      <c r="Y8858" s="1046">
        <v>2.5000000000000001E-2</v>
      </c>
      <c r="Z8858" s="1047"/>
      <c r="AA8858" s="1048">
        <f t="shared" si="225"/>
        <v>0</v>
      </c>
    </row>
    <row r="8859" spans="2:27" s="979" customFormat="1" hidden="1">
      <c r="B8859" s="1540"/>
      <c r="C8859" s="1332" t="s">
        <v>683</v>
      </c>
      <c r="D8859" s="1331" t="s">
        <v>684</v>
      </c>
      <c r="E8859" s="1331" t="s">
        <v>675</v>
      </c>
      <c r="F8859" s="1334">
        <v>2.5000000000000001E-3</v>
      </c>
      <c r="G8859" s="1104">
        <f>$G$2494</f>
        <v>225000</v>
      </c>
      <c r="H8859" s="1106">
        <f t="shared" si="223"/>
        <v>562.5</v>
      </c>
      <c r="J8859" s="1557"/>
      <c r="K8859" s="1557"/>
      <c r="L8859" s="1575"/>
      <c r="M8859" s="1576" t="s">
        <v>683</v>
      </c>
      <c r="N8859" s="1045" t="s">
        <v>684</v>
      </c>
      <c r="O8859" s="1045" t="s">
        <v>675</v>
      </c>
      <c r="P8859" s="1046">
        <v>2.5000000000000001E-3</v>
      </c>
      <c r="Q8859" s="1819"/>
      <c r="R8859" s="1810">
        <f t="shared" si="224"/>
        <v>0</v>
      </c>
      <c r="U8859" s="1045"/>
      <c r="V8859" s="1049" t="s">
        <v>683</v>
      </c>
      <c r="W8859" s="1045" t="s">
        <v>684</v>
      </c>
      <c r="X8859" s="1045" t="s">
        <v>675</v>
      </c>
      <c r="Y8859" s="1046">
        <v>2.5000000000000001E-3</v>
      </c>
      <c r="Z8859" s="1047"/>
      <c r="AA8859" s="1048">
        <f t="shared" si="225"/>
        <v>0</v>
      </c>
    </row>
    <row r="8860" spans="2:27" s="979" customFormat="1" hidden="1">
      <c r="B8860" s="1540"/>
      <c r="C8860" s="1332"/>
      <c r="D8860" s="1331"/>
      <c r="E8860" s="1331"/>
      <c r="F8860" s="2110" t="s">
        <v>685</v>
      </c>
      <c r="G8860" s="2110"/>
      <c r="H8860" s="1106">
        <f>SUM(H8856:H8859)</f>
        <v>90812.5</v>
      </c>
      <c r="J8860" s="1557"/>
      <c r="K8860" s="1557"/>
      <c r="L8860" s="1575"/>
      <c r="M8860" s="1576"/>
      <c r="N8860" s="1045"/>
      <c r="O8860" s="1045"/>
      <c r="P8860" s="2156" t="s">
        <v>685</v>
      </c>
      <c r="Q8860" s="2157"/>
      <c r="R8860" s="1810">
        <f>SUM(R8856:R8859)</f>
        <v>84250</v>
      </c>
      <c r="U8860" s="1045"/>
      <c r="V8860" s="1049"/>
      <c r="W8860" s="1045"/>
      <c r="X8860" s="1045"/>
      <c r="Y8860" s="2156" t="s">
        <v>685</v>
      </c>
      <c r="Z8860" s="2156"/>
      <c r="AA8860" s="1048">
        <f>SUM(AA8856:AA8859)</f>
        <v>84250</v>
      </c>
    </row>
    <row r="8861" spans="2:27" s="979" customFormat="1" hidden="1">
      <c r="B8861" s="1543" t="s">
        <v>686</v>
      </c>
      <c r="C8861" s="1329" t="s">
        <v>687</v>
      </c>
      <c r="D8861" s="1331"/>
      <c r="E8861" s="1331"/>
      <c r="F8861" s="1334"/>
      <c r="G8861" s="1104"/>
      <c r="H8861" s="1106"/>
      <c r="J8861" s="1557"/>
      <c r="K8861" s="1557"/>
      <c r="L8861" s="1573" t="s">
        <v>686</v>
      </c>
      <c r="M8861" s="1574" t="s">
        <v>687</v>
      </c>
      <c r="N8861" s="1045"/>
      <c r="O8861" s="1045"/>
      <c r="P8861" s="1046"/>
      <c r="Q8861" s="1819"/>
      <c r="R8861" s="1810"/>
      <c r="U8861" s="1043" t="s">
        <v>686</v>
      </c>
      <c r="V8861" s="1044" t="s">
        <v>687</v>
      </c>
      <c r="W8861" s="1045"/>
      <c r="X8861" s="1045"/>
      <c r="Y8861" s="1046"/>
      <c r="Z8861" s="1047"/>
      <c r="AA8861" s="1048"/>
    </row>
    <row r="8862" spans="2:27" s="979" customFormat="1" hidden="1">
      <c r="B8862" s="1540"/>
      <c r="C8862" s="1812" t="s">
        <v>4502</v>
      </c>
      <c r="D8862" s="1331"/>
      <c r="E8862" s="1331" t="s">
        <v>1452</v>
      </c>
      <c r="F8862" s="1813">
        <f>9*2</f>
        <v>18</v>
      </c>
      <c r="G8862" s="1104">
        <f>DUB!$I$400</f>
        <v>7650</v>
      </c>
      <c r="H8862" s="1106">
        <f>G8862*F8862</f>
        <v>137700</v>
      </c>
      <c r="J8862" s="1557"/>
      <c r="K8862" s="1557"/>
      <c r="L8862" s="1575"/>
      <c r="M8862" s="1820" t="s">
        <v>4502</v>
      </c>
      <c r="N8862" s="1045"/>
      <c r="O8862" s="1045" t="s">
        <v>1452</v>
      </c>
      <c r="P8862" s="1821">
        <v>3</v>
      </c>
      <c r="Q8862" s="1819">
        <f>DUB!$I$400</f>
        <v>7650</v>
      </c>
      <c r="R8862" s="1810">
        <f>Q8862*P8862</f>
        <v>22950</v>
      </c>
      <c r="U8862" s="1045"/>
      <c r="V8862" s="1050" t="s">
        <v>5039</v>
      </c>
      <c r="W8862" s="1045"/>
      <c r="X8862" s="1045" t="s">
        <v>1452</v>
      </c>
      <c r="Y8862" s="1051">
        <v>3</v>
      </c>
      <c r="Z8862" s="1047">
        <f>DUB!I406</f>
        <v>25911</v>
      </c>
      <c r="AA8862" s="1048">
        <f>Z8862*Y8862</f>
        <v>77733</v>
      </c>
    </row>
    <row r="8863" spans="2:27" s="979" customFormat="1" hidden="1">
      <c r="B8863" s="1540"/>
      <c r="C8863" s="1812" t="s">
        <v>3128</v>
      </c>
      <c r="D8863" s="1331"/>
      <c r="E8863" s="1331" t="s">
        <v>3129</v>
      </c>
      <c r="F8863" s="1813">
        <v>3</v>
      </c>
      <c r="G8863" s="1104">
        <f>DUB!$I$412</f>
        <v>10008</v>
      </c>
      <c r="H8863" s="1106">
        <f t="shared" ref="H8863:H8864" si="226">G8863*F8863</f>
        <v>30024</v>
      </c>
      <c r="J8863" s="1557"/>
      <c r="K8863" s="1557"/>
      <c r="L8863" s="1575"/>
      <c r="M8863" s="1820" t="s">
        <v>3128</v>
      </c>
      <c r="N8863" s="1045"/>
      <c r="O8863" s="1045" t="s">
        <v>3129</v>
      </c>
      <c r="P8863" s="1821">
        <v>3</v>
      </c>
      <c r="Q8863" s="1819">
        <f>DUB!$I$412</f>
        <v>10008</v>
      </c>
      <c r="R8863" s="1810">
        <f t="shared" ref="R8863:R8864" si="227">Q8863*P8863</f>
        <v>30024</v>
      </c>
      <c r="U8863" s="1045"/>
      <c r="V8863" s="1050" t="s">
        <v>3128</v>
      </c>
      <c r="W8863" s="1045"/>
      <c r="X8863" s="1045" t="s">
        <v>3129</v>
      </c>
      <c r="Y8863" s="1051">
        <v>3</v>
      </c>
      <c r="Z8863" s="1047">
        <f>DUB!$I$412</f>
        <v>10008</v>
      </c>
      <c r="AA8863" s="1048">
        <f t="shared" ref="AA8863:AA8864" si="228">Z8863*Y8863</f>
        <v>30024</v>
      </c>
    </row>
    <row r="8864" spans="2:27" s="979" customFormat="1" hidden="1">
      <c r="B8864" s="1540"/>
      <c r="C8864" s="1812" t="s">
        <v>3509</v>
      </c>
      <c r="D8864" s="1331"/>
      <c r="E8864" s="1331" t="s">
        <v>1011</v>
      </c>
      <c r="F8864" s="1813">
        <v>1</v>
      </c>
      <c r="G8864" s="1104">
        <v>1000</v>
      </c>
      <c r="H8864" s="1106">
        <f t="shared" si="226"/>
        <v>1000</v>
      </c>
      <c r="J8864" s="1557"/>
      <c r="K8864" s="1557"/>
      <c r="L8864" s="1575"/>
      <c r="M8864" s="1820" t="s">
        <v>3509</v>
      </c>
      <c r="N8864" s="1045"/>
      <c r="O8864" s="1045" t="s">
        <v>1011</v>
      </c>
      <c r="P8864" s="1821">
        <v>1</v>
      </c>
      <c r="Q8864" s="1819">
        <v>1000</v>
      </c>
      <c r="R8864" s="1810">
        <f t="shared" si="227"/>
        <v>1000</v>
      </c>
      <c r="U8864" s="1045"/>
      <c r="V8864" s="1050" t="s">
        <v>3509</v>
      </c>
      <c r="W8864" s="1045"/>
      <c r="X8864" s="1045" t="s">
        <v>1011</v>
      </c>
      <c r="Y8864" s="1051">
        <v>1</v>
      </c>
      <c r="Z8864" s="1047">
        <v>1000</v>
      </c>
      <c r="AA8864" s="1048">
        <f t="shared" si="228"/>
        <v>1000</v>
      </c>
    </row>
    <row r="8865" spans="2:27" s="979" customFormat="1" hidden="1">
      <c r="B8865" s="1540"/>
      <c r="C8865" s="1125"/>
      <c r="D8865" s="1333"/>
      <c r="E8865" s="1333"/>
      <c r="F8865" s="2074" t="s">
        <v>702</v>
      </c>
      <c r="G8865" s="2074"/>
      <c r="H8865" s="1106">
        <f>SUM(H8862:H8864)</f>
        <v>168724</v>
      </c>
      <c r="J8865" s="1557"/>
      <c r="K8865" s="1557"/>
      <c r="L8865" s="1575"/>
      <c r="M8865" s="1577"/>
      <c r="N8865" s="1053"/>
      <c r="O8865" s="1053"/>
      <c r="P8865" s="2158" t="s">
        <v>702</v>
      </c>
      <c r="Q8865" s="2159"/>
      <c r="R8865" s="1810">
        <f>SUM(R8862:R8864)</f>
        <v>53974</v>
      </c>
      <c r="U8865" s="1045"/>
      <c r="V8865" s="1052"/>
      <c r="W8865" s="1053"/>
      <c r="X8865" s="1053"/>
      <c r="Y8865" s="2158" t="s">
        <v>702</v>
      </c>
      <c r="Z8865" s="2158"/>
      <c r="AA8865" s="1048">
        <f>SUM(AA8862:AA8864)</f>
        <v>108757</v>
      </c>
    </row>
    <row r="8866" spans="2:27" s="979" customFormat="1" hidden="1">
      <c r="B8866" s="1543" t="s">
        <v>703</v>
      </c>
      <c r="C8866" s="2075" t="s">
        <v>3764</v>
      </c>
      <c r="D8866" s="2075"/>
      <c r="E8866" s="2075"/>
      <c r="F8866" s="2075"/>
      <c r="G8866" s="2075"/>
      <c r="H8866" s="1107">
        <f>H8860+H8865</f>
        <v>259536.5</v>
      </c>
      <c r="J8866" s="1557"/>
      <c r="K8866" s="1557"/>
      <c r="L8866" s="1573" t="s">
        <v>703</v>
      </c>
      <c r="M8866" s="2160" t="s">
        <v>3764</v>
      </c>
      <c r="N8866" s="2160"/>
      <c r="O8866" s="2160"/>
      <c r="P8866" s="2160"/>
      <c r="Q8866" s="2161"/>
      <c r="R8866" s="1811">
        <f>R8860+R8865</f>
        <v>138224</v>
      </c>
      <c r="U8866" s="1043" t="s">
        <v>703</v>
      </c>
      <c r="V8866" s="2160" t="s">
        <v>3764</v>
      </c>
      <c r="W8866" s="2160"/>
      <c r="X8866" s="2160"/>
      <c r="Y8866" s="2160"/>
      <c r="Z8866" s="2160"/>
      <c r="AA8866" s="1054">
        <f>AA8860+AA8865</f>
        <v>193007</v>
      </c>
    </row>
    <row r="8867" spans="2:27" s="979" customFormat="1" hidden="1">
      <c r="B8867" s="1543" t="s">
        <v>706</v>
      </c>
      <c r="C8867" s="2076" t="s">
        <v>876</v>
      </c>
      <c r="D8867" s="2076"/>
      <c r="E8867" s="2076"/>
      <c r="F8867" s="2077" t="s">
        <v>3873</v>
      </c>
      <c r="G8867" s="2077"/>
      <c r="H8867" s="1107">
        <f>H8866*0.15</f>
        <v>38930.474999999999</v>
      </c>
      <c r="J8867" s="1557"/>
      <c r="K8867" s="1557"/>
      <c r="L8867" s="1573" t="s">
        <v>706</v>
      </c>
      <c r="M8867" s="2162" t="s">
        <v>876</v>
      </c>
      <c r="N8867" s="2162"/>
      <c r="O8867" s="2162"/>
      <c r="P8867" s="2163" t="s">
        <v>3873</v>
      </c>
      <c r="Q8867" s="2164"/>
      <c r="R8867" s="1811">
        <f>R8866*0.15</f>
        <v>20733.599999999999</v>
      </c>
      <c r="U8867" s="1043" t="s">
        <v>706</v>
      </c>
      <c r="V8867" s="2162" t="s">
        <v>876</v>
      </c>
      <c r="W8867" s="2162"/>
      <c r="X8867" s="2162"/>
      <c r="Y8867" s="2163" t="s">
        <v>3873</v>
      </c>
      <c r="Z8867" s="2163"/>
      <c r="AA8867" s="1054">
        <f>AA8866*0.15</f>
        <v>28951.05</v>
      </c>
    </row>
    <row r="8868" spans="2:27" s="979" customFormat="1" hidden="1">
      <c r="B8868" s="1543" t="s">
        <v>708</v>
      </c>
      <c r="C8868" s="2075" t="s">
        <v>3765</v>
      </c>
      <c r="D8868" s="2075"/>
      <c r="E8868" s="2075"/>
      <c r="F8868" s="2075"/>
      <c r="G8868" s="2075"/>
      <c r="H8868" s="1107">
        <f>ROUND(SUM(H8866:H8867),2)</f>
        <v>298466.98</v>
      </c>
      <c r="J8868" s="1557"/>
      <c r="K8868" s="1557"/>
      <c r="L8868" s="1573" t="s">
        <v>708</v>
      </c>
      <c r="M8868" s="2160" t="s">
        <v>3765</v>
      </c>
      <c r="N8868" s="2160"/>
      <c r="O8868" s="2160"/>
      <c r="P8868" s="2160"/>
      <c r="Q8868" s="2161"/>
      <c r="R8868" s="1811">
        <f>ROUND(SUM(R8866:R8867),2)</f>
        <v>158957.6</v>
      </c>
      <c r="U8868" s="1043" t="s">
        <v>708</v>
      </c>
      <c r="V8868" s="2160" t="s">
        <v>3765</v>
      </c>
      <c r="W8868" s="2160"/>
      <c r="X8868" s="2160"/>
      <c r="Y8868" s="2160"/>
      <c r="Z8868" s="2160"/>
      <c r="AA8868" s="1054">
        <f>ROUND(SUM(AA8866:AA8867),2)</f>
        <v>221958.05</v>
      </c>
    </row>
    <row r="8869" spans="2:27" s="979" customFormat="1" hidden="1">
      <c r="B8869" s="1095"/>
      <c r="C8869" s="1096"/>
      <c r="D8869" s="1095"/>
      <c r="E8869" s="1095"/>
      <c r="F8869" s="1172"/>
      <c r="G8869" s="1173"/>
      <c r="H8869" s="1133"/>
      <c r="J8869" s="1557"/>
      <c r="K8869" s="1557"/>
      <c r="L8869" s="1557"/>
      <c r="M8869" s="1566"/>
    </row>
    <row r="8870" spans="2:27" s="979" customFormat="1" hidden="1">
      <c r="B8870" s="1100" t="s">
        <v>4510</v>
      </c>
      <c r="C8870" s="1264" t="s">
        <v>3535</v>
      </c>
      <c r="D8870" s="1095"/>
      <c r="E8870" s="1095"/>
      <c r="F8870" s="1172"/>
      <c r="G8870" s="1173"/>
      <c r="H8870" s="1133"/>
      <c r="J8870" s="1557"/>
      <c r="K8870" s="1557"/>
      <c r="L8870" s="1557"/>
      <c r="M8870" s="1566"/>
    </row>
    <row r="8871" spans="2:27" s="979" customFormat="1" ht="24.9" hidden="1" customHeight="1">
      <c r="B8871" s="1748" t="s">
        <v>1003</v>
      </c>
      <c r="C8871" s="1101" t="s">
        <v>1004</v>
      </c>
      <c r="D8871" s="1101" t="s">
        <v>1005</v>
      </c>
      <c r="E8871" s="1101" t="s">
        <v>1006</v>
      </c>
      <c r="F8871" s="1102" t="s">
        <v>1007</v>
      </c>
      <c r="G8871" s="1109" t="s">
        <v>2637</v>
      </c>
      <c r="H8871" s="1110" t="s">
        <v>2638</v>
      </c>
      <c r="J8871" s="1557"/>
      <c r="K8871" s="1557"/>
      <c r="L8871" s="1557"/>
      <c r="M8871" s="1566"/>
    </row>
    <row r="8872" spans="2:27" s="979" customFormat="1" hidden="1">
      <c r="B8872" s="1543" t="s">
        <v>671</v>
      </c>
      <c r="C8872" s="1329" t="s">
        <v>672</v>
      </c>
      <c r="D8872" s="1331"/>
      <c r="E8872" s="1331"/>
      <c r="F8872" s="1334"/>
      <c r="G8872" s="1104"/>
      <c r="H8872" s="1106"/>
      <c r="J8872" s="1557"/>
      <c r="K8872" s="1557"/>
      <c r="L8872" s="1557"/>
      <c r="M8872" s="1566"/>
    </row>
    <row r="8873" spans="2:27" s="979" customFormat="1" hidden="1">
      <c r="B8873" s="1540"/>
      <c r="C8873" s="1332" t="s">
        <v>673</v>
      </c>
      <c r="D8873" s="1331" t="s">
        <v>674</v>
      </c>
      <c r="E8873" s="1331" t="s">
        <v>675</v>
      </c>
      <c r="F8873" s="1334">
        <v>0.25</v>
      </c>
      <c r="G8873" s="1104">
        <f>$G$2491</f>
        <v>150000</v>
      </c>
      <c r="H8873" s="1106">
        <f>G8873*F8873</f>
        <v>37500</v>
      </c>
      <c r="J8873" s="1557"/>
      <c r="K8873" s="1557"/>
      <c r="L8873" s="1557"/>
      <c r="M8873" s="1566"/>
    </row>
    <row r="8874" spans="2:27" s="979" customFormat="1" hidden="1">
      <c r="B8874" s="1540"/>
      <c r="C8874" s="1332" t="s">
        <v>4300</v>
      </c>
      <c r="D8874" s="1331" t="s">
        <v>678</v>
      </c>
      <c r="E8874" s="1331" t="s">
        <v>675</v>
      </c>
      <c r="F8874" s="1334">
        <v>0.25</v>
      </c>
      <c r="G8874" s="1104">
        <f>$G$2492</f>
        <v>187000</v>
      </c>
      <c r="H8874" s="1106">
        <f t="shared" ref="H8874:H8876" si="229">G8874*F8874</f>
        <v>46750</v>
      </c>
      <c r="J8874" s="1557"/>
      <c r="K8874" s="1557"/>
      <c r="L8874" s="1557"/>
      <c r="M8874" s="1566"/>
    </row>
    <row r="8875" spans="2:27" s="979" customFormat="1" hidden="1">
      <c r="B8875" s="1540"/>
      <c r="C8875" s="1332" t="s">
        <v>680</v>
      </c>
      <c r="D8875" s="1331" t="s">
        <v>681</v>
      </c>
      <c r="E8875" s="1331" t="s">
        <v>675</v>
      </c>
      <c r="F8875" s="1334">
        <v>2.5000000000000001E-2</v>
      </c>
      <c r="G8875" s="1104">
        <f>$G$2493</f>
        <v>240000</v>
      </c>
      <c r="H8875" s="1106">
        <f t="shared" si="229"/>
        <v>6000</v>
      </c>
      <c r="J8875" s="1557"/>
      <c r="K8875" s="1557"/>
      <c r="L8875" s="1557"/>
      <c r="M8875" s="1566"/>
    </row>
    <row r="8876" spans="2:27" s="979" customFormat="1" hidden="1">
      <c r="B8876" s="1540"/>
      <c r="C8876" s="1332" t="s">
        <v>683</v>
      </c>
      <c r="D8876" s="1331" t="s">
        <v>684</v>
      </c>
      <c r="E8876" s="1331" t="s">
        <v>675</v>
      </c>
      <c r="F8876" s="1334">
        <v>2.5000000000000001E-3</v>
      </c>
      <c r="G8876" s="1104">
        <f>$G$2494</f>
        <v>225000</v>
      </c>
      <c r="H8876" s="1106">
        <f t="shared" si="229"/>
        <v>562.5</v>
      </c>
      <c r="J8876" s="1557"/>
      <c r="K8876" s="1557"/>
      <c r="L8876" s="1557"/>
      <c r="M8876" s="1566"/>
    </row>
    <row r="8877" spans="2:27" s="979" customFormat="1" hidden="1">
      <c r="B8877" s="1540"/>
      <c r="C8877" s="1332"/>
      <c r="D8877" s="1331"/>
      <c r="E8877" s="1331"/>
      <c r="F8877" s="2110" t="s">
        <v>685</v>
      </c>
      <c r="G8877" s="2110"/>
      <c r="H8877" s="1106">
        <f>SUM(H8873:H8876)</f>
        <v>90812.5</v>
      </c>
      <c r="J8877" s="1557"/>
      <c r="K8877" s="1557"/>
      <c r="L8877" s="1557"/>
      <c r="M8877" s="1566"/>
    </row>
    <row r="8878" spans="2:27" s="979" customFormat="1" hidden="1">
      <c r="B8878" s="1543" t="s">
        <v>686</v>
      </c>
      <c r="C8878" s="1329" t="s">
        <v>687</v>
      </c>
      <c r="D8878" s="1331"/>
      <c r="E8878" s="1331"/>
      <c r="F8878" s="1334"/>
      <c r="G8878" s="1104"/>
      <c r="H8878" s="1106"/>
      <c r="J8878" s="1557"/>
      <c r="K8878" s="1557"/>
      <c r="L8878" s="1557"/>
      <c r="M8878" s="1566"/>
    </row>
    <row r="8879" spans="2:27" s="979" customFormat="1" hidden="1">
      <c r="B8879" s="1540"/>
      <c r="C8879" s="1812" t="s">
        <v>4505</v>
      </c>
      <c r="D8879" s="1331"/>
      <c r="E8879" s="1331" t="s">
        <v>1452</v>
      </c>
      <c r="F8879" s="1813">
        <f>9*2</f>
        <v>18</v>
      </c>
      <c r="G8879" s="1104">
        <f>DUB!$I$399</f>
        <v>3528</v>
      </c>
      <c r="H8879" s="1106">
        <f>G8879*F8879</f>
        <v>63504</v>
      </c>
      <c r="J8879" s="1557"/>
      <c r="K8879" s="1557"/>
      <c r="L8879" s="1557"/>
      <c r="M8879" s="1566"/>
    </row>
    <row r="8880" spans="2:27" s="979" customFormat="1" hidden="1">
      <c r="B8880" s="1540"/>
      <c r="C8880" s="1812" t="s">
        <v>3128</v>
      </c>
      <c r="D8880" s="1331"/>
      <c r="E8880" s="1331" t="s">
        <v>3129</v>
      </c>
      <c r="F8880" s="1813">
        <v>3</v>
      </c>
      <c r="G8880" s="1104">
        <f>DUB!$I$412</f>
        <v>10008</v>
      </c>
      <c r="H8880" s="1106">
        <f t="shared" ref="H8880:H8881" si="230">G8880*F8880</f>
        <v>30024</v>
      </c>
      <c r="J8880" s="1557"/>
      <c r="K8880" s="1557"/>
      <c r="L8880" s="1557"/>
      <c r="M8880" s="1566"/>
    </row>
    <row r="8881" spans="2:13" s="979" customFormat="1" hidden="1">
      <c r="B8881" s="1540"/>
      <c r="C8881" s="1812" t="s">
        <v>3509</v>
      </c>
      <c r="D8881" s="1331"/>
      <c r="E8881" s="1331" t="s">
        <v>1011</v>
      </c>
      <c r="F8881" s="1813">
        <v>1</v>
      </c>
      <c r="G8881" s="1104">
        <v>1000</v>
      </c>
      <c r="H8881" s="1106">
        <f t="shared" si="230"/>
        <v>1000</v>
      </c>
      <c r="J8881" s="1557"/>
      <c r="K8881" s="1557"/>
      <c r="L8881" s="1557"/>
      <c r="M8881" s="1566"/>
    </row>
    <row r="8882" spans="2:13" s="979" customFormat="1" hidden="1">
      <c r="B8882" s="1540"/>
      <c r="C8882" s="1125"/>
      <c r="D8882" s="1333"/>
      <c r="E8882" s="1333"/>
      <c r="F8882" s="2074" t="s">
        <v>702</v>
      </c>
      <c r="G8882" s="2074"/>
      <c r="H8882" s="1106">
        <f>SUM(H8879:H8881)</f>
        <v>94528</v>
      </c>
      <c r="J8882" s="1557"/>
      <c r="K8882" s="1557"/>
      <c r="L8882" s="1557"/>
      <c r="M8882" s="1566"/>
    </row>
    <row r="8883" spans="2:13" s="979" customFormat="1" hidden="1">
      <c r="B8883" s="1543" t="s">
        <v>703</v>
      </c>
      <c r="C8883" s="2075" t="s">
        <v>3764</v>
      </c>
      <c r="D8883" s="2075"/>
      <c r="E8883" s="2075"/>
      <c r="F8883" s="2075"/>
      <c r="G8883" s="2075"/>
      <c r="H8883" s="1107">
        <f>H8877+H8882</f>
        <v>185340.5</v>
      </c>
      <c r="J8883" s="1557"/>
      <c r="K8883" s="1557"/>
      <c r="L8883" s="1557"/>
      <c r="M8883" s="1566"/>
    </row>
    <row r="8884" spans="2:13" s="979" customFormat="1" hidden="1">
      <c r="B8884" s="1543" t="s">
        <v>706</v>
      </c>
      <c r="C8884" s="2076" t="s">
        <v>876</v>
      </c>
      <c r="D8884" s="2076"/>
      <c r="E8884" s="2076"/>
      <c r="F8884" s="2077" t="s">
        <v>3873</v>
      </c>
      <c r="G8884" s="2077"/>
      <c r="H8884" s="1107">
        <f>H8883*0.15</f>
        <v>27801.075000000001</v>
      </c>
      <c r="J8884" s="1557"/>
      <c r="K8884" s="1557"/>
      <c r="L8884" s="1557"/>
      <c r="M8884" s="1566"/>
    </row>
    <row r="8885" spans="2:13" s="979" customFormat="1" hidden="1">
      <c r="B8885" s="1543" t="s">
        <v>708</v>
      </c>
      <c r="C8885" s="2075" t="s">
        <v>3765</v>
      </c>
      <c r="D8885" s="2075"/>
      <c r="E8885" s="2075"/>
      <c r="F8885" s="2075"/>
      <c r="G8885" s="2075"/>
      <c r="H8885" s="1107">
        <f>ROUND(SUM(H8883:H8884),2)</f>
        <v>213141.58</v>
      </c>
      <c r="J8885" s="1557"/>
      <c r="K8885" s="1557"/>
      <c r="L8885" s="1557"/>
      <c r="M8885" s="1566"/>
    </row>
    <row r="8886" spans="2:13" s="979" customFormat="1" hidden="1">
      <c r="B8886" s="1095"/>
      <c r="C8886" s="1096"/>
      <c r="D8886" s="1095"/>
      <c r="E8886" s="1095"/>
      <c r="F8886" s="1172"/>
      <c r="G8886" s="1173"/>
      <c r="H8886" s="1133"/>
      <c r="J8886" s="1557"/>
      <c r="K8886" s="1557"/>
      <c r="L8886" s="1557"/>
      <c r="M8886" s="1566"/>
    </row>
    <row r="8887" spans="2:13" s="979" customFormat="1" hidden="1">
      <c r="B8887" s="1100" t="s">
        <v>4301</v>
      </c>
      <c r="C8887" s="1264" t="s">
        <v>4304</v>
      </c>
      <c r="D8887" s="1095"/>
      <c r="E8887" s="1095"/>
      <c r="F8887" s="1172"/>
      <c r="G8887" s="1173"/>
      <c r="H8887" s="1133"/>
      <c r="J8887" s="1557"/>
      <c r="K8887" s="1557"/>
      <c r="L8887" s="1557"/>
      <c r="M8887" s="1566"/>
    </row>
    <row r="8888" spans="2:13" s="979" customFormat="1" ht="24.9" hidden="1" customHeight="1">
      <c r="B8888" s="1748" t="s">
        <v>1003</v>
      </c>
      <c r="C8888" s="1101" t="s">
        <v>1004</v>
      </c>
      <c r="D8888" s="1101" t="s">
        <v>1005</v>
      </c>
      <c r="E8888" s="1101" t="s">
        <v>1006</v>
      </c>
      <c r="F8888" s="1102" t="s">
        <v>1007</v>
      </c>
      <c r="G8888" s="1109" t="s">
        <v>2637</v>
      </c>
      <c r="H8888" s="1110" t="s">
        <v>2638</v>
      </c>
      <c r="J8888" s="1557"/>
      <c r="K8888" s="1557"/>
      <c r="L8888" s="1557"/>
      <c r="M8888" s="1566"/>
    </row>
    <row r="8889" spans="2:13" s="979" customFormat="1" hidden="1">
      <c r="B8889" s="1543" t="s">
        <v>671</v>
      </c>
      <c r="C8889" s="1329" t="s">
        <v>672</v>
      </c>
      <c r="D8889" s="1331"/>
      <c r="E8889" s="1331"/>
      <c r="F8889" s="1334"/>
      <c r="G8889" s="1104"/>
      <c r="H8889" s="1106"/>
      <c r="J8889" s="1557"/>
      <c r="K8889" s="1557"/>
      <c r="L8889" s="1557"/>
      <c r="M8889" s="1566"/>
    </row>
    <row r="8890" spans="2:13" s="979" customFormat="1" hidden="1">
      <c r="B8890" s="1540"/>
      <c r="C8890" s="1332" t="s">
        <v>673</v>
      </c>
      <c r="D8890" s="1331" t="s">
        <v>674</v>
      </c>
      <c r="E8890" s="1331" t="s">
        <v>675</v>
      </c>
      <c r="F8890" s="1334">
        <v>0.1</v>
      </c>
      <c r="G8890" s="1104">
        <f>$G$2491</f>
        <v>150000</v>
      </c>
      <c r="H8890" s="1106">
        <f>G8890*F8890</f>
        <v>15000</v>
      </c>
      <c r="J8890" s="1557"/>
      <c r="K8890" s="1557"/>
      <c r="L8890" s="1557"/>
      <c r="M8890" s="1566"/>
    </row>
    <row r="8891" spans="2:13" s="979" customFormat="1" hidden="1">
      <c r="B8891" s="1540"/>
      <c r="C8891" s="1332" t="s">
        <v>4300</v>
      </c>
      <c r="D8891" s="1331" t="s">
        <v>678</v>
      </c>
      <c r="E8891" s="1331" t="s">
        <v>675</v>
      </c>
      <c r="F8891" s="1334">
        <v>0.1</v>
      </c>
      <c r="G8891" s="1104">
        <f>$G$2492</f>
        <v>187000</v>
      </c>
      <c r="H8891" s="1106">
        <f t="shared" ref="H8891:H8893" si="231">G8891*F8891</f>
        <v>18700</v>
      </c>
      <c r="J8891" s="1557"/>
      <c r="K8891" s="1557"/>
      <c r="L8891" s="1557"/>
      <c r="M8891" s="1566"/>
    </row>
    <row r="8892" spans="2:13" s="979" customFormat="1" hidden="1">
      <c r="B8892" s="1540"/>
      <c r="C8892" s="1332" t="s">
        <v>680</v>
      </c>
      <c r="D8892" s="1331" t="s">
        <v>681</v>
      </c>
      <c r="E8892" s="1331" t="s">
        <v>675</v>
      </c>
      <c r="F8892" s="1334">
        <v>0.01</v>
      </c>
      <c r="G8892" s="1104">
        <f>$G$2493</f>
        <v>240000</v>
      </c>
      <c r="H8892" s="1106">
        <f t="shared" si="231"/>
        <v>2400</v>
      </c>
      <c r="J8892" s="1557"/>
      <c r="K8892" s="1557"/>
      <c r="L8892" s="1557"/>
      <c r="M8892" s="1566"/>
    </row>
    <row r="8893" spans="2:13" s="979" customFormat="1" hidden="1">
      <c r="B8893" s="1540"/>
      <c r="C8893" s="1332" t="s">
        <v>683</v>
      </c>
      <c r="D8893" s="1331" t="s">
        <v>684</v>
      </c>
      <c r="E8893" s="1331" t="s">
        <v>675</v>
      </c>
      <c r="F8893" s="1334">
        <v>1E-3</v>
      </c>
      <c r="G8893" s="1104">
        <f>$G$2494</f>
        <v>225000</v>
      </c>
      <c r="H8893" s="1106">
        <f t="shared" si="231"/>
        <v>225</v>
      </c>
      <c r="J8893" s="1557"/>
      <c r="K8893" s="1557"/>
      <c r="L8893" s="1557"/>
      <c r="M8893" s="1566"/>
    </row>
    <row r="8894" spans="2:13" s="979" customFormat="1" hidden="1">
      <c r="B8894" s="1540"/>
      <c r="C8894" s="1332"/>
      <c r="D8894" s="1331"/>
      <c r="E8894" s="1331"/>
      <c r="F8894" s="2110" t="s">
        <v>685</v>
      </c>
      <c r="G8894" s="2110"/>
      <c r="H8894" s="1106">
        <f>SUM(H8890:H8893)</f>
        <v>36325</v>
      </c>
      <c r="J8894" s="1557"/>
      <c r="K8894" s="1557"/>
      <c r="L8894" s="1557"/>
      <c r="M8894" s="1566"/>
    </row>
    <row r="8895" spans="2:13" s="979" customFormat="1" hidden="1">
      <c r="B8895" s="1543" t="s">
        <v>686</v>
      </c>
      <c r="C8895" s="1329" t="s">
        <v>687</v>
      </c>
      <c r="D8895" s="1331"/>
      <c r="E8895" s="1331"/>
      <c r="F8895" s="1334"/>
      <c r="G8895" s="1104"/>
      <c r="H8895" s="1106"/>
      <c r="J8895" s="1557"/>
      <c r="K8895" s="1557"/>
      <c r="L8895" s="1557"/>
      <c r="M8895" s="1566"/>
    </row>
    <row r="8896" spans="2:13" s="979" customFormat="1" hidden="1">
      <c r="B8896" s="1540"/>
      <c r="C8896" s="1812" t="s">
        <v>4305</v>
      </c>
      <c r="D8896" s="1331"/>
      <c r="E8896" s="1331" t="s">
        <v>1346</v>
      </c>
      <c r="F8896" s="1813">
        <v>1</v>
      </c>
      <c r="G8896" s="1104">
        <f>DUB!$I$375</f>
        <v>153153</v>
      </c>
      <c r="H8896" s="1106">
        <f>G8896*F8896</f>
        <v>153153</v>
      </c>
      <c r="J8896" s="1557"/>
      <c r="K8896" s="1557"/>
      <c r="L8896" s="1557"/>
      <c r="M8896" s="1566"/>
    </row>
    <row r="8897" spans="2:13" s="979" customFormat="1" hidden="1">
      <c r="B8897" s="1540"/>
      <c r="C8897" s="1812" t="s">
        <v>3509</v>
      </c>
      <c r="D8897" s="1331"/>
      <c r="E8897" s="1331" t="s">
        <v>1011</v>
      </c>
      <c r="F8897" s="1813">
        <v>1</v>
      </c>
      <c r="G8897" s="1104">
        <v>1000</v>
      </c>
      <c r="H8897" s="1106">
        <f t="shared" ref="H8897" si="232">G8897*F8897</f>
        <v>1000</v>
      </c>
      <c r="J8897" s="1557"/>
      <c r="K8897" s="1557"/>
      <c r="L8897" s="1557"/>
      <c r="M8897" s="1566"/>
    </row>
    <row r="8898" spans="2:13" s="979" customFormat="1" hidden="1">
      <c r="B8898" s="1540"/>
      <c r="C8898" s="1125"/>
      <c r="D8898" s="1333"/>
      <c r="E8898" s="1333"/>
      <c r="F8898" s="2074" t="s">
        <v>702</v>
      </c>
      <c r="G8898" s="2074"/>
      <c r="H8898" s="1106">
        <f>SUM(H8896:H8897)</f>
        <v>154153</v>
      </c>
      <c r="J8898" s="1557"/>
      <c r="K8898" s="1557"/>
      <c r="L8898" s="1557"/>
      <c r="M8898" s="1566"/>
    </row>
    <row r="8899" spans="2:13" s="979" customFormat="1" hidden="1">
      <c r="B8899" s="1543" t="s">
        <v>703</v>
      </c>
      <c r="C8899" s="2075" t="s">
        <v>3764</v>
      </c>
      <c r="D8899" s="2075"/>
      <c r="E8899" s="2075"/>
      <c r="F8899" s="2075"/>
      <c r="G8899" s="2075"/>
      <c r="H8899" s="1107">
        <f>H8894+H8898</f>
        <v>190478</v>
      </c>
      <c r="J8899" s="1557"/>
      <c r="K8899" s="1557"/>
      <c r="L8899" s="1557"/>
      <c r="M8899" s="1566"/>
    </row>
    <row r="8900" spans="2:13" s="979" customFormat="1" hidden="1">
      <c r="B8900" s="1543" t="s">
        <v>706</v>
      </c>
      <c r="C8900" s="2076" t="s">
        <v>876</v>
      </c>
      <c r="D8900" s="2076"/>
      <c r="E8900" s="2076"/>
      <c r="F8900" s="2077" t="s">
        <v>3873</v>
      </c>
      <c r="G8900" s="2077"/>
      <c r="H8900" s="1107">
        <f>H8899*0.15</f>
        <v>28571.7</v>
      </c>
      <c r="J8900" s="1557"/>
      <c r="K8900" s="1557"/>
      <c r="L8900" s="1557"/>
      <c r="M8900" s="1566"/>
    </row>
    <row r="8901" spans="2:13" s="979" customFormat="1" hidden="1">
      <c r="B8901" s="1543" t="s">
        <v>708</v>
      </c>
      <c r="C8901" s="2075" t="s">
        <v>3765</v>
      </c>
      <c r="D8901" s="2075"/>
      <c r="E8901" s="2075"/>
      <c r="F8901" s="2075"/>
      <c r="G8901" s="2075"/>
      <c r="H8901" s="1107">
        <f>ROUND(SUM(H8899:H8900),2)</f>
        <v>219049.7</v>
      </c>
      <c r="J8901" s="1557"/>
      <c r="K8901" s="1557"/>
      <c r="L8901" s="1557"/>
      <c r="M8901" s="1566"/>
    </row>
    <row r="8902" spans="2:13" s="979" customFormat="1" hidden="1">
      <c r="B8902" s="1095"/>
      <c r="C8902" s="1096"/>
      <c r="D8902" s="1095"/>
      <c r="E8902" s="1095"/>
      <c r="F8902" s="1172"/>
      <c r="G8902" s="1173"/>
      <c r="H8902" s="1133"/>
      <c r="J8902" s="1557"/>
      <c r="K8902" s="1557"/>
      <c r="L8902" s="1557"/>
      <c r="M8902" s="1566"/>
    </row>
    <row r="8903" spans="2:13" s="979" customFormat="1" hidden="1">
      <c r="B8903" s="1100" t="s">
        <v>4308</v>
      </c>
      <c r="C8903" s="1264" t="s">
        <v>4309</v>
      </c>
      <c r="D8903" s="1095"/>
      <c r="E8903" s="1095"/>
      <c r="F8903" s="1172"/>
      <c r="G8903" s="1173"/>
      <c r="H8903" s="1133"/>
      <c r="J8903" s="1557"/>
      <c r="K8903" s="1557"/>
      <c r="L8903" s="1557"/>
      <c r="M8903" s="1566"/>
    </row>
    <row r="8904" spans="2:13" s="979" customFormat="1" ht="24.9" hidden="1" customHeight="1">
      <c r="B8904" s="1748" t="s">
        <v>1003</v>
      </c>
      <c r="C8904" s="1101" t="s">
        <v>1004</v>
      </c>
      <c r="D8904" s="1101" t="s">
        <v>1005</v>
      </c>
      <c r="E8904" s="1101" t="s">
        <v>1006</v>
      </c>
      <c r="F8904" s="1102" t="s">
        <v>1007</v>
      </c>
      <c r="G8904" s="1109" t="s">
        <v>2637</v>
      </c>
      <c r="H8904" s="1110" t="s">
        <v>2638</v>
      </c>
      <c r="J8904" s="1557"/>
      <c r="K8904" s="1557"/>
      <c r="L8904" s="1557"/>
      <c r="M8904" s="1566"/>
    </row>
    <row r="8905" spans="2:13" s="979" customFormat="1" hidden="1">
      <c r="B8905" s="1543" t="s">
        <v>671</v>
      </c>
      <c r="C8905" s="1329" t="s">
        <v>672</v>
      </c>
      <c r="D8905" s="1331"/>
      <c r="E8905" s="1331"/>
      <c r="F8905" s="1334"/>
      <c r="G8905" s="1104"/>
      <c r="H8905" s="1106"/>
      <c r="J8905" s="1557"/>
      <c r="K8905" s="1557"/>
      <c r="L8905" s="1557"/>
      <c r="M8905" s="1566"/>
    </row>
    <row r="8906" spans="2:13" s="979" customFormat="1" hidden="1">
      <c r="B8906" s="1540"/>
      <c r="C8906" s="1332" t="s">
        <v>673</v>
      </c>
      <c r="D8906" s="1331" t="s">
        <v>674</v>
      </c>
      <c r="E8906" s="1331" t="s">
        <v>675</v>
      </c>
      <c r="F8906" s="1334">
        <v>0.1</v>
      </c>
      <c r="G8906" s="1104">
        <f>$G$2491</f>
        <v>150000</v>
      </c>
      <c r="H8906" s="1106">
        <f>G8906*F8906</f>
        <v>15000</v>
      </c>
      <c r="J8906" s="1557"/>
      <c r="K8906" s="1557"/>
      <c r="L8906" s="1557"/>
      <c r="M8906" s="1566"/>
    </row>
    <row r="8907" spans="2:13" s="979" customFormat="1" hidden="1">
      <c r="B8907" s="1540"/>
      <c r="C8907" s="1332" t="s">
        <v>4300</v>
      </c>
      <c r="D8907" s="1331" t="s">
        <v>678</v>
      </c>
      <c r="E8907" s="1331" t="s">
        <v>675</v>
      </c>
      <c r="F8907" s="1334">
        <v>0.1</v>
      </c>
      <c r="G8907" s="1104">
        <f>$G$2492</f>
        <v>187000</v>
      </c>
      <c r="H8907" s="1106">
        <f t="shared" ref="H8907:H8909" si="233">G8907*F8907</f>
        <v>18700</v>
      </c>
      <c r="J8907" s="1557"/>
      <c r="K8907" s="1557"/>
      <c r="L8907" s="1557"/>
      <c r="M8907" s="1566"/>
    </row>
    <row r="8908" spans="2:13" s="979" customFormat="1" hidden="1">
      <c r="B8908" s="1540"/>
      <c r="C8908" s="1332" t="s">
        <v>680</v>
      </c>
      <c r="D8908" s="1331" t="s">
        <v>681</v>
      </c>
      <c r="E8908" s="1331" t="s">
        <v>675</v>
      </c>
      <c r="F8908" s="1334">
        <v>0.01</v>
      </c>
      <c r="G8908" s="1104">
        <f>$G$2493</f>
        <v>240000</v>
      </c>
      <c r="H8908" s="1106">
        <f t="shared" si="233"/>
        <v>2400</v>
      </c>
      <c r="J8908" s="1557"/>
      <c r="K8908" s="1557"/>
      <c r="L8908" s="1557"/>
      <c r="M8908" s="1566"/>
    </row>
    <row r="8909" spans="2:13" s="979" customFormat="1" hidden="1">
      <c r="B8909" s="1540"/>
      <c r="C8909" s="1332" t="s">
        <v>683</v>
      </c>
      <c r="D8909" s="1331" t="s">
        <v>684</v>
      </c>
      <c r="E8909" s="1331" t="s">
        <v>675</v>
      </c>
      <c r="F8909" s="1334">
        <v>1E-3</v>
      </c>
      <c r="G8909" s="1104">
        <f>$G$2494</f>
        <v>225000</v>
      </c>
      <c r="H8909" s="1106">
        <f t="shared" si="233"/>
        <v>225</v>
      </c>
      <c r="J8909" s="1557"/>
      <c r="K8909" s="1557"/>
      <c r="L8909" s="1557"/>
      <c r="M8909" s="1566"/>
    </row>
    <row r="8910" spans="2:13" s="979" customFormat="1" hidden="1">
      <c r="B8910" s="1540"/>
      <c r="C8910" s="1332"/>
      <c r="D8910" s="1331"/>
      <c r="E8910" s="1331"/>
      <c r="F8910" s="2110" t="s">
        <v>685</v>
      </c>
      <c r="G8910" s="2110"/>
      <c r="H8910" s="1106">
        <f>SUM(H8906:H8909)</f>
        <v>36325</v>
      </c>
      <c r="J8910" s="1557"/>
      <c r="K8910" s="1557"/>
      <c r="L8910" s="1557"/>
      <c r="M8910" s="1566"/>
    </row>
    <row r="8911" spans="2:13" s="979" customFormat="1" hidden="1">
      <c r="B8911" s="1543" t="s">
        <v>686</v>
      </c>
      <c r="C8911" s="1329" t="s">
        <v>687</v>
      </c>
      <c r="D8911" s="1331"/>
      <c r="E8911" s="1331"/>
      <c r="F8911" s="1334"/>
      <c r="G8911" s="1104"/>
      <c r="H8911" s="1106"/>
      <c r="J8911" s="1557"/>
      <c r="K8911" s="1557"/>
      <c r="L8911" s="1557"/>
      <c r="M8911" s="1566"/>
    </row>
    <row r="8912" spans="2:13" s="979" customFormat="1" hidden="1">
      <c r="B8912" s="1540"/>
      <c r="C8912" s="1812" t="s">
        <v>4310</v>
      </c>
      <c r="D8912" s="1331"/>
      <c r="E8912" s="1331" t="s">
        <v>1346</v>
      </c>
      <c r="F8912" s="1813">
        <v>1</v>
      </c>
      <c r="G8912" s="1104">
        <f>DUB!$I$376</f>
        <v>200277</v>
      </c>
      <c r="H8912" s="1106">
        <f>G8912*F8912</f>
        <v>200277</v>
      </c>
      <c r="J8912" s="1557"/>
      <c r="K8912" s="1557"/>
      <c r="L8912" s="1557"/>
      <c r="M8912" s="1566"/>
    </row>
    <row r="8913" spans="2:13" s="979" customFormat="1" hidden="1">
      <c r="B8913" s="1540"/>
      <c r="C8913" s="1812" t="s">
        <v>3509</v>
      </c>
      <c r="D8913" s="1331"/>
      <c r="E8913" s="1331" t="s">
        <v>1011</v>
      </c>
      <c r="F8913" s="1813">
        <v>1</v>
      </c>
      <c r="G8913" s="1104">
        <v>1000</v>
      </c>
      <c r="H8913" s="1106">
        <f t="shared" ref="H8913" si="234">G8913*F8913</f>
        <v>1000</v>
      </c>
      <c r="J8913" s="1557"/>
      <c r="K8913" s="1557"/>
      <c r="L8913" s="1557"/>
      <c r="M8913" s="1566"/>
    </row>
    <row r="8914" spans="2:13" s="979" customFormat="1" hidden="1">
      <c r="B8914" s="1540"/>
      <c r="C8914" s="1125"/>
      <c r="D8914" s="1333"/>
      <c r="E8914" s="1333"/>
      <c r="F8914" s="2074" t="s">
        <v>702</v>
      </c>
      <c r="G8914" s="2074"/>
      <c r="H8914" s="1106">
        <f>SUM(H8912:H8913)</f>
        <v>201277</v>
      </c>
      <c r="J8914" s="1557"/>
      <c r="K8914" s="1557"/>
      <c r="L8914" s="1557"/>
      <c r="M8914" s="1566"/>
    </row>
    <row r="8915" spans="2:13" s="979" customFormat="1" hidden="1">
      <c r="B8915" s="1543" t="s">
        <v>703</v>
      </c>
      <c r="C8915" s="2075" t="s">
        <v>3764</v>
      </c>
      <c r="D8915" s="2075"/>
      <c r="E8915" s="2075"/>
      <c r="F8915" s="2075"/>
      <c r="G8915" s="2075"/>
      <c r="H8915" s="1107">
        <f>H8910+H8914</f>
        <v>237602</v>
      </c>
      <c r="J8915" s="1557"/>
      <c r="K8915" s="1557"/>
      <c r="L8915" s="1557"/>
      <c r="M8915" s="1566"/>
    </row>
    <row r="8916" spans="2:13" s="979" customFormat="1" hidden="1">
      <c r="B8916" s="1543" t="s">
        <v>706</v>
      </c>
      <c r="C8916" s="2076" t="s">
        <v>876</v>
      </c>
      <c r="D8916" s="2076"/>
      <c r="E8916" s="2076"/>
      <c r="F8916" s="2077" t="s">
        <v>3873</v>
      </c>
      <c r="G8916" s="2077"/>
      <c r="H8916" s="1107">
        <f>H8915*0.15</f>
        <v>35640.299999999996</v>
      </c>
      <c r="J8916" s="1557"/>
      <c r="K8916" s="1557"/>
      <c r="L8916" s="1557"/>
      <c r="M8916" s="1566"/>
    </row>
    <row r="8917" spans="2:13" s="979" customFormat="1" hidden="1">
      <c r="B8917" s="1543" t="s">
        <v>708</v>
      </c>
      <c r="C8917" s="2075" t="s">
        <v>3765</v>
      </c>
      <c r="D8917" s="2075"/>
      <c r="E8917" s="2075"/>
      <c r="F8917" s="2075"/>
      <c r="G8917" s="2075"/>
      <c r="H8917" s="1107">
        <f>ROUND(SUM(H8915:H8916),2)</f>
        <v>273242.3</v>
      </c>
      <c r="J8917" s="1557"/>
      <c r="K8917" s="1557"/>
      <c r="L8917" s="1557"/>
      <c r="M8917" s="1566"/>
    </row>
    <row r="8918" spans="2:13" s="979" customFormat="1" hidden="1">
      <c r="B8918" s="1095"/>
      <c r="C8918" s="1096"/>
      <c r="D8918" s="1095"/>
      <c r="E8918" s="1095"/>
      <c r="F8918" s="1172"/>
      <c r="G8918" s="1173"/>
      <c r="H8918" s="1133"/>
      <c r="J8918" s="1557"/>
      <c r="K8918" s="1557"/>
      <c r="L8918" s="1557"/>
      <c r="M8918" s="1566"/>
    </row>
    <row r="8919" spans="2:13" s="979" customFormat="1" hidden="1">
      <c r="B8919" s="1100" t="s">
        <v>4311</v>
      </c>
      <c r="C8919" s="1264" t="s">
        <v>4312</v>
      </c>
      <c r="D8919" s="1095"/>
      <c r="E8919" s="1095"/>
      <c r="F8919" s="1172"/>
      <c r="G8919" s="1173"/>
      <c r="H8919" s="1133"/>
      <c r="J8919" s="1557"/>
      <c r="K8919" s="1557"/>
      <c r="L8919" s="1557"/>
      <c r="M8919" s="1566"/>
    </row>
    <row r="8920" spans="2:13" s="979" customFormat="1" ht="24.9" hidden="1" customHeight="1">
      <c r="B8920" s="1748" t="s">
        <v>1003</v>
      </c>
      <c r="C8920" s="1101" t="s">
        <v>1004</v>
      </c>
      <c r="D8920" s="1101" t="s">
        <v>1005</v>
      </c>
      <c r="E8920" s="1101" t="s">
        <v>1006</v>
      </c>
      <c r="F8920" s="1102" t="s">
        <v>1007</v>
      </c>
      <c r="G8920" s="1109" t="s">
        <v>2637</v>
      </c>
      <c r="H8920" s="1110" t="s">
        <v>2638</v>
      </c>
      <c r="J8920" s="1557"/>
      <c r="K8920" s="1557"/>
      <c r="L8920" s="1557"/>
      <c r="M8920" s="1566"/>
    </row>
    <row r="8921" spans="2:13" s="979" customFormat="1" hidden="1">
      <c r="B8921" s="1543" t="s">
        <v>671</v>
      </c>
      <c r="C8921" s="1329" t="s">
        <v>672</v>
      </c>
      <c r="D8921" s="1331"/>
      <c r="E8921" s="1331"/>
      <c r="F8921" s="1334"/>
      <c r="G8921" s="1104"/>
      <c r="H8921" s="1106"/>
      <c r="J8921" s="1557"/>
      <c r="K8921" s="1557"/>
      <c r="L8921" s="1557"/>
      <c r="M8921" s="1566"/>
    </row>
    <row r="8922" spans="2:13" s="979" customFormat="1" hidden="1">
      <c r="B8922" s="1540"/>
      <c r="C8922" s="1332" t="s">
        <v>673</v>
      </c>
      <c r="D8922" s="1331" t="s">
        <v>674</v>
      </c>
      <c r="E8922" s="1331" t="s">
        <v>675</v>
      </c>
      <c r="F8922" s="1334">
        <v>0.1</v>
      </c>
      <c r="G8922" s="1104">
        <f>$G$2491</f>
        <v>150000</v>
      </c>
      <c r="H8922" s="1106">
        <f>G8922*F8922</f>
        <v>15000</v>
      </c>
      <c r="J8922" s="1557"/>
      <c r="K8922" s="1557"/>
      <c r="L8922" s="1557"/>
      <c r="M8922" s="1566"/>
    </row>
    <row r="8923" spans="2:13" s="979" customFormat="1" hidden="1">
      <c r="B8923" s="1540"/>
      <c r="C8923" s="1332" t="s">
        <v>4300</v>
      </c>
      <c r="D8923" s="1331" t="s">
        <v>678</v>
      </c>
      <c r="E8923" s="1331" t="s">
        <v>675</v>
      </c>
      <c r="F8923" s="1334">
        <v>0.1</v>
      </c>
      <c r="G8923" s="1104">
        <f>$G$2492</f>
        <v>187000</v>
      </c>
      <c r="H8923" s="1106">
        <f t="shared" ref="H8923:H8925" si="235">G8923*F8923</f>
        <v>18700</v>
      </c>
      <c r="J8923" s="1557"/>
      <c r="K8923" s="1557"/>
      <c r="L8923" s="1557"/>
      <c r="M8923" s="1566"/>
    </row>
    <row r="8924" spans="2:13" s="979" customFormat="1" hidden="1">
      <c r="B8924" s="1540"/>
      <c r="C8924" s="1332" t="s">
        <v>680</v>
      </c>
      <c r="D8924" s="1331" t="s">
        <v>681</v>
      </c>
      <c r="E8924" s="1331" t="s">
        <v>675</v>
      </c>
      <c r="F8924" s="1334">
        <v>0.01</v>
      </c>
      <c r="G8924" s="1104">
        <f>$G$2493</f>
        <v>240000</v>
      </c>
      <c r="H8924" s="1106">
        <f t="shared" si="235"/>
        <v>2400</v>
      </c>
      <c r="J8924" s="1557"/>
      <c r="K8924" s="1557"/>
      <c r="L8924" s="1557"/>
      <c r="M8924" s="1566"/>
    </row>
    <row r="8925" spans="2:13" s="979" customFormat="1" hidden="1">
      <c r="B8925" s="1540"/>
      <c r="C8925" s="1332" t="s">
        <v>683</v>
      </c>
      <c r="D8925" s="1331" t="s">
        <v>684</v>
      </c>
      <c r="E8925" s="1331" t="s">
        <v>675</v>
      </c>
      <c r="F8925" s="1334">
        <v>1E-3</v>
      </c>
      <c r="G8925" s="1104">
        <f>$G$2494</f>
        <v>225000</v>
      </c>
      <c r="H8925" s="1106">
        <f t="shared" si="235"/>
        <v>225</v>
      </c>
      <c r="J8925" s="1557"/>
      <c r="K8925" s="1557"/>
      <c r="L8925" s="1557"/>
      <c r="M8925" s="1566"/>
    </row>
    <row r="8926" spans="2:13" s="979" customFormat="1" hidden="1">
      <c r="B8926" s="1540"/>
      <c r="C8926" s="1332"/>
      <c r="D8926" s="1331"/>
      <c r="E8926" s="1331"/>
      <c r="F8926" s="2110" t="s">
        <v>685</v>
      </c>
      <c r="G8926" s="2110"/>
      <c r="H8926" s="1106">
        <f>SUM(H8922:H8925)</f>
        <v>36325</v>
      </c>
      <c r="J8926" s="1557"/>
      <c r="K8926" s="1557"/>
      <c r="L8926" s="1557"/>
      <c r="M8926" s="1566"/>
    </row>
    <row r="8927" spans="2:13" s="979" customFormat="1" hidden="1">
      <c r="B8927" s="1543" t="s">
        <v>686</v>
      </c>
      <c r="C8927" s="1329" t="s">
        <v>687</v>
      </c>
      <c r="D8927" s="1331"/>
      <c r="E8927" s="1331"/>
      <c r="F8927" s="1334"/>
      <c r="G8927" s="1104"/>
      <c r="H8927" s="1106"/>
      <c r="J8927" s="1557"/>
      <c r="K8927" s="1557"/>
      <c r="L8927" s="1557"/>
      <c r="M8927" s="1566"/>
    </row>
    <row r="8928" spans="2:13" s="979" customFormat="1" hidden="1">
      <c r="B8928" s="1540"/>
      <c r="C8928" s="1812" t="s">
        <v>4313</v>
      </c>
      <c r="D8928" s="1331"/>
      <c r="E8928" s="1331" t="s">
        <v>1346</v>
      </c>
      <c r="F8928" s="1813">
        <v>1</v>
      </c>
      <c r="G8928" s="1104">
        <f>DUB!$I$390</f>
        <v>69615</v>
      </c>
      <c r="H8928" s="1106">
        <f>G8928*F8928</f>
        <v>69615</v>
      </c>
      <c r="J8928" s="1557"/>
      <c r="K8928" s="1557"/>
      <c r="L8928" s="1557"/>
      <c r="M8928" s="1566"/>
    </row>
    <row r="8929" spans="2:13" s="979" customFormat="1" hidden="1">
      <c r="B8929" s="1540"/>
      <c r="C8929" s="1812" t="s">
        <v>3509</v>
      </c>
      <c r="D8929" s="1331"/>
      <c r="E8929" s="1331" t="s">
        <v>1011</v>
      </c>
      <c r="F8929" s="1813">
        <v>1</v>
      </c>
      <c r="G8929" s="1104">
        <v>1000</v>
      </c>
      <c r="H8929" s="1106">
        <f t="shared" ref="H8929" si="236">G8929*F8929</f>
        <v>1000</v>
      </c>
      <c r="J8929" s="1557"/>
      <c r="K8929" s="1557"/>
      <c r="L8929" s="1557"/>
      <c r="M8929" s="1566"/>
    </row>
    <row r="8930" spans="2:13" s="979" customFormat="1" hidden="1">
      <c r="B8930" s="1540"/>
      <c r="C8930" s="1125"/>
      <c r="D8930" s="1333"/>
      <c r="E8930" s="1333"/>
      <c r="F8930" s="2074" t="s">
        <v>702</v>
      </c>
      <c r="G8930" s="2074"/>
      <c r="H8930" s="1106">
        <f>SUM(H8928:H8929)</f>
        <v>70615</v>
      </c>
      <c r="J8930" s="1557"/>
      <c r="K8930" s="1557"/>
      <c r="L8930" s="1557"/>
      <c r="M8930" s="1566"/>
    </row>
    <row r="8931" spans="2:13" s="979" customFormat="1" hidden="1">
      <c r="B8931" s="1543" t="s">
        <v>703</v>
      </c>
      <c r="C8931" s="2075" t="s">
        <v>3764</v>
      </c>
      <c r="D8931" s="2075"/>
      <c r="E8931" s="2075"/>
      <c r="F8931" s="2075"/>
      <c r="G8931" s="2075"/>
      <c r="H8931" s="1107">
        <f>H8926+H8930</f>
        <v>106940</v>
      </c>
      <c r="J8931" s="1557"/>
      <c r="K8931" s="1557"/>
      <c r="L8931" s="1557"/>
      <c r="M8931" s="1566"/>
    </row>
    <row r="8932" spans="2:13" s="979" customFormat="1" hidden="1">
      <c r="B8932" s="1543" t="s">
        <v>706</v>
      </c>
      <c r="C8932" s="2076" t="s">
        <v>876</v>
      </c>
      <c r="D8932" s="2076"/>
      <c r="E8932" s="2076"/>
      <c r="F8932" s="2077" t="s">
        <v>3873</v>
      </c>
      <c r="G8932" s="2077"/>
      <c r="H8932" s="1107">
        <f>H8931*0.15</f>
        <v>16041</v>
      </c>
      <c r="J8932" s="1557"/>
      <c r="K8932" s="1557"/>
      <c r="L8932" s="1557"/>
      <c r="M8932" s="1566"/>
    </row>
    <row r="8933" spans="2:13" s="979" customFormat="1" hidden="1">
      <c r="B8933" s="1543" t="s">
        <v>708</v>
      </c>
      <c r="C8933" s="2075" t="s">
        <v>3765</v>
      </c>
      <c r="D8933" s="2075"/>
      <c r="E8933" s="2075"/>
      <c r="F8933" s="2075"/>
      <c r="G8933" s="2075"/>
      <c r="H8933" s="1107">
        <f>ROUND(SUM(H8931:H8932),2)</f>
        <v>122981</v>
      </c>
      <c r="J8933" s="1557"/>
      <c r="K8933" s="1557"/>
      <c r="L8933" s="1557"/>
      <c r="M8933" s="1566"/>
    </row>
    <row r="8934" spans="2:13" s="979" customFormat="1">
      <c r="B8934" s="1095"/>
      <c r="C8934" s="1096"/>
      <c r="D8934" s="1095"/>
      <c r="E8934" s="1095"/>
      <c r="F8934" s="1172"/>
      <c r="G8934" s="1173"/>
      <c r="H8934" s="1133"/>
      <c r="J8934" s="1557"/>
      <c r="K8934" s="1557"/>
      <c r="L8934" s="1557"/>
      <c r="M8934" s="1566"/>
    </row>
    <row r="8935" spans="2:13" s="979" customFormat="1">
      <c r="B8935" s="1100" t="s">
        <v>4314</v>
      </c>
      <c r="C8935" s="1264" t="s">
        <v>5275</v>
      </c>
      <c r="D8935" s="1095"/>
      <c r="E8935" s="1095"/>
      <c r="F8935" s="1172"/>
      <c r="G8935" s="1173"/>
      <c r="H8935" s="1133"/>
      <c r="J8935" s="1557"/>
      <c r="K8935" s="1557"/>
      <c r="L8935" s="1557"/>
      <c r="M8935" s="1566"/>
    </row>
    <row r="8936" spans="2:13" s="979" customFormat="1" ht="24.9" customHeight="1">
      <c r="B8936" s="1101" t="s">
        <v>1003</v>
      </c>
      <c r="C8936" s="1101" t="s">
        <v>1004</v>
      </c>
      <c r="D8936" s="1101" t="s">
        <v>1005</v>
      </c>
      <c r="E8936" s="1101" t="s">
        <v>1006</v>
      </c>
      <c r="F8936" s="1102" t="s">
        <v>1007</v>
      </c>
      <c r="G8936" s="1109" t="s">
        <v>2637</v>
      </c>
      <c r="H8936" s="1110" t="s">
        <v>2638</v>
      </c>
      <c r="I8936" s="1829"/>
      <c r="J8936" s="1823" t="s">
        <v>5335</v>
      </c>
      <c r="K8936" s="1824" t="s">
        <v>5336</v>
      </c>
      <c r="L8936" s="1824" t="s">
        <v>5337</v>
      </c>
      <c r="M8936" s="1825" t="s">
        <v>5338</v>
      </c>
    </row>
    <row r="8937" spans="2:13" s="979" customFormat="1">
      <c r="B8937" s="1330" t="s">
        <v>671</v>
      </c>
      <c r="C8937" s="1329" t="s">
        <v>672</v>
      </c>
      <c r="D8937" s="1331"/>
      <c r="E8937" s="1331"/>
      <c r="F8937" s="1334"/>
      <c r="G8937" s="1104"/>
      <c r="H8937" s="1106"/>
      <c r="J8937" s="1597"/>
      <c r="K8937" s="1597"/>
      <c r="L8937" s="1597"/>
      <c r="M8937" s="1826"/>
    </row>
    <row r="8938" spans="2:13" s="979" customFormat="1">
      <c r="B8938" s="1331"/>
      <c r="C8938" s="1332" t="s">
        <v>673</v>
      </c>
      <c r="D8938" s="1331" t="s">
        <v>674</v>
      </c>
      <c r="E8938" s="1331" t="s">
        <v>675</v>
      </c>
      <c r="F8938" s="1334">
        <v>0.1</v>
      </c>
      <c r="G8938" s="1104">
        <f>$G$2491</f>
        <v>150000</v>
      </c>
      <c r="H8938" s="1106">
        <f>G8938*F8938</f>
        <v>15000</v>
      </c>
      <c r="J8938" s="1609" t="s">
        <v>5339</v>
      </c>
      <c r="K8938" s="1611">
        <v>1</v>
      </c>
      <c r="L8938" s="1608" t="s">
        <v>5340</v>
      </c>
      <c r="M8938" s="1827">
        <f>H8938*K8938</f>
        <v>15000</v>
      </c>
    </row>
    <row r="8939" spans="2:13" s="979" customFormat="1">
      <c r="B8939" s="1331"/>
      <c r="C8939" s="1332" t="s">
        <v>4300</v>
      </c>
      <c r="D8939" s="1331" t="s">
        <v>678</v>
      </c>
      <c r="E8939" s="1331" t="s">
        <v>675</v>
      </c>
      <c r="F8939" s="1334">
        <v>0.1</v>
      </c>
      <c r="G8939" s="1104">
        <f>$G$2492</f>
        <v>187000</v>
      </c>
      <c r="H8939" s="1106">
        <f t="shared" ref="H8939:H8941" si="237">G8939*F8939</f>
        <v>18700</v>
      </c>
      <c r="J8939" s="1609" t="s">
        <v>5339</v>
      </c>
      <c r="K8939" s="1611">
        <v>1</v>
      </c>
      <c r="L8939" s="1608" t="s">
        <v>5340</v>
      </c>
      <c r="M8939" s="1827">
        <f t="shared" ref="M8939" si="238">H8939*K8939</f>
        <v>18700</v>
      </c>
    </row>
    <row r="8940" spans="2:13" s="979" customFormat="1">
      <c r="B8940" s="1331"/>
      <c r="C8940" s="1332" t="s">
        <v>680</v>
      </c>
      <c r="D8940" s="1331" t="s">
        <v>681</v>
      </c>
      <c r="E8940" s="1331" t="s">
        <v>675</v>
      </c>
      <c r="F8940" s="1334">
        <v>0.01</v>
      </c>
      <c r="G8940" s="1104">
        <f>$G$2493</f>
        <v>240000</v>
      </c>
      <c r="H8940" s="1106">
        <f t="shared" si="237"/>
        <v>2400</v>
      </c>
      <c r="J8940" s="1609" t="s">
        <v>5339</v>
      </c>
      <c r="K8940" s="1611">
        <v>1</v>
      </c>
      <c r="L8940" s="1608" t="s">
        <v>5340</v>
      </c>
      <c r="M8940" s="1827">
        <f>H8940*K8940</f>
        <v>2400</v>
      </c>
    </row>
    <row r="8941" spans="2:13" s="979" customFormat="1">
      <c r="B8941" s="1331"/>
      <c r="C8941" s="1332" t="s">
        <v>683</v>
      </c>
      <c r="D8941" s="1331" t="s">
        <v>684</v>
      </c>
      <c r="E8941" s="1331" t="s">
        <v>675</v>
      </c>
      <c r="F8941" s="1334">
        <v>1E-3</v>
      </c>
      <c r="G8941" s="1104">
        <f>$G$2494</f>
        <v>225000</v>
      </c>
      <c r="H8941" s="1106">
        <f t="shared" si="237"/>
        <v>225</v>
      </c>
      <c r="J8941" s="1609" t="s">
        <v>5339</v>
      </c>
      <c r="K8941" s="1611">
        <v>1</v>
      </c>
      <c r="L8941" s="1608" t="s">
        <v>5340</v>
      </c>
      <c r="M8941" s="1827">
        <f t="shared" ref="M8941" si="239">H8941*K8941</f>
        <v>225</v>
      </c>
    </row>
    <row r="8942" spans="2:13" s="979" customFormat="1">
      <c r="B8942" s="1331"/>
      <c r="C8942" s="1332"/>
      <c r="D8942" s="1331"/>
      <c r="E8942" s="1331"/>
      <c r="F8942" s="2110" t="s">
        <v>685</v>
      </c>
      <c r="G8942" s="2110"/>
      <c r="H8942" s="1106">
        <f>SUM(H8938:H8941)</f>
        <v>36325</v>
      </c>
      <c r="J8942" s="1597"/>
      <c r="K8942" s="1597"/>
      <c r="L8942" s="1597"/>
      <c r="M8942" s="1107">
        <f>SUM(M8938:M8941)</f>
        <v>36325</v>
      </c>
    </row>
    <row r="8943" spans="2:13" s="979" customFormat="1">
      <c r="B8943" s="1330" t="s">
        <v>686</v>
      </c>
      <c r="C8943" s="1329" t="s">
        <v>687</v>
      </c>
      <c r="D8943" s="1331"/>
      <c r="E8943" s="1331"/>
      <c r="F8943" s="1334"/>
      <c r="G8943" s="1104"/>
      <c r="H8943" s="1106"/>
      <c r="J8943" s="1597"/>
      <c r="K8943" s="1597"/>
      <c r="L8943" s="1597"/>
      <c r="M8943" s="1826"/>
    </row>
    <row r="8944" spans="2:13" s="979" customFormat="1">
      <c r="B8944" s="1331"/>
      <c r="C8944" s="1812" t="s">
        <v>5274</v>
      </c>
      <c r="D8944" s="1331"/>
      <c r="E8944" s="1331" t="s">
        <v>1346</v>
      </c>
      <c r="F8944" s="1813">
        <v>1</v>
      </c>
      <c r="G8944" s="1104">
        <f>DUB!$I$413</f>
        <v>6250000</v>
      </c>
      <c r="H8944" s="1106">
        <f>G8944*F8944</f>
        <v>6250000</v>
      </c>
      <c r="J8944" s="1634" t="s">
        <v>4925</v>
      </c>
      <c r="K8944" s="1611">
        <v>0.43540000000000001</v>
      </c>
      <c r="L8944" s="1607" t="s">
        <v>5343</v>
      </c>
      <c r="M8944" s="1827">
        <f>H8944*K8944</f>
        <v>2721250</v>
      </c>
    </row>
    <row r="8945" spans="2:13" s="979" customFormat="1">
      <c r="B8945" s="1331"/>
      <c r="C8945" s="1812" t="s">
        <v>3509</v>
      </c>
      <c r="D8945" s="1331"/>
      <c r="E8945" s="1331" t="s">
        <v>1011</v>
      </c>
      <c r="F8945" s="1813">
        <v>5</v>
      </c>
      <c r="G8945" s="1104">
        <v>10000</v>
      </c>
      <c r="H8945" s="1106">
        <f t="shared" ref="H8945" si="240">G8945*F8945</f>
        <v>50000</v>
      </c>
      <c r="J8945" s="1634" t="s">
        <v>4925</v>
      </c>
      <c r="K8945" s="1611">
        <v>1</v>
      </c>
      <c r="L8945" s="1634" t="s">
        <v>4925</v>
      </c>
      <c r="M8945" s="1827">
        <f t="shared" ref="M8945" si="241">H8945*K8945</f>
        <v>50000</v>
      </c>
    </row>
    <row r="8946" spans="2:13" s="979" customFormat="1">
      <c r="B8946" s="1331"/>
      <c r="C8946" s="1125"/>
      <c r="D8946" s="1333"/>
      <c r="E8946" s="1333"/>
      <c r="F8946" s="2074" t="s">
        <v>702</v>
      </c>
      <c r="G8946" s="2074"/>
      <c r="H8946" s="1106">
        <f>SUM(H8944:H8945)</f>
        <v>6300000</v>
      </c>
      <c r="J8946" s="1642"/>
      <c r="K8946" s="1611"/>
      <c r="L8946" s="1607"/>
      <c r="M8946" s="1106">
        <f>SUM(M8944:M8945)</f>
        <v>2771250</v>
      </c>
    </row>
    <row r="8947" spans="2:13" s="979" customFormat="1">
      <c r="B8947" s="1330" t="s">
        <v>703</v>
      </c>
      <c r="C8947" s="2075" t="s">
        <v>3764</v>
      </c>
      <c r="D8947" s="2075"/>
      <c r="E8947" s="2075"/>
      <c r="F8947" s="2075"/>
      <c r="G8947" s="2075"/>
      <c r="H8947" s="1107">
        <f>H8942+H8946</f>
        <v>6336325</v>
      </c>
      <c r="J8947" s="1597"/>
      <c r="K8947" s="1633">
        <f>M8947/H8947</f>
        <v>0.44309201311485757</v>
      </c>
      <c r="L8947" s="1597"/>
      <c r="M8947" s="1107">
        <f>M8942+M8946</f>
        <v>2807575</v>
      </c>
    </row>
    <row r="8948" spans="2:13" s="979" customFormat="1">
      <c r="B8948" s="1330" t="s">
        <v>706</v>
      </c>
      <c r="C8948" s="2076" t="s">
        <v>876</v>
      </c>
      <c r="D8948" s="2076"/>
      <c r="E8948" s="2076"/>
      <c r="F8948" s="2077" t="s">
        <v>3873</v>
      </c>
      <c r="G8948" s="2077"/>
      <c r="H8948" s="1107">
        <f>H8947*0.15</f>
        <v>950448.75</v>
      </c>
      <c r="J8948" s="1600"/>
      <c r="K8948" s="1633"/>
      <c r="L8948" s="1600"/>
      <c r="M8948" s="1107">
        <f>M8947*0.15</f>
        <v>421136.25</v>
      </c>
    </row>
    <row r="8949" spans="2:13" s="979" customFormat="1">
      <c r="B8949" s="1330" t="s">
        <v>708</v>
      </c>
      <c r="C8949" s="2075" t="s">
        <v>3765</v>
      </c>
      <c r="D8949" s="2075"/>
      <c r="E8949" s="2075"/>
      <c r="F8949" s="2075"/>
      <c r="G8949" s="2075"/>
      <c r="H8949" s="1107">
        <f>ROUND(SUM(H8947:H8948),2)</f>
        <v>7286773.75</v>
      </c>
      <c r="I8949" s="1830"/>
      <c r="J8949" s="1637"/>
      <c r="K8949" s="1637"/>
      <c r="L8949" s="1637"/>
      <c r="M8949" s="1919">
        <f>ROUND(SUM(M8947:M8948),2)</f>
        <v>3228711.25</v>
      </c>
    </row>
    <row r="8950" spans="2:13" s="979" customFormat="1">
      <c r="B8950" s="1095"/>
      <c r="C8950" s="1096"/>
      <c r="D8950" s="1095"/>
      <c r="E8950" s="1095"/>
      <c r="F8950" s="1172"/>
      <c r="G8950" s="1173"/>
      <c r="H8950" s="1133"/>
      <c r="J8950" s="1557"/>
      <c r="K8950" s="1557"/>
      <c r="L8950" s="1557"/>
      <c r="M8950" s="1566"/>
    </row>
    <row r="8951" spans="2:13">
      <c r="B8951" s="1100" t="s">
        <v>4315</v>
      </c>
      <c r="C8951" s="1264" t="s">
        <v>4316</v>
      </c>
      <c r="F8951" s="1172"/>
      <c r="G8951" s="1173"/>
      <c r="H8951" s="1133"/>
      <c r="M8951" s="1566"/>
    </row>
    <row r="8952" spans="2:13" ht="24.9" customHeight="1">
      <c r="B8952" s="1101" t="s">
        <v>1003</v>
      </c>
      <c r="C8952" s="1101" t="s">
        <v>1004</v>
      </c>
      <c r="D8952" s="1101" t="s">
        <v>1005</v>
      </c>
      <c r="E8952" s="1101" t="s">
        <v>1006</v>
      </c>
      <c r="F8952" s="1102" t="s">
        <v>1007</v>
      </c>
      <c r="G8952" s="1109" t="s">
        <v>2637</v>
      </c>
      <c r="H8952" s="1110" t="s">
        <v>2638</v>
      </c>
      <c r="I8952" s="1822"/>
      <c r="J8952" s="1823" t="s">
        <v>5335</v>
      </c>
      <c r="K8952" s="1824" t="s">
        <v>5336</v>
      </c>
      <c r="L8952" s="1824" t="s">
        <v>5337</v>
      </c>
      <c r="M8952" s="1825" t="s">
        <v>5338</v>
      </c>
    </row>
    <row r="8953" spans="2:13">
      <c r="B8953" s="1330" t="s">
        <v>671</v>
      </c>
      <c r="C8953" s="1329" t="s">
        <v>672</v>
      </c>
      <c r="D8953" s="1331"/>
      <c r="E8953" s="1331"/>
      <c r="F8953" s="1334"/>
      <c r="G8953" s="1104"/>
      <c r="H8953" s="1106"/>
      <c r="J8953" s="1597"/>
      <c r="K8953" s="1597"/>
      <c r="L8953" s="1597"/>
      <c r="M8953" s="1826"/>
    </row>
    <row r="8954" spans="2:13">
      <c r="B8954" s="1331"/>
      <c r="C8954" s="1332" t="s">
        <v>673</v>
      </c>
      <c r="D8954" s="1331" t="s">
        <v>674</v>
      </c>
      <c r="E8954" s="1331" t="s">
        <v>675</v>
      </c>
      <c r="F8954" s="1334">
        <v>0.1</v>
      </c>
      <c r="G8954" s="1104">
        <f>$G$2491</f>
        <v>150000</v>
      </c>
      <c r="H8954" s="1106">
        <f>G8954*F8954</f>
        <v>15000</v>
      </c>
      <c r="J8954" s="1609" t="s">
        <v>5339</v>
      </c>
      <c r="K8954" s="1611">
        <v>1</v>
      </c>
      <c r="L8954" s="1608" t="s">
        <v>5340</v>
      </c>
      <c r="M8954" s="1827">
        <f>H8954*K8954</f>
        <v>15000</v>
      </c>
    </row>
    <row r="8955" spans="2:13">
      <c r="B8955" s="1331"/>
      <c r="C8955" s="1332" t="s">
        <v>4300</v>
      </c>
      <c r="D8955" s="1331" t="s">
        <v>678</v>
      </c>
      <c r="E8955" s="1331" t="s">
        <v>675</v>
      </c>
      <c r="F8955" s="1334">
        <v>0.1</v>
      </c>
      <c r="G8955" s="1104">
        <f>$G$2492</f>
        <v>187000</v>
      </c>
      <c r="H8955" s="1106">
        <f t="shared" ref="H8955:H8957" si="242">G8955*F8955</f>
        <v>18700</v>
      </c>
      <c r="J8955" s="1609" t="s">
        <v>5339</v>
      </c>
      <c r="K8955" s="1611">
        <v>1</v>
      </c>
      <c r="L8955" s="1608" t="s">
        <v>5340</v>
      </c>
      <c r="M8955" s="1827">
        <f t="shared" ref="M8955" si="243">H8955*K8955</f>
        <v>18700</v>
      </c>
    </row>
    <row r="8956" spans="2:13">
      <c r="B8956" s="1331"/>
      <c r="C8956" s="1332" t="s">
        <v>680</v>
      </c>
      <c r="D8956" s="1331" t="s">
        <v>681</v>
      </c>
      <c r="E8956" s="1331" t="s">
        <v>675</v>
      </c>
      <c r="F8956" s="1334">
        <v>0.01</v>
      </c>
      <c r="G8956" s="1104">
        <f>$G$2493</f>
        <v>240000</v>
      </c>
      <c r="H8956" s="1106">
        <f t="shared" si="242"/>
        <v>2400</v>
      </c>
      <c r="J8956" s="1609" t="s">
        <v>5339</v>
      </c>
      <c r="K8956" s="1611">
        <v>1</v>
      </c>
      <c r="L8956" s="1608" t="s">
        <v>5340</v>
      </c>
      <c r="M8956" s="1827">
        <f>H8956*K8956</f>
        <v>2400</v>
      </c>
    </row>
    <row r="8957" spans="2:13">
      <c r="B8957" s="1331"/>
      <c r="C8957" s="1332" t="s">
        <v>683</v>
      </c>
      <c r="D8957" s="1331" t="s">
        <v>684</v>
      </c>
      <c r="E8957" s="1331" t="s">
        <v>675</v>
      </c>
      <c r="F8957" s="1334">
        <v>1E-3</v>
      </c>
      <c r="G8957" s="1104">
        <f>$G$2494</f>
        <v>225000</v>
      </c>
      <c r="H8957" s="1106">
        <f t="shared" si="242"/>
        <v>225</v>
      </c>
      <c r="J8957" s="1609" t="s">
        <v>5339</v>
      </c>
      <c r="K8957" s="1611">
        <v>1</v>
      </c>
      <c r="L8957" s="1608" t="s">
        <v>5340</v>
      </c>
      <c r="M8957" s="1827">
        <f t="shared" ref="M8957" si="244">H8957*K8957</f>
        <v>225</v>
      </c>
    </row>
    <row r="8958" spans="2:13">
      <c r="B8958" s="1331"/>
      <c r="C8958" s="1332"/>
      <c r="D8958" s="1331"/>
      <c r="E8958" s="1331"/>
      <c r="F8958" s="2110" t="s">
        <v>685</v>
      </c>
      <c r="G8958" s="2110"/>
      <c r="H8958" s="1106">
        <f>SUM(H8954:H8957)</f>
        <v>36325</v>
      </c>
      <c r="J8958" s="1597"/>
      <c r="K8958" s="1597"/>
      <c r="L8958" s="1597"/>
      <c r="M8958" s="1107">
        <f>SUM(M8954:M8957)</f>
        <v>36325</v>
      </c>
    </row>
    <row r="8959" spans="2:13">
      <c r="B8959" s="1330" t="s">
        <v>686</v>
      </c>
      <c r="C8959" s="1329" t="s">
        <v>687</v>
      </c>
      <c r="D8959" s="1331"/>
      <c r="E8959" s="1331"/>
      <c r="F8959" s="1334"/>
      <c r="G8959" s="1104"/>
      <c r="H8959" s="1106"/>
      <c r="J8959" s="1597"/>
      <c r="K8959" s="1597"/>
      <c r="L8959" s="1597"/>
      <c r="M8959" s="1826"/>
    </row>
    <row r="8960" spans="2:13">
      <c r="B8960" s="1331"/>
      <c r="C8960" s="1812" t="s">
        <v>3517</v>
      </c>
      <c r="D8960" s="1331"/>
      <c r="E8960" s="1331" t="s">
        <v>1423</v>
      </c>
      <c r="F8960" s="1813">
        <v>1</v>
      </c>
      <c r="G8960" s="1104">
        <f>DUB!$I$389</f>
        <v>19431</v>
      </c>
      <c r="H8960" s="1106">
        <f>G8960*F8960</f>
        <v>19431</v>
      </c>
      <c r="J8960" s="1634" t="s">
        <v>4925</v>
      </c>
      <c r="K8960" s="1611">
        <v>0.39960000000000001</v>
      </c>
      <c r="L8960" s="1607" t="s">
        <v>5343</v>
      </c>
      <c r="M8960" s="1827">
        <f>H8960*K8960</f>
        <v>7764.6275999999998</v>
      </c>
    </row>
    <row r="8961" spans="2:13">
      <c r="B8961" s="1331"/>
      <c r="C8961" s="1812" t="s">
        <v>3509</v>
      </c>
      <c r="D8961" s="1331"/>
      <c r="E8961" s="1331" t="s">
        <v>1011</v>
      </c>
      <c r="F8961" s="1813">
        <v>1</v>
      </c>
      <c r="G8961" s="1104">
        <v>1000</v>
      </c>
      <c r="H8961" s="1106">
        <f t="shared" ref="H8961" si="245">G8961*F8961</f>
        <v>1000</v>
      </c>
      <c r="J8961" s="1634" t="s">
        <v>4925</v>
      </c>
      <c r="K8961" s="1611">
        <v>1</v>
      </c>
      <c r="L8961" s="1634" t="s">
        <v>4925</v>
      </c>
      <c r="M8961" s="1827">
        <f t="shared" ref="M8961" si="246">H8961*K8961</f>
        <v>1000</v>
      </c>
    </row>
    <row r="8962" spans="2:13">
      <c r="B8962" s="1331"/>
      <c r="C8962" s="1125"/>
      <c r="D8962" s="1333"/>
      <c r="E8962" s="1333"/>
      <c r="F8962" s="2074" t="s">
        <v>702</v>
      </c>
      <c r="G8962" s="2074"/>
      <c r="H8962" s="1106">
        <f>SUM(H8960:H8961)</f>
        <v>20431</v>
      </c>
      <c r="J8962" s="1642"/>
      <c r="K8962" s="1611"/>
      <c r="L8962" s="1607"/>
      <c r="M8962" s="1106">
        <f>SUM(M8960:M8961)</f>
        <v>8764.6275999999998</v>
      </c>
    </row>
    <row r="8963" spans="2:13">
      <c r="B8963" s="1330" t="s">
        <v>703</v>
      </c>
      <c r="C8963" s="2075" t="s">
        <v>3764</v>
      </c>
      <c r="D8963" s="2075"/>
      <c r="E8963" s="2075"/>
      <c r="F8963" s="2075"/>
      <c r="G8963" s="2075"/>
      <c r="H8963" s="1107">
        <f>H8958+H8962</f>
        <v>56756</v>
      </c>
      <c r="J8963" s="1597"/>
      <c r="K8963" s="1633">
        <f>M8963/H8963</f>
        <v>0.7944468884347029</v>
      </c>
      <c r="L8963" s="1597"/>
      <c r="M8963" s="1107">
        <f>M8958+M8962</f>
        <v>45089.6276</v>
      </c>
    </row>
    <row r="8964" spans="2:13">
      <c r="B8964" s="1330" t="s">
        <v>706</v>
      </c>
      <c r="C8964" s="2076" t="s">
        <v>876</v>
      </c>
      <c r="D8964" s="2076"/>
      <c r="E8964" s="2076"/>
      <c r="F8964" s="2077" t="s">
        <v>3873</v>
      </c>
      <c r="G8964" s="2077"/>
      <c r="H8964" s="1107">
        <f>H8963*0.15</f>
        <v>8513.4</v>
      </c>
      <c r="J8964" s="1600"/>
      <c r="K8964" s="1633"/>
      <c r="L8964" s="1600"/>
      <c r="M8964" s="1107">
        <f>M8963*0.15</f>
        <v>6763.4441399999996</v>
      </c>
    </row>
    <row r="8965" spans="2:13">
      <c r="B8965" s="1330" t="s">
        <v>708</v>
      </c>
      <c r="C8965" s="2075" t="s">
        <v>3765</v>
      </c>
      <c r="D8965" s="2075"/>
      <c r="E8965" s="2075"/>
      <c r="F8965" s="2075"/>
      <c r="G8965" s="2075"/>
      <c r="H8965" s="1107">
        <f>ROUND(SUM(H8963:H8964),2)</f>
        <v>65269.4</v>
      </c>
      <c r="I8965" s="1828"/>
      <c r="J8965" s="1637"/>
      <c r="K8965" s="1637"/>
      <c r="L8965" s="1637"/>
      <c r="M8965" s="1919">
        <f>ROUND(SUM(M8963:M8964),2)</f>
        <v>51853.07</v>
      </c>
    </row>
    <row r="8966" spans="2:13">
      <c r="F8966" s="1172"/>
      <c r="G8966" s="1173"/>
      <c r="H8966" s="1133"/>
      <c r="M8966" s="1566"/>
    </row>
    <row r="8967" spans="2:13">
      <c r="B8967" s="1100" t="s">
        <v>4317</v>
      </c>
      <c r="C8967" s="1264" t="s">
        <v>4318</v>
      </c>
      <c r="F8967" s="1172"/>
      <c r="G8967" s="1173"/>
      <c r="H8967" s="1133"/>
      <c r="M8967" s="1566"/>
    </row>
    <row r="8968" spans="2:13" ht="24.9" customHeight="1">
      <c r="B8968" s="1101" t="s">
        <v>1003</v>
      </c>
      <c r="C8968" s="1101" t="s">
        <v>1004</v>
      </c>
      <c r="D8968" s="1101" t="s">
        <v>1005</v>
      </c>
      <c r="E8968" s="1101" t="s">
        <v>1006</v>
      </c>
      <c r="F8968" s="1102" t="s">
        <v>1007</v>
      </c>
      <c r="G8968" s="1109" t="s">
        <v>2637</v>
      </c>
      <c r="H8968" s="1110" t="s">
        <v>2638</v>
      </c>
      <c r="I8968" s="1822"/>
      <c r="J8968" s="1823" t="s">
        <v>5335</v>
      </c>
      <c r="K8968" s="1824" t="s">
        <v>5336</v>
      </c>
      <c r="L8968" s="1824" t="s">
        <v>5337</v>
      </c>
      <c r="M8968" s="1825" t="s">
        <v>5338</v>
      </c>
    </row>
    <row r="8969" spans="2:13">
      <c r="B8969" s="1330" t="s">
        <v>671</v>
      </c>
      <c r="C8969" s="1329" t="s">
        <v>672</v>
      </c>
      <c r="D8969" s="1331"/>
      <c r="E8969" s="1331"/>
      <c r="F8969" s="1334"/>
      <c r="G8969" s="1104"/>
      <c r="H8969" s="1106"/>
      <c r="J8969" s="1597"/>
      <c r="K8969" s="1597"/>
      <c r="L8969" s="1597"/>
      <c r="M8969" s="1826"/>
    </row>
    <row r="8970" spans="2:13">
      <c r="B8970" s="1331"/>
      <c r="C8970" s="1332" t="s">
        <v>673</v>
      </c>
      <c r="D8970" s="1331" t="s">
        <v>674</v>
      </c>
      <c r="E8970" s="1331" t="s">
        <v>675</v>
      </c>
      <c r="F8970" s="1334">
        <v>0.1</v>
      </c>
      <c r="G8970" s="1104">
        <f>$G$2491</f>
        <v>150000</v>
      </c>
      <c r="H8970" s="1106">
        <f>G8970*F8970</f>
        <v>15000</v>
      </c>
      <c r="J8970" s="1609" t="s">
        <v>5339</v>
      </c>
      <c r="K8970" s="1611">
        <v>1</v>
      </c>
      <c r="L8970" s="1608" t="s">
        <v>5340</v>
      </c>
      <c r="M8970" s="1827">
        <f>H8970*K8970</f>
        <v>15000</v>
      </c>
    </row>
    <row r="8971" spans="2:13">
      <c r="B8971" s="1331"/>
      <c r="C8971" s="1332" t="s">
        <v>4300</v>
      </c>
      <c r="D8971" s="1331" t="s">
        <v>678</v>
      </c>
      <c r="E8971" s="1331" t="s">
        <v>675</v>
      </c>
      <c r="F8971" s="1334">
        <v>0.1</v>
      </c>
      <c r="G8971" s="1104">
        <f>$G$2492</f>
        <v>187000</v>
      </c>
      <c r="H8971" s="1106">
        <f t="shared" ref="H8971:H8973" si="247">G8971*F8971</f>
        <v>18700</v>
      </c>
      <c r="J8971" s="1609" t="s">
        <v>5339</v>
      </c>
      <c r="K8971" s="1611">
        <v>1</v>
      </c>
      <c r="L8971" s="1608" t="s">
        <v>5340</v>
      </c>
      <c r="M8971" s="1827">
        <f t="shared" ref="M8971" si="248">H8971*K8971</f>
        <v>18700</v>
      </c>
    </row>
    <row r="8972" spans="2:13">
      <c r="B8972" s="1331"/>
      <c r="C8972" s="1332" t="s">
        <v>680</v>
      </c>
      <c r="D8972" s="1331" t="s">
        <v>681</v>
      </c>
      <c r="E8972" s="1331" t="s">
        <v>675</v>
      </c>
      <c r="F8972" s="1334">
        <v>0.01</v>
      </c>
      <c r="G8972" s="1104">
        <f>$G$2493</f>
        <v>240000</v>
      </c>
      <c r="H8972" s="1106">
        <f t="shared" si="247"/>
        <v>2400</v>
      </c>
      <c r="J8972" s="1609" t="s">
        <v>5339</v>
      </c>
      <c r="K8972" s="1611">
        <v>1</v>
      </c>
      <c r="L8972" s="1608" t="s">
        <v>5340</v>
      </c>
      <c r="M8972" s="1827">
        <f>H8972*K8972</f>
        <v>2400</v>
      </c>
    </row>
    <row r="8973" spans="2:13">
      <c r="B8973" s="1331"/>
      <c r="C8973" s="1332" t="s">
        <v>683</v>
      </c>
      <c r="D8973" s="1331" t="s">
        <v>684</v>
      </c>
      <c r="E8973" s="1331" t="s">
        <v>675</v>
      </c>
      <c r="F8973" s="1334">
        <v>1E-3</v>
      </c>
      <c r="G8973" s="1104">
        <f>$G$2494</f>
        <v>225000</v>
      </c>
      <c r="H8973" s="1106">
        <f t="shared" si="247"/>
        <v>225</v>
      </c>
      <c r="J8973" s="1609" t="s">
        <v>5339</v>
      </c>
      <c r="K8973" s="1611">
        <v>1</v>
      </c>
      <c r="L8973" s="1608" t="s">
        <v>5340</v>
      </c>
      <c r="M8973" s="1827">
        <f t="shared" ref="M8973" si="249">H8973*K8973</f>
        <v>225</v>
      </c>
    </row>
    <row r="8974" spans="2:13">
      <c r="B8974" s="1331"/>
      <c r="C8974" s="1332"/>
      <c r="D8974" s="1331"/>
      <c r="E8974" s="1331"/>
      <c r="F8974" s="2110" t="s">
        <v>685</v>
      </c>
      <c r="G8974" s="2110"/>
      <c r="H8974" s="1106">
        <f>SUM(H8970:H8973)</f>
        <v>36325</v>
      </c>
      <c r="J8974" s="1597"/>
      <c r="K8974" s="1597"/>
      <c r="L8974" s="1597"/>
      <c r="M8974" s="1107">
        <f>SUM(M8970:M8973)</f>
        <v>36325</v>
      </c>
    </row>
    <row r="8975" spans="2:13">
      <c r="B8975" s="1330" t="s">
        <v>686</v>
      </c>
      <c r="C8975" s="1329" t="s">
        <v>687</v>
      </c>
      <c r="D8975" s="1331"/>
      <c r="E8975" s="1331"/>
      <c r="F8975" s="1334"/>
      <c r="G8975" s="1104"/>
      <c r="H8975" s="1106"/>
      <c r="J8975" s="1597"/>
      <c r="K8975" s="1597"/>
      <c r="L8975" s="1597"/>
      <c r="M8975" s="1826"/>
    </row>
    <row r="8976" spans="2:13">
      <c r="B8976" s="1331"/>
      <c r="C8976" s="1812" t="s">
        <v>3518</v>
      </c>
      <c r="D8976" s="1331"/>
      <c r="E8976" s="1331" t="s">
        <v>1423</v>
      </c>
      <c r="F8976" s="1813">
        <v>1</v>
      </c>
      <c r="G8976" s="1104">
        <f>DUB!$I$386</f>
        <v>15309</v>
      </c>
      <c r="H8976" s="1106">
        <f>G8976*F8976</f>
        <v>15309</v>
      </c>
      <c r="J8976" s="1634" t="s">
        <v>4925</v>
      </c>
      <c r="K8976" s="1611">
        <v>0.43540000000000001</v>
      </c>
      <c r="L8976" s="1607" t="s">
        <v>5343</v>
      </c>
      <c r="M8976" s="1827">
        <f>H8976*K8976</f>
        <v>6665.5385999999999</v>
      </c>
    </row>
    <row r="8977" spans="2:13">
      <c r="B8977" s="1331"/>
      <c r="C8977" s="1812" t="s">
        <v>3509</v>
      </c>
      <c r="D8977" s="1331"/>
      <c r="E8977" s="1331" t="s">
        <v>1011</v>
      </c>
      <c r="F8977" s="1813">
        <v>1</v>
      </c>
      <c r="G8977" s="1104">
        <v>1000</v>
      </c>
      <c r="H8977" s="1106">
        <f t="shared" ref="H8977" si="250">G8977*F8977</f>
        <v>1000</v>
      </c>
      <c r="J8977" s="1634" t="s">
        <v>4925</v>
      </c>
      <c r="K8977" s="1611">
        <v>1</v>
      </c>
      <c r="L8977" s="1634" t="s">
        <v>4925</v>
      </c>
      <c r="M8977" s="1827">
        <f t="shared" ref="M8977" si="251">H8977*K8977</f>
        <v>1000</v>
      </c>
    </row>
    <row r="8978" spans="2:13">
      <c r="B8978" s="1331"/>
      <c r="C8978" s="1125"/>
      <c r="D8978" s="1333"/>
      <c r="E8978" s="1333"/>
      <c r="F8978" s="2074" t="s">
        <v>702</v>
      </c>
      <c r="G8978" s="2074"/>
      <c r="H8978" s="1106">
        <f>SUM(H8976:H8977)</f>
        <v>16309</v>
      </c>
      <c r="J8978" s="1642"/>
      <c r="K8978" s="1611"/>
      <c r="L8978" s="1607"/>
      <c r="M8978" s="1106">
        <f>SUM(M8976:M8977)</f>
        <v>7665.5385999999999</v>
      </c>
    </row>
    <row r="8979" spans="2:13">
      <c r="B8979" s="1330" t="s">
        <v>703</v>
      </c>
      <c r="C8979" s="2075" t="s">
        <v>3764</v>
      </c>
      <c r="D8979" s="2075"/>
      <c r="E8979" s="2075"/>
      <c r="F8979" s="2075"/>
      <c r="G8979" s="2075"/>
      <c r="H8979" s="1107">
        <f>H8974+H8978</f>
        <v>52634</v>
      </c>
      <c r="J8979" s="1597"/>
      <c r="K8979" s="1633">
        <f>M8979/H8979</f>
        <v>0.83578178743777787</v>
      </c>
      <c r="L8979" s="1597"/>
      <c r="M8979" s="1107">
        <f>M8974+M8978</f>
        <v>43990.5386</v>
      </c>
    </row>
    <row r="8980" spans="2:13">
      <c r="B8980" s="1330" t="s">
        <v>706</v>
      </c>
      <c r="C8980" s="2076" t="s">
        <v>876</v>
      </c>
      <c r="D8980" s="2076"/>
      <c r="E8980" s="2076"/>
      <c r="F8980" s="2077" t="s">
        <v>3873</v>
      </c>
      <c r="G8980" s="2077"/>
      <c r="H8980" s="1107">
        <f>H8979*0.15</f>
        <v>7895.0999999999995</v>
      </c>
      <c r="J8980" s="1600"/>
      <c r="K8980" s="1633"/>
      <c r="L8980" s="1600"/>
      <c r="M8980" s="1107">
        <f>M8979*0.15</f>
        <v>6598.58079</v>
      </c>
    </row>
    <row r="8981" spans="2:13">
      <c r="B8981" s="1330" t="s">
        <v>708</v>
      </c>
      <c r="C8981" s="2075" t="s">
        <v>3765</v>
      </c>
      <c r="D8981" s="2075"/>
      <c r="E8981" s="2075"/>
      <c r="F8981" s="2075"/>
      <c r="G8981" s="2075"/>
      <c r="H8981" s="1107">
        <f>ROUND(SUM(H8979:H8980),2)</f>
        <v>60529.1</v>
      </c>
      <c r="I8981" s="1828"/>
      <c r="J8981" s="1637"/>
      <c r="K8981" s="1637"/>
      <c r="L8981" s="1637"/>
      <c r="M8981" s="1919">
        <f>ROUND(SUM(M8979:M8980),2)</f>
        <v>50589.120000000003</v>
      </c>
    </row>
    <row r="8982" spans="2:13">
      <c r="F8982" s="1172"/>
      <c r="G8982" s="1173"/>
      <c r="H8982" s="1133"/>
      <c r="M8982" s="1566"/>
    </row>
    <row r="8983" spans="2:13">
      <c r="B8983" s="1100" t="s">
        <v>4319</v>
      </c>
      <c r="C8983" s="1264" t="s">
        <v>4320</v>
      </c>
      <c r="F8983" s="1172"/>
      <c r="G8983" s="1173"/>
      <c r="H8983" s="1133"/>
      <c r="M8983" s="1566"/>
    </row>
    <row r="8984" spans="2:13" ht="24.9" customHeight="1">
      <c r="B8984" s="1101" t="s">
        <v>1003</v>
      </c>
      <c r="C8984" s="1101" t="s">
        <v>1004</v>
      </c>
      <c r="D8984" s="1101" t="s">
        <v>1005</v>
      </c>
      <c r="E8984" s="1101" t="s">
        <v>1006</v>
      </c>
      <c r="F8984" s="1102" t="s">
        <v>1007</v>
      </c>
      <c r="G8984" s="1109" t="s">
        <v>2637</v>
      </c>
      <c r="H8984" s="1110" t="s">
        <v>2638</v>
      </c>
      <c r="I8984" s="1822"/>
      <c r="J8984" s="1823" t="s">
        <v>5335</v>
      </c>
      <c r="K8984" s="1824" t="s">
        <v>5336</v>
      </c>
      <c r="L8984" s="1824" t="s">
        <v>5337</v>
      </c>
      <c r="M8984" s="1825" t="s">
        <v>5338</v>
      </c>
    </row>
    <row r="8985" spans="2:13">
      <c r="B8985" s="1330" t="s">
        <v>671</v>
      </c>
      <c r="C8985" s="1329" t="s">
        <v>672</v>
      </c>
      <c r="D8985" s="1331"/>
      <c r="E8985" s="1331"/>
      <c r="F8985" s="1334"/>
      <c r="G8985" s="1104"/>
      <c r="H8985" s="1106"/>
      <c r="J8985" s="1597"/>
      <c r="K8985" s="1597"/>
      <c r="L8985" s="1597"/>
      <c r="M8985" s="1826"/>
    </row>
    <row r="8986" spans="2:13">
      <c r="B8986" s="1331"/>
      <c r="C8986" s="1332" t="s">
        <v>673</v>
      </c>
      <c r="D8986" s="1331" t="s">
        <v>674</v>
      </c>
      <c r="E8986" s="1331" t="s">
        <v>675</v>
      </c>
      <c r="F8986" s="1334">
        <v>0.1</v>
      </c>
      <c r="G8986" s="1104">
        <f>$G$2491</f>
        <v>150000</v>
      </c>
      <c r="H8986" s="1106">
        <f>G8986*F8986</f>
        <v>15000</v>
      </c>
      <c r="J8986" s="1609" t="s">
        <v>5339</v>
      </c>
      <c r="K8986" s="1611">
        <v>1</v>
      </c>
      <c r="L8986" s="1608" t="s">
        <v>5340</v>
      </c>
      <c r="M8986" s="1827">
        <f>H8986*K8986</f>
        <v>15000</v>
      </c>
    </row>
    <row r="8987" spans="2:13">
      <c r="B8987" s="1331"/>
      <c r="C8987" s="1332" t="s">
        <v>4300</v>
      </c>
      <c r="D8987" s="1331" t="s">
        <v>678</v>
      </c>
      <c r="E8987" s="1331" t="s">
        <v>675</v>
      </c>
      <c r="F8987" s="1334">
        <v>0.1</v>
      </c>
      <c r="G8987" s="1104">
        <f>$G$2492</f>
        <v>187000</v>
      </c>
      <c r="H8987" s="1106">
        <f t="shared" ref="H8987:H8989" si="252">G8987*F8987</f>
        <v>18700</v>
      </c>
      <c r="J8987" s="1609" t="s">
        <v>5339</v>
      </c>
      <c r="K8987" s="1611">
        <v>1</v>
      </c>
      <c r="L8987" s="1608" t="s">
        <v>5340</v>
      </c>
      <c r="M8987" s="1827">
        <f t="shared" ref="M8987" si="253">H8987*K8987</f>
        <v>18700</v>
      </c>
    </row>
    <row r="8988" spans="2:13">
      <c r="B8988" s="1331"/>
      <c r="C8988" s="1332" t="s">
        <v>680</v>
      </c>
      <c r="D8988" s="1331" t="s">
        <v>681</v>
      </c>
      <c r="E8988" s="1331" t="s">
        <v>675</v>
      </c>
      <c r="F8988" s="1334">
        <v>0.01</v>
      </c>
      <c r="G8988" s="1104">
        <f>$G$2493</f>
        <v>240000</v>
      </c>
      <c r="H8988" s="1106">
        <f t="shared" si="252"/>
        <v>2400</v>
      </c>
      <c r="J8988" s="1609" t="s">
        <v>5339</v>
      </c>
      <c r="K8988" s="1611">
        <v>1</v>
      </c>
      <c r="L8988" s="1608" t="s">
        <v>5340</v>
      </c>
      <c r="M8988" s="1827">
        <f>H8988*K8988</f>
        <v>2400</v>
      </c>
    </row>
    <row r="8989" spans="2:13">
      <c r="B8989" s="1331"/>
      <c r="C8989" s="1332" t="s">
        <v>683</v>
      </c>
      <c r="D8989" s="1331" t="s">
        <v>684</v>
      </c>
      <c r="E8989" s="1331" t="s">
        <v>675</v>
      </c>
      <c r="F8989" s="1334">
        <v>1E-3</v>
      </c>
      <c r="G8989" s="1104">
        <f>$G$2494</f>
        <v>225000</v>
      </c>
      <c r="H8989" s="1106">
        <f t="shared" si="252"/>
        <v>225</v>
      </c>
      <c r="J8989" s="1609" t="s">
        <v>5339</v>
      </c>
      <c r="K8989" s="1611">
        <v>1</v>
      </c>
      <c r="L8989" s="1608" t="s">
        <v>5340</v>
      </c>
      <c r="M8989" s="1827">
        <f t="shared" ref="M8989" si="254">H8989*K8989</f>
        <v>225</v>
      </c>
    </row>
    <row r="8990" spans="2:13">
      <c r="B8990" s="1331"/>
      <c r="C8990" s="1332"/>
      <c r="D8990" s="1331"/>
      <c r="E8990" s="1331"/>
      <c r="F8990" s="2110" t="s">
        <v>685</v>
      </c>
      <c r="G8990" s="2110"/>
      <c r="H8990" s="1106">
        <f>SUM(H8986:H8989)</f>
        <v>36325</v>
      </c>
      <c r="J8990" s="1597"/>
      <c r="K8990" s="1597"/>
      <c r="L8990" s="1597"/>
      <c r="M8990" s="1107">
        <f>SUM(M8986:M8989)</f>
        <v>36325</v>
      </c>
    </row>
    <row r="8991" spans="2:13">
      <c r="B8991" s="1330" t="s">
        <v>686</v>
      </c>
      <c r="C8991" s="1329" t="s">
        <v>687</v>
      </c>
      <c r="D8991" s="1331"/>
      <c r="E8991" s="1331"/>
      <c r="F8991" s="1334"/>
      <c r="G8991" s="1104"/>
      <c r="H8991" s="1106"/>
      <c r="J8991" s="1597"/>
      <c r="K8991" s="1597"/>
      <c r="L8991" s="1597"/>
      <c r="M8991" s="1826"/>
    </row>
    <row r="8992" spans="2:13">
      <c r="B8992" s="1331"/>
      <c r="C8992" s="1812" t="s">
        <v>3519</v>
      </c>
      <c r="D8992" s="1331"/>
      <c r="E8992" s="1331" t="s">
        <v>1423</v>
      </c>
      <c r="F8992" s="1813">
        <v>1</v>
      </c>
      <c r="G8992" s="1104">
        <f>DUB!$I$387</f>
        <v>20025</v>
      </c>
      <c r="H8992" s="1106">
        <f>G8992*F8992</f>
        <v>20025</v>
      </c>
      <c r="J8992" s="1634" t="s">
        <v>4925</v>
      </c>
      <c r="K8992" s="1611">
        <v>0.43540000000000001</v>
      </c>
      <c r="L8992" s="1607" t="s">
        <v>5343</v>
      </c>
      <c r="M8992" s="1827">
        <f>H8992*K8992</f>
        <v>8718.8850000000002</v>
      </c>
    </row>
    <row r="8993" spans="2:13">
      <c r="B8993" s="1331"/>
      <c r="C8993" s="1812" t="s">
        <v>3509</v>
      </c>
      <c r="D8993" s="1331"/>
      <c r="E8993" s="1331" t="s">
        <v>1011</v>
      </c>
      <c r="F8993" s="1813">
        <v>1</v>
      </c>
      <c r="G8993" s="1104">
        <v>1000</v>
      </c>
      <c r="H8993" s="1106">
        <f t="shared" ref="H8993" si="255">G8993*F8993</f>
        <v>1000</v>
      </c>
      <c r="J8993" s="1634" t="s">
        <v>4925</v>
      </c>
      <c r="K8993" s="1611">
        <v>1</v>
      </c>
      <c r="L8993" s="1634" t="s">
        <v>4925</v>
      </c>
      <c r="M8993" s="1827">
        <f t="shared" ref="M8993" si="256">H8993*K8993</f>
        <v>1000</v>
      </c>
    </row>
    <row r="8994" spans="2:13">
      <c r="B8994" s="1331"/>
      <c r="C8994" s="1125"/>
      <c r="D8994" s="1333"/>
      <c r="E8994" s="1333"/>
      <c r="F8994" s="2074" t="s">
        <v>702</v>
      </c>
      <c r="G8994" s="2074"/>
      <c r="H8994" s="1106">
        <f>SUM(H8992:H8993)</f>
        <v>21025</v>
      </c>
      <c r="J8994" s="1642"/>
      <c r="K8994" s="1611"/>
      <c r="L8994" s="1607"/>
      <c r="M8994" s="1106">
        <f>SUM(M8992:M8993)</f>
        <v>9718.8850000000002</v>
      </c>
    </row>
    <row r="8995" spans="2:13">
      <c r="B8995" s="1330" t="s">
        <v>703</v>
      </c>
      <c r="C8995" s="2075" t="s">
        <v>3764</v>
      </c>
      <c r="D8995" s="2075"/>
      <c r="E8995" s="2075"/>
      <c r="F8995" s="2075"/>
      <c r="G8995" s="2075"/>
      <c r="H8995" s="1107">
        <f>H8990+H8994</f>
        <v>57350</v>
      </c>
      <c r="J8995" s="1597"/>
      <c r="K8995" s="1633">
        <f>M8995/H8995</f>
        <v>0.80285762859633836</v>
      </c>
      <c r="L8995" s="1597"/>
      <c r="M8995" s="1107">
        <f>M8990+M8994</f>
        <v>46043.885000000002</v>
      </c>
    </row>
    <row r="8996" spans="2:13">
      <c r="B8996" s="1330" t="s">
        <v>706</v>
      </c>
      <c r="C8996" s="2076" t="s">
        <v>876</v>
      </c>
      <c r="D8996" s="2076"/>
      <c r="E8996" s="2076"/>
      <c r="F8996" s="2077" t="s">
        <v>3873</v>
      </c>
      <c r="G8996" s="2077"/>
      <c r="H8996" s="1107">
        <f>H8995*0.15</f>
        <v>8602.5</v>
      </c>
      <c r="J8996" s="1600"/>
      <c r="K8996" s="1633"/>
      <c r="L8996" s="1600"/>
      <c r="M8996" s="1107">
        <f>M8995*0.15</f>
        <v>6906.5827500000005</v>
      </c>
    </row>
    <row r="8997" spans="2:13">
      <c r="B8997" s="1330" t="s">
        <v>708</v>
      </c>
      <c r="C8997" s="2075" t="s">
        <v>3765</v>
      </c>
      <c r="D8997" s="2075"/>
      <c r="E8997" s="2075"/>
      <c r="F8997" s="2075"/>
      <c r="G8997" s="2075"/>
      <c r="H8997" s="1107">
        <f>ROUND(SUM(H8995:H8996),2)</f>
        <v>65952.5</v>
      </c>
      <c r="I8997" s="1828"/>
      <c r="J8997" s="1637"/>
      <c r="K8997" s="1637"/>
      <c r="L8997" s="1637"/>
      <c r="M8997" s="1919">
        <f>ROUND(SUM(M8995:M8996),2)</f>
        <v>52950.47</v>
      </c>
    </row>
    <row r="8999" spans="2:13" hidden="1">
      <c r="B8999" s="1100" t="s">
        <v>4321</v>
      </c>
      <c r="C8999" s="1264" t="s">
        <v>4322</v>
      </c>
    </row>
    <row r="9000" spans="2:13" ht="24.9" hidden="1" customHeight="1">
      <c r="B9000" s="1101" t="s">
        <v>1003</v>
      </c>
      <c r="C9000" s="1101" t="s">
        <v>1004</v>
      </c>
      <c r="D9000" s="1101" t="s">
        <v>1005</v>
      </c>
      <c r="E9000" s="1101" t="s">
        <v>1006</v>
      </c>
      <c r="F9000" s="1102" t="s">
        <v>1007</v>
      </c>
      <c r="G9000" s="1109" t="s">
        <v>2637</v>
      </c>
      <c r="H9000" s="1110" t="s">
        <v>2638</v>
      </c>
    </row>
    <row r="9001" spans="2:13" hidden="1">
      <c r="B9001" s="1330" t="s">
        <v>671</v>
      </c>
      <c r="C9001" s="1329" t="s">
        <v>672</v>
      </c>
      <c r="D9001" s="1331"/>
      <c r="E9001" s="1331"/>
      <c r="F9001" s="1334"/>
      <c r="G9001" s="1104"/>
      <c r="H9001" s="1106"/>
    </row>
    <row r="9002" spans="2:13" hidden="1">
      <c r="B9002" s="1331"/>
      <c r="C9002" s="1332" t="s">
        <v>673</v>
      </c>
      <c r="D9002" s="1331" t="s">
        <v>674</v>
      </c>
      <c r="E9002" s="1331" t="s">
        <v>675</v>
      </c>
      <c r="F9002" s="1334">
        <v>0.1</v>
      </c>
      <c r="G9002" s="1104">
        <f>$G$2491</f>
        <v>150000</v>
      </c>
      <c r="H9002" s="1106">
        <f>G9002*F9002</f>
        <v>15000</v>
      </c>
    </row>
    <row r="9003" spans="2:13" hidden="1">
      <c r="B9003" s="1331"/>
      <c r="C9003" s="1332" t="s">
        <v>4300</v>
      </c>
      <c r="D9003" s="1331" t="s">
        <v>678</v>
      </c>
      <c r="E9003" s="1331" t="s">
        <v>675</v>
      </c>
      <c r="F9003" s="1334">
        <v>0.1</v>
      </c>
      <c r="G9003" s="1104">
        <f>$G$2492</f>
        <v>187000</v>
      </c>
      <c r="H9003" s="1106">
        <f t="shared" ref="H9003:H9005" si="257">G9003*F9003</f>
        <v>18700</v>
      </c>
    </row>
    <row r="9004" spans="2:13" hidden="1">
      <c r="B9004" s="1331"/>
      <c r="C9004" s="1332" t="s">
        <v>680</v>
      </c>
      <c r="D9004" s="1331" t="s">
        <v>681</v>
      </c>
      <c r="E9004" s="1331" t="s">
        <v>675</v>
      </c>
      <c r="F9004" s="1334">
        <v>0.01</v>
      </c>
      <c r="G9004" s="1104">
        <f>$G$2493</f>
        <v>240000</v>
      </c>
      <c r="H9004" s="1106">
        <f t="shared" si="257"/>
        <v>2400</v>
      </c>
    </row>
    <row r="9005" spans="2:13" hidden="1">
      <c r="B9005" s="1331"/>
      <c r="C9005" s="1332" t="s">
        <v>683</v>
      </c>
      <c r="D9005" s="1331" t="s">
        <v>684</v>
      </c>
      <c r="E9005" s="1331" t="s">
        <v>675</v>
      </c>
      <c r="F9005" s="1334">
        <v>1E-3</v>
      </c>
      <c r="G9005" s="1104">
        <f>$G$2494</f>
        <v>225000</v>
      </c>
      <c r="H9005" s="1106">
        <f t="shared" si="257"/>
        <v>225</v>
      </c>
    </row>
    <row r="9006" spans="2:13" hidden="1">
      <c r="B9006" s="1331"/>
      <c r="C9006" s="1332"/>
      <c r="D9006" s="1331"/>
      <c r="E9006" s="1331"/>
      <c r="F9006" s="2110" t="s">
        <v>685</v>
      </c>
      <c r="G9006" s="2110"/>
      <c r="H9006" s="1106">
        <f>SUM(H9002:H9005)</f>
        <v>36325</v>
      </c>
    </row>
    <row r="9007" spans="2:13" hidden="1">
      <c r="B9007" s="1330" t="s">
        <v>686</v>
      </c>
      <c r="C9007" s="1329" t="s">
        <v>687</v>
      </c>
      <c r="D9007" s="1331"/>
      <c r="E9007" s="1331"/>
      <c r="F9007" s="1334"/>
      <c r="G9007" s="1104"/>
      <c r="H9007" s="1106"/>
    </row>
    <row r="9008" spans="2:13" hidden="1">
      <c r="B9008" s="1331"/>
      <c r="C9008" s="1265" t="s">
        <v>3520</v>
      </c>
      <c r="D9008" s="1331"/>
      <c r="E9008" s="1331" t="s">
        <v>1423</v>
      </c>
      <c r="F9008" s="1259">
        <v>1</v>
      </c>
      <c r="G9008" s="1104">
        <f>DUB!$I$388</f>
        <v>23562</v>
      </c>
      <c r="H9008" s="1106">
        <f>G9008*F9008</f>
        <v>23562</v>
      </c>
    </row>
    <row r="9009" spans="2:8" hidden="1">
      <c r="B9009" s="1331"/>
      <c r="C9009" s="1265" t="s">
        <v>3509</v>
      </c>
      <c r="D9009" s="1331"/>
      <c r="E9009" s="1331" t="s">
        <v>1011</v>
      </c>
      <c r="F9009" s="1259">
        <v>1</v>
      </c>
      <c r="G9009" s="1104">
        <v>1000</v>
      </c>
      <c r="H9009" s="1106">
        <f t="shared" ref="H9009" si="258">G9009*F9009</f>
        <v>1000</v>
      </c>
    </row>
    <row r="9010" spans="2:8" hidden="1">
      <c r="B9010" s="1331"/>
      <c r="C9010" s="1125"/>
      <c r="D9010" s="1333"/>
      <c r="E9010" s="1333"/>
      <c r="F9010" s="2074" t="s">
        <v>702</v>
      </c>
      <c r="G9010" s="2074"/>
      <c r="H9010" s="1106">
        <f>SUM(H9008:H9009)</f>
        <v>24562</v>
      </c>
    </row>
    <row r="9011" spans="2:8" hidden="1">
      <c r="B9011" s="1330" t="s">
        <v>703</v>
      </c>
      <c r="C9011" s="2075" t="s">
        <v>3764</v>
      </c>
      <c r="D9011" s="2075"/>
      <c r="E9011" s="2075"/>
      <c r="F9011" s="2075"/>
      <c r="G9011" s="2075"/>
      <c r="H9011" s="1107">
        <f>H9006+H9010</f>
        <v>60887</v>
      </c>
    </row>
    <row r="9012" spans="2:8" hidden="1">
      <c r="B9012" s="1330" t="s">
        <v>706</v>
      </c>
      <c r="C9012" s="2076" t="s">
        <v>876</v>
      </c>
      <c r="D9012" s="2076"/>
      <c r="E9012" s="2076"/>
      <c r="F9012" s="2077" t="s">
        <v>3873</v>
      </c>
      <c r="G9012" s="2077"/>
      <c r="H9012" s="1107">
        <f>H9011*0.15</f>
        <v>9133.0499999999993</v>
      </c>
    </row>
    <row r="9013" spans="2:8" hidden="1">
      <c r="B9013" s="1330" t="s">
        <v>708</v>
      </c>
      <c r="C9013" s="2075" t="s">
        <v>3765</v>
      </c>
      <c r="D9013" s="2075"/>
      <c r="E9013" s="2075"/>
      <c r="F9013" s="2075"/>
      <c r="G9013" s="2075"/>
      <c r="H9013" s="1107">
        <f>ROUND(SUM(H9011:H9012),2)</f>
        <v>70020.05</v>
      </c>
    </row>
    <row r="9014" spans="2:8" hidden="1"/>
    <row r="9015" spans="2:8" hidden="1">
      <c r="B9015" s="1100" t="s">
        <v>4323</v>
      </c>
      <c r="C9015" s="1264" t="s">
        <v>4324</v>
      </c>
    </row>
    <row r="9016" spans="2:8" ht="24.9" hidden="1" customHeight="1">
      <c r="B9016" s="1101" t="s">
        <v>1003</v>
      </c>
      <c r="C9016" s="1101" t="s">
        <v>1004</v>
      </c>
      <c r="D9016" s="1101" t="s">
        <v>1005</v>
      </c>
      <c r="E9016" s="1101" t="s">
        <v>1006</v>
      </c>
      <c r="F9016" s="1102" t="s">
        <v>1007</v>
      </c>
      <c r="G9016" s="1109" t="s">
        <v>2637</v>
      </c>
      <c r="H9016" s="1110" t="s">
        <v>2638</v>
      </c>
    </row>
    <row r="9017" spans="2:8" hidden="1">
      <c r="B9017" s="1330" t="s">
        <v>671</v>
      </c>
      <c r="C9017" s="1329" t="s">
        <v>672</v>
      </c>
      <c r="D9017" s="1331"/>
      <c r="E9017" s="1331"/>
      <c r="F9017" s="1334"/>
      <c r="G9017" s="1104"/>
      <c r="H9017" s="1106"/>
    </row>
    <row r="9018" spans="2:8" hidden="1">
      <c r="B9018" s="1331"/>
      <c r="C9018" s="1332" t="s">
        <v>673</v>
      </c>
      <c r="D9018" s="1331" t="s">
        <v>674</v>
      </c>
      <c r="E9018" s="1331" t="s">
        <v>675</v>
      </c>
      <c r="F9018" s="1334">
        <v>0.1</v>
      </c>
      <c r="G9018" s="1104">
        <f>$G$2491</f>
        <v>150000</v>
      </c>
      <c r="H9018" s="1106">
        <f>G9018*F9018</f>
        <v>15000</v>
      </c>
    </row>
    <row r="9019" spans="2:8" hidden="1">
      <c r="B9019" s="1331"/>
      <c r="C9019" s="1332" t="s">
        <v>4300</v>
      </c>
      <c r="D9019" s="1331" t="s">
        <v>678</v>
      </c>
      <c r="E9019" s="1331" t="s">
        <v>675</v>
      </c>
      <c r="F9019" s="1334">
        <v>0.1</v>
      </c>
      <c r="G9019" s="1104">
        <f>$G$2492</f>
        <v>187000</v>
      </c>
      <c r="H9019" s="1106">
        <f t="shared" ref="H9019:H9021" si="259">G9019*F9019</f>
        <v>18700</v>
      </c>
    </row>
    <row r="9020" spans="2:8" hidden="1">
      <c r="B9020" s="1331"/>
      <c r="C9020" s="1332" t="s">
        <v>680</v>
      </c>
      <c r="D9020" s="1331" t="s">
        <v>681</v>
      </c>
      <c r="E9020" s="1331" t="s">
        <v>675</v>
      </c>
      <c r="F9020" s="1334">
        <v>0.01</v>
      </c>
      <c r="G9020" s="1104">
        <f>$G$2493</f>
        <v>240000</v>
      </c>
      <c r="H9020" s="1106">
        <f t="shared" si="259"/>
        <v>2400</v>
      </c>
    </row>
    <row r="9021" spans="2:8" hidden="1">
      <c r="B9021" s="1331"/>
      <c r="C9021" s="1332" t="s">
        <v>683</v>
      </c>
      <c r="D9021" s="1331" t="s">
        <v>684</v>
      </c>
      <c r="E9021" s="1331" t="s">
        <v>675</v>
      </c>
      <c r="F9021" s="1334">
        <v>1E-3</v>
      </c>
      <c r="G9021" s="1104">
        <f>$G$2494</f>
        <v>225000</v>
      </c>
      <c r="H9021" s="1106">
        <f t="shared" si="259"/>
        <v>225</v>
      </c>
    </row>
    <row r="9022" spans="2:8" hidden="1">
      <c r="B9022" s="1331"/>
      <c r="C9022" s="1332"/>
      <c r="D9022" s="1331"/>
      <c r="E9022" s="1331"/>
      <c r="F9022" s="2110" t="s">
        <v>685</v>
      </c>
      <c r="G9022" s="2110"/>
      <c r="H9022" s="1106">
        <f>SUM(H9018:H9021)</f>
        <v>36325</v>
      </c>
    </row>
    <row r="9023" spans="2:8" hidden="1">
      <c r="B9023" s="1330" t="s">
        <v>686</v>
      </c>
      <c r="C9023" s="1329" t="s">
        <v>687</v>
      </c>
      <c r="D9023" s="1331"/>
      <c r="E9023" s="1331"/>
      <c r="F9023" s="1334"/>
      <c r="G9023" s="1104"/>
      <c r="H9023" s="1106"/>
    </row>
    <row r="9024" spans="2:8" hidden="1">
      <c r="B9024" s="1331"/>
      <c r="C9024" s="1265" t="s">
        <v>4325</v>
      </c>
      <c r="D9024" s="1331"/>
      <c r="E9024" s="1331" t="s">
        <v>853</v>
      </c>
      <c r="F9024" s="1259">
        <v>1</v>
      </c>
      <c r="G9024" s="1104">
        <f>DUB!$I$407</f>
        <v>111915</v>
      </c>
      <c r="H9024" s="1106">
        <f>G9024*F9024</f>
        <v>111915</v>
      </c>
    </row>
    <row r="9025" spans="2:8" hidden="1">
      <c r="B9025" s="1331"/>
      <c r="C9025" s="1265" t="s">
        <v>3509</v>
      </c>
      <c r="D9025" s="1331"/>
      <c r="E9025" s="1331" t="s">
        <v>1011</v>
      </c>
      <c r="F9025" s="1259">
        <v>1</v>
      </c>
      <c r="G9025" s="1104">
        <v>1000</v>
      </c>
      <c r="H9025" s="1106">
        <f t="shared" ref="H9025" si="260">G9025*F9025</f>
        <v>1000</v>
      </c>
    </row>
    <row r="9026" spans="2:8" hidden="1">
      <c r="B9026" s="1331"/>
      <c r="C9026" s="1125"/>
      <c r="D9026" s="1333"/>
      <c r="E9026" s="1333"/>
      <c r="F9026" s="2074" t="s">
        <v>702</v>
      </c>
      <c r="G9026" s="2074"/>
      <c r="H9026" s="1106">
        <f>SUM(H9024:H9025)</f>
        <v>112915</v>
      </c>
    </row>
    <row r="9027" spans="2:8" hidden="1">
      <c r="B9027" s="1330" t="s">
        <v>703</v>
      </c>
      <c r="C9027" s="2075" t="s">
        <v>3764</v>
      </c>
      <c r="D9027" s="2075"/>
      <c r="E9027" s="2075"/>
      <c r="F9027" s="2075"/>
      <c r="G9027" s="2075"/>
      <c r="H9027" s="1107">
        <f>H9022+H9026</f>
        <v>149240</v>
      </c>
    </row>
    <row r="9028" spans="2:8" hidden="1">
      <c r="B9028" s="1330" t="s">
        <v>706</v>
      </c>
      <c r="C9028" s="2076" t="s">
        <v>876</v>
      </c>
      <c r="D9028" s="2076"/>
      <c r="E9028" s="2076"/>
      <c r="F9028" s="2077" t="s">
        <v>3873</v>
      </c>
      <c r="G9028" s="2077"/>
      <c r="H9028" s="1107">
        <f>H9027*0.15</f>
        <v>22386</v>
      </c>
    </row>
    <row r="9029" spans="2:8" hidden="1">
      <c r="B9029" s="1330" t="s">
        <v>708</v>
      </c>
      <c r="C9029" s="2075" t="s">
        <v>3765</v>
      </c>
      <c r="D9029" s="2075"/>
      <c r="E9029" s="2075"/>
      <c r="F9029" s="2075"/>
      <c r="G9029" s="2075"/>
      <c r="H9029" s="1107">
        <f>ROUND(SUM(H9027:H9028),2)</f>
        <v>171626</v>
      </c>
    </row>
    <row r="9030" spans="2:8" hidden="1"/>
    <row r="9031" spans="2:8" hidden="1">
      <c r="B9031" s="1100" t="s">
        <v>4326</v>
      </c>
      <c r="C9031" s="1264" t="s">
        <v>4327</v>
      </c>
    </row>
    <row r="9032" spans="2:8" ht="24.9" hidden="1" customHeight="1">
      <c r="B9032" s="1101" t="s">
        <v>1003</v>
      </c>
      <c r="C9032" s="1101" t="s">
        <v>1004</v>
      </c>
      <c r="D9032" s="1101" t="s">
        <v>1005</v>
      </c>
      <c r="E9032" s="1101" t="s">
        <v>1006</v>
      </c>
      <c r="F9032" s="1102" t="s">
        <v>1007</v>
      </c>
      <c r="G9032" s="1109" t="s">
        <v>2637</v>
      </c>
      <c r="H9032" s="1110" t="s">
        <v>2638</v>
      </c>
    </row>
    <row r="9033" spans="2:8" hidden="1">
      <c r="B9033" s="1330" t="s">
        <v>671</v>
      </c>
      <c r="C9033" s="1329" t="s">
        <v>3660</v>
      </c>
      <c r="D9033" s="1331"/>
      <c r="E9033" s="1331"/>
      <c r="F9033" s="1334"/>
      <c r="G9033" s="1104"/>
      <c r="H9033" s="1106"/>
    </row>
    <row r="9034" spans="2:8" hidden="1">
      <c r="B9034" s="1331"/>
      <c r="C9034" s="1332" t="s">
        <v>3661</v>
      </c>
      <c r="D9034" s="1331"/>
      <c r="E9034" s="1331" t="s">
        <v>2970</v>
      </c>
      <c r="F9034" s="1334">
        <v>1</v>
      </c>
      <c r="G9034" s="1104">
        <v>1218000</v>
      </c>
      <c r="H9034" s="1106">
        <f>G9034*F9034</f>
        <v>1218000</v>
      </c>
    </row>
    <row r="9035" spans="2:8" hidden="1">
      <c r="B9035" s="1331"/>
      <c r="C9035" s="1332"/>
      <c r="D9035" s="1331"/>
      <c r="E9035" s="1331"/>
      <c r="F9035" s="2110" t="s">
        <v>4331</v>
      </c>
      <c r="G9035" s="2110"/>
      <c r="H9035" s="1106">
        <f>SUM(H9034:H9034)</f>
        <v>1218000</v>
      </c>
    </row>
    <row r="9036" spans="2:8" hidden="1">
      <c r="B9036" s="1330" t="s">
        <v>686</v>
      </c>
      <c r="C9036" s="2075" t="s">
        <v>4328</v>
      </c>
      <c r="D9036" s="2075"/>
      <c r="E9036" s="2075"/>
      <c r="F9036" s="2075"/>
      <c r="G9036" s="2075"/>
      <c r="H9036" s="1107">
        <f>H9035</f>
        <v>1218000</v>
      </c>
    </row>
    <row r="9037" spans="2:8" hidden="1">
      <c r="B9037" s="1330" t="s">
        <v>703</v>
      </c>
      <c r="C9037" s="2076" t="s">
        <v>876</v>
      </c>
      <c r="D9037" s="2076"/>
      <c r="E9037" s="2076"/>
      <c r="F9037" s="2077" t="s">
        <v>4329</v>
      </c>
      <c r="G9037" s="2077"/>
      <c r="H9037" s="1107">
        <f>H9036*0.15</f>
        <v>182700</v>
      </c>
    </row>
    <row r="9038" spans="2:8" hidden="1">
      <c r="B9038" s="1330" t="s">
        <v>706</v>
      </c>
      <c r="C9038" s="2075" t="s">
        <v>4330</v>
      </c>
      <c r="D9038" s="2075"/>
      <c r="E9038" s="2075"/>
      <c r="F9038" s="2075"/>
      <c r="G9038" s="2075"/>
      <c r="H9038" s="1107">
        <f>ROUND(SUM(H9036:H9037),2)</f>
        <v>1400700</v>
      </c>
    </row>
    <row r="9039" spans="2:8" hidden="1"/>
    <row r="9040" spans="2:8" hidden="1">
      <c r="B9040" s="1100" t="s">
        <v>4332</v>
      </c>
      <c r="C9040" s="1264" t="s">
        <v>4333</v>
      </c>
    </row>
    <row r="9041" spans="2:8" ht="24.9" hidden="1" customHeight="1">
      <c r="B9041" s="1101" t="s">
        <v>1003</v>
      </c>
      <c r="C9041" s="1101" t="s">
        <v>1004</v>
      </c>
      <c r="D9041" s="1101" t="s">
        <v>1005</v>
      </c>
      <c r="E9041" s="1101" t="s">
        <v>1006</v>
      </c>
      <c r="F9041" s="1102" t="s">
        <v>1007</v>
      </c>
      <c r="G9041" s="1109" t="s">
        <v>2637</v>
      </c>
      <c r="H9041" s="1110" t="s">
        <v>2638</v>
      </c>
    </row>
    <row r="9042" spans="2:8" hidden="1">
      <c r="B9042" s="1330" t="s">
        <v>671</v>
      </c>
      <c r="C9042" s="1329" t="s">
        <v>3660</v>
      </c>
      <c r="D9042" s="1331"/>
      <c r="E9042" s="1331"/>
      <c r="F9042" s="1334"/>
      <c r="G9042" s="1104"/>
      <c r="H9042" s="1106"/>
    </row>
    <row r="9043" spans="2:8" hidden="1">
      <c r="B9043" s="1331"/>
      <c r="C9043" s="1332" t="s">
        <v>3661</v>
      </c>
      <c r="D9043" s="1331"/>
      <c r="E9043" s="1331" t="s">
        <v>2970</v>
      </c>
      <c r="F9043" s="1334">
        <v>1</v>
      </c>
      <c r="G9043" s="1104">
        <v>2062000</v>
      </c>
      <c r="H9043" s="1106">
        <f>G9043*F9043</f>
        <v>2062000</v>
      </c>
    </row>
    <row r="9044" spans="2:8" hidden="1">
      <c r="B9044" s="1331"/>
      <c r="C9044" s="1332"/>
      <c r="D9044" s="1331"/>
      <c r="E9044" s="1331"/>
      <c r="F9044" s="2110" t="s">
        <v>4331</v>
      </c>
      <c r="G9044" s="2110"/>
      <c r="H9044" s="1106">
        <f>SUM(H9043:H9043)</f>
        <v>2062000</v>
      </c>
    </row>
    <row r="9045" spans="2:8" hidden="1">
      <c r="B9045" s="1330" t="s">
        <v>686</v>
      </c>
      <c r="C9045" s="2075" t="s">
        <v>4328</v>
      </c>
      <c r="D9045" s="2075"/>
      <c r="E9045" s="2075"/>
      <c r="F9045" s="2075"/>
      <c r="G9045" s="2075"/>
      <c r="H9045" s="1107">
        <f>H9044</f>
        <v>2062000</v>
      </c>
    </row>
    <row r="9046" spans="2:8" hidden="1">
      <c r="B9046" s="1330" t="s">
        <v>703</v>
      </c>
      <c r="C9046" s="2076" t="s">
        <v>876</v>
      </c>
      <c r="D9046" s="2076"/>
      <c r="E9046" s="2076"/>
      <c r="F9046" s="2077" t="s">
        <v>4329</v>
      </c>
      <c r="G9046" s="2077"/>
      <c r="H9046" s="1107">
        <f>H9045*0.15</f>
        <v>309300</v>
      </c>
    </row>
    <row r="9047" spans="2:8" hidden="1">
      <c r="B9047" s="1330" t="s">
        <v>706</v>
      </c>
      <c r="C9047" s="2075" t="s">
        <v>4330</v>
      </c>
      <c r="D9047" s="2075"/>
      <c r="E9047" s="2075"/>
      <c r="F9047" s="2075"/>
      <c r="G9047" s="2075"/>
      <c r="H9047" s="1107">
        <f>ROUND(SUM(H9045:H9046),2)</f>
        <v>2371300</v>
      </c>
    </row>
    <row r="9048" spans="2:8" hidden="1"/>
    <row r="9049" spans="2:8" hidden="1">
      <c r="B9049" s="1100" t="s">
        <v>4334</v>
      </c>
      <c r="C9049" s="1264" t="s">
        <v>4335</v>
      </c>
    </row>
    <row r="9050" spans="2:8" ht="24.9" hidden="1" customHeight="1">
      <c r="B9050" s="1101" t="s">
        <v>1003</v>
      </c>
      <c r="C9050" s="1101" t="s">
        <v>1004</v>
      </c>
      <c r="D9050" s="1101" t="s">
        <v>1005</v>
      </c>
      <c r="E9050" s="1101" t="s">
        <v>1006</v>
      </c>
      <c r="F9050" s="1102" t="s">
        <v>1007</v>
      </c>
      <c r="G9050" s="1109" t="s">
        <v>2637</v>
      </c>
      <c r="H9050" s="1110" t="s">
        <v>2638</v>
      </c>
    </row>
    <row r="9051" spans="2:8" hidden="1">
      <c r="B9051" s="1330" t="s">
        <v>671</v>
      </c>
      <c r="C9051" s="1329" t="s">
        <v>3660</v>
      </c>
      <c r="D9051" s="1331"/>
      <c r="E9051" s="1331"/>
      <c r="F9051" s="1334"/>
      <c r="G9051" s="1104"/>
      <c r="H9051" s="1106"/>
    </row>
    <row r="9052" spans="2:8" hidden="1">
      <c r="B9052" s="1331"/>
      <c r="C9052" s="1332" t="s">
        <v>3661</v>
      </c>
      <c r="D9052" s="1331"/>
      <c r="E9052" s="1331" t="s">
        <v>3662</v>
      </c>
      <c r="F9052" s="1334">
        <v>3500</v>
      </c>
      <c r="G9052" s="1104">
        <v>969</v>
      </c>
      <c r="H9052" s="1106">
        <f>G9052*F9052</f>
        <v>3391500</v>
      </c>
    </row>
    <row r="9053" spans="2:8" hidden="1">
      <c r="B9053" s="1331"/>
      <c r="C9053" s="1332" t="s">
        <v>3663</v>
      </c>
      <c r="D9053" s="1331"/>
      <c r="E9053" s="1331" t="s">
        <v>3662</v>
      </c>
      <c r="F9053" s="1334">
        <v>3500</v>
      </c>
      <c r="G9053" s="1104">
        <v>165</v>
      </c>
      <c r="H9053" s="1106">
        <f t="shared" ref="H9053:H9055" si="261">G9053*F9053</f>
        <v>577500</v>
      </c>
    </row>
    <row r="9054" spans="2:8" hidden="1">
      <c r="B9054" s="1331"/>
      <c r="C9054" s="1332" t="s">
        <v>3664</v>
      </c>
      <c r="D9054" s="1331"/>
      <c r="E9054" s="1331" t="s">
        <v>3662</v>
      </c>
      <c r="F9054" s="1334">
        <v>3500</v>
      </c>
      <c r="G9054" s="1104">
        <v>30</v>
      </c>
      <c r="H9054" s="1106">
        <f t="shared" si="261"/>
        <v>105000</v>
      </c>
    </row>
    <row r="9055" spans="2:8" hidden="1">
      <c r="B9055" s="1331"/>
      <c r="C9055" s="1332" t="s">
        <v>3665</v>
      </c>
      <c r="D9055" s="1331"/>
      <c r="E9055" s="1331" t="s">
        <v>3662</v>
      </c>
      <c r="F9055" s="1334">
        <v>3500</v>
      </c>
      <c r="G9055" s="1104">
        <v>50</v>
      </c>
      <c r="H9055" s="1106">
        <f t="shared" si="261"/>
        <v>175000</v>
      </c>
    </row>
    <row r="9056" spans="2:8" hidden="1">
      <c r="B9056" s="1331"/>
      <c r="C9056" s="1332"/>
      <c r="D9056" s="1331"/>
      <c r="E9056" s="1331"/>
      <c r="F9056" s="2110" t="s">
        <v>4331</v>
      </c>
      <c r="G9056" s="2110"/>
      <c r="H9056" s="1106">
        <f>SUM(H9052:H9055)</f>
        <v>4249000</v>
      </c>
    </row>
    <row r="9057" spans="2:13" hidden="1">
      <c r="B9057" s="1330" t="s">
        <v>686</v>
      </c>
      <c r="C9057" s="2075" t="s">
        <v>4328</v>
      </c>
      <c r="D9057" s="2075"/>
      <c r="E9057" s="2075"/>
      <c r="F9057" s="2075"/>
      <c r="G9057" s="2075"/>
      <c r="H9057" s="1107">
        <f>H9056</f>
        <v>4249000</v>
      </c>
    </row>
    <row r="9058" spans="2:13" hidden="1">
      <c r="B9058" s="1330" t="s">
        <v>703</v>
      </c>
      <c r="C9058" s="2076" t="s">
        <v>876</v>
      </c>
      <c r="D9058" s="2076"/>
      <c r="E9058" s="2076"/>
      <c r="F9058" s="2077" t="s">
        <v>4329</v>
      </c>
      <c r="G9058" s="2077"/>
      <c r="H9058" s="1107">
        <f>H9057*0.15</f>
        <v>637350</v>
      </c>
    </row>
    <row r="9059" spans="2:13" hidden="1">
      <c r="B9059" s="1330" t="s">
        <v>706</v>
      </c>
      <c r="C9059" s="2075" t="s">
        <v>4330</v>
      </c>
      <c r="D9059" s="2075"/>
      <c r="E9059" s="2075"/>
      <c r="F9059" s="2075"/>
      <c r="G9059" s="2075"/>
      <c r="H9059" s="1107">
        <f>ROUND(SUM(H9057:H9058),2)</f>
        <v>4886350</v>
      </c>
    </row>
    <row r="9060" spans="2:13" hidden="1"/>
    <row r="9061" spans="2:13" hidden="1">
      <c r="B9061" s="1100" t="s">
        <v>4336</v>
      </c>
      <c r="C9061" s="1264" t="s">
        <v>4337</v>
      </c>
    </row>
    <row r="9062" spans="2:13" ht="24.9" hidden="1" customHeight="1">
      <c r="B9062" s="1101" t="s">
        <v>1003</v>
      </c>
      <c r="C9062" s="1101" t="s">
        <v>1004</v>
      </c>
      <c r="D9062" s="1101" t="s">
        <v>1005</v>
      </c>
      <c r="E9062" s="1101" t="s">
        <v>1006</v>
      </c>
      <c r="F9062" s="1102" t="s">
        <v>1007</v>
      </c>
      <c r="G9062" s="1109" t="s">
        <v>2637</v>
      </c>
      <c r="H9062" s="1110" t="s">
        <v>2638</v>
      </c>
    </row>
    <row r="9063" spans="2:13" hidden="1">
      <c r="B9063" s="1101" t="s">
        <v>671</v>
      </c>
      <c r="C9063" s="1329" t="s">
        <v>672</v>
      </c>
      <c r="D9063" s="1101"/>
      <c r="E9063" s="1101"/>
      <c r="F9063" s="1102"/>
      <c r="G9063" s="1109"/>
      <c r="H9063" s="1110"/>
    </row>
    <row r="9064" spans="2:13" hidden="1">
      <c r="B9064" s="1266"/>
      <c r="C9064" s="1267" t="s">
        <v>4338</v>
      </c>
      <c r="D9064" s="1266"/>
      <c r="E9064" s="1266" t="s">
        <v>2970</v>
      </c>
      <c r="F9064" s="1268">
        <v>1</v>
      </c>
      <c r="G9064" s="1269">
        <v>8000000</v>
      </c>
      <c r="H9064" s="1229">
        <f>G9064*F9064</f>
        <v>8000000</v>
      </c>
    </row>
    <row r="9065" spans="2:13" hidden="1">
      <c r="B9065" s="1266"/>
      <c r="C9065" s="1266"/>
      <c r="D9065" s="1266"/>
      <c r="E9065" s="1266"/>
      <c r="F9065" s="2110" t="s">
        <v>4339</v>
      </c>
      <c r="G9065" s="2110"/>
      <c r="H9065" s="1229">
        <f>SUM(H9064)</f>
        <v>8000000</v>
      </c>
    </row>
    <row r="9066" spans="2:13" hidden="1">
      <c r="B9066" s="1330" t="s">
        <v>686</v>
      </c>
      <c r="C9066" s="1329" t="s">
        <v>3660</v>
      </c>
      <c r="D9066" s="1331"/>
      <c r="E9066" s="1331"/>
      <c r="F9066" s="1334"/>
      <c r="G9066" s="1104"/>
      <c r="H9066" s="1106"/>
    </row>
    <row r="9067" spans="2:13" hidden="1">
      <c r="B9067" s="1331"/>
      <c r="C9067" s="1332" t="s">
        <v>3661</v>
      </c>
      <c r="D9067" s="1331"/>
      <c r="E9067" s="1331" t="s">
        <v>3662</v>
      </c>
      <c r="F9067" s="1334">
        <v>13200</v>
      </c>
      <c r="G9067" s="1104">
        <v>969</v>
      </c>
      <c r="H9067" s="1106">
        <f>G9067*F9067</f>
        <v>12790800</v>
      </c>
    </row>
    <row r="9068" spans="2:13" hidden="1">
      <c r="B9068" s="1331"/>
      <c r="C9068" s="1332" t="s">
        <v>3663</v>
      </c>
      <c r="D9068" s="1331"/>
      <c r="E9068" s="1331" t="s">
        <v>3662</v>
      </c>
      <c r="F9068" s="1334">
        <v>13200</v>
      </c>
      <c r="G9068" s="1104">
        <v>165</v>
      </c>
      <c r="H9068" s="1106">
        <f t="shared" ref="H9068:H9070" si="262">G9068*F9068</f>
        <v>2178000</v>
      </c>
    </row>
    <row r="9069" spans="2:13" hidden="1">
      <c r="B9069" s="1331"/>
      <c r="C9069" s="1332" t="s">
        <v>3664</v>
      </c>
      <c r="D9069" s="1331"/>
      <c r="E9069" s="1331" t="s">
        <v>3662</v>
      </c>
      <c r="F9069" s="1334">
        <v>13200</v>
      </c>
      <c r="G9069" s="1104">
        <v>30</v>
      </c>
      <c r="H9069" s="1106">
        <f t="shared" si="262"/>
        <v>396000</v>
      </c>
    </row>
    <row r="9070" spans="2:13" hidden="1">
      <c r="B9070" s="1331"/>
      <c r="C9070" s="1332" t="s">
        <v>3665</v>
      </c>
      <c r="D9070" s="1331"/>
      <c r="E9070" s="1331" t="s">
        <v>3662</v>
      </c>
      <c r="F9070" s="1334">
        <v>13200</v>
      </c>
      <c r="G9070" s="1104">
        <v>50</v>
      </c>
      <c r="H9070" s="1106">
        <f t="shared" si="262"/>
        <v>660000</v>
      </c>
    </row>
    <row r="9071" spans="2:13" hidden="1">
      <c r="B9071" s="1331"/>
      <c r="C9071" s="1332"/>
      <c r="D9071" s="1331"/>
      <c r="E9071" s="1331"/>
      <c r="F9071" s="2110" t="s">
        <v>4331</v>
      </c>
      <c r="G9071" s="2110"/>
      <c r="H9071" s="1106">
        <f>SUM(H9067:H9070)</f>
        <v>16024800</v>
      </c>
    </row>
    <row r="9072" spans="2:13" s="496" customFormat="1" hidden="1">
      <c r="B9072" s="1330" t="s">
        <v>703</v>
      </c>
      <c r="C9072" s="1329" t="s">
        <v>3666</v>
      </c>
      <c r="D9072" s="1330"/>
      <c r="E9072" s="1330"/>
      <c r="F9072" s="1195"/>
      <c r="G9072" s="1159"/>
      <c r="H9072" s="1107"/>
      <c r="J9072" s="1559"/>
      <c r="K9072" s="1559"/>
      <c r="L9072" s="1559"/>
      <c r="M9072" s="1560"/>
    </row>
    <row r="9073" spans="2:8" hidden="1">
      <c r="B9073" s="1331"/>
      <c r="C9073" s="1332" t="s">
        <v>3667</v>
      </c>
      <c r="D9073" s="1331"/>
      <c r="E9073" s="1331" t="s">
        <v>1346</v>
      </c>
      <c r="F9073" s="1334">
        <v>1</v>
      </c>
      <c r="G9073" s="1104">
        <f>DUB!$I$428</f>
        <v>1606500</v>
      </c>
      <c r="H9073" s="1106">
        <f t="shared" ref="H9073:H9074" si="263">G9073*F9073</f>
        <v>1606500</v>
      </c>
    </row>
    <row r="9074" spans="2:8" hidden="1">
      <c r="B9074" s="1331"/>
      <c r="C9074" s="1332" t="s">
        <v>3668</v>
      </c>
      <c r="D9074" s="1331"/>
      <c r="E9074" s="1331" t="s">
        <v>2970</v>
      </c>
      <c r="F9074" s="1334">
        <v>1</v>
      </c>
      <c r="G9074" s="1104">
        <f>DUB!$I$429</f>
        <v>2142000</v>
      </c>
      <c r="H9074" s="1106">
        <f t="shared" si="263"/>
        <v>2142000</v>
      </c>
    </row>
    <row r="9075" spans="2:8" hidden="1">
      <c r="B9075" s="1331"/>
      <c r="C9075" s="1332"/>
      <c r="D9075" s="1331"/>
      <c r="E9075" s="1331"/>
      <c r="F9075" s="1334" t="str">
        <f>"JUMLAH " &amp;C9072</f>
        <v>JUMLAH KELOMPOK APP + ACC</v>
      </c>
      <c r="G9075" s="1104"/>
      <c r="H9075" s="1106">
        <f>SUM(H9073:H9074)</f>
        <v>3748500</v>
      </c>
    </row>
    <row r="9076" spans="2:8" hidden="1">
      <c r="B9076" s="1330" t="s">
        <v>706</v>
      </c>
      <c r="C9076" s="1329" t="s">
        <v>3669</v>
      </c>
      <c r="D9076" s="1331"/>
      <c r="E9076" s="1331"/>
      <c r="F9076" s="1334"/>
      <c r="G9076" s="1104"/>
      <c r="H9076" s="1106"/>
    </row>
    <row r="9077" spans="2:8" hidden="1">
      <c r="B9077" s="1331"/>
      <c r="C9077" s="1332" t="s">
        <v>3670</v>
      </c>
      <c r="D9077" s="1331"/>
      <c r="E9077" s="1331" t="s">
        <v>853</v>
      </c>
      <c r="F9077" s="1334">
        <v>270</v>
      </c>
      <c r="G9077" s="1104">
        <f>DUB!$I$433</f>
        <v>23562</v>
      </c>
      <c r="H9077" s="1106">
        <f t="shared" ref="H9077:H9085" si="264">G9077*F9077</f>
        <v>6361740</v>
      </c>
    </row>
    <row r="9078" spans="2:8" hidden="1">
      <c r="B9078" s="1331"/>
      <c r="C9078" s="1332" t="s">
        <v>3671</v>
      </c>
      <c r="D9078" s="1331"/>
      <c r="E9078" s="1331" t="s">
        <v>1346</v>
      </c>
      <c r="F9078" s="1334">
        <v>6</v>
      </c>
      <c r="G9078" s="1104">
        <f>DUB!$I$434</f>
        <v>69615</v>
      </c>
      <c r="H9078" s="1106">
        <f t="shared" si="264"/>
        <v>417690</v>
      </c>
    </row>
    <row r="9079" spans="2:8" hidden="1">
      <c r="B9079" s="1331"/>
      <c r="C9079" s="1332" t="s">
        <v>3672</v>
      </c>
      <c r="D9079" s="1331"/>
      <c r="E9079" s="1331" t="s">
        <v>1423</v>
      </c>
      <c r="F9079" s="1334">
        <v>4</v>
      </c>
      <c r="G9079" s="1104">
        <f>DUB!$I$435</f>
        <v>12852</v>
      </c>
      <c r="H9079" s="1106">
        <f t="shared" si="264"/>
        <v>51408</v>
      </c>
    </row>
    <row r="9080" spans="2:8" hidden="1">
      <c r="B9080" s="1331"/>
      <c r="C9080" s="1332" t="s">
        <v>3673</v>
      </c>
      <c r="D9080" s="1331"/>
      <c r="E9080" s="1331" t="s">
        <v>1423</v>
      </c>
      <c r="F9080" s="1334">
        <v>3</v>
      </c>
      <c r="G9080" s="1104">
        <f>DUB!$I$436</f>
        <v>2409750</v>
      </c>
      <c r="H9080" s="1106">
        <f t="shared" si="264"/>
        <v>7229250</v>
      </c>
    </row>
    <row r="9081" spans="2:8" hidden="1">
      <c r="B9081" s="1331"/>
      <c r="C9081" s="1332" t="s">
        <v>3674</v>
      </c>
      <c r="D9081" s="1331"/>
      <c r="E9081" s="1331" t="s">
        <v>1346</v>
      </c>
      <c r="F9081" s="1334">
        <v>3</v>
      </c>
      <c r="G9081" s="1104">
        <f>DUB!$I$437</f>
        <v>91035</v>
      </c>
      <c r="H9081" s="1106">
        <f t="shared" si="264"/>
        <v>273105</v>
      </c>
    </row>
    <row r="9082" spans="2:8" hidden="1">
      <c r="B9082" s="1331"/>
      <c r="C9082" s="1332" t="s">
        <v>3675</v>
      </c>
      <c r="D9082" s="1331"/>
      <c r="E9082" s="1331" t="s">
        <v>1346</v>
      </c>
      <c r="F9082" s="1334">
        <v>1</v>
      </c>
      <c r="G9082" s="1104">
        <f>DUB!$I$438</f>
        <v>8032500</v>
      </c>
      <c r="H9082" s="1106">
        <f t="shared" si="264"/>
        <v>8032500</v>
      </c>
    </row>
    <row r="9083" spans="2:8" hidden="1">
      <c r="B9083" s="1331"/>
      <c r="C9083" s="1332" t="s">
        <v>3676</v>
      </c>
      <c r="D9083" s="1331"/>
      <c r="E9083" s="1331" t="s">
        <v>853</v>
      </c>
      <c r="F9083" s="1334">
        <v>2</v>
      </c>
      <c r="G9083" s="1104">
        <f>DUB!$I$439</f>
        <v>58905</v>
      </c>
      <c r="H9083" s="1106">
        <f t="shared" si="264"/>
        <v>117810</v>
      </c>
    </row>
    <row r="9084" spans="2:8" hidden="1">
      <c r="B9084" s="1331"/>
      <c r="C9084" s="1332" t="s">
        <v>3677</v>
      </c>
      <c r="D9084" s="1331"/>
      <c r="E9084" s="1331" t="s">
        <v>3082</v>
      </c>
      <c r="F9084" s="1334">
        <v>3</v>
      </c>
      <c r="G9084" s="1104">
        <f>DUB!$I$440</f>
        <v>129591</v>
      </c>
      <c r="H9084" s="1106">
        <f t="shared" si="264"/>
        <v>388773</v>
      </c>
    </row>
    <row r="9085" spans="2:8" hidden="1">
      <c r="B9085" s="1331"/>
      <c r="C9085" s="1332" t="s">
        <v>3834</v>
      </c>
      <c r="D9085" s="1331"/>
      <c r="E9085" s="1331" t="s">
        <v>2970</v>
      </c>
      <c r="F9085" s="1334">
        <v>1</v>
      </c>
      <c r="G9085" s="1104">
        <f>DUB!$I$441</f>
        <v>12852000</v>
      </c>
      <c r="H9085" s="1106">
        <f t="shared" si="264"/>
        <v>12852000</v>
      </c>
    </row>
    <row r="9086" spans="2:8" hidden="1">
      <c r="B9086" s="1331"/>
      <c r="C9086" s="1332"/>
      <c r="D9086" s="1331"/>
      <c r="E9086" s="1331"/>
      <c r="F9086" s="1334" t="str">
        <f>"JUMLAH " &amp;C9076</f>
        <v>JUMLAH KELOMPOK TRASFORMATOR/KABEL</v>
      </c>
      <c r="G9086" s="1104"/>
      <c r="H9086" s="1106">
        <f>SUM(H9077:H9085)</f>
        <v>35724276</v>
      </c>
    </row>
    <row r="9087" spans="2:8" hidden="1">
      <c r="B9087" s="1330" t="s">
        <v>708</v>
      </c>
      <c r="C9087" s="2075" t="s">
        <v>4340</v>
      </c>
      <c r="D9087" s="2075"/>
      <c r="E9087" s="2075"/>
      <c r="F9087" s="2075"/>
      <c r="G9087" s="2075"/>
      <c r="H9087" s="1107">
        <f>SUM(H9065,H9071,H9075,H9086)</f>
        <v>63497576</v>
      </c>
    </row>
    <row r="9088" spans="2:8" hidden="1">
      <c r="B9088" s="1330" t="s">
        <v>711</v>
      </c>
      <c r="C9088" s="2076" t="s">
        <v>876</v>
      </c>
      <c r="D9088" s="2076"/>
      <c r="E9088" s="2076"/>
      <c r="F9088" s="2077" t="s">
        <v>4341</v>
      </c>
      <c r="G9088" s="2077"/>
      <c r="H9088" s="1107">
        <f>H9087*0.15</f>
        <v>9524636.4000000004</v>
      </c>
    </row>
    <row r="9089" spans="2:8" hidden="1">
      <c r="B9089" s="1330" t="s">
        <v>3400</v>
      </c>
      <c r="C9089" s="2075" t="s">
        <v>4342</v>
      </c>
      <c r="D9089" s="2075"/>
      <c r="E9089" s="2075"/>
      <c r="F9089" s="2075"/>
      <c r="G9089" s="2075"/>
      <c r="H9089" s="1107">
        <f>ROUND(SUM(H9087:H9088),2)</f>
        <v>73022212.400000006</v>
      </c>
    </row>
    <row r="9090" spans="2:8" hidden="1"/>
    <row r="9091" spans="2:8" hidden="1">
      <c r="B9091" s="1100" t="s">
        <v>4343</v>
      </c>
      <c r="C9091" s="1264" t="s">
        <v>4344</v>
      </c>
    </row>
    <row r="9092" spans="2:8" ht="24.9" hidden="1" customHeight="1">
      <c r="B9092" s="1101" t="s">
        <v>1003</v>
      </c>
      <c r="C9092" s="1101" t="s">
        <v>1004</v>
      </c>
      <c r="D9092" s="1101" t="s">
        <v>1005</v>
      </c>
      <c r="E9092" s="1101" t="s">
        <v>1006</v>
      </c>
      <c r="F9092" s="1102" t="s">
        <v>1007</v>
      </c>
      <c r="G9092" s="1109" t="s">
        <v>2637</v>
      </c>
      <c r="H9092" s="1110" t="s">
        <v>2638</v>
      </c>
    </row>
    <row r="9093" spans="2:8" hidden="1">
      <c r="B9093" s="1101" t="s">
        <v>671</v>
      </c>
      <c r="C9093" s="1329" t="s">
        <v>672</v>
      </c>
      <c r="D9093" s="1101"/>
      <c r="E9093" s="1101"/>
      <c r="F9093" s="1102"/>
      <c r="G9093" s="1109"/>
      <c r="H9093" s="1110"/>
    </row>
    <row r="9094" spans="2:8" hidden="1">
      <c r="B9094" s="1266"/>
      <c r="C9094" s="1267" t="s">
        <v>4338</v>
      </c>
      <c r="D9094" s="1266"/>
      <c r="E9094" s="1266" t="s">
        <v>2970</v>
      </c>
      <c r="F9094" s="1268">
        <v>1</v>
      </c>
      <c r="G9094" s="1269">
        <v>12000000</v>
      </c>
      <c r="H9094" s="1229">
        <f>G9094*F9094</f>
        <v>12000000</v>
      </c>
    </row>
    <row r="9095" spans="2:8" hidden="1">
      <c r="B9095" s="1266"/>
      <c r="C9095" s="1266"/>
      <c r="D9095" s="1266"/>
      <c r="E9095" s="1266"/>
      <c r="F9095" s="2110" t="s">
        <v>4339</v>
      </c>
      <c r="G9095" s="2110"/>
      <c r="H9095" s="1229">
        <f>SUM(H9094)</f>
        <v>12000000</v>
      </c>
    </row>
    <row r="9096" spans="2:8" hidden="1">
      <c r="B9096" s="1330" t="s">
        <v>686</v>
      </c>
      <c r="C9096" s="1329" t="s">
        <v>3660</v>
      </c>
      <c r="D9096" s="1331"/>
      <c r="E9096" s="1331"/>
      <c r="F9096" s="1334"/>
      <c r="G9096" s="1104"/>
      <c r="H9096" s="1106"/>
    </row>
    <row r="9097" spans="2:8" hidden="1">
      <c r="B9097" s="1331"/>
      <c r="C9097" s="1332" t="s">
        <v>3661</v>
      </c>
      <c r="D9097" s="1331"/>
      <c r="E9097" s="1331" t="s">
        <v>3662</v>
      </c>
      <c r="F9097" s="1334">
        <v>16500</v>
      </c>
      <c r="G9097" s="1104">
        <v>969</v>
      </c>
      <c r="H9097" s="1106">
        <f>G9097*F9097</f>
        <v>15988500</v>
      </c>
    </row>
    <row r="9098" spans="2:8" hidden="1">
      <c r="B9098" s="1331"/>
      <c r="C9098" s="1332" t="s">
        <v>3663</v>
      </c>
      <c r="D9098" s="1331"/>
      <c r="E9098" s="1331" t="s">
        <v>3662</v>
      </c>
      <c r="F9098" s="1334">
        <v>16500</v>
      </c>
      <c r="G9098" s="1104">
        <v>165</v>
      </c>
      <c r="H9098" s="1106">
        <f t="shared" ref="H9098:H9100" si="265">G9098*F9098</f>
        <v>2722500</v>
      </c>
    </row>
    <row r="9099" spans="2:8" hidden="1">
      <c r="B9099" s="1331"/>
      <c r="C9099" s="1332" t="s">
        <v>3664</v>
      </c>
      <c r="D9099" s="1331"/>
      <c r="E9099" s="1331" t="s">
        <v>3662</v>
      </c>
      <c r="F9099" s="1334">
        <v>16500</v>
      </c>
      <c r="G9099" s="1104">
        <v>30</v>
      </c>
      <c r="H9099" s="1106">
        <f t="shared" si="265"/>
        <v>495000</v>
      </c>
    </row>
    <row r="9100" spans="2:8" hidden="1">
      <c r="B9100" s="1331"/>
      <c r="C9100" s="1332" t="s">
        <v>3665</v>
      </c>
      <c r="D9100" s="1331"/>
      <c r="E9100" s="1331" t="s">
        <v>3662</v>
      </c>
      <c r="F9100" s="1334">
        <v>16500</v>
      </c>
      <c r="G9100" s="1104">
        <v>50</v>
      </c>
      <c r="H9100" s="1106">
        <f t="shared" si="265"/>
        <v>825000</v>
      </c>
    </row>
    <row r="9101" spans="2:8" hidden="1">
      <c r="B9101" s="1331"/>
      <c r="C9101" s="1332"/>
      <c r="D9101" s="1331"/>
      <c r="E9101" s="1331"/>
      <c r="F9101" s="2110" t="s">
        <v>4331</v>
      </c>
      <c r="G9101" s="2110"/>
      <c r="H9101" s="1106">
        <f>SUM(H9097:H9100)</f>
        <v>20031000</v>
      </c>
    </row>
    <row r="9102" spans="2:8" hidden="1">
      <c r="B9102" s="1330" t="s">
        <v>703</v>
      </c>
      <c r="C9102" s="1329" t="s">
        <v>3666</v>
      </c>
      <c r="D9102" s="1330"/>
      <c r="E9102" s="1330"/>
      <c r="F9102" s="1195"/>
      <c r="G9102" s="1159"/>
      <c r="H9102" s="1107"/>
    </row>
    <row r="9103" spans="2:8" hidden="1">
      <c r="B9103" s="1331"/>
      <c r="C9103" s="1332" t="s">
        <v>3667</v>
      </c>
      <c r="D9103" s="1331"/>
      <c r="E9103" s="1331" t="s">
        <v>1346</v>
      </c>
      <c r="F9103" s="1334">
        <v>1</v>
      </c>
      <c r="G9103" s="1104">
        <f>DUB!$I$428</f>
        <v>1606500</v>
      </c>
      <c r="H9103" s="1106">
        <f t="shared" ref="H9103:H9104" si="266">G9103*F9103</f>
        <v>1606500</v>
      </c>
    </row>
    <row r="9104" spans="2:8" hidden="1">
      <c r="B9104" s="1331"/>
      <c r="C9104" s="1332" t="s">
        <v>3668</v>
      </c>
      <c r="D9104" s="1331"/>
      <c r="E9104" s="1331" t="s">
        <v>2970</v>
      </c>
      <c r="F9104" s="1334">
        <v>1</v>
      </c>
      <c r="G9104" s="1104">
        <f>DUB!$I$429</f>
        <v>2142000</v>
      </c>
      <c r="H9104" s="1106">
        <f t="shared" si="266"/>
        <v>2142000</v>
      </c>
    </row>
    <row r="9105" spans="2:8" hidden="1">
      <c r="B9105" s="1331"/>
      <c r="C9105" s="1332"/>
      <c r="D9105" s="1331"/>
      <c r="E9105" s="1331"/>
      <c r="F9105" s="1334" t="str">
        <f>"JUMLAH " &amp;C9102</f>
        <v>JUMLAH KELOMPOK APP + ACC</v>
      </c>
      <c r="G9105" s="1104"/>
      <c r="H9105" s="1106">
        <f>SUM(H9103:H9104)</f>
        <v>3748500</v>
      </c>
    </row>
    <row r="9106" spans="2:8" hidden="1">
      <c r="B9106" s="1330" t="s">
        <v>706</v>
      </c>
      <c r="C9106" s="1329" t="s">
        <v>3669</v>
      </c>
      <c r="D9106" s="1331"/>
      <c r="E9106" s="1331"/>
      <c r="F9106" s="1334"/>
      <c r="G9106" s="1104"/>
      <c r="H9106" s="1106"/>
    </row>
    <row r="9107" spans="2:8" hidden="1">
      <c r="B9107" s="1331"/>
      <c r="C9107" s="1332" t="s">
        <v>3670</v>
      </c>
      <c r="D9107" s="1331"/>
      <c r="E9107" s="1331" t="s">
        <v>853</v>
      </c>
      <c r="F9107" s="1334">
        <v>270</v>
      </c>
      <c r="G9107" s="1104">
        <f>DUB!$I$433</f>
        <v>23562</v>
      </c>
      <c r="H9107" s="1106">
        <f t="shared" ref="H9107:H9115" si="267">G9107*F9107</f>
        <v>6361740</v>
      </c>
    </row>
    <row r="9108" spans="2:8" hidden="1">
      <c r="B9108" s="1331"/>
      <c r="C9108" s="1332" t="s">
        <v>3671</v>
      </c>
      <c r="D9108" s="1331"/>
      <c r="E9108" s="1331" t="s">
        <v>1346</v>
      </c>
      <c r="F9108" s="1334">
        <v>6</v>
      </c>
      <c r="G9108" s="1104">
        <f>DUB!$I$434</f>
        <v>69615</v>
      </c>
      <c r="H9108" s="1106">
        <f t="shared" si="267"/>
        <v>417690</v>
      </c>
    </row>
    <row r="9109" spans="2:8" hidden="1">
      <c r="B9109" s="1331"/>
      <c r="C9109" s="1332" t="s">
        <v>3672</v>
      </c>
      <c r="D9109" s="1331"/>
      <c r="E9109" s="1331" t="s">
        <v>1423</v>
      </c>
      <c r="F9109" s="1334">
        <v>4</v>
      </c>
      <c r="G9109" s="1104">
        <f>DUB!$I$435</f>
        <v>12852</v>
      </c>
      <c r="H9109" s="1106">
        <f t="shared" si="267"/>
        <v>51408</v>
      </c>
    </row>
    <row r="9110" spans="2:8" hidden="1">
      <c r="B9110" s="1331"/>
      <c r="C9110" s="1332" t="s">
        <v>3673</v>
      </c>
      <c r="D9110" s="1331"/>
      <c r="E9110" s="1331" t="s">
        <v>1423</v>
      </c>
      <c r="F9110" s="1334">
        <v>5</v>
      </c>
      <c r="G9110" s="1104">
        <f>DUB!$I$436</f>
        <v>2409750</v>
      </c>
      <c r="H9110" s="1106">
        <f t="shared" si="267"/>
        <v>12048750</v>
      </c>
    </row>
    <row r="9111" spans="2:8" hidden="1">
      <c r="B9111" s="1331"/>
      <c r="C9111" s="1332" t="s">
        <v>3674</v>
      </c>
      <c r="D9111" s="1331"/>
      <c r="E9111" s="1331" t="s">
        <v>1346</v>
      </c>
      <c r="F9111" s="1334">
        <v>3</v>
      </c>
      <c r="G9111" s="1104">
        <f>DUB!$I$437</f>
        <v>91035</v>
      </c>
      <c r="H9111" s="1106">
        <f t="shared" si="267"/>
        <v>273105</v>
      </c>
    </row>
    <row r="9112" spans="2:8" hidden="1">
      <c r="B9112" s="1331"/>
      <c r="C9112" s="1332" t="s">
        <v>3675</v>
      </c>
      <c r="D9112" s="1331"/>
      <c r="E9112" s="1331" t="s">
        <v>1346</v>
      </c>
      <c r="F9112" s="1334">
        <v>1</v>
      </c>
      <c r="G9112" s="1104">
        <f>DUB!$I$438</f>
        <v>8032500</v>
      </c>
      <c r="H9112" s="1106">
        <f t="shared" si="267"/>
        <v>8032500</v>
      </c>
    </row>
    <row r="9113" spans="2:8" hidden="1">
      <c r="B9113" s="1331"/>
      <c r="C9113" s="1332" t="s">
        <v>3676</v>
      </c>
      <c r="D9113" s="1331"/>
      <c r="E9113" s="1331" t="s">
        <v>853</v>
      </c>
      <c r="F9113" s="1334">
        <v>2</v>
      </c>
      <c r="G9113" s="1104">
        <f>DUB!$I$439</f>
        <v>58905</v>
      </c>
      <c r="H9113" s="1106">
        <f t="shared" si="267"/>
        <v>117810</v>
      </c>
    </row>
    <row r="9114" spans="2:8" hidden="1">
      <c r="B9114" s="1331"/>
      <c r="C9114" s="1332" t="s">
        <v>3677</v>
      </c>
      <c r="D9114" s="1331"/>
      <c r="E9114" s="1331" t="s">
        <v>3082</v>
      </c>
      <c r="F9114" s="1334">
        <v>3</v>
      </c>
      <c r="G9114" s="1104">
        <f>DUB!$I$440</f>
        <v>129591</v>
      </c>
      <c r="H9114" s="1106">
        <f t="shared" si="267"/>
        <v>388773</v>
      </c>
    </row>
    <row r="9115" spans="2:8" hidden="1">
      <c r="B9115" s="1331"/>
      <c r="C9115" s="1332" t="s">
        <v>3834</v>
      </c>
      <c r="D9115" s="1331"/>
      <c r="E9115" s="1331" t="s">
        <v>2970</v>
      </c>
      <c r="F9115" s="1334">
        <v>1</v>
      </c>
      <c r="G9115" s="1104">
        <f>DUB!$I$441</f>
        <v>12852000</v>
      </c>
      <c r="H9115" s="1106">
        <f t="shared" si="267"/>
        <v>12852000</v>
      </c>
    </row>
    <row r="9116" spans="2:8" hidden="1">
      <c r="B9116" s="1331"/>
      <c r="C9116" s="1332"/>
      <c r="D9116" s="1331"/>
      <c r="E9116" s="1331"/>
      <c r="F9116" s="1334" t="str">
        <f>"JUMLAH " &amp;C9106</f>
        <v>JUMLAH KELOMPOK TRASFORMATOR/KABEL</v>
      </c>
      <c r="G9116" s="1104"/>
      <c r="H9116" s="1106">
        <f>SUM(H9107:H9115)</f>
        <v>40543776</v>
      </c>
    </row>
    <row r="9117" spans="2:8" hidden="1">
      <c r="B9117" s="1330" t="s">
        <v>708</v>
      </c>
      <c r="C9117" s="2075" t="s">
        <v>4340</v>
      </c>
      <c r="D9117" s="2075"/>
      <c r="E9117" s="2075"/>
      <c r="F9117" s="2075"/>
      <c r="G9117" s="2075"/>
      <c r="H9117" s="1107">
        <f>SUM(H9095,H9101,H9105,H9116)</f>
        <v>76323276</v>
      </c>
    </row>
    <row r="9118" spans="2:8" hidden="1">
      <c r="B9118" s="1330" t="s">
        <v>711</v>
      </c>
      <c r="C9118" s="2076" t="s">
        <v>876</v>
      </c>
      <c r="D9118" s="2076"/>
      <c r="E9118" s="2076"/>
      <c r="F9118" s="2077" t="s">
        <v>4341</v>
      </c>
      <c r="G9118" s="2077"/>
      <c r="H9118" s="1107">
        <f>H9117*0.15</f>
        <v>11448491.4</v>
      </c>
    </row>
    <row r="9119" spans="2:8" hidden="1">
      <c r="B9119" s="1330" t="s">
        <v>3400</v>
      </c>
      <c r="C9119" s="2075" t="s">
        <v>4342</v>
      </c>
      <c r="D9119" s="2075"/>
      <c r="E9119" s="2075"/>
      <c r="F9119" s="2075"/>
      <c r="G9119" s="2075"/>
      <c r="H9119" s="1107">
        <f>ROUND(SUM(H9117:H9118),2)</f>
        <v>87771767.400000006</v>
      </c>
    </row>
    <row r="9120" spans="2:8" hidden="1">
      <c r="B9120" s="1111"/>
      <c r="C9120" s="1112"/>
      <c r="D9120" s="1111"/>
      <c r="E9120" s="1112"/>
      <c r="F9120" s="1111"/>
      <c r="G9120" s="1199"/>
      <c r="H9120" s="1176"/>
    </row>
    <row r="9121" spans="2:18" hidden="1">
      <c r="B9121" s="1111" t="s">
        <v>4648</v>
      </c>
      <c r="C9121" s="1112" t="s">
        <v>4649</v>
      </c>
      <c r="D9121" s="1111"/>
      <c r="E9121" s="1112"/>
      <c r="F9121" s="1111"/>
      <c r="G9121" s="1199"/>
      <c r="H9121" s="1176"/>
      <c r="L9121" s="1578"/>
      <c r="M9121" s="1579"/>
      <c r="N9121" s="508"/>
      <c r="O9121" s="509"/>
      <c r="P9121" s="508"/>
      <c r="Q9121" s="527"/>
      <c r="R9121" s="680"/>
    </row>
    <row r="9122" spans="2:18" hidden="1">
      <c r="B9122" s="1111" t="s">
        <v>4650</v>
      </c>
      <c r="C9122" s="1112" t="s">
        <v>4658</v>
      </c>
      <c r="D9122" s="1111"/>
      <c r="E9122" s="1112"/>
      <c r="F9122" s="1111"/>
      <c r="G9122" s="1199"/>
      <c r="H9122" s="1176"/>
      <c r="L9122" s="1578" t="s">
        <v>5026</v>
      </c>
      <c r="M9122" s="1579" t="s">
        <v>5025</v>
      </c>
      <c r="N9122" s="508"/>
      <c r="O9122" s="509"/>
      <c r="P9122" s="508"/>
      <c r="Q9122" s="527"/>
      <c r="R9122" s="680"/>
    </row>
    <row r="9123" spans="2:18" s="492" customFormat="1" ht="24.9" hidden="1" customHeight="1">
      <c r="B9123" s="1270" t="s">
        <v>4544</v>
      </c>
      <c r="C9123" s="1270" t="s">
        <v>1004</v>
      </c>
      <c r="D9123" s="1270" t="s">
        <v>1005</v>
      </c>
      <c r="E9123" s="1270" t="s">
        <v>1006</v>
      </c>
      <c r="F9123" s="1271" t="s">
        <v>1007</v>
      </c>
      <c r="G9123" s="1272" t="s">
        <v>4642</v>
      </c>
      <c r="H9123" s="1273" t="s">
        <v>4643</v>
      </c>
      <c r="J9123" s="1580"/>
      <c r="K9123" s="1580"/>
      <c r="L9123" s="1581" t="s">
        <v>4544</v>
      </c>
      <c r="M9123" s="1581" t="s">
        <v>1004</v>
      </c>
      <c r="N9123" s="537" t="s">
        <v>1005</v>
      </c>
      <c r="O9123" s="537" t="s">
        <v>1006</v>
      </c>
      <c r="P9123" s="538" t="s">
        <v>1007</v>
      </c>
      <c r="Q9123" s="539" t="s">
        <v>4642</v>
      </c>
      <c r="R9123" s="681" t="s">
        <v>4643</v>
      </c>
    </row>
    <row r="9124" spans="2:18" s="492" customFormat="1" ht="15" hidden="1" customHeight="1">
      <c r="B9124" s="1274" t="s">
        <v>671</v>
      </c>
      <c r="C9124" s="1275" t="s">
        <v>4644</v>
      </c>
      <c r="D9124" s="1276"/>
      <c r="E9124" s="1276"/>
      <c r="F9124" s="1277"/>
      <c r="G9124" s="1278"/>
      <c r="H9124" s="1279"/>
      <c r="J9124" s="1580"/>
      <c r="K9124" s="1580"/>
      <c r="L9124" s="1582" t="s">
        <v>671</v>
      </c>
      <c r="M9124" s="1583" t="s">
        <v>4644</v>
      </c>
      <c r="N9124" s="540"/>
      <c r="O9124" s="540"/>
      <c r="P9124" s="541"/>
      <c r="Q9124" s="542"/>
      <c r="R9124" s="682"/>
    </row>
    <row r="9125" spans="2:18" s="492" customFormat="1" ht="15" hidden="1" customHeight="1">
      <c r="B9125" s="1274"/>
      <c r="C9125" s="1280" t="s">
        <v>673</v>
      </c>
      <c r="D9125" s="1276" t="s">
        <v>674</v>
      </c>
      <c r="E9125" s="1276" t="s">
        <v>675</v>
      </c>
      <c r="F9125" s="1277">
        <v>2.5000000000000001E-2</v>
      </c>
      <c r="G9125" s="1278">
        <f>DUB!I10</f>
        <v>150000</v>
      </c>
      <c r="H9125" s="1279">
        <f>G9125*F9125</f>
        <v>3750</v>
      </c>
      <c r="J9125" s="1580"/>
      <c r="K9125" s="1580"/>
      <c r="L9125" s="1582"/>
      <c r="M9125" s="1584" t="s">
        <v>673</v>
      </c>
      <c r="N9125" s="540" t="s">
        <v>674</v>
      </c>
      <c r="O9125" s="540" t="s">
        <v>675</v>
      </c>
      <c r="P9125" s="541">
        <v>2.5000000000000001E-2</v>
      </c>
      <c r="Q9125" s="542">
        <f>G9125</f>
        <v>150000</v>
      </c>
      <c r="R9125" s="682">
        <f>Q9125*P9125</f>
        <v>3750</v>
      </c>
    </row>
    <row r="9126" spans="2:18" s="492" customFormat="1" ht="15" hidden="1" customHeight="1">
      <c r="B9126" s="1274"/>
      <c r="C9126" s="1280" t="s">
        <v>683</v>
      </c>
      <c r="D9126" s="1276" t="s">
        <v>684</v>
      </c>
      <c r="E9126" s="1281" t="s">
        <v>675</v>
      </c>
      <c r="F9126" s="1277">
        <v>5.0000000000000001E-3</v>
      </c>
      <c r="G9126" s="1282">
        <f>DUB!I12</f>
        <v>225000</v>
      </c>
      <c r="H9126" s="1279">
        <f>G9126*F9126</f>
        <v>1125</v>
      </c>
      <c r="J9126" s="1580"/>
      <c r="K9126" s="1580"/>
      <c r="L9126" s="1582"/>
      <c r="M9126" s="1584" t="s">
        <v>683</v>
      </c>
      <c r="N9126" s="540" t="s">
        <v>684</v>
      </c>
      <c r="O9126" s="543" t="s">
        <v>675</v>
      </c>
      <c r="P9126" s="541">
        <v>5.0000000000000001E-3</v>
      </c>
      <c r="Q9126" s="544">
        <f>G9126</f>
        <v>225000</v>
      </c>
      <c r="R9126" s="682">
        <f>Q9126*P9126</f>
        <v>1125</v>
      </c>
    </row>
    <row r="9127" spans="2:18" s="492" customFormat="1" ht="15" hidden="1" customHeight="1">
      <c r="B9127" s="1276"/>
      <c r="C9127" s="1280"/>
      <c r="D9127" s="1276"/>
      <c r="E9127" s="1281"/>
      <c r="F9127" s="2082" t="s">
        <v>685</v>
      </c>
      <c r="G9127" s="2083"/>
      <c r="H9127" s="1283">
        <f>SUM(H9125:H9126)</f>
        <v>4875</v>
      </c>
      <c r="J9127" s="1580"/>
      <c r="K9127" s="1580"/>
      <c r="L9127" s="1585"/>
      <c r="M9127" s="1584"/>
      <c r="N9127" s="540"/>
      <c r="O9127" s="543"/>
      <c r="P9127" s="2168" t="s">
        <v>685</v>
      </c>
      <c r="Q9127" s="2169"/>
      <c r="R9127" s="683">
        <f>SUM(R9125:R9126)</f>
        <v>4875</v>
      </c>
    </row>
    <row r="9128" spans="2:18" s="492" customFormat="1" ht="15" hidden="1" customHeight="1">
      <c r="B9128" s="1274" t="s">
        <v>686</v>
      </c>
      <c r="C9128" s="1275" t="s">
        <v>687</v>
      </c>
      <c r="D9128" s="1276"/>
      <c r="E9128" s="1284"/>
      <c r="F9128" s="1276"/>
      <c r="G9128" s="1278"/>
      <c r="H9128" s="1279"/>
      <c r="J9128" s="1580"/>
      <c r="K9128" s="1580"/>
      <c r="L9128" s="1582" t="s">
        <v>686</v>
      </c>
      <c r="M9128" s="1583" t="s">
        <v>687</v>
      </c>
      <c r="N9128" s="540"/>
      <c r="O9128" s="545"/>
      <c r="P9128" s="540"/>
      <c r="Q9128" s="542"/>
      <c r="R9128" s="682"/>
    </row>
    <row r="9129" spans="2:18" s="492" customFormat="1" ht="15" hidden="1" customHeight="1">
      <c r="B9129" s="1274"/>
      <c r="C9129" s="1280" t="s">
        <v>4645</v>
      </c>
      <c r="D9129" s="1276"/>
      <c r="E9129" s="1276" t="s">
        <v>690</v>
      </c>
      <c r="F9129" s="1277">
        <v>0.01</v>
      </c>
      <c r="G9129" s="1278">
        <f>DUB!I819</f>
        <v>9369</v>
      </c>
      <c r="H9129" s="1279">
        <f t="shared" ref="H9129:H9130" si="268">G9129*F9129</f>
        <v>93.69</v>
      </c>
      <c r="J9129" s="1580"/>
      <c r="K9129" s="1580"/>
      <c r="L9129" s="1582"/>
      <c r="M9129" s="1584" t="s">
        <v>4645</v>
      </c>
      <c r="N9129" s="540"/>
      <c r="O9129" s="540" t="s">
        <v>690</v>
      </c>
      <c r="P9129" s="541">
        <v>0.01</v>
      </c>
      <c r="Q9129" s="542">
        <f>G9129</f>
        <v>9369</v>
      </c>
      <c r="R9129" s="682">
        <f t="shared" ref="R9129:R9130" si="269">Q9129*P9129</f>
        <v>93.69</v>
      </c>
    </row>
    <row r="9130" spans="2:18" s="492" customFormat="1" ht="15" hidden="1" customHeight="1">
      <c r="B9130" s="1274"/>
      <c r="C9130" s="1280" t="s">
        <v>4657</v>
      </c>
      <c r="D9130" s="1276"/>
      <c r="E9130" s="1276" t="s">
        <v>3129</v>
      </c>
      <c r="F9130" s="1277">
        <v>1</v>
      </c>
      <c r="G9130" s="1278">
        <f>DUB!I810</f>
        <v>57834</v>
      </c>
      <c r="H9130" s="1279">
        <f t="shared" si="268"/>
        <v>57834</v>
      </c>
      <c r="J9130" s="1580"/>
      <c r="K9130" s="1580"/>
      <c r="L9130" s="1582"/>
      <c r="M9130" s="1584" t="s">
        <v>4657</v>
      </c>
      <c r="N9130" s="540"/>
      <c r="O9130" s="540" t="s">
        <v>3129</v>
      </c>
      <c r="P9130" s="541">
        <v>1</v>
      </c>
      <c r="Q9130" s="542">
        <f>DUB!I863</f>
        <v>550000</v>
      </c>
      <c r="R9130" s="682">
        <f t="shared" si="269"/>
        <v>550000</v>
      </c>
    </row>
    <row r="9131" spans="2:18" s="492" customFormat="1" ht="15" hidden="1" customHeight="1">
      <c r="B9131" s="1274"/>
      <c r="C9131" s="1285"/>
      <c r="D9131" s="1276"/>
      <c r="E9131" s="1286"/>
      <c r="F9131" s="2084" t="s">
        <v>702</v>
      </c>
      <c r="G9131" s="2085"/>
      <c r="H9131" s="1283">
        <f>SUM(H9129:H9130)</f>
        <v>57927.69</v>
      </c>
      <c r="J9131" s="1580"/>
      <c r="K9131" s="1580"/>
      <c r="L9131" s="1582"/>
      <c r="M9131" s="1586"/>
      <c r="N9131" s="540"/>
      <c r="O9131" s="546"/>
      <c r="P9131" s="2170" t="s">
        <v>702</v>
      </c>
      <c r="Q9131" s="2171"/>
      <c r="R9131" s="683">
        <f>SUM(R9129:R9130)</f>
        <v>550093.68999999994</v>
      </c>
    </row>
    <row r="9132" spans="2:18" s="492" customFormat="1" ht="15" hidden="1" customHeight="1">
      <c r="B9132" s="1274" t="s">
        <v>703</v>
      </c>
      <c r="C9132" s="1275" t="s">
        <v>704</v>
      </c>
      <c r="D9132" s="1276"/>
      <c r="E9132" s="1276"/>
      <c r="F9132" s="1277"/>
      <c r="G9132" s="1278"/>
      <c r="H9132" s="1279"/>
      <c r="J9132" s="1580"/>
      <c r="K9132" s="1580"/>
      <c r="L9132" s="1582" t="s">
        <v>703</v>
      </c>
      <c r="M9132" s="1583" t="s">
        <v>704</v>
      </c>
      <c r="N9132" s="540"/>
      <c r="O9132" s="540"/>
      <c r="P9132" s="541"/>
      <c r="Q9132" s="542"/>
      <c r="R9132" s="682"/>
    </row>
    <row r="9133" spans="2:18" s="492" customFormat="1" ht="15" hidden="1" customHeight="1">
      <c r="B9133" s="1274"/>
      <c r="C9133" s="1280" t="s">
        <v>4646</v>
      </c>
      <c r="D9133" s="1276"/>
      <c r="E9133" s="1276" t="s">
        <v>4764</v>
      </c>
      <c r="F9133" s="1277">
        <f>0.35</f>
        <v>0.35</v>
      </c>
      <c r="G9133" s="1278">
        <f>Rekap!D22</f>
        <v>135843.75</v>
      </c>
      <c r="H9133" s="1279">
        <f>G9133*F9133</f>
        <v>47545.3125</v>
      </c>
      <c r="J9133" s="1580"/>
      <c r="K9133" s="1580"/>
      <c r="L9133" s="1582"/>
      <c r="M9133" s="1584" t="s">
        <v>4646</v>
      </c>
      <c r="N9133" s="540"/>
      <c r="O9133" s="540" t="s">
        <v>4764</v>
      </c>
      <c r="P9133" s="541">
        <f>0.35</f>
        <v>0.35</v>
      </c>
      <c r="Q9133" s="542">
        <f>G9133</f>
        <v>135843.75</v>
      </c>
      <c r="R9133" s="682">
        <f>Q9133*P9133</f>
        <v>47545.3125</v>
      </c>
    </row>
    <row r="9134" spans="2:18" s="492" customFormat="1" ht="15" hidden="1" customHeight="1">
      <c r="B9134" s="1274"/>
      <c r="C9134" s="1280"/>
      <c r="D9134" s="1276"/>
      <c r="E9134" s="1276"/>
      <c r="F9134" s="2084" t="s">
        <v>4428</v>
      </c>
      <c r="G9134" s="2085"/>
      <c r="H9134" s="1283">
        <f>SUM(H9133)</f>
        <v>47545.3125</v>
      </c>
      <c r="J9134" s="1580"/>
      <c r="K9134" s="1580"/>
      <c r="L9134" s="1582"/>
      <c r="M9134" s="1584"/>
      <c r="N9134" s="540"/>
      <c r="O9134" s="540"/>
      <c r="P9134" s="2170" t="s">
        <v>4428</v>
      </c>
      <c r="Q9134" s="2171"/>
      <c r="R9134" s="683">
        <f>SUM(R9133)</f>
        <v>47545.3125</v>
      </c>
    </row>
    <row r="9135" spans="2:18" s="492" customFormat="1" ht="15" hidden="1" customHeight="1">
      <c r="B9135" s="1287" t="s">
        <v>706</v>
      </c>
      <c r="C9135" s="2086" t="s">
        <v>707</v>
      </c>
      <c r="D9135" s="2087"/>
      <c r="E9135" s="2087"/>
      <c r="F9135" s="2087"/>
      <c r="G9135" s="2088"/>
      <c r="H9135" s="1288">
        <f>H9131+H9127+H9133</f>
        <v>110348.0025</v>
      </c>
      <c r="J9135" s="1580"/>
      <c r="K9135" s="1580"/>
      <c r="L9135" s="1587" t="s">
        <v>706</v>
      </c>
      <c r="M9135" s="2172" t="s">
        <v>707</v>
      </c>
      <c r="N9135" s="2166"/>
      <c r="O9135" s="2166"/>
      <c r="P9135" s="2166"/>
      <c r="Q9135" s="2173"/>
      <c r="R9135" s="684">
        <f>R9131+R9127+R9133</f>
        <v>602514.00249999994</v>
      </c>
    </row>
    <row r="9136" spans="2:18" s="492" customFormat="1" ht="15" hidden="1" customHeight="1">
      <c r="B9136" s="1274" t="s">
        <v>708</v>
      </c>
      <c r="C9136" s="2071" t="s">
        <v>4647</v>
      </c>
      <c r="D9136" s="2072"/>
      <c r="E9136" s="2072"/>
      <c r="F9136" s="1289">
        <v>0.15</v>
      </c>
      <c r="G9136" s="1290"/>
      <c r="H9136" s="1283">
        <f>H9135*F9136</f>
        <v>16552.200375</v>
      </c>
      <c r="J9136" s="1580"/>
      <c r="K9136" s="1580"/>
      <c r="L9136" s="1582" t="s">
        <v>708</v>
      </c>
      <c r="M9136" s="2174" t="s">
        <v>4647</v>
      </c>
      <c r="N9136" s="2175"/>
      <c r="O9136" s="2175"/>
      <c r="P9136" s="547">
        <v>0.15</v>
      </c>
      <c r="Q9136" s="548"/>
      <c r="R9136" s="683">
        <f>R9135*P9136</f>
        <v>90377.100374999995</v>
      </c>
    </row>
    <row r="9137" spans="2:18" s="492" customFormat="1" ht="15" hidden="1" customHeight="1">
      <c r="B9137" s="1274" t="s">
        <v>711</v>
      </c>
      <c r="C9137" s="2071" t="s">
        <v>712</v>
      </c>
      <c r="D9137" s="2072"/>
      <c r="E9137" s="2072"/>
      <c r="F9137" s="2072"/>
      <c r="G9137" s="2073"/>
      <c r="H9137" s="1283">
        <f>SUM(H9135:H9136)</f>
        <v>126900.202875</v>
      </c>
      <c r="J9137" s="1580"/>
      <c r="K9137" s="1580"/>
      <c r="L9137" s="1582" t="s">
        <v>711</v>
      </c>
      <c r="M9137" s="2174" t="s">
        <v>712</v>
      </c>
      <c r="N9137" s="2175"/>
      <c r="O9137" s="2175"/>
      <c r="P9137" s="2175"/>
      <c r="Q9137" s="2176"/>
      <c r="R9137" s="683">
        <f>SUM(R9135:R9136)</f>
        <v>692891.10287499998</v>
      </c>
    </row>
    <row r="9138" spans="2:18" hidden="1">
      <c r="B9138" s="1111"/>
      <c r="C9138" s="1112"/>
      <c r="D9138" s="1111"/>
      <c r="E9138" s="1112"/>
      <c r="F9138" s="1111"/>
      <c r="G9138" s="1199"/>
      <c r="H9138" s="1176"/>
    </row>
    <row r="9139" spans="2:18" hidden="1">
      <c r="B9139" s="1111" t="s">
        <v>4659</v>
      </c>
      <c r="C9139" s="1112" t="s">
        <v>4660</v>
      </c>
      <c r="D9139" s="1111"/>
      <c r="E9139" s="1112"/>
      <c r="F9139" s="1111"/>
      <c r="G9139" s="1199"/>
      <c r="H9139" s="1176"/>
      <c r="L9139" s="1578" t="s">
        <v>5032</v>
      </c>
      <c r="M9139" s="1579" t="s">
        <v>5028</v>
      </c>
      <c r="N9139" s="508"/>
      <c r="O9139" s="509"/>
      <c r="P9139" s="508"/>
      <c r="Q9139" s="527"/>
      <c r="R9139" s="680"/>
    </row>
    <row r="9140" spans="2:18" s="492" customFormat="1" ht="24.9" hidden="1" customHeight="1">
      <c r="B9140" s="1270" t="s">
        <v>4544</v>
      </c>
      <c r="C9140" s="1270" t="s">
        <v>1004</v>
      </c>
      <c r="D9140" s="1270" t="s">
        <v>1005</v>
      </c>
      <c r="E9140" s="1270" t="s">
        <v>1006</v>
      </c>
      <c r="F9140" s="1271" t="s">
        <v>1007</v>
      </c>
      <c r="G9140" s="1272" t="s">
        <v>4642</v>
      </c>
      <c r="H9140" s="1273" t="s">
        <v>4643</v>
      </c>
      <c r="J9140" s="1580"/>
      <c r="K9140" s="1580"/>
      <c r="L9140" s="1581" t="s">
        <v>4544</v>
      </c>
      <c r="M9140" s="1581" t="s">
        <v>1004</v>
      </c>
      <c r="N9140" s="537" t="s">
        <v>1005</v>
      </c>
      <c r="O9140" s="537" t="s">
        <v>1006</v>
      </c>
      <c r="P9140" s="538" t="s">
        <v>1007</v>
      </c>
      <c r="Q9140" s="539" t="s">
        <v>4642</v>
      </c>
      <c r="R9140" s="681" t="s">
        <v>4643</v>
      </c>
    </row>
    <row r="9141" spans="2:18" s="492" customFormat="1" ht="15" hidden="1" customHeight="1">
      <c r="B9141" s="1274" t="s">
        <v>671</v>
      </c>
      <c r="C9141" s="1275" t="s">
        <v>4644</v>
      </c>
      <c r="D9141" s="1276"/>
      <c r="E9141" s="1276"/>
      <c r="F9141" s="1277"/>
      <c r="G9141" s="1278"/>
      <c r="H9141" s="1279"/>
      <c r="J9141" s="1580"/>
      <c r="K9141" s="1580"/>
      <c r="L9141" s="1582" t="s">
        <v>671</v>
      </c>
      <c r="M9141" s="1583" t="s">
        <v>4644</v>
      </c>
      <c r="N9141" s="540"/>
      <c r="O9141" s="540"/>
      <c r="P9141" s="541"/>
      <c r="Q9141" s="542"/>
      <c r="R9141" s="682"/>
    </row>
    <row r="9142" spans="2:18" s="492" customFormat="1" ht="15" hidden="1" customHeight="1">
      <c r="B9142" s="1274"/>
      <c r="C9142" s="1280" t="s">
        <v>673</v>
      </c>
      <c r="D9142" s="1276" t="s">
        <v>674</v>
      </c>
      <c r="E9142" s="1276" t="s">
        <v>675</v>
      </c>
      <c r="F9142" s="1277">
        <v>2.5000000000000001E-2</v>
      </c>
      <c r="G9142" s="1278">
        <f>G9125</f>
        <v>150000</v>
      </c>
      <c r="H9142" s="1279">
        <f>G9142*F9142</f>
        <v>3750</v>
      </c>
      <c r="J9142" s="1580"/>
      <c r="K9142" s="1580"/>
      <c r="L9142" s="1582"/>
      <c r="M9142" s="1584" t="s">
        <v>673</v>
      </c>
      <c r="N9142" s="540" t="s">
        <v>674</v>
      </c>
      <c r="O9142" s="540" t="s">
        <v>675</v>
      </c>
      <c r="P9142" s="541">
        <v>2.5000000000000001E-2</v>
      </c>
      <c r="Q9142" s="542">
        <f>Q9125</f>
        <v>150000</v>
      </c>
      <c r="R9142" s="682">
        <f>Q9142*P9142</f>
        <v>3750</v>
      </c>
    </row>
    <row r="9143" spans="2:18" s="492" customFormat="1" ht="15" hidden="1" customHeight="1">
      <c r="B9143" s="1274"/>
      <c r="C9143" s="1280" t="s">
        <v>683</v>
      </c>
      <c r="D9143" s="1276" t="s">
        <v>684</v>
      </c>
      <c r="E9143" s="1281" t="s">
        <v>675</v>
      </c>
      <c r="F9143" s="1277">
        <v>5.0000000000000001E-3</v>
      </c>
      <c r="G9143" s="1278">
        <f>G9126</f>
        <v>225000</v>
      </c>
      <c r="H9143" s="1279">
        <f>G9143*F9143</f>
        <v>1125</v>
      </c>
      <c r="J9143" s="1580"/>
      <c r="K9143" s="1580"/>
      <c r="L9143" s="1582"/>
      <c r="M9143" s="1584" t="s">
        <v>683</v>
      </c>
      <c r="N9143" s="540" t="s">
        <v>684</v>
      </c>
      <c r="O9143" s="543" t="s">
        <v>675</v>
      </c>
      <c r="P9143" s="541">
        <v>5.0000000000000001E-3</v>
      </c>
      <c r="Q9143" s="542">
        <f>Q9126</f>
        <v>225000</v>
      </c>
      <c r="R9143" s="682">
        <f>Q9143*P9143</f>
        <v>1125</v>
      </c>
    </row>
    <row r="9144" spans="2:18" s="492" customFormat="1" ht="15" hidden="1" customHeight="1">
      <c r="B9144" s="1276"/>
      <c r="C9144" s="1280"/>
      <c r="D9144" s="1276"/>
      <c r="E9144" s="1281"/>
      <c r="F9144" s="2082" t="s">
        <v>685</v>
      </c>
      <c r="G9144" s="2083"/>
      <c r="H9144" s="1283">
        <f>SUM(H9142:H9143)</f>
        <v>4875</v>
      </c>
      <c r="J9144" s="1580"/>
      <c r="K9144" s="1580"/>
      <c r="L9144" s="1585"/>
      <c r="M9144" s="1584"/>
      <c r="N9144" s="540"/>
      <c r="O9144" s="543"/>
      <c r="P9144" s="2168" t="s">
        <v>685</v>
      </c>
      <c r="Q9144" s="2169"/>
      <c r="R9144" s="683">
        <f>SUM(R9142:R9143)</f>
        <v>4875</v>
      </c>
    </row>
    <row r="9145" spans="2:18" s="492" customFormat="1" ht="15" hidden="1" customHeight="1">
      <c r="B9145" s="1274" t="s">
        <v>686</v>
      </c>
      <c r="C9145" s="1275" t="s">
        <v>687</v>
      </c>
      <c r="D9145" s="1276"/>
      <c r="E9145" s="1284"/>
      <c r="F9145" s="1276"/>
      <c r="G9145" s="1278"/>
      <c r="H9145" s="1279"/>
      <c r="J9145" s="1580"/>
      <c r="K9145" s="1580"/>
      <c r="L9145" s="1582" t="s">
        <v>686</v>
      </c>
      <c r="M9145" s="1583" t="s">
        <v>687</v>
      </c>
      <c r="N9145" s="540"/>
      <c r="O9145" s="545"/>
      <c r="P9145" s="540"/>
      <c r="Q9145" s="542"/>
      <c r="R9145" s="682"/>
    </row>
    <row r="9146" spans="2:18" s="492" customFormat="1" ht="15" hidden="1" customHeight="1">
      <c r="B9146" s="1274"/>
      <c r="C9146" s="1280" t="s">
        <v>4645</v>
      </c>
      <c r="D9146" s="1276"/>
      <c r="E9146" s="1276" t="s">
        <v>690</v>
      </c>
      <c r="F9146" s="1277">
        <v>0.01</v>
      </c>
      <c r="G9146" s="1278">
        <f>G9129</f>
        <v>9369</v>
      </c>
      <c r="H9146" s="1279">
        <f t="shared" ref="H9146:H9147" si="270">G9146*F9146</f>
        <v>93.69</v>
      </c>
      <c r="J9146" s="1580"/>
      <c r="K9146" s="1580"/>
      <c r="L9146" s="1582"/>
      <c r="M9146" s="1584" t="s">
        <v>4645</v>
      </c>
      <c r="N9146" s="540"/>
      <c r="O9146" s="540" t="s">
        <v>690</v>
      </c>
      <c r="P9146" s="541">
        <v>0.01</v>
      </c>
      <c r="Q9146" s="542">
        <f>Q9129</f>
        <v>9369</v>
      </c>
      <c r="R9146" s="682">
        <f t="shared" ref="R9146:R9147" si="271">Q9146*P9146</f>
        <v>93.69</v>
      </c>
    </row>
    <row r="9147" spans="2:18" s="492" customFormat="1" ht="15" hidden="1" customHeight="1">
      <c r="B9147" s="1274"/>
      <c r="C9147" s="1280" t="s">
        <v>4661</v>
      </c>
      <c r="D9147" s="1276"/>
      <c r="E9147" s="1276" t="s">
        <v>3129</v>
      </c>
      <c r="F9147" s="1277">
        <v>1</v>
      </c>
      <c r="G9147" s="1278">
        <f>DUB!I813</f>
        <v>6426</v>
      </c>
      <c r="H9147" s="1279">
        <f t="shared" si="270"/>
        <v>6426</v>
      </c>
      <c r="J9147" s="1580"/>
      <c r="K9147" s="1580"/>
      <c r="L9147" s="1582"/>
      <c r="M9147" s="1584" t="s">
        <v>5029</v>
      </c>
      <c r="N9147" s="540"/>
      <c r="O9147" s="540" t="s">
        <v>3129</v>
      </c>
      <c r="P9147" s="541">
        <v>1</v>
      </c>
      <c r="Q9147" s="542">
        <f>DUB!I864</f>
        <v>5500</v>
      </c>
      <c r="R9147" s="682">
        <f t="shared" si="271"/>
        <v>5500</v>
      </c>
    </row>
    <row r="9148" spans="2:18" s="492" customFormat="1" ht="15" hidden="1" customHeight="1">
      <c r="B9148" s="1274"/>
      <c r="C9148" s="1285"/>
      <c r="D9148" s="1276"/>
      <c r="E9148" s="1286"/>
      <c r="F9148" s="2084" t="s">
        <v>702</v>
      </c>
      <c r="G9148" s="2085"/>
      <c r="H9148" s="1283">
        <f>SUM(H9146:H9147)</f>
        <v>6519.69</v>
      </c>
      <c r="J9148" s="1580"/>
      <c r="K9148" s="1580"/>
      <c r="L9148" s="1582"/>
      <c r="M9148" s="1586"/>
      <c r="N9148" s="540"/>
      <c r="O9148" s="546"/>
      <c r="P9148" s="2170" t="s">
        <v>702</v>
      </c>
      <c r="Q9148" s="2171"/>
      <c r="R9148" s="683">
        <f>SUM(R9146:R9147)</f>
        <v>5593.69</v>
      </c>
    </row>
    <row r="9149" spans="2:18" s="492" customFormat="1" ht="15" hidden="1" customHeight="1">
      <c r="B9149" s="1274" t="s">
        <v>703</v>
      </c>
      <c r="C9149" s="1275" t="s">
        <v>704</v>
      </c>
      <c r="D9149" s="1276"/>
      <c r="E9149" s="1276"/>
      <c r="F9149" s="1277"/>
      <c r="G9149" s="1278"/>
      <c r="H9149" s="1279"/>
      <c r="J9149" s="1580"/>
      <c r="K9149" s="1580"/>
      <c r="L9149" s="1582" t="s">
        <v>703</v>
      </c>
      <c r="M9149" s="1583" t="s">
        <v>704</v>
      </c>
      <c r="N9149" s="540"/>
      <c r="O9149" s="540"/>
      <c r="P9149" s="541"/>
      <c r="Q9149" s="542"/>
      <c r="R9149" s="682"/>
    </row>
    <row r="9150" spans="2:18" s="492" customFormat="1" ht="15" hidden="1" customHeight="1">
      <c r="B9150" s="1274"/>
      <c r="C9150" s="1280" t="s">
        <v>4646</v>
      </c>
      <c r="D9150" s="1276"/>
      <c r="E9150" s="1276" t="s">
        <v>4764</v>
      </c>
      <c r="F9150" s="1277">
        <v>0.15</v>
      </c>
      <c r="G9150" s="1278">
        <f>G9133</f>
        <v>135843.75</v>
      </c>
      <c r="H9150" s="1279">
        <f>G9150*F9150</f>
        <v>20376.5625</v>
      </c>
      <c r="J9150" s="1580"/>
      <c r="K9150" s="1580"/>
      <c r="L9150" s="1582"/>
      <c r="M9150" s="1584" t="s">
        <v>4646</v>
      </c>
      <c r="N9150" s="540"/>
      <c r="O9150" s="540" t="s">
        <v>4764</v>
      </c>
      <c r="P9150" s="787" t="s">
        <v>5030</v>
      </c>
      <c r="Q9150" s="542">
        <f>Q9133</f>
        <v>135843.75</v>
      </c>
      <c r="R9150" s="682">
        <f>Q9150*P9150</f>
        <v>0</v>
      </c>
    </row>
    <row r="9151" spans="2:18" s="492" customFormat="1" ht="15" hidden="1" customHeight="1">
      <c r="B9151" s="1274"/>
      <c r="C9151" s="1280"/>
      <c r="D9151" s="1276"/>
      <c r="E9151" s="1276"/>
      <c r="F9151" s="2084" t="s">
        <v>4428</v>
      </c>
      <c r="G9151" s="2085"/>
      <c r="H9151" s="1283">
        <f>SUM(H9150)</f>
        <v>20376.5625</v>
      </c>
      <c r="J9151" s="1580"/>
      <c r="K9151" s="1580"/>
      <c r="L9151" s="1582"/>
      <c r="M9151" s="1584"/>
      <c r="N9151" s="540"/>
      <c r="O9151" s="540"/>
      <c r="P9151" s="2170" t="s">
        <v>4428</v>
      </c>
      <c r="Q9151" s="2171"/>
      <c r="R9151" s="683">
        <f>SUM(R9150)</f>
        <v>0</v>
      </c>
    </row>
    <row r="9152" spans="2:18" s="492" customFormat="1" ht="15" hidden="1" customHeight="1">
      <c r="B9152" s="1287" t="s">
        <v>706</v>
      </c>
      <c r="C9152" s="2086" t="s">
        <v>707</v>
      </c>
      <c r="D9152" s="2087"/>
      <c r="E9152" s="2087"/>
      <c r="F9152" s="2087"/>
      <c r="G9152" s="2088"/>
      <c r="H9152" s="1288">
        <f>H9148+H9144+H9150</f>
        <v>31771.252499999999</v>
      </c>
      <c r="J9152" s="1580"/>
      <c r="K9152" s="1580"/>
      <c r="L9152" s="1587" t="s">
        <v>706</v>
      </c>
      <c r="M9152" s="2172" t="s">
        <v>707</v>
      </c>
      <c r="N9152" s="2166"/>
      <c r="O9152" s="2166"/>
      <c r="P9152" s="2166"/>
      <c r="Q9152" s="2173"/>
      <c r="R9152" s="684">
        <f>R9148+R9144+R9150</f>
        <v>10468.689999999999</v>
      </c>
    </row>
    <row r="9153" spans="2:18" s="492" customFormat="1" ht="15" hidden="1" customHeight="1">
      <c r="B9153" s="1274" t="s">
        <v>708</v>
      </c>
      <c r="C9153" s="2071" t="s">
        <v>4647</v>
      </c>
      <c r="D9153" s="2072"/>
      <c r="E9153" s="2072"/>
      <c r="F9153" s="1289">
        <v>0.15</v>
      </c>
      <c r="G9153" s="1290"/>
      <c r="H9153" s="1283">
        <f>H9152*F9153</f>
        <v>4765.6878749999996</v>
      </c>
      <c r="J9153" s="1580"/>
      <c r="K9153" s="1580"/>
      <c r="L9153" s="1582" t="s">
        <v>708</v>
      </c>
      <c r="M9153" s="2174" t="s">
        <v>4647</v>
      </c>
      <c r="N9153" s="2175"/>
      <c r="O9153" s="2175"/>
      <c r="P9153" s="547">
        <v>0.15</v>
      </c>
      <c r="Q9153" s="548"/>
      <c r="R9153" s="683">
        <f>R9152*P9153</f>
        <v>1570.3034999999998</v>
      </c>
    </row>
    <row r="9154" spans="2:18" s="492" customFormat="1" ht="15" hidden="1" customHeight="1">
      <c r="B9154" s="1274" t="s">
        <v>711</v>
      </c>
      <c r="C9154" s="2071" t="s">
        <v>712</v>
      </c>
      <c r="D9154" s="2072"/>
      <c r="E9154" s="2072"/>
      <c r="F9154" s="2072"/>
      <c r="G9154" s="2073"/>
      <c r="H9154" s="1283">
        <f>SUM(H9152:H9153)</f>
        <v>36536.940374999998</v>
      </c>
      <c r="J9154" s="1580"/>
      <c r="K9154" s="1580"/>
      <c r="L9154" s="1582" t="s">
        <v>711</v>
      </c>
      <c r="M9154" s="2174" t="s">
        <v>712</v>
      </c>
      <c r="N9154" s="2175"/>
      <c r="O9154" s="2175"/>
      <c r="P9154" s="2175"/>
      <c r="Q9154" s="2176"/>
      <c r="R9154" s="683">
        <f>SUM(R9152:R9153)</f>
        <v>12038.993499999999</v>
      </c>
    </row>
    <row r="9155" spans="2:18" hidden="1">
      <c r="B9155" s="1111"/>
      <c r="C9155" s="1112"/>
      <c r="D9155" s="1111"/>
      <c r="E9155" s="1112"/>
      <c r="F9155" s="1111"/>
      <c r="G9155" s="1199"/>
      <c r="H9155" s="1176"/>
    </row>
    <row r="9156" spans="2:18" hidden="1">
      <c r="B9156" s="1111" t="s">
        <v>4662</v>
      </c>
      <c r="C9156" s="1112" t="s">
        <v>4945</v>
      </c>
      <c r="D9156" s="1111"/>
      <c r="E9156" s="1112"/>
      <c r="F9156" s="1111"/>
      <c r="G9156" s="1199"/>
      <c r="H9156" s="1176"/>
    </row>
    <row r="9157" spans="2:18" ht="24.9" hidden="1" customHeight="1">
      <c r="B9157" s="1270" t="s">
        <v>4544</v>
      </c>
      <c r="C9157" s="1270" t="s">
        <v>1004</v>
      </c>
      <c r="D9157" s="1270" t="s">
        <v>1005</v>
      </c>
      <c r="E9157" s="1270" t="s">
        <v>1006</v>
      </c>
      <c r="F9157" s="1271" t="s">
        <v>1007</v>
      </c>
      <c r="G9157" s="1272" t="s">
        <v>4642</v>
      </c>
      <c r="H9157" s="1273" t="s">
        <v>4643</v>
      </c>
      <c r="L9157" s="1578"/>
      <c r="M9157" s="1579"/>
      <c r="N9157" s="508"/>
      <c r="O9157" s="509"/>
      <c r="P9157" s="508"/>
      <c r="Q9157" s="527"/>
      <c r="R9157" s="680"/>
    </row>
    <row r="9158" spans="2:18" hidden="1">
      <c r="B9158" s="1274" t="s">
        <v>671</v>
      </c>
      <c r="C9158" s="1275" t="s">
        <v>4644</v>
      </c>
      <c r="D9158" s="1276"/>
      <c r="E9158" s="1276"/>
      <c r="F9158" s="1277"/>
      <c r="G9158" s="1278"/>
      <c r="H9158" s="1279"/>
      <c r="L9158" s="1588"/>
      <c r="M9158" s="1588"/>
      <c r="N9158" s="1311"/>
      <c r="O9158" s="1311"/>
      <c r="P9158" s="1312"/>
      <c r="Q9158" s="1313"/>
      <c r="R9158" s="1314"/>
    </row>
    <row r="9159" spans="2:18" hidden="1">
      <c r="B9159" s="1274"/>
      <c r="C9159" s="1280" t="s">
        <v>673</v>
      </c>
      <c r="D9159" s="1276" t="s">
        <v>674</v>
      </c>
      <c r="E9159" s="1276" t="s">
        <v>675</v>
      </c>
      <c r="F9159" s="1277">
        <v>2.5000000000000001E-2</v>
      </c>
      <c r="G9159" s="1278">
        <f>G9142</f>
        <v>150000</v>
      </c>
      <c r="H9159" s="1279">
        <f>G9159*F9159</f>
        <v>3750</v>
      </c>
      <c r="L9159" s="1589"/>
      <c r="M9159" s="1590"/>
      <c r="N9159" s="1315"/>
      <c r="O9159" s="1315"/>
      <c r="P9159" s="1316"/>
      <c r="Q9159" s="1317"/>
      <c r="R9159" s="1318"/>
    </row>
    <row r="9160" spans="2:18" hidden="1">
      <c r="B9160" s="1274"/>
      <c r="C9160" s="1280" t="s">
        <v>683</v>
      </c>
      <c r="D9160" s="1276" t="s">
        <v>684</v>
      </c>
      <c r="E9160" s="1281" t="s">
        <v>675</v>
      </c>
      <c r="F9160" s="1277">
        <v>5.0000000000000001E-3</v>
      </c>
      <c r="G9160" s="1278">
        <f>G9143</f>
        <v>225000</v>
      </c>
      <c r="H9160" s="1279">
        <f>G9160*F9160</f>
        <v>1125</v>
      </c>
      <c r="L9160" s="1589"/>
      <c r="M9160" s="1580"/>
      <c r="N9160" s="1315"/>
      <c r="O9160" s="1315"/>
      <c r="P9160" s="1316"/>
      <c r="Q9160" s="1317"/>
      <c r="R9160" s="1318"/>
    </row>
    <row r="9161" spans="2:18" hidden="1">
      <c r="B9161" s="1276"/>
      <c r="C9161" s="1280"/>
      <c r="D9161" s="1276"/>
      <c r="E9161" s="1281"/>
      <c r="F9161" s="2082" t="s">
        <v>685</v>
      </c>
      <c r="G9161" s="2083"/>
      <c r="H9161" s="1283">
        <f>SUM(H9159:H9160)</f>
        <v>4875</v>
      </c>
      <c r="L9161" s="1589"/>
      <c r="M9161" s="1580"/>
      <c r="N9161" s="1315"/>
      <c r="O9161" s="1315"/>
      <c r="P9161" s="1316"/>
      <c r="Q9161" s="1317"/>
      <c r="R9161" s="1318"/>
    </row>
    <row r="9162" spans="2:18" hidden="1">
      <c r="B9162" s="1274" t="s">
        <v>686</v>
      </c>
      <c r="C9162" s="1275" t="s">
        <v>687</v>
      </c>
      <c r="D9162" s="1276"/>
      <c r="E9162" s="1284"/>
      <c r="F9162" s="1276"/>
      <c r="G9162" s="1278"/>
      <c r="H9162" s="1279"/>
      <c r="L9162" s="1591"/>
      <c r="M9162" s="1580"/>
      <c r="N9162" s="1315"/>
      <c r="O9162" s="1315"/>
      <c r="P9162" s="2177"/>
      <c r="Q9162" s="2177"/>
      <c r="R9162" s="685"/>
    </row>
    <row r="9163" spans="2:18" hidden="1">
      <c r="B9163" s="1274"/>
      <c r="C9163" s="1280" t="s">
        <v>4645</v>
      </c>
      <c r="D9163" s="1276"/>
      <c r="E9163" s="1276" t="s">
        <v>690</v>
      </c>
      <c r="F9163" s="1277">
        <v>0.01</v>
      </c>
      <c r="G9163" s="1278">
        <f>G9146</f>
        <v>9369</v>
      </c>
      <c r="H9163" s="1279">
        <f t="shared" ref="H9163:H9164" si="272">G9163*F9163</f>
        <v>93.69</v>
      </c>
      <c r="L9163" s="1589"/>
      <c r="M9163" s="1590"/>
      <c r="N9163" s="1315"/>
      <c r="O9163" s="492"/>
      <c r="P9163" s="1315"/>
      <c r="Q9163" s="1317"/>
      <c r="R9163" s="1318"/>
    </row>
    <row r="9164" spans="2:18" hidden="1">
      <c r="B9164" s="1274"/>
      <c r="C9164" s="1280" t="str">
        <f>DUB!C818</f>
        <v>Rumput Gajah Mini</v>
      </c>
      <c r="D9164" s="1276"/>
      <c r="E9164" s="1276" t="s">
        <v>2647</v>
      </c>
      <c r="F9164" s="1277">
        <v>1.1000000000000001</v>
      </c>
      <c r="G9164" s="1278">
        <f>DUB!I818</f>
        <v>32130</v>
      </c>
      <c r="H9164" s="1279">
        <f t="shared" si="272"/>
        <v>35343</v>
      </c>
      <c r="L9164" s="1589"/>
      <c r="M9164" s="1580"/>
      <c r="N9164" s="1315"/>
      <c r="O9164" s="1315"/>
      <c r="P9164" s="1316"/>
      <c r="Q9164" s="1317"/>
      <c r="R9164" s="1318"/>
    </row>
    <row r="9165" spans="2:18" hidden="1">
      <c r="B9165" s="1274"/>
      <c r="C9165" s="1285"/>
      <c r="D9165" s="1276"/>
      <c r="E9165" s="1286"/>
      <c r="F9165" s="2084" t="s">
        <v>702</v>
      </c>
      <c r="G9165" s="2085"/>
      <c r="H9165" s="1283">
        <f>SUM(H9163:H9164)</f>
        <v>35436.69</v>
      </c>
      <c r="L9165" s="1589"/>
      <c r="M9165" s="1580"/>
      <c r="N9165" s="1315"/>
      <c r="O9165" s="1315"/>
      <c r="P9165" s="1316"/>
      <c r="Q9165" s="1317"/>
      <c r="R9165" s="1318"/>
    </row>
    <row r="9166" spans="2:18" hidden="1">
      <c r="B9166" s="1274" t="s">
        <v>703</v>
      </c>
      <c r="C9166" s="1275" t="s">
        <v>704</v>
      </c>
      <c r="D9166" s="1276"/>
      <c r="E9166" s="1276"/>
      <c r="F9166" s="1277"/>
      <c r="G9166" s="1278"/>
      <c r="H9166" s="1279"/>
      <c r="L9166" s="1589"/>
      <c r="M9166" s="1592"/>
      <c r="N9166" s="1315"/>
      <c r="O9166" s="1315"/>
      <c r="P9166" s="2178"/>
      <c r="Q9166" s="2178"/>
      <c r="R9166" s="685"/>
    </row>
    <row r="9167" spans="2:18" hidden="1">
      <c r="B9167" s="1274"/>
      <c r="C9167" s="1280"/>
      <c r="D9167" s="1276"/>
      <c r="E9167" s="1276"/>
      <c r="F9167" s="1277"/>
      <c r="G9167" s="1278"/>
      <c r="H9167" s="1279">
        <f>G9167*F9167</f>
        <v>0</v>
      </c>
      <c r="L9167" s="1589"/>
      <c r="M9167" s="1590"/>
      <c r="N9167" s="1315"/>
      <c r="O9167" s="1315"/>
      <c r="P9167" s="1316"/>
      <c r="Q9167" s="1317"/>
      <c r="R9167" s="1318"/>
    </row>
    <row r="9168" spans="2:18" ht="13.5" hidden="1" customHeight="1">
      <c r="B9168" s="1274"/>
      <c r="C9168" s="1280"/>
      <c r="D9168" s="1276"/>
      <c r="E9168" s="1276"/>
      <c r="F9168" s="2084" t="s">
        <v>4428</v>
      </c>
      <c r="G9168" s="2085"/>
      <c r="H9168" s="1283">
        <f>SUM(H9167)</f>
        <v>0</v>
      </c>
      <c r="L9168" s="1589"/>
      <c r="M9168" s="1580"/>
      <c r="N9168" s="1315"/>
      <c r="O9168" s="1315"/>
      <c r="P9168" s="1316"/>
      <c r="Q9168" s="1317"/>
      <c r="R9168" s="1318"/>
    </row>
    <row r="9169" spans="2:18" hidden="1">
      <c r="B9169" s="1287" t="s">
        <v>706</v>
      </c>
      <c r="C9169" s="2086" t="s">
        <v>707</v>
      </c>
      <c r="D9169" s="2087"/>
      <c r="E9169" s="2087"/>
      <c r="F9169" s="2087"/>
      <c r="G9169" s="2088"/>
      <c r="H9169" s="1288">
        <f>H9165+H9161</f>
        <v>40311.69</v>
      </c>
      <c r="L9169" s="1589"/>
      <c r="M9169" s="1580"/>
      <c r="N9169" s="1315"/>
      <c r="O9169" s="1315"/>
      <c r="P9169" s="2178"/>
      <c r="Q9169" s="2178"/>
      <c r="R9169" s="685"/>
    </row>
    <row r="9170" spans="2:18" ht="13.5" hidden="1" customHeight="1">
      <c r="B9170" s="1274" t="s">
        <v>708</v>
      </c>
      <c r="C9170" s="2071" t="s">
        <v>4647</v>
      </c>
      <c r="D9170" s="2072"/>
      <c r="E9170" s="2072"/>
      <c r="F9170" s="1289">
        <v>0.15</v>
      </c>
      <c r="G9170" s="1290"/>
      <c r="H9170" s="1283">
        <f>H9169*F9170</f>
        <v>6046.7534999999998</v>
      </c>
      <c r="L9170" s="1589"/>
      <c r="M9170" s="2179"/>
      <c r="N9170" s="2179"/>
      <c r="O9170" s="2179"/>
      <c r="P9170" s="2179"/>
      <c r="Q9170" s="2179"/>
      <c r="R9170" s="685"/>
    </row>
    <row r="9171" spans="2:18" ht="13.5" hidden="1" customHeight="1">
      <c r="B9171" s="1274" t="s">
        <v>711</v>
      </c>
      <c r="C9171" s="2071" t="s">
        <v>712</v>
      </c>
      <c r="D9171" s="2072"/>
      <c r="E9171" s="2072"/>
      <c r="F9171" s="2072"/>
      <c r="G9171" s="2073"/>
      <c r="H9171" s="1283">
        <f>SUM(H9169:H9170)</f>
        <v>46358.443500000001</v>
      </c>
      <c r="L9171" s="1589"/>
      <c r="M9171" s="2179"/>
      <c r="N9171" s="2179"/>
      <c r="O9171" s="2179"/>
      <c r="P9171" s="1319"/>
      <c r="Q9171" s="493"/>
      <c r="R9171" s="685"/>
    </row>
    <row r="9172" spans="2:18" ht="13.5" hidden="1" customHeight="1">
      <c r="B9172" s="1291"/>
      <c r="C9172" s="1292"/>
      <c r="D9172" s="1291"/>
      <c r="E9172" s="1292"/>
      <c r="F9172" s="1291"/>
      <c r="G9172" s="1293"/>
      <c r="H9172" s="1294"/>
      <c r="L9172" s="1593" t="s">
        <v>711</v>
      </c>
      <c r="M9172" s="2165" t="s">
        <v>712</v>
      </c>
      <c r="N9172" s="2166"/>
      <c r="O9172" s="2166"/>
      <c r="P9172" s="2166"/>
      <c r="Q9172" s="2167"/>
      <c r="R9172" s="1310">
        <f>SUM(R9170:R9171)</f>
        <v>0</v>
      </c>
    </row>
    <row r="9173" spans="2:18" ht="13.5" hidden="1" customHeight="1">
      <c r="B9173" s="1111" t="s">
        <v>4665</v>
      </c>
      <c r="C9173" s="1112" t="s">
        <v>4666</v>
      </c>
      <c r="D9173" s="1111"/>
      <c r="E9173" s="1112"/>
      <c r="F9173" s="1111"/>
      <c r="G9173" s="1199"/>
      <c r="H9173" s="1176"/>
    </row>
    <row r="9174" spans="2:18" ht="24.9" hidden="1" customHeight="1">
      <c r="B9174" s="1270" t="s">
        <v>4544</v>
      </c>
      <c r="C9174" s="1270" t="s">
        <v>1004</v>
      </c>
      <c r="D9174" s="1270" t="s">
        <v>1005</v>
      </c>
      <c r="E9174" s="1270" t="s">
        <v>1006</v>
      </c>
      <c r="F9174" s="1271" t="s">
        <v>1007</v>
      </c>
      <c r="G9174" s="1272" t="s">
        <v>4642</v>
      </c>
      <c r="H9174" s="1273" t="s">
        <v>4643</v>
      </c>
    </row>
    <row r="9175" spans="2:18" ht="13.5" hidden="1" customHeight="1">
      <c r="B9175" s="1274" t="s">
        <v>671</v>
      </c>
      <c r="C9175" s="1275" t="s">
        <v>4644</v>
      </c>
      <c r="D9175" s="1276"/>
      <c r="E9175" s="1276"/>
      <c r="F9175" s="1277"/>
      <c r="G9175" s="1278"/>
      <c r="H9175" s="1279"/>
    </row>
    <row r="9176" spans="2:18" ht="13.5" hidden="1" customHeight="1">
      <c r="B9176" s="1274"/>
      <c r="C9176" s="1280" t="s">
        <v>673</v>
      </c>
      <c r="D9176" s="1276" t="s">
        <v>674</v>
      </c>
      <c r="E9176" s="1276" t="s">
        <v>675</v>
      </c>
      <c r="F9176" s="1277">
        <v>2.5000000000000001E-2</v>
      </c>
      <c r="G9176" s="1278">
        <f>G9159</f>
        <v>150000</v>
      </c>
      <c r="H9176" s="1279">
        <f>G9176*F9176</f>
        <v>3750</v>
      </c>
    </row>
    <row r="9177" spans="2:18" ht="13.5" hidden="1" customHeight="1">
      <c r="B9177" s="1274"/>
      <c r="C9177" s="1280" t="s">
        <v>683</v>
      </c>
      <c r="D9177" s="1276" t="s">
        <v>684</v>
      </c>
      <c r="E9177" s="1281" t="s">
        <v>675</v>
      </c>
      <c r="F9177" s="1277">
        <v>5.0000000000000001E-3</v>
      </c>
      <c r="G9177" s="1278">
        <f>G9160</f>
        <v>225000</v>
      </c>
      <c r="H9177" s="1279">
        <f>G9177*F9177</f>
        <v>1125</v>
      </c>
    </row>
    <row r="9178" spans="2:18" ht="13.5" hidden="1" customHeight="1">
      <c r="B9178" s="1276"/>
      <c r="C9178" s="1280"/>
      <c r="D9178" s="1276"/>
      <c r="E9178" s="1281"/>
      <c r="F9178" s="2082" t="s">
        <v>685</v>
      </c>
      <c r="G9178" s="2083"/>
      <c r="H9178" s="1283">
        <f>SUM(H9176:H9177)</f>
        <v>4875</v>
      </c>
    </row>
    <row r="9179" spans="2:18" ht="13.5" hidden="1" customHeight="1">
      <c r="B9179" s="1274" t="s">
        <v>686</v>
      </c>
      <c r="C9179" s="1275" t="s">
        <v>687</v>
      </c>
      <c r="D9179" s="1276"/>
      <c r="E9179" s="1284"/>
      <c r="F9179" s="1276"/>
      <c r="G9179" s="1278"/>
      <c r="H9179" s="1279"/>
    </row>
    <row r="9180" spans="2:18" ht="13.5" hidden="1" customHeight="1">
      <c r="B9180" s="1274"/>
      <c r="C9180" s="1280" t="s">
        <v>4645</v>
      </c>
      <c r="D9180" s="1276"/>
      <c r="E9180" s="1276" t="s">
        <v>690</v>
      </c>
      <c r="F9180" s="1277">
        <v>0.01</v>
      </c>
      <c r="G9180" s="1278">
        <f>G9163</f>
        <v>9369</v>
      </c>
      <c r="H9180" s="1279">
        <f t="shared" ref="H9180:H9181" si="273">G9180*F9180</f>
        <v>93.69</v>
      </c>
    </row>
    <row r="9181" spans="2:18" ht="13.5" hidden="1" customHeight="1">
      <c r="B9181" s="1274"/>
      <c r="C9181" s="1280" t="s">
        <v>4667</v>
      </c>
      <c r="D9181" s="1276"/>
      <c r="E9181" s="1276" t="s">
        <v>3129</v>
      </c>
      <c r="F9181" s="1277">
        <v>1</v>
      </c>
      <c r="G9181" s="1278">
        <f>DUB!I808</f>
        <v>9639</v>
      </c>
      <c r="H9181" s="1279">
        <f t="shared" si="273"/>
        <v>9639</v>
      </c>
    </row>
    <row r="9182" spans="2:18" ht="13.5" hidden="1" customHeight="1">
      <c r="B9182" s="1274"/>
      <c r="C9182" s="1285"/>
      <c r="D9182" s="1276"/>
      <c r="E9182" s="1286"/>
      <c r="F9182" s="2084" t="s">
        <v>702</v>
      </c>
      <c r="G9182" s="2085"/>
      <c r="H9182" s="1283">
        <f>SUM(H9180:H9181)</f>
        <v>9732.69</v>
      </c>
    </row>
    <row r="9183" spans="2:18" ht="13.5" hidden="1" customHeight="1">
      <c r="B9183" s="1274" t="s">
        <v>703</v>
      </c>
      <c r="C9183" s="1275" t="s">
        <v>704</v>
      </c>
      <c r="D9183" s="1276"/>
      <c r="E9183" s="1276"/>
      <c r="F9183" s="1277"/>
      <c r="G9183" s="1278"/>
      <c r="H9183" s="1279"/>
    </row>
    <row r="9184" spans="2:18" ht="13.5" hidden="1" customHeight="1">
      <c r="B9184" s="1274"/>
      <c r="C9184" s="1280" t="s">
        <v>4646</v>
      </c>
      <c r="D9184" s="1276"/>
      <c r="E9184" s="1276" t="s">
        <v>4764</v>
      </c>
      <c r="F9184" s="1277">
        <v>0.15</v>
      </c>
      <c r="G9184" s="1278">
        <f>G9201</f>
        <v>135843.75</v>
      </c>
      <c r="H9184" s="1279">
        <f>G9184*F9184</f>
        <v>20376.5625</v>
      </c>
    </row>
    <row r="9185" spans="2:8" ht="13.5" hidden="1" customHeight="1">
      <c r="B9185" s="1274"/>
      <c r="C9185" s="1280"/>
      <c r="D9185" s="1276"/>
      <c r="E9185" s="1276"/>
      <c r="F9185" s="2084" t="s">
        <v>4428</v>
      </c>
      <c r="G9185" s="2085"/>
      <c r="H9185" s="1283">
        <f>SUM(H9184)</f>
        <v>20376.5625</v>
      </c>
    </row>
    <row r="9186" spans="2:8" ht="13.5" hidden="1" customHeight="1">
      <c r="B9186" s="1287" t="s">
        <v>706</v>
      </c>
      <c r="C9186" s="2086" t="s">
        <v>707</v>
      </c>
      <c r="D9186" s="2087"/>
      <c r="E9186" s="2087"/>
      <c r="F9186" s="2087"/>
      <c r="G9186" s="2088"/>
      <c r="H9186" s="1288">
        <f>H9182+H9178+H9184</f>
        <v>34984.252500000002</v>
      </c>
    </row>
    <row r="9187" spans="2:8" ht="13.5" hidden="1" customHeight="1">
      <c r="B9187" s="1274" t="s">
        <v>708</v>
      </c>
      <c r="C9187" s="2071" t="s">
        <v>4647</v>
      </c>
      <c r="D9187" s="2072"/>
      <c r="E9187" s="2072"/>
      <c r="F9187" s="1289">
        <v>0.15</v>
      </c>
      <c r="G9187" s="1290"/>
      <c r="H9187" s="1283">
        <f>H9186*F9187</f>
        <v>5247.6378750000003</v>
      </c>
    </row>
    <row r="9188" spans="2:8" ht="13.5" hidden="1" customHeight="1">
      <c r="B9188" s="1274" t="s">
        <v>711</v>
      </c>
      <c r="C9188" s="2071" t="s">
        <v>712</v>
      </c>
      <c r="D9188" s="2072"/>
      <c r="E9188" s="2072"/>
      <c r="F9188" s="2072"/>
      <c r="G9188" s="2073"/>
      <c r="H9188" s="1283">
        <f>SUM(H9186:H9187)</f>
        <v>40231.890375000003</v>
      </c>
    </row>
    <row r="9189" spans="2:8" ht="13.5" hidden="1" customHeight="1">
      <c r="B9189" s="1291"/>
      <c r="C9189" s="1292"/>
      <c r="D9189" s="1291"/>
      <c r="E9189" s="1292"/>
      <c r="F9189" s="1291"/>
      <c r="G9189" s="1293"/>
      <c r="H9189" s="1294"/>
    </row>
    <row r="9190" spans="2:8" ht="13.5" hidden="1" customHeight="1">
      <c r="B9190" s="1111" t="s">
        <v>4669</v>
      </c>
      <c r="C9190" s="1112" t="s">
        <v>4672</v>
      </c>
      <c r="D9190" s="1111"/>
      <c r="E9190" s="1112"/>
      <c r="F9190" s="1111"/>
      <c r="G9190" s="1199"/>
      <c r="H9190" s="1176"/>
    </row>
    <row r="9191" spans="2:8" ht="24.9" hidden="1" customHeight="1">
      <c r="B9191" s="1270" t="s">
        <v>4544</v>
      </c>
      <c r="C9191" s="1270" t="s">
        <v>1004</v>
      </c>
      <c r="D9191" s="1270" t="s">
        <v>1005</v>
      </c>
      <c r="E9191" s="1270" t="s">
        <v>1006</v>
      </c>
      <c r="F9191" s="1271" t="s">
        <v>1007</v>
      </c>
      <c r="G9191" s="1272" t="s">
        <v>4642</v>
      </c>
      <c r="H9191" s="1273" t="s">
        <v>4643</v>
      </c>
    </row>
    <row r="9192" spans="2:8" ht="13.5" hidden="1" customHeight="1">
      <c r="B9192" s="1274" t="s">
        <v>671</v>
      </c>
      <c r="C9192" s="1275" t="s">
        <v>4644</v>
      </c>
      <c r="D9192" s="1276"/>
      <c r="E9192" s="1276"/>
      <c r="F9192" s="1277"/>
      <c r="G9192" s="1278"/>
      <c r="H9192" s="1279"/>
    </row>
    <row r="9193" spans="2:8" ht="13.5" hidden="1" customHeight="1">
      <c r="B9193" s="1274"/>
      <c r="C9193" s="1280" t="s">
        <v>673</v>
      </c>
      <c r="D9193" s="1276" t="s">
        <v>674</v>
      </c>
      <c r="E9193" s="1276" t="s">
        <v>675</v>
      </c>
      <c r="F9193" s="1277">
        <v>2.5000000000000001E-2</v>
      </c>
      <c r="G9193" s="1278">
        <f>G9176</f>
        <v>150000</v>
      </c>
      <c r="H9193" s="1279">
        <f>G9193*F9193</f>
        <v>3750</v>
      </c>
    </row>
    <row r="9194" spans="2:8" ht="13.5" hidden="1" customHeight="1">
      <c r="B9194" s="1274"/>
      <c r="C9194" s="1280" t="s">
        <v>683</v>
      </c>
      <c r="D9194" s="1276" t="s">
        <v>684</v>
      </c>
      <c r="E9194" s="1281" t="s">
        <v>675</v>
      </c>
      <c r="F9194" s="1277">
        <v>5.0000000000000001E-3</v>
      </c>
      <c r="G9194" s="1278">
        <f>G9177</f>
        <v>225000</v>
      </c>
      <c r="H9194" s="1279">
        <f>G9194*F9194</f>
        <v>1125</v>
      </c>
    </row>
    <row r="9195" spans="2:8" ht="13.5" hidden="1" customHeight="1">
      <c r="B9195" s="1276"/>
      <c r="C9195" s="1280"/>
      <c r="D9195" s="1276"/>
      <c r="E9195" s="1281"/>
      <c r="F9195" s="2082" t="s">
        <v>685</v>
      </c>
      <c r="G9195" s="2083"/>
      <c r="H9195" s="1283">
        <f>SUM(H9193:H9194)</f>
        <v>4875</v>
      </c>
    </row>
    <row r="9196" spans="2:8" ht="13.5" hidden="1" customHeight="1">
      <c r="B9196" s="1274" t="s">
        <v>686</v>
      </c>
      <c r="C9196" s="1275" t="s">
        <v>687</v>
      </c>
      <c r="D9196" s="1276"/>
      <c r="E9196" s="1284"/>
      <c r="F9196" s="1276"/>
      <c r="G9196" s="1278"/>
      <c r="H9196" s="1279"/>
    </row>
    <row r="9197" spans="2:8" ht="13.5" hidden="1" customHeight="1">
      <c r="B9197" s="1274"/>
      <c r="C9197" s="1280" t="s">
        <v>4645</v>
      </c>
      <c r="D9197" s="1276"/>
      <c r="E9197" s="1276" t="s">
        <v>690</v>
      </c>
      <c r="F9197" s="1277">
        <v>0.01</v>
      </c>
      <c r="G9197" s="1278">
        <f>G9180</f>
        <v>9369</v>
      </c>
      <c r="H9197" s="1279">
        <f t="shared" ref="H9197:H9198" si="274">G9197*F9197</f>
        <v>93.69</v>
      </c>
    </row>
    <row r="9198" spans="2:8" ht="13.5" hidden="1" customHeight="1">
      <c r="B9198" s="1274"/>
      <c r="C9198" s="1280" t="s">
        <v>4667</v>
      </c>
      <c r="D9198" s="1276"/>
      <c r="E9198" s="1276" t="s">
        <v>3129</v>
      </c>
      <c r="F9198" s="1277">
        <v>1</v>
      </c>
      <c r="G9198" s="1278">
        <f>DUB!I807</f>
        <v>6426</v>
      </c>
      <c r="H9198" s="1279">
        <f t="shared" si="274"/>
        <v>6426</v>
      </c>
    </row>
    <row r="9199" spans="2:8" ht="13.5" hidden="1" customHeight="1">
      <c r="B9199" s="1274"/>
      <c r="C9199" s="1285"/>
      <c r="D9199" s="1276"/>
      <c r="E9199" s="1286"/>
      <c r="F9199" s="2084" t="s">
        <v>702</v>
      </c>
      <c r="G9199" s="2085"/>
      <c r="H9199" s="1283">
        <f>SUM(H9197:H9198)</f>
        <v>6519.69</v>
      </c>
    </row>
    <row r="9200" spans="2:8" ht="13.5" hidden="1" customHeight="1">
      <c r="B9200" s="1274" t="s">
        <v>703</v>
      </c>
      <c r="C9200" s="1275" t="s">
        <v>704</v>
      </c>
      <c r="D9200" s="1276"/>
      <c r="E9200" s="1276"/>
      <c r="F9200" s="1277"/>
      <c r="G9200" s="1278"/>
      <c r="H9200" s="1279"/>
    </row>
    <row r="9201" spans="2:8" ht="13.5" hidden="1" customHeight="1">
      <c r="B9201" s="1274"/>
      <c r="C9201" s="1280" t="s">
        <v>4646</v>
      </c>
      <c r="D9201" s="1276"/>
      <c r="E9201" s="1276" t="s">
        <v>4764</v>
      </c>
      <c r="F9201" s="1277">
        <f>F9184</f>
        <v>0.15</v>
      </c>
      <c r="G9201" s="1278">
        <f>G9218</f>
        <v>135843.75</v>
      </c>
      <c r="H9201" s="1279">
        <f>G9201*F9201</f>
        <v>20376.5625</v>
      </c>
    </row>
    <row r="9202" spans="2:8" ht="13.5" hidden="1" customHeight="1">
      <c r="B9202" s="1274"/>
      <c r="C9202" s="1280"/>
      <c r="D9202" s="1276"/>
      <c r="E9202" s="1276"/>
      <c r="F9202" s="2084" t="s">
        <v>4428</v>
      </c>
      <c r="G9202" s="2085"/>
      <c r="H9202" s="1283">
        <f>SUM(H9201)</f>
        <v>20376.5625</v>
      </c>
    </row>
    <row r="9203" spans="2:8" ht="13.5" hidden="1" customHeight="1">
      <c r="B9203" s="1287" t="s">
        <v>706</v>
      </c>
      <c r="C9203" s="2086" t="s">
        <v>707</v>
      </c>
      <c r="D9203" s="2087"/>
      <c r="E9203" s="2087"/>
      <c r="F9203" s="2087"/>
      <c r="G9203" s="2088"/>
      <c r="H9203" s="1288">
        <f>H9199+H9195+H9201</f>
        <v>31771.252499999999</v>
      </c>
    </row>
    <row r="9204" spans="2:8" ht="13.5" hidden="1" customHeight="1">
      <c r="B9204" s="1274" t="s">
        <v>708</v>
      </c>
      <c r="C9204" s="2071" t="s">
        <v>4647</v>
      </c>
      <c r="D9204" s="2072"/>
      <c r="E9204" s="2072"/>
      <c r="F9204" s="1289">
        <v>0.15</v>
      </c>
      <c r="G9204" s="1290"/>
      <c r="H9204" s="1283">
        <f>H9203*F9204</f>
        <v>4765.6878749999996</v>
      </c>
    </row>
    <row r="9205" spans="2:8" ht="13.5" hidden="1" customHeight="1">
      <c r="B9205" s="1274" t="s">
        <v>711</v>
      </c>
      <c r="C9205" s="2071" t="s">
        <v>712</v>
      </c>
      <c r="D9205" s="2072"/>
      <c r="E9205" s="2072"/>
      <c r="F9205" s="2072"/>
      <c r="G9205" s="2073"/>
      <c r="H9205" s="1283">
        <f>SUM(H9203:H9204)</f>
        <v>36536.940374999998</v>
      </c>
    </row>
    <row r="9206" spans="2:8" ht="13.5" hidden="1" customHeight="1">
      <c r="B9206" s="1291"/>
      <c r="C9206" s="1292"/>
      <c r="D9206" s="1291"/>
      <c r="E9206" s="1292"/>
      <c r="F9206" s="1291"/>
      <c r="G9206" s="1293"/>
      <c r="H9206" s="1294"/>
    </row>
    <row r="9207" spans="2:8" ht="13.5" hidden="1" customHeight="1">
      <c r="B9207" s="1111" t="s">
        <v>4671</v>
      </c>
      <c r="C9207" s="1112" t="s">
        <v>4670</v>
      </c>
      <c r="D9207" s="1111"/>
      <c r="E9207" s="1112"/>
      <c r="F9207" s="1111"/>
      <c r="G9207" s="1199"/>
      <c r="H9207" s="1176"/>
    </row>
    <row r="9208" spans="2:8" ht="24.9" hidden="1" customHeight="1">
      <c r="B9208" s="1270" t="s">
        <v>4544</v>
      </c>
      <c r="C9208" s="1270" t="s">
        <v>1004</v>
      </c>
      <c r="D9208" s="1270" t="s">
        <v>1005</v>
      </c>
      <c r="E9208" s="1270" t="s">
        <v>1006</v>
      </c>
      <c r="F9208" s="1271" t="s">
        <v>1007</v>
      </c>
      <c r="G9208" s="1272" t="s">
        <v>4642</v>
      </c>
      <c r="H9208" s="1273" t="s">
        <v>4643</v>
      </c>
    </row>
    <row r="9209" spans="2:8" ht="13.5" hidden="1" customHeight="1">
      <c r="B9209" s="1274" t="s">
        <v>671</v>
      </c>
      <c r="C9209" s="1275" t="s">
        <v>4644</v>
      </c>
      <c r="D9209" s="1276"/>
      <c r="E9209" s="1276"/>
      <c r="F9209" s="1277"/>
      <c r="G9209" s="1278"/>
      <c r="H9209" s="1279"/>
    </row>
    <row r="9210" spans="2:8" ht="13.5" hidden="1" customHeight="1">
      <c r="B9210" s="1274"/>
      <c r="C9210" s="1280" t="s">
        <v>673</v>
      </c>
      <c r="D9210" s="1276" t="s">
        <v>674</v>
      </c>
      <c r="E9210" s="1276" t="s">
        <v>675</v>
      </c>
      <c r="F9210" s="1277">
        <v>2.5000000000000001E-2</v>
      </c>
      <c r="G9210" s="1278">
        <f>G9176</f>
        <v>150000</v>
      </c>
      <c r="H9210" s="1279">
        <f>G9210*F9210</f>
        <v>3750</v>
      </c>
    </row>
    <row r="9211" spans="2:8" ht="13.5" hidden="1" customHeight="1">
      <c r="B9211" s="1274"/>
      <c r="C9211" s="1280" t="s">
        <v>683</v>
      </c>
      <c r="D9211" s="1276" t="s">
        <v>684</v>
      </c>
      <c r="E9211" s="1281" t="s">
        <v>675</v>
      </c>
      <c r="F9211" s="1277">
        <v>5.0000000000000001E-3</v>
      </c>
      <c r="G9211" s="1278">
        <f>G9177</f>
        <v>225000</v>
      </c>
      <c r="H9211" s="1279">
        <f>G9211*F9211</f>
        <v>1125</v>
      </c>
    </row>
    <row r="9212" spans="2:8" ht="13.5" hidden="1" customHeight="1">
      <c r="B9212" s="1276"/>
      <c r="C9212" s="1280"/>
      <c r="D9212" s="1276"/>
      <c r="E9212" s="1281"/>
      <c r="F9212" s="2082" t="s">
        <v>685</v>
      </c>
      <c r="G9212" s="2083"/>
      <c r="H9212" s="1283">
        <f>SUM(H9210:H9211)</f>
        <v>4875</v>
      </c>
    </row>
    <row r="9213" spans="2:8" ht="13.5" hidden="1" customHeight="1">
      <c r="B9213" s="1274" t="s">
        <v>686</v>
      </c>
      <c r="C9213" s="1275" t="s">
        <v>687</v>
      </c>
      <c r="D9213" s="1276"/>
      <c r="E9213" s="1284"/>
      <c r="F9213" s="1276"/>
      <c r="G9213" s="1278"/>
      <c r="H9213" s="1279"/>
    </row>
    <row r="9214" spans="2:8" ht="13.5" hidden="1" customHeight="1">
      <c r="B9214" s="1274"/>
      <c r="C9214" s="1280" t="s">
        <v>4645</v>
      </c>
      <c r="D9214" s="1276"/>
      <c r="E9214" s="1276" t="s">
        <v>690</v>
      </c>
      <c r="F9214" s="1277">
        <v>0.01</v>
      </c>
      <c r="G9214" s="1278">
        <f>G9180</f>
        <v>9369</v>
      </c>
      <c r="H9214" s="1279">
        <f t="shared" ref="H9214:H9215" si="275">G9214*F9214</f>
        <v>93.69</v>
      </c>
    </row>
    <row r="9215" spans="2:8" ht="13.5" hidden="1" customHeight="1">
      <c r="B9215" s="1274"/>
      <c r="C9215" s="1280" t="s">
        <v>4673</v>
      </c>
      <c r="D9215" s="1276"/>
      <c r="E9215" s="1276" t="s">
        <v>3129</v>
      </c>
      <c r="F9215" s="1277">
        <v>1</v>
      </c>
      <c r="G9215" s="1278">
        <f>DUB!I801</f>
        <v>1606500</v>
      </c>
      <c r="H9215" s="1279">
        <f t="shared" si="275"/>
        <v>1606500</v>
      </c>
    </row>
    <row r="9216" spans="2:8" ht="13.5" hidden="1" customHeight="1">
      <c r="B9216" s="1274"/>
      <c r="C9216" s="1285"/>
      <c r="D9216" s="1276"/>
      <c r="E9216" s="1286"/>
      <c r="F9216" s="2084" t="s">
        <v>702</v>
      </c>
      <c r="G9216" s="2085"/>
      <c r="H9216" s="1283">
        <f>SUM(H9214:H9215)</f>
        <v>1606593.69</v>
      </c>
    </row>
    <row r="9217" spans="2:8" ht="13.5" hidden="1" customHeight="1">
      <c r="B9217" s="1274" t="s">
        <v>703</v>
      </c>
      <c r="C9217" s="1275" t="s">
        <v>704</v>
      </c>
      <c r="D9217" s="1276"/>
      <c r="E9217" s="1276"/>
      <c r="F9217" s="1277"/>
      <c r="G9217" s="1278"/>
      <c r="H9217" s="1279"/>
    </row>
    <row r="9218" spans="2:8" ht="13.5" hidden="1" customHeight="1">
      <c r="B9218" s="1274"/>
      <c r="C9218" s="1280" t="s">
        <v>4646</v>
      </c>
      <c r="D9218" s="1276"/>
      <c r="E9218" s="1276" t="s">
        <v>4764</v>
      </c>
      <c r="F9218" s="1277">
        <f>0.35</f>
        <v>0.35</v>
      </c>
      <c r="G9218" s="1278">
        <f>G9150</f>
        <v>135843.75</v>
      </c>
      <c r="H9218" s="1279">
        <f>G9218*F9218</f>
        <v>47545.3125</v>
      </c>
    </row>
    <row r="9219" spans="2:8" ht="13.5" hidden="1" customHeight="1">
      <c r="B9219" s="1274"/>
      <c r="C9219" s="1280"/>
      <c r="D9219" s="1276"/>
      <c r="E9219" s="1276"/>
      <c r="F9219" s="2084" t="s">
        <v>4428</v>
      </c>
      <c r="G9219" s="2085"/>
      <c r="H9219" s="1283">
        <f>SUM(H9218)</f>
        <v>47545.3125</v>
      </c>
    </row>
    <row r="9220" spans="2:8" ht="13.5" hidden="1" customHeight="1">
      <c r="B9220" s="1287" t="s">
        <v>706</v>
      </c>
      <c r="C9220" s="2086" t="s">
        <v>707</v>
      </c>
      <c r="D9220" s="2087"/>
      <c r="E9220" s="2087"/>
      <c r="F9220" s="2087"/>
      <c r="G9220" s="2088"/>
      <c r="H9220" s="1288">
        <f>H9216+H9212+H9218</f>
        <v>1659014.0024999999</v>
      </c>
    </row>
    <row r="9221" spans="2:8" ht="13.5" hidden="1" customHeight="1">
      <c r="B9221" s="1274" t="s">
        <v>708</v>
      </c>
      <c r="C9221" s="2071" t="s">
        <v>4647</v>
      </c>
      <c r="D9221" s="2072"/>
      <c r="E9221" s="2072"/>
      <c r="F9221" s="1289">
        <v>0.15</v>
      </c>
      <c r="G9221" s="1290"/>
      <c r="H9221" s="1283">
        <f>H9220*F9221</f>
        <v>248852.10037499998</v>
      </c>
    </row>
    <row r="9222" spans="2:8" ht="13.5" hidden="1" customHeight="1">
      <c r="B9222" s="1274" t="s">
        <v>711</v>
      </c>
      <c r="C9222" s="2071" t="s">
        <v>712</v>
      </c>
      <c r="D9222" s="2072"/>
      <c r="E9222" s="2072"/>
      <c r="F9222" s="2072"/>
      <c r="G9222" s="2073"/>
      <c r="H9222" s="1283">
        <f>SUM(H9220:H9221)</f>
        <v>1907866.1028749999</v>
      </c>
    </row>
    <row r="9223" spans="2:8" ht="13.5" hidden="1" customHeight="1">
      <c r="B9223" s="1291"/>
      <c r="C9223" s="1292"/>
      <c r="D9223" s="1291"/>
      <c r="E9223" s="1292"/>
      <c r="F9223" s="1291"/>
      <c r="G9223" s="1293"/>
      <c r="H9223" s="1294"/>
    </row>
    <row r="9224" spans="2:8" ht="13.5" hidden="1" customHeight="1">
      <c r="B9224" s="1111" t="s">
        <v>4674</v>
      </c>
      <c r="C9224" s="1112" t="s">
        <v>4678</v>
      </c>
      <c r="D9224" s="1111"/>
      <c r="E9224" s="1112"/>
      <c r="F9224" s="1111"/>
      <c r="G9224" s="1199"/>
      <c r="H9224" s="1176"/>
    </row>
    <row r="9225" spans="2:8" ht="24.9" hidden="1" customHeight="1">
      <c r="B9225" s="1270" t="s">
        <v>4544</v>
      </c>
      <c r="C9225" s="1270" t="s">
        <v>1004</v>
      </c>
      <c r="D9225" s="1270" t="s">
        <v>1005</v>
      </c>
      <c r="E9225" s="1270" t="s">
        <v>1006</v>
      </c>
      <c r="F9225" s="1271" t="s">
        <v>1007</v>
      </c>
      <c r="G9225" s="1272" t="s">
        <v>4642</v>
      </c>
      <c r="H9225" s="1273" t="s">
        <v>4643</v>
      </c>
    </row>
    <row r="9226" spans="2:8" ht="13.5" hidden="1" customHeight="1">
      <c r="B9226" s="1274" t="s">
        <v>671</v>
      </c>
      <c r="C9226" s="1275" t="s">
        <v>4644</v>
      </c>
      <c r="D9226" s="1276"/>
      <c r="E9226" s="1276"/>
      <c r="F9226" s="1277"/>
      <c r="G9226" s="1278"/>
      <c r="H9226" s="1279"/>
    </row>
    <row r="9227" spans="2:8" ht="13.5" hidden="1" customHeight="1">
      <c r="B9227" s="1274"/>
      <c r="C9227" s="1280" t="s">
        <v>673</v>
      </c>
      <c r="D9227" s="1276" t="s">
        <v>674</v>
      </c>
      <c r="E9227" s="1276" t="s">
        <v>675</v>
      </c>
      <c r="F9227" s="1277">
        <v>2.5000000000000001E-2</v>
      </c>
      <c r="G9227" s="1278">
        <f>G9210</f>
        <v>150000</v>
      </c>
      <c r="H9227" s="1279">
        <f>G9227*F9227</f>
        <v>3750</v>
      </c>
    </row>
    <row r="9228" spans="2:8" ht="13.5" hidden="1" customHeight="1">
      <c r="B9228" s="1274"/>
      <c r="C9228" s="1280" t="s">
        <v>683</v>
      </c>
      <c r="D9228" s="1276" t="s">
        <v>684</v>
      </c>
      <c r="E9228" s="1281" t="s">
        <v>675</v>
      </c>
      <c r="F9228" s="1277">
        <v>5.0000000000000001E-3</v>
      </c>
      <c r="G9228" s="1278">
        <f>G9211</f>
        <v>225000</v>
      </c>
      <c r="H9228" s="1279">
        <f>G9228*F9228</f>
        <v>1125</v>
      </c>
    </row>
    <row r="9229" spans="2:8" ht="13.5" hidden="1" customHeight="1">
      <c r="B9229" s="1276"/>
      <c r="C9229" s="1280"/>
      <c r="D9229" s="1276"/>
      <c r="E9229" s="1281"/>
      <c r="F9229" s="2082" t="s">
        <v>685</v>
      </c>
      <c r="G9229" s="2083"/>
      <c r="H9229" s="1283">
        <f>SUM(H9227:H9228)</f>
        <v>4875</v>
      </c>
    </row>
    <row r="9230" spans="2:8" ht="13.5" hidden="1" customHeight="1">
      <c r="B9230" s="1274" t="s">
        <v>686</v>
      </c>
      <c r="C9230" s="1275" t="s">
        <v>687</v>
      </c>
      <c r="D9230" s="1276"/>
      <c r="E9230" s="1284"/>
      <c r="F9230" s="1276"/>
      <c r="G9230" s="1278"/>
      <c r="H9230" s="1279"/>
    </row>
    <row r="9231" spans="2:8" ht="13.5" hidden="1" customHeight="1">
      <c r="B9231" s="1274"/>
      <c r="C9231" s="1280" t="s">
        <v>4645</v>
      </c>
      <c r="D9231" s="1276"/>
      <c r="E9231" s="1276" t="s">
        <v>690</v>
      </c>
      <c r="F9231" s="1277">
        <v>0.01</v>
      </c>
      <c r="G9231" s="1278">
        <f>G9214</f>
        <v>9369</v>
      </c>
      <c r="H9231" s="1279">
        <f t="shared" ref="H9231:H9232" si="276">G9231*F9231</f>
        <v>93.69</v>
      </c>
    </row>
    <row r="9232" spans="2:8" ht="13.5" hidden="1" customHeight="1">
      <c r="B9232" s="1274"/>
      <c r="C9232" s="1280" t="s">
        <v>4673</v>
      </c>
      <c r="D9232" s="1276"/>
      <c r="E9232" s="1276" t="s">
        <v>3129</v>
      </c>
      <c r="F9232" s="1277">
        <v>1</v>
      </c>
      <c r="G9232" s="1278">
        <f>DUB!I805</f>
        <v>6426</v>
      </c>
      <c r="H9232" s="1279">
        <f t="shared" si="276"/>
        <v>6426</v>
      </c>
    </row>
    <row r="9233" spans="2:8" ht="13.5" hidden="1" customHeight="1">
      <c r="B9233" s="1274"/>
      <c r="C9233" s="1285"/>
      <c r="D9233" s="1276"/>
      <c r="E9233" s="1286"/>
      <c r="F9233" s="2084" t="s">
        <v>702</v>
      </c>
      <c r="G9233" s="2085"/>
      <c r="H9233" s="1283">
        <f>SUM(H9231:H9232)</f>
        <v>6519.69</v>
      </c>
    </row>
    <row r="9234" spans="2:8" ht="13.5" hidden="1" customHeight="1">
      <c r="B9234" s="1274" t="s">
        <v>703</v>
      </c>
      <c r="C9234" s="1275" t="s">
        <v>704</v>
      </c>
      <c r="D9234" s="1276"/>
      <c r="E9234" s="1276"/>
      <c r="F9234" s="1277"/>
      <c r="G9234" s="1278"/>
      <c r="H9234" s="1279"/>
    </row>
    <row r="9235" spans="2:8" ht="13.5" hidden="1" customHeight="1">
      <c r="B9235" s="1274"/>
      <c r="C9235" s="1280" t="s">
        <v>4646</v>
      </c>
      <c r="D9235" s="1276"/>
      <c r="E9235" s="1276" t="s">
        <v>4764</v>
      </c>
      <c r="F9235" s="1277">
        <f>F9201</f>
        <v>0.15</v>
      </c>
      <c r="G9235" s="1278">
        <f>G9252</f>
        <v>135843.75</v>
      </c>
      <c r="H9235" s="1279">
        <f>G9235*F9235</f>
        <v>20376.5625</v>
      </c>
    </row>
    <row r="9236" spans="2:8" ht="13.5" hidden="1" customHeight="1">
      <c r="B9236" s="1274"/>
      <c r="C9236" s="1280"/>
      <c r="D9236" s="1276"/>
      <c r="E9236" s="1276"/>
      <c r="F9236" s="2084" t="s">
        <v>4428</v>
      </c>
      <c r="G9236" s="2085"/>
      <c r="H9236" s="1283">
        <f>SUM(H9235)</f>
        <v>20376.5625</v>
      </c>
    </row>
    <row r="9237" spans="2:8" ht="13.5" hidden="1" customHeight="1">
      <c r="B9237" s="1287" t="s">
        <v>706</v>
      </c>
      <c r="C9237" s="2086" t="s">
        <v>707</v>
      </c>
      <c r="D9237" s="2087"/>
      <c r="E9237" s="2087"/>
      <c r="F9237" s="2087"/>
      <c r="G9237" s="2088"/>
      <c r="H9237" s="1288">
        <f>H9233+H9229+H9235</f>
        <v>31771.252499999999</v>
      </c>
    </row>
    <row r="9238" spans="2:8" ht="13.5" hidden="1" customHeight="1">
      <c r="B9238" s="1274" t="s">
        <v>708</v>
      </c>
      <c r="C9238" s="2071" t="s">
        <v>4647</v>
      </c>
      <c r="D9238" s="2072"/>
      <c r="E9238" s="2072"/>
      <c r="F9238" s="1289">
        <v>0.15</v>
      </c>
      <c r="G9238" s="1290"/>
      <c r="H9238" s="1283">
        <f>H9237*F9238</f>
        <v>4765.6878749999996</v>
      </c>
    </row>
    <row r="9239" spans="2:8" ht="13.5" hidden="1" customHeight="1">
      <c r="B9239" s="1274" t="s">
        <v>711</v>
      </c>
      <c r="C9239" s="2071" t="s">
        <v>712</v>
      </c>
      <c r="D9239" s="2072"/>
      <c r="E9239" s="2072"/>
      <c r="F9239" s="2072"/>
      <c r="G9239" s="2073"/>
      <c r="H9239" s="1283">
        <f>SUM(H9237:H9238)</f>
        <v>36536.940374999998</v>
      </c>
    </row>
    <row r="9240" spans="2:8" ht="13.5" hidden="1" customHeight="1">
      <c r="B9240" s="1291"/>
      <c r="C9240" s="1292"/>
      <c r="D9240" s="1291"/>
      <c r="E9240" s="1292"/>
      <c r="F9240" s="1291"/>
      <c r="G9240" s="1293"/>
      <c r="H9240" s="1294"/>
    </row>
    <row r="9241" spans="2:8" ht="13.5" hidden="1" customHeight="1">
      <c r="B9241" s="1111" t="s">
        <v>4677</v>
      </c>
      <c r="C9241" s="1112" t="s">
        <v>4683</v>
      </c>
      <c r="D9241" s="1111"/>
      <c r="E9241" s="1112"/>
      <c r="F9241" s="1111"/>
      <c r="G9241" s="1199"/>
      <c r="H9241" s="1176"/>
    </row>
    <row r="9242" spans="2:8" ht="24.9" hidden="1" customHeight="1">
      <c r="B9242" s="1270" t="s">
        <v>4544</v>
      </c>
      <c r="C9242" s="1270" t="s">
        <v>1004</v>
      </c>
      <c r="D9242" s="1270" t="s">
        <v>1005</v>
      </c>
      <c r="E9242" s="1270" t="s">
        <v>1006</v>
      </c>
      <c r="F9242" s="1271" t="s">
        <v>1007</v>
      </c>
      <c r="G9242" s="1272" t="s">
        <v>4642</v>
      </c>
      <c r="H9242" s="1273" t="s">
        <v>4643</v>
      </c>
    </row>
    <row r="9243" spans="2:8" ht="13.5" hidden="1" customHeight="1">
      <c r="B9243" s="1274" t="s">
        <v>671</v>
      </c>
      <c r="C9243" s="1275" t="s">
        <v>4644</v>
      </c>
      <c r="D9243" s="1276"/>
      <c r="E9243" s="1276"/>
      <c r="F9243" s="1277"/>
      <c r="G9243" s="1278"/>
      <c r="H9243" s="1279"/>
    </row>
    <row r="9244" spans="2:8" ht="13.5" hidden="1" customHeight="1">
      <c r="B9244" s="1274"/>
      <c r="C9244" s="1280" t="s">
        <v>673</v>
      </c>
      <c r="D9244" s="1276" t="s">
        <v>674</v>
      </c>
      <c r="E9244" s="1276" t="s">
        <v>675</v>
      </c>
      <c r="F9244" s="1277">
        <v>2.5000000000000001E-2</v>
      </c>
      <c r="G9244" s="1278">
        <f>G9227</f>
        <v>150000</v>
      </c>
      <c r="H9244" s="1279">
        <f>G9244*F9244</f>
        <v>3750</v>
      </c>
    </row>
    <row r="9245" spans="2:8" ht="13.5" hidden="1" customHeight="1">
      <c r="B9245" s="1274"/>
      <c r="C9245" s="1280" t="s">
        <v>683</v>
      </c>
      <c r="D9245" s="1276" t="s">
        <v>684</v>
      </c>
      <c r="E9245" s="1281" t="s">
        <v>675</v>
      </c>
      <c r="F9245" s="1277">
        <v>5.0000000000000001E-3</v>
      </c>
      <c r="G9245" s="1278">
        <f>G9228</f>
        <v>225000</v>
      </c>
      <c r="H9245" s="1279">
        <f>G9245*F9245</f>
        <v>1125</v>
      </c>
    </row>
    <row r="9246" spans="2:8" ht="13.5" hidden="1" customHeight="1">
      <c r="B9246" s="1276"/>
      <c r="C9246" s="1280"/>
      <c r="D9246" s="1276"/>
      <c r="E9246" s="1281"/>
      <c r="F9246" s="2082" t="s">
        <v>685</v>
      </c>
      <c r="G9246" s="2083"/>
      <c r="H9246" s="1283">
        <f>SUM(H9244:H9245)</f>
        <v>4875</v>
      </c>
    </row>
    <row r="9247" spans="2:8" ht="13.5" hidden="1" customHeight="1">
      <c r="B9247" s="1274" t="s">
        <v>686</v>
      </c>
      <c r="C9247" s="1275" t="s">
        <v>687</v>
      </c>
      <c r="D9247" s="1276"/>
      <c r="E9247" s="1284"/>
      <c r="F9247" s="1276"/>
      <c r="G9247" s="1278"/>
      <c r="H9247" s="1279"/>
    </row>
    <row r="9248" spans="2:8" ht="13.5" hidden="1" customHeight="1">
      <c r="B9248" s="1274"/>
      <c r="C9248" s="1280" t="s">
        <v>4645</v>
      </c>
      <c r="D9248" s="1276"/>
      <c r="E9248" s="1276" t="s">
        <v>690</v>
      </c>
      <c r="F9248" s="1277">
        <v>0.01</v>
      </c>
      <c r="G9248" s="1278">
        <f>G9231</f>
        <v>9369</v>
      </c>
      <c r="H9248" s="1279">
        <f t="shared" ref="H9248:H9249" si="277">G9248*F9248</f>
        <v>93.69</v>
      </c>
    </row>
    <row r="9249" spans="2:8" ht="13.5" hidden="1" customHeight="1">
      <c r="B9249" s="1274"/>
      <c r="C9249" s="1280" t="s">
        <v>4673</v>
      </c>
      <c r="D9249" s="1276"/>
      <c r="E9249" s="1276" t="s">
        <v>3129</v>
      </c>
      <c r="F9249" s="1277">
        <v>1</v>
      </c>
      <c r="G9249" s="1278">
        <f>DUB!I820</f>
        <v>103887</v>
      </c>
      <c r="H9249" s="1279">
        <f t="shared" si="277"/>
        <v>103887</v>
      </c>
    </row>
    <row r="9250" spans="2:8" ht="13.5" hidden="1" customHeight="1">
      <c r="B9250" s="1274"/>
      <c r="C9250" s="1285"/>
      <c r="D9250" s="1276"/>
      <c r="E9250" s="1286"/>
      <c r="F9250" s="2084" t="s">
        <v>702</v>
      </c>
      <c r="G9250" s="2085"/>
      <c r="H9250" s="1283">
        <f>SUM(H9248:H9249)</f>
        <v>103980.69</v>
      </c>
    </row>
    <row r="9251" spans="2:8" ht="13.5" hidden="1" customHeight="1">
      <c r="B9251" s="1274" t="s">
        <v>703</v>
      </c>
      <c r="C9251" s="1275" t="s">
        <v>704</v>
      </c>
      <c r="D9251" s="1276"/>
      <c r="E9251" s="1276"/>
      <c r="F9251" s="1277"/>
      <c r="G9251" s="1278"/>
      <c r="H9251" s="1279"/>
    </row>
    <row r="9252" spans="2:8" ht="13.5" hidden="1" customHeight="1">
      <c r="B9252" s="1274"/>
      <c r="C9252" s="1280" t="s">
        <v>4646</v>
      </c>
      <c r="D9252" s="1276"/>
      <c r="E9252" s="1276" t="s">
        <v>4764</v>
      </c>
      <c r="F9252" s="1277">
        <v>0.15</v>
      </c>
      <c r="G9252" s="1278">
        <f>G9269</f>
        <v>135843.75</v>
      </c>
      <c r="H9252" s="1279">
        <f>G9252*F9252</f>
        <v>20376.5625</v>
      </c>
    </row>
    <row r="9253" spans="2:8" ht="13.5" hidden="1" customHeight="1">
      <c r="B9253" s="1274"/>
      <c r="C9253" s="1280"/>
      <c r="D9253" s="1276"/>
      <c r="E9253" s="1276"/>
      <c r="F9253" s="2084" t="s">
        <v>4428</v>
      </c>
      <c r="G9253" s="2085"/>
      <c r="H9253" s="1283">
        <f>SUM(H9252)</f>
        <v>20376.5625</v>
      </c>
    </row>
    <row r="9254" spans="2:8" ht="13.5" hidden="1" customHeight="1">
      <c r="B9254" s="1287" t="s">
        <v>706</v>
      </c>
      <c r="C9254" s="2086" t="s">
        <v>707</v>
      </c>
      <c r="D9254" s="2087"/>
      <c r="E9254" s="2087"/>
      <c r="F9254" s="2087"/>
      <c r="G9254" s="2088"/>
      <c r="H9254" s="1288">
        <f>H9250+H9246+H9252</f>
        <v>129232.2525</v>
      </c>
    </row>
    <row r="9255" spans="2:8" ht="13.5" hidden="1" customHeight="1">
      <c r="B9255" s="1274" t="s">
        <v>708</v>
      </c>
      <c r="C9255" s="2071" t="s">
        <v>4647</v>
      </c>
      <c r="D9255" s="2072"/>
      <c r="E9255" s="2072"/>
      <c r="F9255" s="1289">
        <v>0.15</v>
      </c>
      <c r="G9255" s="1290"/>
      <c r="H9255" s="1283">
        <f>H9254*F9255</f>
        <v>19384.837875000001</v>
      </c>
    </row>
    <row r="9256" spans="2:8" ht="13.5" hidden="1" customHeight="1">
      <c r="B9256" s="1274" t="s">
        <v>711</v>
      </c>
      <c r="C9256" s="2071" t="s">
        <v>712</v>
      </c>
      <c r="D9256" s="2072"/>
      <c r="E9256" s="2072"/>
      <c r="F9256" s="2072"/>
      <c r="G9256" s="2073"/>
      <c r="H9256" s="1283">
        <f>SUM(H9254:H9255)</f>
        <v>148617.090375</v>
      </c>
    </row>
    <row r="9257" spans="2:8" ht="13.5" hidden="1" customHeight="1">
      <c r="B9257" s="1291"/>
      <c r="C9257" s="1292"/>
      <c r="D9257" s="1291"/>
      <c r="E9257" s="1292"/>
      <c r="F9257" s="1291"/>
      <c r="G9257" s="1293"/>
      <c r="H9257" s="1294"/>
    </row>
    <row r="9258" spans="2:8" ht="13.5" hidden="1" customHeight="1">
      <c r="B9258" s="1111" t="s">
        <v>4713</v>
      </c>
      <c r="C9258" s="1112" t="s">
        <v>4718</v>
      </c>
      <c r="D9258" s="1111"/>
      <c r="E9258" s="1112"/>
      <c r="F9258" s="1111"/>
      <c r="G9258" s="1199"/>
      <c r="H9258" s="1176"/>
    </row>
    <row r="9259" spans="2:8" ht="24.9" hidden="1" customHeight="1">
      <c r="B9259" s="1270" t="s">
        <v>4544</v>
      </c>
      <c r="C9259" s="1270" t="s">
        <v>1004</v>
      </c>
      <c r="D9259" s="1270" t="s">
        <v>1005</v>
      </c>
      <c r="E9259" s="1270" t="s">
        <v>1006</v>
      </c>
      <c r="F9259" s="1271" t="s">
        <v>1007</v>
      </c>
      <c r="G9259" s="1272" t="s">
        <v>4642</v>
      </c>
      <c r="H9259" s="1273" t="s">
        <v>4643</v>
      </c>
    </row>
    <row r="9260" spans="2:8" ht="13.5" hidden="1" customHeight="1">
      <c r="B9260" s="1274" t="s">
        <v>671</v>
      </c>
      <c r="C9260" s="1275" t="s">
        <v>4644</v>
      </c>
      <c r="D9260" s="1276"/>
      <c r="E9260" s="1276"/>
      <c r="F9260" s="1277"/>
      <c r="G9260" s="1278"/>
      <c r="H9260" s="1279"/>
    </row>
    <row r="9261" spans="2:8" ht="13.5" hidden="1" customHeight="1">
      <c r="B9261" s="1274"/>
      <c r="C9261" s="1280" t="s">
        <v>673</v>
      </c>
      <c r="D9261" s="1276" t="s">
        <v>674</v>
      </c>
      <c r="E9261" s="1276" t="s">
        <v>675</v>
      </c>
      <c r="F9261" s="1277">
        <v>2.5000000000000001E-2</v>
      </c>
      <c r="G9261" s="1278">
        <f>G9244</f>
        <v>150000</v>
      </c>
      <c r="H9261" s="1279">
        <f>G9261*F9261</f>
        <v>3750</v>
      </c>
    </row>
    <row r="9262" spans="2:8" ht="13.5" hidden="1" customHeight="1">
      <c r="B9262" s="1274"/>
      <c r="C9262" s="1280" t="s">
        <v>683</v>
      </c>
      <c r="D9262" s="1276" t="s">
        <v>684</v>
      </c>
      <c r="E9262" s="1281" t="s">
        <v>675</v>
      </c>
      <c r="F9262" s="1277">
        <v>5.0000000000000001E-3</v>
      </c>
      <c r="G9262" s="1278">
        <f>G9245</f>
        <v>225000</v>
      </c>
      <c r="H9262" s="1279">
        <f>G9262*F9262</f>
        <v>1125</v>
      </c>
    </row>
    <row r="9263" spans="2:8" ht="13.5" hidden="1" customHeight="1">
      <c r="B9263" s="1276"/>
      <c r="C9263" s="1280"/>
      <c r="D9263" s="1276"/>
      <c r="E9263" s="1281"/>
      <c r="F9263" s="2082" t="s">
        <v>685</v>
      </c>
      <c r="G9263" s="2083"/>
      <c r="H9263" s="1283">
        <f>SUM(H9261:H9262)</f>
        <v>4875</v>
      </c>
    </row>
    <row r="9264" spans="2:8" ht="13.5" hidden="1" customHeight="1">
      <c r="B9264" s="1274" t="s">
        <v>686</v>
      </c>
      <c r="C9264" s="1275" t="s">
        <v>687</v>
      </c>
      <c r="D9264" s="1276"/>
      <c r="E9264" s="1284"/>
      <c r="F9264" s="1276"/>
      <c r="G9264" s="1278"/>
      <c r="H9264" s="1279"/>
    </row>
    <row r="9265" spans="2:8" ht="13.5" hidden="1" customHeight="1">
      <c r="B9265" s="1274"/>
      <c r="C9265" s="1280" t="s">
        <v>4645</v>
      </c>
      <c r="D9265" s="1276"/>
      <c r="E9265" s="1276" t="s">
        <v>690</v>
      </c>
      <c r="F9265" s="1277">
        <v>0.01</v>
      </c>
      <c r="G9265" s="1278">
        <f>G9248</f>
        <v>9369</v>
      </c>
      <c r="H9265" s="1279">
        <f t="shared" ref="H9265:H9266" si="278">G9265*F9265</f>
        <v>93.69</v>
      </c>
    </row>
    <row r="9266" spans="2:8" ht="13.5" hidden="1" customHeight="1">
      <c r="B9266" s="1274"/>
      <c r="C9266" s="1280" t="s">
        <v>4715</v>
      </c>
      <c r="D9266" s="1276"/>
      <c r="E9266" s="1276" t="s">
        <v>3129</v>
      </c>
      <c r="F9266" s="1277">
        <v>1</v>
      </c>
      <c r="G9266" s="1278">
        <f>DUB!I824</f>
        <v>11781</v>
      </c>
      <c r="H9266" s="1279">
        <f t="shared" si="278"/>
        <v>11781</v>
      </c>
    </row>
    <row r="9267" spans="2:8" ht="13.5" hidden="1" customHeight="1">
      <c r="B9267" s="1274"/>
      <c r="C9267" s="1285"/>
      <c r="D9267" s="1276"/>
      <c r="E9267" s="1286"/>
      <c r="F9267" s="2084" t="s">
        <v>702</v>
      </c>
      <c r="G9267" s="2085"/>
      <c r="H9267" s="1283">
        <f>SUM(H9265:H9266)</f>
        <v>11874.69</v>
      </c>
    </row>
    <row r="9268" spans="2:8" ht="13.5" hidden="1" customHeight="1">
      <c r="B9268" s="1274" t="s">
        <v>703</v>
      </c>
      <c r="C9268" s="1275" t="s">
        <v>704</v>
      </c>
      <c r="D9268" s="1276"/>
      <c r="E9268" s="1276"/>
      <c r="F9268" s="1277"/>
      <c r="G9268" s="1278"/>
      <c r="H9268" s="1279"/>
    </row>
    <row r="9269" spans="2:8" ht="13.5" hidden="1" customHeight="1">
      <c r="B9269" s="1274"/>
      <c r="C9269" s="1280" t="s">
        <v>4646</v>
      </c>
      <c r="D9269" s="1276"/>
      <c r="E9269" s="1276" t="s">
        <v>4764</v>
      </c>
      <c r="F9269" s="1277">
        <f>0.35</f>
        <v>0.35</v>
      </c>
      <c r="G9269" s="1278">
        <f>G9286</f>
        <v>135843.75</v>
      </c>
      <c r="H9269" s="1279">
        <f>G9269*F9269</f>
        <v>47545.3125</v>
      </c>
    </row>
    <row r="9270" spans="2:8" ht="13.5" hidden="1" customHeight="1">
      <c r="B9270" s="1274"/>
      <c r="C9270" s="1280"/>
      <c r="D9270" s="1276"/>
      <c r="E9270" s="1276"/>
      <c r="F9270" s="2084" t="s">
        <v>4428</v>
      </c>
      <c r="G9270" s="2085"/>
      <c r="H9270" s="1283">
        <f>SUM(H9269)</f>
        <v>47545.3125</v>
      </c>
    </row>
    <row r="9271" spans="2:8" ht="13.5" hidden="1" customHeight="1">
      <c r="B9271" s="1287" t="s">
        <v>706</v>
      </c>
      <c r="C9271" s="2086" t="s">
        <v>707</v>
      </c>
      <c r="D9271" s="2087"/>
      <c r="E9271" s="2087"/>
      <c r="F9271" s="2087"/>
      <c r="G9271" s="2088"/>
      <c r="H9271" s="1288">
        <f>H9267+H9263+H9269</f>
        <v>64295.002500000002</v>
      </c>
    </row>
    <row r="9272" spans="2:8" ht="13.5" hidden="1" customHeight="1">
      <c r="B9272" s="1274" t="s">
        <v>708</v>
      </c>
      <c r="C9272" s="2071" t="s">
        <v>4647</v>
      </c>
      <c r="D9272" s="2072"/>
      <c r="E9272" s="2072"/>
      <c r="F9272" s="1289">
        <v>0.15</v>
      </c>
      <c r="G9272" s="1290"/>
      <c r="H9272" s="1283">
        <f>H9271*F9272</f>
        <v>9644.2503749999996</v>
      </c>
    </row>
    <row r="9273" spans="2:8" ht="13.5" hidden="1" customHeight="1">
      <c r="B9273" s="1274" t="s">
        <v>711</v>
      </c>
      <c r="C9273" s="2071" t="s">
        <v>712</v>
      </c>
      <c r="D9273" s="2072"/>
      <c r="E9273" s="2072"/>
      <c r="F9273" s="2072"/>
      <c r="G9273" s="2073"/>
      <c r="H9273" s="1283">
        <f>SUM(H9271:H9272)</f>
        <v>73939.252875000006</v>
      </c>
    </row>
    <row r="9274" spans="2:8" ht="13.5" hidden="1" customHeight="1">
      <c r="B9274" s="1291"/>
      <c r="C9274" s="1292"/>
      <c r="D9274" s="1291"/>
      <c r="E9274" s="1292"/>
      <c r="F9274" s="1291"/>
      <c r="G9274" s="1293"/>
      <c r="H9274" s="1294"/>
    </row>
    <row r="9275" spans="2:8" ht="13.5" hidden="1" customHeight="1">
      <c r="B9275" s="1111" t="s">
        <v>4720</v>
      </c>
      <c r="C9275" s="1112" t="s">
        <v>4714</v>
      </c>
      <c r="D9275" s="1111"/>
      <c r="E9275" s="1112"/>
      <c r="F9275" s="1111"/>
      <c r="G9275" s="1199"/>
      <c r="H9275" s="1176"/>
    </row>
    <row r="9276" spans="2:8" ht="24.9" hidden="1" customHeight="1">
      <c r="B9276" s="1270" t="s">
        <v>4544</v>
      </c>
      <c r="C9276" s="1270" t="s">
        <v>1004</v>
      </c>
      <c r="D9276" s="1270" t="s">
        <v>1005</v>
      </c>
      <c r="E9276" s="1270" t="s">
        <v>1006</v>
      </c>
      <c r="F9276" s="1271" t="s">
        <v>1007</v>
      </c>
      <c r="G9276" s="1272" t="s">
        <v>4642</v>
      </c>
      <c r="H9276" s="1273" t="s">
        <v>4643</v>
      </c>
    </row>
    <row r="9277" spans="2:8" ht="13.5" hidden="1" customHeight="1">
      <c r="B9277" s="1274" t="s">
        <v>671</v>
      </c>
      <c r="C9277" s="1275" t="s">
        <v>4644</v>
      </c>
      <c r="D9277" s="1276"/>
      <c r="E9277" s="1276"/>
      <c r="F9277" s="1277"/>
      <c r="G9277" s="1278"/>
      <c r="H9277" s="1279"/>
    </row>
    <row r="9278" spans="2:8" ht="13.5" hidden="1" customHeight="1">
      <c r="B9278" s="1274"/>
      <c r="C9278" s="1280" t="s">
        <v>673</v>
      </c>
      <c r="D9278" s="1276" t="s">
        <v>674</v>
      </c>
      <c r="E9278" s="1276" t="s">
        <v>675</v>
      </c>
      <c r="F9278" s="1277">
        <v>2.5000000000000001E-2</v>
      </c>
      <c r="G9278" s="1278">
        <f>G9261</f>
        <v>150000</v>
      </c>
      <c r="H9278" s="1279">
        <f>G9278*F9278</f>
        <v>3750</v>
      </c>
    </row>
    <row r="9279" spans="2:8" ht="13.5" hidden="1" customHeight="1">
      <c r="B9279" s="1274"/>
      <c r="C9279" s="1280" t="s">
        <v>683</v>
      </c>
      <c r="D9279" s="1276" t="s">
        <v>684</v>
      </c>
      <c r="E9279" s="1281" t="s">
        <v>675</v>
      </c>
      <c r="F9279" s="1277">
        <v>5.0000000000000001E-3</v>
      </c>
      <c r="G9279" s="1278">
        <f>G9262</f>
        <v>225000</v>
      </c>
      <c r="H9279" s="1279">
        <f>G9279*F9279</f>
        <v>1125</v>
      </c>
    </row>
    <row r="9280" spans="2:8" ht="13.5" hidden="1" customHeight="1">
      <c r="B9280" s="1276"/>
      <c r="C9280" s="1280"/>
      <c r="D9280" s="1276"/>
      <c r="E9280" s="1281"/>
      <c r="F9280" s="2082" t="s">
        <v>685</v>
      </c>
      <c r="G9280" s="2083"/>
      <c r="H9280" s="1283">
        <f>SUM(H9278:H9279)</f>
        <v>4875</v>
      </c>
    </row>
    <row r="9281" spans="2:8" ht="13.5" hidden="1" customHeight="1">
      <c r="B9281" s="1274" t="s">
        <v>686</v>
      </c>
      <c r="C9281" s="1275" t="s">
        <v>687</v>
      </c>
      <c r="D9281" s="1276"/>
      <c r="E9281" s="1284"/>
      <c r="F9281" s="1276"/>
      <c r="G9281" s="1278"/>
      <c r="H9281" s="1279"/>
    </row>
    <row r="9282" spans="2:8" ht="13.5" hidden="1" customHeight="1">
      <c r="B9282" s="1274"/>
      <c r="C9282" s="1280" t="s">
        <v>4645</v>
      </c>
      <c r="D9282" s="1276"/>
      <c r="E9282" s="1276" t="s">
        <v>690</v>
      </c>
      <c r="F9282" s="1277">
        <v>0.01</v>
      </c>
      <c r="G9282" s="1278">
        <f>G9265</f>
        <v>9369</v>
      </c>
      <c r="H9282" s="1279">
        <f t="shared" ref="H9282:H9283" si="279">G9282*F9282</f>
        <v>93.69</v>
      </c>
    </row>
    <row r="9283" spans="2:8" ht="13.5" hidden="1" customHeight="1">
      <c r="B9283" s="1274"/>
      <c r="C9283" s="1280" t="s">
        <v>4715</v>
      </c>
      <c r="D9283" s="1276"/>
      <c r="E9283" s="1276" t="s">
        <v>3129</v>
      </c>
      <c r="F9283" s="1277">
        <v>1</v>
      </c>
      <c r="G9283" s="1278">
        <f>DUB!I802</f>
        <v>1092420</v>
      </c>
      <c r="H9283" s="1279">
        <f t="shared" si="279"/>
        <v>1092420</v>
      </c>
    </row>
    <row r="9284" spans="2:8" ht="13.5" hidden="1" customHeight="1">
      <c r="B9284" s="1274"/>
      <c r="C9284" s="1285"/>
      <c r="D9284" s="1276"/>
      <c r="E9284" s="1286"/>
      <c r="F9284" s="2084" t="s">
        <v>702</v>
      </c>
      <c r="G9284" s="2085"/>
      <c r="H9284" s="1283">
        <f>SUM(H9282:H9283)</f>
        <v>1092513.69</v>
      </c>
    </row>
    <row r="9285" spans="2:8" ht="13.5" hidden="1" customHeight="1">
      <c r="B9285" s="1274" t="s">
        <v>703</v>
      </c>
      <c r="C9285" s="1275" t="s">
        <v>704</v>
      </c>
      <c r="D9285" s="1276"/>
      <c r="E9285" s="1276"/>
      <c r="F9285" s="1277"/>
      <c r="G9285" s="1278"/>
      <c r="H9285" s="1279"/>
    </row>
    <row r="9286" spans="2:8" ht="13.5" hidden="1" customHeight="1">
      <c r="B9286" s="1274"/>
      <c r="C9286" s="1280" t="s">
        <v>4646</v>
      </c>
      <c r="D9286" s="1276"/>
      <c r="E9286" s="1276" t="s">
        <v>4764</v>
      </c>
      <c r="F9286" s="1277">
        <f>0.35</f>
        <v>0.35</v>
      </c>
      <c r="G9286" s="1278">
        <f>G9133</f>
        <v>135843.75</v>
      </c>
      <c r="H9286" s="1279">
        <f>G9286*F9286</f>
        <v>47545.3125</v>
      </c>
    </row>
    <row r="9287" spans="2:8" ht="13.5" hidden="1" customHeight="1">
      <c r="B9287" s="1274"/>
      <c r="C9287" s="1280"/>
      <c r="D9287" s="1276"/>
      <c r="E9287" s="1276"/>
      <c r="F9287" s="2084" t="s">
        <v>4428</v>
      </c>
      <c r="G9287" s="2085"/>
      <c r="H9287" s="1283">
        <f>SUM(H9286)</f>
        <v>47545.3125</v>
      </c>
    </row>
    <row r="9288" spans="2:8" ht="13.5" hidden="1" customHeight="1">
      <c r="B9288" s="1287" t="s">
        <v>706</v>
      </c>
      <c r="C9288" s="2086" t="s">
        <v>707</v>
      </c>
      <c r="D9288" s="2087"/>
      <c r="E9288" s="2087"/>
      <c r="F9288" s="2087"/>
      <c r="G9288" s="2088"/>
      <c r="H9288" s="1288">
        <f>H9284+H9280+H9286</f>
        <v>1144934.0024999999</v>
      </c>
    </row>
    <row r="9289" spans="2:8" ht="13.5" hidden="1" customHeight="1">
      <c r="B9289" s="1274" t="s">
        <v>708</v>
      </c>
      <c r="C9289" s="2071" t="s">
        <v>4647</v>
      </c>
      <c r="D9289" s="2072"/>
      <c r="E9289" s="2072"/>
      <c r="F9289" s="1289">
        <v>0.15</v>
      </c>
      <c r="G9289" s="1290"/>
      <c r="H9289" s="1283">
        <f>H9288*F9289</f>
        <v>171740.10037499998</v>
      </c>
    </row>
    <row r="9290" spans="2:8" ht="13.5" hidden="1" customHeight="1">
      <c r="B9290" s="1274" t="s">
        <v>711</v>
      </c>
      <c r="C9290" s="2071" t="s">
        <v>712</v>
      </c>
      <c r="D9290" s="2072"/>
      <c r="E9290" s="2072"/>
      <c r="F9290" s="2072"/>
      <c r="G9290" s="2073"/>
      <c r="H9290" s="1283">
        <f>SUM(H9288:H9289)</f>
        <v>1316674.1028749999</v>
      </c>
    </row>
    <row r="9291" spans="2:8" ht="13.5" hidden="1" customHeight="1">
      <c r="B9291" s="1291"/>
      <c r="C9291" s="1292"/>
      <c r="D9291" s="1291"/>
      <c r="E9291" s="1292"/>
      <c r="F9291" s="1291"/>
      <c r="G9291" s="1293"/>
      <c r="H9291" s="1294"/>
    </row>
    <row r="9292" spans="2:8" ht="13.5" hidden="1" customHeight="1">
      <c r="B9292" s="1111" t="s">
        <v>4723</v>
      </c>
      <c r="C9292" s="1112" t="s">
        <v>4724</v>
      </c>
      <c r="D9292" s="1111"/>
      <c r="E9292" s="1112"/>
      <c r="F9292" s="1111"/>
      <c r="G9292" s="1199"/>
      <c r="H9292" s="1176"/>
    </row>
    <row r="9293" spans="2:8" ht="24.9" hidden="1" customHeight="1">
      <c r="B9293" s="1270" t="s">
        <v>4544</v>
      </c>
      <c r="C9293" s="1270" t="s">
        <v>1004</v>
      </c>
      <c r="D9293" s="1270" t="s">
        <v>1005</v>
      </c>
      <c r="E9293" s="1270" t="s">
        <v>1006</v>
      </c>
      <c r="F9293" s="1271" t="s">
        <v>1007</v>
      </c>
      <c r="G9293" s="1272" t="s">
        <v>4642</v>
      </c>
      <c r="H9293" s="1273" t="s">
        <v>4643</v>
      </c>
    </row>
    <row r="9294" spans="2:8" ht="13.5" hidden="1" customHeight="1">
      <c r="B9294" s="1274" t="s">
        <v>671</v>
      </c>
      <c r="C9294" s="1275" t="s">
        <v>4644</v>
      </c>
      <c r="D9294" s="1276"/>
      <c r="E9294" s="1276"/>
      <c r="F9294" s="1277"/>
      <c r="G9294" s="1278"/>
      <c r="H9294" s="1279"/>
    </row>
    <row r="9295" spans="2:8" ht="13.5" hidden="1" customHeight="1">
      <c r="B9295" s="1274"/>
      <c r="C9295" s="1280" t="s">
        <v>673</v>
      </c>
      <c r="D9295" s="1276" t="s">
        <v>674</v>
      </c>
      <c r="E9295" s="1276" t="s">
        <v>675</v>
      </c>
      <c r="F9295" s="1277">
        <v>2.5000000000000001E-2</v>
      </c>
      <c r="G9295" s="1278">
        <f>G9278</f>
        <v>150000</v>
      </c>
      <c r="H9295" s="1279">
        <f>G9295*F9295</f>
        <v>3750</v>
      </c>
    </row>
    <row r="9296" spans="2:8" ht="13.5" hidden="1" customHeight="1">
      <c r="B9296" s="1274"/>
      <c r="C9296" s="1280" t="s">
        <v>683</v>
      </c>
      <c r="D9296" s="1276" t="s">
        <v>684</v>
      </c>
      <c r="E9296" s="1281" t="s">
        <v>675</v>
      </c>
      <c r="F9296" s="1277">
        <v>5.0000000000000001E-3</v>
      </c>
      <c r="G9296" s="1278">
        <f>G9279</f>
        <v>225000</v>
      </c>
      <c r="H9296" s="1279">
        <f>G9296*F9296</f>
        <v>1125</v>
      </c>
    </row>
    <row r="9297" spans="2:8" ht="13.5" hidden="1" customHeight="1">
      <c r="B9297" s="1276"/>
      <c r="C9297" s="1280"/>
      <c r="D9297" s="1276"/>
      <c r="E9297" s="1281"/>
      <c r="F9297" s="2082" t="s">
        <v>685</v>
      </c>
      <c r="G9297" s="2083"/>
      <c r="H9297" s="1283">
        <f>SUM(H9295:H9296)</f>
        <v>4875</v>
      </c>
    </row>
    <row r="9298" spans="2:8" ht="13.5" hidden="1" customHeight="1">
      <c r="B9298" s="1274" t="s">
        <v>686</v>
      </c>
      <c r="C9298" s="1275" t="s">
        <v>687</v>
      </c>
      <c r="D9298" s="1276"/>
      <c r="E9298" s="1284"/>
      <c r="F9298" s="1276"/>
      <c r="G9298" s="1278"/>
      <c r="H9298" s="1279"/>
    </row>
    <row r="9299" spans="2:8" ht="13.5" hidden="1" customHeight="1">
      <c r="B9299" s="1274"/>
      <c r="C9299" s="1280" t="s">
        <v>4645</v>
      </c>
      <c r="D9299" s="1276"/>
      <c r="E9299" s="1276" t="s">
        <v>690</v>
      </c>
      <c r="F9299" s="1277">
        <v>0.01</v>
      </c>
      <c r="G9299" s="1278">
        <f>G9282</f>
        <v>9369</v>
      </c>
      <c r="H9299" s="1279">
        <f t="shared" ref="H9299:H9300" si="280">G9299*F9299</f>
        <v>93.69</v>
      </c>
    </row>
    <row r="9300" spans="2:8" ht="13.5" hidden="1" customHeight="1">
      <c r="B9300" s="1274"/>
      <c r="C9300" s="1280" t="s">
        <v>4722</v>
      </c>
      <c r="D9300" s="1276"/>
      <c r="E9300" s="1276" t="s">
        <v>3129</v>
      </c>
      <c r="F9300" s="1277">
        <v>1</v>
      </c>
      <c r="G9300" s="1278">
        <f>DUB!I816</f>
        <v>6426</v>
      </c>
      <c r="H9300" s="1279">
        <f t="shared" si="280"/>
        <v>6426</v>
      </c>
    </row>
    <row r="9301" spans="2:8" ht="13.5" hidden="1" customHeight="1">
      <c r="B9301" s="1274"/>
      <c r="C9301" s="1285"/>
      <c r="D9301" s="1276"/>
      <c r="E9301" s="1286"/>
      <c r="F9301" s="2084" t="s">
        <v>702</v>
      </c>
      <c r="G9301" s="2085"/>
      <c r="H9301" s="1283">
        <f>SUM(H9299:H9300)</f>
        <v>6519.69</v>
      </c>
    </row>
    <row r="9302" spans="2:8" ht="13.5" hidden="1" customHeight="1">
      <c r="B9302" s="1274" t="s">
        <v>703</v>
      </c>
      <c r="C9302" s="1275" t="s">
        <v>704</v>
      </c>
      <c r="D9302" s="1276"/>
      <c r="E9302" s="1276"/>
      <c r="F9302" s="1277"/>
      <c r="G9302" s="1278"/>
      <c r="H9302" s="1279"/>
    </row>
    <row r="9303" spans="2:8" ht="13.5" hidden="1" customHeight="1">
      <c r="B9303" s="1274"/>
      <c r="C9303" s="1280" t="s">
        <v>4646</v>
      </c>
      <c r="D9303" s="1276"/>
      <c r="E9303" s="1276" t="s">
        <v>4764</v>
      </c>
      <c r="F9303" s="1277">
        <v>0.15</v>
      </c>
      <c r="G9303" s="1278">
        <f>G9150</f>
        <v>135843.75</v>
      </c>
      <c r="H9303" s="1279">
        <f>G9303*F9303</f>
        <v>20376.5625</v>
      </c>
    </row>
    <row r="9304" spans="2:8" ht="13.5" hidden="1" customHeight="1">
      <c r="B9304" s="1274"/>
      <c r="C9304" s="1280"/>
      <c r="D9304" s="1276"/>
      <c r="E9304" s="1276"/>
      <c r="F9304" s="2084" t="s">
        <v>4428</v>
      </c>
      <c r="G9304" s="2085"/>
      <c r="H9304" s="1283">
        <f>SUM(H9303)</f>
        <v>20376.5625</v>
      </c>
    </row>
    <row r="9305" spans="2:8" ht="13.5" hidden="1" customHeight="1">
      <c r="B9305" s="1287" t="s">
        <v>706</v>
      </c>
      <c r="C9305" s="2086" t="s">
        <v>707</v>
      </c>
      <c r="D9305" s="2087"/>
      <c r="E9305" s="2087"/>
      <c r="F9305" s="2087"/>
      <c r="G9305" s="2088"/>
      <c r="H9305" s="1288">
        <f>H9301+H9297+H9303</f>
        <v>31771.252499999999</v>
      </c>
    </row>
    <row r="9306" spans="2:8" ht="13.5" hidden="1" customHeight="1">
      <c r="B9306" s="1274" t="s">
        <v>708</v>
      </c>
      <c r="C9306" s="2071" t="s">
        <v>4647</v>
      </c>
      <c r="D9306" s="2072"/>
      <c r="E9306" s="2072"/>
      <c r="F9306" s="1289">
        <v>0.15</v>
      </c>
      <c r="G9306" s="1290"/>
      <c r="H9306" s="1283">
        <f>H9305*F9306</f>
        <v>4765.6878749999996</v>
      </c>
    </row>
    <row r="9307" spans="2:8" ht="13.5" hidden="1" customHeight="1">
      <c r="B9307" s="1274" t="s">
        <v>711</v>
      </c>
      <c r="C9307" s="2071" t="s">
        <v>712</v>
      </c>
      <c r="D9307" s="2072"/>
      <c r="E9307" s="2072"/>
      <c r="F9307" s="2072"/>
      <c r="G9307" s="2073"/>
      <c r="H9307" s="1283">
        <f>SUM(H9305:H9306)</f>
        <v>36536.940374999998</v>
      </c>
    </row>
    <row r="9308" spans="2:8" ht="13.5" hidden="1" customHeight="1">
      <c r="B9308" s="1291"/>
      <c r="C9308" s="1292"/>
      <c r="D9308" s="1292"/>
      <c r="E9308" s="1292"/>
      <c r="F9308" s="1292"/>
      <c r="G9308" s="1292"/>
      <c r="H9308" s="1294"/>
    </row>
    <row r="9309" spans="2:8" ht="13.5" hidden="1" customHeight="1">
      <c r="B9309" s="1291"/>
      <c r="C9309" s="1292"/>
      <c r="D9309" s="1292"/>
      <c r="E9309" s="1292"/>
      <c r="F9309" s="1292"/>
      <c r="G9309" s="1292"/>
      <c r="H9309" s="1294"/>
    </row>
    <row r="9310" spans="2:8" ht="13.5" hidden="1" customHeight="1">
      <c r="B9310" s="1295" t="s">
        <v>4992</v>
      </c>
      <c r="C9310" s="1295" t="s">
        <v>4988</v>
      </c>
      <c r="D9310" s="1295"/>
      <c r="E9310" s="1295"/>
      <c r="F9310" s="1111"/>
      <c r="G9310" s="1199"/>
      <c r="H9310" s="1176"/>
    </row>
    <row r="9311" spans="2:8" ht="13.5" hidden="1" customHeight="1">
      <c r="B9311" s="1270" t="s">
        <v>4544</v>
      </c>
      <c r="C9311" s="1270" t="s">
        <v>1004</v>
      </c>
      <c r="D9311" s="1270" t="s">
        <v>1005</v>
      </c>
      <c r="E9311" s="1270" t="s">
        <v>1006</v>
      </c>
      <c r="F9311" s="1271" t="s">
        <v>1007</v>
      </c>
      <c r="G9311" s="1272" t="s">
        <v>4642</v>
      </c>
      <c r="H9311" s="1273" t="s">
        <v>4643</v>
      </c>
    </row>
    <row r="9312" spans="2:8" ht="13.5" hidden="1" customHeight="1">
      <c r="B9312" s="1274" t="s">
        <v>671</v>
      </c>
      <c r="C9312" s="1275" t="s">
        <v>4644</v>
      </c>
      <c r="D9312" s="1276"/>
      <c r="E9312" s="1276"/>
      <c r="F9312" s="1277"/>
      <c r="G9312" s="1278"/>
      <c r="H9312" s="1279"/>
    </row>
    <row r="9313" spans="2:11" ht="13.5" hidden="1" customHeight="1">
      <c r="B9313" s="1274"/>
      <c r="C9313" s="1280" t="s">
        <v>673</v>
      </c>
      <c r="D9313" s="1276" t="s">
        <v>674</v>
      </c>
      <c r="E9313" s="1276" t="s">
        <v>675</v>
      </c>
      <c r="F9313" s="1277">
        <v>0.25</v>
      </c>
      <c r="G9313" s="1278">
        <f>DUB!I10</f>
        <v>150000</v>
      </c>
      <c r="H9313" s="1279">
        <f>G9313*F9313</f>
        <v>37500</v>
      </c>
    </row>
    <row r="9314" spans="2:11" ht="13.5" hidden="1" customHeight="1">
      <c r="B9314" s="1274"/>
      <c r="C9314" s="1280" t="s">
        <v>683</v>
      </c>
      <c r="D9314" s="1276" t="s">
        <v>684</v>
      </c>
      <c r="E9314" s="1281" t="s">
        <v>675</v>
      </c>
      <c r="F9314" s="1277">
        <v>1.4999999999999999E-2</v>
      </c>
      <c r="G9314" s="1278">
        <f>DUB!I12</f>
        <v>225000</v>
      </c>
      <c r="H9314" s="1279">
        <f>G9314*F9314</f>
        <v>3375</v>
      </c>
    </row>
    <row r="9315" spans="2:11" ht="13.5" hidden="1" customHeight="1">
      <c r="B9315" s="1276"/>
      <c r="C9315" s="1280"/>
      <c r="D9315" s="1276"/>
      <c r="E9315" s="1281"/>
      <c r="F9315" s="2082" t="s">
        <v>685</v>
      </c>
      <c r="G9315" s="2083"/>
      <c r="H9315" s="1283">
        <f>SUM(H9313:H9314)</f>
        <v>40875</v>
      </c>
    </row>
    <row r="9316" spans="2:11" ht="13.5" hidden="1" customHeight="1">
      <c r="B9316" s="1274" t="s">
        <v>686</v>
      </c>
      <c r="C9316" s="1275" t="s">
        <v>687</v>
      </c>
      <c r="D9316" s="1276"/>
      <c r="E9316" s="1284"/>
      <c r="F9316" s="1276"/>
      <c r="G9316" s="1278"/>
      <c r="H9316" s="1279"/>
    </row>
    <row r="9317" spans="2:11" ht="13.5" hidden="1" customHeight="1">
      <c r="B9317" s="1274"/>
      <c r="C9317" s="1280" t="s">
        <v>4989</v>
      </c>
      <c r="D9317" s="1276"/>
      <c r="E9317" s="1276" t="s">
        <v>743</v>
      </c>
      <c r="F9317" s="1277">
        <v>1.4999999999999999E-2</v>
      </c>
      <c r="G9317" s="1278">
        <f>DUB!I84</f>
        <v>6961500</v>
      </c>
      <c r="H9317" s="1279">
        <f t="shared" ref="H9317:H9318" si="281">G9317*F9317</f>
        <v>104422.5</v>
      </c>
      <c r="I9317" s="763">
        <f>G9317/1000</f>
        <v>6961.5</v>
      </c>
      <c r="J9317" s="1594"/>
      <c r="K9317" s="1594"/>
    </row>
    <row r="9318" spans="2:11" ht="13.5" hidden="1" customHeight="1">
      <c r="B9318" s="1274"/>
      <c r="C9318" s="1280" t="s">
        <v>4990</v>
      </c>
      <c r="D9318" s="1276"/>
      <c r="E9318" s="1276" t="s">
        <v>690</v>
      </c>
      <c r="F9318" s="1277">
        <v>1.4999999999999999E-2</v>
      </c>
      <c r="G9318" s="1278">
        <f>DUB!I85</f>
        <v>6250000</v>
      </c>
      <c r="H9318" s="1279">
        <f t="shared" si="281"/>
        <v>93750</v>
      </c>
      <c r="I9318" s="763">
        <f>G9318/100</f>
        <v>62500</v>
      </c>
      <c r="J9318" s="1594"/>
      <c r="K9318" s="1594"/>
    </row>
    <row r="9319" spans="2:11" ht="13.5" hidden="1" customHeight="1">
      <c r="B9319" s="1296"/>
      <c r="C9319" s="1297" t="s">
        <v>1201</v>
      </c>
      <c r="D9319" s="1298"/>
      <c r="E9319" s="1299"/>
      <c r="F9319" s="1300">
        <v>0.65</v>
      </c>
      <c r="G9319" s="1301">
        <f>DUB!I128</f>
        <v>20441.7</v>
      </c>
      <c r="H9319" s="1302">
        <f>F9319*G9319</f>
        <v>13287.105000000001</v>
      </c>
    </row>
    <row r="9320" spans="2:11" ht="13.5" hidden="1" customHeight="1">
      <c r="B9320" s="1296"/>
      <c r="C9320" s="1297" t="s">
        <v>4991</v>
      </c>
      <c r="D9320" s="1298"/>
      <c r="E9320" s="1299" t="s">
        <v>2970</v>
      </c>
      <c r="F9320" s="1300">
        <v>1</v>
      </c>
      <c r="G9320" s="1301">
        <v>50000</v>
      </c>
      <c r="H9320" s="1302">
        <f>F9320*G9320</f>
        <v>50000</v>
      </c>
    </row>
    <row r="9321" spans="2:11" ht="13.5" hidden="1" customHeight="1">
      <c r="B9321" s="1274"/>
      <c r="C9321" s="1285"/>
      <c r="D9321" s="1276"/>
      <c r="E9321" s="1286"/>
      <c r="F9321" s="2084" t="s">
        <v>702</v>
      </c>
      <c r="G9321" s="2085"/>
      <c r="H9321" s="1283">
        <f>SUM(H9317:H9320)</f>
        <v>261459.60500000001</v>
      </c>
    </row>
    <row r="9322" spans="2:11" ht="13.5" hidden="1" customHeight="1">
      <c r="B9322" s="1287" t="s">
        <v>706</v>
      </c>
      <c r="C9322" s="2086" t="s">
        <v>707</v>
      </c>
      <c r="D9322" s="2087"/>
      <c r="E9322" s="2087"/>
      <c r="F9322" s="2087"/>
      <c r="G9322" s="2088"/>
      <c r="H9322" s="1288">
        <f>H9315+H9321</f>
        <v>302334.60499999998</v>
      </c>
    </row>
    <row r="9323" spans="2:11" ht="13.5" hidden="1" customHeight="1">
      <c r="B9323" s="1274" t="s">
        <v>708</v>
      </c>
      <c r="C9323" s="2071" t="s">
        <v>4647</v>
      </c>
      <c r="D9323" s="2072"/>
      <c r="E9323" s="2072"/>
      <c r="F9323" s="1289">
        <v>0.15</v>
      </c>
      <c r="G9323" s="1290"/>
      <c r="H9323" s="1283">
        <f>H9322*F9323</f>
        <v>45350.190749999994</v>
      </c>
    </row>
    <row r="9324" spans="2:11" ht="13.5" hidden="1" customHeight="1">
      <c r="B9324" s="1274" t="s">
        <v>711</v>
      </c>
      <c r="C9324" s="2071" t="s">
        <v>712</v>
      </c>
      <c r="D9324" s="2072"/>
      <c r="E9324" s="2072"/>
      <c r="F9324" s="2072"/>
      <c r="G9324" s="2073"/>
      <c r="H9324" s="1283">
        <f>SUM(H9322:H9323)</f>
        <v>347684.79574999999</v>
      </c>
    </row>
    <row r="9325" spans="2:11" ht="13.5" customHeight="1">
      <c r="B9325" s="1291"/>
      <c r="C9325" s="1292"/>
      <c r="D9325" s="1292"/>
      <c r="E9325" s="1292"/>
      <c r="F9325" s="1292"/>
      <c r="G9325" s="1292"/>
      <c r="H9325" s="1294"/>
    </row>
    <row r="9326" spans="2:11" ht="13.5" customHeight="1">
      <c r="B9326" s="1291"/>
      <c r="C9326" s="1292"/>
      <c r="D9326" s="1292"/>
      <c r="E9326" s="1292"/>
      <c r="F9326" s="1292"/>
      <c r="G9326" s="1292"/>
      <c r="H9326" s="1294"/>
    </row>
    <row r="9327" spans="2:11" ht="13.5" customHeight="1">
      <c r="B9327" s="1291"/>
      <c r="C9327" s="1292"/>
      <c r="D9327" s="1292"/>
      <c r="E9327" s="1292"/>
      <c r="F9327" s="1292"/>
      <c r="G9327" s="1292"/>
      <c r="H9327" s="1294"/>
    </row>
    <row r="9328" spans="2:11" ht="15" customHeight="1">
      <c r="C9328" s="1303"/>
      <c r="D9328" s="1304"/>
      <c r="E9328" s="1303"/>
      <c r="F9328" s="2114"/>
      <c r="G9328" s="2114"/>
      <c r="H9328" s="2114"/>
    </row>
    <row r="9329" spans="3:8" ht="15" customHeight="1">
      <c r="C9329" s="1303"/>
      <c r="D9329" s="1304"/>
      <c r="E9329" s="1303"/>
      <c r="F9329" s="2114"/>
      <c r="G9329" s="2114"/>
      <c r="H9329" s="2114"/>
    </row>
    <row r="9330" spans="3:8" ht="15" customHeight="1">
      <c r="C9330" s="1303"/>
      <c r="D9330" s="1304"/>
      <c r="E9330" s="1303"/>
      <c r="F9330" s="2114"/>
      <c r="G9330" s="2114"/>
      <c r="H9330" s="2114"/>
    </row>
  </sheetData>
  <mergeCells count="3085">
    <mergeCell ref="B1:M1"/>
    <mergeCell ref="P8860:Q8860"/>
    <mergeCell ref="P8865:Q8865"/>
    <mergeCell ref="M8866:Q8866"/>
    <mergeCell ref="M8867:O8867"/>
    <mergeCell ref="P8867:Q8867"/>
    <mergeCell ref="M8868:Q8868"/>
    <mergeCell ref="Y8860:Z8860"/>
    <mergeCell ref="Y8865:Z8865"/>
    <mergeCell ref="V8866:Z8866"/>
    <mergeCell ref="V8867:X8867"/>
    <mergeCell ref="Y8867:Z8867"/>
    <mergeCell ref="V8868:Z8868"/>
    <mergeCell ref="M9172:Q9172"/>
    <mergeCell ref="P9127:Q9127"/>
    <mergeCell ref="P9131:Q9131"/>
    <mergeCell ref="P9134:Q9134"/>
    <mergeCell ref="M9135:Q9135"/>
    <mergeCell ref="M9136:O9136"/>
    <mergeCell ref="M9137:Q9137"/>
    <mergeCell ref="P9144:Q9144"/>
    <mergeCell ref="P9148:Q9148"/>
    <mergeCell ref="P9151:Q9151"/>
    <mergeCell ref="M9152:Q9152"/>
    <mergeCell ref="M9153:O9153"/>
    <mergeCell ref="M9154:Q9154"/>
    <mergeCell ref="P9162:Q9162"/>
    <mergeCell ref="P9166:Q9166"/>
    <mergeCell ref="P9169:Q9169"/>
    <mergeCell ref="M9170:Q9170"/>
    <mergeCell ref="M9171:O9171"/>
    <mergeCell ref="F3959:G3959"/>
    <mergeCell ref="C9256:G9256"/>
    <mergeCell ref="C5268:G5268"/>
    <mergeCell ref="C9307:G9307"/>
    <mergeCell ref="F9263:G9263"/>
    <mergeCell ref="F9267:G9267"/>
    <mergeCell ref="F9270:G9270"/>
    <mergeCell ref="C9271:G9271"/>
    <mergeCell ref="C9272:E9272"/>
    <mergeCell ref="C9273:G9273"/>
    <mergeCell ref="F9280:G9280"/>
    <mergeCell ref="F9284:G9284"/>
    <mergeCell ref="F9287:G9287"/>
    <mergeCell ref="C9288:G9288"/>
    <mergeCell ref="C9289:E9289"/>
    <mergeCell ref="C9290:G9290"/>
    <mergeCell ref="F9297:G9297"/>
    <mergeCell ref="F9301:G9301"/>
    <mergeCell ref="F9304:G9304"/>
    <mergeCell ref="C9305:G9305"/>
    <mergeCell ref="C9306:E9306"/>
    <mergeCell ref="F9229:G9229"/>
    <mergeCell ref="F9233:G9233"/>
    <mergeCell ref="F9236:G9236"/>
    <mergeCell ref="C9237:G9237"/>
    <mergeCell ref="C9238:E9238"/>
    <mergeCell ref="C9239:G9239"/>
    <mergeCell ref="F9006:G9006"/>
    <mergeCell ref="F9010:G9010"/>
    <mergeCell ref="C9011:G9011"/>
    <mergeCell ref="C9012:E9012"/>
    <mergeCell ref="C9088:E9088"/>
    <mergeCell ref="F9088:G9088"/>
    <mergeCell ref="C9255:E9255"/>
    <mergeCell ref="C9119:G9119"/>
    <mergeCell ref="C4328:E4328"/>
    <mergeCell ref="F4191:G4191"/>
    <mergeCell ref="F4195:G4195"/>
    <mergeCell ref="C9118:E9118"/>
    <mergeCell ref="F9118:G9118"/>
    <mergeCell ref="C8979:G8979"/>
    <mergeCell ref="C8980:E8980"/>
    <mergeCell ref="F8980:G8980"/>
    <mergeCell ref="C8981:G8981"/>
    <mergeCell ref="F8990:G8990"/>
    <mergeCell ref="F8994:G8994"/>
    <mergeCell ref="C8995:G8995"/>
    <mergeCell ref="C8996:E8996"/>
    <mergeCell ref="F8996:G8996"/>
    <mergeCell ref="C8997:G8997"/>
    <mergeCell ref="F5421:G5421"/>
    <mergeCell ref="F9246:G9246"/>
    <mergeCell ref="F9250:G9250"/>
    <mergeCell ref="F9253:G9253"/>
    <mergeCell ref="C4281:G4281"/>
    <mergeCell ref="F4290:G4290"/>
    <mergeCell ref="F4294:G4294"/>
    <mergeCell ref="C4295:G4295"/>
    <mergeCell ref="C4296:E4296"/>
    <mergeCell ref="F4296:G4296"/>
    <mergeCell ref="C4297:G4297"/>
    <mergeCell ref="F9044:G9044"/>
    <mergeCell ref="C9045:G9045"/>
    <mergeCell ref="C4344:E4344"/>
    <mergeCell ref="F4045:G4045"/>
    <mergeCell ref="F4050:G4050"/>
    <mergeCell ref="C4051:G4051"/>
    <mergeCell ref="C4052:E4052"/>
    <mergeCell ref="F4052:G4052"/>
    <mergeCell ref="C4053:G4053"/>
    <mergeCell ref="F4060:G4060"/>
    <mergeCell ref="F4064:G4064"/>
    <mergeCell ref="C4065:G4065"/>
    <mergeCell ref="C4066:E4066"/>
    <mergeCell ref="F4066:G4066"/>
    <mergeCell ref="C4067:G4067"/>
    <mergeCell ref="C4098:G4098"/>
    <mergeCell ref="C4099:E4099"/>
    <mergeCell ref="F4099:G4099"/>
    <mergeCell ref="C4100:G4100"/>
    <mergeCell ref="C9254:G9254"/>
    <mergeCell ref="F9095:G9095"/>
    <mergeCell ref="F9101:G9101"/>
    <mergeCell ref="C9117:G9117"/>
    <mergeCell ref="F1059:G1059"/>
    <mergeCell ref="F1064:G1064"/>
    <mergeCell ref="C1066:G1066"/>
    <mergeCell ref="C1067:E1067"/>
    <mergeCell ref="F1067:G1067"/>
    <mergeCell ref="C1068:G1068"/>
    <mergeCell ref="F1094:G1094"/>
    <mergeCell ref="F1099:G1099"/>
    <mergeCell ref="C1101:G1101"/>
    <mergeCell ref="C1102:E1102"/>
    <mergeCell ref="F1102:G1102"/>
    <mergeCell ref="C1103:G1103"/>
    <mergeCell ref="F1132:G1132"/>
    <mergeCell ref="F1140:G1140"/>
    <mergeCell ref="C1142:G1142"/>
    <mergeCell ref="C1084:E1084"/>
    <mergeCell ref="C9028:E9028"/>
    <mergeCell ref="F9028:G9028"/>
    <mergeCell ref="C9029:G9029"/>
    <mergeCell ref="F9035:G9035"/>
    <mergeCell ref="C9036:G9036"/>
    <mergeCell ref="C9037:E9037"/>
    <mergeCell ref="F9037:G9037"/>
    <mergeCell ref="C9038:G9038"/>
    <mergeCell ref="F8930:G8930"/>
    <mergeCell ref="C8931:G8931"/>
    <mergeCell ref="C8932:E8932"/>
    <mergeCell ref="F3964:G3964"/>
    <mergeCell ref="C3965:G3965"/>
    <mergeCell ref="C9089:G9089"/>
    <mergeCell ref="C9046:E9046"/>
    <mergeCell ref="F9046:G9046"/>
    <mergeCell ref="F9012:G9012"/>
    <mergeCell ref="C4329:G4329"/>
    <mergeCell ref="F4338:G4338"/>
    <mergeCell ref="F4342:G4342"/>
    <mergeCell ref="C4343:G4343"/>
    <mergeCell ref="C9047:G9047"/>
    <mergeCell ref="F9056:G9056"/>
    <mergeCell ref="C9057:G9057"/>
    <mergeCell ref="C9058:E9058"/>
    <mergeCell ref="F9058:G9058"/>
    <mergeCell ref="C9059:G9059"/>
    <mergeCell ref="F9071:G9071"/>
    <mergeCell ref="C9087:G9087"/>
    <mergeCell ref="F9065:G9065"/>
    <mergeCell ref="C9013:G9013"/>
    <mergeCell ref="F9022:G9022"/>
    <mergeCell ref="F9026:G9026"/>
    <mergeCell ref="C9027:G9027"/>
    <mergeCell ref="F8058:G8058"/>
    <mergeCell ref="F8203:G8203"/>
    <mergeCell ref="C8204:G8204"/>
    <mergeCell ref="C8205:E8205"/>
    <mergeCell ref="F8205:G8205"/>
    <mergeCell ref="F8797:G8797"/>
    <mergeCell ref="C8798:G8798"/>
    <mergeCell ref="C1033:G1033"/>
    <mergeCell ref="C1031:E1031"/>
    <mergeCell ref="F1031:G1031"/>
    <mergeCell ref="F1008:G1008"/>
    <mergeCell ref="C996:G996"/>
    <mergeCell ref="C997:E997"/>
    <mergeCell ref="F1042:G1042"/>
    <mergeCell ref="F1047:G1047"/>
    <mergeCell ref="F1025:G1025"/>
    <mergeCell ref="F1029:G1029"/>
    <mergeCell ref="F3942:G3942"/>
    <mergeCell ref="C3966:E3966"/>
    <mergeCell ref="F3966:G3966"/>
    <mergeCell ref="C3967:G3967"/>
    <mergeCell ref="C4017:G4017"/>
    <mergeCell ref="C4018:E4018"/>
    <mergeCell ref="F4018:G4018"/>
    <mergeCell ref="C4019:G4019"/>
    <mergeCell ref="C4180:G4180"/>
    <mergeCell ref="F4093:G4093"/>
    <mergeCell ref="F4097:G4097"/>
    <mergeCell ref="F4020:G4020"/>
    <mergeCell ref="F4011:G4011"/>
    <mergeCell ref="F4016:G4016"/>
    <mergeCell ref="F4028:G4028"/>
    <mergeCell ref="F8962:G8962"/>
    <mergeCell ref="C8963:G8963"/>
    <mergeCell ref="C8964:E8964"/>
    <mergeCell ref="F8964:G8964"/>
    <mergeCell ref="F8932:G8932"/>
    <mergeCell ref="F5265:G5265"/>
    <mergeCell ref="C5266:G5266"/>
    <mergeCell ref="C5267:E5267"/>
    <mergeCell ref="F5267:G5267"/>
    <mergeCell ref="F8735:G8735"/>
    <mergeCell ref="F8745:G8745"/>
    <mergeCell ref="C8746:G8746"/>
    <mergeCell ref="C8747:E8747"/>
    <mergeCell ref="F8747:G8747"/>
    <mergeCell ref="C8748:G8748"/>
    <mergeCell ref="F8758:G8758"/>
    <mergeCell ref="F8763:G8763"/>
    <mergeCell ref="C8764:G8764"/>
    <mergeCell ref="C8765:E8765"/>
    <mergeCell ref="F8765:G8765"/>
    <mergeCell ref="C8766:G8766"/>
    <mergeCell ref="F8792:G8792"/>
    <mergeCell ref="C8496:G8496"/>
    <mergeCell ref="F8508:G8508"/>
    <mergeCell ref="F8511:G8511"/>
    <mergeCell ref="C8512:G8512"/>
    <mergeCell ref="C8308:E8308"/>
    <mergeCell ref="F8308:G8308"/>
    <mergeCell ref="F8161:G8161"/>
    <mergeCell ref="C8162:G8162"/>
    <mergeCell ref="F8181:G8181"/>
    <mergeCell ref="C8182:G8182"/>
    <mergeCell ref="C8868:G8868"/>
    <mergeCell ref="F8877:G8877"/>
    <mergeCell ref="F8882:G8882"/>
    <mergeCell ref="C8883:G8883"/>
    <mergeCell ref="C8884:E8884"/>
    <mergeCell ref="F8884:G8884"/>
    <mergeCell ref="C8885:G8885"/>
    <mergeCell ref="C8917:G8917"/>
    <mergeCell ref="F8926:G8926"/>
    <mergeCell ref="C8933:G8933"/>
    <mergeCell ref="F8942:G8942"/>
    <mergeCell ref="F8946:G8946"/>
    <mergeCell ref="C8947:G8947"/>
    <mergeCell ref="C8948:E8948"/>
    <mergeCell ref="F8948:G8948"/>
    <mergeCell ref="C8949:G8949"/>
    <mergeCell ref="F8958:G8958"/>
    <mergeCell ref="F7963:G7963"/>
    <mergeCell ref="F7966:G7966"/>
    <mergeCell ref="C8061:G8061"/>
    <mergeCell ref="F4499:G4499"/>
    <mergeCell ref="F4503:G4503"/>
    <mergeCell ref="C4456:G4456"/>
    <mergeCell ref="C4489:E4489"/>
    <mergeCell ref="C4474:G4474"/>
    <mergeCell ref="F4435:G4435"/>
    <mergeCell ref="C8965:G8965"/>
    <mergeCell ref="F8974:G8974"/>
    <mergeCell ref="F8978:G8978"/>
    <mergeCell ref="C8800:G8800"/>
    <mergeCell ref="F8809:G8809"/>
    <mergeCell ref="F8814:G8814"/>
    <mergeCell ref="C8815:G8815"/>
    <mergeCell ref="C8816:E8816"/>
    <mergeCell ref="F8816:G8816"/>
    <mergeCell ref="C8817:G8817"/>
    <mergeCell ref="F8894:G8894"/>
    <mergeCell ref="F8898:G8898"/>
    <mergeCell ref="C8899:G8899"/>
    <mergeCell ref="C8900:E8900"/>
    <mergeCell ref="F8900:G8900"/>
    <mergeCell ref="C8901:G8901"/>
    <mergeCell ref="F8910:G8910"/>
    <mergeCell ref="F8914:G8914"/>
    <mergeCell ref="C8915:G8915"/>
    <mergeCell ref="C8916:E8916"/>
    <mergeCell ref="F8916:G8916"/>
    <mergeCell ref="C8867:E8867"/>
    <mergeCell ref="F8867:G8867"/>
    <mergeCell ref="C5138:E5138"/>
    <mergeCell ref="F5164:G5164"/>
    <mergeCell ref="C8161:E8161"/>
    <mergeCell ref="C8799:E8799"/>
    <mergeCell ref="F8799:G8799"/>
    <mergeCell ref="C8783:G8783"/>
    <mergeCell ref="F8775:G8775"/>
    <mergeCell ref="F8780:G8780"/>
    <mergeCell ref="C8781:G8781"/>
    <mergeCell ref="C8782:E8782"/>
    <mergeCell ref="F8782:G8782"/>
    <mergeCell ref="C2050:E2050"/>
    <mergeCell ref="F2050:G2050"/>
    <mergeCell ref="C3390:G3390"/>
    <mergeCell ref="C3655:G3655"/>
    <mergeCell ref="C3656:E3656"/>
    <mergeCell ref="F4621:G4621"/>
    <mergeCell ref="C4622:G4622"/>
    <mergeCell ref="F4633:G4633"/>
    <mergeCell ref="C4574:E4574"/>
    <mergeCell ref="F4505:G4505"/>
    <mergeCell ref="C4506:G4506"/>
    <mergeCell ref="F4600:G4600"/>
    <mergeCell ref="F4604:G4604"/>
    <mergeCell ref="F3973:G3973"/>
    <mergeCell ref="F3980:G3980"/>
    <mergeCell ref="F3995:G3995"/>
    <mergeCell ref="C4504:G4504"/>
    <mergeCell ref="C4505:E4505"/>
    <mergeCell ref="F8393:G8393"/>
    <mergeCell ref="F8412:G8412"/>
    <mergeCell ref="C7950:G7950"/>
    <mergeCell ref="F8060:G8060"/>
    <mergeCell ref="C8060:E8060"/>
    <mergeCell ref="C8059:G8059"/>
    <mergeCell ref="F7944:G7944"/>
    <mergeCell ref="F4439:G4439"/>
    <mergeCell ref="C4440:G4440"/>
    <mergeCell ref="C4441:E4441"/>
    <mergeCell ref="C4442:G4442"/>
    <mergeCell ref="F4419:G4419"/>
    <mergeCell ref="F4423:G4423"/>
    <mergeCell ref="F3684:G3684"/>
    <mergeCell ref="F3690:G3690"/>
    <mergeCell ref="C8728:G8728"/>
    <mergeCell ref="C8726:G8726"/>
    <mergeCell ref="C8727:E8727"/>
    <mergeCell ref="F8727:G8727"/>
    <mergeCell ref="C8608:G8608"/>
    <mergeCell ref="C5318:G5318"/>
    <mergeCell ref="C5316:G5316"/>
    <mergeCell ref="C8678:G8678"/>
    <mergeCell ref="C8679:E8679"/>
    <mergeCell ref="F8679:G8679"/>
    <mergeCell ref="C8702:G8702"/>
    <mergeCell ref="C8477:E8477"/>
    <mergeCell ref="F8477:G8477"/>
    <mergeCell ref="C8478:G8478"/>
    <mergeCell ref="F8493:G8493"/>
    <mergeCell ref="C8494:G8494"/>
    <mergeCell ref="C8495:E8495"/>
    <mergeCell ref="F8495:G8495"/>
    <mergeCell ref="F5249:G5249"/>
    <mergeCell ref="C5250:G5250"/>
    <mergeCell ref="C8269:G8269"/>
    <mergeCell ref="F8280:G8280"/>
    <mergeCell ref="F8286:G8286"/>
    <mergeCell ref="C8287:G8287"/>
    <mergeCell ref="C8043:E8043"/>
    <mergeCell ref="F8043:G8043"/>
    <mergeCell ref="C8183:E8183"/>
    <mergeCell ref="F8183:G8183"/>
    <mergeCell ref="C8083:G8083"/>
    <mergeCell ref="F5310:G5310"/>
    <mergeCell ref="F5315:G5315"/>
    <mergeCell ref="C5252:G5252"/>
    <mergeCell ref="C8084:E8084"/>
    <mergeCell ref="F8084:G8084"/>
    <mergeCell ref="C8085:G8085"/>
    <mergeCell ref="F8052:G8052"/>
    <mergeCell ref="C8108:E8108"/>
    <mergeCell ref="F8108:G8108"/>
    <mergeCell ref="C8109:G8109"/>
    <mergeCell ref="C8184:G8184"/>
    <mergeCell ref="F5261:G5261"/>
    <mergeCell ref="C8136:G8136"/>
    <mergeCell ref="C8137:E8137"/>
    <mergeCell ref="F8137:G8137"/>
    <mergeCell ref="C8138:G8138"/>
    <mergeCell ref="C8160:G8160"/>
    <mergeCell ref="F7929:G7929"/>
    <mergeCell ref="F7695:G7695"/>
    <mergeCell ref="F7949:G7949"/>
    <mergeCell ref="F7641:G7641"/>
    <mergeCell ref="C7650:G7650"/>
    <mergeCell ref="F7662:G7662"/>
    <mergeCell ref="C8017:G8017"/>
    <mergeCell ref="F8487:G8487"/>
    <mergeCell ref="F8505:G8505"/>
    <mergeCell ref="F8523:G8523"/>
    <mergeCell ref="F8526:G8526"/>
    <mergeCell ref="C8437:G8437"/>
    <mergeCell ref="C8438:E8438"/>
    <mergeCell ref="F8438:G8438"/>
    <mergeCell ref="F8340:G8340"/>
    <mergeCell ref="F8346:G8346"/>
    <mergeCell ref="C8347:G8347"/>
    <mergeCell ref="C8348:E8348"/>
    <mergeCell ref="F8348:G8348"/>
    <mergeCell ref="C8349:G8349"/>
    <mergeCell ref="F8360:G8360"/>
    <mergeCell ref="F8427:G8427"/>
    <mergeCell ref="C8206:G8206"/>
    <mergeCell ref="C8309:G8309"/>
    <mergeCell ref="F8337:G8337"/>
    <mergeCell ref="F8357:G8357"/>
    <mergeCell ref="F8320:G8320"/>
    <mergeCell ref="F8326:G8326"/>
    <mergeCell ref="C8327:G8327"/>
    <mergeCell ref="C8328:E8328"/>
    <mergeCell ref="F8328:G8328"/>
    <mergeCell ref="C8329:G8329"/>
    <mergeCell ref="F8417:G8417"/>
    <mergeCell ref="C8418:G8418"/>
    <mergeCell ref="F8433:G8433"/>
    <mergeCell ref="F8436:G8436"/>
    <mergeCell ref="C8361:G8361"/>
    <mergeCell ref="F8372:G8372"/>
    <mergeCell ref="F8268:G8268"/>
    <mergeCell ref="C8042:G8042"/>
    <mergeCell ref="F7803:G7803"/>
    <mergeCell ref="F7837:G7837"/>
    <mergeCell ref="F7871:G7871"/>
    <mergeCell ref="C8532:G8532"/>
    <mergeCell ref="F4957:G4957"/>
    <mergeCell ref="C4958:G4958"/>
    <mergeCell ref="C3693:G3693"/>
    <mergeCell ref="C8288:E8288"/>
    <mergeCell ref="F8288:G8288"/>
    <mergeCell ref="C8289:G8289"/>
    <mergeCell ref="F8300:G8300"/>
    <mergeCell ref="F8306:G8306"/>
    <mergeCell ref="C8307:G8307"/>
    <mergeCell ref="C3915:G3915"/>
    <mergeCell ref="F8225:G8225"/>
    <mergeCell ref="C8226:G8226"/>
    <mergeCell ref="C8227:E8227"/>
    <mergeCell ref="F8227:G8227"/>
    <mergeCell ref="C8228:G8228"/>
    <mergeCell ref="F8240:G8240"/>
    <mergeCell ref="F8246:G8246"/>
    <mergeCell ref="C8247:G8247"/>
    <mergeCell ref="C8248:E8248"/>
    <mergeCell ref="F8248:G8248"/>
    <mergeCell ref="C8249:G8249"/>
    <mergeCell ref="F8260:G8260"/>
    <mergeCell ref="F8266:G8266"/>
    <mergeCell ref="C8267:G8267"/>
    <mergeCell ref="F8257:G8257"/>
    <mergeCell ref="F8055:G8055"/>
    <mergeCell ref="F8415:G8415"/>
    <mergeCell ref="C8416:G8416"/>
    <mergeCell ref="C8417:E8417"/>
    <mergeCell ref="F8448:G8448"/>
    <mergeCell ref="F8469:G8469"/>
    <mergeCell ref="C8570:G8570"/>
    <mergeCell ref="C8643:G8643"/>
    <mergeCell ref="C8571:E8571"/>
    <mergeCell ref="F8571:G8571"/>
    <mergeCell ref="C8609:E8609"/>
    <mergeCell ref="F8609:G8609"/>
    <mergeCell ref="C8610:G8610"/>
    <mergeCell ref="C8572:G8572"/>
    <mergeCell ref="F3999:G3999"/>
    <mergeCell ref="C8458:G8458"/>
    <mergeCell ref="C8459:E8459"/>
    <mergeCell ref="F8459:G8459"/>
    <mergeCell ref="C8439:G8439"/>
    <mergeCell ref="F8454:G8454"/>
    <mergeCell ref="F8457:G8457"/>
    <mergeCell ref="C8460:G8460"/>
    <mergeCell ref="F8472:G8472"/>
    <mergeCell ref="F8475:G8475"/>
    <mergeCell ref="C8476:G8476"/>
    <mergeCell ref="C8513:E8513"/>
    <mergeCell ref="F8513:G8513"/>
    <mergeCell ref="C8514:G8514"/>
    <mergeCell ref="F8529:G8529"/>
    <mergeCell ref="C8530:G8530"/>
    <mergeCell ref="C8531:E8531"/>
    <mergeCell ref="F8531:G8531"/>
    <mergeCell ref="C8268:E8268"/>
    <mergeCell ref="C7992:G7992"/>
    <mergeCell ref="C7993:E7993"/>
    <mergeCell ref="F7993:G7993"/>
    <mergeCell ref="C7994:G7994"/>
    <mergeCell ref="C7968:E7968"/>
    <mergeCell ref="F7968:G7968"/>
    <mergeCell ref="C7969:G7969"/>
    <mergeCell ref="C7793:E7793"/>
    <mergeCell ref="F7793:G7793"/>
    <mergeCell ref="C7794:G7794"/>
    <mergeCell ref="C8703:E8703"/>
    <mergeCell ref="C8644:E8644"/>
    <mergeCell ref="C8704:G8704"/>
    <mergeCell ref="F8703:G8703"/>
    <mergeCell ref="F8644:G8644"/>
    <mergeCell ref="C8645:G8645"/>
    <mergeCell ref="C8680:G8680"/>
    <mergeCell ref="C8362:E8362"/>
    <mergeCell ref="F8362:G8362"/>
    <mergeCell ref="C8363:G8363"/>
    <mergeCell ref="F8378:G8378"/>
    <mergeCell ref="F8381:G8381"/>
    <mergeCell ref="C8382:G8382"/>
    <mergeCell ref="C8383:E8383"/>
    <mergeCell ref="F8383:G8383"/>
    <mergeCell ref="C8384:G8384"/>
    <mergeCell ref="F8399:G8399"/>
    <mergeCell ref="F8402:G8402"/>
    <mergeCell ref="C8403:G8403"/>
    <mergeCell ref="C8404:E8404"/>
    <mergeCell ref="F8404:G8404"/>
    <mergeCell ref="C8405:G8405"/>
    <mergeCell ref="C8044:G8044"/>
    <mergeCell ref="C8018:E8018"/>
    <mergeCell ref="F8018:G8018"/>
    <mergeCell ref="C8019:G8019"/>
    <mergeCell ref="F7739:G7739"/>
    <mergeCell ref="C7740:G7740"/>
    <mergeCell ref="F7752:G7752"/>
    <mergeCell ref="F7755:G7755"/>
    <mergeCell ref="C7967:G7967"/>
    <mergeCell ref="F7959:G7959"/>
    <mergeCell ref="F7822:G7822"/>
    <mergeCell ref="F7825:G7825"/>
    <mergeCell ref="C7826:G7826"/>
    <mergeCell ref="C7827:E7827"/>
    <mergeCell ref="F7827:G7827"/>
    <mergeCell ref="C7895:E7895"/>
    <mergeCell ref="F7895:G7895"/>
    <mergeCell ref="C7828:G7828"/>
    <mergeCell ref="F7856:G7856"/>
    <mergeCell ref="F7859:G7859"/>
    <mergeCell ref="C7860:G7860"/>
    <mergeCell ref="C7861:E7861"/>
    <mergeCell ref="F7861:G7861"/>
    <mergeCell ref="F7947:G7947"/>
    <mergeCell ref="C7948:G7948"/>
    <mergeCell ref="C7949:E7949"/>
    <mergeCell ref="C7756:G7756"/>
    <mergeCell ref="C7757:E7757"/>
    <mergeCell ref="F7757:G7757"/>
    <mergeCell ref="C7776:G7776"/>
    <mergeCell ref="F7788:G7788"/>
    <mergeCell ref="F7791:G7791"/>
    <mergeCell ref="C7667:E7667"/>
    <mergeCell ref="F7667:G7667"/>
    <mergeCell ref="C7668:G7668"/>
    <mergeCell ref="F7680:G7680"/>
    <mergeCell ref="F7659:G7659"/>
    <mergeCell ref="F7677:G7677"/>
    <mergeCell ref="F7721:G7721"/>
    <mergeCell ref="C7722:G7722"/>
    <mergeCell ref="F7734:G7734"/>
    <mergeCell ref="F7737:G7737"/>
    <mergeCell ref="C7792:G7792"/>
    <mergeCell ref="F7683:G7683"/>
    <mergeCell ref="C7684:G7684"/>
    <mergeCell ref="C7685:E7685"/>
    <mergeCell ref="F7685:G7685"/>
    <mergeCell ref="C7686:G7686"/>
    <mergeCell ref="F7698:G7698"/>
    <mergeCell ref="F7701:G7701"/>
    <mergeCell ref="C7702:G7702"/>
    <mergeCell ref="C7703:E7703"/>
    <mergeCell ref="F7703:G7703"/>
    <mergeCell ref="C7704:G7704"/>
    <mergeCell ref="F7716:G7716"/>
    <mergeCell ref="F7719:G7719"/>
    <mergeCell ref="C7720:G7720"/>
    <mergeCell ref="C7721:E7721"/>
    <mergeCell ref="F7749:G7749"/>
    <mergeCell ref="F7767:G7767"/>
    <mergeCell ref="F7785:G7785"/>
    <mergeCell ref="F7713:G7713"/>
    <mergeCell ref="C7738:G7738"/>
    <mergeCell ref="C7739:E7739"/>
    <mergeCell ref="C7596:G7596"/>
    <mergeCell ref="F7608:G7608"/>
    <mergeCell ref="F7611:G7611"/>
    <mergeCell ref="C7612:G7612"/>
    <mergeCell ref="C7613:E7613"/>
    <mergeCell ref="F7613:G7613"/>
    <mergeCell ref="C7614:G7614"/>
    <mergeCell ref="F7626:G7626"/>
    <mergeCell ref="F7629:G7629"/>
    <mergeCell ref="C7630:G7630"/>
    <mergeCell ref="C7631:E7631"/>
    <mergeCell ref="F7631:G7631"/>
    <mergeCell ref="F7587:G7587"/>
    <mergeCell ref="F7605:G7605"/>
    <mergeCell ref="F7623:G7623"/>
    <mergeCell ref="F7665:G7665"/>
    <mergeCell ref="C7666:G7666"/>
    <mergeCell ref="C7632:G7632"/>
    <mergeCell ref="F7644:G7644"/>
    <mergeCell ref="F7647:G7647"/>
    <mergeCell ref="C7648:G7648"/>
    <mergeCell ref="C7649:E7649"/>
    <mergeCell ref="F7649:G7649"/>
    <mergeCell ref="C7542:G7542"/>
    <mergeCell ref="F7554:G7554"/>
    <mergeCell ref="F7557:G7557"/>
    <mergeCell ref="C7558:G7558"/>
    <mergeCell ref="C7559:E7559"/>
    <mergeCell ref="F7559:G7559"/>
    <mergeCell ref="C7560:G7560"/>
    <mergeCell ref="F7572:G7572"/>
    <mergeCell ref="F7575:G7575"/>
    <mergeCell ref="C7576:G7576"/>
    <mergeCell ref="C7577:E7577"/>
    <mergeCell ref="F7577:G7577"/>
    <mergeCell ref="C7578:G7578"/>
    <mergeCell ref="F7590:G7590"/>
    <mergeCell ref="F7593:G7593"/>
    <mergeCell ref="C7594:G7594"/>
    <mergeCell ref="C7595:E7595"/>
    <mergeCell ref="F7595:G7595"/>
    <mergeCell ref="C7487:G7487"/>
    <mergeCell ref="F7500:G7500"/>
    <mergeCell ref="F7503:G7503"/>
    <mergeCell ref="C7504:G7504"/>
    <mergeCell ref="C7505:E7505"/>
    <mergeCell ref="F7505:G7505"/>
    <mergeCell ref="C7506:G7506"/>
    <mergeCell ref="F7518:G7518"/>
    <mergeCell ref="F7521:G7521"/>
    <mergeCell ref="C7522:G7522"/>
    <mergeCell ref="C7523:E7523"/>
    <mergeCell ref="F7523:G7523"/>
    <mergeCell ref="C7524:G7524"/>
    <mergeCell ref="F7536:G7536"/>
    <mergeCell ref="F7539:G7539"/>
    <mergeCell ref="C7540:G7540"/>
    <mergeCell ref="C7541:E7541"/>
    <mergeCell ref="F7541:G7541"/>
    <mergeCell ref="C7430:G7430"/>
    <mergeCell ref="F7443:G7443"/>
    <mergeCell ref="F7446:G7446"/>
    <mergeCell ref="C7447:G7447"/>
    <mergeCell ref="C7448:E7448"/>
    <mergeCell ref="F7448:G7448"/>
    <mergeCell ref="C7449:G7449"/>
    <mergeCell ref="F7462:G7462"/>
    <mergeCell ref="F7465:G7465"/>
    <mergeCell ref="C7466:G7466"/>
    <mergeCell ref="C7467:E7467"/>
    <mergeCell ref="F7467:G7467"/>
    <mergeCell ref="C7468:G7468"/>
    <mergeCell ref="F7481:G7481"/>
    <mergeCell ref="F7484:G7484"/>
    <mergeCell ref="C7485:G7485"/>
    <mergeCell ref="C7486:E7486"/>
    <mergeCell ref="F7486:G7486"/>
    <mergeCell ref="C7372:E7372"/>
    <mergeCell ref="F7372:G7372"/>
    <mergeCell ref="C7373:G7373"/>
    <mergeCell ref="F7382:G7382"/>
    <mergeCell ref="F7385:G7385"/>
    <mergeCell ref="F7388:G7388"/>
    <mergeCell ref="C7389:G7389"/>
    <mergeCell ref="C7390:E7390"/>
    <mergeCell ref="F7390:G7390"/>
    <mergeCell ref="C7391:G7391"/>
    <mergeCell ref="F7405:G7405"/>
    <mergeCell ref="F7408:G7408"/>
    <mergeCell ref="C7409:G7409"/>
    <mergeCell ref="C7410:E7410"/>
    <mergeCell ref="F7410:G7410"/>
    <mergeCell ref="C7428:G7428"/>
    <mergeCell ref="C7429:E7429"/>
    <mergeCell ref="F7429:G7429"/>
    <mergeCell ref="C6441:G6441"/>
    <mergeCell ref="C6442:E6442"/>
    <mergeCell ref="F6452:G6452"/>
    <mergeCell ref="F6459:G6459"/>
    <mergeCell ref="C6460:G6460"/>
    <mergeCell ref="C6461:E6461"/>
    <mergeCell ref="F6461:G6461"/>
    <mergeCell ref="C6462:G6462"/>
    <mergeCell ref="C6513:G6513"/>
    <mergeCell ref="C6659:G6659"/>
    <mergeCell ref="F6668:G6668"/>
    <mergeCell ref="F6672:G6672"/>
    <mergeCell ref="C6643:G6643"/>
    <mergeCell ref="F6652:G6652"/>
    <mergeCell ref="F6656:G6656"/>
    <mergeCell ref="C7411:G7411"/>
    <mergeCell ref="F7424:G7424"/>
    <mergeCell ref="F6860:G6860"/>
    <mergeCell ref="F6834:G6834"/>
    <mergeCell ref="C6835:G6835"/>
    <mergeCell ref="C6883:E6883"/>
    <mergeCell ref="F6812:G6812"/>
    <mergeCell ref="F6816:G6816"/>
    <mergeCell ref="C6770:E6770"/>
    <mergeCell ref="F6770:G6770"/>
    <mergeCell ref="F6506:G6506"/>
    <mergeCell ref="F6510:G6510"/>
    <mergeCell ref="C6511:G6511"/>
    <mergeCell ref="C6512:E6512"/>
    <mergeCell ref="F6512:G6512"/>
    <mergeCell ref="C6478:G6478"/>
    <mergeCell ref="F6487:G6487"/>
    <mergeCell ref="F6372:G6372"/>
    <mergeCell ref="C7260:G7260"/>
    <mergeCell ref="C7261:E7261"/>
    <mergeCell ref="F7261:G7261"/>
    <mergeCell ref="C6375:G6375"/>
    <mergeCell ref="F6384:G6384"/>
    <mergeCell ref="C6531:G6531"/>
    <mergeCell ref="F6540:G6540"/>
    <mergeCell ref="C6577:E6577"/>
    <mergeCell ref="F6577:G6577"/>
    <mergeCell ref="C6578:G6578"/>
    <mergeCell ref="F6636:G6636"/>
    <mergeCell ref="F6640:G6640"/>
    <mergeCell ref="F6571:G6571"/>
    <mergeCell ref="F6575:G6575"/>
    <mergeCell ref="C6576:G6576"/>
    <mergeCell ref="F6555:G6555"/>
    <mergeCell ref="F6559:G6559"/>
    <mergeCell ref="C6560:G6560"/>
    <mergeCell ref="C6427:G6427"/>
    <mergeCell ref="F6420:G6420"/>
    <mergeCell ref="F6424:G6424"/>
    <mergeCell ref="F6471:G6471"/>
    <mergeCell ref="C6561:E6561"/>
    <mergeCell ref="F6561:G6561"/>
    <mergeCell ref="C6562:G6562"/>
    <mergeCell ref="F6543:G6543"/>
    <mergeCell ref="C6544:G6544"/>
    <mergeCell ref="C6545:E6545"/>
    <mergeCell ref="F6545:G6545"/>
    <mergeCell ref="C6546:G6546"/>
    <mergeCell ref="F6608:G6608"/>
    <mergeCell ref="F6303:G6303"/>
    <mergeCell ref="C6304:G6304"/>
    <mergeCell ref="C6305:E6305"/>
    <mergeCell ref="F6442:G6442"/>
    <mergeCell ref="F6436:G6436"/>
    <mergeCell ref="F6440:G6440"/>
    <mergeCell ref="C6410:E6410"/>
    <mergeCell ref="F6410:G6410"/>
    <mergeCell ref="C6411:G6411"/>
    <mergeCell ref="C6409:G6409"/>
    <mergeCell ref="C6443:G6443"/>
    <mergeCell ref="C6391:G6391"/>
    <mergeCell ref="F6522:G6522"/>
    <mergeCell ref="F6528:G6528"/>
    <mergeCell ref="C6529:G6529"/>
    <mergeCell ref="C6530:E6530"/>
    <mergeCell ref="F6530:G6530"/>
    <mergeCell ref="C6495:G6495"/>
    <mergeCell ref="C6496:E6496"/>
    <mergeCell ref="F6496:G6496"/>
    <mergeCell ref="C6497:G6497"/>
    <mergeCell ref="C6425:G6425"/>
    <mergeCell ref="C6426:E6426"/>
    <mergeCell ref="F6426:G6426"/>
    <mergeCell ref="C6306:G6306"/>
    <mergeCell ref="F6332:G6332"/>
    <mergeCell ref="F6366:G6366"/>
    <mergeCell ref="F6494:G6494"/>
    <mergeCell ref="F6475:G6475"/>
    <mergeCell ref="C6476:G6476"/>
    <mergeCell ref="C6477:E6477"/>
    <mergeCell ref="F6477:G6477"/>
    <mergeCell ref="F5578:G5578"/>
    <mergeCell ref="C5579:G5579"/>
    <mergeCell ref="F6356:G6356"/>
    <mergeCell ref="C6357:G6357"/>
    <mergeCell ref="F6183:G6183"/>
    <mergeCell ref="C6166:G6166"/>
    <mergeCell ref="C6355:G6355"/>
    <mergeCell ref="F6167:G6167"/>
    <mergeCell ref="F6250:G6250"/>
    <mergeCell ref="F6254:G6254"/>
    <mergeCell ref="C6205:G6205"/>
    <mergeCell ref="F6214:G6214"/>
    <mergeCell ref="F6219:G6219"/>
    <mergeCell ref="C6186:G6186"/>
    <mergeCell ref="C6220:G6220"/>
    <mergeCell ref="C6221:E6221"/>
    <mergeCell ref="F6221:G6221"/>
    <mergeCell ref="F6195:G6195"/>
    <mergeCell ref="F6202:G6202"/>
    <mergeCell ref="C6203:G6203"/>
    <mergeCell ref="C6204:E6204"/>
    <mergeCell ref="C6241:G6241"/>
    <mergeCell ref="F6337:G6337"/>
    <mergeCell ref="C6322:E6322"/>
    <mergeCell ref="F6322:G6322"/>
    <mergeCell ref="C6323:G6323"/>
    <mergeCell ref="F6320:G6320"/>
    <mergeCell ref="F6339:G6339"/>
    <mergeCell ref="C6340:G6340"/>
    <mergeCell ref="C6338:G6338"/>
    <mergeCell ref="C6339:E6339"/>
    <mergeCell ref="F6305:G6305"/>
    <mergeCell ref="F4767:G4767"/>
    <mergeCell ref="F5087:G5087"/>
    <mergeCell ref="C5139:G5139"/>
    <mergeCell ref="F5148:G5148"/>
    <mergeCell ref="C5137:G5137"/>
    <mergeCell ref="F5136:G5136"/>
    <mergeCell ref="F5051:G5051"/>
    <mergeCell ref="F5055:G5055"/>
    <mergeCell ref="C5056:G5056"/>
    <mergeCell ref="C5121:E5121"/>
    <mergeCell ref="F5121:G5121"/>
    <mergeCell ref="C4655:E4655"/>
    <mergeCell ref="F4685:G4685"/>
    <mergeCell ref="C4656:G4656"/>
    <mergeCell ref="F4665:G4665"/>
    <mergeCell ref="F4669:G4669"/>
    <mergeCell ref="C5042:G5042"/>
    <mergeCell ref="F4972:G4972"/>
    <mergeCell ref="C4991:E4991"/>
    <mergeCell ref="F4991:G4991"/>
    <mergeCell ref="F4655:G4655"/>
    <mergeCell ref="C4974:E4974"/>
    <mergeCell ref="F4974:G4974"/>
    <mergeCell ref="C4939:G4939"/>
    <mergeCell ref="F4984:G4984"/>
    <mergeCell ref="C4990:G4990"/>
    <mergeCell ref="C4786:G4786"/>
    <mergeCell ref="F5041:G5041"/>
    <mergeCell ref="C4973:G4973"/>
    <mergeCell ref="C4975:G4975"/>
    <mergeCell ref="C4687:E4687"/>
    <mergeCell ref="F4687:G4687"/>
    <mergeCell ref="F4779:G4779"/>
    <mergeCell ref="C4768:G4768"/>
    <mergeCell ref="F5138:G5138"/>
    <mergeCell ref="C5104:G5104"/>
    <mergeCell ref="C5105:E5105"/>
    <mergeCell ref="F5105:G5105"/>
    <mergeCell ref="C5120:G5120"/>
    <mergeCell ref="F5083:G5083"/>
    <mergeCell ref="F5152:G5152"/>
    <mergeCell ref="C5153:G5153"/>
    <mergeCell ref="C5058:G5058"/>
    <mergeCell ref="C4941:G4941"/>
    <mergeCell ref="C4956:G4956"/>
    <mergeCell ref="C4624:G4624"/>
    <mergeCell ref="F4989:G4989"/>
    <mergeCell ref="C4769:E4769"/>
    <mergeCell ref="F4769:G4769"/>
    <mergeCell ref="C4770:G4770"/>
    <mergeCell ref="F5099:G5099"/>
    <mergeCell ref="F5103:G5103"/>
    <mergeCell ref="C5072:G5072"/>
    <mergeCell ref="C5073:E5073"/>
    <mergeCell ref="F5073:G5073"/>
    <mergeCell ref="C5074:G5074"/>
    <mergeCell ref="C5040:G5040"/>
    <mergeCell ref="C4924:G4924"/>
    <mergeCell ref="F4967:G4967"/>
    <mergeCell ref="F4637:G4637"/>
    <mergeCell ref="C4671:E4671"/>
    <mergeCell ref="F4671:G4671"/>
    <mergeCell ref="F5067:G5067"/>
    <mergeCell ref="F5071:G5071"/>
    <mergeCell ref="C4784:G4784"/>
    <mergeCell ref="C5041:E5041"/>
    <mergeCell ref="F5035:G5035"/>
    <mergeCell ref="F5039:G5039"/>
    <mergeCell ref="C4957:E4957"/>
    <mergeCell ref="F5115:G5115"/>
    <mergeCell ref="F5119:G5119"/>
    <mergeCell ref="C4817:E4817"/>
    <mergeCell ref="F4817:G4817"/>
    <mergeCell ref="C4818:G4818"/>
    <mergeCell ref="C4802:G4802"/>
    <mergeCell ref="F4811:G4811"/>
    <mergeCell ref="F4815:G4815"/>
    <mergeCell ref="C4816:G4816"/>
    <mergeCell ref="F4783:G4783"/>
    <mergeCell ref="F4795:G4795"/>
    <mergeCell ref="F4801:G4801"/>
    <mergeCell ref="C5090:G5090"/>
    <mergeCell ref="C5088:G5088"/>
    <mergeCell ref="C5089:E5089"/>
    <mergeCell ref="F5089:G5089"/>
    <mergeCell ref="C4992:G4992"/>
    <mergeCell ref="C4940:E4940"/>
    <mergeCell ref="F4940:G4940"/>
    <mergeCell ref="F4799:G4799"/>
    <mergeCell ref="C4800:G4800"/>
    <mergeCell ref="C4801:E4801"/>
    <mergeCell ref="F4827:G4827"/>
    <mergeCell ref="F4833:G4833"/>
    <mergeCell ref="F4845:G4845"/>
    <mergeCell ref="F4851:G4851"/>
    <mergeCell ref="F4879:G4879"/>
    <mergeCell ref="C5122:G5122"/>
    <mergeCell ref="C5233:G5233"/>
    <mergeCell ref="C5057:E5057"/>
    <mergeCell ref="F5057:G5057"/>
    <mergeCell ref="F4515:G4515"/>
    <mergeCell ref="F4519:G4519"/>
    <mergeCell ref="C4520:G4520"/>
    <mergeCell ref="C4607:G4607"/>
    <mergeCell ref="C4589:G4589"/>
    <mergeCell ref="C4590:E4590"/>
    <mergeCell ref="F4590:G4590"/>
    <mergeCell ref="C4605:G4605"/>
    <mergeCell ref="F4584:G4584"/>
    <mergeCell ref="F4588:G4588"/>
    <mergeCell ref="C4638:G4638"/>
    <mergeCell ref="C4639:E4639"/>
    <mergeCell ref="F4639:G4639"/>
    <mergeCell ref="C4640:G4640"/>
    <mergeCell ref="F4623:G4623"/>
    <mergeCell ref="C4606:E4606"/>
    <mergeCell ref="F4606:G4606"/>
    <mergeCell ref="C4623:E4623"/>
    <mergeCell ref="C4785:E4785"/>
    <mergeCell ref="F4785:G4785"/>
    <mergeCell ref="C4539:G4539"/>
    <mergeCell ref="F4574:G4574"/>
    <mergeCell ref="C4575:G4575"/>
    <mergeCell ref="C4540:E4540"/>
    <mergeCell ref="C4670:G4670"/>
    <mergeCell ref="C4591:G4591"/>
    <mergeCell ref="F4616:G4616"/>
    <mergeCell ref="C5106:G5106"/>
    <mergeCell ref="F4681:G4681"/>
    <mergeCell ref="F4649:G4649"/>
    <mergeCell ref="F4653:G4653"/>
    <mergeCell ref="C4654:G4654"/>
    <mergeCell ref="C4521:E4521"/>
    <mergeCell ref="F4521:G4521"/>
    <mergeCell ref="C4522:G4522"/>
    <mergeCell ref="F4531:G4531"/>
    <mergeCell ref="F4540:G4540"/>
    <mergeCell ref="C4541:G4541"/>
    <mergeCell ref="F4568:G4568"/>
    <mergeCell ref="F4572:G4572"/>
    <mergeCell ref="C4573:G4573"/>
    <mergeCell ref="F4538:G4538"/>
    <mergeCell ref="F4763:G4763"/>
    <mergeCell ref="C4686:G4686"/>
    <mergeCell ref="C4672:G4672"/>
    <mergeCell ref="C4688:G4688"/>
    <mergeCell ref="C4721:G4721"/>
    <mergeCell ref="F4735:G4735"/>
    <mergeCell ref="F4747:G4747"/>
    <mergeCell ref="F4751:G4751"/>
    <mergeCell ref="F4730:G4730"/>
    <mergeCell ref="F4550:G4550"/>
    <mergeCell ref="F4556:G4556"/>
    <mergeCell ref="C4557:G4557"/>
    <mergeCell ref="C4558:E4558"/>
    <mergeCell ref="F4558:G4558"/>
    <mergeCell ref="C4559:G4559"/>
    <mergeCell ref="C4410:G4410"/>
    <mergeCell ref="C4392:G4392"/>
    <mergeCell ref="C4393:E4393"/>
    <mergeCell ref="F4393:G4393"/>
    <mergeCell ref="F4387:G4387"/>
    <mergeCell ref="F4391:G4391"/>
    <mergeCell ref="C4377:E4377"/>
    <mergeCell ref="F4377:G4377"/>
    <mergeCell ref="C4378:G4378"/>
    <mergeCell ref="F4371:G4371"/>
    <mergeCell ref="F4375:G4375"/>
    <mergeCell ref="C4376:G4376"/>
    <mergeCell ref="F4489:G4489"/>
    <mergeCell ref="C4490:G4490"/>
    <mergeCell ref="C4457:E4457"/>
    <mergeCell ref="F4457:G4457"/>
    <mergeCell ref="C4458:G4458"/>
    <mergeCell ref="F4483:G4483"/>
    <mergeCell ref="F4487:G4487"/>
    <mergeCell ref="F4467:G4467"/>
    <mergeCell ref="F4471:G4471"/>
    <mergeCell ref="C4426:G4426"/>
    <mergeCell ref="F4451:G4451"/>
    <mergeCell ref="F4455:G4455"/>
    <mergeCell ref="C4424:G4424"/>
    <mergeCell ref="C4425:E4425"/>
    <mergeCell ref="F4425:G4425"/>
    <mergeCell ref="C4472:G4472"/>
    <mergeCell ref="C4473:E4473"/>
    <mergeCell ref="F4473:G4473"/>
    <mergeCell ref="F4441:G4441"/>
    <mergeCell ref="C4488:G4488"/>
    <mergeCell ref="F4262:G4262"/>
    <mergeCell ref="C4263:G4263"/>
    <mergeCell ref="C4264:E4264"/>
    <mergeCell ref="F4264:G4264"/>
    <mergeCell ref="C4249:G4249"/>
    <mergeCell ref="F4328:G4328"/>
    <mergeCell ref="C4394:G4394"/>
    <mergeCell ref="F4407:G4407"/>
    <mergeCell ref="F4403:G4403"/>
    <mergeCell ref="F4306:G4306"/>
    <mergeCell ref="F4310:G4310"/>
    <mergeCell ref="C4311:G4311"/>
    <mergeCell ref="C4312:E4312"/>
    <mergeCell ref="F4312:G4312"/>
    <mergeCell ref="C4313:G4313"/>
    <mergeCell ref="F4322:G4322"/>
    <mergeCell ref="F4326:G4326"/>
    <mergeCell ref="C4327:G4327"/>
    <mergeCell ref="F4344:G4344"/>
    <mergeCell ref="C4345:G4345"/>
    <mergeCell ref="C4362:G4362"/>
    <mergeCell ref="C4215:G4215"/>
    <mergeCell ref="F4224:G4224"/>
    <mergeCell ref="F4228:G4228"/>
    <mergeCell ref="C4229:G4229"/>
    <mergeCell ref="C4230:E4230"/>
    <mergeCell ref="F4230:G4230"/>
    <mergeCell ref="C4231:G4231"/>
    <mergeCell ref="C4165:E4165"/>
    <mergeCell ref="F4165:G4165"/>
    <mergeCell ref="C4166:G4166"/>
    <mergeCell ref="F4175:G4175"/>
    <mergeCell ref="F4179:G4179"/>
    <mergeCell ref="C4182:G4182"/>
    <mergeCell ref="C4181:E4181"/>
    <mergeCell ref="C3885:G3885"/>
    <mergeCell ref="F3894:G3894"/>
    <mergeCell ref="F3898:G3898"/>
    <mergeCell ref="C3899:G3899"/>
    <mergeCell ref="F3983:G3983"/>
    <mergeCell ref="C3984:G3984"/>
    <mergeCell ref="C3985:E3985"/>
    <mergeCell ref="F3985:G3985"/>
    <mergeCell ref="C3986:G3986"/>
    <mergeCell ref="C4000:G4000"/>
    <mergeCell ref="C4001:E4001"/>
    <mergeCell ref="F4001:G4001"/>
    <mergeCell ref="C4002:G4002"/>
    <mergeCell ref="F3910:G3910"/>
    <mergeCell ref="F3914:G3914"/>
    <mergeCell ref="C3916:E3916"/>
    <mergeCell ref="F3916:G3916"/>
    <mergeCell ref="F4181:G4181"/>
    <mergeCell ref="C3917:G3917"/>
    <mergeCell ref="F3926:G3926"/>
    <mergeCell ref="F3930:G3930"/>
    <mergeCell ref="C3931:G3931"/>
    <mergeCell ref="C3932:E3932"/>
    <mergeCell ref="F3932:G3932"/>
    <mergeCell ref="C3933:G3933"/>
    <mergeCell ref="C3900:E3900"/>
    <mergeCell ref="F3900:G3900"/>
    <mergeCell ref="C3901:G3901"/>
    <mergeCell ref="F3947:G3947"/>
    <mergeCell ref="C3948:G3948"/>
    <mergeCell ref="C3949:E3949"/>
    <mergeCell ref="F3949:G3949"/>
    <mergeCell ref="C3950:G3950"/>
    <mergeCell ref="F3878:G3878"/>
    <mergeCell ref="F3882:G3882"/>
    <mergeCell ref="C3883:G3883"/>
    <mergeCell ref="C3884:E3884"/>
    <mergeCell ref="F3884:G3884"/>
    <mergeCell ref="C3867:G3867"/>
    <mergeCell ref="C3868:E3868"/>
    <mergeCell ref="F3868:G3868"/>
    <mergeCell ref="C3869:G3869"/>
    <mergeCell ref="C3834:E3834"/>
    <mergeCell ref="F3834:G3834"/>
    <mergeCell ref="C3835:G3835"/>
    <mergeCell ref="F3860:G3860"/>
    <mergeCell ref="F3866:G3866"/>
    <mergeCell ref="C3819:G3819"/>
    <mergeCell ref="F3828:G3828"/>
    <mergeCell ref="F3832:G3832"/>
    <mergeCell ref="C3833:G3833"/>
    <mergeCell ref="C3850:E3850"/>
    <mergeCell ref="F3850:G3850"/>
    <mergeCell ref="C3851:G3851"/>
    <mergeCell ref="C3638:E3638"/>
    <mergeCell ref="F3638:G3638"/>
    <mergeCell ref="C3639:G3639"/>
    <mergeCell ref="F3738:G3738"/>
    <mergeCell ref="F3766:G3766"/>
    <mergeCell ref="C3767:G3767"/>
    <mergeCell ref="C3768:E3768"/>
    <mergeCell ref="F3768:G3768"/>
    <mergeCell ref="C3749:G3749"/>
    <mergeCell ref="C3750:E3750"/>
    <mergeCell ref="F3750:G3750"/>
    <mergeCell ref="C3751:G3751"/>
    <mergeCell ref="F3745:G3745"/>
    <mergeCell ref="F3863:G3863"/>
    <mergeCell ref="F3844:G3844"/>
    <mergeCell ref="F3848:G3848"/>
    <mergeCell ref="F3630:G3630"/>
    <mergeCell ref="F3636:G3636"/>
    <mergeCell ref="C3637:G3637"/>
    <mergeCell ref="F3666:G3666"/>
    <mergeCell ref="F3672:G3672"/>
    <mergeCell ref="C3673:G3673"/>
    <mergeCell ref="C3674:E3674"/>
    <mergeCell ref="F3674:G3674"/>
    <mergeCell ref="C3675:G3675"/>
    <mergeCell ref="F3648:G3648"/>
    <mergeCell ref="F3654:G3654"/>
    <mergeCell ref="F3656:G3656"/>
    <mergeCell ref="C3657:G3657"/>
    <mergeCell ref="C3691:G3691"/>
    <mergeCell ref="C3692:E3692"/>
    <mergeCell ref="F3692:G3692"/>
    <mergeCell ref="F3748:G3748"/>
    <mergeCell ref="F3702:G3702"/>
    <mergeCell ref="F3708:G3708"/>
    <mergeCell ref="C3709:G3709"/>
    <mergeCell ref="C3710:E3710"/>
    <mergeCell ref="F3710:G3710"/>
    <mergeCell ref="C3711:G3711"/>
    <mergeCell ref="F3720:G3720"/>
    <mergeCell ref="F3726:G3726"/>
    <mergeCell ref="C3727:G3727"/>
    <mergeCell ref="C3728:E3728"/>
    <mergeCell ref="F3728:G3728"/>
    <mergeCell ref="C3729:G3729"/>
    <mergeCell ref="C3621:G3621"/>
    <mergeCell ref="F3614:G3614"/>
    <mergeCell ref="F3618:G3618"/>
    <mergeCell ref="C3619:G3619"/>
    <mergeCell ref="C3620:E3620"/>
    <mergeCell ref="F3620:G3620"/>
    <mergeCell ref="C3603:G3603"/>
    <mergeCell ref="C3604:E3604"/>
    <mergeCell ref="F3604:G3604"/>
    <mergeCell ref="C3605:G3605"/>
    <mergeCell ref="C3588:E3588"/>
    <mergeCell ref="F3588:G3588"/>
    <mergeCell ref="C3589:G3589"/>
    <mergeCell ref="F3598:G3598"/>
    <mergeCell ref="F3602:G3602"/>
    <mergeCell ref="C3573:G3573"/>
    <mergeCell ref="F3582:G3582"/>
    <mergeCell ref="F3586:G3586"/>
    <mergeCell ref="C3587:G3587"/>
    <mergeCell ref="C3572:E3572"/>
    <mergeCell ref="F3572:G3572"/>
    <mergeCell ref="C3555:G3555"/>
    <mergeCell ref="C3556:E3556"/>
    <mergeCell ref="F3556:G3556"/>
    <mergeCell ref="C3557:G3557"/>
    <mergeCell ref="F3566:G3566"/>
    <mergeCell ref="F3473:G3473"/>
    <mergeCell ref="F3479:G3479"/>
    <mergeCell ref="C3480:G3480"/>
    <mergeCell ref="C3481:E3481"/>
    <mergeCell ref="F3481:G3481"/>
    <mergeCell ref="C3482:G3482"/>
    <mergeCell ref="F3491:G3491"/>
    <mergeCell ref="F3497:G3497"/>
    <mergeCell ref="C3498:G3498"/>
    <mergeCell ref="C3516:G3516"/>
    <mergeCell ref="C3517:E3517"/>
    <mergeCell ref="F3517:G3517"/>
    <mergeCell ref="C3518:G3518"/>
    <mergeCell ref="F3527:G3527"/>
    <mergeCell ref="F3533:G3533"/>
    <mergeCell ref="C3534:G3534"/>
    <mergeCell ref="C3535:E3535"/>
    <mergeCell ref="F3535:G3535"/>
    <mergeCell ref="C3536:G3536"/>
    <mergeCell ref="F3554:G3554"/>
    <mergeCell ref="C3463:E3463"/>
    <mergeCell ref="F3463:G3463"/>
    <mergeCell ref="C3464:G3464"/>
    <mergeCell ref="C3428:G3428"/>
    <mergeCell ref="F3455:G3455"/>
    <mergeCell ref="F3461:G3461"/>
    <mergeCell ref="C3462:G3462"/>
    <mergeCell ref="F3437:G3437"/>
    <mergeCell ref="F3443:G3443"/>
    <mergeCell ref="C3444:G3444"/>
    <mergeCell ref="C3445:E3445"/>
    <mergeCell ref="F3445:G3445"/>
    <mergeCell ref="C3446:G3446"/>
    <mergeCell ref="F3545:G3545"/>
    <mergeCell ref="F3570:G3570"/>
    <mergeCell ref="F3551:G3551"/>
    <mergeCell ref="C3571:G3571"/>
    <mergeCell ref="C3427:E3427"/>
    <mergeCell ref="F3427:G3427"/>
    <mergeCell ref="F3419:G3419"/>
    <mergeCell ref="C3300:G3300"/>
    <mergeCell ref="F3347:G3347"/>
    <mergeCell ref="F3311:G3311"/>
    <mergeCell ref="F3317:G3317"/>
    <mergeCell ref="C3318:G3318"/>
    <mergeCell ref="C3319:E3319"/>
    <mergeCell ref="F3319:G3319"/>
    <mergeCell ref="C3320:G3320"/>
    <mergeCell ref="F3365:G3365"/>
    <mergeCell ref="F3371:G3371"/>
    <mergeCell ref="C3372:G3372"/>
    <mergeCell ref="C3373:E3373"/>
    <mergeCell ref="F3373:G3373"/>
    <mergeCell ref="C3374:G3374"/>
    <mergeCell ref="C3301:E3301"/>
    <mergeCell ref="F3301:G3301"/>
    <mergeCell ref="C3410:G3410"/>
    <mergeCell ref="C3284:G3284"/>
    <mergeCell ref="F3293:G3293"/>
    <mergeCell ref="F3299:G3299"/>
    <mergeCell ref="C3302:G3302"/>
    <mergeCell ref="F3425:G3425"/>
    <mergeCell ref="F3353:G3353"/>
    <mergeCell ref="C3354:G3354"/>
    <mergeCell ref="C3355:E3355"/>
    <mergeCell ref="F3355:G3355"/>
    <mergeCell ref="C3356:G3356"/>
    <mergeCell ref="C3426:G3426"/>
    <mergeCell ref="F3383:G3383"/>
    <mergeCell ref="F3389:G3389"/>
    <mergeCell ref="C3391:E3391"/>
    <mergeCell ref="F3391:G3391"/>
    <mergeCell ref="C3392:G3392"/>
    <mergeCell ref="F3401:G3401"/>
    <mergeCell ref="F3407:G3407"/>
    <mergeCell ref="C3408:G3408"/>
    <mergeCell ref="C3409:E3409"/>
    <mergeCell ref="F3409:G3409"/>
    <mergeCell ref="F3329:G3329"/>
    <mergeCell ref="F3335:G3335"/>
    <mergeCell ref="C3336:G3336"/>
    <mergeCell ref="C3337:E3337"/>
    <mergeCell ref="F3337:G3337"/>
    <mergeCell ref="C3338:G3338"/>
    <mergeCell ref="C3247:E3247"/>
    <mergeCell ref="F3247:G3247"/>
    <mergeCell ref="C3248:G3248"/>
    <mergeCell ref="F3257:G3257"/>
    <mergeCell ref="F3281:G3281"/>
    <mergeCell ref="F3263:G3263"/>
    <mergeCell ref="C3282:G3282"/>
    <mergeCell ref="C3283:E3283"/>
    <mergeCell ref="F3283:G3283"/>
    <mergeCell ref="C3264:G3264"/>
    <mergeCell ref="C3265:E3265"/>
    <mergeCell ref="F3265:G3265"/>
    <mergeCell ref="C3266:G3266"/>
    <mergeCell ref="F3275:G3275"/>
    <mergeCell ref="C3230:G3230"/>
    <mergeCell ref="F3239:G3239"/>
    <mergeCell ref="F3245:G3245"/>
    <mergeCell ref="C3246:G3246"/>
    <mergeCell ref="F3227:G3227"/>
    <mergeCell ref="C3228:G3228"/>
    <mergeCell ref="C3229:E3229"/>
    <mergeCell ref="F3229:G3229"/>
    <mergeCell ref="F3221:G3221"/>
    <mergeCell ref="C3193:E3193"/>
    <mergeCell ref="F3193:G3193"/>
    <mergeCell ref="C3194:G3194"/>
    <mergeCell ref="F3203:G3203"/>
    <mergeCell ref="F3209:G3209"/>
    <mergeCell ref="C3210:G3210"/>
    <mergeCell ref="C3211:E3211"/>
    <mergeCell ref="F3211:G3211"/>
    <mergeCell ref="C3212:G3212"/>
    <mergeCell ref="C3176:G3176"/>
    <mergeCell ref="F3185:G3185"/>
    <mergeCell ref="F3191:G3191"/>
    <mergeCell ref="C3192:G3192"/>
    <mergeCell ref="C3139:E3139"/>
    <mergeCell ref="F3139:G3139"/>
    <mergeCell ref="C3140:G3140"/>
    <mergeCell ref="F3119:G3119"/>
    <mergeCell ref="C3120:G3120"/>
    <mergeCell ref="C3121:E3121"/>
    <mergeCell ref="F3173:G3173"/>
    <mergeCell ref="F3155:G3155"/>
    <mergeCell ref="C3174:G3174"/>
    <mergeCell ref="C3175:E3175"/>
    <mergeCell ref="F3175:G3175"/>
    <mergeCell ref="C3156:G3156"/>
    <mergeCell ref="C3157:E3157"/>
    <mergeCell ref="F3157:G3157"/>
    <mergeCell ref="C3158:G3158"/>
    <mergeCell ref="F3167:G3167"/>
    <mergeCell ref="C3122:G3122"/>
    <mergeCell ref="F3131:G3131"/>
    <mergeCell ref="F3137:G3137"/>
    <mergeCell ref="C3138:G3138"/>
    <mergeCell ref="F3149:G3149"/>
    <mergeCell ref="F3114:G3114"/>
    <mergeCell ref="C3039:E3039"/>
    <mergeCell ref="F3039:G3039"/>
    <mergeCell ref="C3040:G3040"/>
    <mergeCell ref="F3097:G3097"/>
    <mergeCell ref="F3102:G3102"/>
    <mergeCell ref="C3024:G3024"/>
    <mergeCell ref="F3033:G3033"/>
    <mergeCell ref="F3121:G3121"/>
    <mergeCell ref="C3103:G3103"/>
    <mergeCell ref="C3104:E3104"/>
    <mergeCell ref="F3104:G3104"/>
    <mergeCell ref="C3105:G3105"/>
    <mergeCell ref="F3037:G3037"/>
    <mergeCell ref="C3038:G3038"/>
    <mergeCell ref="C2993:E2993"/>
    <mergeCell ref="F2993:G2993"/>
    <mergeCell ref="F3080:G3080"/>
    <mergeCell ref="F3085:G3085"/>
    <mergeCell ref="F3064:G3064"/>
    <mergeCell ref="F3068:G3068"/>
    <mergeCell ref="F3049:G3049"/>
    <mergeCell ref="F3052:G3052"/>
    <mergeCell ref="F2987:G2987"/>
    <mergeCell ref="F2991:G2991"/>
    <mergeCell ref="C2994:G2994"/>
    <mergeCell ref="F3003:G3003"/>
    <mergeCell ref="F3021:G3021"/>
    <mergeCell ref="F3006:G3006"/>
    <mergeCell ref="C3022:G3022"/>
    <mergeCell ref="C3023:E3023"/>
    <mergeCell ref="F3023:G3023"/>
    <mergeCell ref="C3007:G3007"/>
    <mergeCell ref="C3008:E3008"/>
    <mergeCell ref="F3008:G3008"/>
    <mergeCell ref="C3009:G3009"/>
    <mergeCell ref="F3018:G3018"/>
    <mergeCell ref="C2992:G2992"/>
    <mergeCell ref="C2977:E2977"/>
    <mergeCell ref="F2977:G2977"/>
    <mergeCell ref="C2978:G2978"/>
    <mergeCell ref="C2962:G2962"/>
    <mergeCell ref="F2971:G2971"/>
    <mergeCell ref="F2975:G2975"/>
    <mergeCell ref="C2976:G2976"/>
    <mergeCell ref="C2960:G2960"/>
    <mergeCell ref="F2927:G2927"/>
    <mergeCell ref="C2961:E2961"/>
    <mergeCell ref="F2961:G2961"/>
    <mergeCell ref="F2955:G2955"/>
    <mergeCell ref="C2928:G2928"/>
    <mergeCell ref="C2929:E2929"/>
    <mergeCell ref="F2929:G2929"/>
    <mergeCell ref="C2930:G2930"/>
    <mergeCell ref="F2959:G2959"/>
    <mergeCell ref="C2898:G2898"/>
    <mergeCell ref="F2907:G2907"/>
    <mergeCell ref="F2911:G2911"/>
    <mergeCell ref="C2912:G2912"/>
    <mergeCell ref="C2914:G2914"/>
    <mergeCell ref="F2923:G2923"/>
    <mergeCell ref="F2875:G2875"/>
    <mergeCell ref="F2895:G2895"/>
    <mergeCell ref="F2879:G2879"/>
    <mergeCell ref="F2897:G2897"/>
    <mergeCell ref="C2880:G2880"/>
    <mergeCell ref="C2881:E2881"/>
    <mergeCell ref="F2881:G2881"/>
    <mergeCell ref="C2882:G2882"/>
    <mergeCell ref="F2891:G2891"/>
    <mergeCell ref="C2913:E2913"/>
    <mergeCell ref="F2913:G2913"/>
    <mergeCell ref="C2896:G2896"/>
    <mergeCell ref="C2897:E2897"/>
    <mergeCell ref="C2866:G2866"/>
    <mergeCell ref="F2865:G2865"/>
    <mergeCell ref="C2848:G2848"/>
    <mergeCell ref="C2849:E2849"/>
    <mergeCell ref="F2849:G2849"/>
    <mergeCell ref="C2850:G2850"/>
    <mergeCell ref="F2831:G2831"/>
    <mergeCell ref="C2832:G2832"/>
    <mergeCell ref="F2863:G2863"/>
    <mergeCell ref="C2864:G2864"/>
    <mergeCell ref="C2865:E2865"/>
    <mergeCell ref="C2816:G2816"/>
    <mergeCell ref="C2817:E2817"/>
    <mergeCell ref="F2817:G2817"/>
    <mergeCell ref="C2800:G2800"/>
    <mergeCell ref="C2801:E2801"/>
    <mergeCell ref="F2801:G2801"/>
    <mergeCell ref="C2802:G2802"/>
    <mergeCell ref="F2811:G2811"/>
    <mergeCell ref="F2815:G2815"/>
    <mergeCell ref="C2784:G2784"/>
    <mergeCell ref="F2859:G2859"/>
    <mergeCell ref="C2833:E2833"/>
    <mergeCell ref="F2833:G2833"/>
    <mergeCell ref="C2834:G2834"/>
    <mergeCell ref="F2843:G2843"/>
    <mergeCell ref="F2847:G2847"/>
    <mergeCell ref="C2818:G2818"/>
    <mergeCell ref="F2827:G2827"/>
    <mergeCell ref="C2721:G2721"/>
    <mergeCell ref="C2785:E2785"/>
    <mergeCell ref="F2785:G2785"/>
    <mergeCell ref="C2786:G2786"/>
    <mergeCell ref="F2795:G2795"/>
    <mergeCell ref="F2799:G2799"/>
    <mergeCell ref="C2770:G2770"/>
    <mergeCell ref="F2779:G2779"/>
    <mergeCell ref="F2783:G2783"/>
    <mergeCell ref="F2747:G2747"/>
    <mergeCell ref="F2767:G2767"/>
    <mergeCell ref="F2751:G2751"/>
    <mergeCell ref="F2734:G2734"/>
    <mergeCell ref="C2735:G2735"/>
    <mergeCell ref="C2736:E2736"/>
    <mergeCell ref="F2736:G2736"/>
    <mergeCell ref="C2737:G2737"/>
    <mergeCell ref="C2768:G2768"/>
    <mergeCell ref="C2769:E2769"/>
    <mergeCell ref="F2769:G2769"/>
    <mergeCell ref="C2752:G2752"/>
    <mergeCell ref="C2753:E2753"/>
    <mergeCell ref="F2753:G2753"/>
    <mergeCell ref="C2754:G2754"/>
    <mergeCell ref="F2763:G2763"/>
    <mergeCell ref="F2730:G2730"/>
    <mergeCell ref="C2653:G2653"/>
    <mergeCell ref="F2662:G2662"/>
    <mergeCell ref="F2685:G2685"/>
    <mergeCell ref="C2686:G2686"/>
    <mergeCell ref="C2687:E2687"/>
    <mergeCell ref="F2687:G2687"/>
    <mergeCell ref="F2668:G2668"/>
    <mergeCell ref="C2669:G2669"/>
    <mergeCell ref="C2720:E2720"/>
    <mergeCell ref="F2720:G2720"/>
    <mergeCell ref="C2688:G2688"/>
    <mergeCell ref="F2714:G2714"/>
    <mergeCell ref="F2718:G2718"/>
    <mergeCell ref="C2719:G2719"/>
    <mergeCell ref="F2680:G2680"/>
    <mergeCell ref="C2670:E2670"/>
    <mergeCell ref="F2670:G2670"/>
    <mergeCell ref="C2671:G2671"/>
    <mergeCell ref="F2697:G2697"/>
    <mergeCell ref="F2702:G2702"/>
    <mergeCell ref="C2703:G2703"/>
    <mergeCell ref="C2704:E2704"/>
    <mergeCell ref="F2704:G2704"/>
    <mergeCell ref="C2705:G2705"/>
    <mergeCell ref="C2615:E2615"/>
    <mergeCell ref="F2615:G2615"/>
    <mergeCell ref="C2556:G2556"/>
    <mergeCell ref="F2607:G2607"/>
    <mergeCell ref="F2613:G2613"/>
    <mergeCell ref="C2616:G2616"/>
    <mergeCell ref="F2625:G2625"/>
    <mergeCell ref="F2650:G2650"/>
    <mergeCell ref="F2631:G2631"/>
    <mergeCell ref="C2651:G2651"/>
    <mergeCell ref="C2652:E2652"/>
    <mergeCell ref="F2652:G2652"/>
    <mergeCell ref="C2632:G2632"/>
    <mergeCell ref="C2633:E2633"/>
    <mergeCell ref="F2633:G2633"/>
    <mergeCell ref="C2634:G2634"/>
    <mergeCell ref="F2644:G2644"/>
    <mergeCell ref="C2614:G2614"/>
    <mergeCell ref="F2512:G2512"/>
    <mergeCell ref="C2485:E2485"/>
    <mergeCell ref="F2485:G2485"/>
    <mergeCell ref="C2486:G2486"/>
    <mergeCell ref="F2495:G2495"/>
    <mergeCell ref="F2500:G2500"/>
    <mergeCell ref="C2470:G2470"/>
    <mergeCell ref="F2478:G2478"/>
    <mergeCell ref="F2483:G2483"/>
    <mergeCell ref="F2529:G2529"/>
    <mergeCell ref="F2553:G2553"/>
    <mergeCell ref="F2535:G2535"/>
    <mergeCell ref="C2554:G2554"/>
    <mergeCell ref="C2555:E2555"/>
    <mergeCell ref="F2555:G2555"/>
    <mergeCell ref="C2536:G2536"/>
    <mergeCell ref="C2537:E2537"/>
    <mergeCell ref="F2537:G2537"/>
    <mergeCell ref="C2538:G2538"/>
    <mergeCell ref="F2547:G2547"/>
    <mergeCell ref="C2520:G2520"/>
    <mergeCell ref="F2519:G2519"/>
    <mergeCell ref="C2501:G2501"/>
    <mergeCell ref="C2502:E2502"/>
    <mergeCell ref="F2502:G2502"/>
    <mergeCell ref="C2503:G2503"/>
    <mergeCell ref="F2517:G2517"/>
    <mergeCell ref="C2518:G2518"/>
    <mergeCell ref="C2519:E2519"/>
    <mergeCell ref="F2280:G2280"/>
    <mergeCell ref="F2314:G2314"/>
    <mergeCell ref="C2315:G2315"/>
    <mergeCell ref="F2324:G2324"/>
    <mergeCell ref="F2329:G2329"/>
    <mergeCell ref="C2330:G2330"/>
    <mergeCell ref="C2331:E2331"/>
    <mergeCell ref="F2331:G2331"/>
    <mergeCell ref="C2332:G2332"/>
    <mergeCell ref="C2348:E2348"/>
    <mergeCell ref="F2348:G2348"/>
    <mergeCell ref="F2376:G2376"/>
    <mergeCell ref="F2427:G2427"/>
    <mergeCell ref="C2468:G2468"/>
    <mergeCell ref="C2469:E2469"/>
    <mergeCell ref="F2469:G2469"/>
    <mergeCell ref="C2451:G2451"/>
    <mergeCell ref="C2452:E2452"/>
    <mergeCell ref="F2452:G2452"/>
    <mergeCell ref="C2453:G2453"/>
    <mergeCell ref="F2462:G2462"/>
    <mergeCell ref="C2197:E2197"/>
    <mergeCell ref="F2197:G2197"/>
    <mergeCell ref="C2198:G2198"/>
    <mergeCell ref="F2207:G2207"/>
    <mergeCell ref="F2211:G2211"/>
    <mergeCell ref="F2273:G2273"/>
    <mergeCell ref="F2278:G2278"/>
    <mergeCell ref="C2279:G2279"/>
    <mergeCell ref="F2229:G2229"/>
    <mergeCell ref="C2230:G2230"/>
    <mergeCell ref="C2246:E2246"/>
    <mergeCell ref="F2246:G2246"/>
    <mergeCell ref="C2247:G2247"/>
    <mergeCell ref="F2223:G2223"/>
    <mergeCell ref="F2227:G2227"/>
    <mergeCell ref="F2364:G2364"/>
    <mergeCell ref="C2435:E2435"/>
    <mergeCell ref="F2435:G2435"/>
    <mergeCell ref="C2281:G2281"/>
    <mergeCell ref="C2349:G2349"/>
    <mergeCell ref="F2256:G2256"/>
    <mergeCell ref="F2261:G2261"/>
    <mergeCell ref="C2262:G2262"/>
    <mergeCell ref="C2263:E2263"/>
    <mergeCell ref="F2263:G2263"/>
    <mergeCell ref="C2264:G2264"/>
    <mergeCell ref="F2307:G2307"/>
    <mergeCell ref="F2312:G2312"/>
    <mergeCell ref="C2313:G2313"/>
    <mergeCell ref="C2314:E2314"/>
    <mergeCell ref="F2381:G2381"/>
    <mergeCell ref="C2280:E2280"/>
    <mergeCell ref="C2098:E2098"/>
    <mergeCell ref="F2098:G2098"/>
    <mergeCell ref="F2108:G2108"/>
    <mergeCell ref="F2111:G2111"/>
    <mergeCell ref="C2112:G2112"/>
    <mergeCell ref="C2214:G2214"/>
    <mergeCell ref="F2239:G2239"/>
    <mergeCell ref="F2244:G2244"/>
    <mergeCell ref="C2245:G2245"/>
    <mergeCell ref="F2290:G2290"/>
    <mergeCell ref="F2295:G2295"/>
    <mergeCell ref="C2296:G2296"/>
    <mergeCell ref="C2297:E2297"/>
    <mergeCell ref="F2297:G2297"/>
    <mergeCell ref="C2298:G2298"/>
    <mergeCell ref="F2341:G2341"/>
    <mergeCell ref="C2347:G2347"/>
    <mergeCell ref="C2228:G2228"/>
    <mergeCell ref="C2229:E2229"/>
    <mergeCell ref="F2139:G2139"/>
    <mergeCell ref="F2144:G2144"/>
    <mergeCell ref="C2099:G2099"/>
    <mergeCell ref="F2123:G2123"/>
    <mergeCell ref="C2180:E2180"/>
    <mergeCell ref="F2180:G2180"/>
    <mergeCell ref="C2181:G2181"/>
    <mergeCell ref="F2190:G2190"/>
    <mergeCell ref="F2195:G2195"/>
    <mergeCell ref="C2212:G2212"/>
    <mergeCell ref="C2213:E2213"/>
    <mergeCell ref="F2213:G2213"/>
    <mergeCell ref="C2196:G2196"/>
    <mergeCell ref="F1997:G1997"/>
    <mergeCell ref="C2034:G2034"/>
    <mergeCell ref="F2031:G2031"/>
    <mergeCell ref="C2032:G2032"/>
    <mergeCell ref="C2033:E2033"/>
    <mergeCell ref="F2033:G2033"/>
    <mergeCell ref="C2051:G2051"/>
    <mergeCell ref="F2043:G2043"/>
    <mergeCell ref="F2048:G2048"/>
    <mergeCell ref="C2049:G2049"/>
    <mergeCell ref="C2164:G2164"/>
    <mergeCell ref="F2173:G2173"/>
    <mergeCell ref="F2178:G2178"/>
    <mergeCell ref="C2179:G2179"/>
    <mergeCell ref="F2127:G2127"/>
    <mergeCell ref="C2067:G2067"/>
    <mergeCell ref="F2093:G2093"/>
    <mergeCell ref="C2113:E2113"/>
    <mergeCell ref="F2113:G2113"/>
    <mergeCell ref="C2114:G2114"/>
    <mergeCell ref="C2162:G2162"/>
    <mergeCell ref="C2163:E2163"/>
    <mergeCell ref="F2163:G2163"/>
    <mergeCell ref="C2129:E2129"/>
    <mergeCell ref="F2129:G2129"/>
    <mergeCell ref="C2130:G2130"/>
    <mergeCell ref="C2147:G2147"/>
    <mergeCell ref="F2156:G2156"/>
    <mergeCell ref="F2161:G2161"/>
    <mergeCell ref="C2128:G2128"/>
    <mergeCell ref="F2096:G2096"/>
    <mergeCell ref="C2097:G2097"/>
    <mergeCell ref="C1937:E1937"/>
    <mergeCell ref="F1937:G1937"/>
    <mergeCell ref="F1915:G1915"/>
    <mergeCell ref="F1920:G1920"/>
    <mergeCell ref="C1938:G1938"/>
    <mergeCell ref="F1947:G1947"/>
    <mergeCell ref="F1950:G1950"/>
    <mergeCell ref="C1923:G1923"/>
    <mergeCell ref="F1932:G1932"/>
    <mergeCell ref="F1935:G1935"/>
    <mergeCell ref="C1936:G1936"/>
    <mergeCell ref="C1982:E1982"/>
    <mergeCell ref="F1982:G1982"/>
    <mergeCell ref="C1921:G1921"/>
    <mergeCell ref="C1922:E1922"/>
    <mergeCell ref="F1922:G1922"/>
    <mergeCell ref="C1884:G1884"/>
    <mergeCell ref="C1903:G1903"/>
    <mergeCell ref="C1904:E1904"/>
    <mergeCell ref="F1904:G1904"/>
    <mergeCell ref="C1905:G1905"/>
    <mergeCell ref="F1977:G1977"/>
    <mergeCell ref="F1980:G1980"/>
    <mergeCell ref="C1981:G1981"/>
    <mergeCell ref="C1951:G1951"/>
    <mergeCell ref="C1952:E1952"/>
    <mergeCell ref="F1952:G1952"/>
    <mergeCell ref="C1953:G1953"/>
    <mergeCell ref="F1784:G1784"/>
    <mergeCell ref="F1786:G1786"/>
    <mergeCell ref="C1806:G1806"/>
    <mergeCell ref="C1787:G1787"/>
    <mergeCell ref="C1788:E1788"/>
    <mergeCell ref="F1788:G1788"/>
    <mergeCell ref="C1836:G1836"/>
    <mergeCell ref="C1867:G1867"/>
    <mergeCell ref="C1789:G1789"/>
    <mergeCell ref="F1798:G1798"/>
    <mergeCell ref="F1803:G1803"/>
    <mergeCell ref="C1804:G1804"/>
    <mergeCell ref="C1805:D1805"/>
    <mergeCell ref="F1805:G1805"/>
    <mergeCell ref="C1774:G1774"/>
    <mergeCell ref="C1775:E1775"/>
    <mergeCell ref="F1775:G1775"/>
    <mergeCell ref="C1776:G1776"/>
    <mergeCell ref="F1815:G1815"/>
    <mergeCell ref="F1817:G1817"/>
    <mergeCell ref="F1830:G1830"/>
    <mergeCell ref="F1833:G1833"/>
    <mergeCell ref="F1845:G1845"/>
    <mergeCell ref="F1848:G1848"/>
    <mergeCell ref="F1860:G1860"/>
    <mergeCell ref="F1864:G1864"/>
    <mergeCell ref="C1763:E1763"/>
    <mergeCell ref="F1763:G1763"/>
    <mergeCell ref="F1741:G1741"/>
    <mergeCell ref="F1744:G1744"/>
    <mergeCell ref="F1747:G1747"/>
    <mergeCell ref="C1764:G1764"/>
    <mergeCell ref="F1769:G1769"/>
    <mergeCell ref="F1773:G1773"/>
    <mergeCell ref="C1751:G1751"/>
    <mergeCell ref="F1756:G1756"/>
    <mergeCell ref="F1761:G1761"/>
    <mergeCell ref="C1762:G1762"/>
    <mergeCell ref="C1749:G1749"/>
    <mergeCell ref="C1750:E1750"/>
    <mergeCell ref="F1750:G1750"/>
    <mergeCell ref="F1728:G1728"/>
    <mergeCell ref="C1730:G1730"/>
    <mergeCell ref="C1731:E1731"/>
    <mergeCell ref="F1731:G1731"/>
    <mergeCell ref="C1732:G1732"/>
    <mergeCell ref="E1639:F1639"/>
    <mergeCell ref="E1645:F1645"/>
    <mergeCell ref="E1646:F1646"/>
    <mergeCell ref="E1647:F1647"/>
    <mergeCell ref="E1648:F1648"/>
    <mergeCell ref="C1712:E1712"/>
    <mergeCell ref="F1712:G1712"/>
    <mergeCell ref="C1713:G1713"/>
    <mergeCell ref="F1683:G1683"/>
    <mergeCell ref="F1686:G1686"/>
    <mergeCell ref="F1690:G1690"/>
    <mergeCell ref="C1692:G1692"/>
    <mergeCell ref="C1693:E1693"/>
    <mergeCell ref="F1693:G1693"/>
    <mergeCell ref="F1722:G1722"/>
    <mergeCell ref="F1725:G1725"/>
    <mergeCell ref="C1694:G1694"/>
    <mergeCell ref="F1703:G1703"/>
    <mergeCell ref="F1706:G1706"/>
    <mergeCell ref="F1709:G1709"/>
    <mergeCell ref="C1711:G1711"/>
    <mergeCell ref="F1667:G1667"/>
    <mergeCell ref="C1669:G1669"/>
    <mergeCell ref="C1670:E1670"/>
    <mergeCell ref="F1670:G1670"/>
    <mergeCell ref="C1671:G1671"/>
    <mergeCell ref="C1633:G1633"/>
    <mergeCell ref="C1610:G1610"/>
    <mergeCell ref="C1611:E1611"/>
    <mergeCell ref="F1611:G1611"/>
    <mergeCell ref="C1565:G1565"/>
    <mergeCell ref="C1566:E1566"/>
    <mergeCell ref="F1566:G1566"/>
    <mergeCell ref="F1592:G1592"/>
    <mergeCell ref="F1594:G1594"/>
    <mergeCell ref="F1660:G1660"/>
    <mergeCell ref="F1663:G1663"/>
    <mergeCell ref="C1612:G1612"/>
    <mergeCell ref="F1622:G1622"/>
    <mergeCell ref="F1625:G1625"/>
    <mergeCell ref="F1629:G1629"/>
    <mergeCell ref="C1631:G1631"/>
    <mergeCell ref="E1636:F1636"/>
    <mergeCell ref="E1637:F1637"/>
    <mergeCell ref="C1595:G1595"/>
    <mergeCell ref="C1596:E1596"/>
    <mergeCell ref="F1596:G1596"/>
    <mergeCell ref="C1597:G1597"/>
    <mergeCell ref="E1638:F1638"/>
    <mergeCell ref="C1632:E1632"/>
    <mergeCell ref="F1632:G1632"/>
    <mergeCell ref="F1607:G1607"/>
    <mergeCell ref="F1609:G1609"/>
    <mergeCell ref="E1640:F1640"/>
    <mergeCell ref="E1641:F1641"/>
    <mergeCell ref="E1642:F1642"/>
    <mergeCell ref="E1643:F1643"/>
    <mergeCell ref="E1644:F1644"/>
    <mergeCell ref="F1549:G1549"/>
    <mergeCell ref="F1551:G1551"/>
    <mergeCell ref="C1580:G1580"/>
    <mergeCell ref="C1552:G1552"/>
    <mergeCell ref="C1553:E1553"/>
    <mergeCell ref="F1553:G1553"/>
    <mergeCell ref="C1554:G1554"/>
    <mergeCell ref="F1562:G1562"/>
    <mergeCell ref="C1507:G1507"/>
    <mergeCell ref="C1508:E1508"/>
    <mergeCell ref="F1508:G1508"/>
    <mergeCell ref="C1509:G1509"/>
    <mergeCell ref="C1528:G1528"/>
    <mergeCell ref="C1582:G1582"/>
    <mergeCell ref="C1567:G1567"/>
    <mergeCell ref="F1577:G1577"/>
    <mergeCell ref="F1579:G1579"/>
    <mergeCell ref="C1581:E1581"/>
    <mergeCell ref="F1581:G1581"/>
    <mergeCell ref="F1564:G1564"/>
    <mergeCell ref="C1490:E1490"/>
    <mergeCell ref="F1490:G1490"/>
    <mergeCell ref="F1462:G1462"/>
    <mergeCell ref="F1468:G1468"/>
    <mergeCell ref="C1451:G1451"/>
    <mergeCell ref="C1452:E1452"/>
    <mergeCell ref="F1452:G1452"/>
    <mergeCell ref="C1453:G1453"/>
    <mergeCell ref="C1491:G1491"/>
    <mergeCell ref="C1471:G1471"/>
    <mergeCell ref="F1480:G1480"/>
    <mergeCell ref="F1488:G1488"/>
    <mergeCell ref="C1541:G1541"/>
    <mergeCell ref="C1526:G1526"/>
    <mergeCell ref="C1527:E1527"/>
    <mergeCell ref="F1527:G1527"/>
    <mergeCell ref="C1469:G1469"/>
    <mergeCell ref="C1470:E1470"/>
    <mergeCell ref="F1470:G1470"/>
    <mergeCell ref="F1500:G1500"/>
    <mergeCell ref="F1506:G1506"/>
    <mergeCell ref="C1489:G1489"/>
    <mergeCell ref="C1539:G1539"/>
    <mergeCell ref="C1540:E1540"/>
    <mergeCell ref="F1540:G1540"/>
    <mergeCell ref="F1518:G1518"/>
    <mergeCell ref="F1525:G1525"/>
    <mergeCell ref="F1536:G1536"/>
    <mergeCell ref="F1538:G1538"/>
    <mergeCell ref="F1202:G1202"/>
    <mergeCell ref="C1304:G1304"/>
    <mergeCell ref="F1301:G1301"/>
    <mergeCell ref="C1325:G1325"/>
    <mergeCell ref="C1326:E1326"/>
    <mergeCell ref="C1435:G1435"/>
    <mergeCell ref="F1326:G1326"/>
    <mergeCell ref="C1327:G1327"/>
    <mergeCell ref="F1444:G1444"/>
    <mergeCell ref="F1450:G1450"/>
    <mergeCell ref="F1362:G1362"/>
    <mergeCell ref="F1426:G1426"/>
    <mergeCell ref="F1432:G1432"/>
    <mergeCell ref="C1433:G1433"/>
    <mergeCell ref="C1434:E1434"/>
    <mergeCell ref="F1434:G1434"/>
    <mergeCell ref="F1315:G1315"/>
    <mergeCell ref="F1324:G1324"/>
    <mergeCell ref="C1302:G1302"/>
    <mergeCell ref="C1303:E1303"/>
    <mergeCell ref="F1303:G1303"/>
    <mergeCell ref="F1371:G1371"/>
    <mergeCell ref="F1408:G1408"/>
    <mergeCell ref="F1414:G1414"/>
    <mergeCell ref="C1205:G1205"/>
    <mergeCell ref="C1287:G1287"/>
    <mergeCell ref="F1296:G1296"/>
    <mergeCell ref="C1204:E1204"/>
    <mergeCell ref="F1204:G1204"/>
    <mergeCell ref="F1246:G1246"/>
    <mergeCell ref="C1247:G1247"/>
    <mergeCell ref="F1236:G1236"/>
    <mergeCell ref="F1244:G1244"/>
    <mergeCell ref="C1245:G1245"/>
    <mergeCell ref="C1246:E1246"/>
    <mergeCell ref="F1215:G1215"/>
    <mergeCell ref="F1223:G1223"/>
    <mergeCell ref="C1225:G1225"/>
    <mergeCell ref="C1226:E1226"/>
    <mergeCell ref="F1226:G1226"/>
    <mergeCell ref="C1227:G1227"/>
    <mergeCell ref="F1276:G1276"/>
    <mergeCell ref="F1284:G1284"/>
    <mergeCell ref="C1203:G1203"/>
    <mergeCell ref="F1161:G1161"/>
    <mergeCell ref="C1164:G1164"/>
    <mergeCell ref="C1048:G1048"/>
    <mergeCell ref="C1049:E1049"/>
    <mergeCell ref="F1049:G1049"/>
    <mergeCell ref="C1050:G1050"/>
    <mergeCell ref="C1085:G1085"/>
    <mergeCell ref="F1077:G1077"/>
    <mergeCell ref="C1162:G1162"/>
    <mergeCell ref="C1163:E1163"/>
    <mergeCell ref="F1163:G1163"/>
    <mergeCell ref="C1121:G1121"/>
    <mergeCell ref="C1122:E1122"/>
    <mergeCell ref="F1122:G1122"/>
    <mergeCell ref="C1123:G1123"/>
    <mergeCell ref="F1153:G1153"/>
    <mergeCell ref="C1144:G1144"/>
    <mergeCell ref="F1173:G1173"/>
    <mergeCell ref="F1181:G1181"/>
    <mergeCell ref="C1183:G1183"/>
    <mergeCell ref="C1185:G1185"/>
    <mergeCell ref="F1084:G1084"/>
    <mergeCell ref="F1112:G1112"/>
    <mergeCell ref="F1082:G1082"/>
    <mergeCell ref="C1083:G1083"/>
    <mergeCell ref="F1120:G1120"/>
    <mergeCell ref="C1143:E1143"/>
    <mergeCell ref="F1143:G1143"/>
    <mergeCell ref="F1194:G1194"/>
    <mergeCell ref="C899:G899"/>
    <mergeCell ref="C900:E900"/>
    <mergeCell ref="F900:G900"/>
    <mergeCell ref="C937:G937"/>
    <mergeCell ref="C901:G901"/>
    <mergeCell ref="F946:G946"/>
    <mergeCell ref="F949:G949"/>
    <mergeCell ref="F910:G910"/>
    <mergeCell ref="F916:G916"/>
    <mergeCell ref="C917:G917"/>
    <mergeCell ref="C918:E918"/>
    <mergeCell ref="F918:G918"/>
    <mergeCell ref="C919:G919"/>
    <mergeCell ref="F979:G979"/>
    <mergeCell ref="C980:G980"/>
    <mergeCell ref="C981:E981"/>
    <mergeCell ref="F981:G981"/>
    <mergeCell ref="F961:G961"/>
    <mergeCell ref="C1030:G1030"/>
    <mergeCell ref="F951:G951"/>
    <mergeCell ref="C952:G952"/>
    <mergeCell ref="C882:E882"/>
    <mergeCell ref="F882:G882"/>
    <mergeCell ref="C883:G883"/>
    <mergeCell ref="F892:G892"/>
    <mergeCell ref="F898:G898"/>
    <mergeCell ref="C845:G845"/>
    <mergeCell ref="C846:E846"/>
    <mergeCell ref="F846:G846"/>
    <mergeCell ref="F820:G820"/>
    <mergeCell ref="F826:G826"/>
    <mergeCell ref="C827:G827"/>
    <mergeCell ref="F874:G874"/>
    <mergeCell ref="C847:G847"/>
    <mergeCell ref="F880:G880"/>
    <mergeCell ref="C881:G881"/>
    <mergeCell ref="F856:G856"/>
    <mergeCell ref="F862:G862"/>
    <mergeCell ref="C863:G863"/>
    <mergeCell ref="C864:E864"/>
    <mergeCell ref="F864:G864"/>
    <mergeCell ref="C865:G865"/>
    <mergeCell ref="C828:E828"/>
    <mergeCell ref="F828:G828"/>
    <mergeCell ref="C829:G829"/>
    <mergeCell ref="F838:G838"/>
    <mergeCell ref="F844:G844"/>
    <mergeCell ref="C811:G811"/>
    <mergeCell ref="C791:G791"/>
    <mergeCell ref="C792:E792"/>
    <mergeCell ref="F792:G792"/>
    <mergeCell ref="C793:G793"/>
    <mergeCell ref="C774:E774"/>
    <mergeCell ref="F774:G774"/>
    <mergeCell ref="C775:G775"/>
    <mergeCell ref="F802:G802"/>
    <mergeCell ref="F808:G808"/>
    <mergeCell ref="C809:G809"/>
    <mergeCell ref="C810:E810"/>
    <mergeCell ref="F810:G810"/>
    <mergeCell ref="F784:G784"/>
    <mergeCell ref="F790:G790"/>
    <mergeCell ref="C718:E718"/>
    <mergeCell ref="F718:G718"/>
    <mergeCell ref="C719:G719"/>
    <mergeCell ref="F728:G728"/>
    <mergeCell ref="C735:G735"/>
    <mergeCell ref="C736:E736"/>
    <mergeCell ref="F736:G736"/>
    <mergeCell ref="F766:G766"/>
    <mergeCell ref="C737:G737"/>
    <mergeCell ref="F772:G772"/>
    <mergeCell ref="C773:G773"/>
    <mergeCell ref="F746:G746"/>
    <mergeCell ref="F752:G752"/>
    <mergeCell ref="C753:G753"/>
    <mergeCell ref="C754:E754"/>
    <mergeCell ref="F754:G754"/>
    <mergeCell ref="C755:G755"/>
    <mergeCell ref="F734:G734"/>
    <mergeCell ref="C663:G663"/>
    <mergeCell ref="C664:E664"/>
    <mergeCell ref="F664:G664"/>
    <mergeCell ref="F710:G710"/>
    <mergeCell ref="C665:G665"/>
    <mergeCell ref="F716:G716"/>
    <mergeCell ref="C717:G717"/>
    <mergeCell ref="F674:G674"/>
    <mergeCell ref="F680:G680"/>
    <mergeCell ref="C681:G681"/>
    <mergeCell ref="C682:E682"/>
    <mergeCell ref="F682:G682"/>
    <mergeCell ref="C683:G683"/>
    <mergeCell ref="C644:E644"/>
    <mergeCell ref="F644:G644"/>
    <mergeCell ref="C645:G645"/>
    <mergeCell ref="F654:G654"/>
    <mergeCell ref="F662:G662"/>
    <mergeCell ref="C698:G698"/>
    <mergeCell ref="C699:E699"/>
    <mergeCell ref="F699:G699"/>
    <mergeCell ref="C700:G700"/>
    <mergeCell ref="F692:G692"/>
    <mergeCell ref="F697:G697"/>
    <mergeCell ref="F486:G486"/>
    <mergeCell ref="C487:G487"/>
    <mergeCell ref="C542:E542"/>
    <mergeCell ref="F542:G542"/>
    <mergeCell ref="F638:G638"/>
    <mergeCell ref="F642:G642"/>
    <mergeCell ref="C643:G643"/>
    <mergeCell ref="C629:G629"/>
    <mergeCell ref="C610:G610"/>
    <mergeCell ref="C611:E611"/>
    <mergeCell ref="F611:G611"/>
    <mergeCell ref="C612:G612"/>
    <mergeCell ref="C594:E594"/>
    <mergeCell ref="F594:G594"/>
    <mergeCell ref="C595:G595"/>
    <mergeCell ref="F621:G621"/>
    <mergeCell ref="F626:G626"/>
    <mergeCell ref="C627:G627"/>
    <mergeCell ref="C628:E628"/>
    <mergeCell ref="F628:G628"/>
    <mergeCell ref="F604:G604"/>
    <mergeCell ref="F609:G609"/>
    <mergeCell ref="C499:E499"/>
    <mergeCell ref="F499:G499"/>
    <mergeCell ref="C500:G500"/>
    <mergeCell ref="F509:G509"/>
    <mergeCell ref="F514:G514"/>
    <mergeCell ref="C543:G543"/>
    <mergeCell ref="F553:G553"/>
    <mergeCell ref="C559:G559"/>
    <mergeCell ref="C560:E560"/>
    <mergeCell ref="F560:G560"/>
    <mergeCell ref="F587:G587"/>
    <mergeCell ref="C561:G561"/>
    <mergeCell ref="F592:G592"/>
    <mergeCell ref="C593:G593"/>
    <mergeCell ref="F570:G570"/>
    <mergeCell ref="F575:G575"/>
    <mergeCell ref="C576:G576"/>
    <mergeCell ref="C577:E577"/>
    <mergeCell ref="F577:G577"/>
    <mergeCell ref="C578:G578"/>
    <mergeCell ref="F558:G558"/>
    <mergeCell ref="F434:G434"/>
    <mergeCell ref="C425:G425"/>
    <mergeCell ref="C399:G399"/>
    <mergeCell ref="C387:G387"/>
    <mergeCell ref="C388:E388"/>
    <mergeCell ref="C459:G459"/>
    <mergeCell ref="F448:G448"/>
    <mergeCell ref="C541:G541"/>
    <mergeCell ref="C436:E436"/>
    <mergeCell ref="C530:G530"/>
    <mergeCell ref="F537:G537"/>
    <mergeCell ref="F540:G540"/>
    <mergeCell ref="C472:G472"/>
    <mergeCell ref="C473:E473"/>
    <mergeCell ref="F473:G473"/>
    <mergeCell ref="F524:G524"/>
    <mergeCell ref="F527:G527"/>
    <mergeCell ref="C528:G528"/>
    <mergeCell ref="C529:D529"/>
    <mergeCell ref="F529:G529"/>
    <mergeCell ref="F481:G481"/>
    <mergeCell ref="F484:G484"/>
    <mergeCell ref="C485:G485"/>
    <mergeCell ref="C460:E460"/>
    <mergeCell ref="F460:G460"/>
    <mergeCell ref="C461:G461"/>
    <mergeCell ref="F468:G468"/>
    <mergeCell ref="F471:G471"/>
    <mergeCell ref="F494:G494"/>
    <mergeCell ref="F497:G497"/>
    <mergeCell ref="C498:G498"/>
    <mergeCell ref="C377:G377"/>
    <mergeCell ref="C277:G277"/>
    <mergeCell ref="C278:E278"/>
    <mergeCell ref="F278:G278"/>
    <mergeCell ref="C279:G279"/>
    <mergeCell ref="F360:G360"/>
    <mergeCell ref="F362:G362"/>
    <mergeCell ref="C353:G353"/>
    <mergeCell ref="F352:G352"/>
    <mergeCell ref="D374:E374"/>
    <mergeCell ref="F374:G374"/>
    <mergeCell ref="F350:G350"/>
    <mergeCell ref="C376:E376"/>
    <mergeCell ref="F376:G376"/>
    <mergeCell ref="C305:E305"/>
    <mergeCell ref="C304:G304"/>
    <mergeCell ref="F458:G458"/>
    <mergeCell ref="F446:G446"/>
    <mergeCell ref="C447:G447"/>
    <mergeCell ref="C448:E448"/>
    <mergeCell ref="C486:E486"/>
    <mergeCell ref="C24:G24"/>
    <mergeCell ref="F12:G12"/>
    <mergeCell ref="F21:G21"/>
    <mergeCell ref="C22:G22"/>
    <mergeCell ref="C23:E23"/>
    <mergeCell ref="F23:G23"/>
    <mergeCell ref="C82:E82"/>
    <mergeCell ref="C65:E65"/>
    <mergeCell ref="F65:G65"/>
    <mergeCell ref="C66:G66"/>
    <mergeCell ref="C46:G46"/>
    <mergeCell ref="F55:G55"/>
    <mergeCell ref="F63:G63"/>
    <mergeCell ref="C64:G64"/>
    <mergeCell ref="C201:E201"/>
    <mergeCell ref="F201:G201"/>
    <mergeCell ref="C184:G184"/>
    <mergeCell ref="C185:E185"/>
    <mergeCell ref="F151:G151"/>
    <mergeCell ref="C152:G152"/>
    <mergeCell ref="F161:G161"/>
    <mergeCell ref="F171:G171"/>
    <mergeCell ref="F33:G33"/>
    <mergeCell ref="F43:G43"/>
    <mergeCell ref="C44:G44"/>
    <mergeCell ref="C45:E45"/>
    <mergeCell ref="F45:G45"/>
    <mergeCell ref="F75:G75"/>
    <mergeCell ref="F80:G80"/>
    <mergeCell ref="F82:G82"/>
    <mergeCell ref="C200:G200"/>
    <mergeCell ref="F109:G109"/>
    <mergeCell ref="F93:G93"/>
    <mergeCell ref="F181:G181"/>
    <mergeCell ref="F183:G183"/>
    <mergeCell ref="C83:G83"/>
    <mergeCell ref="F149:G149"/>
    <mergeCell ref="C150:G150"/>
    <mergeCell ref="F121:G121"/>
    <mergeCell ref="F111:G111"/>
    <mergeCell ref="F127:G127"/>
    <mergeCell ref="C128:G128"/>
    <mergeCell ref="F5245:G5245"/>
    <mergeCell ref="C5234:E5234"/>
    <mergeCell ref="C5154:E5154"/>
    <mergeCell ref="F5131:G5131"/>
    <mergeCell ref="F2393:G2393"/>
    <mergeCell ref="F2398:G2398"/>
    <mergeCell ref="F2417:G2417"/>
    <mergeCell ref="C2418:G2418"/>
    <mergeCell ref="F274:G274"/>
    <mergeCell ref="F276:G276"/>
    <mergeCell ref="C129:E129"/>
    <mergeCell ref="F129:G129"/>
    <mergeCell ref="C130:G130"/>
    <mergeCell ref="F139:G139"/>
    <mergeCell ref="F247:G247"/>
    <mergeCell ref="F252:G252"/>
    <mergeCell ref="C253:G253"/>
    <mergeCell ref="C202:G202"/>
    <mergeCell ref="F209:G209"/>
    <mergeCell ref="F214:G214"/>
    <mergeCell ref="F185:G185"/>
    <mergeCell ref="C174:G174"/>
    <mergeCell ref="C151:E151"/>
    <mergeCell ref="C321:G321"/>
    <mergeCell ref="F315:G315"/>
    <mergeCell ref="F318:G318"/>
    <mergeCell ref="C319:G319"/>
    <mergeCell ref="C320:E320"/>
    <mergeCell ref="F320:G320"/>
    <mergeCell ref="C186:G186"/>
    <mergeCell ref="F301:G301"/>
    <mergeCell ref="F303:G303"/>
    <mergeCell ref="C4868:G4868"/>
    <mergeCell ref="C4869:E4869"/>
    <mergeCell ref="F4869:G4869"/>
    <mergeCell ref="C4870:G4870"/>
    <mergeCell ref="C4922:G4922"/>
    <mergeCell ref="C4923:E4923"/>
    <mergeCell ref="F4923:G4923"/>
    <mergeCell ref="F2346:G2346"/>
    <mergeCell ref="C3499:E3499"/>
    <mergeCell ref="F3499:G3499"/>
    <mergeCell ref="C3500:G3500"/>
    <mergeCell ref="F3509:G3509"/>
    <mergeCell ref="F3515:G3515"/>
    <mergeCell ref="C2382:G2382"/>
    <mergeCell ref="F2432:G2432"/>
    <mergeCell ref="C2400:E2400"/>
    <mergeCell ref="F2400:G2400"/>
    <mergeCell ref="C2401:G2401"/>
    <mergeCell ref="F2410:G2410"/>
    <mergeCell ref="F2415:G2415"/>
    <mergeCell ref="C2399:G2399"/>
    <mergeCell ref="C2436:G2436"/>
    <mergeCell ref="F2467:G2467"/>
    <mergeCell ref="F2450:G2450"/>
    <mergeCell ref="F2359:G2359"/>
    <mergeCell ref="C2383:E2383"/>
    <mergeCell ref="F2383:G2383"/>
    <mergeCell ref="C2365:G2365"/>
    <mergeCell ref="C2366:E2366"/>
    <mergeCell ref="F2366:G2366"/>
    <mergeCell ref="C2367:G2367"/>
    <mergeCell ref="C266:E266"/>
    <mergeCell ref="F266:G266"/>
    <mergeCell ref="C2434:G2434"/>
    <mergeCell ref="C3803:G3803"/>
    <mergeCell ref="F3800:G3800"/>
    <mergeCell ref="C2416:G2416"/>
    <mergeCell ref="F5234:G5234"/>
    <mergeCell ref="C3784:G3784"/>
    <mergeCell ref="C5155:G5155"/>
    <mergeCell ref="F4700:G4700"/>
    <mergeCell ref="F4713:G4713"/>
    <mergeCell ref="F348:G348"/>
    <mergeCell ref="F330:G330"/>
    <mergeCell ref="C340:G340"/>
    <mergeCell ref="C411:G411"/>
    <mergeCell ref="C412:E412"/>
    <mergeCell ref="C413:G413"/>
    <mergeCell ref="F410:G410"/>
    <mergeCell ref="C2384:G2384"/>
    <mergeCell ref="C435:G435"/>
    <mergeCell ref="C449:G449"/>
    <mergeCell ref="F456:G456"/>
    <mergeCell ref="C474:G474"/>
    <mergeCell ref="C2417:E2417"/>
    <mergeCell ref="F5486:G5486"/>
    <mergeCell ref="C5423:E5423"/>
    <mergeCell ref="F5423:G5423"/>
    <mergeCell ref="C5424:G5424"/>
    <mergeCell ref="C5472:G5472"/>
    <mergeCell ref="C5473:E5473"/>
    <mergeCell ref="F5473:G5473"/>
    <mergeCell ref="C5336:G5336"/>
    <mergeCell ref="F5327:G5327"/>
    <mergeCell ref="F5333:G5333"/>
    <mergeCell ref="C5334:G5334"/>
    <mergeCell ref="F5298:G5298"/>
    <mergeCell ref="C5299:G5299"/>
    <mergeCell ref="C5300:E5300"/>
    <mergeCell ref="F5300:G5300"/>
    <mergeCell ref="F5277:G5277"/>
    <mergeCell ref="F5281:G5281"/>
    <mergeCell ref="F5442:G5442"/>
    <mergeCell ref="C5443:G5443"/>
    <mergeCell ref="F5154:G5154"/>
    <mergeCell ref="C5282:G5282"/>
    <mergeCell ref="F4863:G4863"/>
    <mergeCell ref="F4867:G4867"/>
    <mergeCell ref="C5301:G5301"/>
    <mergeCell ref="C5284:G5284"/>
    <mergeCell ref="F5483:G5483"/>
    <mergeCell ref="C2484:G2484"/>
    <mergeCell ref="C5404:E5404"/>
    <mergeCell ref="F5404:G5404"/>
    <mergeCell ref="F5471:G5471"/>
    <mergeCell ref="F2445:G2445"/>
    <mergeCell ref="C5474:G5474"/>
    <mergeCell ref="F5317:G5317"/>
    <mergeCell ref="F5293:G5293"/>
    <mergeCell ref="C5335:E5335"/>
    <mergeCell ref="F5335:G5335"/>
    <mergeCell ref="F5228:G5228"/>
    <mergeCell ref="F5168:G5168"/>
    <mergeCell ref="C5169:G5169"/>
    <mergeCell ref="F5251:G5251"/>
    <mergeCell ref="C5171:G5171"/>
    <mergeCell ref="C5170:E5170"/>
    <mergeCell ref="F5170:G5170"/>
    <mergeCell ref="F5200:G5200"/>
    <mergeCell ref="F5402:G5402"/>
    <mergeCell ref="F5414:G5414"/>
    <mergeCell ref="F5417:G5417"/>
    <mergeCell ref="F5453:G5453"/>
    <mergeCell ref="F5456:G5456"/>
    <mergeCell ref="F5433:G5433"/>
    <mergeCell ref="F5436:G5436"/>
    <mergeCell ref="F5440:G5440"/>
    <mergeCell ref="C5442:E5442"/>
    <mergeCell ref="C5217:G5217"/>
    <mergeCell ref="C5235:G5235"/>
    <mergeCell ref="C5251:E5251"/>
    <mergeCell ref="C5487:G5487"/>
    <mergeCell ref="C5488:E5488"/>
    <mergeCell ref="F5488:G5488"/>
    <mergeCell ref="C5533:E5533"/>
    <mergeCell ref="F5533:G5533"/>
    <mergeCell ref="C5502:G5502"/>
    <mergeCell ref="C5503:E5503"/>
    <mergeCell ref="F5503:G5503"/>
    <mergeCell ref="C5504:G5504"/>
    <mergeCell ref="C5218:E5218"/>
    <mergeCell ref="F5218:G5218"/>
    <mergeCell ref="F5232:G5232"/>
    <mergeCell ref="F5212:G5212"/>
    <mergeCell ref="F5216:G5216"/>
    <mergeCell ref="C5489:G5489"/>
    <mergeCell ref="F5498:G5498"/>
    <mergeCell ref="F5501:G5501"/>
    <mergeCell ref="F5513:G5513"/>
    <mergeCell ref="F5516:G5516"/>
    <mergeCell ref="C5219:G5219"/>
    <mergeCell ref="C5283:E5283"/>
    <mergeCell ref="F5283:G5283"/>
    <mergeCell ref="C5317:E5317"/>
    <mergeCell ref="C5405:G5405"/>
    <mergeCell ref="F5468:G5468"/>
    <mergeCell ref="F5345:G5345"/>
    <mergeCell ref="F5351:G5351"/>
    <mergeCell ref="F5363:G5363"/>
    <mergeCell ref="F5368:G5368"/>
    <mergeCell ref="F5380:G5380"/>
    <mergeCell ref="F5384:G5384"/>
    <mergeCell ref="F5396:G5396"/>
    <mergeCell ref="F5588:G5588"/>
    <mergeCell ref="F5591:G5591"/>
    <mergeCell ref="C5517:G5517"/>
    <mergeCell ref="C5518:E5518"/>
    <mergeCell ref="F5518:G5518"/>
    <mergeCell ref="C5519:G5519"/>
    <mergeCell ref="F5528:G5528"/>
    <mergeCell ref="F5531:G5531"/>
    <mergeCell ref="F5558:G5558"/>
    <mergeCell ref="F5561:G5561"/>
    <mergeCell ref="C5562:G5562"/>
    <mergeCell ref="C5563:E5563"/>
    <mergeCell ref="F5563:G5563"/>
    <mergeCell ref="C5564:G5564"/>
    <mergeCell ref="C5637:G5637"/>
    <mergeCell ref="C5638:E5638"/>
    <mergeCell ref="F5638:G5638"/>
    <mergeCell ref="F5543:G5543"/>
    <mergeCell ref="F5546:G5546"/>
    <mergeCell ref="C5547:G5547"/>
    <mergeCell ref="C5548:E5548"/>
    <mergeCell ref="F5548:G5548"/>
    <mergeCell ref="C5549:G5549"/>
    <mergeCell ref="C5532:G5532"/>
    <mergeCell ref="C5592:G5592"/>
    <mergeCell ref="C5593:E5593"/>
    <mergeCell ref="F5593:G5593"/>
    <mergeCell ref="C5534:G5534"/>
    <mergeCell ref="F5573:G5573"/>
    <mergeCell ref="F5576:G5576"/>
    <mergeCell ref="C5577:G5577"/>
    <mergeCell ref="C5578:E5578"/>
    <mergeCell ref="C5667:G5667"/>
    <mergeCell ref="C5668:E5668"/>
    <mergeCell ref="F5668:G5668"/>
    <mergeCell ref="C5639:G5639"/>
    <mergeCell ref="F5648:G5648"/>
    <mergeCell ref="F5651:G5651"/>
    <mergeCell ref="C5652:G5652"/>
    <mergeCell ref="C5653:E5653"/>
    <mergeCell ref="F5653:G5653"/>
    <mergeCell ref="C5654:G5654"/>
    <mergeCell ref="F5663:G5663"/>
    <mergeCell ref="F5666:G5666"/>
    <mergeCell ref="C5594:G5594"/>
    <mergeCell ref="F5603:G5603"/>
    <mergeCell ref="F5606:G5606"/>
    <mergeCell ref="C5609:G5609"/>
    <mergeCell ref="F5618:G5618"/>
    <mergeCell ref="F5621:G5621"/>
    <mergeCell ref="C5622:G5622"/>
    <mergeCell ref="C5623:E5623"/>
    <mergeCell ref="F5623:G5623"/>
    <mergeCell ref="C5624:G5624"/>
    <mergeCell ref="F5633:G5633"/>
    <mergeCell ref="F5636:G5636"/>
    <mergeCell ref="C5607:G5607"/>
    <mergeCell ref="C5608:E5608"/>
    <mergeCell ref="F5608:G5608"/>
    <mergeCell ref="C5669:G5669"/>
    <mergeCell ref="F5678:G5678"/>
    <mergeCell ref="F5681:G5681"/>
    <mergeCell ref="F5683:G5683"/>
    <mergeCell ref="C5684:G5684"/>
    <mergeCell ref="F5693:G5693"/>
    <mergeCell ref="F5696:G5696"/>
    <mergeCell ref="C5697:G5697"/>
    <mergeCell ref="C5698:E5698"/>
    <mergeCell ref="F5698:G5698"/>
    <mergeCell ref="C5699:G5699"/>
    <mergeCell ref="F5708:G5708"/>
    <mergeCell ref="F5712:G5712"/>
    <mergeCell ref="C5682:G5682"/>
    <mergeCell ref="C5683:E5683"/>
    <mergeCell ref="C5713:G5713"/>
    <mergeCell ref="C5714:E5714"/>
    <mergeCell ref="F5714:G5714"/>
    <mergeCell ref="C5747:G5747"/>
    <mergeCell ref="F5756:G5756"/>
    <mergeCell ref="F5760:G5760"/>
    <mergeCell ref="C5762:E5762"/>
    <mergeCell ref="F5762:G5762"/>
    <mergeCell ref="C5763:G5763"/>
    <mergeCell ref="F5804:G5804"/>
    <mergeCell ref="F5807:G5807"/>
    <mergeCell ref="C5808:G5808"/>
    <mergeCell ref="C5809:E5809"/>
    <mergeCell ref="F5809:G5809"/>
    <mergeCell ref="C5810:G5810"/>
    <mergeCell ref="F5819:G5819"/>
    <mergeCell ref="F5822:G5822"/>
    <mergeCell ref="C5761:G5761"/>
    <mergeCell ref="F5776:G5776"/>
    <mergeCell ref="C5715:G5715"/>
    <mergeCell ref="F5724:G5724"/>
    <mergeCell ref="F5728:G5728"/>
    <mergeCell ref="C5729:G5729"/>
    <mergeCell ref="C5730:E5730"/>
    <mergeCell ref="F5730:G5730"/>
    <mergeCell ref="C5731:G5731"/>
    <mergeCell ref="F5740:G5740"/>
    <mergeCell ref="F5744:G5744"/>
    <mergeCell ref="C5745:G5745"/>
    <mergeCell ref="C5746:E5746"/>
    <mergeCell ref="F5746:G5746"/>
    <mergeCell ref="C5777:G5777"/>
    <mergeCell ref="C5778:E5778"/>
    <mergeCell ref="F5778:G5778"/>
    <mergeCell ref="C5779:G5779"/>
    <mergeCell ref="F5931:G5931"/>
    <mergeCell ref="F5936:G5936"/>
    <mergeCell ref="C5967:G5967"/>
    <mergeCell ref="C5937:G5937"/>
    <mergeCell ref="C5938:E5938"/>
    <mergeCell ref="F5938:G5938"/>
    <mergeCell ref="C5939:G5939"/>
    <mergeCell ref="F5946:G5946"/>
    <mergeCell ref="F5949:G5949"/>
    <mergeCell ref="C5950:G5950"/>
    <mergeCell ref="C5951:E5951"/>
    <mergeCell ref="F5951:G5951"/>
    <mergeCell ref="C5952:G5952"/>
    <mergeCell ref="F5961:G5961"/>
    <mergeCell ref="F5966:G5966"/>
    <mergeCell ref="C6002:E6002"/>
    <mergeCell ref="F6002:G6002"/>
    <mergeCell ref="C5968:E5968"/>
    <mergeCell ref="F5968:G5968"/>
    <mergeCell ref="F5995:G5995"/>
    <mergeCell ref="F6000:G6000"/>
    <mergeCell ref="C6001:G6001"/>
    <mergeCell ref="F6029:G6029"/>
    <mergeCell ref="F6034:G6034"/>
    <mergeCell ref="C6035:G6035"/>
    <mergeCell ref="C6036:E6036"/>
    <mergeCell ref="F6036:G6036"/>
    <mergeCell ref="C6037:G6037"/>
    <mergeCell ref="C5969:G5969"/>
    <mergeCell ref="F5979:G5979"/>
    <mergeCell ref="F5983:G5983"/>
    <mergeCell ref="C5984:G5984"/>
    <mergeCell ref="C5985:E5985"/>
    <mergeCell ref="F5985:G5985"/>
    <mergeCell ref="C5986:G5986"/>
    <mergeCell ref="F6019:G6019"/>
    <mergeCell ref="C6020:G6020"/>
    <mergeCell ref="C6018:G6018"/>
    <mergeCell ref="C6019:E6019"/>
    <mergeCell ref="C6003:G6003"/>
    <mergeCell ref="F6017:G6017"/>
    <mergeCell ref="F6012:G6012"/>
    <mergeCell ref="F6066:G6066"/>
    <mergeCell ref="C6067:G6067"/>
    <mergeCell ref="F6097:G6097"/>
    <mergeCell ref="C6085:G6085"/>
    <mergeCell ref="F6094:G6094"/>
    <mergeCell ref="C6068:E6068"/>
    <mergeCell ref="F6068:G6068"/>
    <mergeCell ref="F6046:G6046"/>
    <mergeCell ref="F6078:G6078"/>
    <mergeCell ref="F6082:G6082"/>
    <mergeCell ref="C6100:G6100"/>
    <mergeCell ref="F6051:G6051"/>
    <mergeCell ref="C6052:G6052"/>
    <mergeCell ref="F6061:G6061"/>
    <mergeCell ref="C6069:G6069"/>
    <mergeCell ref="F6084:G6084"/>
    <mergeCell ref="C6083:G6083"/>
    <mergeCell ref="C6084:E6084"/>
    <mergeCell ref="F6049:G6049"/>
    <mergeCell ref="C6050:G6050"/>
    <mergeCell ref="C6051:E6051"/>
    <mergeCell ref="C6098:G6098"/>
    <mergeCell ref="C6099:E6099"/>
    <mergeCell ref="F6099:G6099"/>
    <mergeCell ref="F6109:G6109"/>
    <mergeCell ref="F6127:G6127"/>
    <mergeCell ref="F6131:G6131"/>
    <mergeCell ref="C6133:E6133"/>
    <mergeCell ref="F6133:G6133"/>
    <mergeCell ref="C6149:G6149"/>
    <mergeCell ref="C6132:G6132"/>
    <mergeCell ref="C6168:G6168"/>
    <mergeCell ref="C6134:G6134"/>
    <mergeCell ref="C6115:G6115"/>
    <mergeCell ref="C6116:E6116"/>
    <mergeCell ref="C6184:G6184"/>
    <mergeCell ref="C6185:E6185"/>
    <mergeCell ref="F6114:G6114"/>
    <mergeCell ref="F6177:G6177"/>
    <mergeCell ref="C6167:E6167"/>
    <mergeCell ref="F6148:G6148"/>
    <mergeCell ref="C6151:G6151"/>
    <mergeCell ref="F6165:G6165"/>
    <mergeCell ref="C6150:E6150"/>
    <mergeCell ref="F6150:G6150"/>
    <mergeCell ref="F6185:G6185"/>
    <mergeCell ref="F6116:G6116"/>
    <mergeCell ref="F6143:G6143"/>
    <mergeCell ref="F6160:G6160"/>
    <mergeCell ref="C6117:G6117"/>
    <mergeCell ref="F6204:G6204"/>
    <mergeCell ref="C6222:G6222"/>
    <mergeCell ref="F6231:G6231"/>
    <mergeCell ref="F6402:G6402"/>
    <mergeCell ref="F6408:G6408"/>
    <mergeCell ref="F6390:G6390"/>
    <mergeCell ref="C6392:E6392"/>
    <mergeCell ref="F6392:G6392"/>
    <mergeCell ref="C6393:G6393"/>
    <mergeCell ref="C6255:G6255"/>
    <mergeCell ref="C6256:E6256"/>
    <mergeCell ref="F6256:G6256"/>
    <mergeCell ref="C6257:G6257"/>
    <mergeCell ref="F6283:G6283"/>
    <mergeCell ref="F6287:G6287"/>
    <mergeCell ref="C6321:G6321"/>
    <mergeCell ref="F6349:G6349"/>
    <mergeCell ref="F6354:G6354"/>
    <mergeCell ref="F6238:G6238"/>
    <mergeCell ref="C6239:G6239"/>
    <mergeCell ref="C6240:E6240"/>
    <mergeCell ref="F6240:G6240"/>
    <mergeCell ref="C6288:G6288"/>
    <mergeCell ref="C6289:E6289"/>
    <mergeCell ref="F6289:G6289"/>
    <mergeCell ref="C6290:G6290"/>
    <mergeCell ref="F6315:G6315"/>
    <mergeCell ref="F6299:G6299"/>
    <mergeCell ref="C6356:E6356"/>
    <mergeCell ref="C6373:G6373"/>
    <mergeCell ref="C6374:E6374"/>
    <mergeCell ref="F6374:G6374"/>
    <mergeCell ref="C6609:G6609"/>
    <mergeCell ref="F6620:G6620"/>
    <mergeCell ref="F6624:G6624"/>
    <mergeCell ref="F6594:G6594"/>
    <mergeCell ref="C6595:G6595"/>
    <mergeCell ref="F6604:G6604"/>
    <mergeCell ref="F6626:G6626"/>
    <mergeCell ref="C6627:G6627"/>
    <mergeCell ref="F6588:G6588"/>
    <mergeCell ref="C6610:E6610"/>
    <mergeCell ref="F6610:G6610"/>
    <mergeCell ref="C6611:G6611"/>
    <mergeCell ref="C6658:E6658"/>
    <mergeCell ref="F6658:G6658"/>
    <mergeCell ref="C6817:G6817"/>
    <mergeCell ref="C6738:E6738"/>
    <mergeCell ref="F6738:G6738"/>
    <mergeCell ref="C6673:G6673"/>
    <mergeCell ref="C6674:E6674"/>
    <mergeCell ref="F6674:G6674"/>
    <mergeCell ref="C6675:G6675"/>
    <mergeCell ref="F6684:G6684"/>
    <mergeCell ref="F6688:G6688"/>
    <mergeCell ref="C6689:G6689"/>
    <mergeCell ref="F6700:G6700"/>
    <mergeCell ref="F6704:G6704"/>
    <mergeCell ref="C6705:G6705"/>
    <mergeCell ref="C6706:E6706"/>
    <mergeCell ref="F6706:G6706"/>
    <mergeCell ref="C6707:G6707"/>
    <mergeCell ref="C6737:G6737"/>
    <mergeCell ref="C6753:G6753"/>
    <mergeCell ref="C6771:G6771"/>
    <mergeCell ref="C6754:E6754"/>
    <mergeCell ref="F6754:G6754"/>
    <mergeCell ref="C6755:G6755"/>
    <mergeCell ref="F6764:G6764"/>
    <mergeCell ref="F6768:G6768"/>
    <mergeCell ref="F6786:G6786"/>
    <mergeCell ref="C6787:G6787"/>
    <mergeCell ref="F6800:G6800"/>
    <mergeCell ref="C6801:G6801"/>
    <mergeCell ref="C6802:E6802"/>
    <mergeCell ref="C6769:G6769"/>
    <mergeCell ref="F6883:G6883"/>
    <mergeCell ref="F6917:G6917"/>
    <mergeCell ref="F6910:G6910"/>
    <mergeCell ref="F7063:G7063"/>
    <mergeCell ref="F7069:G7069"/>
    <mergeCell ref="F6802:G6802"/>
    <mergeCell ref="C6803:G6803"/>
    <mergeCell ref="F7012:G7012"/>
    <mergeCell ref="C7019:E7019"/>
    <mergeCell ref="C6984:G6984"/>
    <mergeCell ref="C6985:E6985"/>
    <mergeCell ref="C6918:G6918"/>
    <mergeCell ref="F7002:G7002"/>
    <mergeCell ref="C6967:G6967"/>
    <mergeCell ref="C6968:E6968"/>
    <mergeCell ref="F6968:G6968"/>
    <mergeCell ref="F6961:G6961"/>
    <mergeCell ref="F6966:G6966"/>
    <mergeCell ref="C6952:G6952"/>
    <mergeCell ref="F6927:G6927"/>
    <mergeCell ref="C6818:E6818"/>
    <mergeCell ref="F6818:G6818"/>
    <mergeCell ref="C6819:G6819"/>
    <mergeCell ref="C6882:G6882"/>
    <mergeCell ref="F6828:G6828"/>
    <mergeCell ref="F6832:G6832"/>
    <mergeCell ref="F7000:G7000"/>
    <mergeCell ref="F6864:G6864"/>
    <mergeCell ref="C6865:G6865"/>
    <mergeCell ref="C6866:E6866"/>
    <mergeCell ref="F6866:G6866"/>
    <mergeCell ref="C6867:G6867"/>
    <mergeCell ref="F6876:G6876"/>
    <mergeCell ref="F6881:G6881"/>
    <mergeCell ref="F6850:G6850"/>
    <mergeCell ref="F7034:G7034"/>
    <mergeCell ref="C7003:G7003"/>
    <mergeCell ref="F7297:G7297"/>
    <mergeCell ref="C7298:G7298"/>
    <mergeCell ref="C7165:G7165"/>
    <mergeCell ref="C7166:E7166"/>
    <mergeCell ref="F7204:G7204"/>
    <mergeCell ref="F7145:G7145"/>
    <mergeCell ref="C7146:G7146"/>
    <mergeCell ref="F7259:G7259"/>
    <mergeCell ref="F7166:G7166"/>
    <mergeCell ref="C7167:G7167"/>
    <mergeCell ref="C7070:G7070"/>
    <mergeCell ref="C7071:E7071"/>
    <mergeCell ref="F7071:G7071"/>
    <mergeCell ref="F6844:G6844"/>
    <mergeCell ref="F6848:G6848"/>
    <mergeCell ref="C6849:G6849"/>
    <mergeCell ref="F7046:G7046"/>
    <mergeCell ref="C6850:E6850"/>
    <mergeCell ref="C6900:E6900"/>
    <mergeCell ref="F6900:G6900"/>
    <mergeCell ref="C6901:G6901"/>
    <mergeCell ref="C6951:E6951"/>
    <mergeCell ref="F6951:G6951"/>
    <mergeCell ref="C6851:G6851"/>
    <mergeCell ref="F6949:G6949"/>
    <mergeCell ref="F7195:G7195"/>
    <mergeCell ref="F7199:G7199"/>
    <mergeCell ref="C7336:E7336"/>
    <mergeCell ref="F7336:G7336"/>
    <mergeCell ref="C7337:G7337"/>
    <mergeCell ref="F7346:G7346"/>
    <mergeCell ref="F7349:G7349"/>
    <mergeCell ref="F7352:G7352"/>
    <mergeCell ref="C7353:G7353"/>
    <mergeCell ref="C7354:E7354"/>
    <mergeCell ref="F7354:G7354"/>
    <mergeCell ref="F7427:G7427"/>
    <mergeCell ref="F7370:G7370"/>
    <mergeCell ref="C7371:G7371"/>
    <mergeCell ref="C7128:E7128"/>
    <mergeCell ref="F7128:G7128"/>
    <mergeCell ref="C7129:G7129"/>
    <mergeCell ref="F7147:G7147"/>
    <mergeCell ref="C7148:G7148"/>
    <mergeCell ref="F7157:G7157"/>
    <mergeCell ref="C7299:E7299"/>
    <mergeCell ref="F7299:G7299"/>
    <mergeCell ref="C7300:G7300"/>
    <mergeCell ref="F7309:G7309"/>
    <mergeCell ref="F7313:G7313"/>
    <mergeCell ref="F7316:G7316"/>
    <mergeCell ref="C7317:G7317"/>
    <mergeCell ref="C7318:E7318"/>
    <mergeCell ref="F7280:G7280"/>
    <mergeCell ref="C7281:G7281"/>
    <mergeCell ref="F7290:G7290"/>
    <mergeCell ref="F7294:G7294"/>
    <mergeCell ref="F7278:G7278"/>
    <mergeCell ref="C7279:G7279"/>
    <mergeCell ref="C7280:E7280"/>
    <mergeCell ref="F7334:G7334"/>
    <mergeCell ref="C7335:G7335"/>
    <mergeCell ref="C9152:G9152"/>
    <mergeCell ref="C9153:E9153"/>
    <mergeCell ref="F9127:G9127"/>
    <mergeCell ref="F9131:G9131"/>
    <mergeCell ref="F9134:G9134"/>
    <mergeCell ref="C9135:G9135"/>
    <mergeCell ref="C9136:E9136"/>
    <mergeCell ref="C9137:G9137"/>
    <mergeCell ref="C7018:G7018"/>
    <mergeCell ref="F9144:G9144"/>
    <mergeCell ref="F8860:G8860"/>
    <mergeCell ref="F8865:G8865"/>
    <mergeCell ref="F7221:G7221"/>
    <mergeCell ref="C7222:G7222"/>
    <mergeCell ref="C7223:E7223"/>
    <mergeCell ref="F7223:G7223"/>
    <mergeCell ref="C7224:G7224"/>
    <mergeCell ref="C7241:G7241"/>
    <mergeCell ref="C7242:E7242"/>
    <mergeCell ref="F7242:G7242"/>
    <mergeCell ref="F7214:G7214"/>
    <mergeCell ref="F7218:G7218"/>
    <mergeCell ref="F7183:G7183"/>
    <mergeCell ref="C7184:G7184"/>
    <mergeCell ref="C7185:E7185"/>
    <mergeCell ref="F7185:G7185"/>
    <mergeCell ref="C7186:G7186"/>
    <mergeCell ref="F5883:G5883"/>
    <mergeCell ref="F5895:G5895"/>
    <mergeCell ref="F5904:G5904"/>
    <mergeCell ref="F5916:G5916"/>
    <mergeCell ref="F5919:G5919"/>
    <mergeCell ref="F7401:G7401"/>
    <mergeCell ref="F7420:G7420"/>
    <mergeCell ref="F7439:G7439"/>
    <mergeCell ref="F7458:G7458"/>
    <mergeCell ref="F6266:G6266"/>
    <mergeCell ref="C6916:G6916"/>
    <mergeCell ref="C6917:E6917"/>
    <mergeCell ref="C6690:E6690"/>
    <mergeCell ref="F6690:G6690"/>
    <mergeCell ref="F6716:G6716"/>
    <mergeCell ref="C6933:G6933"/>
    <mergeCell ref="F9330:H9330"/>
    <mergeCell ref="C7355:G7355"/>
    <mergeCell ref="F7364:G7364"/>
    <mergeCell ref="F7367:G7367"/>
    <mergeCell ref="F9328:H9328"/>
    <mergeCell ref="F9329:H9329"/>
    <mergeCell ref="F7318:G7318"/>
    <mergeCell ref="C7319:G7319"/>
    <mergeCell ref="F7328:G7328"/>
    <mergeCell ref="F7331:G7331"/>
    <mergeCell ref="F7233:G7233"/>
    <mergeCell ref="F7237:G7237"/>
    <mergeCell ref="F7240:G7240"/>
    <mergeCell ref="C7262:G7262"/>
    <mergeCell ref="F7271:G7271"/>
    <mergeCell ref="F7275:G7275"/>
    <mergeCell ref="F5772:G5772"/>
    <mergeCell ref="C6833:G6833"/>
    <mergeCell ref="C6834:E6834"/>
    <mergeCell ref="F6796:G6796"/>
    <mergeCell ref="C6785:G6785"/>
    <mergeCell ref="C6786:E6786"/>
    <mergeCell ref="F7202:G7202"/>
    <mergeCell ref="F9151:G9151"/>
    <mergeCell ref="C8866:G8866"/>
    <mergeCell ref="C7147:E7147"/>
    <mergeCell ref="C7205:G7205"/>
    <mergeCell ref="F7477:G7477"/>
    <mergeCell ref="F7496:G7496"/>
    <mergeCell ref="F7515:G7515"/>
    <mergeCell ref="F7533:G7533"/>
    <mergeCell ref="F7551:G7551"/>
    <mergeCell ref="F7569:G7569"/>
    <mergeCell ref="F8237:G8237"/>
    <mergeCell ref="F9148:G9148"/>
    <mergeCell ref="F7161:G7161"/>
    <mergeCell ref="F7164:G7164"/>
    <mergeCell ref="C7203:G7203"/>
    <mergeCell ref="C7204:E7204"/>
    <mergeCell ref="C7002:E7002"/>
    <mergeCell ref="F7107:G7107"/>
    <mergeCell ref="C7108:G7108"/>
    <mergeCell ref="F5851:G5851"/>
    <mergeCell ref="C5852:G5852"/>
    <mergeCell ref="F6932:G6932"/>
    <mergeCell ref="F7029:G7029"/>
    <mergeCell ref="C5824:E5824"/>
    <mergeCell ref="F8826:G8826"/>
    <mergeCell ref="F9212:G9212"/>
    <mergeCell ref="F9216:G9216"/>
    <mergeCell ref="F9219:G9219"/>
    <mergeCell ref="C9220:G9220"/>
    <mergeCell ref="F4033:G4033"/>
    <mergeCell ref="C4034:G4034"/>
    <mergeCell ref="C4035:E4035"/>
    <mergeCell ref="F4035:G4035"/>
    <mergeCell ref="C4036:G4036"/>
    <mergeCell ref="F6934:G6934"/>
    <mergeCell ref="C6935:G6935"/>
    <mergeCell ref="F6944:G6944"/>
    <mergeCell ref="C6969:G6969"/>
    <mergeCell ref="F6978:G6978"/>
    <mergeCell ref="F6983:G6983"/>
    <mergeCell ref="F6985:G6985"/>
    <mergeCell ref="C7052:G7052"/>
    <mergeCell ref="F7019:G7019"/>
    <mergeCell ref="C7020:G7020"/>
    <mergeCell ref="C7054:G7054"/>
    <mergeCell ref="C6986:G6986"/>
    <mergeCell ref="F6995:G6995"/>
    <mergeCell ref="C6641:G6641"/>
    <mergeCell ref="C6642:E6642"/>
    <mergeCell ref="F6642:G6642"/>
    <mergeCell ref="C6739:G6739"/>
    <mergeCell ref="C6625:G6625"/>
    <mergeCell ref="C6626:E6626"/>
    <mergeCell ref="C6950:G6950"/>
    <mergeCell ref="F4697:G4697"/>
    <mergeCell ref="F7051:G7051"/>
    <mergeCell ref="F7017:G7017"/>
    <mergeCell ref="C9204:E9204"/>
    <mergeCell ref="C9205:G9205"/>
    <mergeCell ref="C9154:G9154"/>
    <mergeCell ref="F9161:G9161"/>
    <mergeCell ref="F9165:G9165"/>
    <mergeCell ref="F9168:G9168"/>
    <mergeCell ref="C9169:G9169"/>
    <mergeCell ref="C9170:E9170"/>
    <mergeCell ref="C9171:G9171"/>
    <mergeCell ref="F9178:G9178"/>
    <mergeCell ref="F9182:G9182"/>
    <mergeCell ref="F9185:G9185"/>
    <mergeCell ref="C9186:G9186"/>
    <mergeCell ref="C9187:E9187"/>
    <mergeCell ref="C9188:G9188"/>
    <mergeCell ref="F5833:G5833"/>
    <mergeCell ref="C5823:G5823"/>
    <mergeCell ref="F7252:G7252"/>
    <mergeCell ref="F7256:G7256"/>
    <mergeCell ref="F8831:G8831"/>
    <mergeCell ref="C8832:G8832"/>
    <mergeCell ref="C8833:E8833"/>
    <mergeCell ref="F8833:G8833"/>
    <mergeCell ref="C8834:G8834"/>
    <mergeCell ref="F8843:G8843"/>
    <mergeCell ref="F8848:G8848"/>
    <mergeCell ref="C8849:G8849"/>
    <mergeCell ref="C8850:E8850"/>
    <mergeCell ref="F8850:G8850"/>
    <mergeCell ref="C8851:G8851"/>
    <mergeCell ref="F5824:G5824"/>
    <mergeCell ref="C7930:G7930"/>
    <mergeCell ref="C255:G255"/>
    <mergeCell ref="F262:G262"/>
    <mergeCell ref="F264:G264"/>
    <mergeCell ref="C265:G265"/>
    <mergeCell ref="C375:G375"/>
    <mergeCell ref="C351:G351"/>
    <mergeCell ref="C352:E352"/>
    <mergeCell ref="F195:G195"/>
    <mergeCell ref="C172:G172"/>
    <mergeCell ref="C173:E173"/>
    <mergeCell ref="F173:G173"/>
    <mergeCell ref="F199:G199"/>
    <mergeCell ref="D372:E372"/>
    <mergeCell ref="F372:G372"/>
    <mergeCell ref="D373:E373"/>
    <mergeCell ref="F412:G412"/>
    <mergeCell ref="C254:E254"/>
    <mergeCell ref="F254:G254"/>
    <mergeCell ref="C217:G217"/>
    <mergeCell ref="C215:G215"/>
    <mergeCell ref="C216:E216"/>
    <mergeCell ref="F216:G216"/>
    <mergeCell ref="C267:G267"/>
    <mergeCell ref="F337:G337"/>
    <mergeCell ref="C338:G338"/>
    <mergeCell ref="C339:E339"/>
    <mergeCell ref="F339:G339"/>
    <mergeCell ref="F384:G384"/>
    <mergeCell ref="C400:E400"/>
    <mergeCell ref="F400:G400"/>
    <mergeCell ref="C401:G401"/>
    <mergeCell ref="F408:G408"/>
    <mergeCell ref="F420:G420"/>
    <mergeCell ref="F422:G422"/>
    <mergeCell ref="C423:G423"/>
    <mergeCell ref="C424:E424"/>
    <mergeCell ref="F424:G424"/>
    <mergeCell ref="F388:G388"/>
    <mergeCell ref="F386:G386"/>
    <mergeCell ref="F928:G928"/>
    <mergeCell ref="F934:G934"/>
    <mergeCell ref="F1256:G1256"/>
    <mergeCell ref="F1264:G1264"/>
    <mergeCell ref="C389:G389"/>
    <mergeCell ref="F396:G396"/>
    <mergeCell ref="F398:G398"/>
    <mergeCell ref="C437:G437"/>
    <mergeCell ref="F444:G444"/>
    <mergeCell ref="F432:G432"/>
    <mergeCell ref="C1032:G1032"/>
    <mergeCell ref="C999:G999"/>
    <mergeCell ref="C1014:E1014"/>
    <mergeCell ref="F1014:G1014"/>
    <mergeCell ref="C1015:G1015"/>
    <mergeCell ref="C1016:G1016"/>
    <mergeCell ref="F1012:G1012"/>
    <mergeCell ref="C1013:G1013"/>
    <mergeCell ref="F964:G964"/>
    <mergeCell ref="C950:G950"/>
    <mergeCell ref="C951:E951"/>
    <mergeCell ref="F991:G991"/>
    <mergeCell ref="F995:G995"/>
    <mergeCell ref="C967:G967"/>
    <mergeCell ref="F976:G976"/>
    <mergeCell ref="C965:G965"/>
    <mergeCell ref="C982:G982"/>
    <mergeCell ref="C966:E966"/>
    <mergeCell ref="F966:G966"/>
    <mergeCell ref="F997:G997"/>
    <mergeCell ref="C998:G998"/>
    <mergeCell ref="F1876:G1876"/>
    <mergeCell ref="F1881:G1881"/>
    <mergeCell ref="F1893:G1893"/>
    <mergeCell ref="F1898:G1898"/>
    <mergeCell ref="F1901:G1901"/>
    <mergeCell ref="F1962:G1962"/>
    <mergeCell ref="F1965:G1965"/>
    <mergeCell ref="F2060:G2060"/>
    <mergeCell ref="F2064:G2064"/>
    <mergeCell ref="F2076:G2076"/>
    <mergeCell ref="F2081:G2081"/>
    <mergeCell ref="C1998:G1998"/>
    <mergeCell ref="C1999:E1999"/>
    <mergeCell ref="F1999:G1999"/>
    <mergeCell ref="C2017:G2017"/>
    <mergeCell ref="F2026:G2026"/>
    <mergeCell ref="C2000:G2000"/>
    <mergeCell ref="F2009:G2009"/>
    <mergeCell ref="F2014:G2014"/>
    <mergeCell ref="C2015:G2015"/>
    <mergeCell ref="C2016:E2016"/>
    <mergeCell ref="F2016:G2016"/>
    <mergeCell ref="C1983:G1983"/>
    <mergeCell ref="F1992:G1992"/>
    <mergeCell ref="C1184:E1184"/>
    <mergeCell ref="F1184:G1184"/>
    <mergeCell ref="C3849:G3849"/>
    <mergeCell ref="F4885:G4885"/>
    <mergeCell ref="F4897:G4897"/>
    <mergeCell ref="F4904:G4904"/>
    <mergeCell ref="F3760:G3760"/>
    <mergeCell ref="F3812:G3812"/>
    <mergeCell ref="F3816:G3816"/>
    <mergeCell ref="C3785:E3785"/>
    <mergeCell ref="F3785:G3785"/>
    <mergeCell ref="C3786:G3786"/>
    <mergeCell ref="F3795:G3795"/>
    <mergeCell ref="C3817:G3817"/>
    <mergeCell ref="C3818:E3818"/>
    <mergeCell ref="F3818:G3818"/>
    <mergeCell ref="C3801:G3801"/>
    <mergeCell ref="C3802:E3802"/>
    <mergeCell ref="F3802:G3802"/>
    <mergeCell ref="C3769:G3769"/>
    <mergeCell ref="F3778:G3778"/>
    <mergeCell ref="F3783:G3783"/>
    <mergeCell ref="F4077:G4077"/>
    <mergeCell ref="F4081:G4081"/>
    <mergeCell ref="F4109:G4109"/>
    <mergeCell ref="F4113:G4113"/>
    <mergeCell ref="F4125:G4125"/>
    <mergeCell ref="F4131:G4131"/>
    <mergeCell ref="F4143:G4143"/>
    <mergeCell ref="F4147:G4147"/>
    <mergeCell ref="F4159:G4159"/>
    <mergeCell ref="F4163:G4163"/>
    <mergeCell ref="F4240:G4240"/>
    <mergeCell ref="F4246:G4246"/>
    <mergeCell ref="C4196:G4196"/>
    <mergeCell ref="C4197:E4197"/>
    <mergeCell ref="F4197:G4197"/>
    <mergeCell ref="C4198:G4198"/>
    <mergeCell ref="F4274:G4274"/>
    <mergeCell ref="F4278:G4278"/>
    <mergeCell ref="C4279:G4279"/>
    <mergeCell ref="C4280:E4280"/>
    <mergeCell ref="F4280:G4280"/>
    <mergeCell ref="F4208:G4208"/>
    <mergeCell ref="F4212:G4212"/>
    <mergeCell ref="C4213:G4213"/>
    <mergeCell ref="C4214:E4214"/>
    <mergeCell ref="F4916:G4916"/>
    <mergeCell ref="F4921:G4921"/>
    <mergeCell ref="F4933:G4933"/>
    <mergeCell ref="F4938:G4938"/>
    <mergeCell ref="F4718:G4718"/>
    <mergeCell ref="C4361:E4361"/>
    <mergeCell ref="F4361:G4361"/>
    <mergeCell ref="C4408:G4408"/>
    <mergeCell ref="C4409:E4409"/>
    <mergeCell ref="F4409:G4409"/>
    <mergeCell ref="F4355:G4355"/>
    <mergeCell ref="F4359:G4359"/>
    <mergeCell ref="C4360:G4360"/>
    <mergeCell ref="C4265:G4265"/>
    <mergeCell ref="C4247:G4247"/>
    <mergeCell ref="C4248:E4248"/>
    <mergeCell ref="F4248:G4248"/>
    <mergeCell ref="F4258:G4258"/>
    <mergeCell ref="F4214:G4214"/>
    <mergeCell ref="F4950:G4950"/>
    <mergeCell ref="F4955:G4955"/>
    <mergeCell ref="F5001:G5001"/>
    <mergeCell ref="F5006:G5006"/>
    <mergeCell ref="F5018:G5018"/>
    <mergeCell ref="F5023:G5023"/>
    <mergeCell ref="F5180:G5180"/>
    <mergeCell ref="F5184:G5184"/>
    <mergeCell ref="F5196:G5196"/>
    <mergeCell ref="F6736:G6736"/>
    <mergeCell ref="C6691:G6691"/>
    <mergeCell ref="F6748:G6748"/>
    <mergeCell ref="F6752:G6752"/>
    <mergeCell ref="C6657:G6657"/>
    <mergeCell ref="F5859:G5859"/>
    <mergeCell ref="F5862:G5862"/>
    <mergeCell ref="F5874:G5874"/>
    <mergeCell ref="F5788:G5788"/>
    <mergeCell ref="F5792:G5792"/>
    <mergeCell ref="C5793:G5793"/>
    <mergeCell ref="C5794:E5794"/>
    <mergeCell ref="F5794:G5794"/>
    <mergeCell ref="C5795:G5795"/>
    <mergeCell ref="F5836:G5836"/>
    <mergeCell ref="C5837:G5837"/>
    <mergeCell ref="C5838:E5838"/>
    <mergeCell ref="F5838:G5838"/>
    <mergeCell ref="C5839:G5839"/>
    <mergeCell ref="F5846:G5846"/>
    <mergeCell ref="F6722:G6722"/>
    <mergeCell ref="F5849:G5849"/>
    <mergeCell ref="C5850:G5850"/>
    <mergeCell ref="C5825:G5825"/>
    <mergeCell ref="F8277:G8277"/>
    <mergeCell ref="F8297:G8297"/>
    <mergeCell ref="F8317:G8317"/>
    <mergeCell ref="C7758:G7758"/>
    <mergeCell ref="F7770:G7770"/>
    <mergeCell ref="F7773:G7773"/>
    <mergeCell ref="C7774:G7774"/>
    <mergeCell ref="C7775:E7775"/>
    <mergeCell ref="F7775:G7775"/>
    <mergeCell ref="C7862:G7862"/>
    <mergeCell ref="F7890:G7890"/>
    <mergeCell ref="F7893:G7893"/>
    <mergeCell ref="C7894:G7894"/>
    <mergeCell ref="C7896:G7896"/>
    <mergeCell ref="F7924:G7924"/>
    <mergeCell ref="F7927:G7927"/>
    <mergeCell ref="C7928:G7928"/>
    <mergeCell ref="C7929:E7929"/>
    <mergeCell ref="C6273:G6273"/>
    <mergeCell ref="F7176:G7176"/>
    <mergeCell ref="F7180:G7180"/>
    <mergeCell ref="C5851:E5851"/>
    <mergeCell ref="F7109:G7109"/>
    <mergeCell ref="C7072:G7072"/>
    <mergeCell ref="F7081:G7081"/>
    <mergeCell ref="F7087:G7087"/>
    <mergeCell ref="F7119:G7119"/>
    <mergeCell ref="F7123:G7123"/>
    <mergeCell ref="F7126:G7126"/>
    <mergeCell ref="C7243:G7243"/>
    <mergeCell ref="C8107:G8107"/>
    <mergeCell ref="C7036:E7036"/>
    <mergeCell ref="F7036:G7036"/>
    <mergeCell ref="C7037:G7037"/>
    <mergeCell ref="C6884:G6884"/>
    <mergeCell ref="F6893:G6893"/>
    <mergeCell ref="F6898:G6898"/>
    <mergeCell ref="C6899:G6899"/>
    <mergeCell ref="F6915:G6915"/>
    <mergeCell ref="F7138:G7138"/>
    <mergeCell ref="C9221:E9221"/>
    <mergeCell ref="C9222:G9222"/>
    <mergeCell ref="F6720:G6720"/>
    <mergeCell ref="C6721:G6721"/>
    <mergeCell ref="C6722:E6722"/>
    <mergeCell ref="F7905:G7905"/>
    <mergeCell ref="F7940:G7940"/>
    <mergeCell ref="C6723:G6723"/>
    <mergeCell ref="F6732:G6732"/>
    <mergeCell ref="C7127:G7127"/>
    <mergeCell ref="C7088:G7088"/>
    <mergeCell ref="F6780:G6780"/>
    <mergeCell ref="F6784:G6784"/>
    <mergeCell ref="C6934:E6934"/>
    <mergeCell ref="F7100:G7100"/>
    <mergeCell ref="F7104:G7104"/>
    <mergeCell ref="C7110:G7110"/>
    <mergeCell ref="C7053:E7053"/>
    <mergeCell ref="F7053:G7053"/>
    <mergeCell ref="F9195:G9195"/>
    <mergeCell ref="F9199:G9199"/>
    <mergeCell ref="F9202:G9202"/>
    <mergeCell ref="C9203:G9203"/>
    <mergeCell ref="C9324:G9324"/>
    <mergeCell ref="F286:G286"/>
    <mergeCell ref="F288:G288"/>
    <mergeCell ref="C289:G289"/>
    <mergeCell ref="C290:E290"/>
    <mergeCell ref="F290:G290"/>
    <mergeCell ref="C291:G291"/>
    <mergeCell ref="F1385:G1385"/>
    <mergeCell ref="F1394:G1394"/>
    <mergeCell ref="F1338:G1338"/>
    <mergeCell ref="F1347:G1347"/>
    <mergeCell ref="F305:G305"/>
    <mergeCell ref="C306:G306"/>
    <mergeCell ref="F9315:G9315"/>
    <mergeCell ref="F9321:G9321"/>
    <mergeCell ref="C9322:G9322"/>
    <mergeCell ref="F6270:G6270"/>
    <mergeCell ref="C6271:G6271"/>
    <mergeCell ref="C6272:E6272"/>
    <mergeCell ref="F6272:G6272"/>
    <mergeCell ref="F7731:G7731"/>
    <mergeCell ref="F7142:G7142"/>
    <mergeCell ref="C7109:E7109"/>
    <mergeCell ref="C7089:E7089"/>
    <mergeCell ref="F7089:G7089"/>
    <mergeCell ref="C7090:G7090"/>
    <mergeCell ref="C9323:E9323"/>
    <mergeCell ref="F6592:G6592"/>
    <mergeCell ref="C6593:G6593"/>
    <mergeCell ref="C6594:E6594"/>
    <mergeCell ref="C7001:G7001"/>
    <mergeCell ref="C7035:G7035"/>
  </mergeCells>
  <printOptions horizontalCentered="1"/>
  <pageMargins left="0.25" right="0.25" top="0.5" bottom="0.25" header="0.5" footer="0.05"/>
  <pageSetup paperSize="9" scale="56" orientation="portrait" horizontalDpi="360" verticalDpi="360" r:id="rId1"/>
  <rowBreaks count="16" manualBreakCount="16">
    <brk id="801" min="1" max="12" man="1"/>
    <brk id="1207" min="1" max="12" man="1"/>
    <brk id="1351" min="1" max="12" man="1"/>
    <brk id="1352" min="1" max="12" man="1"/>
    <brk id="1724" min="1" max="12" man="1"/>
    <brk id="2738" min="1" max="12" man="1"/>
    <brk id="3658" min="1" max="12" man="1"/>
    <brk id="3987" min="1" max="12" man="1"/>
    <brk id="4689" min="1" max="12" man="1"/>
    <brk id="5237" min="1" max="12" man="1"/>
    <brk id="6135" min="1" max="12" man="1"/>
    <brk id="6358" min="1" max="12" man="1"/>
    <brk id="6562" min="1" max="12" man="1"/>
    <brk id="6820" min="1" max="12" man="1"/>
    <brk id="8949" min="1" max="12" man="1"/>
    <brk id="9171" min="1" max="12" man="1"/>
  </row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52"/>
  <dimension ref="A1:G43"/>
  <sheetViews>
    <sheetView workbookViewId="0">
      <selection activeCell="G43" sqref="A1:G43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2223</v>
      </c>
    </row>
    <row r="3" spans="1:7" ht="34.950000000000003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5" customHeight="1">
      <c r="A5" s="5"/>
      <c r="B5" s="3" t="s">
        <v>673</v>
      </c>
      <c r="C5" s="3" t="s">
        <v>674</v>
      </c>
      <c r="D5" s="12" t="s">
        <v>675</v>
      </c>
      <c r="E5" s="12" t="s">
        <v>1114</v>
      </c>
      <c r="F5" s="5"/>
      <c r="G5" s="5"/>
    </row>
    <row r="6" spans="1:7" ht="13.65" customHeight="1">
      <c r="A6" s="5"/>
      <c r="B6" s="3" t="s">
        <v>816</v>
      </c>
      <c r="C6" s="3" t="s">
        <v>678</v>
      </c>
      <c r="D6" s="12" t="s">
        <v>675</v>
      </c>
      <c r="E6" s="12" t="s">
        <v>1114</v>
      </c>
      <c r="F6" s="5"/>
      <c r="G6" s="5"/>
    </row>
    <row r="7" spans="1:7" ht="13.65" customHeight="1">
      <c r="A7" s="5"/>
      <c r="B7" s="3" t="s">
        <v>751</v>
      </c>
      <c r="C7" s="3" t="s">
        <v>681</v>
      </c>
      <c r="D7" s="12" t="s">
        <v>675</v>
      </c>
      <c r="E7" s="3" t="s">
        <v>695</v>
      </c>
      <c r="F7" s="5"/>
      <c r="G7" s="5"/>
    </row>
    <row r="8" spans="1:7" ht="13.95" customHeight="1">
      <c r="A8" s="5"/>
      <c r="B8" s="3" t="s">
        <v>683</v>
      </c>
      <c r="C8" s="3" t="s">
        <v>684</v>
      </c>
      <c r="D8" s="12" t="s">
        <v>675</v>
      </c>
      <c r="E8" s="3" t="s">
        <v>693</v>
      </c>
      <c r="F8" s="5"/>
      <c r="G8" s="5"/>
    </row>
    <row r="9" spans="1:7" ht="12" customHeight="1">
      <c r="A9" s="5"/>
      <c r="B9" s="5"/>
      <c r="C9" s="5"/>
      <c r="D9" s="5"/>
      <c r="E9" s="2474" t="s">
        <v>685</v>
      </c>
      <c r="F9" s="2474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65" customHeight="1">
      <c r="A11" s="5"/>
      <c r="B11" s="3" t="s">
        <v>1128</v>
      </c>
      <c r="C11" s="5"/>
      <c r="D11" s="12" t="s">
        <v>743</v>
      </c>
      <c r="E11" s="12" t="s">
        <v>1118</v>
      </c>
      <c r="F11" s="5"/>
      <c r="G11" s="5"/>
    </row>
    <row r="12" spans="1:7" ht="13.95" customHeight="1">
      <c r="A12" s="5"/>
      <c r="B12" s="3" t="s">
        <v>818</v>
      </c>
      <c r="C12" s="5"/>
      <c r="D12" s="12" t="s">
        <v>773</v>
      </c>
      <c r="E12" s="12" t="s">
        <v>1123</v>
      </c>
      <c r="F12" s="5"/>
      <c r="G12" s="5"/>
    </row>
    <row r="13" spans="1:7" ht="13.65" customHeight="1">
      <c r="A13" s="5"/>
      <c r="B13" s="3" t="s">
        <v>1100</v>
      </c>
      <c r="C13" s="5"/>
      <c r="D13" s="12" t="s">
        <v>690</v>
      </c>
      <c r="E13" s="12" t="s">
        <v>723</v>
      </c>
      <c r="F13" s="5"/>
      <c r="G13" s="5"/>
    </row>
    <row r="14" spans="1:7" ht="13.65" customHeight="1">
      <c r="A14" s="5"/>
      <c r="B14" s="3" t="s">
        <v>739</v>
      </c>
      <c r="C14" s="5"/>
      <c r="D14" s="12" t="s">
        <v>881</v>
      </c>
      <c r="E14" s="3" t="s">
        <v>852</v>
      </c>
      <c r="F14" s="5"/>
      <c r="G14" s="5"/>
    </row>
    <row r="15" spans="1:7" ht="12" customHeight="1">
      <c r="A15" s="5"/>
      <c r="B15" s="5"/>
      <c r="C15" s="5"/>
      <c r="D15" s="5"/>
      <c r="E15" s="2474" t="s">
        <v>702</v>
      </c>
      <c r="F15" s="2474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2474" t="s">
        <v>705</v>
      </c>
      <c r="F18" s="2474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2474" t="s">
        <v>707</v>
      </c>
      <c r="C20" s="2474"/>
      <c r="D20" s="2474"/>
      <c r="E20" s="2474"/>
      <c r="F20" s="2474"/>
      <c r="G20" s="5"/>
    </row>
    <row r="21" spans="1:7" ht="12" customHeight="1">
      <c r="A21" s="12" t="s">
        <v>708</v>
      </c>
      <c r="B21" s="2471" t="s">
        <v>876</v>
      </c>
      <c r="C21" s="2471"/>
      <c r="D21" s="2471"/>
      <c r="E21" s="2472" t="s">
        <v>710</v>
      </c>
      <c r="F21" s="2472"/>
      <c r="G21" s="5"/>
    </row>
    <row r="22" spans="1:7" ht="12" customHeight="1">
      <c r="A22" s="12" t="s">
        <v>711</v>
      </c>
      <c r="B22" s="2473" t="s">
        <v>712</v>
      </c>
      <c r="C22" s="2473"/>
      <c r="D22" s="2473"/>
      <c r="E22" s="2473"/>
      <c r="F22" s="2473"/>
      <c r="G22" s="5"/>
    </row>
    <row r="23" spans="1:7" ht="12" customHeight="1">
      <c r="A23" s="12"/>
      <c r="B23" s="26"/>
      <c r="C23" s="26"/>
      <c r="D23" s="26"/>
      <c r="E23" s="26"/>
      <c r="F23" s="26"/>
      <c r="G23" s="5"/>
    </row>
    <row r="24" spans="1:7" ht="12" customHeight="1">
      <c r="A24" s="50" t="s">
        <v>2224</v>
      </c>
      <c r="B24" s="26"/>
      <c r="C24" s="26"/>
      <c r="D24" s="26"/>
      <c r="E24" s="26"/>
      <c r="F24" s="26"/>
      <c r="G24" s="5"/>
    </row>
    <row r="25" spans="1:7" ht="12" customHeight="1">
      <c r="A25" s="12"/>
      <c r="B25" s="26"/>
      <c r="C25" s="26"/>
      <c r="D25" s="26"/>
      <c r="E25" s="26"/>
      <c r="F25" s="26"/>
      <c r="G25" s="5"/>
    </row>
    <row r="26" spans="1:7" ht="35.1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65" customHeight="1">
      <c r="A28" s="5"/>
      <c r="B28" s="3" t="s">
        <v>673</v>
      </c>
      <c r="C28" s="3" t="s">
        <v>674</v>
      </c>
      <c r="D28" s="12" t="s">
        <v>675</v>
      </c>
      <c r="E28" s="12" t="s">
        <v>1129</v>
      </c>
      <c r="F28" s="5"/>
      <c r="G28" s="5"/>
    </row>
    <row r="29" spans="1:7" ht="13.65" customHeight="1">
      <c r="A29" s="5"/>
      <c r="B29" s="3" t="s">
        <v>816</v>
      </c>
      <c r="C29" s="3" t="s">
        <v>678</v>
      </c>
      <c r="D29" s="12" t="s">
        <v>675</v>
      </c>
      <c r="E29" s="12" t="s">
        <v>1130</v>
      </c>
      <c r="F29" s="5"/>
      <c r="G29" s="5"/>
    </row>
    <row r="30" spans="1:7" ht="13.95" customHeight="1">
      <c r="A30" s="5"/>
      <c r="B30" s="3" t="s">
        <v>751</v>
      </c>
      <c r="C30" s="3" t="s">
        <v>681</v>
      </c>
      <c r="D30" s="12" t="s">
        <v>675</v>
      </c>
      <c r="E30" s="3" t="s">
        <v>865</v>
      </c>
      <c r="F30" s="5"/>
      <c r="G30" s="5"/>
    </row>
    <row r="31" spans="1:7" ht="13.65" customHeight="1">
      <c r="A31" s="5"/>
      <c r="B31" s="3" t="s">
        <v>683</v>
      </c>
      <c r="C31" s="3" t="s">
        <v>684</v>
      </c>
      <c r="D31" s="12" t="s">
        <v>675</v>
      </c>
      <c r="E31" s="3" t="s">
        <v>865</v>
      </c>
      <c r="F31" s="5"/>
      <c r="G31" s="5"/>
    </row>
    <row r="32" spans="1:7" ht="12" customHeight="1">
      <c r="A32" s="5"/>
      <c r="B32" s="5"/>
      <c r="C32" s="5"/>
      <c r="D32" s="5"/>
      <c r="E32" s="2474" t="s">
        <v>685</v>
      </c>
      <c r="F32" s="2474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65" customHeight="1">
      <c r="A34" s="5"/>
      <c r="B34" s="3" t="s">
        <v>1131</v>
      </c>
      <c r="C34" s="5"/>
      <c r="D34" s="12" t="s">
        <v>881</v>
      </c>
      <c r="E34" s="3">
        <v>3.5999999999999997E-2</v>
      </c>
      <c r="F34" s="5"/>
      <c r="G34" s="5"/>
    </row>
    <row r="35" spans="1:7" ht="13.95" customHeight="1">
      <c r="A35" s="5"/>
      <c r="B35" s="3" t="s">
        <v>1100</v>
      </c>
      <c r="C35" s="5"/>
      <c r="D35" s="12" t="s">
        <v>690</v>
      </c>
      <c r="E35" s="12" t="s">
        <v>723</v>
      </c>
      <c r="F35" s="5"/>
      <c r="G35" s="5"/>
    </row>
    <row r="36" spans="1:7" ht="12" customHeight="1">
      <c r="A36" s="5"/>
      <c r="B36" s="5"/>
      <c r="C36" s="5"/>
      <c r="D36" s="5"/>
      <c r="E36" s="2474" t="s">
        <v>702</v>
      </c>
      <c r="F36" s="2474"/>
      <c r="G36" s="5"/>
    </row>
    <row r="37" spans="1:7" ht="12" customHeight="1">
      <c r="A37" s="12" t="s">
        <v>703</v>
      </c>
      <c r="B37" s="3" t="s">
        <v>704</v>
      </c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5"/>
      <c r="B39" s="5"/>
      <c r="C39" s="5"/>
      <c r="D39" s="5"/>
      <c r="E39" s="2474" t="s">
        <v>705</v>
      </c>
      <c r="F39" s="2474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12" t="s">
        <v>706</v>
      </c>
      <c r="B41" s="2474" t="s">
        <v>707</v>
      </c>
      <c r="C41" s="2474"/>
      <c r="D41" s="2474"/>
      <c r="E41" s="2474"/>
      <c r="F41" s="2474"/>
      <c r="G41" s="5"/>
    </row>
    <row r="42" spans="1:7" ht="12" customHeight="1">
      <c r="A42" s="12" t="s">
        <v>708</v>
      </c>
      <c r="B42" s="2471" t="s">
        <v>876</v>
      </c>
      <c r="C42" s="2471"/>
      <c r="D42" s="2471"/>
      <c r="E42" s="2472" t="s">
        <v>710</v>
      </c>
      <c r="F42" s="2472"/>
      <c r="G42" s="5"/>
    </row>
    <row r="43" spans="1:7" ht="12" customHeight="1">
      <c r="A43" s="12" t="s">
        <v>711</v>
      </c>
      <c r="B43" s="2473" t="s">
        <v>712</v>
      </c>
      <c r="C43" s="2473"/>
      <c r="D43" s="2473"/>
      <c r="E43" s="2473"/>
      <c r="F43" s="2473"/>
      <c r="G43" s="5"/>
    </row>
  </sheetData>
  <mergeCells count="14">
    <mergeCell ref="E9:F9"/>
    <mergeCell ref="E15:F15"/>
    <mergeCell ref="E18:F18"/>
    <mergeCell ref="B20:F20"/>
    <mergeCell ref="B21:D21"/>
    <mergeCell ref="E21:F21"/>
    <mergeCell ref="B42:D42"/>
    <mergeCell ref="E42:F42"/>
    <mergeCell ref="B43:F43"/>
    <mergeCell ref="B22:F22"/>
    <mergeCell ref="E32:F32"/>
    <mergeCell ref="E36:F36"/>
    <mergeCell ref="E39:F39"/>
    <mergeCell ref="B41:F41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53"/>
  <dimension ref="A1:G45"/>
  <sheetViews>
    <sheetView topLeftCell="A28" workbookViewId="0">
      <selection sqref="A1:G45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2225</v>
      </c>
    </row>
    <row r="3" spans="1:7" ht="34.950000000000003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5" customHeight="1">
      <c r="A5" s="5"/>
      <c r="B5" s="3" t="s">
        <v>673</v>
      </c>
      <c r="C5" s="3" t="s">
        <v>674</v>
      </c>
      <c r="D5" s="12" t="s">
        <v>675</v>
      </c>
      <c r="E5" s="12" t="s">
        <v>1132</v>
      </c>
      <c r="F5" s="5"/>
      <c r="G5" s="5"/>
    </row>
    <row r="6" spans="1:7" ht="13.65" customHeight="1">
      <c r="A6" s="5"/>
      <c r="B6" s="3" t="s">
        <v>816</v>
      </c>
      <c r="C6" s="3" t="s">
        <v>678</v>
      </c>
      <c r="D6" s="12" t="s">
        <v>675</v>
      </c>
      <c r="E6" s="12" t="s">
        <v>1133</v>
      </c>
      <c r="F6" s="5"/>
      <c r="G6" s="5"/>
    </row>
    <row r="7" spans="1:7" ht="13.65" customHeight="1">
      <c r="A7" s="5"/>
      <c r="B7" s="3" t="s">
        <v>751</v>
      </c>
      <c r="C7" s="3" t="s">
        <v>681</v>
      </c>
      <c r="D7" s="12" t="s">
        <v>675</v>
      </c>
      <c r="E7" s="3" t="s">
        <v>846</v>
      </c>
      <c r="F7" s="5"/>
      <c r="G7" s="5"/>
    </row>
    <row r="8" spans="1:7" ht="13.95" customHeight="1">
      <c r="A8" s="5"/>
      <c r="B8" s="3" t="s">
        <v>683</v>
      </c>
      <c r="C8" s="3" t="s">
        <v>684</v>
      </c>
      <c r="D8" s="12" t="s">
        <v>675</v>
      </c>
      <c r="E8" s="3" t="s">
        <v>846</v>
      </c>
      <c r="F8" s="5"/>
      <c r="G8" s="5"/>
    </row>
    <row r="9" spans="1:7" ht="12" customHeight="1">
      <c r="A9" s="5"/>
      <c r="B9" s="5"/>
      <c r="C9" s="5"/>
      <c r="D9" s="5"/>
      <c r="E9" s="2474" t="s">
        <v>685</v>
      </c>
      <c r="F9" s="2474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65" customHeight="1">
      <c r="A11" s="5"/>
      <c r="B11" s="3" t="s">
        <v>1134</v>
      </c>
      <c r="C11" s="5"/>
      <c r="D11" s="12" t="s">
        <v>743</v>
      </c>
      <c r="E11" s="3" t="s">
        <v>1135</v>
      </c>
      <c r="F11" s="5"/>
      <c r="G11" s="5"/>
    </row>
    <row r="12" spans="1:7" ht="13.95" customHeight="1">
      <c r="A12" s="5"/>
      <c r="B12" s="3" t="s">
        <v>818</v>
      </c>
      <c r="C12" s="5"/>
      <c r="D12" s="12" t="s">
        <v>690</v>
      </c>
      <c r="E12" s="12" t="s">
        <v>1136</v>
      </c>
      <c r="F12" s="5"/>
      <c r="G12" s="5"/>
    </row>
    <row r="13" spans="1:7" ht="13.65" customHeight="1">
      <c r="A13" s="5"/>
      <c r="B13" s="3" t="s">
        <v>739</v>
      </c>
      <c r="C13" s="5"/>
      <c r="D13" s="12" t="s">
        <v>1120</v>
      </c>
      <c r="E13" s="3" t="s">
        <v>795</v>
      </c>
      <c r="F13" s="5"/>
      <c r="G13" s="5"/>
    </row>
    <row r="14" spans="1:7" ht="13.65" customHeight="1">
      <c r="A14" s="5"/>
      <c r="B14" s="3" t="s">
        <v>1100</v>
      </c>
      <c r="C14" s="5"/>
      <c r="D14" s="12" t="s">
        <v>690</v>
      </c>
      <c r="E14" s="12" t="s">
        <v>1137</v>
      </c>
      <c r="F14" s="5"/>
      <c r="G14" s="5"/>
    </row>
    <row r="15" spans="1:7" ht="12" customHeight="1">
      <c r="A15" s="5"/>
      <c r="B15" s="5"/>
      <c r="C15" s="5"/>
      <c r="D15" s="5"/>
      <c r="E15" s="2474" t="s">
        <v>702</v>
      </c>
      <c r="F15" s="2474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2474" t="s">
        <v>705</v>
      </c>
      <c r="F18" s="2474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2474" t="s">
        <v>707</v>
      </c>
      <c r="C20" s="2474"/>
      <c r="D20" s="2474"/>
      <c r="E20" s="2474"/>
      <c r="F20" s="2474"/>
      <c r="G20" s="5"/>
    </row>
    <row r="21" spans="1:7" ht="12" customHeight="1">
      <c r="A21" s="12" t="s">
        <v>708</v>
      </c>
      <c r="B21" s="2471" t="s">
        <v>876</v>
      </c>
      <c r="C21" s="2471"/>
      <c r="D21" s="2471"/>
      <c r="E21" s="2472" t="s">
        <v>710</v>
      </c>
      <c r="F21" s="2472"/>
      <c r="G21" s="5"/>
    </row>
    <row r="22" spans="1:7" ht="12" customHeight="1">
      <c r="A22" s="12" t="s">
        <v>711</v>
      </c>
      <c r="B22" s="2473" t="s">
        <v>712</v>
      </c>
      <c r="C22" s="2473"/>
      <c r="D22" s="2473"/>
      <c r="E22" s="2473"/>
      <c r="F22" s="2473"/>
      <c r="G22" s="5"/>
    </row>
    <row r="23" spans="1:7" ht="12" customHeight="1">
      <c r="A23" s="12"/>
      <c r="B23" s="26"/>
      <c r="C23" s="26"/>
      <c r="D23" s="26"/>
      <c r="E23" s="26"/>
      <c r="F23" s="26"/>
      <c r="G23" s="5"/>
    </row>
    <row r="24" spans="1:7" ht="12" customHeight="1">
      <c r="A24" s="50" t="s">
        <v>2226</v>
      </c>
      <c r="B24" s="26"/>
      <c r="C24" s="26"/>
      <c r="D24" s="26"/>
      <c r="E24" s="26"/>
      <c r="F24" s="26"/>
      <c r="G24" s="5"/>
    </row>
    <row r="25" spans="1:7" ht="12" customHeight="1">
      <c r="A25" s="12"/>
      <c r="B25" s="26"/>
      <c r="C25" s="26"/>
      <c r="D25" s="26"/>
      <c r="E25" s="26"/>
      <c r="F25" s="26"/>
      <c r="G25" s="5"/>
    </row>
    <row r="26" spans="1:7" ht="35.1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65" customHeight="1">
      <c r="A28" s="5"/>
      <c r="B28" s="3" t="s">
        <v>673</v>
      </c>
      <c r="C28" s="3" t="s">
        <v>674</v>
      </c>
      <c r="D28" s="12" t="s">
        <v>675</v>
      </c>
      <c r="E28" s="12" t="s">
        <v>1132</v>
      </c>
      <c r="F28" s="5"/>
      <c r="G28" s="5"/>
    </row>
    <row r="29" spans="1:7" ht="13.65" customHeight="1">
      <c r="A29" s="5"/>
      <c r="B29" s="3" t="s">
        <v>816</v>
      </c>
      <c r="C29" s="3" t="s">
        <v>678</v>
      </c>
      <c r="D29" s="12" t="s">
        <v>675</v>
      </c>
      <c r="E29" s="12" t="s">
        <v>1133</v>
      </c>
      <c r="F29" s="5"/>
      <c r="G29" s="5"/>
    </row>
    <row r="30" spans="1:7" ht="13.95" customHeight="1">
      <c r="A30" s="5"/>
      <c r="B30" s="3" t="s">
        <v>751</v>
      </c>
      <c r="C30" s="3" t="s">
        <v>681</v>
      </c>
      <c r="D30" s="12" t="s">
        <v>675</v>
      </c>
      <c r="E30" s="3" t="s">
        <v>846</v>
      </c>
      <c r="F30" s="5"/>
      <c r="G30" s="5"/>
    </row>
    <row r="31" spans="1:7" ht="13.65" customHeight="1">
      <c r="A31" s="5"/>
      <c r="B31" s="3" t="s">
        <v>683</v>
      </c>
      <c r="C31" s="3" t="s">
        <v>684</v>
      </c>
      <c r="D31" s="12" t="s">
        <v>675</v>
      </c>
      <c r="E31" s="3" t="s">
        <v>846</v>
      </c>
      <c r="F31" s="5"/>
      <c r="G31" s="5"/>
    </row>
    <row r="32" spans="1:7" ht="12" customHeight="1">
      <c r="A32" s="5"/>
      <c r="B32" s="5"/>
      <c r="C32" s="5"/>
      <c r="D32" s="5"/>
      <c r="E32" s="2474" t="s">
        <v>685</v>
      </c>
      <c r="F32" s="2474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65" customHeight="1">
      <c r="A34" s="5"/>
      <c r="B34" s="3" t="s">
        <v>1134</v>
      </c>
      <c r="C34" s="5"/>
      <c r="D34" s="12" t="s">
        <v>743</v>
      </c>
      <c r="E34" s="3" t="s">
        <v>1138</v>
      </c>
      <c r="F34" s="5"/>
      <c r="G34" s="5"/>
    </row>
    <row r="35" spans="1:7" ht="13.95" customHeight="1">
      <c r="A35" s="5"/>
      <c r="B35" s="3" t="s">
        <v>818</v>
      </c>
      <c r="C35" s="5"/>
      <c r="D35" s="12" t="s">
        <v>690</v>
      </c>
      <c r="E35" s="12" t="s">
        <v>1136</v>
      </c>
      <c r="F35" s="5"/>
      <c r="G35" s="5"/>
    </row>
    <row r="36" spans="1:7" ht="13.65" customHeight="1">
      <c r="A36" s="5"/>
      <c r="B36" s="3" t="s">
        <v>739</v>
      </c>
      <c r="C36" s="5"/>
      <c r="D36" s="12" t="s">
        <v>1120</v>
      </c>
      <c r="E36" s="3" t="s">
        <v>795</v>
      </c>
      <c r="F36" s="5"/>
      <c r="G36" s="5"/>
    </row>
    <row r="37" spans="1:7" ht="13.95" customHeight="1">
      <c r="A37" s="5"/>
      <c r="B37" s="3" t="s">
        <v>1100</v>
      </c>
      <c r="C37" s="5"/>
      <c r="D37" s="12" t="s">
        <v>690</v>
      </c>
      <c r="E37" s="12" t="s">
        <v>1139</v>
      </c>
      <c r="F37" s="5"/>
      <c r="G37" s="5"/>
    </row>
    <row r="38" spans="1:7" ht="12" customHeight="1">
      <c r="A38" s="5"/>
      <c r="B38" s="5"/>
      <c r="C38" s="5"/>
      <c r="D38" s="5"/>
      <c r="E38" s="2474" t="s">
        <v>702</v>
      </c>
      <c r="F38" s="2474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2474" t="s">
        <v>705</v>
      </c>
      <c r="F41" s="2474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2474" t="s">
        <v>707</v>
      </c>
      <c r="C43" s="2474"/>
      <c r="D43" s="2474"/>
      <c r="E43" s="2474"/>
      <c r="F43" s="2474"/>
      <c r="G43" s="5"/>
    </row>
    <row r="44" spans="1:7" ht="11.85" customHeight="1">
      <c r="A44" s="12" t="s">
        <v>708</v>
      </c>
      <c r="B44" s="2471" t="s">
        <v>876</v>
      </c>
      <c r="C44" s="2471"/>
      <c r="D44" s="2471"/>
      <c r="E44" s="2472" t="s">
        <v>710</v>
      </c>
      <c r="F44" s="2472"/>
      <c r="G44" s="5"/>
    </row>
    <row r="45" spans="1:7" ht="12.15" customHeight="1">
      <c r="A45" s="12" t="s">
        <v>711</v>
      </c>
      <c r="B45" s="2473" t="s">
        <v>712</v>
      </c>
      <c r="C45" s="2473"/>
      <c r="D45" s="2473"/>
      <c r="E45" s="2473"/>
      <c r="F45" s="2473"/>
      <c r="G45" s="5"/>
    </row>
  </sheetData>
  <mergeCells count="14">
    <mergeCell ref="E9:F9"/>
    <mergeCell ref="E15:F15"/>
    <mergeCell ref="E18:F18"/>
    <mergeCell ref="B20:F20"/>
    <mergeCell ref="B21:D21"/>
    <mergeCell ref="E21:F21"/>
    <mergeCell ref="B44:D44"/>
    <mergeCell ref="E44:F44"/>
    <mergeCell ref="B45:F45"/>
    <mergeCell ref="B22:F22"/>
    <mergeCell ref="E32:F32"/>
    <mergeCell ref="E38:F38"/>
    <mergeCell ref="E41:F41"/>
    <mergeCell ref="B43:F43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54"/>
  <dimension ref="A1:G45"/>
  <sheetViews>
    <sheetView topLeftCell="A25" workbookViewId="0">
      <selection activeCell="G45" sqref="A1:G45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1" t="s">
        <v>2227</v>
      </c>
    </row>
    <row r="3" spans="1:7" ht="34.950000000000003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5" customHeight="1">
      <c r="A5" s="5"/>
      <c r="B5" s="3" t="s">
        <v>673</v>
      </c>
      <c r="C5" s="3" t="s">
        <v>674</v>
      </c>
      <c r="D5" s="12" t="s">
        <v>675</v>
      </c>
      <c r="E5" s="12" t="s">
        <v>1132</v>
      </c>
      <c r="F5" s="5"/>
      <c r="G5" s="5"/>
    </row>
    <row r="6" spans="1:7" ht="13.65" customHeight="1">
      <c r="A6" s="5"/>
      <c r="B6" s="3" t="s">
        <v>816</v>
      </c>
      <c r="C6" s="3" t="s">
        <v>678</v>
      </c>
      <c r="D6" s="12" t="s">
        <v>675</v>
      </c>
      <c r="E6" s="12" t="s">
        <v>1133</v>
      </c>
      <c r="F6" s="5"/>
      <c r="G6" s="5"/>
    </row>
    <row r="7" spans="1:7" ht="13.65" customHeight="1">
      <c r="A7" s="5"/>
      <c r="B7" s="3" t="s">
        <v>751</v>
      </c>
      <c r="C7" s="3" t="s">
        <v>681</v>
      </c>
      <c r="D7" s="12" t="s">
        <v>675</v>
      </c>
      <c r="E7" s="3" t="s">
        <v>846</v>
      </c>
      <c r="F7" s="5"/>
      <c r="G7" s="5"/>
    </row>
    <row r="8" spans="1:7" ht="13.95" customHeight="1">
      <c r="A8" s="5"/>
      <c r="B8" s="3" t="s">
        <v>683</v>
      </c>
      <c r="C8" s="3" t="s">
        <v>684</v>
      </c>
      <c r="D8" s="12" t="s">
        <v>675</v>
      </c>
      <c r="E8" s="3" t="s">
        <v>846</v>
      </c>
      <c r="F8" s="5"/>
      <c r="G8" s="5"/>
    </row>
    <row r="9" spans="1:7" ht="12" customHeight="1">
      <c r="A9" s="5"/>
      <c r="B9" s="5"/>
      <c r="C9" s="5"/>
      <c r="D9" s="5"/>
      <c r="E9" s="2474" t="s">
        <v>685</v>
      </c>
      <c r="F9" s="2474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65" customHeight="1">
      <c r="A11" s="5"/>
      <c r="B11" s="3" t="s">
        <v>1134</v>
      </c>
      <c r="C11" s="5"/>
      <c r="D11" s="12" t="s">
        <v>743</v>
      </c>
      <c r="E11" s="3" t="s">
        <v>1096</v>
      </c>
      <c r="F11" s="5"/>
      <c r="G11" s="5"/>
    </row>
    <row r="12" spans="1:7" ht="13.95" customHeight="1">
      <c r="A12" s="5"/>
      <c r="B12" s="3" t="s">
        <v>738</v>
      </c>
      <c r="C12" s="5"/>
      <c r="D12" s="12" t="s">
        <v>690</v>
      </c>
      <c r="E12" s="12" t="s">
        <v>1136</v>
      </c>
      <c r="F12" s="5"/>
      <c r="G12" s="5"/>
    </row>
    <row r="13" spans="1:7" ht="13.65" customHeight="1">
      <c r="A13" s="5"/>
      <c r="B13" s="3" t="s">
        <v>739</v>
      </c>
      <c r="C13" s="5"/>
      <c r="D13" s="12" t="s">
        <v>881</v>
      </c>
      <c r="E13" s="3" t="s">
        <v>795</v>
      </c>
      <c r="F13" s="5"/>
      <c r="G13" s="5"/>
    </row>
    <row r="14" spans="1:7" ht="13.65" customHeight="1">
      <c r="A14" s="5"/>
      <c r="B14" s="3" t="s">
        <v>1100</v>
      </c>
      <c r="C14" s="5"/>
      <c r="D14" s="12" t="s">
        <v>690</v>
      </c>
      <c r="E14" s="12" t="s">
        <v>1103</v>
      </c>
      <c r="F14" s="5"/>
      <c r="G14" s="5"/>
    </row>
    <row r="15" spans="1:7" ht="12" customHeight="1">
      <c r="A15" s="5"/>
      <c r="B15" s="5"/>
      <c r="C15" s="5"/>
      <c r="D15" s="5"/>
      <c r="E15" s="2474" t="s">
        <v>702</v>
      </c>
      <c r="F15" s="2474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2474" t="s">
        <v>705</v>
      </c>
      <c r="F18" s="2474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2474" t="s">
        <v>707</v>
      </c>
      <c r="C20" s="2474"/>
      <c r="D20" s="2474"/>
      <c r="E20" s="2474"/>
      <c r="F20" s="2474"/>
      <c r="G20" s="5"/>
    </row>
    <row r="21" spans="1:7" ht="12" customHeight="1">
      <c r="A21" s="12" t="s">
        <v>708</v>
      </c>
      <c r="B21" s="2471" t="s">
        <v>876</v>
      </c>
      <c r="C21" s="2471"/>
      <c r="D21" s="2471"/>
      <c r="E21" s="2472" t="s">
        <v>710</v>
      </c>
      <c r="F21" s="2472"/>
      <c r="G21" s="5"/>
    </row>
    <row r="22" spans="1:7" ht="12" customHeight="1">
      <c r="A22" s="12" t="s">
        <v>711</v>
      </c>
      <c r="B22" s="2473" t="s">
        <v>712</v>
      </c>
      <c r="C22" s="2473"/>
      <c r="D22" s="2473"/>
      <c r="E22" s="2473"/>
      <c r="F22" s="2473"/>
      <c r="G22" s="5"/>
    </row>
    <row r="23" spans="1:7" ht="12" customHeight="1">
      <c r="A23" s="12"/>
      <c r="B23" s="26"/>
      <c r="C23" s="26"/>
      <c r="D23" s="26"/>
      <c r="E23" s="26"/>
      <c r="F23" s="26"/>
      <c r="G23" s="5"/>
    </row>
    <row r="24" spans="1:7" ht="12" customHeight="1">
      <c r="A24" s="50" t="s">
        <v>2228</v>
      </c>
      <c r="B24" s="26"/>
      <c r="C24" s="26"/>
      <c r="D24" s="26"/>
      <c r="E24" s="26"/>
      <c r="F24" s="26"/>
      <c r="G24" s="5"/>
    </row>
    <row r="25" spans="1:7" ht="12" customHeight="1">
      <c r="A25" s="12"/>
      <c r="B25" s="26"/>
      <c r="C25" s="26"/>
      <c r="D25" s="26"/>
      <c r="E25" s="26"/>
      <c r="F25" s="26"/>
      <c r="G25" s="5"/>
    </row>
    <row r="26" spans="1:7" ht="35.1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65" customHeight="1">
      <c r="A28" s="5"/>
      <c r="B28" s="3" t="s">
        <v>673</v>
      </c>
      <c r="C28" s="3" t="s">
        <v>674</v>
      </c>
      <c r="D28" s="12" t="s">
        <v>675</v>
      </c>
      <c r="E28" s="12" t="s">
        <v>1132</v>
      </c>
      <c r="F28" s="5"/>
      <c r="G28" s="5"/>
    </row>
    <row r="29" spans="1:7" ht="13.65" customHeight="1">
      <c r="A29" s="5"/>
      <c r="B29" s="3" t="s">
        <v>816</v>
      </c>
      <c r="C29" s="3" t="s">
        <v>678</v>
      </c>
      <c r="D29" s="12" t="s">
        <v>675</v>
      </c>
      <c r="E29" s="12" t="s">
        <v>1133</v>
      </c>
      <c r="F29" s="5"/>
      <c r="G29" s="5"/>
    </row>
    <row r="30" spans="1:7" ht="13.95" customHeight="1">
      <c r="A30" s="5"/>
      <c r="B30" s="3" t="s">
        <v>751</v>
      </c>
      <c r="C30" s="3" t="s">
        <v>681</v>
      </c>
      <c r="D30" s="12" t="s">
        <v>675</v>
      </c>
      <c r="E30" s="3" t="s">
        <v>846</v>
      </c>
      <c r="F30" s="5"/>
      <c r="G30" s="5"/>
    </row>
    <row r="31" spans="1:7" ht="13.65" customHeight="1">
      <c r="A31" s="5"/>
      <c r="B31" s="3" t="s">
        <v>683</v>
      </c>
      <c r="C31" s="3" t="s">
        <v>684</v>
      </c>
      <c r="D31" s="12" t="s">
        <v>675</v>
      </c>
      <c r="E31" s="3" t="s">
        <v>846</v>
      </c>
      <c r="F31" s="5"/>
      <c r="G31" s="5"/>
    </row>
    <row r="32" spans="1:7" ht="12" customHeight="1">
      <c r="A32" s="5"/>
      <c r="B32" s="5"/>
      <c r="C32" s="5"/>
      <c r="D32" s="5"/>
      <c r="E32" s="2474" t="s">
        <v>685</v>
      </c>
      <c r="F32" s="2474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65" customHeight="1">
      <c r="A34" s="5"/>
      <c r="B34" s="3" t="s">
        <v>1134</v>
      </c>
      <c r="C34" s="5"/>
      <c r="D34" s="12" t="s">
        <v>743</v>
      </c>
      <c r="E34" s="3" t="s">
        <v>1095</v>
      </c>
      <c r="F34" s="5"/>
      <c r="G34" s="5"/>
    </row>
    <row r="35" spans="1:7" ht="13.95" customHeight="1">
      <c r="A35" s="5"/>
      <c r="B35" s="3" t="s">
        <v>738</v>
      </c>
      <c r="C35" s="5"/>
      <c r="D35" s="12" t="s">
        <v>690</v>
      </c>
      <c r="E35" s="3" t="s">
        <v>1096</v>
      </c>
      <c r="F35" s="5"/>
      <c r="G35" s="5"/>
    </row>
    <row r="36" spans="1:7" ht="13.65" customHeight="1">
      <c r="A36" s="5"/>
      <c r="B36" s="3" t="s">
        <v>739</v>
      </c>
      <c r="C36" s="5"/>
      <c r="D36" s="12" t="s">
        <v>881</v>
      </c>
      <c r="E36" s="3" t="s">
        <v>795</v>
      </c>
      <c r="F36" s="5"/>
      <c r="G36" s="5"/>
    </row>
    <row r="37" spans="1:7" ht="13.95" customHeight="1">
      <c r="A37" s="5"/>
      <c r="B37" s="3" t="s">
        <v>1100</v>
      </c>
      <c r="C37" s="5"/>
      <c r="D37" s="12" t="s">
        <v>690</v>
      </c>
      <c r="E37" s="12" t="s">
        <v>750</v>
      </c>
      <c r="F37" s="5"/>
      <c r="G37" s="5"/>
    </row>
    <row r="38" spans="1:7" ht="12" customHeight="1">
      <c r="A38" s="5"/>
      <c r="B38" s="5"/>
      <c r="C38" s="5"/>
      <c r="D38" s="5"/>
      <c r="E38" s="2474" t="s">
        <v>702</v>
      </c>
      <c r="F38" s="2474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2474" t="s">
        <v>705</v>
      </c>
      <c r="F41" s="2474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2474" t="s">
        <v>707</v>
      </c>
      <c r="C43" s="2474"/>
      <c r="D43" s="2474"/>
      <c r="E43" s="2474"/>
      <c r="F43" s="2474"/>
      <c r="G43" s="5"/>
    </row>
    <row r="44" spans="1:7" ht="11.85" customHeight="1">
      <c r="A44" s="12" t="s">
        <v>708</v>
      </c>
      <c r="B44" s="2471" t="s">
        <v>876</v>
      </c>
      <c r="C44" s="2471"/>
      <c r="D44" s="2471"/>
      <c r="E44" s="2472" t="s">
        <v>710</v>
      </c>
      <c r="F44" s="2472"/>
      <c r="G44" s="5"/>
    </row>
    <row r="45" spans="1:7" ht="12.15" customHeight="1">
      <c r="A45" s="12" t="s">
        <v>711</v>
      </c>
      <c r="B45" s="2473" t="s">
        <v>712</v>
      </c>
      <c r="C45" s="2473"/>
      <c r="D45" s="2473"/>
      <c r="E45" s="2473"/>
      <c r="F45" s="2473"/>
      <c r="G45" s="5"/>
    </row>
  </sheetData>
  <mergeCells count="14">
    <mergeCell ref="E9:F9"/>
    <mergeCell ref="E15:F15"/>
    <mergeCell ref="E18:F18"/>
    <mergeCell ref="B20:F20"/>
    <mergeCell ref="B21:D21"/>
    <mergeCell ref="E21:F21"/>
    <mergeCell ref="B44:D44"/>
    <mergeCell ref="E44:F44"/>
    <mergeCell ref="B45:F45"/>
    <mergeCell ref="B22:F22"/>
    <mergeCell ref="E32:F32"/>
    <mergeCell ref="E38:F38"/>
    <mergeCell ref="E41:F41"/>
    <mergeCell ref="B43:F43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55"/>
  <dimension ref="A1:G45"/>
  <sheetViews>
    <sheetView workbookViewId="0">
      <selection activeCell="G45" sqref="A1:G45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2229</v>
      </c>
    </row>
    <row r="3" spans="1:7" ht="34.950000000000003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5" customHeight="1">
      <c r="A5" s="5"/>
      <c r="B5" s="3" t="s">
        <v>673</v>
      </c>
      <c r="C5" s="3" t="s">
        <v>674</v>
      </c>
      <c r="D5" s="12" t="s">
        <v>675</v>
      </c>
      <c r="E5" s="12" t="s">
        <v>1132</v>
      </c>
      <c r="F5" s="5"/>
      <c r="G5" s="5"/>
    </row>
    <row r="6" spans="1:7" ht="13.65" customHeight="1">
      <c r="A6" s="5"/>
      <c r="B6" s="3" t="s">
        <v>816</v>
      </c>
      <c r="C6" s="3" t="s">
        <v>678</v>
      </c>
      <c r="D6" s="12" t="s">
        <v>675</v>
      </c>
      <c r="E6" s="12" t="s">
        <v>1133</v>
      </c>
      <c r="F6" s="5"/>
      <c r="G6" s="5"/>
    </row>
    <row r="7" spans="1:7" ht="13.65" customHeight="1">
      <c r="A7" s="5"/>
      <c r="B7" s="3" t="s">
        <v>751</v>
      </c>
      <c r="C7" s="3" t="s">
        <v>681</v>
      </c>
      <c r="D7" s="12" t="s">
        <v>675</v>
      </c>
      <c r="E7" s="3" t="s">
        <v>846</v>
      </c>
      <c r="F7" s="5"/>
      <c r="G7" s="5"/>
    </row>
    <row r="8" spans="1:7" ht="13.95" customHeight="1">
      <c r="A8" s="5"/>
      <c r="B8" s="3" t="s">
        <v>683</v>
      </c>
      <c r="C8" s="3" t="s">
        <v>684</v>
      </c>
      <c r="D8" s="12" t="s">
        <v>675</v>
      </c>
      <c r="E8" s="3" t="s">
        <v>846</v>
      </c>
      <c r="F8" s="5"/>
      <c r="G8" s="5"/>
    </row>
    <row r="9" spans="1:7" ht="12" customHeight="1">
      <c r="A9" s="5"/>
      <c r="B9" s="5"/>
      <c r="C9" s="5"/>
      <c r="D9" s="5"/>
      <c r="E9" s="2474" t="s">
        <v>685</v>
      </c>
      <c r="F9" s="2474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65" customHeight="1">
      <c r="A11" s="5"/>
      <c r="B11" s="3" t="s">
        <v>1134</v>
      </c>
      <c r="C11" s="5"/>
      <c r="D11" s="12" t="s">
        <v>743</v>
      </c>
      <c r="E11" s="3" t="s">
        <v>1097</v>
      </c>
      <c r="F11" s="5"/>
      <c r="G11" s="5"/>
    </row>
    <row r="12" spans="1:7" ht="13.95" customHeight="1">
      <c r="A12" s="5"/>
      <c r="B12" s="3" t="s">
        <v>818</v>
      </c>
      <c r="C12" s="5"/>
      <c r="D12" s="12" t="s">
        <v>690</v>
      </c>
      <c r="E12" s="3" t="s">
        <v>1098</v>
      </c>
      <c r="F12" s="5"/>
      <c r="G12" s="5"/>
    </row>
    <row r="13" spans="1:7" ht="13.65" customHeight="1">
      <c r="A13" s="5"/>
      <c r="B13" s="3" t="s">
        <v>739</v>
      </c>
      <c r="C13" s="5"/>
      <c r="D13" s="12" t="s">
        <v>881</v>
      </c>
      <c r="E13" s="3" t="s">
        <v>795</v>
      </c>
      <c r="F13" s="5"/>
      <c r="G13" s="5"/>
    </row>
    <row r="14" spans="1:7" ht="13.65" customHeight="1">
      <c r="A14" s="5"/>
      <c r="B14" s="3" t="s">
        <v>1100</v>
      </c>
      <c r="C14" s="5"/>
      <c r="D14" s="12" t="s">
        <v>690</v>
      </c>
      <c r="E14" s="12" t="s">
        <v>1103</v>
      </c>
      <c r="F14" s="5"/>
      <c r="G14" s="5"/>
    </row>
    <row r="15" spans="1:7" ht="12" customHeight="1">
      <c r="A15" s="5"/>
      <c r="B15" s="5"/>
      <c r="C15" s="5"/>
      <c r="D15" s="5"/>
      <c r="E15" s="2474" t="s">
        <v>702</v>
      </c>
      <c r="F15" s="2474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2474" t="s">
        <v>705</v>
      </c>
      <c r="F18" s="2474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2474" t="s">
        <v>707</v>
      </c>
      <c r="C20" s="2474"/>
      <c r="D20" s="2474"/>
      <c r="E20" s="2474"/>
      <c r="F20" s="2474"/>
      <c r="G20" s="5"/>
    </row>
    <row r="21" spans="1:7" ht="12" customHeight="1">
      <c r="A21" s="12" t="s">
        <v>708</v>
      </c>
      <c r="B21" s="2471" t="s">
        <v>876</v>
      </c>
      <c r="C21" s="2471"/>
      <c r="D21" s="2471"/>
      <c r="E21" s="2472" t="s">
        <v>710</v>
      </c>
      <c r="F21" s="2472"/>
      <c r="G21" s="5"/>
    </row>
    <row r="22" spans="1:7" ht="12" customHeight="1">
      <c r="A22" s="12" t="s">
        <v>711</v>
      </c>
      <c r="B22" s="2473" t="s">
        <v>712</v>
      </c>
      <c r="C22" s="2473"/>
      <c r="D22" s="2473"/>
      <c r="E22" s="2473"/>
      <c r="F22" s="2473"/>
      <c r="G22" s="5"/>
    </row>
    <row r="23" spans="1:7" ht="12" customHeight="1">
      <c r="A23" s="12"/>
      <c r="B23" s="26"/>
      <c r="C23" s="26"/>
      <c r="D23" s="26"/>
      <c r="E23" s="26"/>
      <c r="F23" s="26"/>
      <c r="G23" s="5"/>
    </row>
    <row r="24" spans="1:7" ht="12" customHeight="1">
      <c r="A24" s="50" t="s">
        <v>2230</v>
      </c>
      <c r="B24" s="26"/>
      <c r="C24" s="26"/>
      <c r="D24" s="26"/>
      <c r="E24" s="26"/>
      <c r="F24" s="26"/>
      <c r="G24" s="5"/>
    </row>
    <row r="25" spans="1:7" ht="12" customHeight="1">
      <c r="A25" s="12"/>
      <c r="B25" s="26"/>
      <c r="C25" s="26"/>
      <c r="D25" s="26"/>
      <c r="E25" s="26"/>
      <c r="F25" s="26"/>
      <c r="G25" s="5"/>
    </row>
    <row r="26" spans="1:7" ht="34.950000000000003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95" customHeight="1">
      <c r="A28" s="5"/>
      <c r="B28" s="3" t="s">
        <v>673</v>
      </c>
      <c r="C28" s="3" t="s">
        <v>674</v>
      </c>
      <c r="D28" s="12" t="s">
        <v>675</v>
      </c>
      <c r="E28" s="12" t="s">
        <v>1140</v>
      </c>
      <c r="F28" s="5"/>
      <c r="G28" s="5"/>
    </row>
    <row r="29" spans="1:7" ht="13.65" customHeight="1">
      <c r="A29" s="5"/>
      <c r="B29" s="3" t="s">
        <v>816</v>
      </c>
      <c r="C29" s="3" t="s">
        <v>678</v>
      </c>
      <c r="D29" s="12" t="s">
        <v>675</v>
      </c>
      <c r="E29" s="3" t="s">
        <v>1141</v>
      </c>
      <c r="F29" s="5"/>
      <c r="G29" s="5"/>
    </row>
    <row r="30" spans="1:7" ht="13.95" customHeight="1">
      <c r="A30" s="5"/>
      <c r="B30" s="3" t="s">
        <v>751</v>
      </c>
      <c r="C30" s="3" t="s">
        <v>681</v>
      </c>
      <c r="D30" s="12" t="s">
        <v>675</v>
      </c>
      <c r="E30" s="3" t="s">
        <v>912</v>
      </c>
      <c r="F30" s="5"/>
      <c r="G30" s="5"/>
    </row>
    <row r="31" spans="1:7" ht="13.65" customHeight="1">
      <c r="A31" s="5"/>
      <c r="B31" s="3" t="s">
        <v>683</v>
      </c>
      <c r="C31" s="3" t="s">
        <v>684</v>
      </c>
      <c r="D31" s="12" t="s">
        <v>675</v>
      </c>
      <c r="E31" s="3" t="s">
        <v>912</v>
      </c>
      <c r="F31" s="5"/>
      <c r="G31" s="5"/>
    </row>
    <row r="32" spans="1:7" ht="12" customHeight="1">
      <c r="A32" s="5"/>
      <c r="B32" s="5"/>
      <c r="C32" s="5"/>
      <c r="D32" s="5"/>
      <c r="E32" s="2474" t="s">
        <v>685</v>
      </c>
      <c r="F32" s="2474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65" customHeight="1">
      <c r="A34" s="5"/>
      <c r="B34" s="3" t="s">
        <v>1134</v>
      </c>
      <c r="C34" s="5"/>
      <c r="D34" s="12" t="s">
        <v>743</v>
      </c>
      <c r="E34" s="3" t="s">
        <v>1142</v>
      </c>
      <c r="F34" s="5"/>
      <c r="G34" s="5"/>
    </row>
    <row r="35" spans="1:7" ht="13.95" customHeight="1">
      <c r="A35" s="5"/>
      <c r="B35" s="3" t="s">
        <v>818</v>
      </c>
      <c r="C35" s="5"/>
      <c r="D35" s="12" t="s">
        <v>690</v>
      </c>
      <c r="E35" s="12" t="s">
        <v>1094</v>
      </c>
      <c r="F35" s="5"/>
      <c r="G35" s="5"/>
    </row>
    <row r="36" spans="1:7" ht="13.65" customHeight="1">
      <c r="A36" s="5"/>
      <c r="B36" s="3" t="s">
        <v>739</v>
      </c>
      <c r="C36" s="5"/>
      <c r="D36" s="12" t="s">
        <v>881</v>
      </c>
      <c r="E36" s="3" t="s">
        <v>795</v>
      </c>
      <c r="F36" s="5"/>
      <c r="G36" s="5"/>
    </row>
    <row r="37" spans="1:7" ht="13.65" customHeight="1">
      <c r="A37" s="5"/>
      <c r="B37" s="3" t="s">
        <v>1100</v>
      </c>
      <c r="C37" s="5"/>
      <c r="D37" s="12" t="s">
        <v>690</v>
      </c>
      <c r="E37" s="12" t="s">
        <v>1143</v>
      </c>
      <c r="F37" s="5"/>
      <c r="G37" s="5"/>
    </row>
    <row r="38" spans="1:7" ht="12" customHeight="1">
      <c r="A38" s="5"/>
      <c r="B38" s="5"/>
      <c r="C38" s="5"/>
      <c r="D38" s="5"/>
      <c r="E38" s="2474" t="s">
        <v>702</v>
      </c>
      <c r="F38" s="2474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2474" t="s">
        <v>705</v>
      </c>
      <c r="F41" s="2474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2474" t="s">
        <v>707</v>
      </c>
      <c r="C43" s="2474"/>
      <c r="D43" s="2474"/>
      <c r="E43" s="2474"/>
      <c r="F43" s="2474"/>
      <c r="G43" s="5"/>
    </row>
    <row r="44" spans="1:7" ht="12" customHeight="1">
      <c r="A44" s="12" t="s">
        <v>708</v>
      </c>
      <c r="B44" s="2471" t="s">
        <v>876</v>
      </c>
      <c r="C44" s="2471"/>
      <c r="D44" s="2471"/>
      <c r="E44" s="2472" t="s">
        <v>710</v>
      </c>
      <c r="F44" s="2472"/>
      <c r="G44" s="5"/>
    </row>
    <row r="45" spans="1:7" ht="12" customHeight="1">
      <c r="A45" s="12" t="s">
        <v>711</v>
      </c>
      <c r="B45" s="2473" t="s">
        <v>712</v>
      </c>
      <c r="C45" s="2473"/>
      <c r="D45" s="2473"/>
      <c r="E45" s="2473"/>
      <c r="F45" s="2473"/>
      <c r="G45" s="5"/>
    </row>
  </sheetData>
  <mergeCells count="14">
    <mergeCell ref="E9:F9"/>
    <mergeCell ref="E15:F15"/>
    <mergeCell ref="E18:F18"/>
    <mergeCell ref="B20:F20"/>
    <mergeCell ref="B21:D21"/>
    <mergeCell ref="E21:F21"/>
    <mergeCell ref="B44:D44"/>
    <mergeCell ref="E44:F44"/>
    <mergeCell ref="B45:F45"/>
    <mergeCell ref="B22:F22"/>
    <mergeCell ref="E32:F32"/>
    <mergeCell ref="E38:F38"/>
    <mergeCell ref="E41:F41"/>
    <mergeCell ref="B43:F43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56"/>
  <dimension ref="A1:G45"/>
  <sheetViews>
    <sheetView workbookViewId="0">
      <selection activeCell="G45" sqref="A1:G45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2231</v>
      </c>
    </row>
    <row r="3" spans="1:7" ht="34.950000000000003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5" customHeight="1">
      <c r="A5" s="5"/>
      <c r="B5" s="3" t="s">
        <v>673</v>
      </c>
      <c r="C5" s="3" t="s">
        <v>674</v>
      </c>
      <c r="D5" s="12" t="s">
        <v>675</v>
      </c>
      <c r="E5" s="12" t="s">
        <v>1132</v>
      </c>
      <c r="F5" s="5"/>
      <c r="G5" s="5"/>
    </row>
    <row r="6" spans="1:7" ht="13.65" customHeight="1">
      <c r="A6" s="5"/>
      <c r="B6" s="3" t="s">
        <v>816</v>
      </c>
      <c r="C6" s="3" t="s">
        <v>678</v>
      </c>
      <c r="D6" s="12" t="s">
        <v>675</v>
      </c>
      <c r="E6" s="12" t="s">
        <v>1133</v>
      </c>
      <c r="F6" s="5"/>
      <c r="G6" s="5"/>
    </row>
    <row r="7" spans="1:7" ht="13.65" customHeight="1">
      <c r="A7" s="5"/>
      <c r="B7" s="3" t="s">
        <v>751</v>
      </c>
      <c r="C7" s="3" t="s">
        <v>681</v>
      </c>
      <c r="D7" s="12" t="s">
        <v>675</v>
      </c>
      <c r="E7" s="3" t="s">
        <v>846</v>
      </c>
      <c r="F7" s="5"/>
      <c r="G7" s="5"/>
    </row>
    <row r="8" spans="1:7" ht="13.95" customHeight="1">
      <c r="A8" s="5"/>
      <c r="B8" s="3" t="s">
        <v>683</v>
      </c>
      <c r="C8" s="3" t="s">
        <v>684</v>
      </c>
      <c r="D8" s="12" t="s">
        <v>675</v>
      </c>
      <c r="E8" s="3" t="s">
        <v>846</v>
      </c>
      <c r="F8" s="5"/>
      <c r="G8" s="5"/>
    </row>
    <row r="9" spans="1:7" ht="12" customHeight="1">
      <c r="A9" s="5"/>
      <c r="B9" s="5"/>
      <c r="C9" s="5"/>
      <c r="D9" s="5"/>
      <c r="E9" s="2474" t="s">
        <v>685</v>
      </c>
      <c r="F9" s="2474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65" customHeight="1">
      <c r="A11" s="5"/>
      <c r="B11" s="3" t="s">
        <v>1134</v>
      </c>
      <c r="C11" s="5"/>
      <c r="D11" s="12" t="s">
        <v>743</v>
      </c>
      <c r="E11" s="3" t="s">
        <v>1095</v>
      </c>
      <c r="F11" s="5"/>
      <c r="G11" s="5"/>
    </row>
    <row r="12" spans="1:7" ht="13.95" customHeight="1">
      <c r="A12" s="5"/>
      <c r="B12" s="3" t="s">
        <v>818</v>
      </c>
      <c r="C12" s="5"/>
      <c r="D12" s="12" t="s">
        <v>690</v>
      </c>
      <c r="E12" s="3" t="s">
        <v>1144</v>
      </c>
      <c r="F12" s="5"/>
      <c r="G12" s="5"/>
    </row>
    <row r="13" spans="1:7" ht="13.65" customHeight="1">
      <c r="A13" s="5"/>
      <c r="B13" s="3" t="s">
        <v>739</v>
      </c>
      <c r="C13" s="5"/>
      <c r="D13" s="12" t="s">
        <v>881</v>
      </c>
      <c r="E13" s="3" t="s">
        <v>826</v>
      </c>
      <c r="F13" s="5"/>
      <c r="G13" s="5"/>
    </row>
    <row r="14" spans="1:7" ht="13.65" customHeight="1">
      <c r="A14" s="5"/>
      <c r="B14" s="3" t="s">
        <v>1100</v>
      </c>
      <c r="C14" s="5"/>
      <c r="D14" s="12" t="s">
        <v>690</v>
      </c>
      <c r="E14" s="12" t="s">
        <v>757</v>
      </c>
      <c r="F14" s="5"/>
      <c r="G14" s="5"/>
    </row>
    <row r="15" spans="1:7" ht="12" customHeight="1">
      <c r="A15" s="5"/>
      <c r="B15" s="5"/>
      <c r="C15" s="5"/>
      <c r="D15" s="5"/>
      <c r="E15" s="2474" t="s">
        <v>702</v>
      </c>
      <c r="F15" s="2474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2474" t="s">
        <v>705</v>
      </c>
      <c r="F18" s="2474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2474" t="s">
        <v>707</v>
      </c>
      <c r="C20" s="2474"/>
      <c r="D20" s="2474"/>
      <c r="E20" s="2474"/>
      <c r="F20" s="2474"/>
      <c r="G20" s="5"/>
    </row>
    <row r="21" spans="1:7" ht="12" customHeight="1">
      <c r="A21" s="12" t="s">
        <v>708</v>
      </c>
      <c r="B21" s="2471" t="s">
        <v>876</v>
      </c>
      <c r="C21" s="2471"/>
      <c r="D21" s="2471"/>
      <c r="E21" s="2472" t="s">
        <v>710</v>
      </c>
      <c r="F21" s="2472"/>
      <c r="G21" s="5"/>
    </row>
    <row r="22" spans="1:7" ht="12" customHeight="1">
      <c r="A22" s="12" t="s">
        <v>711</v>
      </c>
      <c r="B22" s="2473" t="s">
        <v>712</v>
      </c>
      <c r="C22" s="2473"/>
      <c r="D22" s="2473"/>
      <c r="E22" s="2473"/>
      <c r="F22" s="2473"/>
      <c r="G22" s="5"/>
    </row>
    <row r="23" spans="1:7" ht="12" customHeight="1">
      <c r="A23" s="12"/>
      <c r="B23" s="26"/>
      <c r="C23" s="26"/>
      <c r="D23" s="26"/>
      <c r="E23" s="26"/>
      <c r="F23" s="26"/>
      <c r="G23" s="5"/>
    </row>
    <row r="24" spans="1:7" ht="12" customHeight="1">
      <c r="A24" s="50" t="s">
        <v>2232</v>
      </c>
      <c r="B24" s="26"/>
      <c r="C24" s="26"/>
      <c r="D24" s="26"/>
      <c r="E24" s="26"/>
      <c r="F24" s="26"/>
      <c r="G24" s="5"/>
    </row>
    <row r="25" spans="1:7" ht="12" customHeight="1">
      <c r="A25" s="12"/>
      <c r="B25" s="26"/>
      <c r="C25" s="26"/>
      <c r="D25" s="26"/>
      <c r="E25" s="26"/>
      <c r="F25" s="26"/>
      <c r="G25" s="5"/>
    </row>
    <row r="26" spans="1:7" ht="35.1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65" customHeight="1">
      <c r="A28" s="5"/>
      <c r="B28" s="3" t="s">
        <v>673</v>
      </c>
      <c r="C28" s="3" t="s">
        <v>674</v>
      </c>
      <c r="D28" s="12" t="s">
        <v>675</v>
      </c>
      <c r="E28" s="12" t="s">
        <v>1114</v>
      </c>
      <c r="F28" s="5"/>
      <c r="G28" s="5"/>
    </row>
    <row r="29" spans="1:7" ht="13.95" customHeight="1">
      <c r="A29" s="5"/>
      <c r="B29" s="3" t="s">
        <v>816</v>
      </c>
      <c r="C29" s="3" t="s">
        <v>678</v>
      </c>
      <c r="D29" s="12" t="s">
        <v>675</v>
      </c>
      <c r="E29" s="12" t="s">
        <v>1114</v>
      </c>
      <c r="F29" s="5"/>
      <c r="G29" s="5"/>
    </row>
    <row r="30" spans="1:7" ht="13.65" customHeight="1">
      <c r="A30" s="5"/>
      <c r="B30" s="3" t="s">
        <v>751</v>
      </c>
      <c r="C30" s="3" t="s">
        <v>681</v>
      </c>
      <c r="D30" s="12" t="s">
        <v>675</v>
      </c>
      <c r="E30" s="3" t="s">
        <v>846</v>
      </c>
      <c r="F30" s="5"/>
      <c r="G30" s="5"/>
    </row>
    <row r="31" spans="1:7" ht="13.65" customHeight="1">
      <c r="A31" s="5"/>
      <c r="B31" s="3" t="s">
        <v>683</v>
      </c>
      <c r="C31" s="3" t="s">
        <v>684</v>
      </c>
      <c r="D31" s="12" t="s">
        <v>675</v>
      </c>
      <c r="E31" s="3" t="s">
        <v>693</v>
      </c>
      <c r="F31" s="5"/>
      <c r="G31" s="5"/>
    </row>
    <row r="32" spans="1:7" ht="12" customHeight="1">
      <c r="A32" s="5"/>
      <c r="B32" s="5"/>
      <c r="C32" s="5"/>
      <c r="D32" s="5"/>
      <c r="E32" s="2474" t="s">
        <v>685</v>
      </c>
      <c r="F32" s="2474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95" customHeight="1">
      <c r="A34" s="5"/>
      <c r="B34" s="3" t="s">
        <v>1145</v>
      </c>
      <c r="C34" s="5"/>
      <c r="D34" s="12" t="s">
        <v>743</v>
      </c>
      <c r="E34" s="12" t="s">
        <v>1116</v>
      </c>
      <c r="F34" s="5"/>
      <c r="G34" s="5"/>
    </row>
    <row r="35" spans="1:7" ht="13.65" customHeight="1">
      <c r="A35" s="5"/>
      <c r="B35" s="3" t="s">
        <v>818</v>
      </c>
      <c r="C35" s="5"/>
      <c r="D35" s="12" t="s">
        <v>690</v>
      </c>
      <c r="E35" s="12" t="s">
        <v>1123</v>
      </c>
      <c r="F35" s="5"/>
      <c r="G35" s="5"/>
    </row>
    <row r="36" spans="1:7" ht="13.65" customHeight="1">
      <c r="A36" s="5"/>
      <c r="B36" s="3" t="s">
        <v>739</v>
      </c>
      <c r="C36" s="5"/>
      <c r="D36" s="12" t="s">
        <v>881</v>
      </c>
      <c r="E36" s="3" t="s">
        <v>852</v>
      </c>
      <c r="F36" s="5"/>
      <c r="G36" s="5"/>
    </row>
    <row r="37" spans="1:7" ht="13.95" customHeight="1">
      <c r="A37" s="5"/>
      <c r="B37" s="3" t="s">
        <v>1100</v>
      </c>
      <c r="C37" s="5"/>
      <c r="D37" s="12" t="s">
        <v>690</v>
      </c>
      <c r="E37" s="3" t="s">
        <v>794</v>
      </c>
      <c r="F37" s="5"/>
      <c r="G37" s="5"/>
    </row>
    <row r="38" spans="1:7" ht="12" customHeight="1">
      <c r="A38" s="5"/>
      <c r="B38" s="5"/>
      <c r="C38" s="5"/>
      <c r="D38" s="5"/>
      <c r="E38" s="2474" t="s">
        <v>702</v>
      </c>
      <c r="F38" s="2474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2474" t="s">
        <v>705</v>
      </c>
      <c r="F41" s="2474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2474" t="s">
        <v>707</v>
      </c>
      <c r="C43" s="2474"/>
      <c r="D43" s="2474"/>
      <c r="E43" s="2474"/>
      <c r="F43" s="2474"/>
      <c r="G43" s="5"/>
    </row>
    <row r="44" spans="1:7" ht="12" customHeight="1">
      <c r="A44" s="12" t="s">
        <v>708</v>
      </c>
      <c r="B44" s="2471" t="s">
        <v>876</v>
      </c>
      <c r="C44" s="2471"/>
      <c r="D44" s="2471"/>
      <c r="E44" s="2472" t="s">
        <v>710</v>
      </c>
      <c r="F44" s="2472"/>
      <c r="G44" s="5"/>
    </row>
    <row r="45" spans="1:7" ht="12" customHeight="1">
      <c r="A45" s="12" t="s">
        <v>711</v>
      </c>
      <c r="B45" s="2473" t="s">
        <v>712</v>
      </c>
      <c r="C45" s="2473"/>
      <c r="D45" s="2473"/>
      <c r="E45" s="2473"/>
      <c r="F45" s="2473"/>
      <c r="G45" s="5"/>
    </row>
  </sheetData>
  <mergeCells count="14">
    <mergeCell ref="E9:F9"/>
    <mergeCell ref="E15:F15"/>
    <mergeCell ref="E18:F18"/>
    <mergeCell ref="B20:F20"/>
    <mergeCell ref="B21:D21"/>
    <mergeCell ref="E21:F21"/>
    <mergeCell ref="B44:D44"/>
    <mergeCell ref="E44:F44"/>
    <mergeCell ref="B45:F45"/>
    <mergeCell ref="B22:F22"/>
    <mergeCell ref="E32:F32"/>
    <mergeCell ref="E38:F38"/>
    <mergeCell ref="E41:F41"/>
    <mergeCell ref="B43:F43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57"/>
  <dimension ref="A1:G45"/>
  <sheetViews>
    <sheetView workbookViewId="0">
      <selection activeCell="G45" sqref="A1:G45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2233</v>
      </c>
    </row>
    <row r="3" spans="1:7" ht="34.950000000000003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5" customHeight="1">
      <c r="A5" s="5"/>
      <c r="B5" s="3" t="s">
        <v>673</v>
      </c>
      <c r="C5" s="3" t="s">
        <v>674</v>
      </c>
      <c r="D5" s="12" t="s">
        <v>675</v>
      </c>
      <c r="E5" s="12" t="s">
        <v>1114</v>
      </c>
      <c r="F5" s="5"/>
      <c r="G5" s="5"/>
    </row>
    <row r="6" spans="1:7" ht="13.65" customHeight="1">
      <c r="A6" s="5"/>
      <c r="B6" s="3" t="s">
        <v>816</v>
      </c>
      <c r="C6" s="3" t="s">
        <v>678</v>
      </c>
      <c r="D6" s="12" t="s">
        <v>675</v>
      </c>
      <c r="E6" s="12" t="s">
        <v>1114</v>
      </c>
      <c r="F6" s="5"/>
      <c r="G6" s="5"/>
    </row>
    <row r="7" spans="1:7" ht="13.65" customHeight="1">
      <c r="A7" s="5"/>
      <c r="B7" s="3" t="s">
        <v>751</v>
      </c>
      <c r="C7" s="3" t="s">
        <v>681</v>
      </c>
      <c r="D7" s="12" t="s">
        <v>675</v>
      </c>
      <c r="E7" s="3" t="s">
        <v>846</v>
      </c>
      <c r="F7" s="5"/>
      <c r="G7" s="5"/>
    </row>
    <row r="8" spans="1:7" ht="13.95" customHeight="1">
      <c r="A8" s="5"/>
      <c r="B8" s="3" t="s">
        <v>683</v>
      </c>
      <c r="C8" s="3" t="s">
        <v>684</v>
      </c>
      <c r="D8" s="12" t="s">
        <v>675</v>
      </c>
      <c r="E8" s="3" t="s">
        <v>693</v>
      </c>
      <c r="F8" s="5"/>
      <c r="G8" s="5"/>
    </row>
    <row r="9" spans="1:7" ht="12" customHeight="1">
      <c r="A9" s="5"/>
      <c r="B9" s="5"/>
      <c r="C9" s="5"/>
      <c r="D9" s="5"/>
      <c r="E9" s="2474" t="s">
        <v>685</v>
      </c>
      <c r="F9" s="2474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65" customHeight="1">
      <c r="A11" s="5"/>
      <c r="B11" s="3" t="s">
        <v>1145</v>
      </c>
      <c r="C11" s="5"/>
      <c r="D11" s="12" t="s">
        <v>743</v>
      </c>
      <c r="E11" s="3" t="s">
        <v>1146</v>
      </c>
      <c r="F11" s="5"/>
      <c r="G11" s="5"/>
    </row>
    <row r="12" spans="1:7" ht="13.95" customHeight="1">
      <c r="A12" s="5"/>
      <c r="B12" s="3" t="s">
        <v>738</v>
      </c>
      <c r="C12" s="5"/>
      <c r="D12" s="12" t="s">
        <v>690</v>
      </c>
      <c r="E12" s="12" t="s">
        <v>1123</v>
      </c>
      <c r="F12" s="5"/>
      <c r="G12" s="5"/>
    </row>
    <row r="13" spans="1:7" ht="13.65" customHeight="1">
      <c r="A13" s="5"/>
      <c r="B13" s="3" t="s">
        <v>739</v>
      </c>
      <c r="C13" s="5"/>
      <c r="D13" s="12" t="s">
        <v>881</v>
      </c>
      <c r="E13" s="3" t="s">
        <v>852</v>
      </c>
      <c r="F13" s="5"/>
      <c r="G13" s="5"/>
    </row>
    <row r="14" spans="1:7" ht="13.65" customHeight="1">
      <c r="A14" s="5"/>
      <c r="B14" s="3" t="s">
        <v>1100</v>
      </c>
      <c r="C14" s="5"/>
      <c r="D14" s="12" t="s">
        <v>690</v>
      </c>
      <c r="E14" s="12" t="s">
        <v>753</v>
      </c>
      <c r="F14" s="5"/>
      <c r="G14" s="5"/>
    </row>
    <row r="15" spans="1:7" ht="12" customHeight="1">
      <c r="A15" s="5"/>
      <c r="B15" s="5"/>
      <c r="C15" s="5"/>
      <c r="D15" s="5"/>
      <c r="E15" s="2474" t="s">
        <v>702</v>
      </c>
      <c r="F15" s="2474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2474" t="s">
        <v>705</v>
      </c>
      <c r="F18" s="2474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2474" t="s">
        <v>707</v>
      </c>
      <c r="C20" s="2474"/>
      <c r="D20" s="2474"/>
      <c r="E20" s="2474"/>
      <c r="F20" s="2474"/>
      <c r="G20" s="5"/>
    </row>
    <row r="21" spans="1:7" ht="12" customHeight="1">
      <c r="A21" s="12" t="s">
        <v>708</v>
      </c>
      <c r="B21" s="2471" t="s">
        <v>876</v>
      </c>
      <c r="C21" s="2471"/>
      <c r="D21" s="2471"/>
      <c r="E21" s="2472" t="s">
        <v>710</v>
      </c>
      <c r="F21" s="2472"/>
      <c r="G21" s="5"/>
    </row>
    <row r="22" spans="1:7" ht="12" customHeight="1">
      <c r="A22" s="12" t="s">
        <v>711</v>
      </c>
      <c r="B22" s="2473" t="s">
        <v>712</v>
      </c>
      <c r="C22" s="2473"/>
      <c r="D22" s="2473"/>
      <c r="E22" s="2473"/>
      <c r="F22" s="2473"/>
      <c r="G22" s="5"/>
    </row>
    <row r="23" spans="1:7" ht="12" customHeight="1">
      <c r="A23" s="12"/>
      <c r="B23" s="26"/>
      <c r="C23" s="26"/>
      <c r="D23" s="26"/>
      <c r="E23" s="26"/>
      <c r="F23" s="26"/>
      <c r="G23" s="5"/>
    </row>
    <row r="24" spans="1:7" ht="12" customHeight="1">
      <c r="A24" s="50" t="s">
        <v>2234</v>
      </c>
      <c r="B24" s="26"/>
      <c r="C24" s="26"/>
      <c r="D24" s="26"/>
      <c r="E24" s="26"/>
      <c r="F24" s="26"/>
      <c r="G24" s="5"/>
    </row>
    <row r="25" spans="1:7" ht="12" customHeight="1">
      <c r="A25" s="12"/>
      <c r="B25" s="26"/>
      <c r="C25" s="26"/>
      <c r="D25" s="26"/>
      <c r="E25" s="26"/>
      <c r="F25" s="26"/>
      <c r="G25" s="5"/>
    </row>
    <row r="26" spans="1:7" ht="34.950000000000003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95" customHeight="1">
      <c r="A28" s="5"/>
      <c r="B28" s="3" t="s">
        <v>673</v>
      </c>
      <c r="C28" s="3" t="s">
        <v>674</v>
      </c>
      <c r="D28" s="12" t="s">
        <v>675</v>
      </c>
      <c r="E28" s="12" t="s">
        <v>1114</v>
      </c>
      <c r="F28" s="5"/>
      <c r="G28" s="5"/>
    </row>
    <row r="29" spans="1:7" ht="13.65" customHeight="1">
      <c r="A29" s="5"/>
      <c r="B29" s="3" t="s">
        <v>816</v>
      </c>
      <c r="C29" s="3" t="s">
        <v>678</v>
      </c>
      <c r="D29" s="12" t="s">
        <v>675</v>
      </c>
      <c r="E29" s="12" t="s">
        <v>1114</v>
      </c>
      <c r="F29" s="5"/>
      <c r="G29" s="5"/>
    </row>
    <row r="30" spans="1:7" ht="13.95" customHeight="1">
      <c r="A30" s="5"/>
      <c r="B30" s="3" t="s">
        <v>751</v>
      </c>
      <c r="C30" s="3" t="s">
        <v>681</v>
      </c>
      <c r="D30" s="12" t="s">
        <v>675</v>
      </c>
      <c r="E30" s="3" t="s">
        <v>846</v>
      </c>
      <c r="F30" s="5"/>
      <c r="G30" s="5"/>
    </row>
    <row r="31" spans="1:7" ht="13.65" customHeight="1">
      <c r="A31" s="5"/>
      <c r="B31" s="3" t="s">
        <v>683</v>
      </c>
      <c r="C31" s="3" t="s">
        <v>684</v>
      </c>
      <c r="D31" s="12" t="s">
        <v>675</v>
      </c>
      <c r="E31" s="3" t="s">
        <v>693</v>
      </c>
      <c r="F31" s="5"/>
      <c r="G31" s="5"/>
    </row>
    <row r="32" spans="1:7" ht="12" customHeight="1">
      <c r="A32" s="5"/>
      <c r="B32" s="5"/>
      <c r="C32" s="5"/>
      <c r="D32" s="5"/>
      <c r="E32" s="2474" t="s">
        <v>685</v>
      </c>
      <c r="F32" s="2474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65" customHeight="1">
      <c r="A34" s="5"/>
      <c r="B34" s="3" t="s">
        <v>1145</v>
      </c>
      <c r="C34" s="5"/>
      <c r="D34" s="12" t="s">
        <v>743</v>
      </c>
      <c r="E34" s="12" t="s">
        <v>1116</v>
      </c>
      <c r="F34" s="5"/>
      <c r="G34" s="5"/>
    </row>
    <row r="35" spans="1:7" ht="13.95" customHeight="1">
      <c r="A35" s="5"/>
      <c r="B35" s="3" t="s">
        <v>738</v>
      </c>
      <c r="C35" s="5"/>
      <c r="D35" s="12" t="s">
        <v>690</v>
      </c>
      <c r="E35" s="12" t="s">
        <v>1147</v>
      </c>
      <c r="F35" s="5"/>
      <c r="G35" s="5"/>
    </row>
    <row r="36" spans="1:7" ht="13.65" customHeight="1">
      <c r="A36" s="5"/>
      <c r="B36" s="3" t="s">
        <v>739</v>
      </c>
      <c r="C36" s="5"/>
      <c r="D36" s="12" t="s">
        <v>881</v>
      </c>
      <c r="E36" s="3" t="s">
        <v>1148</v>
      </c>
      <c r="F36" s="5"/>
      <c r="G36" s="5"/>
    </row>
    <row r="37" spans="1:7" ht="13.65" customHeight="1">
      <c r="A37" s="5"/>
      <c r="B37" s="3" t="s">
        <v>1100</v>
      </c>
      <c r="C37" s="5"/>
      <c r="D37" s="12" t="s">
        <v>690</v>
      </c>
      <c r="E37" s="3" t="s">
        <v>901</v>
      </c>
      <c r="F37" s="5"/>
      <c r="G37" s="5"/>
    </row>
    <row r="38" spans="1:7" ht="12" customHeight="1">
      <c r="A38" s="5"/>
      <c r="B38" s="5"/>
      <c r="C38" s="5"/>
      <c r="D38" s="5"/>
      <c r="E38" s="2474" t="s">
        <v>702</v>
      </c>
      <c r="F38" s="2474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2474" t="s">
        <v>705</v>
      </c>
      <c r="F41" s="2474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2474" t="s">
        <v>707</v>
      </c>
      <c r="C43" s="2474"/>
      <c r="D43" s="2474"/>
      <c r="E43" s="2474"/>
      <c r="F43" s="2474"/>
      <c r="G43" s="5"/>
    </row>
    <row r="44" spans="1:7" ht="12" customHeight="1">
      <c r="A44" s="12" t="s">
        <v>708</v>
      </c>
      <c r="B44" s="2471" t="s">
        <v>876</v>
      </c>
      <c r="C44" s="2471"/>
      <c r="D44" s="2471"/>
      <c r="E44" s="2472" t="s">
        <v>710</v>
      </c>
      <c r="F44" s="2472"/>
      <c r="G44" s="5"/>
    </row>
    <row r="45" spans="1:7" ht="12" customHeight="1">
      <c r="A45" s="12" t="s">
        <v>711</v>
      </c>
      <c r="B45" s="2473" t="s">
        <v>712</v>
      </c>
      <c r="C45" s="2473"/>
      <c r="D45" s="2473"/>
      <c r="E45" s="2473"/>
      <c r="F45" s="2473"/>
      <c r="G45" s="5"/>
    </row>
  </sheetData>
  <mergeCells count="14">
    <mergeCell ref="E9:F9"/>
    <mergeCell ref="E15:F15"/>
    <mergeCell ref="E18:F18"/>
    <mergeCell ref="B20:F20"/>
    <mergeCell ref="B21:D21"/>
    <mergeCell ref="E21:F21"/>
    <mergeCell ref="B44:D44"/>
    <mergeCell ref="E44:F44"/>
    <mergeCell ref="B45:F45"/>
    <mergeCell ref="B22:F22"/>
    <mergeCell ref="E32:F32"/>
    <mergeCell ref="E38:F38"/>
    <mergeCell ref="E41:F41"/>
    <mergeCell ref="B43:F43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58"/>
  <dimension ref="A1:G45"/>
  <sheetViews>
    <sheetView topLeftCell="A13" workbookViewId="0">
      <selection activeCell="G45" sqref="A1:G45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2235</v>
      </c>
    </row>
    <row r="3" spans="1:7" ht="34.950000000000003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5" customHeight="1">
      <c r="A5" s="5"/>
      <c r="B5" s="3" t="s">
        <v>673</v>
      </c>
      <c r="C5" s="3" t="s">
        <v>674</v>
      </c>
      <c r="D5" s="12" t="s">
        <v>675</v>
      </c>
      <c r="E5" s="12" t="s">
        <v>1149</v>
      </c>
      <c r="F5" s="5"/>
      <c r="G5" s="5"/>
    </row>
    <row r="6" spans="1:7" ht="13.65" customHeight="1">
      <c r="A6" s="5"/>
      <c r="B6" s="3" t="s">
        <v>816</v>
      </c>
      <c r="C6" s="3" t="s">
        <v>678</v>
      </c>
      <c r="D6" s="12" t="s">
        <v>675</v>
      </c>
      <c r="E6" s="12" t="s">
        <v>1149</v>
      </c>
      <c r="F6" s="5"/>
      <c r="G6" s="5"/>
    </row>
    <row r="7" spans="1:7" ht="13.65" customHeight="1">
      <c r="A7" s="5"/>
      <c r="B7" s="3" t="s">
        <v>751</v>
      </c>
      <c r="C7" s="3" t="s">
        <v>681</v>
      </c>
      <c r="D7" s="12" t="s">
        <v>675</v>
      </c>
      <c r="E7" s="3" t="s">
        <v>817</v>
      </c>
      <c r="F7" s="5"/>
      <c r="G7" s="5"/>
    </row>
    <row r="8" spans="1:7" ht="13.95" customHeight="1">
      <c r="A8" s="5"/>
      <c r="B8" s="3" t="s">
        <v>683</v>
      </c>
      <c r="C8" s="3" t="s">
        <v>684</v>
      </c>
      <c r="D8" s="12" t="s">
        <v>675</v>
      </c>
      <c r="E8" s="3" t="s">
        <v>906</v>
      </c>
      <c r="F8" s="5"/>
      <c r="G8" s="5"/>
    </row>
    <row r="9" spans="1:7" ht="12" customHeight="1">
      <c r="A9" s="5"/>
      <c r="B9" s="5"/>
      <c r="C9" s="5"/>
      <c r="D9" s="5"/>
      <c r="E9" s="2474" t="s">
        <v>685</v>
      </c>
      <c r="F9" s="2474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65" customHeight="1">
      <c r="A11" s="5"/>
      <c r="B11" s="3" t="s">
        <v>1150</v>
      </c>
      <c r="C11" s="5"/>
      <c r="D11" s="12" t="s">
        <v>743</v>
      </c>
      <c r="E11" s="12" t="s">
        <v>1116</v>
      </c>
      <c r="F11" s="5"/>
      <c r="G11" s="5"/>
    </row>
    <row r="12" spans="1:7" ht="13.95" customHeight="1">
      <c r="A12" s="5"/>
      <c r="B12" s="3" t="s">
        <v>818</v>
      </c>
      <c r="C12" s="5"/>
      <c r="D12" s="12" t="s">
        <v>690</v>
      </c>
      <c r="E12" s="12" t="s">
        <v>1123</v>
      </c>
      <c r="F12" s="5"/>
      <c r="G12" s="5"/>
    </row>
    <row r="13" spans="1:7" ht="13.65" customHeight="1">
      <c r="A13" s="5"/>
      <c r="B13" s="3" t="s">
        <v>739</v>
      </c>
      <c r="C13" s="5"/>
      <c r="D13" s="12" t="s">
        <v>881</v>
      </c>
      <c r="E13" s="3" t="s">
        <v>852</v>
      </c>
      <c r="F13" s="5"/>
      <c r="G13" s="5"/>
    </row>
    <row r="14" spans="1:7" ht="13.65" customHeight="1">
      <c r="A14" s="5"/>
      <c r="B14" s="3" t="s">
        <v>1100</v>
      </c>
      <c r="C14" s="5"/>
      <c r="D14" s="12" t="s">
        <v>690</v>
      </c>
      <c r="E14" s="12" t="s">
        <v>723</v>
      </c>
      <c r="F14" s="5"/>
      <c r="G14" s="5"/>
    </row>
    <row r="15" spans="1:7" ht="12" customHeight="1">
      <c r="A15" s="5"/>
      <c r="B15" s="5"/>
      <c r="C15" s="5"/>
      <c r="D15" s="5"/>
      <c r="E15" s="2474" t="s">
        <v>702</v>
      </c>
      <c r="F15" s="2474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2474" t="s">
        <v>705</v>
      </c>
      <c r="F18" s="2474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2474" t="s">
        <v>707</v>
      </c>
      <c r="C20" s="2474"/>
      <c r="D20" s="2474"/>
      <c r="E20" s="2474"/>
      <c r="F20" s="2474"/>
      <c r="G20" s="5"/>
    </row>
    <row r="21" spans="1:7" ht="12" customHeight="1">
      <c r="A21" s="12" t="s">
        <v>708</v>
      </c>
      <c r="B21" s="2471" t="s">
        <v>876</v>
      </c>
      <c r="C21" s="2471"/>
      <c r="D21" s="2471"/>
      <c r="E21" s="2472" t="s">
        <v>710</v>
      </c>
      <c r="F21" s="2472"/>
      <c r="G21" s="5"/>
    </row>
    <row r="22" spans="1:7" ht="12" customHeight="1">
      <c r="A22" s="12" t="s">
        <v>711</v>
      </c>
      <c r="B22" s="2473" t="s">
        <v>712</v>
      </c>
      <c r="C22" s="2473"/>
      <c r="D22" s="2473"/>
      <c r="E22" s="2473"/>
      <c r="F22" s="2473"/>
      <c r="G22" s="5"/>
    </row>
    <row r="23" spans="1:7" ht="12" customHeight="1">
      <c r="A23" s="12"/>
      <c r="B23" s="26"/>
      <c r="C23" s="26"/>
      <c r="D23" s="26"/>
      <c r="E23" s="26"/>
      <c r="F23" s="26"/>
      <c r="G23" s="5"/>
    </row>
    <row r="24" spans="1:7" ht="12" customHeight="1">
      <c r="A24" s="50" t="s">
        <v>2236</v>
      </c>
      <c r="B24" s="26"/>
      <c r="C24" s="26"/>
      <c r="D24" s="26"/>
      <c r="E24" s="26"/>
      <c r="F24" s="26"/>
      <c r="G24" s="5"/>
    </row>
    <row r="25" spans="1:7" ht="12" customHeight="1">
      <c r="A25" s="12"/>
      <c r="B25" s="26"/>
      <c r="C25" s="26"/>
      <c r="D25" s="26"/>
      <c r="E25" s="26"/>
      <c r="F25" s="26"/>
      <c r="G25" s="5"/>
    </row>
    <row r="26" spans="1:7" ht="35.1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65" customHeight="1">
      <c r="A28" s="5"/>
      <c r="B28" s="3" t="s">
        <v>673</v>
      </c>
      <c r="C28" s="3" t="s">
        <v>674</v>
      </c>
      <c r="D28" s="12" t="s">
        <v>675</v>
      </c>
      <c r="E28" s="12" t="s">
        <v>1132</v>
      </c>
      <c r="F28" s="5"/>
      <c r="G28" s="5"/>
    </row>
    <row r="29" spans="1:7" ht="13.65" customHeight="1">
      <c r="A29" s="5"/>
      <c r="B29" s="3" t="s">
        <v>816</v>
      </c>
      <c r="C29" s="3" t="s">
        <v>678</v>
      </c>
      <c r="D29" s="12" t="s">
        <v>675</v>
      </c>
      <c r="E29" s="12" t="s">
        <v>1133</v>
      </c>
      <c r="F29" s="5"/>
      <c r="G29" s="5"/>
    </row>
    <row r="30" spans="1:7" ht="13.95" customHeight="1">
      <c r="A30" s="5"/>
      <c r="B30" s="3" t="s">
        <v>751</v>
      </c>
      <c r="C30" s="3" t="s">
        <v>681</v>
      </c>
      <c r="D30" s="12" t="s">
        <v>675</v>
      </c>
      <c r="E30" s="3" t="s">
        <v>846</v>
      </c>
      <c r="F30" s="5"/>
      <c r="G30" s="5"/>
    </row>
    <row r="31" spans="1:7" ht="13.65" customHeight="1">
      <c r="A31" s="5"/>
      <c r="B31" s="3" t="s">
        <v>683</v>
      </c>
      <c r="C31" s="3" t="s">
        <v>684</v>
      </c>
      <c r="D31" s="12" t="s">
        <v>675</v>
      </c>
      <c r="E31" s="3" t="s">
        <v>846</v>
      </c>
      <c r="F31" s="5"/>
      <c r="G31" s="5"/>
    </row>
    <row r="32" spans="1:7" ht="12" customHeight="1">
      <c r="A32" s="5"/>
      <c r="B32" s="5"/>
      <c r="C32" s="5"/>
      <c r="D32" s="5"/>
      <c r="E32" s="2474" t="s">
        <v>685</v>
      </c>
      <c r="F32" s="2474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65" customHeight="1">
      <c r="A34" s="5"/>
      <c r="B34" s="3" t="s">
        <v>1151</v>
      </c>
      <c r="C34" s="5"/>
      <c r="D34" s="12" t="s">
        <v>743</v>
      </c>
      <c r="E34" s="12" t="s">
        <v>1152</v>
      </c>
      <c r="F34" s="5"/>
      <c r="G34" s="5"/>
    </row>
    <row r="35" spans="1:7" ht="13.95" customHeight="1">
      <c r="A35" s="5"/>
      <c r="B35" s="3" t="s">
        <v>818</v>
      </c>
      <c r="C35" s="5"/>
      <c r="D35" s="12" t="s">
        <v>690</v>
      </c>
      <c r="E35" s="12" t="s">
        <v>1136</v>
      </c>
      <c r="F35" s="5"/>
      <c r="G35" s="5"/>
    </row>
    <row r="36" spans="1:7" ht="13.65" customHeight="1">
      <c r="A36" s="5"/>
      <c r="B36" s="3" t="s">
        <v>739</v>
      </c>
      <c r="C36" s="5"/>
      <c r="D36" s="12" t="s">
        <v>881</v>
      </c>
      <c r="E36" s="3" t="s">
        <v>795</v>
      </c>
      <c r="F36" s="5"/>
      <c r="G36" s="5"/>
    </row>
    <row r="37" spans="1:7" ht="13.95" customHeight="1">
      <c r="A37" s="5"/>
      <c r="B37" s="3" t="s">
        <v>1100</v>
      </c>
      <c r="C37" s="5"/>
      <c r="D37" s="12" t="s">
        <v>690</v>
      </c>
      <c r="E37" s="12" t="s">
        <v>1153</v>
      </c>
      <c r="F37" s="5"/>
      <c r="G37" s="5"/>
    </row>
    <row r="38" spans="1:7" ht="12" customHeight="1">
      <c r="A38" s="5"/>
      <c r="B38" s="5"/>
      <c r="C38" s="5"/>
      <c r="D38" s="5"/>
      <c r="E38" s="2474" t="s">
        <v>702</v>
      </c>
      <c r="F38" s="2474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2474" t="s">
        <v>705</v>
      </c>
      <c r="F41" s="2474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2474" t="s">
        <v>707</v>
      </c>
      <c r="C43" s="2474"/>
      <c r="D43" s="2474"/>
      <c r="E43" s="2474"/>
      <c r="F43" s="2474"/>
      <c r="G43" s="5"/>
    </row>
    <row r="44" spans="1:7" ht="11.85" customHeight="1">
      <c r="A44" s="12" t="s">
        <v>708</v>
      </c>
      <c r="B44" s="2471" t="s">
        <v>876</v>
      </c>
      <c r="C44" s="2471"/>
      <c r="D44" s="2471"/>
      <c r="E44" s="2472" t="s">
        <v>710</v>
      </c>
      <c r="F44" s="2472"/>
      <c r="G44" s="5"/>
    </row>
    <row r="45" spans="1:7" ht="12.15" customHeight="1">
      <c r="A45" s="12" t="s">
        <v>711</v>
      </c>
      <c r="B45" s="2473" t="s">
        <v>712</v>
      </c>
      <c r="C45" s="2473"/>
      <c r="D45" s="2473"/>
      <c r="E45" s="2473"/>
      <c r="F45" s="2473"/>
      <c r="G45" s="5"/>
    </row>
  </sheetData>
  <mergeCells count="14">
    <mergeCell ref="E9:F9"/>
    <mergeCell ref="E15:F15"/>
    <mergeCell ref="E18:F18"/>
    <mergeCell ref="B20:F20"/>
    <mergeCell ref="B21:D21"/>
    <mergeCell ref="E21:F21"/>
    <mergeCell ref="B44:D44"/>
    <mergeCell ref="E44:F44"/>
    <mergeCell ref="B45:F45"/>
    <mergeCell ref="B22:F22"/>
    <mergeCell ref="E32:F32"/>
    <mergeCell ref="E38:F38"/>
    <mergeCell ref="E41:F41"/>
    <mergeCell ref="B43:F43"/>
  </mergeCell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59"/>
  <dimension ref="A1:G41"/>
  <sheetViews>
    <sheetView workbookViewId="0">
      <selection activeCell="G41" sqref="A1:G41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2237</v>
      </c>
    </row>
    <row r="3" spans="1:7" ht="34.950000000000003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5" customHeight="1">
      <c r="A5" s="5"/>
      <c r="B5" s="3" t="s">
        <v>673</v>
      </c>
      <c r="C5" s="3" t="s">
        <v>674</v>
      </c>
      <c r="D5" s="12" t="s">
        <v>675</v>
      </c>
      <c r="E5" s="12" t="s">
        <v>1154</v>
      </c>
      <c r="F5" s="5"/>
      <c r="G5" s="5"/>
    </row>
    <row r="6" spans="1:7" ht="13.65" customHeight="1">
      <c r="A6" s="5"/>
      <c r="B6" s="3" t="s">
        <v>677</v>
      </c>
      <c r="C6" s="3" t="s">
        <v>678</v>
      </c>
      <c r="D6" s="12" t="s">
        <v>675</v>
      </c>
      <c r="E6" s="12" t="s">
        <v>1154</v>
      </c>
      <c r="F6" s="5"/>
      <c r="G6" s="5"/>
    </row>
    <row r="7" spans="1:7" ht="13.65" customHeight="1">
      <c r="A7" s="5"/>
      <c r="B7" s="3" t="s">
        <v>751</v>
      </c>
      <c r="C7" s="3" t="s">
        <v>681</v>
      </c>
      <c r="D7" s="12" t="s">
        <v>675</v>
      </c>
      <c r="E7" s="3" t="s">
        <v>1155</v>
      </c>
      <c r="F7" s="5"/>
      <c r="G7" s="5"/>
    </row>
    <row r="8" spans="1:7" ht="13.95" customHeight="1">
      <c r="A8" s="5"/>
      <c r="B8" s="3" t="s">
        <v>683</v>
      </c>
      <c r="C8" s="3" t="s">
        <v>684</v>
      </c>
      <c r="D8" s="12" t="s">
        <v>675</v>
      </c>
      <c r="E8" s="3" t="s">
        <v>695</v>
      </c>
      <c r="F8" s="5"/>
      <c r="G8" s="5"/>
    </row>
    <row r="9" spans="1:7" ht="12" customHeight="1">
      <c r="A9" s="5"/>
      <c r="B9" s="5"/>
      <c r="C9" s="5"/>
      <c r="D9" s="5"/>
      <c r="E9" s="2474" t="s">
        <v>685</v>
      </c>
      <c r="F9" s="2474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4.4" customHeight="1">
      <c r="A11" s="5"/>
      <c r="B11" s="3" t="s">
        <v>1156</v>
      </c>
      <c r="C11" s="5"/>
      <c r="D11" s="20" t="s">
        <v>1157</v>
      </c>
      <c r="E11" s="12" t="s">
        <v>1140</v>
      </c>
      <c r="F11" s="5"/>
      <c r="G11" s="5"/>
    </row>
    <row r="12" spans="1:7" ht="13.65" customHeight="1">
      <c r="A12" s="5"/>
      <c r="B12" s="3" t="s">
        <v>1158</v>
      </c>
      <c r="C12" s="5"/>
      <c r="D12" s="12" t="s">
        <v>690</v>
      </c>
      <c r="E12" s="12" t="s">
        <v>1133</v>
      </c>
      <c r="F12" s="5"/>
      <c r="G12" s="5"/>
    </row>
    <row r="13" spans="1:7" ht="12" customHeight="1">
      <c r="A13" s="5"/>
      <c r="B13" s="5"/>
      <c r="C13" s="5"/>
      <c r="D13" s="5"/>
      <c r="E13" s="2474" t="s">
        <v>702</v>
      </c>
      <c r="F13" s="2474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2474" t="s">
        <v>705</v>
      </c>
      <c r="F16" s="2474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12" t="s">
        <v>706</v>
      </c>
      <c r="B18" s="2474" t="s">
        <v>707</v>
      </c>
      <c r="C18" s="2474"/>
      <c r="D18" s="2474"/>
      <c r="E18" s="2474"/>
      <c r="F18" s="2474"/>
      <c r="G18" s="5"/>
    </row>
    <row r="19" spans="1:7" ht="12" customHeight="1">
      <c r="A19" s="12" t="s">
        <v>708</v>
      </c>
      <c r="B19" s="2471" t="s">
        <v>876</v>
      </c>
      <c r="C19" s="2471"/>
      <c r="D19" s="2471"/>
      <c r="E19" s="2472" t="s">
        <v>710</v>
      </c>
      <c r="F19" s="2472"/>
      <c r="G19" s="5"/>
    </row>
    <row r="20" spans="1:7" ht="12" customHeight="1">
      <c r="A20" s="12" t="s">
        <v>711</v>
      </c>
      <c r="B20" s="2473" t="s">
        <v>712</v>
      </c>
      <c r="C20" s="2473"/>
      <c r="D20" s="2473"/>
      <c r="E20" s="2473"/>
      <c r="F20" s="2473"/>
      <c r="G20" s="5"/>
    </row>
    <row r="21" spans="1:7" ht="12" customHeight="1">
      <c r="A21" s="12"/>
      <c r="B21" s="26"/>
      <c r="C21" s="26"/>
      <c r="D21" s="26"/>
      <c r="E21" s="26"/>
      <c r="F21" s="26"/>
      <c r="G21" s="5"/>
    </row>
    <row r="22" spans="1:7" ht="12" customHeight="1">
      <c r="A22" s="50" t="s">
        <v>2238</v>
      </c>
      <c r="B22" s="26"/>
      <c r="C22" s="26"/>
      <c r="D22" s="26"/>
      <c r="E22" s="26"/>
      <c r="F22" s="26"/>
      <c r="G22" s="5"/>
    </row>
    <row r="23" spans="1:7" ht="12" customHeight="1">
      <c r="A23" s="12"/>
      <c r="B23" s="26"/>
      <c r="C23" s="26"/>
      <c r="D23" s="26"/>
      <c r="E23" s="26"/>
      <c r="F23" s="26"/>
      <c r="G23" s="5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3.65" customHeight="1">
      <c r="A26" s="5"/>
      <c r="B26" s="3" t="s">
        <v>673</v>
      </c>
      <c r="C26" s="3" t="s">
        <v>674</v>
      </c>
      <c r="D26" s="12" t="s">
        <v>675</v>
      </c>
      <c r="E26" s="12" t="s">
        <v>726</v>
      </c>
      <c r="F26" s="5"/>
      <c r="G26" s="5"/>
    </row>
    <row r="27" spans="1:7" ht="13.65" customHeight="1">
      <c r="A27" s="5"/>
      <c r="B27" s="3" t="s">
        <v>677</v>
      </c>
      <c r="C27" s="3" t="s">
        <v>678</v>
      </c>
      <c r="D27" s="12" t="s">
        <v>675</v>
      </c>
      <c r="E27" s="12" t="s">
        <v>726</v>
      </c>
      <c r="F27" s="5"/>
      <c r="G27" s="5"/>
    </row>
    <row r="28" spans="1:7" ht="13.95" customHeight="1">
      <c r="A28" s="5"/>
      <c r="B28" s="3" t="s">
        <v>751</v>
      </c>
      <c r="C28" s="3" t="s">
        <v>681</v>
      </c>
      <c r="D28" s="12" t="s">
        <v>675</v>
      </c>
      <c r="E28" s="3" t="s">
        <v>788</v>
      </c>
      <c r="F28" s="5"/>
      <c r="G28" s="5"/>
    </row>
    <row r="29" spans="1:7" ht="13.65" customHeight="1">
      <c r="A29" s="5"/>
      <c r="B29" s="3" t="s">
        <v>683</v>
      </c>
      <c r="C29" s="3" t="s">
        <v>684</v>
      </c>
      <c r="D29" s="12" t="s">
        <v>675</v>
      </c>
      <c r="E29" s="3" t="s">
        <v>891</v>
      </c>
      <c r="F29" s="5"/>
      <c r="G29" s="5"/>
    </row>
    <row r="30" spans="1:7" ht="12" customHeight="1">
      <c r="A30" s="5"/>
      <c r="B30" s="5"/>
      <c r="C30" s="5"/>
      <c r="D30" s="5"/>
      <c r="E30" s="2474" t="s">
        <v>685</v>
      </c>
      <c r="F30" s="2474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4.4" customHeight="1">
      <c r="A32" s="5"/>
      <c r="B32" s="4" t="s">
        <v>1159</v>
      </c>
      <c r="C32" s="5"/>
      <c r="D32" s="20" t="s">
        <v>1157</v>
      </c>
      <c r="E32" s="12" t="s">
        <v>1140</v>
      </c>
      <c r="F32" s="5"/>
      <c r="G32" s="5"/>
    </row>
    <row r="33" spans="1:7" ht="13.65" customHeight="1">
      <c r="A33" s="5"/>
      <c r="B33" s="3" t="s">
        <v>1158</v>
      </c>
      <c r="C33" s="5"/>
      <c r="D33" s="12" t="s">
        <v>690</v>
      </c>
      <c r="E33" s="12" t="s">
        <v>1133</v>
      </c>
      <c r="F33" s="5"/>
      <c r="G33" s="5"/>
    </row>
    <row r="34" spans="1:7" ht="12" customHeight="1">
      <c r="A34" s="5"/>
      <c r="B34" s="5"/>
      <c r="C34" s="5"/>
      <c r="D34" s="5"/>
      <c r="E34" s="2474" t="s">
        <v>702</v>
      </c>
      <c r="F34" s="2474"/>
      <c r="G34" s="5"/>
    </row>
    <row r="35" spans="1:7" ht="12" customHeight="1">
      <c r="A35" s="12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2474" t="s">
        <v>705</v>
      </c>
      <c r="F37" s="2474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2474" t="s">
        <v>707</v>
      </c>
      <c r="C39" s="2474"/>
      <c r="D39" s="2474"/>
      <c r="E39" s="2474"/>
      <c r="F39" s="2474"/>
      <c r="G39" s="5"/>
    </row>
    <row r="40" spans="1:7" ht="12" customHeight="1">
      <c r="A40" s="12" t="s">
        <v>708</v>
      </c>
      <c r="B40" s="2471" t="s">
        <v>876</v>
      </c>
      <c r="C40" s="2471"/>
      <c r="D40" s="2471"/>
      <c r="E40" s="2472" t="s">
        <v>710</v>
      </c>
      <c r="F40" s="2472"/>
      <c r="G40" s="5"/>
    </row>
    <row r="41" spans="1:7" ht="12.15" customHeight="1">
      <c r="A41" s="12" t="s">
        <v>711</v>
      </c>
      <c r="B41" s="2473" t="s">
        <v>712</v>
      </c>
      <c r="C41" s="2473"/>
      <c r="D41" s="2473"/>
      <c r="E41" s="2473"/>
      <c r="F41" s="2473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0"/>
  <dimension ref="A1:G41"/>
  <sheetViews>
    <sheetView workbookViewId="0">
      <selection activeCell="G41" sqref="A1:G41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2239</v>
      </c>
    </row>
    <row r="3" spans="1:7" ht="34.950000000000003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5" customHeight="1">
      <c r="A5" s="5"/>
      <c r="B5" s="3" t="s">
        <v>673</v>
      </c>
      <c r="C5" s="3" t="s">
        <v>674</v>
      </c>
      <c r="D5" s="12" t="s">
        <v>675</v>
      </c>
      <c r="E5" s="12" t="s">
        <v>1132</v>
      </c>
      <c r="F5" s="5"/>
      <c r="G5" s="5"/>
    </row>
    <row r="6" spans="1:7" ht="13.65" customHeight="1">
      <c r="A6" s="5"/>
      <c r="B6" s="3" t="s">
        <v>677</v>
      </c>
      <c r="C6" s="3" t="s">
        <v>678</v>
      </c>
      <c r="D6" s="12" t="s">
        <v>675</v>
      </c>
      <c r="E6" s="12" t="s">
        <v>1133</v>
      </c>
      <c r="F6" s="5"/>
      <c r="G6" s="5"/>
    </row>
    <row r="7" spans="1:7" ht="13.65" customHeight="1">
      <c r="A7" s="5"/>
      <c r="B7" s="3" t="s">
        <v>751</v>
      </c>
      <c r="C7" s="3" t="s">
        <v>681</v>
      </c>
      <c r="D7" s="12" t="s">
        <v>675</v>
      </c>
      <c r="E7" s="3" t="s">
        <v>846</v>
      </c>
      <c r="F7" s="5"/>
      <c r="G7" s="5"/>
    </row>
    <row r="8" spans="1:7" ht="13.95" customHeight="1">
      <c r="A8" s="5"/>
      <c r="B8" s="3" t="s">
        <v>683</v>
      </c>
      <c r="C8" s="3" t="s">
        <v>684</v>
      </c>
      <c r="D8" s="12" t="s">
        <v>675</v>
      </c>
      <c r="E8" s="3" t="s">
        <v>846</v>
      </c>
      <c r="F8" s="5"/>
      <c r="G8" s="5"/>
    </row>
    <row r="9" spans="1:7" ht="12" customHeight="1">
      <c r="A9" s="5"/>
      <c r="B9" s="5"/>
      <c r="C9" s="5"/>
      <c r="D9" s="5"/>
      <c r="E9" s="2474" t="s">
        <v>685</v>
      </c>
      <c r="F9" s="2474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4.4" customHeight="1">
      <c r="A11" s="5"/>
      <c r="B11" s="4" t="s">
        <v>1160</v>
      </c>
      <c r="C11" s="5"/>
      <c r="D11" s="20" t="s">
        <v>1157</v>
      </c>
      <c r="E11" s="12" t="s">
        <v>1140</v>
      </c>
      <c r="F11" s="5"/>
      <c r="G11" s="5"/>
    </row>
    <row r="12" spans="1:7" ht="13.65" customHeight="1">
      <c r="A12" s="5"/>
      <c r="B12" s="3" t="s">
        <v>1158</v>
      </c>
      <c r="C12" s="5"/>
      <c r="D12" s="12" t="s">
        <v>690</v>
      </c>
      <c r="E12" s="12" t="s">
        <v>1161</v>
      </c>
      <c r="F12" s="5"/>
      <c r="G12" s="5"/>
    </row>
    <row r="13" spans="1:7" ht="12" customHeight="1">
      <c r="A13" s="5"/>
      <c r="B13" s="5"/>
      <c r="C13" s="5"/>
      <c r="D13" s="5"/>
      <c r="E13" s="2474" t="s">
        <v>702</v>
      </c>
      <c r="F13" s="2474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2474" t="s">
        <v>705</v>
      </c>
      <c r="F16" s="2474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12" t="s">
        <v>706</v>
      </c>
      <c r="B18" s="2474" t="s">
        <v>707</v>
      </c>
      <c r="C18" s="2474"/>
      <c r="D18" s="2474"/>
      <c r="E18" s="2474"/>
      <c r="F18" s="2474"/>
      <c r="G18" s="5"/>
    </row>
    <row r="19" spans="1:7" ht="12" customHeight="1">
      <c r="A19" s="12" t="s">
        <v>708</v>
      </c>
      <c r="B19" s="2471" t="s">
        <v>876</v>
      </c>
      <c r="C19" s="2471"/>
      <c r="D19" s="2471"/>
      <c r="E19" s="2472" t="s">
        <v>710</v>
      </c>
      <c r="F19" s="2472"/>
      <c r="G19" s="5"/>
    </row>
    <row r="20" spans="1:7" ht="12" customHeight="1">
      <c r="A20" s="12" t="s">
        <v>711</v>
      </c>
      <c r="B20" s="2473" t="s">
        <v>712</v>
      </c>
      <c r="C20" s="2473"/>
      <c r="D20" s="2473"/>
      <c r="E20" s="2473"/>
      <c r="F20" s="2473"/>
      <c r="G20" s="5"/>
    </row>
    <row r="21" spans="1:7" ht="12" customHeight="1">
      <c r="A21" s="12"/>
      <c r="B21" s="26"/>
      <c r="C21" s="26"/>
      <c r="D21" s="26"/>
      <c r="E21" s="26"/>
      <c r="F21" s="26"/>
      <c r="G21" s="5"/>
    </row>
    <row r="22" spans="1:7" ht="12" customHeight="1">
      <c r="A22" s="55" t="s">
        <v>2240</v>
      </c>
      <c r="B22" s="26"/>
      <c r="C22" s="26"/>
      <c r="D22" s="26"/>
      <c r="E22" s="26"/>
      <c r="F22" s="26"/>
      <c r="G22" s="5"/>
    </row>
    <row r="23" spans="1:7" ht="12" customHeight="1">
      <c r="A23" s="12"/>
      <c r="B23" s="26"/>
      <c r="C23" s="26"/>
      <c r="D23" s="26"/>
      <c r="E23" s="26"/>
      <c r="F23" s="26"/>
      <c r="G23" s="5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3.65" customHeight="1">
      <c r="A26" s="5"/>
      <c r="B26" s="3" t="s">
        <v>673</v>
      </c>
      <c r="C26" s="3" t="s">
        <v>674</v>
      </c>
      <c r="D26" s="12" t="s">
        <v>675</v>
      </c>
      <c r="E26" s="12" t="s">
        <v>1132</v>
      </c>
      <c r="F26" s="5"/>
      <c r="G26" s="5"/>
    </row>
    <row r="27" spans="1:7" ht="13.65" customHeight="1">
      <c r="A27" s="5"/>
      <c r="B27" s="3" t="s">
        <v>677</v>
      </c>
      <c r="C27" s="3" t="s">
        <v>678</v>
      </c>
      <c r="D27" s="12" t="s">
        <v>675</v>
      </c>
      <c r="E27" s="12" t="s">
        <v>1133</v>
      </c>
      <c r="F27" s="5"/>
      <c r="G27" s="5"/>
    </row>
    <row r="28" spans="1:7" ht="13.95" customHeight="1">
      <c r="A28" s="5"/>
      <c r="B28" s="3" t="s">
        <v>751</v>
      </c>
      <c r="C28" s="3" t="s">
        <v>681</v>
      </c>
      <c r="D28" s="12" t="s">
        <v>675</v>
      </c>
      <c r="E28" s="3" t="s">
        <v>846</v>
      </c>
      <c r="F28" s="5"/>
      <c r="G28" s="5"/>
    </row>
    <row r="29" spans="1:7" ht="13.65" customHeight="1">
      <c r="A29" s="5"/>
      <c r="B29" s="3" t="s">
        <v>683</v>
      </c>
      <c r="C29" s="3" t="s">
        <v>684</v>
      </c>
      <c r="D29" s="12" t="s">
        <v>675</v>
      </c>
      <c r="E29" s="3" t="s">
        <v>846</v>
      </c>
      <c r="F29" s="5"/>
      <c r="G29" s="5"/>
    </row>
    <row r="30" spans="1:7" ht="12" customHeight="1">
      <c r="A30" s="5"/>
      <c r="B30" s="5"/>
      <c r="C30" s="5"/>
      <c r="D30" s="5"/>
      <c r="E30" s="2474" t="s">
        <v>685</v>
      </c>
      <c r="F30" s="2474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4.4" customHeight="1">
      <c r="A32" s="5"/>
      <c r="B32" s="4" t="s">
        <v>1160</v>
      </c>
      <c r="C32" s="5"/>
      <c r="D32" s="20" t="s">
        <v>1157</v>
      </c>
      <c r="E32" s="12" t="s">
        <v>1140</v>
      </c>
      <c r="F32" s="5"/>
      <c r="G32" s="5"/>
    </row>
    <row r="33" spans="1:7" ht="13.65" customHeight="1">
      <c r="A33" s="5"/>
      <c r="B33" s="3" t="s">
        <v>1158</v>
      </c>
      <c r="C33" s="5"/>
      <c r="D33" s="12" t="s">
        <v>690</v>
      </c>
      <c r="E33" s="12" t="s">
        <v>1161</v>
      </c>
      <c r="F33" s="5"/>
      <c r="G33" s="5"/>
    </row>
    <row r="34" spans="1:7" ht="12" customHeight="1">
      <c r="A34" s="5"/>
      <c r="B34" s="5"/>
      <c r="C34" s="5"/>
      <c r="D34" s="5"/>
      <c r="E34" s="2474" t="s">
        <v>702</v>
      </c>
      <c r="F34" s="2474"/>
      <c r="G34" s="5"/>
    </row>
    <row r="35" spans="1:7" ht="12" customHeight="1">
      <c r="A35" s="12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2474" t="s">
        <v>705</v>
      </c>
      <c r="F37" s="2474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2474" t="s">
        <v>707</v>
      </c>
      <c r="C39" s="2474"/>
      <c r="D39" s="2474"/>
      <c r="E39" s="2474"/>
      <c r="F39" s="2474"/>
      <c r="G39" s="5"/>
    </row>
    <row r="40" spans="1:7" ht="12" customHeight="1">
      <c r="A40" s="12" t="s">
        <v>708</v>
      </c>
      <c r="B40" s="2471" t="s">
        <v>876</v>
      </c>
      <c r="C40" s="2471"/>
      <c r="D40" s="2471"/>
      <c r="E40" s="2472" t="s">
        <v>710</v>
      </c>
      <c r="F40" s="2472"/>
      <c r="G40" s="5"/>
    </row>
    <row r="41" spans="1:7" ht="12.15" customHeight="1">
      <c r="A41" s="12" t="s">
        <v>711</v>
      </c>
      <c r="B41" s="2473" t="s">
        <v>712</v>
      </c>
      <c r="C41" s="2473"/>
      <c r="D41" s="2473"/>
      <c r="E41" s="2473"/>
      <c r="F41" s="2473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1"/>
  <dimension ref="A1:G45"/>
  <sheetViews>
    <sheetView workbookViewId="0">
      <selection activeCell="G45" sqref="A1:G45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2241</v>
      </c>
    </row>
    <row r="3" spans="1:7" ht="34.950000000000003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5" customHeight="1">
      <c r="A5" s="5"/>
      <c r="B5" s="3" t="s">
        <v>673</v>
      </c>
      <c r="C5" s="3" t="s">
        <v>674</v>
      </c>
      <c r="D5" s="12" t="s">
        <v>675</v>
      </c>
      <c r="E5" s="12" t="s">
        <v>719</v>
      </c>
      <c r="F5" s="5"/>
      <c r="G5" s="5"/>
    </row>
    <row r="6" spans="1:7" ht="13.65" customHeight="1">
      <c r="A6" s="5"/>
      <c r="B6" s="3" t="s">
        <v>816</v>
      </c>
      <c r="C6" s="3" t="s">
        <v>678</v>
      </c>
      <c r="D6" s="12" t="s">
        <v>675</v>
      </c>
      <c r="E6" s="12" t="s">
        <v>1162</v>
      </c>
      <c r="F6" s="5"/>
      <c r="G6" s="5"/>
    </row>
    <row r="7" spans="1:7" ht="13.65" customHeight="1">
      <c r="A7" s="5"/>
      <c r="B7" s="3" t="s">
        <v>751</v>
      </c>
      <c r="C7" s="3" t="s">
        <v>681</v>
      </c>
      <c r="D7" s="12" t="s">
        <v>675</v>
      </c>
      <c r="E7" s="12" t="s">
        <v>753</v>
      </c>
      <c r="F7" s="5"/>
      <c r="G7" s="5"/>
    </row>
    <row r="8" spans="1:7" ht="13.95" customHeight="1">
      <c r="A8" s="5"/>
      <c r="B8" s="3" t="s">
        <v>683</v>
      </c>
      <c r="C8" s="3" t="s">
        <v>684</v>
      </c>
      <c r="D8" s="12" t="s">
        <v>675</v>
      </c>
      <c r="E8" s="12" t="s">
        <v>753</v>
      </c>
      <c r="F8" s="5"/>
      <c r="G8" s="5"/>
    </row>
    <row r="9" spans="1:7" ht="12" customHeight="1">
      <c r="A9" s="5"/>
      <c r="B9" s="5"/>
      <c r="C9" s="5"/>
      <c r="D9" s="5"/>
      <c r="E9" s="2474" t="s">
        <v>685</v>
      </c>
      <c r="F9" s="2474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65" customHeight="1">
      <c r="A11" s="5"/>
      <c r="B11" s="3" t="s">
        <v>1163</v>
      </c>
      <c r="C11" s="5"/>
      <c r="D11" s="12" t="s">
        <v>743</v>
      </c>
      <c r="E11" s="3" t="s">
        <v>1164</v>
      </c>
      <c r="F11" s="5"/>
      <c r="G11" s="5"/>
    </row>
    <row r="12" spans="1:7" ht="13.95" customHeight="1">
      <c r="A12" s="5"/>
      <c r="B12" s="3" t="s">
        <v>818</v>
      </c>
      <c r="C12" s="5"/>
      <c r="D12" s="12" t="s">
        <v>690</v>
      </c>
      <c r="E12" s="12" t="s">
        <v>1165</v>
      </c>
      <c r="F12" s="5"/>
      <c r="G12" s="5"/>
    </row>
    <row r="13" spans="1:7" ht="13.65" customHeight="1">
      <c r="A13" s="5"/>
      <c r="B13" s="3" t="s">
        <v>739</v>
      </c>
      <c r="C13" s="5"/>
      <c r="D13" s="12" t="s">
        <v>881</v>
      </c>
      <c r="E13" s="3" t="s">
        <v>865</v>
      </c>
      <c r="F13" s="5"/>
      <c r="G13" s="5"/>
    </row>
    <row r="14" spans="1:7" ht="13.65" customHeight="1">
      <c r="A14" s="5"/>
      <c r="B14" s="3" t="s">
        <v>1100</v>
      </c>
      <c r="C14" s="5"/>
      <c r="D14" s="12" t="s">
        <v>690</v>
      </c>
      <c r="E14" s="12" t="s">
        <v>750</v>
      </c>
      <c r="F14" s="5"/>
      <c r="G14" s="5"/>
    </row>
    <row r="15" spans="1:7" ht="12" customHeight="1">
      <c r="A15" s="5"/>
      <c r="B15" s="5"/>
      <c r="C15" s="5"/>
      <c r="D15" s="5"/>
      <c r="E15" s="2474" t="s">
        <v>702</v>
      </c>
      <c r="F15" s="2474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2474" t="s">
        <v>705</v>
      </c>
      <c r="F18" s="2474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2474" t="s">
        <v>707</v>
      </c>
      <c r="C20" s="2474"/>
      <c r="D20" s="2474"/>
      <c r="E20" s="2474"/>
      <c r="F20" s="2474"/>
      <c r="G20" s="5"/>
    </row>
    <row r="21" spans="1:7" ht="12" customHeight="1">
      <c r="A21" s="12" t="s">
        <v>708</v>
      </c>
      <c r="B21" s="2471" t="s">
        <v>876</v>
      </c>
      <c r="C21" s="2471"/>
      <c r="D21" s="2471"/>
      <c r="E21" s="2472" t="s">
        <v>710</v>
      </c>
      <c r="F21" s="2472"/>
      <c r="G21" s="5"/>
    </row>
    <row r="22" spans="1:7" ht="12" customHeight="1">
      <c r="A22" s="12" t="s">
        <v>711</v>
      </c>
      <c r="B22" s="2473" t="s">
        <v>712</v>
      </c>
      <c r="C22" s="2473"/>
      <c r="D22" s="2473"/>
      <c r="E22" s="2473"/>
      <c r="F22" s="2473"/>
      <c r="G22" s="5"/>
    </row>
    <row r="23" spans="1:7" ht="12" customHeight="1">
      <c r="A23" s="12"/>
      <c r="B23" s="26"/>
      <c r="C23" s="26"/>
      <c r="D23" s="26"/>
      <c r="E23" s="26"/>
      <c r="F23" s="26"/>
      <c r="G23" s="5"/>
    </row>
    <row r="24" spans="1:7" ht="12" customHeight="1">
      <c r="A24" s="67" t="s">
        <v>2242</v>
      </c>
      <c r="B24" s="26"/>
      <c r="C24" s="26"/>
      <c r="D24" s="26"/>
      <c r="E24" s="26"/>
      <c r="F24" s="26"/>
      <c r="G24" s="5"/>
    </row>
    <row r="25" spans="1:7" ht="12" customHeight="1">
      <c r="A25" s="12"/>
      <c r="B25" s="26"/>
      <c r="C25" s="26"/>
      <c r="D25" s="26"/>
      <c r="E25" s="26"/>
      <c r="F25" s="26"/>
      <c r="G25" s="5"/>
    </row>
    <row r="26" spans="1:7" ht="35.1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65" customHeight="1">
      <c r="A28" s="5"/>
      <c r="B28" s="3" t="s">
        <v>673</v>
      </c>
      <c r="C28" s="3" t="s">
        <v>674</v>
      </c>
      <c r="D28" s="12" t="s">
        <v>675</v>
      </c>
      <c r="E28" s="12" t="s">
        <v>1166</v>
      </c>
      <c r="F28" s="5"/>
      <c r="G28" s="5"/>
    </row>
    <row r="29" spans="1:7" ht="13.95" customHeight="1">
      <c r="A29" s="5"/>
      <c r="B29" s="3" t="s">
        <v>816</v>
      </c>
      <c r="C29" s="3" t="s">
        <v>678</v>
      </c>
      <c r="D29" s="12" t="s">
        <v>675</v>
      </c>
      <c r="E29" s="12" t="s">
        <v>717</v>
      </c>
      <c r="F29" s="5"/>
      <c r="G29" s="5"/>
    </row>
    <row r="30" spans="1:7" ht="13.65" customHeight="1">
      <c r="A30" s="5"/>
      <c r="B30" s="3" t="s">
        <v>751</v>
      </c>
      <c r="C30" s="3" t="s">
        <v>681</v>
      </c>
      <c r="D30" s="12" t="s">
        <v>675</v>
      </c>
      <c r="E30" s="3" t="s">
        <v>795</v>
      </c>
      <c r="F30" s="5"/>
      <c r="G30" s="5"/>
    </row>
    <row r="31" spans="1:7" ht="13.65" customHeight="1">
      <c r="A31" s="5"/>
      <c r="B31" s="3" t="s">
        <v>683</v>
      </c>
      <c r="C31" s="3" t="s">
        <v>684</v>
      </c>
      <c r="D31" s="12" t="s">
        <v>675</v>
      </c>
      <c r="E31" s="3" t="s">
        <v>795</v>
      </c>
      <c r="F31" s="5"/>
      <c r="G31" s="5"/>
    </row>
    <row r="32" spans="1:7" ht="12" customHeight="1">
      <c r="A32" s="5"/>
      <c r="B32" s="5"/>
      <c r="C32" s="5"/>
      <c r="D32" s="5"/>
      <c r="E32" s="2474" t="s">
        <v>685</v>
      </c>
      <c r="F32" s="2474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95" customHeight="1">
      <c r="A34" s="5"/>
      <c r="B34" s="3" t="s">
        <v>1163</v>
      </c>
      <c r="C34" s="5"/>
      <c r="D34" s="12" t="s">
        <v>743</v>
      </c>
      <c r="E34" s="3" t="s">
        <v>1135</v>
      </c>
      <c r="F34" s="5"/>
      <c r="G34" s="5"/>
    </row>
    <row r="35" spans="1:7" ht="13.65" customHeight="1">
      <c r="A35" s="5"/>
      <c r="B35" s="3" t="s">
        <v>818</v>
      </c>
      <c r="C35" s="5"/>
      <c r="D35" s="12" t="s">
        <v>690</v>
      </c>
      <c r="E35" s="12" t="s">
        <v>1165</v>
      </c>
      <c r="F35" s="5"/>
      <c r="G35" s="5"/>
    </row>
    <row r="36" spans="1:7" ht="13.65" customHeight="1">
      <c r="A36" s="5"/>
      <c r="B36" s="3" t="s">
        <v>808</v>
      </c>
      <c r="C36" s="5"/>
      <c r="D36" s="12" t="s">
        <v>881</v>
      </c>
      <c r="E36" s="3" t="s">
        <v>865</v>
      </c>
      <c r="F36" s="5"/>
      <c r="G36" s="5"/>
    </row>
    <row r="37" spans="1:7" ht="13.95" customHeight="1">
      <c r="A37" s="5"/>
      <c r="B37" s="3" t="s">
        <v>1100</v>
      </c>
      <c r="C37" s="5"/>
      <c r="D37" s="12" t="s">
        <v>690</v>
      </c>
      <c r="E37" s="12" t="s">
        <v>1137</v>
      </c>
      <c r="F37" s="5"/>
      <c r="G37" s="5"/>
    </row>
    <row r="38" spans="1:7" ht="12" customHeight="1">
      <c r="A38" s="5"/>
      <c r="B38" s="5"/>
      <c r="C38" s="5"/>
      <c r="D38" s="5"/>
      <c r="E38" s="2474" t="s">
        <v>702</v>
      </c>
      <c r="F38" s="2474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2474" t="s">
        <v>705</v>
      </c>
      <c r="F41" s="2474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2474" t="s">
        <v>707</v>
      </c>
      <c r="C43" s="2474"/>
      <c r="D43" s="2474"/>
      <c r="E43" s="2474"/>
      <c r="F43" s="2474"/>
      <c r="G43" s="5"/>
    </row>
    <row r="44" spans="1:7" ht="12" customHeight="1">
      <c r="A44" s="12" t="s">
        <v>708</v>
      </c>
      <c r="B44" s="2471" t="s">
        <v>876</v>
      </c>
      <c r="C44" s="2471"/>
      <c r="D44" s="2471"/>
      <c r="E44" s="2472" t="s">
        <v>710</v>
      </c>
      <c r="F44" s="2472"/>
      <c r="G44" s="5"/>
    </row>
    <row r="45" spans="1:7" ht="12" customHeight="1">
      <c r="A45" s="12" t="s">
        <v>711</v>
      </c>
      <c r="B45" s="2473" t="s">
        <v>712</v>
      </c>
      <c r="C45" s="2473"/>
      <c r="D45" s="2473"/>
      <c r="E45" s="2473"/>
      <c r="F45" s="2473"/>
      <c r="G45" s="5"/>
    </row>
  </sheetData>
  <mergeCells count="14">
    <mergeCell ref="E9:F9"/>
    <mergeCell ref="E15:F15"/>
    <mergeCell ref="E18:F18"/>
    <mergeCell ref="B20:F20"/>
    <mergeCell ref="B21:D21"/>
    <mergeCell ref="E21:F21"/>
    <mergeCell ref="B44:D44"/>
    <mergeCell ref="E44:F44"/>
    <mergeCell ref="B45:F45"/>
    <mergeCell ref="B22:F22"/>
    <mergeCell ref="E32:F32"/>
    <mergeCell ref="E38:F38"/>
    <mergeCell ref="E41:F41"/>
    <mergeCell ref="B43:F4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7030A0"/>
  </sheetPr>
  <dimension ref="B3:M167"/>
  <sheetViews>
    <sheetView showGridLines="0" view="pageBreakPreview" topLeftCell="A147" zoomScale="110" zoomScaleSheetLayoutView="110" workbookViewId="0">
      <selection activeCell="L160" sqref="L160"/>
    </sheetView>
  </sheetViews>
  <sheetFormatPr defaultColWidth="9.109375" defaultRowHeight="13.8"/>
  <cols>
    <col min="1" max="1" width="9.109375" style="601"/>
    <col min="2" max="2" width="14.33203125" style="600" customWidth="1"/>
    <col min="3" max="3" width="9.109375" style="601"/>
    <col min="4" max="4" width="27.44140625" style="601" customWidth="1"/>
    <col min="5" max="5" width="9.109375" style="601"/>
    <col min="6" max="6" width="10.6640625" style="601" customWidth="1"/>
    <col min="7" max="8" width="17.6640625" style="601" customWidth="1"/>
    <col min="9" max="10" width="9.109375" style="601"/>
    <col min="11" max="11" width="13.109375" style="601" customWidth="1"/>
    <col min="12" max="12" width="19.44140625" style="601" customWidth="1"/>
    <col min="13" max="13" width="14.33203125" style="601" customWidth="1"/>
    <col min="14" max="16384" width="9.109375" style="601"/>
  </cols>
  <sheetData>
    <row r="3" spans="2:8" ht="15.6">
      <c r="B3" s="931" t="s">
        <v>4795</v>
      </c>
      <c r="C3" s="930" t="s">
        <v>4796</v>
      </c>
      <c r="D3" s="604"/>
      <c r="E3" s="602"/>
      <c r="F3" s="605"/>
      <c r="G3" s="603"/>
      <c r="H3" s="606"/>
    </row>
    <row r="4" spans="2:8" hidden="1">
      <c r="B4" s="607" t="s">
        <v>4797</v>
      </c>
      <c r="C4" s="608" t="s">
        <v>4798</v>
      </c>
      <c r="D4" s="609"/>
      <c r="E4" s="609"/>
      <c r="F4" s="610"/>
      <c r="G4" s="611"/>
      <c r="H4" s="612"/>
    </row>
    <row r="5" spans="2:8" ht="39.9" hidden="1" customHeight="1">
      <c r="B5" s="613" t="s">
        <v>1003</v>
      </c>
      <c r="C5" s="2202" t="s">
        <v>1004</v>
      </c>
      <c r="D5" s="2203"/>
      <c r="E5" s="613" t="s">
        <v>1006</v>
      </c>
      <c r="F5" s="614" t="s">
        <v>1007</v>
      </c>
      <c r="G5" s="615" t="s">
        <v>2637</v>
      </c>
      <c r="H5" s="616" t="s">
        <v>2638</v>
      </c>
    </row>
    <row r="6" spans="2:8" hidden="1">
      <c r="B6" s="617" t="s">
        <v>671</v>
      </c>
      <c r="C6" s="618" t="s">
        <v>4799</v>
      </c>
      <c r="D6" s="619"/>
      <c r="E6" s="523"/>
      <c r="F6" s="620"/>
      <c r="G6" s="621"/>
      <c r="H6" s="622"/>
    </row>
    <row r="7" spans="2:8" hidden="1">
      <c r="B7" s="523"/>
      <c r="C7" s="623" t="s">
        <v>4800</v>
      </c>
      <c r="D7" s="624"/>
      <c r="E7" s="523" t="s">
        <v>4801</v>
      </c>
      <c r="F7" s="620">
        <v>3</v>
      </c>
      <c r="G7" s="621">
        <f>DUB!I471</f>
        <v>765000</v>
      </c>
      <c r="H7" s="622">
        <f t="shared" ref="H7:H8" si="0">G7*F7</f>
        <v>2295000</v>
      </c>
    </row>
    <row r="8" spans="2:8" hidden="1">
      <c r="B8" s="523"/>
      <c r="C8" s="623" t="s">
        <v>4819</v>
      </c>
      <c r="D8" s="624"/>
      <c r="E8" s="523" t="s">
        <v>4802</v>
      </c>
      <c r="F8" s="620">
        <v>10</v>
      </c>
      <c r="G8" s="621">
        <f>DUB!I10</f>
        <v>150000</v>
      </c>
      <c r="H8" s="622">
        <f t="shared" si="0"/>
        <v>1500000</v>
      </c>
    </row>
    <row r="9" spans="2:8" hidden="1">
      <c r="B9" s="523"/>
      <c r="C9" s="625"/>
      <c r="D9" s="619"/>
      <c r="E9" s="523"/>
      <c r="F9" s="2207" t="s">
        <v>4803</v>
      </c>
      <c r="G9" s="2207"/>
      <c r="H9" s="626">
        <f>SUM(H7:H8)</f>
        <v>3795000</v>
      </c>
    </row>
    <row r="10" spans="2:8" hidden="1">
      <c r="B10" s="617" t="s">
        <v>686</v>
      </c>
      <c r="C10" s="627" t="s">
        <v>4804</v>
      </c>
      <c r="D10" s="619"/>
      <c r="E10" s="523"/>
      <c r="F10" s="620"/>
      <c r="G10" s="621"/>
      <c r="H10" s="622"/>
    </row>
    <row r="11" spans="2:8" hidden="1">
      <c r="B11" s="523"/>
      <c r="C11" s="623" t="s">
        <v>4805</v>
      </c>
      <c r="D11" s="619"/>
      <c r="E11" s="523" t="s">
        <v>4801</v>
      </c>
      <c r="F11" s="628">
        <v>3</v>
      </c>
      <c r="G11" s="621">
        <f>G7</f>
        <v>765000</v>
      </c>
      <c r="H11" s="622">
        <f>G11*F11</f>
        <v>2295000</v>
      </c>
    </row>
    <row r="12" spans="2:8" hidden="1">
      <c r="B12" s="523"/>
      <c r="C12" s="623" t="s">
        <v>4820</v>
      </c>
      <c r="D12" s="619"/>
      <c r="E12" s="523" t="s">
        <v>675</v>
      </c>
      <c r="F12" s="628">
        <v>6</v>
      </c>
      <c r="G12" s="621">
        <f>G8</f>
        <v>150000</v>
      </c>
      <c r="H12" s="622">
        <f t="shared" ref="H12" si="1">G12*F12</f>
        <v>900000</v>
      </c>
    </row>
    <row r="13" spans="2:8" hidden="1">
      <c r="B13" s="523"/>
      <c r="C13" s="625"/>
      <c r="D13" s="619"/>
      <c r="E13" s="523"/>
      <c r="F13" s="2208" t="s">
        <v>4803</v>
      </c>
      <c r="G13" s="2208"/>
      <c r="H13" s="626">
        <f>SUM(H11:H12)</f>
        <v>3195000</v>
      </c>
    </row>
    <row r="14" spans="2:8" hidden="1">
      <c r="B14" s="617" t="s">
        <v>703</v>
      </c>
      <c r="C14" s="2209" t="s">
        <v>3764</v>
      </c>
      <c r="D14" s="2209"/>
      <c r="E14" s="2209"/>
      <c r="F14" s="2209"/>
      <c r="G14" s="2209"/>
      <c r="H14" s="626">
        <f>H9+H13</f>
        <v>6990000</v>
      </c>
    </row>
    <row r="15" spans="2:8">
      <c r="B15" s="508"/>
      <c r="C15" s="509"/>
      <c r="D15" s="509"/>
      <c r="E15" s="509"/>
      <c r="F15" s="509"/>
      <c r="G15" s="509"/>
      <c r="H15" s="525"/>
    </row>
    <row r="16" spans="2:8">
      <c r="B16" s="495" t="s">
        <v>4806</v>
      </c>
      <c r="C16" s="629" t="s">
        <v>4807</v>
      </c>
      <c r="D16" s="499"/>
      <c r="E16" s="499"/>
      <c r="F16" s="630"/>
      <c r="G16" s="631"/>
      <c r="H16" s="632"/>
    </row>
    <row r="17" spans="2:8" ht="39.9" customHeight="1">
      <c r="B17" s="497" t="s">
        <v>1003</v>
      </c>
      <c r="C17" s="2204" t="s">
        <v>1004</v>
      </c>
      <c r="D17" s="2205"/>
      <c r="E17" s="497" t="s">
        <v>1006</v>
      </c>
      <c r="F17" s="498" t="s">
        <v>1007</v>
      </c>
      <c r="G17" s="633" t="s">
        <v>2637</v>
      </c>
      <c r="H17" s="634" t="s">
        <v>2638</v>
      </c>
    </row>
    <row r="18" spans="2:8">
      <c r="B18" s="500" t="s">
        <v>671</v>
      </c>
      <c r="C18" s="519" t="s">
        <v>4808</v>
      </c>
      <c r="D18" s="511"/>
      <c r="E18" s="501"/>
      <c r="F18" s="635"/>
      <c r="G18" s="636"/>
      <c r="H18" s="516"/>
    </row>
    <row r="19" spans="2:8">
      <c r="B19" s="500"/>
      <c r="C19" s="754" t="s">
        <v>4961</v>
      </c>
      <c r="D19" s="747"/>
      <c r="E19" s="501" t="s">
        <v>675</v>
      </c>
      <c r="F19" s="635">
        <v>1</v>
      </c>
      <c r="G19" s="636"/>
      <c r="H19" s="516">
        <f>G19*F19</f>
        <v>0</v>
      </c>
    </row>
    <row r="20" spans="2:8">
      <c r="B20" s="501"/>
      <c r="C20" s="623" t="s">
        <v>4893</v>
      </c>
      <c r="D20" s="637"/>
      <c r="E20" s="501" t="s">
        <v>743</v>
      </c>
      <c r="F20" s="635">
        <v>20</v>
      </c>
      <c r="G20" s="636">
        <f>DUB!I472</f>
        <v>58500</v>
      </c>
      <c r="H20" s="516">
        <f t="shared" ref="H20:H23" si="2">G20*F20</f>
        <v>1170000</v>
      </c>
    </row>
    <row r="21" spans="2:8">
      <c r="B21" s="501"/>
      <c r="C21" s="623" t="s">
        <v>4894</v>
      </c>
      <c r="D21" s="637"/>
      <c r="E21" s="501" t="s">
        <v>743</v>
      </c>
      <c r="F21" s="635">
        <v>20</v>
      </c>
      <c r="G21" s="636">
        <f>DUB!I473</f>
        <v>67500</v>
      </c>
      <c r="H21" s="516">
        <f t="shared" si="2"/>
        <v>1350000</v>
      </c>
    </row>
    <row r="22" spans="2:8">
      <c r="B22" s="501"/>
      <c r="C22" s="623" t="s">
        <v>4895</v>
      </c>
      <c r="D22" s="637"/>
      <c r="E22" s="501" t="s">
        <v>743</v>
      </c>
      <c r="F22" s="635">
        <v>20</v>
      </c>
      <c r="G22" s="636">
        <f>DUB!I474</f>
        <v>49500</v>
      </c>
      <c r="H22" s="516">
        <f t="shared" si="2"/>
        <v>990000</v>
      </c>
    </row>
    <row r="23" spans="2:8">
      <c r="B23" s="501"/>
      <c r="C23" s="623" t="s">
        <v>4896</v>
      </c>
      <c r="D23" s="637"/>
      <c r="E23" s="501" t="s">
        <v>743</v>
      </c>
      <c r="F23" s="635">
        <v>20</v>
      </c>
      <c r="G23" s="636">
        <f>DUB!I476</f>
        <v>157500</v>
      </c>
      <c r="H23" s="516">
        <f t="shared" si="2"/>
        <v>3150000</v>
      </c>
    </row>
    <row r="24" spans="2:8">
      <c r="B24" s="501"/>
      <c r="C24" s="750" t="s">
        <v>4962</v>
      </c>
      <c r="D24" s="751"/>
      <c r="E24" s="501" t="s">
        <v>743</v>
      </c>
      <c r="F24" s="635">
        <v>8</v>
      </c>
      <c r="G24" s="636">
        <f>DUB!I479</f>
        <v>450000</v>
      </c>
      <c r="H24" s="516">
        <f>F24*G24</f>
        <v>3600000</v>
      </c>
    </row>
    <row r="25" spans="2:8">
      <c r="B25" s="501"/>
      <c r="C25" s="752" t="s">
        <v>4963</v>
      </c>
      <c r="D25" s="753"/>
      <c r="E25" s="501" t="s">
        <v>743</v>
      </c>
      <c r="F25" s="635">
        <v>30</v>
      </c>
      <c r="G25" s="636">
        <f>DUB!I480</f>
        <v>22500</v>
      </c>
      <c r="H25" s="516">
        <f>F25*G25</f>
        <v>675000</v>
      </c>
    </row>
    <row r="26" spans="2:8">
      <c r="B26" s="501"/>
      <c r="C26" s="748"/>
      <c r="D26" s="749"/>
      <c r="E26" s="501"/>
      <c r="F26" s="635"/>
      <c r="G26" s="636"/>
      <c r="H26" s="516"/>
    </row>
    <row r="27" spans="2:8">
      <c r="B27" s="501"/>
      <c r="C27" s="520"/>
      <c r="D27" s="511"/>
      <c r="E27" s="501"/>
      <c r="F27" s="2210" t="s">
        <v>4566</v>
      </c>
      <c r="G27" s="2210"/>
      <c r="H27" s="506">
        <f>SUM(H19:H25)</f>
        <v>10935000</v>
      </c>
    </row>
    <row r="28" spans="2:8">
      <c r="B28" s="500" t="s">
        <v>686</v>
      </c>
      <c r="C28" s="519" t="s">
        <v>4809</v>
      </c>
      <c r="D28" s="511"/>
      <c r="E28" s="501"/>
      <c r="F28" s="635"/>
      <c r="G28" s="636"/>
      <c r="H28" s="516"/>
    </row>
    <row r="29" spans="2:8">
      <c r="B29" s="501"/>
      <c r="C29" s="638" t="s">
        <v>4810</v>
      </c>
      <c r="D29" s="511"/>
      <c r="E29" s="501" t="s">
        <v>1405</v>
      </c>
      <c r="F29" s="639">
        <v>4</v>
      </c>
      <c r="G29" s="636">
        <f>DUB!I478</f>
        <v>225000</v>
      </c>
      <c r="H29" s="516">
        <f t="shared" ref="H29" si="3">G29*F29</f>
        <v>900000</v>
      </c>
    </row>
    <row r="30" spans="2:8">
      <c r="B30" s="501"/>
      <c r="C30" s="638" t="s">
        <v>4987</v>
      </c>
      <c r="D30" s="511"/>
      <c r="E30" s="501" t="str">
        <f>E29</f>
        <v>Unit</v>
      </c>
      <c r="F30" s="639">
        <v>2</v>
      </c>
      <c r="G30" s="636">
        <v>200000</v>
      </c>
      <c r="H30" s="516">
        <f>F30*G30</f>
        <v>400000</v>
      </c>
    </row>
    <row r="31" spans="2:8">
      <c r="B31" s="501"/>
      <c r="C31" s="2211" t="s">
        <v>4981</v>
      </c>
      <c r="D31" s="2212"/>
      <c r="E31" s="501" t="str">
        <f t="shared" ref="E31:E36" si="4">E30</f>
        <v>Unit</v>
      </c>
      <c r="F31" s="762">
        <f>F30</f>
        <v>2</v>
      </c>
      <c r="G31" s="761">
        <f>G30</f>
        <v>200000</v>
      </c>
      <c r="H31" s="516">
        <f t="shared" ref="H31:H36" si="5">F31*G31</f>
        <v>400000</v>
      </c>
    </row>
    <row r="32" spans="2:8">
      <c r="B32" s="501"/>
      <c r="C32" s="2211" t="s">
        <v>4982</v>
      </c>
      <c r="D32" s="2212"/>
      <c r="E32" s="501" t="str">
        <f t="shared" si="4"/>
        <v>Unit</v>
      </c>
      <c r="F32" s="762">
        <f t="shared" ref="F32:F36" si="6">F31</f>
        <v>2</v>
      </c>
      <c r="G32" s="761">
        <f t="shared" ref="G32:G36" si="7">G31</f>
        <v>200000</v>
      </c>
      <c r="H32" s="516">
        <f t="shared" si="5"/>
        <v>400000</v>
      </c>
    </row>
    <row r="33" spans="2:8">
      <c r="B33" s="501"/>
      <c r="C33" s="2211" t="s">
        <v>4983</v>
      </c>
      <c r="D33" s="2212"/>
      <c r="E33" s="501" t="str">
        <f t="shared" si="4"/>
        <v>Unit</v>
      </c>
      <c r="F33" s="762">
        <f t="shared" si="6"/>
        <v>2</v>
      </c>
      <c r="G33" s="761">
        <f t="shared" si="7"/>
        <v>200000</v>
      </c>
      <c r="H33" s="516">
        <f t="shared" si="5"/>
        <v>400000</v>
      </c>
    </row>
    <row r="34" spans="2:8">
      <c r="B34" s="501"/>
      <c r="C34" s="2211" t="s">
        <v>4984</v>
      </c>
      <c r="D34" s="2212"/>
      <c r="E34" s="501" t="str">
        <f t="shared" si="4"/>
        <v>Unit</v>
      </c>
      <c r="F34" s="762">
        <f t="shared" si="6"/>
        <v>2</v>
      </c>
      <c r="G34" s="761">
        <f t="shared" si="7"/>
        <v>200000</v>
      </c>
      <c r="H34" s="516">
        <f t="shared" si="5"/>
        <v>400000</v>
      </c>
    </row>
    <row r="35" spans="2:8">
      <c r="B35" s="501"/>
      <c r="C35" s="2211" t="s">
        <v>4985</v>
      </c>
      <c r="D35" s="2212"/>
      <c r="E35" s="501" t="str">
        <f t="shared" si="4"/>
        <v>Unit</v>
      </c>
      <c r="F35" s="762">
        <f t="shared" si="6"/>
        <v>2</v>
      </c>
      <c r="G35" s="761">
        <f t="shared" si="7"/>
        <v>200000</v>
      </c>
      <c r="H35" s="516">
        <f t="shared" si="5"/>
        <v>400000</v>
      </c>
    </row>
    <row r="36" spans="2:8">
      <c r="B36" s="501"/>
      <c r="C36" s="2211" t="s">
        <v>4986</v>
      </c>
      <c r="D36" s="2212"/>
      <c r="E36" s="501" t="str">
        <f t="shared" si="4"/>
        <v>Unit</v>
      </c>
      <c r="F36" s="762">
        <f t="shared" si="6"/>
        <v>2</v>
      </c>
      <c r="G36" s="761">
        <f t="shared" si="7"/>
        <v>200000</v>
      </c>
      <c r="H36" s="516">
        <f t="shared" si="5"/>
        <v>400000</v>
      </c>
    </row>
    <row r="37" spans="2:8">
      <c r="B37" s="501"/>
      <c r="C37" s="760"/>
      <c r="D37" s="760"/>
      <c r="E37" s="501"/>
      <c r="F37" s="762"/>
      <c r="G37" s="759" t="s">
        <v>4566</v>
      </c>
      <c r="H37" s="516">
        <f>SUM(H29:H36)</f>
        <v>3700000</v>
      </c>
    </row>
    <row r="38" spans="2:8">
      <c r="B38" s="500" t="s">
        <v>703</v>
      </c>
      <c r="C38" s="2201" t="s">
        <v>3764</v>
      </c>
      <c r="D38" s="2201"/>
      <c r="E38" s="2201"/>
      <c r="F38" s="2201"/>
      <c r="G38" s="2201"/>
      <c r="H38" s="506">
        <f>H27+H37</f>
        <v>14635000</v>
      </c>
    </row>
    <row r="39" spans="2:8">
      <c r="B39" s="508"/>
      <c r="C39" s="509"/>
      <c r="D39" s="509"/>
      <c r="E39" s="509"/>
      <c r="F39" s="509"/>
      <c r="G39" s="509"/>
      <c r="H39" s="525"/>
    </row>
    <row r="40" spans="2:8" hidden="1">
      <c r="B40" s="495" t="s">
        <v>4817</v>
      </c>
      <c r="C40" s="509" t="s">
        <v>4818</v>
      </c>
      <c r="D40" s="513"/>
      <c r="E40" s="513"/>
      <c r="F40" s="514"/>
      <c r="G40" s="515"/>
      <c r="H40" s="510"/>
    </row>
    <row r="41" spans="2:8" ht="39.9" hidden="1" customHeight="1">
      <c r="B41" s="497" t="s">
        <v>1003</v>
      </c>
      <c r="C41" s="2204" t="s">
        <v>1004</v>
      </c>
      <c r="D41" s="2205"/>
      <c r="E41" s="497" t="s">
        <v>1006</v>
      </c>
      <c r="F41" s="498" t="s">
        <v>1007</v>
      </c>
      <c r="G41" s="633" t="s">
        <v>2637</v>
      </c>
      <c r="H41" s="634" t="s">
        <v>2638</v>
      </c>
    </row>
    <row r="42" spans="2:8" hidden="1">
      <c r="B42" s="500" t="s">
        <v>671</v>
      </c>
      <c r="C42" s="519" t="s">
        <v>672</v>
      </c>
      <c r="D42" s="511"/>
      <c r="E42" s="501"/>
      <c r="F42" s="502"/>
      <c r="G42" s="503"/>
      <c r="H42" s="504"/>
    </row>
    <row r="43" spans="2:8" hidden="1">
      <c r="B43" s="500"/>
      <c r="C43" s="520" t="s">
        <v>673</v>
      </c>
      <c r="D43" s="511"/>
      <c r="E43" s="501" t="s">
        <v>675</v>
      </c>
      <c r="F43" s="502">
        <v>0.4</v>
      </c>
      <c r="G43" s="503">
        <f>DUB!$I$10</f>
        <v>150000</v>
      </c>
      <c r="H43" s="504">
        <f>G43*F43</f>
        <v>60000</v>
      </c>
    </row>
    <row r="44" spans="2:8" hidden="1">
      <c r="B44" s="500"/>
      <c r="C44" s="520" t="s">
        <v>677</v>
      </c>
      <c r="D44" s="511"/>
      <c r="E44" s="501" t="s">
        <v>675</v>
      </c>
      <c r="F44" s="502">
        <v>0.2</v>
      </c>
      <c r="G44" s="503">
        <f>DUB!$I$11</f>
        <v>187000</v>
      </c>
      <c r="H44" s="504">
        <f>G44*F44</f>
        <v>37400</v>
      </c>
    </row>
    <row r="45" spans="2:8" hidden="1">
      <c r="B45" s="500"/>
      <c r="C45" s="520" t="s">
        <v>751</v>
      </c>
      <c r="D45" s="511"/>
      <c r="E45" s="501" t="s">
        <v>675</v>
      </c>
      <c r="F45" s="502">
        <v>0.02</v>
      </c>
      <c r="G45" s="503">
        <f>DUB!$I$13</f>
        <v>240000</v>
      </c>
      <c r="H45" s="504">
        <f>G45*F45</f>
        <v>4800</v>
      </c>
    </row>
    <row r="46" spans="2:8" hidden="1">
      <c r="B46" s="500"/>
      <c r="C46" s="520" t="s">
        <v>683</v>
      </c>
      <c r="D46" s="511"/>
      <c r="E46" s="501" t="s">
        <v>675</v>
      </c>
      <c r="F46" s="502">
        <v>0.02</v>
      </c>
      <c r="G46" s="503">
        <f>DUB!$I$12</f>
        <v>225000</v>
      </c>
      <c r="H46" s="504">
        <f>G46*F46</f>
        <v>4500</v>
      </c>
    </row>
    <row r="47" spans="2:8" hidden="1">
      <c r="B47" s="500"/>
      <c r="C47" s="520"/>
      <c r="D47" s="511"/>
      <c r="E47" s="501"/>
      <c r="F47" s="2206" t="s">
        <v>685</v>
      </c>
      <c r="G47" s="2206"/>
      <c r="H47" s="505">
        <f>SUM(H43:H46)</f>
        <v>106700</v>
      </c>
    </row>
    <row r="48" spans="2:8" hidden="1">
      <c r="B48" s="500" t="s">
        <v>686</v>
      </c>
      <c r="C48" s="519" t="s">
        <v>687</v>
      </c>
      <c r="D48" s="511"/>
      <c r="E48" s="501"/>
      <c r="F48" s="502"/>
      <c r="G48" s="503"/>
      <c r="H48" s="504"/>
    </row>
    <row r="49" spans="2:8" hidden="1">
      <c r="B49" s="500"/>
      <c r="C49" s="520"/>
      <c r="D49" s="511"/>
      <c r="E49" s="501"/>
      <c r="F49" s="502"/>
      <c r="G49" s="503"/>
      <c r="H49" s="504"/>
    </row>
    <row r="50" spans="2:8" hidden="1">
      <c r="B50" s="500"/>
      <c r="C50" s="520"/>
      <c r="D50" s="511"/>
      <c r="E50" s="501"/>
      <c r="F50" s="502"/>
      <c r="G50" s="503"/>
      <c r="H50" s="504"/>
    </row>
    <row r="51" spans="2:8" hidden="1">
      <c r="B51" s="500"/>
      <c r="C51" s="521"/>
      <c r="D51" s="511"/>
      <c r="E51" s="512"/>
      <c r="F51" s="2206" t="s">
        <v>702</v>
      </c>
      <c r="G51" s="2206"/>
      <c r="H51" s="504">
        <f>SUM(H49:H50)</f>
        <v>0</v>
      </c>
    </row>
    <row r="52" spans="2:8" hidden="1">
      <c r="B52" s="500" t="s">
        <v>703</v>
      </c>
      <c r="C52" s="2201" t="s">
        <v>3764</v>
      </c>
      <c r="D52" s="2201"/>
      <c r="E52" s="2201"/>
      <c r="F52" s="2201"/>
      <c r="G52" s="2201"/>
      <c r="H52" s="505">
        <f>H47+H51</f>
        <v>106700</v>
      </c>
    </row>
    <row r="53" spans="2:8" hidden="1"/>
    <row r="54" spans="2:8" hidden="1">
      <c r="B54" s="658" t="s">
        <v>4830</v>
      </c>
      <c r="C54" s="640" t="s">
        <v>4821</v>
      </c>
      <c r="D54" s="641"/>
      <c r="E54" s="642"/>
      <c r="F54" s="643"/>
      <c r="G54" s="644"/>
      <c r="H54" s="644"/>
    </row>
    <row r="55" spans="2:8" hidden="1">
      <c r="B55" s="2197" t="s">
        <v>4544</v>
      </c>
      <c r="C55" s="2197" t="s">
        <v>1004</v>
      </c>
      <c r="D55" s="2197"/>
      <c r="E55" s="2197" t="s">
        <v>1006</v>
      </c>
      <c r="F55" s="2199" t="s">
        <v>1007</v>
      </c>
      <c r="G55" s="645" t="s">
        <v>4822</v>
      </c>
      <c r="H55" s="645" t="s">
        <v>4823</v>
      </c>
    </row>
    <row r="56" spans="2:8" hidden="1">
      <c r="B56" s="2198"/>
      <c r="C56" s="2198"/>
      <c r="D56" s="2198"/>
      <c r="E56" s="2198"/>
      <c r="F56" s="2200"/>
      <c r="G56" s="646" t="s">
        <v>4790</v>
      </c>
      <c r="H56" s="646" t="s">
        <v>4790</v>
      </c>
    </row>
    <row r="57" spans="2:8" hidden="1">
      <c r="B57" s="647" t="s">
        <v>4824</v>
      </c>
      <c r="C57" s="648" t="s">
        <v>672</v>
      </c>
      <c r="D57" s="649"/>
      <c r="E57" s="647"/>
      <c r="F57" s="650"/>
      <c r="G57" s="651"/>
      <c r="H57" s="651"/>
    </row>
    <row r="58" spans="2:8" hidden="1">
      <c r="B58" s="652"/>
      <c r="C58" s="656" t="s">
        <v>4825</v>
      </c>
      <c r="D58" s="657"/>
      <c r="E58" s="652" t="s">
        <v>675</v>
      </c>
      <c r="F58" s="653">
        <v>28</v>
      </c>
      <c r="G58" s="651">
        <f>G43</f>
        <v>150000</v>
      </c>
      <c r="H58" s="651">
        <f>F58*G58</f>
        <v>4200000</v>
      </c>
    </row>
    <row r="59" spans="2:8" hidden="1">
      <c r="B59" s="652"/>
      <c r="C59" s="656" t="s">
        <v>683</v>
      </c>
      <c r="D59" s="657"/>
      <c r="E59" s="652" t="s">
        <v>675</v>
      </c>
      <c r="F59" s="653">
        <v>3</v>
      </c>
      <c r="G59" s="651">
        <f>G46</f>
        <v>225000</v>
      </c>
      <c r="H59" s="651">
        <f>F59*G59</f>
        <v>675000</v>
      </c>
    </row>
    <row r="60" spans="2:8" hidden="1">
      <c r="B60" s="652"/>
      <c r="C60" s="2194" t="s">
        <v>685</v>
      </c>
      <c r="D60" s="2194"/>
      <c r="E60" s="2194"/>
      <c r="F60" s="2194"/>
      <c r="G60" s="2194"/>
      <c r="H60" s="654">
        <f>SUBTOTAL(9,H58:H59)</f>
        <v>4875000</v>
      </c>
    </row>
    <row r="61" spans="2:8" hidden="1">
      <c r="B61" s="647" t="s">
        <v>4826</v>
      </c>
      <c r="C61" s="648" t="s">
        <v>687</v>
      </c>
      <c r="D61" s="649"/>
      <c r="E61" s="647"/>
      <c r="F61" s="650"/>
      <c r="G61" s="651"/>
      <c r="H61" s="651"/>
    </row>
    <row r="62" spans="2:8" hidden="1">
      <c r="B62" s="652"/>
      <c r="C62" s="659"/>
      <c r="D62" s="657"/>
      <c r="E62" s="655"/>
      <c r="F62" s="653"/>
      <c r="G62" s="651"/>
      <c r="H62" s="651"/>
    </row>
    <row r="63" spans="2:8" hidden="1">
      <c r="B63" s="652"/>
      <c r="C63" s="2194" t="s">
        <v>702</v>
      </c>
      <c r="D63" s="2194"/>
      <c r="E63" s="2194"/>
      <c r="F63" s="2194"/>
      <c r="G63" s="2194"/>
      <c r="H63" s="654">
        <f>SUM(H62:H62)</f>
        <v>0</v>
      </c>
    </row>
    <row r="64" spans="2:8" hidden="1">
      <c r="B64" s="647" t="s">
        <v>4827</v>
      </c>
      <c r="C64" s="648" t="s">
        <v>704</v>
      </c>
      <c r="D64" s="649"/>
      <c r="E64" s="647"/>
      <c r="F64" s="650"/>
      <c r="G64" s="651"/>
      <c r="H64" s="651"/>
    </row>
    <row r="65" spans="2:8" hidden="1">
      <c r="B65" s="652"/>
      <c r="C65" s="2182"/>
      <c r="D65" s="2195"/>
      <c r="E65" s="652"/>
      <c r="F65" s="650"/>
      <c r="G65" s="651"/>
      <c r="H65" s="651"/>
    </row>
    <row r="66" spans="2:8" hidden="1">
      <c r="B66" s="652"/>
      <c r="C66" s="2194" t="s">
        <v>705</v>
      </c>
      <c r="D66" s="2194"/>
      <c r="E66" s="2194"/>
      <c r="F66" s="2194"/>
      <c r="G66" s="2194"/>
      <c r="H66" s="654">
        <f>SUBTOTAL(9,H64:H65)</f>
        <v>0</v>
      </c>
    </row>
    <row r="67" spans="2:8" hidden="1">
      <c r="B67" s="652"/>
      <c r="C67" s="2182"/>
      <c r="D67" s="2195"/>
      <c r="E67" s="652"/>
      <c r="F67" s="650"/>
      <c r="G67" s="651"/>
      <c r="H67" s="651"/>
    </row>
    <row r="68" spans="2:8" hidden="1">
      <c r="B68" s="647" t="s">
        <v>4828</v>
      </c>
      <c r="C68" s="2196" t="s">
        <v>4829</v>
      </c>
      <c r="D68" s="2196"/>
      <c r="E68" s="2196"/>
      <c r="F68" s="2196"/>
      <c r="G68" s="2196"/>
      <c r="H68" s="654">
        <f>H60+H63</f>
        <v>4875000</v>
      </c>
    </row>
    <row r="70" spans="2:8">
      <c r="B70" s="658" t="s">
        <v>4831</v>
      </c>
      <c r="C70" s="640" t="s">
        <v>4832</v>
      </c>
      <c r="D70" s="641"/>
      <c r="E70" s="642"/>
      <c r="F70" s="643"/>
      <c r="G70" s="644"/>
      <c r="H70" s="644"/>
    </row>
    <row r="71" spans="2:8">
      <c r="B71" s="2197" t="s">
        <v>4544</v>
      </c>
      <c r="C71" s="2197" t="s">
        <v>1004</v>
      </c>
      <c r="D71" s="2197"/>
      <c r="E71" s="2197" t="s">
        <v>1006</v>
      </c>
      <c r="F71" s="2199" t="s">
        <v>1007</v>
      </c>
      <c r="G71" s="645" t="s">
        <v>4822</v>
      </c>
      <c r="H71" s="645" t="s">
        <v>4823</v>
      </c>
    </row>
    <row r="72" spans="2:8">
      <c r="B72" s="2198"/>
      <c r="C72" s="2198"/>
      <c r="D72" s="2198"/>
      <c r="E72" s="2198"/>
      <c r="F72" s="2200"/>
      <c r="G72" s="646" t="s">
        <v>4790</v>
      </c>
      <c r="H72" s="646" t="s">
        <v>4790</v>
      </c>
    </row>
    <row r="73" spans="2:8">
      <c r="B73" s="647" t="s">
        <v>4824</v>
      </c>
      <c r="C73" s="648" t="s">
        <v>672</v>
      </c>
      <c r="D73" s="649"/>
      <c r="E73" s="647"/>
      <c r="F73" s="650"/>
      <c r="G73" s="651"/>
      <c r="H73" s="651"/>
    </row>
    <row r="74" spans="2:8">
      <c r="B74" s="652"/>
      <c r="C74" s="656"/>
      <c r="D74" s="657"/>
      <c r="E74" s="652"/>
      <c r="F74" s="653"/>
      <c r="G74" s="651"/>
      <c r="H74" s="651"/>
    </row>
    <row r="75" spans="2:8">
      <c r="B75" s="652"/>
      <c r="C75" s="2194" t="s">
        <v>685</v>
      </c>
      <c r="D75" s="2194"/>
      <c r="E75" s="2194"/>
      <c r="F75" s="2194"/>
      <c r="G75" s="2194"/>
      <c r="H75" s="654">
        <f>SUBTOTAL(9,H74:H74)</f>
        <v>0</v>
      </c>
    </row>
    <row r="76" spans="2:8">
      <c r="B76" s="647" t="s">
        <v>4826</v>
      </c>
      <c r="C76" s="648" t="s">
        <v>687</v>
      </c>
      <c r="D76" s="649"/>
      <c r="E76" s="647"/>
      <c r="F76" s="650"/>
      <c r="G76" s="651"/>
      <c r="H76" s="651"/>
    </row>
    <row r="77" spans="2:8">
      <c r="B77" s="652"/>
      <c r="C77" s="659" t="s">
        <v>4833</v>
      </c>
      <c r="D77" s="657"/>
      <c r="E77" s="655" t="s">
        <v>4857</v>
      </c>
      <c r="F77" s="653">
        <f>15*45</f>
        <v>675</v>
      </c>
      <c r="G77" s="651">
        <f>DUB!I557</f>
        <v>24300</v>
      </c>
      <c r="H77" s="651">
        <f>G77*F77</f>
        <v>16402500</v>
      </c>
    </row>
    <row r="78" spans="2:8">
      <c r="B78" s="652"/>
      <c r="C78" s="659" t="s">
        <v>4834</v>
      </c>
      <c r="D78" s="657"/>
      <c r="E78" s="655" t="s">
        <v>1011</v>
      </c>
      <c r="F78" s="653">
        <v>10</v>
      </c>
      <c r="G78" s="651">
        <f>DUB!I545</f>
        <v>90000</v>
      </c>
      <c r="H78" s="651">
        <f>G78*F78</f>
        <v>900000</v>
      </c>
    </row>
    <row r="79" spans="2:8">
      <c r="B79" s="652"/>
      <c r="C79" s="2194" t="s">
        <v>702</v>
      </c>
      <c r="D79" s="2194"/>
      <c r="E79" s="2194"/>
      <c r="F79" s="2194"/>
      <c r="G79" s="2194"/>
      <c r="H79" s="654">
        <f>SUM(H77:H78)</f>
        <v>17302500</v>
      </c>
    </row>
    <row r="80" spans="2:8">
      <c r="B80" s="647" t="s">
        <v>4827</v>
      </c>
      <c r="C80" s="648" t="s">
        <v>704</v>
      </c>
      <c r="D80" s="649"/>
      <c r="E80" s="647"/>
      <c r="F80" s="650"/>
      <c r="G80" s="651"/>
      <c r="H80" s="651"/>
    </row>
    <row r="81" spans="2:8">
      <c r="B81" s="652"/>
      <c r="C81" s="2182"/>
      <c r="D81" s="2195"/>
      <c r="E81" s="652"/>
      <c r="F81" s="650"/>
      <c r="G81" s="651"/>
      <c r="H81" s="651"/>
    </row>
    <row r="82" spans="2:8">
      <c r="B82" s="652"/>
      <c r="C82" s="2194" t="s">
        <v>705</v>
      </c>
      <c r="D82" s="2194"/>
      <c r="E82" s="2194"/>
      <c r="F82" s="2194"/>
      <c r="G82" s="2194"/>
      <c r="H82" s="654">
        <f>SUBTOTAL(9,H80:H81)</f>
        <v>0</v>
      </c>
    </row>
    <row r="83" spans="2:8">
      <c r="B83" s="652"/>
      <c r="C83" s="2182"/>
      <c r="D83" s="2195"/>
      <c r="E83" s="652"/>
      <c r="F83" s="650"/>
      <c r="G83" s="651"/>
      <c r="H83" s="651"/>
    </row>
    <row r="84" spans="2:8">
      <c r="B84" s="647" t="s">
        <v>4828</v>
      </c>
      <c r="C84" s="2196" t="s">
        <v>4829</v>
      </c>
      <c r="D84" s="2196"/>
      <c r="E84" s="2196"/>
      <c r="F84" s="2196"/>
      <c r="G84" s="2196"/>
      <c r="H84" s="654">
        <f>H75+H79</f>
        <v>17302500</v>
      </c>
    </row>
    <row r="86" spans="2:8" hidden="1">
      <c r="B86" s="660" t="s">
        <v>4858</v>
      </c>
      <c r="C86" s="661" t="s">
        <v>4859</v>
      </c>
      <c r="D86" s="662"/>
      <c r="E86" s="663"/>
      <c r="F86" s="664"/>
      <c r="G86" s="665"/>
      <c r="H86" s="665"/>
    </row>
    <row r="87" spans="2:8" hidden="1">
      <c r="B87" s="2190" t="s">
        <v>4544</v>
      </c>
      <c r="C87" s="2190" t="s">
        <v>1004</v>
      </c>
      <c r="D87" s="2190"/>
      <c r="E87" s="2190" t="s">
        <v>1006</v>
      </c>
      <c r="F87" s="2192" t="s">
        <v>1007</v>
      </c>
      <c r="G87" s="666" t="s">
        <v>4822</v>
      </c>
      <c r="H87" s="666" t="s">
        <v>4823</v>
      </c>
    </row>
    <row r="88" spans="2:8" hidden="1">
      <c r="B88" s="2191"/>
      <c r="C88" s="2191"/>
      <c r="D88" s="2191"/>
      <c r="E88" s="2191"/>
      <c r="F88" s="2193"/>
      <c r="G88" s="667" t="s">
        <v>4790</v>
      </c>
      <c r="H88" s="667" t="s">
        <v>4790</v>
      </c>
    </row>
    <row r="89" spans="2:8" hidden="1">
      <c r="B89" s="668" t="s">
        <v>4824</v>
      </c>
      <c r="C89" s="669" t="s">
        <v>672</v>
      </c>
      <c r="D89" s="670"/>
      <c r="E89" s="668"/>
      <c r="F89" s="671"/>
      <c r="G89" s="672"/>
      <c r="H89" s="672"/>
    </row>
    <row r="90" spans="2:8" hidden="1">
      <c r="B90" s="673"/>
      <c r="C90" s="674" t="s">
        <v>4825</v>
      </c>
      <c r="D90" s="675"/>
      <c r="E90" s="673" t="s">
        <v>675</v>
      </c>
      <c r="F90" s="676">
        <v>8</v>
      </c>
      <c r="G90" s="672">
        <f>G43</f>
        <v>150000</v>
      </c>
      <c r="H90" s="672">
        <f>F90*G90</f>
        <v>1200000</v>
      </c>
    </row>
    <row r="91" spans="2:8" hidden="1">
      <c r="B91" s="673"/>
      <c r="C91" s="674" t="s">
        <v>782</v>
      </c>
      <c r="D91" s="675"/>
      <c r="E91" s="673" t="s">
        <v>675</v>
      </c>
      <c r="F91" s="676">
        <v>18</v>
      </c>
      <c r="G91" s="672">
        <f t="shared" ref="G91:G93" si="8">G44</f>
        <v>187000</v>
      </c>
      <c r="H91" s="672">
        <f>F91*G91</f>
        <v>3366000</v>
      </c>
    </row>
    <row r="92" spans="2:8" hidden="1">
      <c r="B92" s="673"/>
      <c r="C92" s="674" t="s">
        <v>680</v>
      </c>
      <c r="D92" s="675"/>
      <c r="E92" s="673" t="s">
        <v>675</v>
      </c>
      <c r="F92" s="676">
        <v>4</v>
      </c>
      <c r="G92" s="672">
        <f t="shared" si="8"/>
        <v>240000</v>
      </c>
      <c r="H92" s="672">
        <f>F92*G92</f>
        <v>960000</v>
      </c>
    </row>
    <row r="93" spans="2:8" hidden="1">
      <c r="B93" s="673"/>
      <c r="C93" s="674" t="s">
        <v>683</v>
      </c>
      <c r="D93" s="675"/>
      <c r="E93" s="673" t="s">
        <v>675</v>
      </c>
      <c r="F93" s="676">
        <v>2</v>
      </c>
      <c r="G93" s="672">
        <f t="shared" si="8"/>
        <v>225000</v>
      </c>
      <c r="H93" s="672">
        <f>F93*G93</f>
        <v>450000</v>
      </c>
    </row>
    <row r="94" spans="2:8" hidden="1">
      <c r="B94" s="673"/>
      <c r="C94" s="2184" t="s">
        <v>685</v>
      </c>
      <c r="D94" s="2184"/>
      <c r="E94" s="2184"/>
      <c r="F94" s="2184"/>
      <c r="G94" s="2184"/>
      <c r="H94" s="677">
        <f>SUBTOTAL(9,H90:H93)</f>
        <v>5976000</v>
      </c>
    </row>
    <row r="95" spans="2:8" hidden="1">
      <c r="B95" s="668" t="s">
        <v>4826</v>
      </c>
      <c r="C95" s="669" t="s">
        <v>687</v>
      </c>
      <c r="D95" s="670"/>
      <c r="E95" s="668"/>
      <c r="F95" s="671"/>
      <c r="G95" s="672"/>
      <c r="H95" s="672"/>
    </row>
    <row r="96" spans="2:8" hidden="1">
      <c r="B96" s="673"/>
      <c r="C96" s="678" t="s">
        <v>4860</v>
      </c>
      <c r="D96" s="675"/>
      <c r="E96" s="679" t="s">
        <v>4861</v>
      </c>
      <c r="F96" s="676">
        <v>5</v>
      </c>
      <c r="G96" s="672"/>
      <c r="H96" s="672">
        <f>F96*G96</f>
        <v>0</v>
      </c>
    </row>
    <row r="97" spans="2:8" hidden="1">
      <c r="B97" s="673"/>
      <c r="C97" s="674" t="s">
        <v>4862</v>
      </c>
      <c r="D97" s="675"/>
      <c r="E97" s="679" t="s">
        <v>1405</v>
      </c>
      <c r="F97" s="676">
        <v>1</v>
      </c>
      <c r="G97" s="672"/>
      <c r="H97" s="672">
        <f>F97*G97</f>
        <v>0</v>
      </c>
    </row>
    <row r="98" spans="2:8" hidden="1">
      <c r="B98" s="673"/>
      <c r="C98" s="674" t="s">
        <v>4863</v>
      </c>
      <c r="D98" s="675"/>
      <c r="E98" s="679" t="s">
        <v>4864</v>
      </c>
      <c r="F98" s="676">
        <v>1</v>
      </c>
      <c r="G98" s="672"/>
      <c r="H98" s="672">
        <f t="shared" ref="H98:H101" si="9">F98*G98</f>
        <v>0</v>
      </c>
    </row>
    <row r="99" spans="2:8" hidden="1">
      <c r="B99" s="673"/>
      <c r="C99" s="674" t="s">
        <v>4865</v>
      </c>
      <c r="D99" s="675"/>
      <c r="E99" s="679" t="s">
        <v>4861</v>
      </c>
      <c r="F99" s="676">
        <v>0.4</v>
      </c>
      <c r="G99" s="672"/>
      <c r="H99" s="672">
        <f t="shared" si="9"/>
        <v>0</v>
      </c>
    </row>
    <row r="100" spans="2:8" hidden="1">
      <c r="B100" s="673"/>
      <c r="C100" s="674" t="s">
        <v>4866</v>
      </c>
      <c r="D100" s="675"/>
      <c r="E100" s="679" t="s">
        <v>1405</v>
      </c>
      <c r="F100" s="676">
        <v>8</v>
      </c>
      <c r="G100" s="672"/>
      <c r="H100" s="672">
        <f t="shared" si="9"/>
        <v>0</v>
      </c>
    </row>
    <row r="101" spans="2:8" hidden="1">
      <c r="B101" s="673"/>
      <c r="C101" s="674" t="s">
        <v>4867</v>
      </c>
      <c r="D101" s="675"/>
      <c r="E101" s="679" t="s">
        <v>1405</v>
      </c>
      <c r="F101" s="676">
        <v>35</v>
      </c>
      <c r="G101" s="672"/>
      <c r="H101" s="672">
        <f t="shared" si="9"/>
        <v>0</v>
      </c>
    </row>
    <row r="102" spans="2:8" hidden="1">
      <c r="B102" s="673"/>
      <c r="C102" s="2184" t="s">
        <v>702</v>
      </c>
      <c r="D102" s="2184"/>
      <c r="E102" s="2184"/>
      <c r="F102" s="2184"/>
      <c r="G102" s="2184"/>
      <c r="H102" s="677">
        <f>SUM(H96:H101)</f>
        <v>0</v>
      </c>
    </row>
    <row r="103" spans="2:8" hidden="1">
      <c r="B103" s="668" t="s">
        <v>4827</v>
      </c>
      <c r="C103" s="669" t="s">
        <v>704</v>
      </c>
      <c r="D103" s="670"/>
      <c r="E103" s="668"/>
      <c r="F103" s="671"/>
      <c r="G103" s="672"/>
      <c r="H103" s="672"/>
    </row>
    <row r="104" spans="2:8" hidden="1">
      <c r="B104" s="673"/>
      <c r="C104" s="2185"/>
      <c r="D104" s="2186"/>
      <c r="E104" s="673"/>
      <c r="F104" s="671"/>
      <c r="G104" s="672"/>
      <c r="H104" s="672"/>
    </row>
    <row r="105" spans="2:8" hidden="1">
      <c r="B105" s="673"/>
      <c r="C105" s="2184" t="s">
        <v>705</v>
      </c>
      <c r="D105" s="2184"/>
      <c r="E105" s="2184"/>
      <c r="F105" s="2184"/>
      <c r="G105" s="2184"/>
      <c r="H105" s="677">
        <f>SUBTOTAL(9,H103:H104)</f>
        <v>0</v>
      </c>
    </row>
    <row r="106" spans="2:8" hidden="1">
      <c r="B106" s="673"/>
      <c r="C106" s="2185"/>
      <c r="D106" s="2186"/>
      <c r="E106" s="673"/>
      <c r="F106" s="671"/>
      <c r="G106" s="672"/>
      <c r="H106" s="672"/>
    </row>
    <row r="107" spans="2:8" hidden="1">
      <c r="B107" s="668" t="s">
        <v>4868</v>
      </c>
      <c r="C107" s="2183" t="s">
        <v>4869</v>
      </c>
      <c r="D107" s="2183"/>
      <c r="E107" s="2183"/>
      <c r="F107" s="2183"/>
      <c r="G107" s="2183"/>
      <c r="H107" s="677">
        <f>H94+H102</f>
        <v>5976000</v>
      </c>
    </row>
    <row r="108" spans="2:8" hidden="1"/>
    <row r="109" spans="2:8" hidden="1"/>
    <row r="110" spans="2:8" hidden="1">
      <c r="B110" s="920" t="s">
        <v>4970</v>
      </c>
      <c r="C110" s="806" t="s">
        <v>4971</v>
      </c>
    </row>
    <row r="111" spans="2:8" hidden="1">
      <c r="C111" s="806" t="s">
        <v>4972</v>
      </c>
    </row>
    <row r="112" spans="2:8" hidden="1">
      <c r="B112" s="775" t="s">
        <v>4824</v>
      </c>
      <c r="C112" s="932" t="s">
        <v>672</v>
      </c>
      <c r="D112" s="933"/>
      <c r="E112" s="775"/>
      <c r="F112" s="782"/>
      <c r="G112" s="934"/>
      <c r="H112" s="934"/>
    </row>
    <row r="113" spans="2:8" hidden="1">
      <c r="B113" s="777"/>
      <c r="C113" s="935" t="s">
        <v>4825</v>
      </c>
      <c r="D113" s="936"/>
      <c r="E113" s="777" t="s">
        <v>675</v>
      </c>
      <c r="F113" s="937">
        <v>1</v>
      </c>
      <c r="G113" s="934">
        <f>DUB!I10</f>
        <v>150000</v>
      </c>
      <c r="H113" s="934">
        <f>F113*G113</f>
        <v>150000</v>
      </c>
    </row>
    <row r="114" spans="2:8" hidden="1">
      <c r="B114" s="777"/>
      <c r="C114" s="935" t="s">
        <v>683</v>
      </c>
      <c r="D114" s="936"/>
      <c r="E114" s="777" t="s">
        <v>675</v>
      </c>
      <c r="F114" s="937">
        <v>0.1</v>
      </c>
      <c r="G114" s="934">
        <f>DUB!I12</f>
        <v>225000</v>
      </c>
      <c r="H114" s="934">
        <f>F114*G114</f>
        <v>22500</v>
      </c>
    </row>
    <row r="115" spans="2:8" hidden="1">
      <c r="B115" s="777"/>
      <c r="C115" s="935" t="s">
        <v>4974</v>
      </c>
      <c r="D115" s="936"/>
      <c r="E115" s="777" t="s">
        <v>675</v>
      </c>
      <c r="F115" s="937">
        <v>6.4000000000000001E-2</v>
      </c>
      <c r="G115" s="934" t="e">
        <f>DUB!#REF!</f>
        <v>#REF!</v>
      </c>
      <c r="H115" s="934" t="e">
        <f>F115*G115</f>
        <v>#REF!</v>
      </c>
    </row>
    <row r="116" spans="2:8" hidden="1">
      <c r="B116" s="777"/>
      <c r="C116" s="935" t="s">
        <v>4973</v>
      </c>
      <c r="D116" s="936"/>
      <c r="E116" s="777" t="s">
        <v>675</v>
      </c>
      <c r="F116" s="937">
        <v>6.4000000000000001E-2</v>
      </c>
      <c r="G116" s="934" t="e">
        <f>DUB!#REF!</f>
        <v>#REF!</v>
      </c>
      <c r="H116" s="934" t="e">
        <f>F116*G116</f>
        <v>#REF!</v>
      </c>
    </row>
    <row r="117" spans="2:8" hidden="1">
      <c r="B117" s="777"/>
      <c r="C117" s="2188" t="s">
        <v>685</v>
      </c>
      <c r="D117" s="2188"/>
      <c r="E117" s="2188"/>
      <c r="F117" s="2188"/>
      <c r="G117" s="2188"/>
      <c r="H117" s="938">
        <f>SUBTOTAL(9,H113:H114)</f>
        <v>172500</v>
      </c>
    </row>
    <row r="118" spans="2:8" hidden="1">
      <c r="B118" s="775" t="s">
        <v>4826</v>
      </c>
      <c r="C118" s="932" t="s">
        <v>687</v>
      </c>
      <c r="D118" s="933"/>
      <c r="E118" s="775"/>
      <c r="F118" s="782"/>
      <c r="G118" s="934"/>
      <c r="H118" s="934"/>
    </row>
    <row r="119" spans="2:8" hidden="1">
      <c r="B119" s="777"/>
      <c r="C119" s="939"/>
      <c r="D119" s="936"/>
      <c r="E119" s="781"/>
      <c r="F119" s="937"/>
      <c r="G119" s="934"/>
      <c r="H119" s="934"/>
    </row>
    <row r="120" spans="2:8" hidden="1">
      <c r="B120" s="777"/>
      <c r="C120" s="2188" t="s">
        <v>702</v>
      </c>
      <c r="D120" s="2188"/>
      <c r="E120" s="2188"/>
      <c r="F120" s="2188"/>
      <c r="G120" s="2188"/>
      <c r="H120" s="938">
        <f>SUM(H119:H119)</f>
        <v>0</v>
      </c>
    </row>
    <row r="121" spans="2:8" hidden="1">
      <c r="B121" s="775" t="s">
        <v>4827</v>
      </c>
      <c r="C121" s="932" t="s">
        <v>704</v>
      </c>
      <c r="D121" s="933"/>
      <c r="E121" s="775"/>
      <c r="F121" s="782"/>
      <c r="G121" s="934"/>
      <c r="H121" s="934"/>
    </row>
    <row r="122" spans="2:8" hidden="1">
      <c r="B122" s="777"/>
      <c r="C122" s="2180" t="s">
        <v>4975</v>
      </c>
      <c r="D122" s="2189"/>
      <c r="E122" s="777" t="s">
        <v>4976</v>
      </c>
      <c r="F122" s="782">
        <v>1</v>
      </c>
      <c r="G122" s="934">
        <v>322477.75</v>
      </c>
      <c r="H122" s="934">
        <f>F122*G122</f>
        <v>322477.75</v>
      </c>
    </row>
    <row r="123" spans="2:8" hidden="1">
      <c r="B123" s="777"/>
      <c r="C123" s="2188" t="s">
        <v>705</v>
      </c>
      <c r="D123" s="2188"/>
      <c r="E123" s="2188"/>
      <c r="F123" s="2188"/>
      <c r="G123" s="2188"/>
      <c r="H123" s="938">
        <f>SUBTOTAL(9,H121:H122)</f>
        <v>322477.75</v>
      </c>
    </row>
    <row r="124" spans="2:8" hidden="1">
      <c r="B124" s="777"/>
      <c r="C124" s="2180"/>
      <c r="D124" s="2189"/>
      <c r="E124" s="777"/>
      <c r="F124" s="782"/>
      <c r="G124" s="934"/>
      <c r="H124" s="934"/>
    </row>
    <row r="125" spans="2:8" hidden="1">
      <c r="B125" s="775" t="s">
        <v>4828</v>
      </c>
      <c r="C125" s="2187" t="s">
        <v>4829</v>
      </c>
      <c r="D125" s="2187"/>
      <c r="E125" s="2187"/>
      <c r="F125" s="2187"/>
      <c r="G125" s="2187"/>
      <c r="H125" s="938">
        <f>H117+H123</f>
        <v>494977.75</v>
      </c>
    </row>
    <row r="126" spans="2:8" hidden="1">
      <c r="B126" s="940"/>
      <c r="C126" s="941" t="s">
        <v>4977</v>
      </c>
      <c r="D126" s="941"/>
      <c r="E126" s="941"/>
      <c r="F126" s="941"/>
      <c r="G126" s="941"/>
      <c r="H126" s="942">
        <f>H125*11%</f>
        <v>54447.552499999998</v>
      </c>
    </row>
    <row r="127" spans="2:8" hidden="1">
      <c r="B127" s="940"/>
      <c r="C127" s="941" t="s">
        <v>4978</v>
      </c>
      <c r="D127" s="941"/>
      <c r="E127" s="941"/>
      <c r="F127" s="941"/>
      <c r="G127" s="941"/>
      <c r="H127" s="942">
        <f>SUM(H125:H126)</f>
        <v>549425.30249999999</v>
      </c>
    </row>
    <row r="128" spans="2:8" hidden="1">
      <c r="B128" s="940"/>
      <c r="C128" s="917" t="s">
        <v>4979</v>
      </c>
      <c r="D128" s="918"/>
      <c r="E128" s="941">
        <f>(9*4)+3</f>
        <v>39</v>
      </c>
      <c r="F128" s="941" t="s">
        <v>4980</v>
      </c>
      <c r="G128" s="919">
        <v>1</v>
      </c>
      <c r="H128" s="918">
        <f>E128*G128</f>
        <v>39</v>
      </c>
    </row>
    <row r="131" spans="2:8">
      <c r="B131" s="806" t="s">
        <v>5159</v>
      </c>
      <c r="C131" s="806" t="s">
        <v>5272</v>
      </c>
    </row>
    <row r="132" spans="2:8">
      <c r="B132" s="647" t="s">
        <v>4824</v>
      </c>
      <c r="C132" s="656" t="str">
        <f>DUB!C366</f>
        <v>Tangki air  2000 liter Pinguin Stainless</v>
      </c>
      <c r="D132" s="773"/>
      <c r="E132" s="775"/>
      <c r="F132" s="776">
        <v>1</v>
      </c>
      <c r="G132" s="774">
        <f>DUB!I366</f>
        <v>6945000</v>
      </c>
      <c r="H132" s="651">
        <f t="shared" ref="H132" si="10">F132*G132</f>
        <v>6945000</v>
      </c>
    </row>
    <row r="133" spans="2:8">
      <c r="B133" s="652"/>
      <c r="C133" s="656"/>
      <c r="D133" s="870"/>
      <c r="E133" s="777"/>
      <c r="F133" s="778"/>
      <c r="G133" s="774"/>
      <c r="H133" s="651"/>
    </row>
    <row r="134" spans="2:8">
      <c r="B134" s="652"/>
      <c r="C134" s="768"/>
      <c r="D134" s="769"/>
      <c r="E134" s="779"/>
      <c r="F134" s="779"/>
      <c r="G134" s="772"/>
      <c r="H134" s="654"/>
    </row>
    <row r="135" spans="2:8">
      <c r="B135" s="647" t="s">
        <v>686</v>
      </c>
      <c r="C135" s="656" t="s">
        <v>2899</v>
      </c>
      <c r="D135" s="773"/>
      <c r="E135" s="775"/>
      <c r="F135" s="782">
        <v>0.1</v>
      </c>
      <c r="G135" s="774">
        <f>DUB!I10</f>
        <v>150000</v>
      </c>
      <c r="H135" s="651">
        <f>F135*G135</f>
        <v>15000</v>
      </c>
    </row>
    <row r="136" spans="2:8">
      <c r="B136" s="652"/>
      <c r="C136" s="2182" t="s">
        <v>782</v>
      </c>
      <c r="D136" s="2181"/>
      <c r="E136" s="777"/>
      <c r="F136" s="782">
        <v>0.1</v>
      </c>
      <c r="G136" s="774">
        <f>DUB!I11</f>
        <v>187000</v>
      </c>
      <c r="H136" s="651">
        <f>F136*G136</f>
        <v>18700</v>
      </c>
    </row>
    <row r="137" spans="2:8">
      <c r="B137" s="652"/>
      <c r="C137" s="2182"/>
      <c r="D137" s="2181"/>
      <c r="E137" s="777"/>
      <c r="F137" s="782"/>
      <c r="G137" s="774"/>
      <c r="H137" s="651"/>
    </row>
    <row r="138" spans="2:8">
      <c r="B138" s="647" t="s">
        <v>703</v>
      </c>
      <c r="C138" s="768" t="s">
        <v>5259</v>
      </c>
      <c r="D138" s="769"/>
      <c r="E138" s="779"/>
      <c r="F138" s="779"/>
      <c r="G138" s="770"/>
      <c r="H138" s="651">
        <f>SUM(H132:H137)</f>
        <v>6978700</v>
      </c>
    </row>
    <row r="139" spans="2:8">
      <c r="B139" s="758"/>
      <c r="C139" s="756" t="s">
        <v>5165</v>
      </c>
      <c r="D139" s="757"/>
      <c r="E139" s="755"/>
      <c r="F139" s="755"/>
      <c r="G139" s="755"/>
      <c r="H139" s="802">
        <f>H138*15%</f>
        <v>1046805</v>
      </c>
    </row>
    <row r="140" spans="2:8">
      <c r="B140" s="758"/>
      <c r="C140" s="756"/>
      <c r="D140" s="757"/>
      <c r="E140" s="755"/>
      <c r="F140" s="755"/>
      <c r="G140" s="755"/>
      <c r="H140" s="1018">
        <f>SUM(H138:H139)</f>
        <v>8025505</v>
      </c>
    </row>
    <row r="142" spans="2:8">
      <c r="B142" s="806" t="s">
        <v>5160</v>
      </c>
      <c r="C142" s="806" t="s">
        <v>5033</v>
      </c>
    </row>
    <row r="143" spans="2:8">
      <c r="B143" s="767"/>
      <c r="C143" s="767"/>
      <c r="D143" s="767"/>
      <c r="E143" s="767"/>
      <c r="F143" s="767"/>
      <c r="G143" s="767"/>
      <c r="H143" s="767"/>
    </row>
    <row r="144" spans="2:8">
      <c r="B144" s="775" t="s">
        <v>4824</v>
      </c>
      <c r="C144" s="943" t="s">
        <v>5033</v>
      </c>
      <c r="D144" s="773"/>
      <c r="E144" s="775"/>
      <c r="F144" s="776">
        <v>1</v>
      </c>
      <c r="G144" s="774">
        <f>DUB!I367</f>
        <v>3500000</v>
      </c>
      <c r="H144" s="934">
        <f t="shared" ref="H144:H147" si="11">F144*G144</f>
        <v>3500000</v>
      </c>
    </row>
    <row r="145" spans="2:13">
      <c r="B145" s="777"/>
      <c r="C145" s="935"/>
      <c r="D145" s="870"/>
      <c r="E145" s="777"/>
      <c r="F145" s="778"/>
      <c r="G145" s="774"/>
      <c r="H145" s="934">
        <f t="shared" si="11"/>
        <v>0</v>
      </c>
    </row>
    <row r="146" spans="2:13">
      <c r="B146" s="775" t="s">
        <v>4826</v>
      </c>
      <c r="C146" s="935" t="s">
        <v>5034</v>
      </c>
      <c r="D146" s="773"/>
      <c r="E146" s="775"/>
      <c r="F146" s="776">
        <v>0.8</v>
      </c>
      <c r="G146" s="774">
        <v>55700</v>
      </c>
      <c r="H146" s="934">
        <f t="shared" si="11"/>
        <v>44560</v>
      </c>
    </row>
    <row r="147" spans="2:13">
      <c r="B147" s="777"/>
      <c r="C147" s="939"/>
      <c r="D147" s="870"/>
      <c r="E147" s="781"/>
      <c r="F147" s="778"/>
      <c r="G147" s="774"/>
      <c r="H147" s="934">
        <f t="shared" si="11"/>
        <v>0</v>
      </c>
    </row>
    <row r="148" spans="2:13">
      <c r="B148" s="775" t="s">
        <v>4827</v>
      </c>
      <c r="C148" s="935" t="s">
        <v>2899</v>
      </c>
      <c r="D148" s="773"/>
      <c r="E148" s="775"/>
      <c r="F148" s="782">
        <v>1</v>
      </c>
      <c r="G148" s="774">
        <f>G135</f>
        <v>150000</v>
      </c>
      <c r="H148" s="934">
        <f>F148*G148</f>
        <v>150000</v>
      </c>
    </row>
    <row r="149" spans="2:13">
      <c r="B149" s="777"/>
      <c r="C149" s="2180" t="s">
        <v>782</v>
      </c>
      <c r="D149" s="2181"/>
      <c r="E149" s="777"/>
      <c r="F149" s="782">
        <v>0.12</v>
      </c>
      <c r="G149" s="774">
        <f>G136</f>
        <v>187000</v>
      </c>
      <c r="H149" s="934">
        <f>F149*G149</f>
        <v>22440</v>
      </c>
    </row>
    <row r="150" spans="2:13">
      <c r="B150" s="777"/>
      <c r="C150" s="2180"/>
      <c r="D150" s="2181"/>
      <c r="E150" s="777"/>
      <c r="F150" s="782"/>
      <c r="G150" s="774"/>
      <c r="H150" s="934"/>
    </row>
    <row r="151" spans="2:13">
      <c r="B151" s="775" t="s">
        <v>4828</v>
      </c>
      <c r="C151" s="768" t="s">
        <v>5259</v>
      </c>
      <c r="D151" s="769"/>
      <c r="E151" s="779"/>
      <c r="F151" s="779"/>
      <c r="G151" s="770"/>
      <c r="H151" s="938">
        <f>SUM(H144:H150)</f>
        <v>3717000</v>
      </c>
    </row>
    <row r="152" spans="2:13">
      <c r="B152" s="916"/>
      <c r="C152" s="917" t="s">
        <v>5165</v>
      </c>
      <c r="D152" s="918"/>
      <c r="E152" s="919"/>
      <c r="F152" s="919"/>
      <c r="G152" s="919"/>
      <c r="H152" s="944">
        <f>H151*15%</f>
        <v>557550</v>
      </c>
    </row>
    <row r="153" spans="2:13">
      <c r="B153" s="916"/>
      <c r="C153" s="917"/>
      <c r="D153" s="918"/>
      <c r="E153" s="919"/>
      <c r="F153" s="919"/>
      <c r="G153" s="919"/>
      <c r="H153" s="946">
        <f>SUM(H151:H152)</f>
        <v>4274550</v>
      </c>
    </row>
    <row r="155" spans="2:13">
      <c r="B155" s="806" t="s">
        <v>5167</v>
      </c>
      <c r="C155" s="806" t="s">
        <v>5271</v>
      </c>
    </row>
    <row r="156" spans="2:13">
      <c r="B156" s="775" t="s">
        <v>4824</v>
      </c>
      <c r="C156" s="945" t="s">
        <v>5166</v>
      </c>
      <c r="D156" s="773"/>
      <c r="E156" s="775"/>
      <c r="F156" s="776"/>
      <c r="G156" s="774"/>
      <c r="H156" s="934"/>
    </row>
    <row r="157" spans="2:13" ht="14.4">
      <c r="B157" s="777"/>
      <c r="C157" s="935" t="s">
        <v>5161</v>
      </c>
      <c r="D157" s="870"/>
      <c r="E157" s="777" t="s">
        <v>2647</v>
      </c>
      <c r="F157" s="778">
        <v>1</v>
      </c>
      <c r="G157" s="774">
        <f>DUB!I99</f>
        <v>1759588</v>
      </c>
      <c r="H157" s="934">
        <f t="shared" ref="H157:H159" si="12">F157*G157</f>
        <v>1759588</v>
      </c>
      <c r="I157" s="1609" t="s">
        <v>5339</v>
      </c>
      <c r="J157" s="1611">
        <v>0.64170000000000005</v>
      </c>
      <c r="K157" s="1608" t="s">
        <v>5343</v>
      </c>
      <c r="L157" s="2494">
        <f>G157*J157</f>
        <v>1129127.6196000001</v>
      </c>
      <c r="M157" s="2493"/>
    </row>
    <row r="158" spans="2:13">
      <c r="B158" s="777"/>
      <c r="C158" s="768"/>
      <c r="D158" s="769"/>
      <c r="E158" s="779"/>
      <c r="F158" s="780"/>
      <c r="G158" s="771"/>
      <c r="H158" s="938"/>
    </row>
    <row r="159" spans="2:13">
      <c r="B159" s="775" t="s">
        <v>4826</v>
      </c>
      <c r="C159" s="932" t="s">
        <v>5328</v>
      </c>
      <c r="D159" s="773"/>
      <c r="E159" s="777" t="s">
        <v>1411</v>
      </c>
      <c r="F159" s="1449">
        <v>0.185</v>
      </c>
      <c r="G159" s="774">
        <f>G157*F159</f>
        <v>325523.77999999997</v>
      </c>
      <c r="H159" s="934">
        <f t="shared" si="12"/>
        <v>60221.899299999997</v>
      </c>
    </row>
    <row r="160" spans="2:13">
      <c r="B160" s="777"/>
      <c r="C160" s="939"/>
      <c r="D160" s="870"/>
      <c r="E160" s="781"/>
      <c r="F160" s="778"/>
      <c r="G160" s="774"/>
      <c r="H160" s="934"/>
    </row>
    <row r="161" spans="2:12">
      <c r="B161" s="775" t="s">
        <v>703</v>
      </c>
      <c r="C161" s="768" t="s">
        <v>672</v>
      </c>
      <c r="D161" s="769"/>
      <c r="E161" s="779"/>
      <c r="F161" s="779"/>
      <c r="G161" s="772"/>
      <c r="H161" s="938"/>
    </row>
    <row r="162" spans="2:12" ht="14.4">
      <c r="B162" s="775"/>
      <c r="C162" s="935" t="s">
        <v>2899</v>
      </c>
      <c r="D162" s="773"/>
      <c r="E162" s="775"/>
      <c r="F162" s="782">
        <v>0.45</v>
      </c>
      <c r="G162" s="774">
        <f>DUB!I10</f>
        <v>150000</v>
      </c>
      <c r="H162" s="934">
        <f>F162*G162</f>
        <v>67500</v>
      </c>
      <c r="I162" s="1609" t="s">
        <v>5339</v>
      </c>
      <c r="J162" s="1611">
        <v>1</v>
      </c>
      <c r="K162" s="1608" t="s">
        <v>5340</v>
      </c>
      <c r="L162" s="1827">
        <f>G162*J162</f>
        <v>150000</v>
      </c>
    </row>
    <row r="163" spans="2:12" ht="14.4">
      <c r="B163" s="777"/>
      <c r="C163" s="2180" t="s">
        <v>782</v>
      </c>
      <c r="D163" s="2181"/>
      <c r="E163" s="777"/>
      <c r="F163" s="782">
        <v>0.15</v>
      </c>
      <c r="G163" s="774">
        <f>DUB!I11</f>
        <v>187000</v>
      </c>
      <c r="H163" s="934">
        <f>F163*G163</f>
        <v>28050</v>
      </c>
      <c r="I163" s="1609" t="s">
        <v>5339</v>
      </c>
      <c r="J163" s="1611">
        <v>1</v>
      </c>
      <c r="K163" s="1608" t="s">
        <v>5340</v>
      </c>
      <c r="L163" s="1827">
        <f>G163*J163</f>
        <v>187000</v>
      </c>
    </row>
    <row r="164" spans="2:12">
      <c r="B164" s="777"/>
      <c r="C164" s="2180"/>
      <c r="D164" s="2181"/>
      <c r="E164" s="777"/>
      <c r="F164" s="782"/>
      <c r="G164" s="774"/>
      <c r="H164" s="934"/>
    </row>
    <row r="165" spans="2:12">
      <c r="B165" s="775" t="s">
        <v>4828</v>
      </c>
      <c r="C165" s="768" t="s">
        <v>4829</v>
      </c>
      <c r="D165" s="769"/>
      <c r="E165" s="779"/>
      <c r="F165" s="779"/>
      <c r="G165" s="770"/>
      <c r="H165" s="934">
        <f>SUM(H156:H164)</f>
        <v>1915359.8992999999</v>
      </c>
      <c r="I165" s="1600"/>
      <c r="J165" s="1633">
        <f>L165/H165</f>
        <v>0.76545803226632281</v>
      </c>
      <c r="K165" s="1600"/>
      <c r="L165" s="934">
        <f>SUM(L156:L164)</f>
        <v>1466127.6196000001</v>
      </c>
    </row>
    <row r="166" spans="2:12">
      <c r="B166" s="916"/>
      <c r="C166" s="917" t="s">
        <v>5165</v>
      </c>
      <c r="D166" s="918"/>
      <c r="E166" s="919"/>
      <c r="F166" s="919"/>
      <c r="G166" s="919"/>
      <c r="H166" s="944">
        <f>H165*15%</f>
        <v>287303.984895</v>
      </c>
      <c r="I166" s="1600"/>
      <c r="J166" s="1600"/>
      <c r="K166" s="1600"/>
      <c r="L166" s="944">
        <f>L165*15%</f>
        <v>219919.14294000002</v>
      </c>
    </row>
    <row r="167" spans="2:12">
      <c r="B167" s="916"/>
      <c r="C167" s="917"/>
      <c r="D167" s="918"/>
      <c r="E167" s="919"/>
      <c r="F167" s="919"/>
      <c r="G167" s="919"/>
      <c r="H167" s="946">
        <f>SUM(H165:H166)</f>
        <v>2202663.8841949999</v>
      </c>
      <c r="I167" s="1636"/>
      <c r="J167" s="1636"/>
      <c r="K167" s="1637"/>
      <c r="L167" s="946">
        <f>SUM(L165:L166)</f>
        <v>1686046.76254</v>
      </c>
    </row>
  </sheetData>
  <mergeCells count="59">
    <mergeCell ref="C5:D5"/>
    <mergeCell ref="C17:D17"/>
    <mergeCell ref="F47:G47"/>
    <mergeCell ref="F51:G51"/>
    <mergeCell ref="C41:D41"/>
    <mergeCell ref="F9:G9"/>
    <mergeCell ref="F13:G13"/>
    <mergeCell ref="C14:G14"/>
    <mergeCell ref="F27:G27"/>
    <mergeCell ref="C38:G38"/>
    <mergeCell ref="C31:D31"/>
    <mergeCell ref="C32:D32"/>
    <mergeCell ref="C33:D33"/>
    <mergeCell ref="C36:D36"/>
    <mergeCell ref="C34:D34"/>
    <mergeCell ref="C35:D35"/>
    <mergeCell ref="B71:B72"/>
    <mergeCell ref="C71:D72"/>
    <mergeCell ref="E71:E72"/>
    <mergeCell ref="F71:F72"/>
    <mergeCell ref="C52:G52"/>
    <mergeCell ref="B55:B56"/>
    <mergeCell ref="C66:G66"/>
    <mergeCell ref="C67:D67"/>
    <mergeCell ref="C68:G68"/>
    <mergeCell ref="C55:D56"/>
    <mergeCell ref="E55:E56"/>
    <mergeCell ref="F55:F56"/>
    <mergeCell ref="C60:G60"/>
    <mergeCell ref="C63:G63"/>
    <mergeCell ref="C65:D65"/>
    <mergeCell ref="B87:B88"/>
    <mergeCell ref="C87:D88"/>
    <mergeCell ref="E87:E88"/>
    <mergeCell ref="F87:F88"/>
    <mergeCell ref="C75:G75"/>
    <mergeCell ref="C79:G79"/>
    <mergeCell ref="C81:D81"/>
    <mergeCell ref="C82:G82"/>
    <mergeCell ref="C83:D83"/>
    <mergeCell ref="C84:G84"/>
    <mergeCell ref="C125:G125"/>
    <mergeCell ref="C117:G117"/>
    <mergeCell ref="C120:G120"/>
    <mergeCell ref="C122:D122"/>
    <mergeCell ref="C123:G123"/>
    <mergeCell ref="C124:D124"/>
    <mergeCell ref="C107:G107"/>
    <mergeCell ref="C94:G94"/>
    <mergeCell ref="C102:G102"/>
    <mergeCell ref="C104:D104"/>
    <mergeCell ref="C105:G105"/>
    <mergeCell ref="C106:D106"/>
    <mergeCell ref="C163:D163"/>
    <mergeCell ref="C164:D164"/>
    <mergeCell ref="C136:D136"/>
    <mergeCell ref="C137:D137"/>
    <mergeCell ref="C149:D149"/>
    <mergeCell ref="C150:D150"/>
  </mergeCells>
  <pageMargins left="0.75" right="0" top="0.75" bottom="0.75" header="0" footer="0"/>
  <pageSetup paperSize="9" scale="85" orientation="portrait" horizontalDpi="360" verticalDpi="360" r:id="rId1"/>
  <rowBreaks count="1" manualBreakCount="1">
    <brk id="141" min="1" max="11" man="1"/>
  </rowBreak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62"/>
  <dimension ref="A1:G45"/>
  <sheetViews>
    <sheetView workbookViewId="0">
      <selection activeCell="G45" sqref="A1:G45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2243</v>
      </c>
    </row>
    <row r="3" spans="1:7" ht="34.950000000000003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5" customHeight="1">
      <c r="A5" s="5"/>
      <c r="B5" s="3" t="s">
        <v>673</v>
      </c>
      <c r="C5" s="3" t="s">
        <v>674</v>
      </c>
      <c r="D5" s="12" t="s">
        <v>675</v>
      </c>
      <c r="E5" s="12" t="s">
        <v>1166</v>
      </c>
      <c r="F5" s="5"/>
      <c r="G5" s="5"/>
    </row>
    <row r="6" spans="1:7" ht="13.65" customHeight="1">
      <c r="A6" s="5"/>
      <c r="B6" s="3" t="s">
        <v>816</v>
      </c>
      <c r="C6" s="3" t="s">
        <v>678</v>
      </c>
      <c r="D6" s="12" t="s">
        <v>675</v>
      </c>
      <c r="E6" s="12" t="s">
        <v>717</v>
      </c>
      <c r="F6" s="5"/>
      <c r="G6" s="5"/>
    </row>
    <row r="7" spans="1:7" ht="13.65" customHeight="1">
      <c r="A7" s="5"/>
      <c r="B7" s="3" t="s">
        <v>751</v>
      </c>
      <c r="C7" s="3" t="s">
        <v>681</v>
      </c>
      <c r="D7" s="12" t="s">
        <v>675</v>
      </c>
      <c r="E7" s="3" t="s">
        <v>795</v>
      </c>
      <c r="F7" s="5"/>
      <c r="G7" s="5"/>
    </row>
    <row r="8" spans="1:7" ht="13.95" customHeight="1">
      <c r="A8" s="5"/>
      <c r="B8" s="3" t="s">
        <v>683</v>
      </c>
      <c r="C8" s="3" t="s">
        <v>684</v>
      </c>
      <c r="D8" s="12" t="s">
        <v>675</v>
      </c>
      <c r="E8" s="3" t="s">
        <v>795</v>
      </c>
      <c r="F8" s="5"/>
      <c r="G8" s="5"/>
    </row>
    <row r="9" spans="1:7" ht="12" customHeight="1">
      <c r="A9" s="5"/>
      <c r="B9" s="5"/>
      <c r="C9" s="5"/>
      <c r="D9" s="5"/>
      <c r="E9" s="2474" t="s">
        <v>685</v>
      </c>
      <c r="F9" s="2474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65" customHeight="1">
      <c r="A11" s="5"/>
      <c r="B11" s="3" t="s">
        <v>1163</v>
      </c>
      <c r="C11" s="5"/>
      <c r="D11" s="12" t="s">
        <v>743</v>
      </c>
      <c r="E11" s="3" t="s">
        <v>1167</v>
      </c>
      <c r="F11" s="5"/>
      <c r="G11" s="5"/>
    </row>
    <row r="12" spans="1:7" ht="13.95" customHeight="1">
      <c r="A12" s="5"/>
      <c r="B12" s="3" t="s">
        <v>738</v>
      </c>
      <c r="C12" s="5"/>
      <c r="D12" s="12" t="s">
        <v>690</v>
      </c>
      <c r="E12" s="12" t="s">
        <v>1165</v>
      </c>
      <c r="F12" s="5"/>
      <c r="G12" s="5"/>
    </row>
    <row r="13" spans="1:7" ht="13.65" customHeight="1">
      <c r="A13" s="5"/>
      <c r="B13" s="3" t="s">
        <v>808</v>
      </c>
      <c r="C13" s="5"/>
      <c r="D13" s="12" t="s">
        <v>881</v>
      </c>
      <c r="E13" s="3" t="s">
        <v>865</v>
      </c>
      <c r="F13" s="5"/>
      <c r="G13" s="5"/>
    </row>
    <row r="14" spans="1:7" ht="13.65" customHeight="1">
      <c r="A14" s="5"/>
      <c r="B14" s="3" t="s">
        <v>1100</v>
      </c>
      <c r="C14" s="5"/>
      <c r="D14" s="12" t="s">
        <v>690</v>
      </c>
      <c r="E14" s="12" t="s">
        <v>1168</v>
      </c>
      <c r="F14" s="5"/>
      <c r="G14" s="5"/>
    </row>
    <row r="15" spans="1:7" ht="12" customHeight="1">
      <c r="A15" s="5"/>
      <c r="B15" s="5"/>
      <c r="C15" s="5"/>
      <c r="D15" s="5"/>
      <c r="E15" s="2474" t="s">
        <v>702</v>
      </c>
      <c r="F15" s="2474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2474" t="s">
        <v>705</v>
      </c>
      <c r="F18" s="2474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2474" t="s">
        <v>707</v>
      </c>
      <c r="C20" s="2474"/>
      <c r="D20" s="2474"/>
      <c r="E20" s="2474"/>
      <c r="F20" s="2474"/>
      <c r="G20" s="5"/>
    </row>
    <row r="21" spans="1:7" ht="12" customHeight="1">
      <c r="A21" s="12" t="s">
        <v>708</v>
      </c>
      <c r="B21" s="2471" t="s">
        <v>876</v>
      </c>
      <c r="C21" s="2471"/>
      <c r="D21" s="2471"/>
      <c r="E21" s="2472" t="s">
        <v>710</v>
      </c>
      <c r="F21" s="2472"/>
      <c r="G21" s="5"/>
    </row>
    <row r="22" spans="1:7" ht="12" customHeight="1">
      <c r="A22" s="12" t="s">
        <v>711</v>
      </c>
      <c r="B22" s="2473" t="s">
        <v>712</v>
      </c>
      <c r="C22" s="2473"/>
      <c r="D22" s="2473"/>
      <c r="E22" s="2473"/>
      <c r="F22" s="2473"/>
      <c r="G22" s="5"/>
    </row>
    <row r="23" spans="1:7" ht="12" customHeight="1">
      <c r="A23" s="12"/>
      <c r="B23" s="26"/>
      <c r="C23" s="26"/>
      <c r="D23" s="26"/>
      <c r="E23" s="26"/>
      <c r="F23" s="26"/>
      <c r="G23" s="5"/>
    </row>
    <row r="24" spans="1:7" ht="12" customHeight="1">
      <c r="A24" s="50" t="s">
        <v>2244</v>
      </c>
      <c r="B24" s="26"/>
      <c r="C24" s="26"/>
      <c r="D24" s="26"/>
      <c r="E24" s="26"/>
      <c r="F24" s="26"/>
      <c r="G24" s="5"/>
    </row>
    <row r="25" spans="1:7" ht="12" customHeight="1">
      <c r="A25" s="12"/>
      <c r="B25" s="26"/>
      <c r="C25" s="26"/>
      <c r="D25" s="26"/>
      <c r="E25" s="26"/>
      <c r="F25" s="26"/>
      <c r="G25" s="5"/>
    </row>
    <row r="26" spans="1:7" ht="34.950000000000003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95" customHeight="1">
      <c r="A28" s="5"/>
      <c r="B28" s="3" t="s">
        <v>673</v>
      </c>
      <c r="C28" s="3" t="s">
        <v>674</v>
      </c>
      <c r="D28" s="12" t="s">
        <v>675</v>
      </c>
      <c r="E28" s="12" t="s">
        <v>1166</v>
      </c>
      <c r="F28" s="5"/>
      <c r="G28" s="5"/>
    </row>
    <row r="29" spans="1:7" ht="13.65" customHeight="1">
      <c r="A29" s="5"/>
      <c r="B29" s="3" t="s">
        <v>816</v>
      </c>
      <c r="C29" s="3" t="s">
        <v>678</v>
      </c>
      <c r="D29" s="12" t="s">
        <v>675</v>
      </c>
      <c r="E29" s="12" t="s">
        <v>717</v>
      </c>
      <c r="F29" s="5"/>
      <c r="G29" s="5"/>
    </row>
    <row r="30" spans="1:7" ht="13.95" customHeight="1">
      <c r="A30" s="5"/>
      <c r="B30" s="3" t="s">
        <v>751</v>
      </c>
      <c r="C30" s="3" t="s">
        <v>681</v>
      </c>
      <c r="D30" s="12" t="s">
        <v>675</v>
      </c>
      <c r="E30" s="3" t="s">
        <v>795</v>
      </c>
      <c r="F30" s="5"/>
      <c r="G30" s="5"/>
    </row>
    <row r="31" spans="1:7" ht="13.65" customHeight="1">
      <c r="A31" s="5"/>
      <c r="B31" s="3" t="s">
        <v>683</v>
      </c>
      <c r="C31" s="3" t="s">
        <v>684</v>
      </c>
      <c r="D31" s="12" t="s">
        <v>675</v>
      </c>
      <c r="E31" s="3" t="s">
        <v>795</v>
      </c>
      <c r="F31" s="5"/>
      <c r="G31" s="5"/>
    </row>
    <row r="32" spans="1:7" ht="12" customHeight="1">
      <c r="A32" s="5"/>
      <c r="B32" s="5"/>
      <c r="C32" s="5"/>
      <c r="D32" s="5"/>
      <c r="E32" s="2474" t="s">
        <v>685</v>
      </c>
      <c r="F32" s="2474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65" customHeight="1">
      <c r="A34" s="5"/>
      <c r="B34" s="3" t="s">
        <v>1169</v>
      </c>
      <c r="C34" s="5"/>
      <c r="D34" s="12" t="s">
        <v>743</v>
      </c>
      <c r="E34" s="3" t="s">
        <v>1135</v>
      </c>
      <c r="F34" s="5"/>
      <c r="G34" s="5"/>
    </row>
    <row r="35" spans="1:7" ht="13.95" customHeight="1">
      <c r="A35" s="5"/>
      <c r="B35" s="3" t="s">
        <v>818</v>
      </c>
      <c r="C35" s="5"/>
      <c r="D35" s="12" t="s">
        <v>690</v>
      </c>
      <c r="E35" s="12" t="s">
        <v>1165</v>
      </c>
      <c r="F35" s="5"/>
      <c r="G35" s="5"/>
    </row>
    <row r="36" spans="1:7" ht="13.65" customHeight="1">
      <c r="A36" s="5"/>
      <c r="B36" s="3" t="s">
        <v>808</v>
      </c>
      <c r="C36" s="5"/>
      <c r="D36" s="12" t="s">
        <v>881</v>
      </c>
      <c r="E36" s="3" t="s">
        <v>865</v>
      </c>
      <c r="F36" s="5"/>
      <c r="G36" s="5"/>
    </row>
    <row r="37" spans="1:7" ht="13.65" customHeight="1">
      <c r="A37" s="5"/>
      <c r="B37" s="3" t="s">
        <v>1100</v>
      </c>
      <c r="C37" s="5"/>
      <c r="D37" s="12" t="s">
        <v>690</v>
      </c>
      <c r="E37" s="12" t="s">
        <v>1137</v>
      </c>
      <c r="F37" s="5"/>
      <c r="G37" s="5"/>
    </row>
    <row r="38" spans="1:7" ht="12" customHeight="1">
      <c r="A38" s="5"/>
      <c r="B38" s="5"/>
      <c r="C38" s="5"/>
      <c r="D38" s="5"/>
      <c r="E38" s="2474" t="s">
        <v>702</v>
      </c>
      <c r="F38" s="2474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2474" t="s">
        <v>705</v>
      </c>
      <c r="F41" s="2474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2474" t="s">
        <v>707</v>
      </c>
      <c r="C43" s="2474"/>
      <c r="D43" s="2474"/>
      <c r="E43" s="2474"/>
      <c r="F43" s="2474"/>
      <c r="G43" s="5"/>
    </row>
    <row r="44" spans="1:7" ht="12" customHeight="1">
      <c r="A44" s="12" t="s">
        <v>708</v>
      </c>
      <c r="B44" s="2471" t="s">
        <v>876</v>
      </c>
      <c r="C44" s="2471"/>
      <c r="D44" s="2471"/>
      <c r="E44" s="2472" t="s">
        <v>710</v>
      </c>
      <c r="F44" s="2472"/>
      <c r="G44" s="5"/>
    </row>
    <row r="45" spans="1:7" ht="12" customHeight="1">
      <c r="A45" s="12" t="s">
        <v>711</v>
      </c>
      <c r="B45" s="2473" t="s">
        <v>712</v>
      </c>
      <c r="C45" s="2473"/>
      <c r="D45" s="2473"/>
      <c r="E45" s="2473"/>
      <c r="F45" s="2473"/>
      <c r="G45" s="5"/>
    </row>
  </sheetData>
  <mergeCells count="14">
    <mergeCell ref="E9:F9"/>
    <mergeCell ref="E15:F15"/>
    <mergeCell ref="E18:F18"/>
    <mergeCell ref="B20:F20"/>
    <mergeCell ref="B21:D21"/>
    <mergeCell ref="E21:F21"/>
    <mergeCell ref="B44:D44"/>
    <mergeCell ref="E44:F44"/>
    <mergeCell ref="B45:F45"/>
    <mergeCell ref="B22:F22"/>
    <mergeCell ref="E32:F32"/>
    <mergeCell ref="E38:F38"/>
    <mergeCell ref="E41:F41"/>
    <mergeCell ref="B43:F43"/>
  </mergeCell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63"/>
  <dimension ref="A1:G45"/>
  <sheetViews>
    <sheetView workbookViewId="0">
      <selection activeCell="G45" sqref="A1:G45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2245</v>
      </c>
    </row>
    <row r="3" spans="1:7" ht="34.950000000000003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5" customHeight="1">
      <c r="A5" s="5"/>
      <c r="B5" s="3" t="s">
        <v>673</v>
      </c>
      <c r="C5" s="3" t="s">
        <v>674</v>
      </c>
      <c r="D5" s="12" t="s">
        <v>675</v>
      </c>
      <c r="E5" s="12" t="s">
        <v>1166</v>
      </c>
      <c r="F5" s="5"/>
      <c r="G5" s="5"/>
    </row>
    <row r="6" spans="1:7" ht="13.65" customHeight="1">
      <c r="A6" s="5"/>
      <c r="B6" s="3" t="s">
        <v>816</v>
      </c>
      <c r="C6" s="3" t="s">
        <v>678</v>
      </c>
      <c r="D6" s="12" t="s">
        <v>675</v>
      </c>
      <c r="E6" s="12" t="s">
        <v>717</v>
      </c>
      <c r="F6" s="5"/>
      <c r="G6" s="5"/>
    </row>
    <row r="7" spans="1:7" ht="13.65" customHeight="1">
      <c r="A7" s="5"/>
      <c r="B7" s="3" t="s">
        <v>751</v>
      </c>
      <c r="C7" s="3" t="s">
        <v>681</v>
      </c>
      <c r="D7" s="12" t="s">
        <v>675</v>
      </c>
      <c r="E7" s="3" t="s">
        <v>795</v>
      </c>
      <c r="F7" s="5"/>
      <c r="G7" s="5"/>
    </row>
    <row r="8" spans="1:7" ht="13.95" customHeight="1">
      <c r="A8" s="5"/>
      <c r="B8" s="3" t="s">
        <v>683</v>
      </c>
      <c r="C8" s="3" t="s">
        <v>684</v>
      </c>
      <c r="D8" s="12" t="s">
        <v>675</v>
      </c>
      <c r="E8" s="3" t="s">
        <v>795</v>
      </c>
      <c r="F8" s="5"/>
      <c r="G8" s="5"/>
    </row>
    <row r="9" spans="1:7" ht="12" customHeight="1">
      <c r="A9" s="5"/>
      <c r="B9" s="5"/>
      <c r="C9" s="5"/>
      <c r="D9" s="5"/>
      <c r="E9" s="2474" t="s">
        <v>685</v>
      </c>
      <c r="F9" s="2474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65" customHeight="1">
      <c r="A11" s="5"/>
      <c r="B11" s="3" t="s">
        <v>1169</v>
      </c>
      <c r="C11" s="5"/>
      <c r="D11" s="12" t="s">
        <v>743</v>
      </c>
      <c r="E11" s="3" t="s">
        <v>1138</v>
      </c>
      <c r="F11" s="5"/>
      <c r="G11" s="5"/>
    </row>
    <row r="12" spans="1:7" ht="13.95" customHeight="1">
      <c r="A12" s="5"/>
      <c r="B12" s="3" t="s">
        <v>818</v>
      </c>
      <c r="C12" s="5"/>
      <c r="D12" s="12" t="s">
        <v>690</v>
      </c>
      <c r="E12" s="12" t="s">
        <v>1165</v>
      </c>
      <c r="F12" s="5"/>
      <c r="G12" s="5"/>
    </row>
    <row r="13" spans="1:7" ht="13.65" customHeight="1">
      <c r="A13" s="5"/>
      <c r="B13" s="3" t="s">
        <v>808</v>
      </c>
      <c r="C13" s="5"/>
      <c r="D13" s="12" t="s">
        <v>881</v>
      </c>
      <c r="E13" s="3" t="s">
        <v>865</v>
      </c>
      <c r="F13" s="5"/>
      <c r="G13" s="5"/>
    </row>
    <row r="14" spans="1:7" ht="13.65" customHeight="1">
      <c r="A14" s="5"/>
      <c r="B14" s="3" t="s">
        <v>1100</v>
      </c>
      <c r="C14" s="5"/>
      <c r="D14" s="12" t="s">
        <v>690</v>
      </c>
      <c r="E14" s="12" t="s">
        <v>1170</v>
      </c>
      <c r="F14" s="5"/>
      <c r="G14" s="5"/>
    </row>
    <row r="15" spans="1:7" ht="12" customHeight="1">
      <c r="A15" s="5"/>
      <c r="B15" s="5"/>
      <c r="C15" s="5"/>
      <c r="D15" s="5"/>
      <c r="E15" s="2474" t="s">
        <v>702</v>
      </c>
      <c r="F15" s="2474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2474" t="s">
        <v>705</v>
      </c>
      <c r="F18" s="2474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2474" t="s">
        <v>707</v>
      </c>
      <c r="C20" s="2474"/>
      <c r="D20" s="2474"/>
      <c r="E20" s="2474"/>
      <c r="F20" s="2474"/>
      <c r="G20" s="5"/>
    </row>
    <row r="21" spans="1:7" ht="12" customHeight="1">
      <c r="A21" s="12" t="s">
        <v>708</v>
      </c>
      <c r="B21" s="2471" t="s">
        <v>876</v>
      </c>
      <c r="C21" s="2471"/>
      <c r="D21" s="2471"/>
      <c r="E21" s="2472" t="s">
        <v>710</v>
      </c>
      <c r="F21" s="2472"/>
      <c r="G21" s="5"/>
    </row>
    <row r="22" spans="1:7" ht="12" customHeight="1">
      <c r="A22" s="12" t="s">
        <v>711</v>
      </c>
      <c r="B22" s="2473" t="s">
        <v>712</v>
      </c>
      <c r="C22" s="2473"/>
      <c r="D22" s="2473"/>
      <c r="E22" s="2473"/>
      <c r="F22" s="2473"/>
      <c r="G22" s="5"/>
    </row>
    <row r="23" spans="1:7" ht="12" customHeight="1">
      <c r="A23" s="12"/>
      <c r="B23" s="26"/>
      <c r="C23" s="26"/>
      <c r="D23" s="26"/>
      <c r="E23" s="26"/>
      <c r="F23" s="26"/>
      <c r="G23" s="5"/>
    </row>
    <row r="24" spans="1:7" ht="12" customHeight="1">
      <c r="A24" s="50" t="s">
        <v>2246</v>
      </c>
      <c r="B24" s="26"/>
      <c r="C24" s="26"/>
      <c r="D24" s="26"/>
      <c r="E24" s="26"/>
      <c r="F24" s="26"/>
      <c r="G24" s="5"/>
    </row>
    <row r="25" spans="1:7" ht="12" customHeight="1">
      <c r="A25" s="12"/>
      <c r="B25" s="26"/>
      <c r="C25" s="26"/>
      <c r="D25" s="26"/>
      <c r="E25" s="26"/>
      <c r="F25" s="26"/>
      <c r="G25" s="5"/>
    </row>
    <row r="26" spans="1:7" ht="34.950000000000003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95" customHeight="1">
      <c r="A28" s="5"/>
      <c r="B28" s="3" t="s">
        <v>673</v>
      </c>
      <c r="C28" s="3" t="s">
        <v>674</v>
      </c>
      <c r="D28" s="12" t="s">
        <v>675</v>
      </c>
      <c r="E28" s="12" t="s">
        <v>1166</v>
      </c>
      <c r="F28" s="5"/>
      <c r="G28" s="5"/>
    </row>
    <row r="29" spans="1:7" ht="13.65" customHeight="1">
      <c r="A29" s="5"/>
      <c r="B29" s="3" t="s">
        <v>816</v>
      </c>
      <c r="C29" s="3" t="s">
        <v>678</v>
      </c>
      <c r="D29" s="12" t="s">
        <v>675</v>
      </c>
      <c r="E29" s="12" t="s">
        <v>717</v>
      </c>
      <c r="F29" s="5"/>
      <c r="G29" s="5"/>
    </row>
    <row r="30" spans="1:7" ht="13.95" customHeight="1">
      <c r="A30" s="5"/>
      <c r="B30" s="3" t="s">
        <v>751</v>
      </c>
      <c r="C30" s="3" t="s">
        <v>681</v>
      </c>
      <c r="D30" s="12" t="s">
        <v>675</v>
      </c>
      <c r="E30" s="3" t="s">
        <v>795</v>
      </c>
      <c r="F30" s="5"/>
      <c r="G30" s="5"/>
    </row>
    <row r="31" spans="1:7" ht="13.65" customHeight="1">
      <c r="A31" s="5"/>
      <c r="B31" s="3" t="s">
        <v>683</v>
      </c>
      <c r="C31" s="3" t="s">
        <v>684</v>
      </c>
      <c r="D31" s="12" t="s">
        <v>675</v>
      </c>
      <c r="E31" s="3" t="s">
        <v>795</v>
      </c>
      <c r="F31" s="5"/>
      <c r="G31" s="5"/>
    </row>
    <row r="32" spans="1:7" ht="12" customHeight="1">
      <c r="A32" s="5"/>
      <c r="B32" s="5"/>
      <c r="C32" s="5"/>
      <c r="D32" s="5"/>
      <c r="E32" s="2474" t="s">
        <v>685</v>
      </c>
      <c r="F32" s="2474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65" customHeight="1">
      <c r="A34" s="5"/>
      <c r="B34" s="3" t="s">
        <v>1169</v>
      </c>
      <c r="C34" s="5"/>
      <c r="D34" s="12" t="s">
        <v>743</v>
      </c>
      <c r="E34" s="3" t="s">
        <v>1135</v>
      </c>
      <c r="F34" s="5"/>
      <c r="G34" s="5"/>
    </row>
    <row r="35" spans="1:7" ht="13.95" customHeight="1">
      <c r="A35" s="5"/>
      <c r="B35" s="3" t="s">
        <v>818</v>
      </c>
      <c r="C35" s="5"/>
      <c r="D35" s="12" t="s">
        <v>690</v>
      </c>
      <c r="E35" s="12" t="s">
        <v>1165</v>
      </c>
      <c r="F35" s="5"/>
      <c r="G35" s="5"/>
    </row>
    <row r="36" spans="1:7" ht="13.65" customHeight="1">
      <c r="A36" s="5"/>
      <c r="B36" s="3" t="s">
        <v>808</v>
      </c>
      <c r="C36" s="5"/>
      <c r="D36" s="12" t="s">
        <v>881</v>
      </c>
      <c r="E36" s="3" t="s">
        <v>865</v>
      </c>
      <c r="F36" s="5"/>
      <c r="G36" s="5"/>
    </row>
    <row r="37" spans="1:7" ht="13.65" customHeight="1">
      <c r="A37" s="5"/>
      <c r="B37" s="3" t="s">
        <v>1100</v>
      </c>
      <c r="C37" s="5"/>
      <c r="D37" s="12" t="s">
        <v>690</v>
      </c>
      <c r="E37" s="12" t="s">
        <v>1137</v>
      </c>
      <c r="F37" s="5"/>
      <c r="G37" s="5"/>
    </row>
    <row r="38" spans="1:7" ht="12" customHeight="1">
      <c r="A38" s="5"/>
      <c r="B38" s="5"/>
      <c r="C38" s="5"/>
      <c r="D38" s="5"/>
      <c r="E38" s="2474" t="s">
        <v>702</v>
      </c>
      <c r="F38" s="2474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2474" t="s">
        <v>705</v>
      </c>
      <c r="F41" s="2474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2474" t="s">
        <v>707</v>
      </c>
      <c r="C43" s="2474"/>
      <c r="D43" s="2474"/>
      <c r="E43" s="2474"/>
      <c r="F43" s="2474"/>
      <c r="G43" s="5"/>
    </row>
    <row r="44" spans="1:7" ht="12" customHeight="1">
      <c r="A44" s="12" t="s">
        <v>708</v>
      </c>
      <c r="B44" s="2471" t="s">
        <v>876</v>
      </c>
      <c r="C44" s="2471"/>
      <c r="D44" s="2471"/>
      <c r="E44" s="2472" t="s">
        <v>710</v>
      </c>
      <c r="F44" s="2472"/>
      <c r="G44" s="5"/>
    </row>
    <row r="45" spans="1:7" ht="12" customHeight="1">
      <c r="A45" s="12" t="s">
        <v>711</v>
      </c>
      <c r="B45" s="2473" t="s">
        <v>712</v>
      </c>
      <c r="C45" s="2473"/>
      <c r="D45" s="2473"/>
      <c r="E45" s="2473"/>
      <c r="F45" s="2473"/>
      <c r="G45" s="5"/>
    </row>
  </sheetData>
  <mergeCells count="14">
    <mergeCell ref="E9:F9"/>
    <mergeCell ref="E15:F15"/>
    <mergeCell ref="E18:F18"/>
    <mergeCell ref="B20:F20"/>
    <mergeCell ref="B21:D21"/>
    <mergeCell ref="E21:F21"/>
    <mergeCell ref="B44:D44"/>
    <mergeCell ref="E44:F44"/>
    <mergeCell ref="B45:F45"/>
    <mergeCell ref="B22:F22"/>
    <mergeCell ref="E32:F32"/>
    <mergeCell ref="E38:F38"/>
    <mergeCell ref="E41:F41"/>
    <mergeCell ref="B43:F43"/>
  </mergeCell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64"/>
  <dimension ref="A1:G46"/>
  <sheetViews>
    <sheetView workbookViewId="0">
      <selection activeCell="G46" sqref="A1:G46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2247</v>
      </c>
    </row>
    <row r="3" spans="1:7" ht="34.950000000000003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5" customHeight="1">
      <c r="A5" s="5"/>
      <c r="B5" s="3" t="s">
        <v>673</v>
      </c>
      <c r="C5" s="3" t="s">
        <v>674</v>
      </c>
      <c r="D5" s="12" t="s">
        <v>675</v>
      </c>
      <c r="E5" s="12" t="s">
        <v>1166</v>
      </c>
      <c r="F5" s="5"/>
      <c r="G5" s="5"/>
    </row>
    <row r="6" spans="1:7" ht="13.65" customHeight="1">
      <c r="A6" s="5"/>
      <c r="B6" s="3" t="s">
        <v>816</v>
      </c>
      <c r="C6" s="3" t="s">
        <v>678</v>
      </c>
      <c r="D6" s="12" t="s">
        <v>675</v>
      </c>
      <c r="E6" s="12" t="s">
        <v>717</v>
      </c>
      <c r="F6" s="5"/>
      <c r="G6" s="5"/>
    </row>
    <row r="7" spans="1:7" ht="13.65" customHeight="1">
      <c r="A7" s="5"/>
      <c r="B7" s="3" t="s">
        <v>751</v>
      </c>
      <c r="C7" s="3" t="s">
        <v>681</v>
      </c>
      <c r="D7" s="12" t="s">
        <v>675</v>
      </c>
      <c r="E7" s="3" t="s">
        <v>795</v>
      </c>
      <c r="F7" s="5"/>
      <c r="G7" s="5"/>
    </row>
    <row r="8" spans="1:7" ht="13.95" customHeight="1">
      <c r="A8" s="5"/>
      <c r="B8" s="3" t="s">
        <v>683</v>
      </c>
      <c r="C8" s="3" t="s">
        <v>684</v>
      </c>
      <c r="D8" s="12" t="s">
        <v>675</v>
      </c>
      <c r="E8" s="3" t="s">
        <v>795</v>
      </c>
      <c r="F8" s="5"/>
      <c r="G8" s="5"/>
    </row>
    <row r="9" spans="1:7" ht="12" customHeight="1">
      <c r="A9" s="5"/>
      <c r="B9" s="5"/>
      <c r="C9" s="5"/>
      <c r="D9" s="5"/>
      <c r="E9" s="2474" t="s">
        <v>685</v>
      </c>
      <c r="F9" s="2474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65" customHeight="1">
      <c r="A11" s="5"/>
      <c r="B11" s="3" t="s">
        <v>1169</v>
      </c>
      <c r="C11" s="5"/>
      <c r="D11" s="12" t="s">
        <v>743</v>
      </c>
      <c r="E11" s="3" t="s">
        <v>1097</v>
      </c>
      <c r="F11" s="5"/>
      <c r="G11" s="5"/>
    </row>
    <row r="12" spans="1:7" ht="13.95" customHeight="1">
      <c r="A12" s="5"/>
      <c r="B12" s="3" t="s">
        <v>818</v>
      </c>
      <c r="C12" s="5"/>
      <c r="D12" s="12" t="s">
        <v>690</v>
      </c>
      <c r="E12" s="12" t="s">
        <v>1165</v>
      </c>
      <c r="F12" s="5"/>
      <c r="G12" s="5"/>
    </row>
    <row r="13" spans="1:7" ht="13.65" customHeight="1">
      <c r="A13" s="5"/>
      <c r="B13" s="3" t="s">
        <v>808</v>
      </c>
      <c r="C13" s="5"/>
      <c r="D13" s="12" t="s">
        <v>881</v>
      </c>
      <c r="E13" s="3" t="s">
        <v>865</v>
      </c>
      <c r="F13" s="5"/>
      <c r="G13" s="5"/>
    </row>
    <row r="14" spans="1:7" ht="13.65" customHeight="1">
      <c r="A14" s="5"/>
      <c r="B14" s="3" t="s">
        <v>1100</v>
      </c>
      <c r="C14" s="5"/>
      <c r="D14" s="12" t="s">
        <v>690</v>
      </c>
      <c r="E14" s="12" t="s">
        <v>1168</v>
      </c>
      <c r="F14" s="5"/>
      <c r="G14" s="5"/>
    </row>
    <row r="15" spans="1:7" ht="12" customHeight="1">
      <c r="A15" s="5"/>
      <c r="B15" s="5"/>
      <c r="C15" s="5"/>
      <c r="D15" s="5"/>
      <c r="E15" s="2474" t="s">
        <v>702</v>
      </c>
      <c r="F15" s="2474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2474" t="s">
        <v>705</v>
      </c>
      <c r="F18" s="2474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2474" t="s">
        <v>707</v>
      </c>
      <c r="C20" s="2474"/>
      <c r="D20" s="2474"/>
      <c r="E20" s="2474"/>
      <c r="F20" s="2474"/>
      <c r="G20" s="5"/>
    </row>
    <row r="21" spans="1:7" ht="12" customHeight="1">
      <c r="A21" s="12" t="s">
        <v>708</v>
      </c>
      <c r="B21" s="2471" t="s">
        <v>876</v>
      </c>
      <c r="C21" s="2471"/>
      <c r="D21" s="2471"/>
      <c r="E21" s="2472" t="s">
        <v>710</v>
      </c>
      <c r="F21" s="2472"/>
      <c r="G21" s="5"/>
    </row>
    <row r="22" spans="1:7" ht="12" customHeight="1">
      <c r="A22" s="12" t="s">
        <v>711</v>
      </c>
      <c r="B22" s="2473" t="s">
        <v>712</v>
      </c>
      <c r="C22" s="2473"/>
      <c r="D22" s="2473"/>
      <c r="E22" s="2473"/>
      <c r="F22" s="2473"/>
      <c r="G22" s="5"/>
    </row>
    <row r="23" spans="1:7" ht="12" customHeight="1">
      <c r="A23" s="12"/>
      <c r="B23" s="26"/>
      <c r="C23" s="26"/>
      <c r="D23" s="26"/>
      <c r="E23" s="26"/>
      <c r="F23" s="26"/>
      <c r="G23" s="5"/>
    </row>
    <row r="24" spans="1:7" ht="12" customHeight="1">
      <c r="A24" s="50" t="s">
        <v>2248</v>
      </c>
      <c r="B24" s="26"/>
      <c r="C24" s="26"/>
      <c r="D24" s="26"/>
      <c r="E24" s="26"/>
      <c r="F24" s="26"/>
      <c r="G24" s="5"/>
    </row>
    <row r="25" spans="1:7" ht="12" customHeight="1">
      <c r="A25" s="12"/>
      <c r="B25" s="26"/>
      <c r="C25" s="26"/>
      <c r="D25" s="26"/>
      <c r="E25" s="26"/>
      <c r="F25" s="26"/>
      <c r="G25" s="5"/>
    </row>
    <row r="26" spans="1:7" ht="35.1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65" customHeight="1">
      <c r="A28" s="5"/>
      <c r="B28" s="3" t="s">
        <v>673</v>
      </c>
      <c r="C28" s="3" t="s">
        <v>674</v>
      </c>
      <c r="D28" s="12" t="s">
        <v>675</v>
      </c>
      <c r="E28" s="12" t="s">
        <v>1101</v>
      </c>
      <c r="F28" s="5"/>
      <c r="G28" s="5"/>
    </row>
    <row r="29" spans="1:7" ht="13.65" customHeight="1">
      <c r="A29" s="5"/>
      <c r="B29" s="3" t="s">
        <v>816</v>
      </c>
      <c r="C29" s="3" t="s">
        <v>678</v>
      </c>
      <c r="D29" s="12" t="s">
        <v>675</v>
      </c>
      <c r="E29" s="12" t="s">
        <v>1153</v>
      </c>
      <c r="F29" s="5"/>
      <c r="G29" s="5"/>
    </row>
    <row r="30" spans="1:7" ht="13.95" customHeight="1">
      <c r="A30" s="5"/>
      <c r="B30" s="3" t="s">
        <v>751</v>
      </c>
      <c r="C30" s="3" t="s">
        <v>681</v>
      </c>
      <c r="D30" s="12" t="s">
        <v>675</v>
      </c>
      <c r="E30" s="3" t="s">
        <v>957</v>
      </c>
      <c r="F30" s="5"/>
      <c r="G30" s="5"/>
    </row>
    <row r="31" spans="1:7" ht="13.65" customHeight="1">
      <c r="A31" s="5"/>
      <c r="B31" s="3" t="s">
        <v>683</v>
      </c>
      <c r="C31" s="3" t="s">
        <v>684</v>
      </c>
      <c r="D31" s="12" t="s">
        <v>675</v>
      </c>
      <c r="E31" s="3" t="s">
        <v>957</v>
      </c>
      <c r="F31" s="5"/>
      <c r="G31" s="5"/>
    </row>
    <row r="32" spans="1:7" ht="12" customHeight="1">
      <c r="A32" s="5"/>
      <c r="B32" s="5"/>
      <c r="C32" s="5"/>
      <c r="D32" s="5"/>
      <c r="E32" s="2474" t="s">
        <v>685</v>
      </c>
      <c r="F32" s="2474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65" customHeight="1">
      <c r="A34" s="5"/>
      <c r="B34" s="3" t="s">
        <v>1151</v>
      </c>
      <c r="C34" s="5"/>
      <c r="D34" s="12" t="s">
        <v>743</v>
      </c>
      <c r="E34" s="12" t="s">
        <v>1152</v>
      </c>
      <c r="F34" s="5"/>
      <c r="G34" s="5"/>
    </row>
    <row r="35" spans="1:7" ht="13.95" customHeight="1">
      <c r="A35" s="5"/>
      <c r="B35" s="3" t="s">
        <v>818</v>
      </c>
      <c r="C35" s="5"/>
      <c r="D35" s="12" t="s">
        <v>690</v>
      </c>
      <c r="E35" s="3" t="s">
        <v>1171</v>
      </c>
      <c r="F35" s="5"/>
      <c r="G35" s="5"/>
    </row>
    <row r="36" spans="1:7" ht="13.65" customHeight="1">
      <c r="A36" s="5"/>
      <c r="B36" s="3" t="s">
        <v>808</v>
      </c>
      <c r="C36" s="5"/>
      <c r="D36" s="12" t="s">
        <v>881</v>
      </c>
      <c r="E36" s="3" t="s">
        <v>794</v>
      </c>
      <c r="F36" s="5"/>
      <c r="G36" s="5"/>
    </row>
    <row r="37" spans="1:7" ht="13.95" customHeight="1">
      <c r="A37" s="5"/>
      <c r="B37" s="3" t="s">
        <v>1100</v>
      </c>
      <c r="C37" s="5"/>
      <c r="D37" s="12" t="s">
        <v>690</v>
      </c>
      <c r="E37" s="12" t="s">
        <v>1153</v>
      </c>
      <c r="F37" s="5"/>
      <c r="G37" s="5"/>
    </row>
    <row r="38" spans="1:7" ht="13.65" customHeight="1">
      <c r="A38" s="5"/>
      <c r="B38" s="3" t="s">
        <v>1172</v>
      </c>
      <c r="C38" s="5"/>
      <c r="D38" s="12" t="s">
        <v>743</v>
      </c>
      <c r="E38" s="12" t="s">
        <v>1173</v>
      </c>
      <c r="F38" s="5"/>
      <c r="G38" s="5"/>
    </row>
    <row r="39" spans="1:7" ht="12" customHeight="1">
      <c r="A39" s="5"/>
      <c r="B39" s="5"/>
      <c r="C39" s="5"/>
      <c r="D39" s="5"/>
      <c r="E39" s="2474" t="s">
        <v>702</v>
      </c>
      <c r="F39" s="2474"/>
      <c r="G39" s="5"/>
    </row>
    <row r="40" spans="1:7" ht="12" customHeight="1">
      <c r="A40" s="12" t="s">
        <v>703</v>
      </c>
      <c r="B40" s="3" t="s">
        <v>704</v>
      </c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5"/>
      <c r="F41" s="5"/>
      <c r="G41" s="5"/>
    </row>
    <row r="42" spans="1:7" ht="12" customHeight="1">
      <c r="A42" s="5"/>
      <c r="B42" s="5"/>
      <c r="C42" s="5"/>
      <c r="D42" s="5"/>
      <c r="E42" s="2474" t="s">
        <v>705</v>
      </c>
      <c r="F42" s="2474"/>
      <c r="G42" s="5"/>
    </row>
    <row r="43" spans="1:7" ht="12" customHeight="1">
      <c r="A43" s="5"/>
      <c r="B43" s="5"/>
      <c r="C43" s="5"/>
      <c r="D43" s="5"/>
      <c r="E43" s="5"/>
      <c r="F43" s="5"/>
      <c r="G43" s="5"/>
    </row>
    <row r="44" spans="1:7" ht="12" customHeight="1">
      <c r="A44" s="12" t="s">
        <v>706</v>
      </c>
      <c r="B44" s="2474" t="s">
        <v>707</v>
      </c>
      <c r="C44" s="2474"/>
      <c r="D44" s="2474"/>
      <c r="E44" s="2474"/>
      <c r="F44" s="2474"/>
      <c r="G44" s="5"/>
    </row>
    <row r="45" spans="1:7" ht="12" customHeight="1">
      <c r="A45" s="12" t="s">
        <v>708</v>
      </c>
      <c r="B45" s="2471" t="s">
        <v>876</v>
      </c>
      <c r="C45" s="2471"/>
      <c r="D45" s="2471"/>
      <c r="E45" s="2472" t="s">
        <v>710</v>
      </c>
      <c r="F45" s="2472"/>
      <c r="G45" s="5"/>
    </row>
    <row r="46" spans="1:7" ht="12" customHeight="1">
      <c r="A46" s="12" t="s">
        <v>711</v>
      </c>
      <c r="B46" s="2473" t="s">
        <v>712</v>
      </c>
      <c r="C46" s="2473"/>
      <c r="D46" s="2473"/>
      <c r="E46" s="2473"/>
      <c r="F46" s="2473"/>
      <c r="G46" s="5"/>
    </row>
  </sheetData>
  <mergeCells count="14">
    <mergeCell ref="E9:F9"/>
    <mergeCell ref="E15:F15"/>
    <mergeCell ref="E18:F18"/>
    <mergeCell ref="B20:F20"/>
    <mergeCell ref="B21:D21"/>
    <mergeCell ref="E21:F21"/>
    <mergeCell ref="B45:D45"/>
    <mergeCell ref="E45:F45"/>
    <mergeCell ref="B46:F46"/>
    <mergeCell ref="B22:F22"/>
    <mergeCell ref="E32:F32"/>
    <mergeCell ref="E39:F39"/>
    <mergeCell ref="E42:F42"/>
    <mergeCell ref="B44:F44"/>
  </mergeCell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65"/>
  <dimension ref="A1:G44"/>
  <sheetViews>
    <sheetView topLeftCell="A19" workbookViewId="0">
      <selection sqref="A1:G44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2249</v>
      </c>
    </row>
    <row r="3" spans="1:7" ht="34.950000000000003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5" customHeight="1">
      <c r="A5" s="5"/>
      <c r="B5" s="3" t="s">
        <v>673</v>
      </c>
      <c r="C5" s="3" t="s">
        <v>674</v>
      </c>
      <c r="D5" s="12" t="s">
        <v>675</v>
      </c>
      <c r="E5" s="12" t="s">
        <v>719</v>
      </c>
      <c r="F5" s="5"/>
      <c r="G5" s="5"/>
    </row>
    <row r="6" spans="1:7" ht="13.65" customHeight="1">
      <c r="A6" s="5"/>
      <c r="B6" s="3" t="s">
        <v>816</v>
      </c>
      <c r="C6" s="3" t="s">
        <v>678</v>
      </c>
      <c r="D6" s="12" t="s">
        <v>675</v>
      </c>
      <c r="E6" s="12" t="s">
        <v>1162</v>
      </c>
      <c r="F6" s="5"/>
      <c r="G6" s="5"/>
    </row>
    <row r="7" spans="1:7" ht="13.65" customHeight="1">
      <c r="A7" s="5"/>
      <c r="B7" s="3" t="s">
        <v>751</v>
      </c>
      <c r="C7" s="3" t="s">
        <v>681</v>
      </c>
      <c r="D7" s="12" t="s">
        <v>675</v>
      </c>
      <c r="E7" s="12" t="s">
        <v>753</v>
      </c>
      <c r="F7" s="5"/>
      <c r="G7" s="5"/>
    </row>
    <row r="8" spans="1:7" ht="13.95" customHeight="1">
      <c r="A8" s="5"/>
      <c r="B8" s="3" t="s">
        <v>683</v>
      </c>
      <c r="C8" s="3" t="s">
        <v>684</v>
      </c>
      <c r="D8" s="12" t="s">
        <v>675</v>
      </c>
      <c r="E8" s="12" t="s">
        <v>753</v>
      </c>
      <c r="F8" s="5"/>
      <c r="G8" s="5"/>
    </row>
    <row r="9" spans="1:7" ht="12" customHeight="1">
      <c r="A9" s="5"/>
      <c r="B9" s="5"/>
      <c r="C9" s="5"/>
      <c r="D9" s="5"/>
      <c r="E9" s="2474" t="s">
        <v>685</v>
      </c>
      <c r="F9" s="2474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65" customHeight="1">
      <c r="A11" s="5"/>
      <c r="B11" s="3" t="s">
        <v>1174</v>
      </c>
      <c r="C11" s="5"/>
      <c r="D11" s="12" t="s">
        <v>743</v>
      </c>
      <c r="E11" s="3" t="s">
        <v>1175</v>
      </c>
      <c r="F11" s="5"/>
      <c r="G11" s="5"/>
    </row>
    <row r="12" spans="1:7" ht="13.95" customHeight="1">
      <c r="A12" s="5"/>
      <c r="B12" s="3" t="s">
        <v>818</v>
      </c>
      <c r="C12" s="5"/>
      <c r="D12" s="12" t="s">
        <v>690</v>
      </c>
      <c r="E12" s="3" t="s">
        <v>1171</v>
      </c>
      <c r="F12" s="5"/>
      <c r="G12" s="5"/>
    </row>
    <row r="13" spans="1:7" ht="13.65" customHeight="1">
      <c r="A13" s="5"/>
      <c r="B13" s="3" t="s">
        <v>808</v>
      </c>
      <c r="C13" s="5"/>
      <c r="D13" s="12" t="s">
        <v>881</v>
      </c>
      <c r="E13" s="3" t="s">
        <v>794</v>
      </c>
      <c r="F13" s="5"/>
      <c r="G13" s="5"/>
    </row>
    <row r="14" spans="1:7" ht="13.65" customHeight="1">
      <c r="A14" s="5"/>
      <c r="B14" s="3" t="s">
        <v>1100</v>
      </c>
      <c r="C14" s="5"/>
      <c r="D14" s="12" t="s">
        <v>690</v>
      </c>
      <c r="E14" s="12" t="s">
        <v>1137</v>
      </c>
      <c r="F14" s="5"/>
      <c r="G14" s="5"/>
    </row>
    <row r="15" spans="1:7" ht="12" customHeight="1">
      <c r="A15" s="5"/>
      <c r="B15" s="5"/>
      <c r="C15" s="5"/>
      <c r="D15" s="5"/>
      <c r="E15" s="2474" t="s">
        <v>702</v>
      </c>
      <c r="F15" s="2474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2474" t="s">
        <v>705</v>
      </c>
      <c r="F18" s="2474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2474" t="s">
        <v>707</v>
      </c>
      <c r="C20" s="2474"/>
      <c r="D20" s="2474"/>
      <c r="E20" s="2474"/>
      <c r="F20" s="2474"/>
      <c r="G20" s="5"/>
    </row>
    <row r="21" spans="1:7" ht="12" customHeight="1">
      <c r="A21" s="12" t="s">
        <v>708</v>
      </c>
      <c r="B21" s="2471" t="s">
        <v>876</v>
      </c>
      <c r="C21" s="2471"/>
      <c r="D21" s="2471"/>
      <c r="E21" s="2472" t="s">
        <v>710</v>
      </c>
      <c r="F21" s="2472"/>
      <c r="G21" s="5"/>
    </row>
    <row r="22" spans="1:7" ht="12" customHeight="1">
      <c r="A22" s="12" t="s">
        <v>711</v>
      </c>
      <c r="B22" s="2473" t="s">
        <v>712</v>
      </c>
      <c r="C22" s="2473"/>
      <c r="D22" s="2473"/>
      <c r="E22" s="2473"/>
      <c r="F22" s="2473"/>
      <c r="G22" s="5"/>
    </row>
    <row r="23" spans="1:7" ht="12" customHeight="1">
      <c r="A23" s="12"/>
      <c r="B23" s="26"/>
      <c r="C23" s="26"/>
      <c r="D23" s="26"/>
      <c r="E23" s="26"/>
      <c r="F23" s="26"/>
      <c r="G23" s="5"/>
    </row>
    <row r="24" spans="1:7" ht="12" customHeight="1">
      <c r="A24" s="50" t="s">
        <v>2250</v>
      </c>
      <c r="B24" s="26"/>
      <c r="C24" s="26"/>
      <c r="D24" s="26"/>
      <c r="E24" s="26"/>
      <c r="F24" s="26"/>
      <c r="G24" s="5"/>
    </row>
    <row r="25" spans="1:7" ht="12" customHeight="1">
      <c r="A25" s="12"/>
      <c r="B25" s="26"/>
      <c r="C25" s="26"/>
      <c r="D25" s="26"/>
      <c r="E25" s="26"/>
      <c r="F25" s="26"/>
      <c r="G25" s="5"/>
    </row>
    <row r="26" spans="1:7" ht="35.1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65" customHeight="1">
      <c r="A28" s="5"/>
      <c r="B28" s="3" t="s">
        <v>673</v>
      </c>
      <c r="C28" s="3" t="s">
        <v>674</v>
      </c>
      <c r="D28" s="12" t="s">
        <v>675</v>
      </c>
      <c r="E28" s="12" t="s">
        <v>1132</v>
      </c>
      <c r="F28" s="5"/>
      <c r="G28" s="5"/>
    </row>
    <row r="29" spans="1:7" ht="13.95" customHeight="1">
      <c r="A29" s="5"/>
      <c r="B29" s="3" t="s">
        <v>816</v>
      </c>
      <c r="C29" s="3" t="s">
        <v>678</v>
      </c>
      <c r="D29" s="12" t="s">
        <v>675</v>
      </c>
      <c r="E29" s="12" t="s">
        <v>1133</v>
      </c>
      <c r="F29" s="5"/>
      <c r="G29" s="5"/>
    </row>
    <row r="30" spans="1:7" ht="13.65" customHeight="1">
      <c r="A30" s="5"/>
      <c r="B30" s="3" t="s">
        <v>751</v>
      </c>
      <c r="C30" s="3" t="s">
        <v>681</v>
      </c>
      <c r="D30" s="12" t="s">
        <v>675</v>
      </c>
      <c r="E30" s="3" t="s">
        <v>846</v>
      </c>
      <c r="F30" s="5"/>
      <c r="G30" s="5"/>
    </row>
    <row r="31" spans="1:7" ht="13.95" customHeight="1">
      <c r="A31" s="5"/>
      <c r="B31" s="3" t="s">
        <v>683</v>
      </c>
      <c r="C31" s="3" t="s">
        <v>684</v>
      </c>
      <c r="D31" s="12" t="s">
        <v>675</v>
      </c>
      <c r="E31" s="3" t="s">
        <v>846</v>
      </c>
      <c r="F31" s="5"/>
      <c r="G31" s="5"/>
    </row>
    <row r="32" spans="1:7" ht="12" customHeight="1">
      <c r="A32" s="5"/>
      <c r="B32" s="5"/>
      <c r="C32" s="5"/>
      <c r="D32" s="5"/>
      <c r="E32" s="2474" t="s">
        <v>685</v>
      </c>
      <c r="F32" s="2474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65" customHeight="1">
      <c r="A34" s="5"/>
      <c r="B34" s="3" t="s">
        <v>1176</v>
      </c>
      <c r="C34" s="5"/>
      <c r="D34" s="12" t="s">
        <v>743</v>
      </c>
      <c r="E34" s="12" t="s">
        <v>930</v>
      </c>
      <c r="F34" s="5"/>
      <c r="G34" s="5"/>
    </row>
    <row r="35" spans="1:7" ht="13.65" customHeight="1">
      <c r="A35" s="5"/>
      <c r="B35" s="3" t="s">
        <v>818</v>
      </c>
      <c r="C35" s="5"/>
      <c r="D35" s="12" t="s">
        <v>690</v>
      </c>
      <c r="E35" s="3" t="s">
        <v>1177</v>
      </c>
      <c r="F35" s="5"/>
      <c r="G35" s="5"/>
    </row>
    <row r="36" spans="1:7" ht="13.95" customHeight="1">
      <c r="A36" s="5"/>
      <c r="B36" s="3" t="s">
        <v>808</v>
      </c>
      <c r="C36" s="5"/>
      <c r="D36" s="12" t="s">
        <v>881</v>
      </c>
      <c r="E36" s="3" t="s">
        <v>846</v>
      </c>
      <c r="F36" s="5"/>
      <c r="G36" s="5"/>
    </row>
    <row r="37" spans="1:7" ht="12" customHeight="1">
      <c r="A37" s="5"/>
      <c r="B37" s="5"/>
      <c r="C37" s="5"/>
      <c r="D37" s="5"/>
      <c r="E37" s="2474" t="s">
        <v>702</v>
      </c>
      <c r="F37" s="2474"/>
      <c r="G37" s="5"/>
    </row>
    <row r="38" spans="1:7" ht="12" customHeight="1">
      <c r="A38" s="12" t="s">
        <v>703</v>
      </c>
      <c r="B38" s="3" t="s">
        <v>704</v>
      </c>
      <c r="C38" s="5"/>
      <c r="D38" s="5"/>
      <c r="E38" s="5"/>
      <c r="F38" s="5"/>
      <c r="G38" s="5"/>
    </row>
    <row r="39" spans="1:7" ht="12" customHeight="1">
      <c r="A39" s="5"/>
      <c r="B39" s="5"/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2474" t="s">
        <v>705</v>
      </c>
      <c r="F40" s="2474"/>
      <c r="G40" s="5"/>
    </row>
    <row r="41" spans="1:7" ht="12" customHeight="1">
      <c r="A41" s="5"/>
      <c r="B41" s="5"/>
      <c r="C41" s="5"/>
      <c r="D41" s="5"/>
      <c r="E41" s="5"/>
      <c r="F41" s="5"/>
      <c r="G41" s="5"/>
    </row>
    <row r="42" spans="1:7" ht="12" customHeight="1">
      <c r="A42" s="12" t="s">
        <v>706</v>
      </c>
      <c r="B42" s="2474" t="s">
        <v>707</v>
      </c>
      <c r="C42" s="2474"/>
      <c r="D42" s="2474"/>
      <c r="E42" s="2474"/>
      <c r="F42" s="2474"/>
      <c r="G42" s="5"/>
    </row>
    <row r="43" spans="1:7" ht="12" customHeight="1">
      <c r="A43" s="12" t="s">
        <v>708</v>
      </c>
      <c r="B43" s="2471" t="s">
        <v>876</v>
      </c>
      <c r="C43" s="2471"/>
      <c r="D43" s="2471"/>
      <c r="E43" s="2472" t="s">
        <v>710</v>
      </c>
      <c r="F43" s="2472"/>
      <c r="G43" s="5"/>
    </row>
    <row r="44" spans="1:7" ht="12" customHeight="1">
      <c r="A44" s="12" t="s">
        <v>711</v>
      </c>
      <c r="B44" s="2473" t="s">
        <v>712</v>
      </c>
      <c r="C44" s="2473"/>
      <c r="D44" s="2473"/>
      <c r="E44" s="2473"/>
      <c r="F44" s="2473"/>
      <c r="G44" s="5"/>
    </row>
  </sheetData>
  <mergeCells count="14">
    <mergeCell ref="E9:F9"/>
    <mergeCell ref="E15:F15"/>
    <mergeCell ref="E18:F18"/>
    <mergeCell ref="B20:F20"/>
    <mergeCell ref="B21:D21"/>
    <mergeCell ref="E21:F21"/>
    <mergeCell ref="B43:D43"/>
    <mergeCell ref="E43:F43"/>
    <mergeCell ref="B44:F44"/>
    <mergeCell ref="B22:F22"/>
    <mergeCell ref="E32:F32"/>
    <mergeCell ref="E37:F37"/>
    <mergeCell ref="E40:F40"/>
    <mergeCell ref="B42:F42"/>
  </mergeCell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66"/>
  <dimension ref="A1:G42"/>
  <sheetViews>
    <sheetView workbookViewId="0">
      <selection activeCell="G42" sqref="A1:G42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2251</v>
      </c>
    </row>
    <row r="3" spans="1:7" ht="34.950000000000003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5" customHeight="1">
      <c r="A5" s="5"/>
      <c r="B5" s="3" t="s">
        <v>673</v>
      </c>
      <c r="C5" s="3" t="s">
        <v>674</v>
      </c>
      <c r="D5" s="12" t="s">
        <v>675</v>
      </c>
      <c r="E5" s="12" t="s">
        <v>1132</v>
      </c>
      <c r="F5" s="5"/>
      <c r="G5" s="5"/>
    </row>
    <row r="6" spans="1:7" ht="13.65" customHeight="1">
      <c r="A6" s="5"/>
      <c r="B6" s="3" t="s">
        <v>816</v>
      </c>
      <c r="C6" s="3" t="s">
        <v>678</v>
      </c>
      <c r="D6" s="12" t="s">
        <v>675</v>
      </c>
      <c r="E6" s="12" t="s">
        <v>1133</v>
      </c>
      <c r="F6" s="5"/>
      <c r="G6" s="5"/>
    </row>
    <row r="7" spans="1:7" ht="13.65" customHeight="1">
      <c r="A7" s="5"/>
      <c r="B7" s="3" t="s">
        <v>751</v>
      </c>
      <c r="C7" s="3" t="s">
        <v>681</v>
      </c>
      <c r="D7" s="12" t="s">
        <v>675</v>
      </c>
      <c r="E7" s="3" t="s">
        <v>846</v>
      </c>
      <c r="F7" s="5"/>
      <c r="G7" s="5"/>
    </row>
    <row r="8" spans="1:7" ht="13.95" customHeight="1">
      <c r="A8" s="5"/>
      <c r="B8" s="3" t="s">
        <v>683</v>
      </c>
      <c r="C8" s="3" t="s">
        <v>684</v>
      </c>
      <c r="D8" s="12" t="s">
        <v>675</v>
      </c>
      <c r="E8" s="3" t="s">
        <v>846</v>
      </c>
      <c r="F8" s="5"/>
      <c r="G8" s="5"/>
    </row>
    <row r="9" spans="1:7" ht="12" customHeight="1">
      <c r="A9" s="5"/>
      <c r="B9" s="5"/>
      <c r="C9" s="5"/>
      <c r="D9" s="5"/>
      <c r="E9" s="2474" t="s">
        <v>685</v>
      </c>
      <c r="F9" s="2474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65" customHeight="1">
      <c r="A11" s="5"/>
      <c r="B11" s="3" t="s">
        <v>1178</v>
      </c>
      <c r="C11" s="5"/>
      <c r="D11" s="12" t="s">
        <v>743</v>
      </c>
      <c r="E11" s="12" t="s">
        <v>930</v>
      </c>
      <c r="F11" s="5"/>
      <c r="G11" s="5"/>
    </row>
    <row r="12" spans="1:7" ht="13.95" customHeight="1">
      <c r="A12" s="5"/>
      <c r="B12" s="3" t="s">
        <v>818</v>
      </c>
      <c r="C12" s="5"/>
      <c r="D12" s="12" t="s">
        <v>690</v>
      </c>
      <c r="E12" s="3" t="s">
        <v>1177</v>
      </c>
      <c r="F12" s="5"/>
      <c r="G12" s="5"/>
    </row>
    <row r="13" spans="1:7" ht="13.65" customHeight="1">
      <c r="A13" s="5"/>
      <c r="B13" s="3" t="s">
        <v>808</v>
      </c>
      <c r="C13" s="5"/>
      <c r="D13" s="12" t="s">
        <v>881</v>
      </c>
      <c r="E13" s="3" t="s">
        <v>846</v>
      </c>
      <c r="F13" s="5"/>
      <c r="G13" s="5"/>
    </row>
    <row r="14" spans="1:7" ht="12" customHeight="1">
      <c r="A14" s="5"/>
      <c r="B14" s="5"/>
      <c r="C14" s="5"/>
      <c r="D14" s="5"/>
      <c r="E14" s="2474" t="s">
        <v>702</v>
      </c>
      <c r="F14" s="2474"/>
      <c r="G14" s="5"/>
    </row>
    <row r="15" spans="1:7" ht="12" customHeight="1">
      <c r="A15" s="12" t="s">
        <v>703</v>
      </c>
      <c r="B15" s="3" t="s">
        <v>704</v>
      </c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2474" t="s">
        <v>705</v>
      </c>
      <c r="F17" s="2474"/>
      <c r="G17" s="5"/>
    </row>
    <row r="18" spans="1:7" ht="12" customHeight="1">
      <c r="A18" s="5"/>
      <c r="B18" s="5"/>
      <c r="C18" s="5"/>
      <c r="D18" s="5"/>
      <c r="E18" s="5"/>
      <c r="F18" s="5"/>
      <c r="G18" s="5"/>
    </row>
    <row r="19" spans="1:7" ht="12" customHeight="1">
      <c r="A19" s="12" t="s">
        <v>706</v>
      </c>
      <c r="B19" s="2474" t="s">
        <v>707</v>
      </c>
      <c r="C19" s="2474"/>
      <c r="D19" s="2474"/>
      <c r="E19" s="2474"/>
      <c r="F19" s="2474"/>
      <c r="G19" s="5"/>
    </row>
    <row r="20" spans="1:7" ht="12" customHeight="1">
      <c r="A20" s="12" t="s">
        <v>708</v>
      </c>
      <c r="B20" s="2471" t="s">
        <v>876</v>
      </c>
      <c r="C20" s="2471"/>
      <c r="D20" s="2471"/>
      <c r="E20" s="2472" t="s">
        <v>710</v>
      </c>
      <c r="F20" s="2472"/>
      <c r="G20" s="5"/>
    </row>
    <row r="21" spans="1:7" ht="12" customHeight="1">
      <c r="A21" s="12" t="s">
        <v>711</v>
      </c>
      <c r="B21" s="2473" t="s">
        <v>712</v>
      </c>
      <c r="C21" s="2473"/>
      <c r="D21" s="2473"/>
      <c r="E21" s="2473"/>
      <c r="F21" s="2473"/>
      <c r="G21" s="5"/>
    </row>
    <row r="22" spans="1:7" ht="12" customHeight="1">
      <c r="A22" s="12"/>
      <c r="B22" s="26"/>
      <c r="C22" s="26"/>
      <c r="D22" s="26"/>
      <c r="E22" s="26"/>
      <c r="F22" s="26"/>
      <c r="G22" s="5"/>
    </row>
    <row r="23" spans="1:7" ht="12" customHeight="1">
      <c r="A23" s="50" t="s">
        <v>2252</v>
      </c>
      <c r="B23" s="26"/>
      <c r="C23" s="26"/>
      <c r="D23" s="26"/>
      <c r="E23" s="26"/>
      <c r="F23" s="26"/>
      <c r="G23" s="5"/>
    </row>
    <row r="24" spans="1:7" ht="12" customHeight="1">
      <c r="A24" s="12"/>
      <c r="B24" s="26"/>
      <c r="C24" s="26"/>
      <c r="D24" s="26"/>
      <c r="E24" s="26"/>
      <c r="F24" s="26"/>
      <c r="G24" s="5"/>
    </row>
    <row r="25" spans="1:7" ht="35.1" customHeight="1">
      <c r="A25" s="6" t="s">
        <v>762</v>
      </c>
      <c r="B25" s="6" t="s">
        <v>763</v>
      </c>
      <c r="C25" s="6" t="s">
        <v>764</v>
      </c>
      <c r="D25" s="6" t="s">
        <v>765</v>
      </c>
      <c r="E25" s="6" t="s">
        <v>766</v>
      </c>
      <c r="F25" s="7" t="s">
        <v>767</v>
      </c>
      <c r="G25" s="7" t="s">
        <v>768</v>
      </c>
    </row>
    <row r="26" spans="1:7" ht="12" customHeight="1">
      <c r="A26" s="12" t="s">
        <v>671</v>
      </c>
      <c r="B26" s="3" t="s">
        <v>672</v>
      </c>
      <c r="C26" s="5"/>
      <c r="D26" s="5"/>
      <c r="E26" s="5"/>
      <c r="F26" s="5"/>
      <c r="G26" s="5"/>
    </row>
    <row r="27" spans="1:7" ht="13.65" customHeight="1">
      <c r="A27" s="5"/>
      <c r="B27" s="3" t="s">
        <v>673</v>
      </c>
      <c r="C27" s="3" t="s">
        <v>674</v>
      </c>
      <c r="D27" s="12" t="s">
        <v>675</v>
      </c>
      <c r="E27" s="12" t="s">
        <v>752</v>
      </c>
      <c r="F27" s="5"/>
      <c r="G27" s="5"/>
    </row>
    <row r="28" spans="1:7" ht="13.65" customHeight="1">
      <c r="A28" s="5"/>
      <c r="B28" s="3" t="s">
        <v>816</v>
      </c>
      <c r="C28" s="3" t="s">
        <v>678</v>
      </c>
      <c r="D28" s="12" t="s">
        <v>675</v>
      </c>
      <c r="E28" s="12" t="s">
        <v>752</v>
      </c>
      <c r="F28" s="5"/>
      <c r="G28" s="5"/>
    </row>
    <row r="29" spans="1:7" ht="13.95" customHeight="1">
      <c r="A29" s="5"/>
      <c r="B29" s="3" t="s">
        <v>751</v>
      </c>
      <c r="C29" s="3" t="s">
        <v>681</v>
      </c>
      <c r="D29" s="12" t="s">
        <v>675</v>
      </c>
      <c r="E29" s="3" t="s">
        <v>811</v>
      </c>
      <c r="F29" s="5"/>
      <c r="G29" s="5"/>
    </row>
    <row r="30" spans="1:7" ht="13.65" customHeight="1">
      <c r="A30" s="5"/>
      <c r="B30" s="3" t="s">
        <v>683</v>
      </c>
      <c r="C30" s="3" t="s">
        <v>684</v>
      </c>
      <c r="D30" s="12" t="s">
        <v>675</v>
      </c>
      <c r="E30" s="3" t="s">
        <v>868</v>
      </c>
      <c r="F30" s="5"/>
      <c r="G30" s="5"/>
    </row>
    <row r="31" spans="1:7" ht="12" customHeight="1">
      <c r="A31" s="5"/>
      <c r="B31" s="5"/>
      <c r="C31" s="5"/>
      <c r="D31" s="5"/>
      <c r="E31" s="2474" t="s">
        <v>685</v>
      </c>
      <c r="F31" s="2474"/>
      <c r="G31" s="5"/>
    </row>
    <row r="32" spans="1:7" ht="12" customHeight="1">
      <c r="A32" s="12" t="s">
        <v>686</v>
      </c>
      <c r="B32" s="3" t="s">
        <v>687</v>
      </c>
      <c r="C32" s="5"/>
      <c r="D32" s="5"/>
      <c r="E32" s="5"/>
      <c r="F32" s="5"/>
      <c r="G32" s="5"/>
    </row>
    <row r="33" spans="1:7" ht="13.65" customHeight="1">
      <c r="A33" s="5"/>
      <c r="B33" s="3" t="s">
        <v>1179</v>
      </c>
      <c r="C33" s="5"/>
      <c r="D33" s="12" t="s">
        <v>743</v>
      </c>
      <c r="E33" s="3" t="s">
        <v>1095</v>
      </c>
      <c r="F33" s="5"/>
      <c r="G33" s="5"/>
    </row>
    <row r="34" spans="1:7" ht="13.95" customHeight="1">
      <c r="A34" s="5"/>
      <c r="B34" s="3" t="s">
        <v>1158</v>
      </c>
      <c r="C34" s="5"/>
      <c r="D34" s="12" t="s">
        <v>690</v>
      </c>
      <c r="E34" s="12" t="s">
        <v>1133</v>
      </c>
      <c r="F34" s="5"/>
      <c r="G34" s="5"/>
    </row>
    <row r="35" spans="1:7" ht="12" customHeight="1">
      <c r="A35" s="5"/>
      <c r="B35" s="5"/>
      <c r="C35" s="5"/>
      <c r="D35" s="5"/>
      <c r="E35" s="2474" t="s">
        <v>702</v>
      </c>
      <c r="F35" s="2474"/>
      <c r="G35" s="5"/>
    </row>
    <row r="36" spans="1:7" ht="12" customHeight="1">
      <c r="A36" s="12" t="s">
        <v>703</v>
      </c>
      <c r="B36" s="3" t="s">
        <v>704</v>
      </c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2474" t="s">
        <v>705</v>
      </c>
      <c r="F38" s="2474"/>
      <c r="G38" s="5"/>
    </row>
    <row r="39" spans="1:7" ht="12" customHeight="1">
      <c r="A39" s="5"/>
      <c r="B39" s="5"/>
      <c r="C39" s="5"/>
      <c r="D39" s="5"/>
      <c r="E39" s="5"/>
      <c r="F39" s="5"/>
      <c r="G39" s="5"/>
    </row>
    <row r="40" spans="1:7" ht="12" customHeight="1">
      <c r="A40" s="12" t="s">
        <v>706</v>
      </c>
      <c r="B40" s="2474" t="s">
        <v>707</v>
      </c>
      <c r="C40" s="2474"/>
      <c r="D40" s="2474"/>
      <c r="E40" s="2474"/>
      <c r="F40" s="2474"/>
      <c r="G40" s="5"/>
    </row>
    <row r="41" spans="1:7" ht="12" customHeight="1">
      <c r="A41" s="12" t="s">
        <v>708</v>
      </c>
      <c r="B41" s="2471" t="s">
        <v>876</v>
      </c>
      <c r="C41" s="2471"/>
      <c r="D41" s="2471"/>
      <c r="E41" s="2472" t="s">
        <v>710</v>
      </c>
      <c r="F41" s="2472"/>
      <c r="G41" s="5"/>
    </row>
    <row r="42" spans="1:7" ht="12" customHeight="1">
      <c r="A42" s="12" t="s">
        <v>711</v>
      </c>
      <c r="B42" s="2473" t="s">
        <v>712</v>
      </c>
      <c r="C42" s="2473"/>
      <c r="D42" s="2473"/>
      <c r="E42" s="2473"/>
      <c r="F42" s="2473"/>
      <c r="G42" s="5"/>
    </row>
  </sheetData>
  <mergeCells count="14">
    <mergeCell ref="E9:F9"/>
    <mergeCell ref="E14:F14"/>
    <mergeCell ref="E17:F17"/>
    <mergeCell ref="B19:F19"/>
    <mergeCell ref="B20:D20"/>
    <mergeCell ref="E20:F20"/>
    <mergeCell ref="B41:D41"/>
    <mergeCell ref="E41:F41"/>
    <mergeCell ref="B42:F42"/>
    <mergeCell ref="B21:F21"/>
    <mergeCell ref="E31:F31"/>
    <mergeCell ref="E35:F35"/>
    <mergeCell ref="E38:F38"/>
    <mergeCell ref="B40:F40"/>
  </mergeCell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67"/>
  <dimension ref="A1:G40"/>
  <sheetViews>
    <sheetView topLeftCell="A28" workbookViewId="0">
      <selection sqref="A1:G40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2253</v>
      </c>
    </row>
    <row r="3" spans="1:7" ht="34.950000000000003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5" customHeight="1">
      <c r="A5" s="5"/>
      <c r="B5" s="3" t="s">
        <v>673</v>
      </c>
      <c r="C5" s="3" t="s">
        <v>674</v>
      </c>
      <c r="D5" s="12" t="s">
        <v>675</v>
      </c>
      <c r="E5" s="12" t="s">
        <v>1133</v>
      </c>
      <c r="F5" s="5"/>
      <c r="G5" s="5"/>
    </row>
    <row r="6" spans="1:7" ht="13.65" customHeight="1">
      <c r="A6" s="5"/>
      <c r="B6" s="3" t="s">
        <v>816</v>
      </c>
      <c r="C6" s="3" t="s">
        <v>678</v>
      </c>
      <c r="D6" s="12" t="s">
        <v>675</v>
      </c>
      <c r="E6" s="3" t="s">
        <v>1180</v>
      </c>
      <c r="F6" s="5"/>
      <c r="G6" s="5"/>
    </row>
    <row r="7" spans="1:7" ht="13.65" customHeight="1">
      <c r="A7" s="5"/>
      <c r="B7" s="3" t="s">
        <v>751</v>
      </c>
      <c r="C7" s="3" t="s">
        <v>681</v>
      </c>
      <c r="D7" s="12" t="s">
        <v>675</v>
      </c>
      <c r="E7" s="3" t="s">
        <v>1155</v>
      </c>
      <c r="F7" s="5"/>
      <c r="G7" s="5"/>
    </row>
    <row r="8" spans="1:7" ht="13.95" customHeight="1">
      <c r="A8" s="5"/>
      <c r="B8" s="3" t="s">
        <v>683</v>
      </c>
      <c r="C8" s="3" t="s">
        <v>684</v>
      </c>
      <c r="D8" s="12" t="s">
        <v>675</v>
      </c>
      <c r="E8" s="3" t="s">
        <v>784</v>
      </c>
      <c r="F8" s="5"/>
      <c r="G8" s="5"/>
    </row>
    <row r="9" spans="1:7" ht="12" customHeight="1">
      <c r="A9" s="5"/>
      <c r="B9" s="5"/>
      <c r="C9" s="5"/>
      <c r="D9" s="5"/>
      <c r="E9" s="2474" t="s">
        <v>685</v>
      </c>
      <c r="F9" s="2474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65" customHeight="1">
      <c r="A11" s="5"/>
      <c r="B11" s="3" t="s">
        <v>1181</v>
      </c>
      <c r="C11" s="5"/>
      <c r="D11" s="12" t="s">
        <v>853</v>
      </c>
      <c r="E11" s="12" t="s">
        <v>935</v>
      </c>
      <c r="F11" s="5"/>
      <c r="G11" s="5"/>
    </row>
    <row r="12" spans="1:7" ht="13.95" customHeight="1">
      <c r="A12" s="5"/>
      <c r="B12" s="3" t="s">
        <v>1158</v>
      </c>
      <c r="C12" s="5"/>
      <c r="D12" s="12" t="s">
        <v>690</v>
      </c>
      <c r="E12" s="12" t="s">
        <v>1112</v>
      </c>
      <c r="F12" s="5"/>
      <c r="G12" s="5"/>
    </row>
    <row r="13" spans="1:7" ht="12" customHeight="1">
      <c r="A13" s="5"/>
      <c r="B13" s="5"/>
      <c r="C13" s="5"/>
      <c r="D13" s="5"/>
      <c r="E13" s="2474" t="s">
        <v>702</v>
      </c>
      <c r="F13" s="2474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2474" t="s">
        <v>705</v>
      </c>
      <c r="F16" s="2474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1.85" customHeight="1">
      <c r="A18" s="12" t="s">
        <v>706</v>
      </c>
      <c r="B18" s="2474" t="s">
        <v>707</v>
      </c>
      <c r="C18" s="2474"/>
      <c r="D18" s="2474"/>
      <c r="E18" s="2474"/>
      <c r="F18" s="2474"/>
      <c r="G18" s="5"/>
    </row>
    <row r="19" spans="1:7" ht="12" customHeight="1">
      <c r="A19" s="12" t="s">
        <v>708</v>
      </c>
      <c r="B19" s="2471" t="s">
        <v>876</v>
      </c>
      <c r="C19" s="2471"/>
      <c r="D19" s="2471"/>
      <c r="E19" s="2472" t="s">
        <v>710</v>
      </c>
      <c r="F19" s="2472"/>
      <c r="G19" s="5"/>
    </row>
    <row r="20" spans="1:7" ht="12.15" customHeight="1">
      <c r="A20" s="12" t="s">
        <v>711</v>
      </c>
      <c r="B20" s="2473" t="s">
        <v>712</v>
      </c>
      <c r="C20" s="2473"/>
      <c r="D20" s="2473"/>
      <c r="E20" s="2473"/>
      <c r="F20" s="2473"/>
      <c r="G20" s="5"/>
    </row>
    <row r="21" spans="1:7" ht="12.15" customHeight="1">
      <c r="A21" s="12"/>
      <c r="B21" s="26"/>
      <c r="C21" s="26"/>
      <c r="D21" s="26"/>
      <c r="E21" s="26"/>
      <c r="F21" s="26"/>
      <c r="G21" s="5"/>
    </row>
    <row r="22" spans="1:7" ht="12.15" customHeight="1">
      <c r="A22" s="55" t="s">
        <v>2254</v>
      </c>
      <c r="B22" s="26"/>
      <c r="C22" s="26"/>
      <c r="D22" s="26"/>
      <c r="E22" s="26"/>
      <c r="F22" s="26"/>
      <c r="G22" s="5"/>
    </row>
    <row r="23" spans="1:7" ht="12.15" customHeight="1">
      <c r="A23" s="12"/>
      <c r="B23" s="26"/>
      <c r="C23" s="26"/>
      <c r="D23" s="26"/>
      <c r="E23" s="26"/>
      <c r="F23" s="26"/>
      <c r="G23" s="5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3.65" customHeight="1">
      <c r="A26" s="5"/>
      <c r="B26" s="3" t="s">
        <v>673</v>
      </c>
      <c r="C26" s="3" t="s">
        <v>674</v>
      </c>
      <c r="D26" s="12" t="s">
        <v>675</v>
      </c>
      <c r="E26" s="12" t="s">
        <v>726</v>
      </c>
      <c r="F26" s="5"/>
      <c r="G26" s="5"/>
    </row>
    <row r="27" spans="1:7" ht="13.65" customHeight="1">
      <c r="A27" s="5"/>
      <c r="B27" s="3" t="s">
        <v>816</v>
      </c>
      <c r="C27" s="3" t="s">
        <v>678</v>
      </c>
      <c r="D27" s="12" t="s">
        <v>675</v>
      </c>
      <c r="E27" s="12" t="s">
        <v>726</v>
      </c>
      <c r="F27" s="5"/>
      <c r="G27" s="5"/>
    </row>
    <row r="28" spans="1:7" ht="13.95" customHeight="1">
      <c r="A28" s="5"/>
      <c r="B28" s="3" t="s">
        <v>751</v>
      </c>
      <c r="C28" s="3" t="s">
        <v>681</v>
      </c>
      <c r="D28" s="12" t="s">
        <v>675</v>
      </c>
      <c r="E28" s="3" t="s">
        <v>788</v>
      </c>
      <c r="F28" s="5"/>
      <c r="G28" s="5"/>
    </row>
    <row r="29" spans="1:7" ht="13.65" customHeight="1">
      <c r="A29" s="5"/>
      <c r="B29" s="3" t="s">
        <v>683</v>
      </c>
      <c r="C29" s="3" t="s">
        <v>684</v>
      </c>
      <c r="D29" s="12" t="s">
        <v>675</v>
      </c>
      <c r="E29" s="3" t="s">
        <v>891</v>
      </c>
      <c r="F29" s="5"/>
      <c r="G29" s="5"/>
    </row>
    <row r="30" spans="1:7" ht="12" customHeight="1">
      <c r="A30" s="5"/>
      <c r="B30" s="5"/>
      <c r="C30" s="5"/>
      <c r="D30" s="5"/>
      <c r="E30" s="2474" t="s">
        <v>685</v>
      </c>
      <c r="F30" s="2474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95" customHeight="1">
      <c r="A32" s="5"/>
      <c r="B32" s="4" t="s">
        <v>1182</v>
      </c>
      <c r="C32" s="5"/>
      <c r="D32" s="12" t="s">
        <v>690</v>
      </c>
      <c r="E32" s="12" t="s">
        <v>1183</v>
      </c>
      <c r="F32" s="5"/>
      <c r="G32" s="5"/>
    </row>
    <row r="33" spans="1:7" ht="12" customHeight="1">
      <c r="A33" s="5"/>
      <c r="B33" s="5"/>
      <c r="C33" s="5"/>
      <c r="D33" s="5"/>
      <c r="E33" s="2474" t="s">
        <v>702</v>
      </c>
      <c r="F33" s="2474"/>
      <c r="G33" s="5"/>
    </row>
    <row r="34" spans="1:7" ht="12" customHeight="1">
      <c r="A34" s="12" t="s">
        <v>703</v>
      </c>
      <c r="B34" s="3" t="s">
        <v>704</v>
      </c>
      <c r="C34" s="5"/>
      <c r="D34" s="5"/>
      <c r="E34" s="5"/>
      <c r="F34" s="5"/>
      <c r="G34" s="5"/>
    </row>
    <row r="35" spans="1:7" ht="12" customHeight="1">
      <c r="A35" s="5"/>
      <c r="B35" s="5"/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2474" t="s">
        <v>705</v>
      </c>
      <c r="F36" s="2474"/>
      <c r="G36" s="5"/>
    </row>
    <row r="37" spans="1:7" ht="12" customHeight="1">
      <c r="A37" s="5"/>
      <c r="B37" s="5"/>
      <c r="C37" s="5"/>
      <c r="D37" s="5"/>
      <c r="E37" s="5"/>
      <c r="F37" s="5"/>
      <c r="G37" s="5"/>
    </row>
    <row r="38" spans="1:7" ht="11.85" customHeight="1">
      <c r="A38" s="12" t="s">
        <v>706</v>
      </c>
      <c r="B38" s="2474" t="s">
        <v>707</v>
      </c>
      <c r="C38" s="2474"/>
      <c r="D38" s="2474"/>
      <c r="E38" s="2474"/>
      <c r="F38" s="2474"/>
      <c r="G38" s="5"/>
    </row>
    <row r="39" spans="1:7" ht="12" customHeight="1">
      <c r="A39" s="12" t="s">
        <v>708</v>
      </c>
      <c r="B39" s="2471" t="s">
        <v>876</v>
      </c>
      <c r="C39" s="2471"/>
      <c r="D39" s="2471"/>
      <c r="E39" s="2472" t="s">
        <v>710</v>
      </c>
      <c r="F39" s="2472"/>
      <c r="G39" s="5"/>
    </row>
    <row r="40" spans="1:7" ht="12.15" customHeight="1">
      <c r="A40" s="12" t="s">
        <v>711</v>
      </c>
      <c r="B40" s="2473" t="s">
        <v>712</v>
      </c>
      <c r="C40" s="2473"/>
      <c r="D40" s="2473"/>
      <c r="E40" s="2473"/>
      <c r="F40" s="2473"/>
      <c r="G40" s="5"/>
    </row>
  </sheetData>
  <mergeCells count="14">
    <mergeCell ref="E9:F9"/>
    <mergeCell ref="E13:F13"/>
    <mergeCell ref="E16:F16"/>
    <mergeCell ref="B18:F18"/>
    <mergeCell ref="B19:D19"/>
    <mergeCell ref="E19:F19"/>
    <mergeCell ref="B39:D39"/>
    <mergeCell ref="E39:F39"/>
    <mergeCell ref="B40:F40"/>
    <mergeCell ref="B20:F20"/>
    <mergeCell ref="E30:F30"/>
    <mergeCell ref="E33:F33"/>
    <mergeCell ref="E36:F36"/>
    <mergeCell ref="B38:F38"/>
  </mergeCell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68"/>
  <dimension ref="A1:G41"/>
  <sheetViews>
    <sheetView workbookViewId="0">
      <selection activeCell="G41" sqref="A1:G41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2255</v>
      </c>
    </row>
    <row r="3" spans="1:7" ht="34.950000000000003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5" customHeight="1">
      <c r="A5" s="5"/>
      <c r="B5" s="3" t="s">
        <v>673</v>
      </c>
      <c r="C5" s="3" t="s">
        <v>674</v>
      </c>
      <c r="D5" s="12" t="s">
        <v>675</v>
      </c>
      <c r="E5" s="12" t="s">
        <v>774</v>
      </c>
      <c r="F5" s="5"/>
      <c r="G5" s="5"/>
    </row>
    <row r="6" spans="1:7" ht="13.65" customHeight="1">
      <c r="A6" s="5"/>
      <c r="B6" s="3" t="s">
        <v>816</v>
      </c>
      <c r="C6" s="3" t="s">
        <v>678</v>
      </c>
      <c r="D6" s="12" t="s">
        <v>675</v>
      </c>
      <c r="E6" s="12" t="s">
        <v>774</v>
      </c>
      <c r="F6" s="5"/>
      <c r="G6" s="5"/>
    </row>
    <row r="7" spans="1:7" ht="13.65" customHeight="1">
      <c r="A7" s="5"/>
      <c r="B7" s="3" t="s">
        <v>751</v>
      </c>
      <c r="C7" s="3" t="s">
        <v>681</v>
      </c>
      <c r="D7" s="12" t="s">
        <v>675</v>
      </c>
      <c r="E7" s="3" t="s">
        <v>868</v>
      </c>
      <c r="F7" s="5"/>
      <c r="G7" s="5"/>
    </row>
    <row r="8" spans="1:7" ht="13.95" customHeight="1">
      <c r="A8" s="5"/>
      <c r="B8" s="3" t="s">
        <v>683</v>
      </c>
      <c r="C8" s="3" t="s">
        <v>684</v>
      </c>
      <c r="D8" s="12" t="s">
        <v>675</v>
      </c>
      <c r="E8" s="3" t="s">
        <v>783</v>
      </c>
      <c r="F8" s="5"/>
      <c r="G8" s="5"/>
    </row>
    <row r="9" spans="1:7" ht="12" customHeight="1">
      <c r="A9" s="5"/>
      <c r="B9" s="5"/>
      <c r="C9" s="5"/>
      <c r="D9" s="5"/>
      <c r="E9" s="2474" t="s">
        <v>685</v>
      </c>
      <c r="F9" s="2474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65" customHeight="1">
      <c r="A11" s="5"/>
      <c r="B11" s="3" t="s">
        <v>1179</v>
      </c>
      <c r="C11" s="5"/>
      <c r="D11" s="12" t="s">
        <v>743</v>
      </c>
      <c r="E11" s="12" t="s">
        <v>1184</v>
      </c>
      <c r="F11" s="5"/>
      <c r="G11" s="5"/>
    </row>
    <row r="12" spans="1:7" ht="13.95" customHeight="1">
      <c r="A12" s="5"/>
      <c r="B12" s="3" t="s">
        <v>1158</v>
      </c>
      <c r="C12" s="5"/>
      <c r="D12" s="12" t="s">
        <v>690</v>
      </c>
      <c r="E12" s="12" t="s">
        <v>774</v>
      </c>
      <c r="F12" s="5"/>
      <c r="G12" s="5"/>
    </row>
    <row r="13" spans="1:7" ht="12" customHeight="1">
      <c r="A13" s="5"/>
      <c r="B13" s="5"/>
      <c r="C13" s="5"/>
      <c r="D13" s="5"/>
      <c r="E13" s="2474" t="s">
        <v>702</v>
      </c>
      <c r="F13" s="2474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2474" t="s">
        <v>705</v>
      </c>
      <c r="F16" s="2474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1.85" customHeight="1">
      <c r="A18" s="12" t="s">
        <v>706</v>
      </c>
      <c r="B18" s="2474" t="s">
        <v>707</v>
      </c>
      <c r="C18" s="2474"/>
      <c r="D18" s="2474"/>
      <c r="E18" s="2474"/>
      <c r="F18" s="2474"/>
      <c r="G18" s="5"/>
    </row>
    <row r="19" spans="1:7" ht="12" customHeight="1">
      <c r="A19" s="12" t="s">
        <v>708</v>
      </c>
      <c r="B19" s="2471" t="s">
        <v>876</v>
      </c>
      <c r="C19" s="2471"/>
      <c r="D19" s="2471"/>
      <c r="E19" s="2472" t="s">
        <v>710</v>
      </c>
      <c r="F19" s="2472"/>
      <c r="G19" s="5"/>
    </row>
    <row r="20" spans="1:7" ht="12.15" customHeight="1">
      <c r="A20" s="12" t="s">
        <v>711</v>
      </c>
      <c r="B20" s="2473" t="s">
        <v>712</v>
      </c>
      <c r="C20" s="2473"/>
      <c r="D20" s="2473"/>
      <c r="E20" s="2473"/>
      <c r="F20" s="2473"/>
      <c r="G20" s="5"/>
    </row>
    <row r="21" spans="1:7" ht="12.15" customHeight="1">
      <c r="A21" s="12"/>
      <c r="B21" s="26"/>
      <c r="C21" s="26"/>
      <c r="D21" s="26"/>
      <c r="E21" s="26"/>
      <c r="F21" s="26"/>
      <c r="G21" s="5"/>
    </row>
    <row r="22" spans="1:7" ht="12.15" customHeight="1">
      <c r="A22" s="50" t="s">
        <v>2256</v>
      </c>
      <c r="B22" s="26"/>
      <c r="C22" s="26"/>
      <c r="D22" s="26"/>
      <c r="E22" s="26"/>
      <c r="F22" s="26"/>
      <c r="G22" s="5"/>
    </row>
    <row r="23" spans="1:7" ht="12.15" customHeight="1">
      <c r="A23" s="12"/>
      <c r="B23" s="26"/>
      <c r="C23" s="26"/>
      <c r="D23" s="26"/>
      <c r="E23" s="26"/>
      <c r="F23" s="26"/>
      <c r="G23" s="5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3.65" customHeight="1">
      <c r="A26" s="5"/>
      <c r="B26" s="3" t="s">
        <v>673</v>
      </c>
      <c r="C26" s="3" t="s">
        <v>674</v>
      </c>
      <c r="D26" s="12" t="s">
        <v>675</v>
      </c>
      <c r="E26" s="12" t="s">
        <v>726</v>
      </c>
      <c r="F26" s="5"/>
      <c r="G26" s="5"/>
    </row>
    <row r="27" spans="1:7" ht="13.65" customHeight="1">
      <c r="A27" s="5"/>
      <c r="B27" s="3" t="s">
        <v>816</v>
      </c>
      <c r="C27" s="3" t="s">
        <v>678</v>
      </c>
      <c r="D27" s="12" t="s">
        <v>675</v>
      </c>
      <c r="E27" s="12" t="s">
        <v>726</v>
      </c>
      <c r="F27" s="5"/>
      <c r="G27" s="5"/>
    </row>
    <row r="28" spans="1:7" ht="13.95" customHeight="1">
      <c r="A28" s="5"/>
      <c r="B28" s="3" t="s">
        <v>751</v>
      </c>
      <c r="C28" s="3" t="s">
        <v>681</v>
      </c>
      <c r="D28" s="12" t="s">
        <v>675</v>
      </c>
      <c r="E28" s="3" t="s">
        <v>788</v>
      </c>
      <c r="F28" s="5"/>
      <c r="G28" s="5"/>
    </row>
    <row r="29" spans="1:7" ht="13.65" customHeight="1">
      <c r="A29" s="5"/>
      <c r="B29" s="3" t="s">
        <v>683</v>
      </c>
      <c r="C29" s="3" t="s">
        <v>684</v>
      </c>
      <c r="D29" s="12" t="s">
        <v>675</v>
      </c>
      <c r="E29" s="3" t="s">
        <v>891</v>
      </c>
      <c r="F29" s="5"/>
      <c r="G29" s="5"/>
    </row>
    <row r="30" spans="1:7" ht="12" customHeight="1">
      <c r="A30" s="5"/>
      <c r="B30" s="5"/>
      <c r="C30" s="5"/>
      <c r="D30" s="5"/>
      <c r="E30" s="2474" t="s">
        <v>685</v>
      </c>
      <c r="F30" s="2474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65" customHeight="1">
      <c r="A32" s="5"/>
      <c r="B32" s="3" t="s">
        <v>1185</v>
      </c>
      <c r="C32" s="5"/>
      <c r="D32" s="12" t="s">
        <v>881</v>
      </c>
      <c r="E32" s="3" t="s">
        <v>852</v>
      </c>
      <c r="F32" s="5"/>
      <c r="G32" s="5"/>
    </row>
    <row r="33" spans="1:7" ht="13.95" customHeight="1">
      <c r="A33" s="5"/>
      <c r="B33" s="3" t="s">
        <v>1186</v>
      </c>
      <c r="C33" s="5"/>
      <c r="D33" s="12" t="s">
        <v>690</v>
      </c>
      <c r="E33" s="12" t="s">
        <v>753</v>
      </c>
      <c r="F33" s="5"/>
      <c r="G33" s="5"/>
    </row>
    <row r="34" spans="1:7" ht="12" customHeight="1">
      <c r="A34" s="5"/>
      <c r="B34" s="5"/>
      <c r="C34" s="5"/>
      <c r="D34" s="5"/>
      <c r="E34" s="2474" t="s">
        <v>702</v>
      </c>
      <c r="F34" s="2474"/>
      <c r="G34" s="5"/>
    </row>
    <row r="35" spans="1:7" ht="12" customHeight="1">
      <c r="A35" s="12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2474" t="s">
        <v>705</v>
      </c>
      <c r="F37" s="2474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2474" t="s">
        <v>707</v>
      </c>
      <c r="C39" s="2474"/>
      <c r="D39" s="2474"/>
      <c r="E39" s="2474"/>
      <c r="F39" s="2474"/>
      <c r="G39" s="5"/>
    </row>
    <row r="40" spans="1:7" ht="12" customHeight="1">
      <c r="A40" s="12" t="s">
        <v>708</v>
      </c>
      <c r="B40" s="2471" t="s">
        <v>876</v>
      </c>
      <c r="C40" s="2471"/>
      <c r="D40" s="2471"/>
      <c r="E40" s="2472" t="s">
        <v>710</v>
      </c>
      <c r="F40" s="2472"/>
      <c r="G40" s="5"/>
    </row>
    <row r="41" spans="1:7" ht="12" customHeight="1">
      <c r="A41" s="12" t="s">
        <v>711</v>
      </c>
      <c r="B41" s="2473" t="s">
        <v>712</v>
      </c>
      <c r="C41" s="2473"/>
      <c r="D41" s="2473"/>
      <c r="E41" s="2473"/>
      <c r="F41" s="2473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69">
    <tabColor rgb="FFC00000"/>
  </sheetPr>
  <dimension ref="A1:G43"/>
  <sheetViews>
    <sheetView topLeftCell="A25" workbookViewId="0">
      <selection sqref="A1:G43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6640625" customWidth="1"/>
    <col min="6" max="6" width="14.33203125" customWidth="1"/>
    <col min="7" max="7" width="16.6640625" customWidth="1"/>
  </cols>
  <sheetData>
    <row r="1" spans="1:7">
      <c r="A1" s="51" t="s">
        <v>2257</v>
      </c>
    </row>
    <row r="2" spans="1:7">
      <c r="A2" s="68"/>
    </row>
    <row r="3" spans="1:7">
      <c r="A3" s="50" t="s">
        <v>2258</v>
      </c>
    </row>
    <row r="5" spans="1:7" ht="35.1" customHeight="1">
      <c r="A5" s="6" t="s">
        <v>762</v>
      </c>
      <c r="B5" s="6" t="s">
        <v>763</v>
      </c>
      <c r="C5" s="6" t="s">
        <v>764</v>
      </c>
      <c r="D5" s="6" t="s">
        <v>765</v>
      </c>
      <c r="E5" s="91" t="s">
        <v>766</v>
      </c>
      <c r="F5" s="7" t="s">
        <v>767</v>
      </c>
      <c r="G5" s="7" t="s">
        <v>768</v>
      </c>
    </row>
    <row r="6" spans="1:7" ht="12" customHeight="1">
      <c r="A6" s="12" t="s">
        <v>671</v>
      </c>
      <c r="B6" s="3" t="s">
        <v>672</v>
      </c>
      <c r="C6" s="5"/>
      <c r="D6" s="5"/>
      <c r="E6" s="86"/>
      <c r="F6" s="5"/>
      <c r="G6" s="5"/>
    </row>
    <row r="7" spans="1:7" ht="13.65" customHeight="1">
      <c r="A7" s="5"/>
      <c r="B7" s="3" t="s">
        <v>673</v>
      </c>
      <c r="C7" s="3" t="s">
        <v>674</v>
      </c>
      <c r="D7" s="12" t="s">
        <v>675</v>
      </c>
      <c r="E7" s="96" t="s">
        <v>851</v>
      </c>
      <c r="F7" s="5"/>
      <c r="G7" s="5"/>
    </row>
    <row r="8" spans="1:7" ht="13.65" customHeight="1">
      <c r="A8" s="5"/>
      <c r="B8" s="3" t="s">
        <v>871</v>
      </c>
      <c r="C8" s="3" t="s">
        <v>678</v>
      </c>
      <c r="D8" s="12" t="s">
        <v>675</v>
      </c>
      <c r="E8" s="96" t="s">
        <v>854</v>
      </c>
      <c r="F8" s="5"/>
      <c r="G8" s="5"/>
    </row>
    <row r="9" spans="1:7" ht="13.95" customHeight="1">
      <c r="A9" s="5"/>
      <c r="B9" s="3" t="s">
        <v>751</v>
      </c>
      <c r="C9" s="3" t="s">
        <v>681</v>
      </c>
      <c r="D9" s="12" t="s">
        <v>675</v>
      </c>
      <c r="E9" s="96" t="s">
        <v>730</v>
      </c>
      <c r="F9" s="5"/>
      <c r="G9" s="5"/>
    </row>
    <row r="10" spans="1:7" ht="13.65" customHeight="1">
      <c r="A10" s="5"/>
      <c r="B10" s="3" t="s">
        <v>683</v>
      </c>
      <c r="C10" s="3" t="s">
        <v>684</v>
      </c>
      <c r="D10" s="12" t="s">
        <v>675</v>
      </c>
      <c r="E10" s="96" t="s">
        <v>783</v>
      </c>
      <c r="F10" s="5"/>
      <c r="G10" s="5"/>
    </row>
    <row r="11" spans="1:7" ht="12" customHeight="1">
      <c r="A11" s="5"/>
      <c r="B11" s="5"/>
      <c r="C11" s="5"/>
      <c r="D11" s="5"/>
      <c r="E11" s="96" t="s">
        <v>685</v>
      </c>
      <c r="F11" s="97"/>
      <c r="G11" s="5"/>
    </row>
    <row r="12" spans="1:7" ht="12" customHeight="1">
      <c r="A12" s="12" t="s">
        <v>686</v>
      </c>
      <c r="B12" s="3" t="s">
        <v>687</v>
      </c>
      <c r="C12" s="5"/>
      <c r="D12" s="5"/>
      <c r="E12" s="86"/>
      <c r="F12" s="5"/>
      <c r="G12" s="5"/>
    </row>
    <row r="13" spans="1:7" ht="13.65" customHeight="1">
      <c r="A13" s="5"/>
      <c r="B13" s="3" t="s">
        <v>1187</v>
      </c>
      <c r="C13" s="5"/>
      <c r="D13" s="12" t="s">
        <v>961</v>
      </c>
      <c r="E13" s="96" t="s">
        <v>737</v>
      </c>
      <c r="F13" s="5"/>
      <c r="G13" s="5"/>
    </row>
    <row r="14" spans="1:7" ht="13.95" customHeight="1">
      <c r="A14" s="5"/>
      <c r="B14" s="3" t="s">
        <v>1188</v>
      </c>
      <c r="C14" s="5"/>
      <c r="D14" s="12" t="s">
        <v>773</v>
      </c>
      <c r="E14" s="96" t="s">
        <v>779</v>
      </c>
      <c r="F14" s="5"/>
      <c r="G14" s="5"/>
    </row>
    <row r="15" spans="1:7" ht="12" customHeight="1">
      <c r="A15" s="5"/>
      <c r="B15" s="5"/>
      <c r="C15" s="5"/>
      <c r="D15" s="5"/>
      <c r="E15" s="96" t="s">
        <v>702</v>
      </c>
      <c r="F15" s="97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86"/>
      <c r="F16" s="5"/>
      <c r="G16" s="5"/>
    </row>
    <row r="17" spans="1:7" ht="12" customHeight="1">
      <c r="A17" s="5"/>
      <c r="B17" s="5"/>
      <c r="C17" s="5"/>
      <c r="D17" s="5"/>
      <c r="E17" s="86"/>
      <c r="F17" s="5"/>
      <c r="G17" s="5"/>
    </row>
    <row r="18" spans="1:7" ht="12" customHeight="1">
      <c r="A18" s="5"/>
      <c r="B18" s="5"/>
      <c r="C18" s="5"/>
      <c r="D18" s="5"/>
      <c r="E18" s="96" t="s">
        <v>705</v>
      </c>
      <c r="F18" s="97"/>
      <c r="G18" s="5"/>
    </row>
    <row r="19" spans="1:7" ht="12" customHeight="1">
      <c r="A19" s="5"/>
      <c r="B19" s="5"/>
      <c r="C19" s="5"/>
      <c r="D19" s="5"/>
      <c r="E19" s="86"/>
      <c r="F19" s="5"/>
      <c r="G19" s="5"/>
    </row>
    <row r="20" spans="1:7" ht="12" customHeight="1">
      <c r="A20" s="12" t="s">
        <v>706</v>
      </c>
      <c r="B20" s="96" t="s">
        <v>707</v>
      </c>
      <c r="C20" s="102"/>
      <c r="D20" s="102"/>
      <c r="E20" s="102"/>
      <c r="F20" s="97"/>
      <c r="G20" s="5"/>
    </row>
    <row r="21" spans="1:7" ht="12" customHeight="1">
      <c r="A21" s="12" t="s">
        <v>708</v>
      </c>
      <c r="B21" s="92" t="s">
        <v>876</v>
      </c>
      <c r="C21" s="93"/>
      <c r="D21" s="94"/>
      <c r="E21" s="96" t="s">
        <v>710</v>
      </c>
      <c r="F21" s="97"/>
      <c r="G21" s="5"/>
    </row>
    <row r="22" spans="1:7" ht="12" customHeight="1">
      <c r="A22" s="12" t="s">
        <v>711</v>
      </c>
      <c r="B22" s="96" t="s">
        <v>712</v>
      </c>
      <c r="C22" s="102"/>
      <c r="D22" s="102"/>
      <c r="E22" s="102"/>
      <c r="F22" s="97"/>
      <c r="G22" s="5"/>
    </row>
    <row r="23" spans="1:7" ht="12" customHeight="1">
      <c r="A23" s="12"/>
      <c r="B23" s="26"/>
      <c r="C23" s="26"/>
      <c r="D23" s="26"/>
      <c r="E23" s="26"/>
      <c r="F23" s="26"/>
      <c r="G23" s="5"/>
    </row>
    <row r="24" spans="1:7" ht="12" customHeight="1">
      <c r="A24" s="51" t="s">
        <v>2259</v>
      </c>
      <c r="B24" s="26"/>
      <c r="C24" s="26"/>
      <c r="D24" s="26"/>
      <c r="E24" s="26"/>
      <c r="F24" s="26"/>
      <c r="G24" s="5"/>
    </row>
    <row r="25" spans="1:7" ht="12" customHeight="1">
      <c r="A25" s="12"/>
      <c r="B25" s="26"/>
      <c r="C25" s="26"/>
      <c r="D25" s="26"/>
      <c r="E25" s="26"/>
      <c r="F25" s="26"/>
      <c r="G25" s="5"/>
    </row>
    <row r="26" spans="1:7" ht="35.1" customHeight="1">
      <c r="A26" s="6" t="s">
        <v>762</v>
      </c>
      <c r="B26" s="6" t="s">
        <v>763</v>
      </c>
      <c r="C26" s="6" t="s">
        <v>764</v>
      </c>
      <c r="D26" s="91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86"/>
      <c r="E27" s="5"/>
      <c r="F27" s="5"/>
      <c r="G27" s="5"/>
    </row>
    <row r="28" spans="1:7" ht="13.65" customHeight="1">
      <c r="A28" s="5"/>
      <c r="B28" s="3" t="s">
        <v>673</v>
      </c>
      <c r="C28" s="3" t="s">
        <v>674</v>
      </c>
      <c r="D28" s="96" t="s">
        <v>675</v>
      </c>
      <c r="E28" s="3" t="s">
        <v>889</v>
      </c>
      <c r="F28" s="5"/>
      <c r="G28" s="5"/>
    </row>
    <row r="29" spans="1:7" ht="13.95" customHeight="1">
      <c r="A29" s="5"/>
      <c r="B29" s="3" t="s">
        <v>871</v>
      </c>
      <c r="C29" s="3" t="s">
        <v>678</v>
      </c>
      <c r="D29" s="96" t="s">
        <v>675</v>
      </c>
      <c r="E29" s="3" t="s">
        <v>889</v>
      </c>
      <c r="F29" s="5"/>
      <c r="G29" s="5"/>
    </row>
    <row r="30" spans="1:7" ht="13.65" customHeight="1">
      <c r="A30" s="5"/>
      <c r="B30" s="3" t="s">
        <v>751</v>
      </c>
      <c r="C30" s="3" t="s">
        <v>681</v>
      </c>
      <c r="D30" s="96" t="s">
        <v>675</v>
      </c>
      <c r="E30" s="3" t="s">
        <v>788</v>
      </c>
      <c r="F30" s="5"/>
      <c r="G30" s="5"/>
    </row>
    <row r="31" spans="1:7" ht="13.95" customHeight="1">
      <c r="A31" s="5"/>
      <c r="B31" s="3" t="s">
        <v>683</v>
      </c>
      <c r="C31" s="3" t="s">
        <v>684</v>
      </c>
      <c r="D31" s="96" t="s">
        <v>675</v>
      </c>
      <c r="E31" s="3" t="s">
        <v>891</v>
      </c>
      <c r="F31" s="5"/>
      <c r="G31" s="5"/>
    </row>
    <row r="32" spans="1:7" ht="12" customHeight="1">
      <c r="A32" s="5"/>
      <c r="B32" s="5"/>
      <c r="C32" s="5"/>
      <c r="D32" s="86"/>
      <c r="E32" s="2474" t="s">
        <v>685</v>
      </c>
      <c r="F32" s="2474"/>
      <c r="G32" s="5"/>
    </row>
    <row r="33" spans="1:7" ht="12" customHeight="1">
      <c r="A33" s="12" t="s">
        <v>686</v>
      </c>
      <c r="B33" s="3" t="s">
        <v>687</v>
      </c>
      <c r="C33" s="5"/>
      <c r="D33" s="86"/>
      <c r="E33" s="5"/>
      <c r="F33" s="5"/>
      <c r="G33" s="5"/>
    </row>
    <row r="34" spans="1:7" ht="13.65" customHeight="1">
      <c r="A34" s="5"/>
      <c r="B34" s="3" t="s">
        <v>1189</v>
      </c>
      <c r="C34" s="5"/>
      <c r="D34" s="96" t="s">
        <v>888</v>
      </c>
      <c r="E34" s="12">
        <v>12</v>
      </c>
      <c r="F34" s="5"/>
      <c r="G34" s="5"/>
    </row>
    <row r="35" spans="1:7" ht="13.65" customHeight="1">
      <c r="A35" s="5"/>
      <c r="B35" s="3" t="s">
        <v>1188</v>
      </c>
      <c r="C35" s="5"/>
      <c r="D35" s="96" t="s">
        <v>773</v>
      </c>
      <c r="E35" s="3" t="s">
        <v>801</v>
      </c>
      <c r="F35" s="5"/>
      <c r="G35" s="5"/>
    </row>
    <row r="36" spans="1:7" ht="12" customHeight="1">
      <c r="A36" s="5"/>
      <c r="B36" s="5"/>
      <c r="C36" s="5"/>
      <c r="D36" s="86"/>
      <c r="E36" s="2474" t="s">
        <v>702</v>
      </c>
      <c r="F36" s="2474"/>
      <c r="G36" s="5"/>
    </row>
    <row r="37" spans="1:7" ht="12" customHeight="1">
      <c r="A37" s="12" t="s">
        <v>703</v>
      </c>
      <c r="B37" s="3" t="s">
        <v>704</v>
      </c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5"/>
      <c r="B39" s="5"/>
      <c r="C39" s="5"/>
      <c r="D39" s="5"/>
      <c r="E39" s="2474" t="s">
        <v>705</v>
      </c>
      <c r="F39" s="2474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12" t="s">
        <v>706</v>
      </c>
      <c r="B41" s="2474" t="s">
        <v>707</v>
      </c>
      <c r="C41" s="2474"/>
      <c r="D41" s="2474"/>
      <c r="E41" s="2474"/>
      <c r="F41" s="2474"/>
      <c r="G41" s="5"/>
    </row>
    <row r="42" spans="1:7" ht="12" customHeight="1">
      <c r="A42" s="12" t="s">
        <v>708</v>
      </c>
      <c r="B42" s="2471" t="s">
        <v>876</v>
      </c>
      <c r="C42" s="2471"/>
      <c r="D42" s="2471"/>
      <c r="E42" s="2472" t="s">
        <v>710</v>
      </c>
      <c r="F42" s="2472"/>
      <c r="G42" s="5"/>
    </row>
    <row r="43" spans="1:7" ht="12" customHeight="1">
      <c r="A43" s="12" t="s">
        <v>711</v>
      </c>
      <c r="B43" s="2473" t="s">
        <v>712</v>
      </c>
      <c r="C43" s="2473"/>
      <c r="D43" s="2473"/>
      <c r="E43" s="2473"/>
      <c r="F43" s="2473"/>
      <c r="G43" s="5"/>
    </row>
  </sheetData>
  <mergeCells count="7">
    <mergeCell ref="B43:F43"/>
    <mergeCell ref="E32:F32"/>
    <mergeCell ref="E36:F36"/>
    <mergeCell ref="E39:F39"/>
    <mergeCell ref="B41:F41"/>
    <mergeCell ref="B42:D42"/>
    <mergeCell ref="E42:F42"/>
  </mergeCell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70"/>
  <dimension ref="A1:G41"/>
  <sheetViews>
    <sheetView workbookViewId="0">
      <selection activeCell="G41" sqref="A1:G41"/>
    </sheetView>
  </sheetViews>
  <sheetFormatPr defaultRowHeight="14.4"/>
  <cols>
    <col min="1" max="1" width="5.33203125" customWidth="1"/>
    <col min="2" max="2" width="22.33203125" customWidth="1"/>
    <col min="3" max="3" width="6.88671875" customWidth="1"/>
    <col min="4" max="4" width="11" customWidth="1"/>
    <col min="5" max="5" width="22.44140625" customWidth="1"/>
    <col min="6" max="6" width="14.33203125" customWidth="1"/>
    <col min="7" max="7" width="16.6640625" customWidth="1"/>
  </cols>
  <sheetData>
    <row r="1" spans="1:7">
      <c r="A1" s="50" t="s">
        <v>2260</v>
      </c>
    </row>
    <row r="3" spans="1:7" ht="35.1" customHeight="1">
      <c r="A3" s="6" t="s">
        <v>762</v>
      </c>
      <c r="B3" s="6" t="s">
        <v>763</v>
      </c>
      <c r="C3" s="91" t="s">
        <v>764</v>
      </c>
      <c r="D3" s="91" t="s">
        <v>765</v>
      </c>
      <c r="E3" s="91" t="s">
        <v>766</v>
      </c>
      <c r="F3" s="90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86"/>
      <c r="D4" s="86"/>
      <c r="E4" s="86"/>
      <c r="F4" s="87"/>
      <c r="G4" s="5"/>
    </row>
    <row r="5" spans="1:7" ht="13.65" customHeight="1">
      <c r="A5" s="5"/>
      <c r="B5" s="3" t="s">
        <v>673</v>
      </c>
      <c r="C5" s="96" t="s">
        <v>674</v>
      </c>
      <c r="D5" s="96" t="s">
        <v>675</v>
      </c>
      <c r="E5" s="96" t="s">
        <v>889</v>
      </c>
      <c r="F5" s="87"/>
      <c r="G5" s="5"/>
    </row>
    <row r="6" spans="1:7" ht="13.95" customHeight="1">
      <c r="A6" s="5"/>
      <c r="B6" s="3" t="s">
        <v>871</v>
      </c>
      <c r="C6" s="96" t="s">
        <v>678</v>
      </c>
      <c r="D6" s="96" t="s">
        <v>675</v>
      </c>
      <c r="E6" s="96" t="s">
        <v>889</v>
      </c>
      <c r="F6" s="87"/>
      <c r="G6" s="5"/>
    </row>
    <row r="7" spans="1:7" ht="13.65" customHeight="1">
      <c r="A7" s="5"/>
      <c r="B7" s="3" t="s">
        <v>751</v>
      </c>
      <c r="C7" s="96" t="s">
        <v>681</v>
      </c>
      <c r="D7" s="96" t="s">
        <v>675</v>
      </c>
      <c r="E7" s="96" t="s">
        <v>788</v>
      </c>
      <c r="F7" s="87"/>
      <c r="G7" s="5"/>
    </row>
    <row r="8" spans="1:7" ht="13.65" customHeight="1">
      <c r="A8" s="5"/>
      <c r="B8" s="3" t="s">
        <v>683</v>
      </c>
      <c r="C8" s="96" t="s">
        <v>684</v>
      </c>
      <c r="D8" s="96" t="s">
        <v>675</v>
      </c>
      <c r="E8" s="96" t="s">
        <v>891</v>
      </c>
      <c r="F8" s="87"/>
      <c r="G8" s="5"/>
    </row>
    <row r="9" spans="1:7" ht="12" customHeight="1">
      <c r="A9" s="5"/>
      <c r="B9" s="5"/>
      <c r="C9" s="86"/>
      <c r="D9" s="86"/>
      <c r="E9" s="96" t="s">
        <v>685</v>
      </c>
      <c r="F9" s="97"/>
      <c r="G9" s="5"/>
    </row>
    <row r="10" spans="1:7" ht="12" customHeight="1">
      <c r="A10" s="12" t="s">
        <v>686</v>
      </c>
      <c r="B10" s="3" t="s">
        <v>687</v>
      </c>
      <c r="C10" s="86"/>
      <c r="D10" s="86"/>
      <c r="E10" s="86"/>
      <c r="F10" s="87"/>
      <c r="G10" s="5"/>
    </row>
    <row r="11" spans="1:7" ht="13.95" customHeight="1">
      <c r="A11" s="5"/>
      <c r="B11" s="3" t="s">
        <v>1189</v>
      </c>
      <c r="C11" s="86"/>
      <c r="D11" s="96" t="s">
        <v>888</v>
      </c>
      <c r="E11" s="96" t="s">
        <v>1190</v>
      </c>
      <c r="F11" s="87"/>
      <c r="G11" s="5"/>
    </row>
    <row r="12" spans="1:7" ht="13.65" customHeight="1">
      <c r="A12" s="5"/>
      <c r="B12" s="3" t="s">
        <v>1188</v>
      </c>
      <c r="C12" s="86"/>
      <c r="D12" s="96" t="s">
        <v>773</v>
      </c>
      <c r="E12" s="96" t="s">
        <v>801</v>
      </c>
      <c r="F12" s="87"/>
      <c r="G12" s="5"/>
    </row>
    <row r="13" spans="1:7" ht="12" customHeight="1">
      <c r="A13" s="5"/>
      <c r="B13" s="5"/>
      <c r="C13" s="86"/>
      <c r="D13" s="86"/>
      <c r="E13" s="96" t="s">
        <v>702</v>
      </c>
      <c r="F13" s="97"/>
      <c r="G13" s="5"/>
    </row>
    <row r="14" spans="1:7" ht="12" customHeight="1">
      <c r="A14" s="12" t="s">
        <v>703</v>
      </c>
      <c r="B14" s="3" t="s">
        <v>704</v>
      </c>
      <c r="C14" s="86"/>
      <c r="D14" s="87"/>
      <c r="E14" s="86"/>
      <c r="F14" s="87"/>
      <c r="G14" s="5"/>
    </row>
    <row r="15" spans="1:7" ht="12" customHeight="1">
      <c r="A15" s="5"/>
      <c r="B15" s="5"/>
      <c r="C15" s="87"/>
      <c r="D15" s="87"/>
      <c r="E15" s="86"/>
      <c r="F15" s="87"/>
      <c r="G15" s="5"/>
    </row>
    <row r="16" spans="1:7" ht="12" customHeight="1">
      <c r="A16" s="5"/>
      <c r="B16" s="5"/>
      <c r="C16" s="87"/>
      <c r="D16" s="87"/>
      <c r="E16" s="96" t="s">
        <v>705</v>
      </c>
      <c r="F16" s="97"/>
      <c r="G16" s="5"/>
    </row>
    <row r="17" spans="1:7" ht="12" customHeight="1">
      <c r="A17" s="5"/>
      <c r="B17" s="5"/>
      <c r="C17" s="87"/>
      <c r="D17" s="87"/>
      <c r="E17" s="86"/>
      <c r="F17" s="87"/>
      <c r="G17" s="5"/>
    </row>
    <row r="18" spans="1:7" ht="12" customHeight="1">
      <c r="A18" s="12" t="s">
        <v>706</v>
      </c>
      <c r="B18" s="96" t="s">
        <v>707</v>
      </c>
      <c r="C18" s="102"/>
      <c r="D18" s="102"/>
      <c r="E18" s="102"/>
      <c r="F18" s="97"/>
      <c r="G18" s="5"/>
    </row>
    <row r="19" spans="1:7" ht="12" customHeight="1">
      <c r="A19" s="12" t="s">
        <v>708</v>
      </c>
      <c r="B19" s="92" t="s">
        <v>876</v>
      </c>
      <c r="C19" s="93"/>
      <c r="D19" s="94"/>
      <c r="E19" s="96" t="s">
        <v>710</v>
      </c>
      <c r="F19" s="97"/>
      <c r="G19" s="5"/>
    </row>
    <row r="20" spans="1:7" ht="12" customHeight="1">
      <c r="A20" s="12" t="s">
        <v>711</v>
      </c>
      <c r="B20" s="96" t="s">
        <v>712</v>
      </c>
      <c r="C20" s="102"/>
      <c r="D20" s="102"/>
      <c r="E20" s="102"/>
      <c r="F20" s="97"/>
      <c r="G20" s="5"/>
    </row>
    <row r="21" spans="1:7" ht="12" customHeight="1">
      <c r="A21" s="12"/>
      <c r="B21" s="26"/>
      <c r="C21" s="26"/>
      <c r="D21" s="26"/>
      <c r="E21" s="26"/>
      <c r="F21" s="26"/>
      <c r="G21" s="5"/>
    </row>
    <row r="22" spans="1:7" ht="12" customHeight="1">
      <c r="A22" s="50" t="s">
        <v>2261</v>
      </c>
      <c r="B22" s="26"/>
      <c r="C22" s="26"/>
      <c r="D22" s="26"/>
      <c r="E22" s="26"/>
      <c r="F22" s="26"/>
      <c r="G22" s="5"/>
    </row>
    <row r="23" spans="1:7" ht="12" customHeight="1">
      <c r="A23" s="12"/>
      <c r="B23" s="26"/>
      <c r="C23" s="26"/>
      <c r="D23" s="26"/>
      <c r="E23" s="26"/>
      <c r="F23" s="26"/>
      <c r="G23" s="5"/>
    </row>
    <row r="24" spans="1:7" ht="34.950000000000003" customHeight="1">
      <c r="A24" s="6" t="s">
        <v>762</v>
      </c>
      <c r="B24" s="91" t="s">
        <v>763</v>
      </c>
      <c r="C24" s="91" t="s">
        <v>764</v>
      </c>
      <c r="D24" s="91" t="s">
        <v>765</v>
      </c>
      <c r="E24" s="91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96" t="s">
        <v>672</v>
      </c>
      <c r="C25" s="86"/>
      <c r="D25" s="86"/>
      <c r="E25" s="86"/>
      <c r="F25" s="5"/>
      <c r="G25" s="5"/>
    </row>
    <row r="26" spans="1:7" ht="13.95" customHeight="1">
      <c r="A26" s="5"/>
      <c r="B26" s="96" t="s">
        <v>673</v>
      </c>
      <c r="C26" s="96" t="s">
        <v>674</v>
      </c>
      <c r="D26" s="96" t="s">
        <v>675</v>
      </c>
      <c r="E26" s="96" t="s">
        <v>741</v>
      </c>
      <c r="F26" s="5"/>
      <c r="G26" s="5"/>
    </row>
    <row r="27" spans="1:7" ht="13.65" customHeight="1">
      <c r="A27" s="5"/>
      <c r="B27" s="96" t="s">
        <v>871</v>
      </c>
      <c r="C27" s="96" t="s">
        <v>678</v>
      </c>
      <c r="D27" s="96" t="s">
        <v>675</v>
      </c>
      <c r="E27" s="96" t="s">
        <v>741</v>
      </c>
      <c r="F27" s="5"/>
      <c r="G27" s="5"/>
    </row>
    <row r="28" spans="1:7" ht="13.65" customHeight="1">
      <c r="A28" s="5"/>
      <c r="B28" s="96" t="s">
        <v>751</v>
      </c>
      <c r="C28" s="96" t="s">
        <v>681</v>
      </c>
      <c r="D28" s="96" t="s">
        <v>675</v>
      </c>
      <c r="E28" s="96" t="s">
        <v>779</v>
      </c>
      <c r="F28" s="5"/>
      <c r="G28" s="5"/>
    </row>
    <row r="29" spans="1:7" ht="13.95" customHeight="1">
      <c r="A29" s="5"/>
      <c r="B29" s="96" t="s">
        <v>683</v>
      </c>
      <c r="C29" s="96" t="s">
        <v>684</v>
      </c>
      <c r="D29" s="96" t="s">
        <v>675</v>
      </c>
      <c r="E29" s="96" t="s">
        <v>693</v>
      </c>
      <c r="F29" s="5"/>
      <c r="G29" s="5"/>
    </row>
    <row r="30" spans="1:7" ht="12" customHeight="1">
      <c r="A30" s="5"/>
      <c r="B30" s="86"/>
      <c r="C30" s="86"/>
      <c r="D30" s="86"/>
      <c r="E30" s="96" t="s">
        <v>685</v>
      </c>
      <c r="F30" s="97"/>
      <c r="G30" s="5"/>
    </row>
    <row r="31" spans="1:7" ht="12" customHeight="1">
      <c r="A31" s="12" t="s">
        <v>686</v>
      </c>
      <c r="B31" s="96" t="s">
        <v>687</v>
      </c>
      <c r="C31" s="86"/>
      <c r="D31" s="86"/>
      <c r="E31" s="86"/>
      <c r="F31" s="5"/>
      <c r="G31" s="5"/>
    </row>
    <row r="32" spans="1:7" ht="13.65" customHeight="1">
      <c r="A32" s="5"/>
      <c r="B32" s="96" t="s">
        <v>1189</v>
      </c>
      <c r="C32" s="86"/>
      <c r="D32" s="96" t="s">
        <v>888</v>
      </c>
      <c r="E32" s="96" t="s">
        <v>756</v>
      </c>
      <c r="F32" s="5"/>
      <c r="G32" s="5"/>
    </row>
    <row r="33" spans="1:7" ht="13.65" customHeight="1">
      <c r="A33" s="5"/>
      <c r="B33" s="96" t="s">
        <v>1188</v>
      </c>
      <c r="C33" s="86"/>
      <c r="D33" s="96" t="s">
        <v>773</v>
      </c>
      <c r="E33" s="96" t="s">
        <v>801</v>
      </c>
      <c r="F33" s="5"/>
      <c r="G33" s="5"/>
    </row>
    <row r="34" spans="1:7" ht="12" customHeight="1">
      <c r="A34" s="5"/>
      <c r="B34" s="86"/>
      <c r="C34" s="86"/>
      <c r="D34" s="86"/>
      <c r="E34" s="96" t="s">
        <v>702</v>
      </c>
      <c r="F34" s="97"/>
      <c r="G34" s="5"/>
    </row>
    <row r="35" spans="1:7" ht="12" customHeight="1">
      <c r="A35" s="12" t="s">
        <v>703</v>
      </c>
      <c r="B35" s="96" t="s">
        <v>704</v>
      </c>
      <c r="C35" s="86"/>
      <c r="D35" s="86"/>
      <c r="E35" s="86"/>
      <c r="F35" s="5"/>
      <c r="G35" s="5"/>
    </row>
    <row r="36" spans="1:7" ht="12" customHeight="1">
      <c r="A36" s="5"/>
      <c r="B36" s="86"/>
      <c r="C36" s="86"/>
      <c r="D36" s="86"/>
      <c r="E36" s="86"/>
      <c r="F36" s="5"/>
      <c r="G36" s="5"/>
    </row>
    <row r="37" spans="1:7" ht="12" customHeight="1">
      <c r="A37" s="5"/>
      <c r="B37" s="86"/>
      <c r="C37" s="86"/>
      <c r="D37" s="86"/>
      <c r="E37" s="96" t="s">
        <v>705</v>
      </c>
      <c r="F37" s="97"/>
      <c r="G37" s="5"/>
    </row>
    <row r="38" spans="1:7" ht="12" customHeight="1">
      <c r="A38" s="5"/>
      <c r="B38" s="86"/>
      <c r="C38" s="86"/>
      <c r="D38" s="86"/>
      <c r="E38" s="86"/>
      <c r="F38" s="5"/>
      <c r="G38" s="5"/>
    </row>
    <row r="39" spans="1:7" ht="12" customHeight="1">
      <c r="A39" s="12" t="s">
        <v>706</v>
      </c>
      <c r="B39" s="96" t="s">
        <v>707</v>
      </c>
      <c r="C39" s="102"/>
      <c r="D39" s="102"/>
      <c r="E39" s="102"/>
      <c r="F39" s="97"/>
      <c r="G39" s="5"/>
    </row>
    <row r="40" spans="1:7" ht="12" customHeight="1">
      <c r="A40" s="12" t="s">
        <v>708</v>
      </c>
      <c r="B40" s="92" t="s">
        <v>876</v>
      </c>
      <c r="C40" s="93"/>
      <c r="D40" s="93"/>
      <c r="E40" s="96" t="s">
        <v>710</v>
      </c>
      <c r="F40" s="97"/>
      <c r="G40" s="5"/>
    </row>
    <row r="41" spans="1:7" ht="12.15" customHeight="1">
      <c r="A41" s="12" t="s">
        <v>711</v>
      </c>
      <c r="B41" s="96" t="s">
        <v>712</v>
      </c>
      <c r="C41" s="102"/>
      <c r="D41" s="102"/>
      <c r="E41" s="102"/>
      <c r="F41" s="97"/>
      <c r="G41" s="5"/>
    </row>
  </sheetData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71"/>
  <dimension ref="A1:G41"/>
  <sheetViews>
    <sheetView topLeftCell="A13" workbookViewId="0">
      <selection activeCell="B27" sqref="B27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8.5546875" customWidth="1"/>
    <col min="5" max="5" width="9.109375" customWidth="1"/>
    <col min="6" max="6" width="14.33203125" customWidth="1"/>
    <col min="7" max="7" width="16.6640625" customWidth="1"/>
  </cols>
  <sheetData>
    <row r="1" spans="1:7">
      <c r="A1" s="50" t="s">
        <v>2262</v>
      </c>
    </row>
    <row r="3" spans="1:7" ht="35.1" customHeight="1">
      <c r="A3" s="6" t="s">
        <v>762</v>
      </c>
      <c r="B3" s="91" t="s">
        <v>763</v>
      </c>
      <c r="C3" s="91" t="s">
        <v>764</v>
      </c>
      <c r="D3" s="91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96" t="s">
        <v>672</v>
      </c>
      <c r="C4" s="86"/>
      <c r="D4" s="86"/>
      <c r="E4" s="5"/>
      <c r="F4" s="5"/>
      <c r="G4" s="5"/>
    </row>
    <row r="5" spans="1:7" ht="13.65" customHeight="1">
      <c r="A5" s="5"/>
      <c r="B5" s="96" t="s">
        <v>673</v>
      </c>
      <c r="C5" s="96" t="s">
        <v>674</v>
      </c>
      <c r="D5" s="96" t="s">
        <v>675</v>
      </c>
      <c r="E5" s="3" t="s">
        <v>741</v>
      </c>
      <c r="F5" s="5"/>
      <c r="G5" s="5"/>
    </row>
    <row r="6" spans="1:7" ht="13.95" customHeight="1">
      <c r="A6" s="5"/>
      <c r="B6" s="96" t="s">
        <v>871</v>
      </c>
      <c r="C6" s="96" t="s">
        <v>678</v>
      </c>
      <c r="D6" s="96" t="s">
        <v>675</v>
      </c>
      <c r="E6" s="3" t="s">
        <v>741</v>
      </c>
      <c r="F6" s="5"/>
      <c r="G6" s="5"/>
    </row>
    <row r="7" spans="1:7" ht="13.65" customHeight="1">
      <c r="A7" s="5"/>
      <c r="B7" s="96" t="s">
        <v>751</v>
      </c>
      <c r="C7" s="96" t="s">
        <v>681</v>
      </c>
      <c r="D7" s="96" t="s">
        <v>675</v>
      </c>
      <c r="E7" s="3" t="s">
        <v>779</v>
      </c>
      <c r="F7" s="5"/>
      <c r="G7" s="5"/>
    </row>
    <row r="8" spans="1:7" ht="13.65" customHeight="1">
      <c r="A8" s="5"/>
      <c r="B8" s="96" t="s">
        <v>683</v>
      </c>
      <c r="C8" s="96" t="s">
        <v>684</v>
      </c>
      <c r="D8" s="96" t="s">
        <v>675</v>
      </c>
      <c r="E8" s="3" t="s">
        <v>693</v>
      </c>
      <c r="F8" s="5"/>
      <c r="G8" s="5"/>
    </row>
    <row r="9" spans="1:7" ht="12" customHeight="1">
      <c r="A9" s="5"/>
      <c r="B9" s="86"/>
      <c r="C9" s="86"/>
      <c r="D9" s="86"/>
      <c r="E9" s="96" t="s">
        <v>685</v>
      </c>
      <c r="F9" s="97"/>
      <c r="G9" s="5"/>
    </row>
    <row r="10" spans="1:7" ht="12" customHeight="1">
      <c r="A10" s="12" t="s">
        <v>686</v>
      </c>
      <c r="B10" s="96" t="s">
        <v>687</v>
      </c>
      <c r="C10" s="86"/>
      <c r="D10" s="86"/>
      <c r="E10" s="5"/>
      <c r="F10" s="5"/>
      <c r="G10" s="5"/>
    </row>
    <row r="11" spans="1:7" ht="13.95" customHeight="1">
      <c r="A11" s="5"/>
      <c r="B11" s="96" t="s">
        <v>1191</v>
      </c>
      <c r="C11" s="86"/>
      <c r="D11" s="96" t="s">
        <v>888</v>
      </c>
      <c r="E11" s="3" t="s">
        <v>786</v>
      </c>
      <c r="F11" s="5"/>
      <c r="G11" s="5"/>
    </row>
    <row r="12" spans="1:7" ht="13.65" customHeight="1">
      <c r="A12" s="5"/>
      <c r="B12" s="96" t="s">
        <v>1188</v>
      </c>
      <c r="C12" s="86"/>
      <c r="D12" s="96" t="s">
        <v>773</v>
      </c>
      <c r="E12" s="3" t="s">
        <v>851</v>
      </c>
      <c r="F12" s="5"/>
      <c r="G12" s="5"/>
    </row>
    <row r="13" spans="1:7" ht="12" customHeight="1">
      <c r="A13" s="5"/>
      <c r="B13" s="86"/>
      <c r="C13" s="86"/>
      <c r="D13" s="86"/>
      <c r="E13" s="96" t="s">
        <v>702</v>
      </c>
      <c r="F13" s="97"/>
      <c r="G13" s="5"/>
    </row>
    <row r="14" spans="1:7" ht="12" customHeight="1">
      <c r="A14" s="12" t="s">
        <v>703</v>
      </c>
      <c r="B14" s="96" t="s">
        <v>704</v>
      </c>
      <c r="C14" s="86"/>
      <c r="D14" s="86"/>
      <c r="E14" s="5"/>
      <c r="F14" s="5"/>
      <c r="G14" s="5"/>
    </row>
    <row r="15" spans="1:7" ht="12" customHeight="1">
      <c r="A15" s="5"/>
      <c r="B15" s="86"/>
      <c r="C15" s="86"/>
      <c r="D15" s="86"/>
      <c r="E15" s="5"/>
      <c r="F15" s="5"/>
      <c r="G15" s="5"/>
    </row>
    <row r="16" spans="1:7" ht="12" customHeight="1">
      <c r="A16" s="5"/>
      <c r="B16" s="86"/>
      <c r="C16" s="86"/>
      <c r="D16" s="87"/>
      <c r="E16" s="96" t="s">
        <v>705</v>
      </c>
      <c r="F16" s="97"/>
      <c r="G16" s="5"/>
    </row>
    <row r="17" spans="1:7" ht="12" customHeight="1">
      <c r="A17" s="5"/>
      <c r="B17" s="86"/>
      <c r="C17" s="86"/>
      <c r="D17" s="87"/>
      <c r="E17" s="5"/>
      <c r="F17" s="5"/>
      <c r="G17" s="5"/>
    </row>
    <row r="18" spans="1:7" ht="12" customHeight="1">
      <c r="A18" s="12" t="s">
        <v>706</v>
      </c>
      <c r="B18" s="96" t="s">
        <v>707</v>
      </c>
      <c r="C18" s="102"/>
      <c r="D18" s="102"/>
      <c r="E18" s="102"/>
      <c r="F18" s="97"/>
      <c r="G18" s="5"/>
    </row>
    <row r="19" spans="1:7" ht="12" customHeight="1">
      <c r="A19" s="12" t="s">
        <v>708</v>
      </c>
      <c r="B19" s="92" t="s">
        <v>876</v>
      </c>
      <c r="C19" s="93"/>
      <c r="D19" s="93"/>
      <c r="E19" s="96" t="s">
        <v>710</v>
      </c>
      <c r="F19" s="97"/>
      <c r="G19" s="5"/>
    </row>
    <row r="20" spans="1:7" ht="12" customHeight="1">
      <c r="A20" s="12" t="s">
        <v>711</v>
      </c>
      <c r="B20" s="96" t="s">
        <v>712</v>
      </c>
      <c r="C20" s="102"/>
      <c r="D20" s="102"/>
      <c r="E20" s="102"/>
      <c r="F20" s="97"/>
      <c r="G20" s="5"/>
    </row>
    <row r="21" spans="1:7" ht="12" customHeight="1">
      <c r="A21" s="12"/>
      <c r="B21" s="26"/>
      <c r="C21" s="26"/>
      <c r="D21" s="26"/>
      <c r="E21" s="26"/>
      <c r="F21" s="26"/>
      <c r="G21" s="5"/>
    </row>
    <row r="22" spans="1:7" ht="12" customHeight="1">
      <c r="A22" s="50" t="s">
        <v>2263</v>
      </c>
      <c r="B22" s="26"/>
      <c r="C22" s="26"/>
      <c r="D22" s="26"/>
      <c r="E22" s="26"/>
      <c r="F22" s="26"/>
      <c r="G22" s="5"/>
    </row>
    <row r="23" spans="1:7" ht="12" customHeight="1">
      <c r="A23" s="12"/>
      <c r="B23" s="26"/>
      <c r="C23" s="26"/>
      <c r="D23" s="26"/>
      <c r="E23" s="26"/>
      <c r="F23" s="26"/>
      <c r="G23" s="5"/>
    </row>
    <row r="24" spans="1:7" ht="35.1" customHeight="1">
      <c r="A24" s="6" t="s">
        <v>762</v>
      </c>
      <c r="B24" s="6" t="s">
        <v>763</v>
      </c>
      <c r="C24" s="91" t="s">
        <v>764</v>
      </c>
      <c r="D24" s="91" t="s">
        <v>765</v>
      </c>
      <c r="E24" s="91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86"/>
      <c r="D25" s="86"/>
      <c r="E25" s="86"/>
      <c r="F25" s="5"/>
      <c r="G25" s="5"/>
    </row>
    <row r="26" spans="1:7" ht="17.100000000000001" customHeight="1">
      <c r="A26" s="5"/>
      <c r="B26" s="3" t="s">
        <v>673</v>
      </c>
      <c r="C26" s="96" t="s">
        <v>674</v>
      </c>
      <c r="D26" s="96" t="s">
        <v>675</v>
      </c>
      <c r="E26" s="96" t="s">
        <v>804</v>
      </c>
      <c r="F26" s="5"/>
      <c r="G26" s="5"/>
    </row>
    <row r="27" spans="1:7" ht="13.95" customHeight="1">
      <c r="A27" s="5"/>
      <c r="B27" s="3" t="s">
        <v>871</v>
      </c>
      <c r="C27" s="96" t="s">
        <v>678</v>
      </c>
      <c r="D27" s="96" t="s">
        <v>675</v>
      </c>
      <c r="E27" s="96" t="s">
        <v>804</v>
      </c>
      <c r="F27" s="5"/>
      <c r="G27" s="5"/>
    </row>
    <row r="28" spans="1:7" ht="15.75" customHeight="1">
      <c r="A28" s="5"/>
      <c r="B28" s="3" t="s">
        <v>751</v>
      </c>
      <c r="C28" s="96" t="s">
        <v>681</v>
      </c>
      <c r="D28" s="96" t="s">
        <v>675</v>
      </c>
      <c r="E28" s="96" t="s">
        <v>735</v>
      </c>
      <c r="F28" s="5"/>
      <c r="G28" s="5"/>
    </row>
    <row r="29" spans="1:7" ht="13.65" customHeight="1">
      <c r="A29" s="5"/>
      <c r="B29" s="3" t="s">
        <v>683</v>
      </c>
      <c r="C29" s="96" t="s">
        <v>684</v>
      </c>
      <c r="D29" s="96" t="s">
        <v>675</v>
      </c>
      <c r="E29" s="96" t="s">
        <v>805</v>
      </c>
      <c r="F29" s="5"/>
      <c r="G29" s="5"/>
    </row>
    <row r="30" spans="1:7" ht="12" customHeight="1">
      <c r="A30" s="5"/>
      <c r="B30" s="5"/>
      <c r="C30" s="86"/>
      <c r="D30" s="86"/>
      <c r="E30" s="96" t="s">
        <v>685</v>
      </c>
      <c r="F30" s="97"/>
      <c r="G30" s="5"/>
    </row>
    <row r="31" spans="1:7" ht="12" customHeight="1">
      <c r="A31" s="12" t="s">
        <v>686</v>
      </c>
      <c r="B31" s="3" t="s">
        <v>687</v>
      </c>
      <c r="C31" s="86"/>
      <c r="D31" s="86"/>
      <c r="E31" s="86"/>
      <c r="F31" s="5"/>
      <c r="G31" s="5"/>
    </row>
    <row r="32" spans="1:7" ht="13.95" customHeight="1">
      <c r="A32" s="5"/>
      <c r="B32" s="3" t="s">
        <v>1192</v>
      </c>
      <c r="C32" s="86"/>
      <c r="D32" s="96" t="s">
        <v>883</v>
      </c>
      <c r="E32" s="96" t="s">
        <v>811</v>
      </c>
      <c r="F32" s="5"/>
      <c r="G32" s="5"/>
    </row>
    <row r="33" spans="1:7" ht="13.65" customHeight="1">
      <c r="A33" s="5"/>
      <c r="B33" s="3" t="s">
        <v>1188</v>
      </c>
      <c r="C33" s="87"/>
      <c r="D33" s="96" t="s">
        <v>773</v>
      </c>
      <c r="E33" s="96" t="s">
        <v>779</v>
      </c>
      <c r="F33" s="5"/>
      <c r="G33" s="5"/>
    </row>
    <row r="34" spans="1:7" ht="12" customHeight="1">
      <c r="A34" s="5"/>
      <c r="B34" s="5"/>
      <c r="C34" s="87"/>
      <c r="D34" s="86"/>
      <c r="E34" s="96" t="s">
        <v>702</v>
      </c>
      <c r="F34" s="97"/>
      <c r="G34" s="5"/>
    </row>
    <row r="35" spans="1:7" ht="12" customHeight="1">
      <c r="A35" s="12" t="s">
        <v>703</v>
      </c>
      <c r="B35" s="3" t="s">
        <v>704</v>
      </c>
      <c r="C35" s="87"/>
      <c r="D35" s="86"/>
      <c r="E35" s="86"/>
      <c r="F35" s="5"/>
      <c r="G35" s="5"/>
    </row>
    <row r="36" spans="1:7" ht="12" customHeight="1">
      <c r="A36" s="5"/>
      <c r="B36" s="5"/>
      <c r="C36" s="87"/>
      <c r="D36" s="86"/>
      <c r="E36" s="86"/>
      <c r="F36" s="5"/>
      <c r="G36" s="5"/>
    </row>
    <row r="37" spans="1:7" ht="12" customHeight="1">
      <c r="A37" s="5"/>
      <c r="B37" s="5"/>
      <c r="C37" s="87"/>
      <c r="D37" s="86"/>
      <c r="E37" s="96" t="s">
        <v>705</v>
      </c>
      <c r="F37" s="97"/>
      <c r="G37" s="5"/>
    </row>
    <row r="38" spans="1:7" ht="12" customHeight="1">
      <c r="A38" s="5"/>
      <c r="B38" s="5"/>
      <c r="C38" s="87"/>
      <c r="D38" s="86"/>
      <c r="E38" s="86"/>
      <c r="F38" s="5"/>
      <c r="G38" s="5"/>
    </row>
    <row r="39" spans="1:7" ht="12" customHeight="1">
      <c r="A39" s="12" t="s">
        <v>706</v>
      </c>
      <c r="B39" s="96" t="s">
        <v>707</v>
      </c>
      <c r="C39" s="102"/>
      <c r="D39" s="102"/>
      <c r="E39" s="102"/>
      <c r="F39" s="97"/>
      <c r="G39" s="5"/>
    </row>
    <row r="40" spans="1:7" ht="12" customHeight="1">
      <c r="A40" s="12" t="s">
        <v>708</v>
      </c>
      <c r="B40" s="2471" t="s">
        <v>876</v>
      </c>
      <c r="C40" s="2471"/>
      <c r="D40" s="2471"/>
      <c r="E40" s="2472" t="s">
        <v>710</v>
      </c>
      <c r="F40" s="2472"/>
      <c r="G40" s="5"/>
    </row>
    <row r="41" spans="1:7" ht="12" customHeight="1">
      <c r="A41" s="12" t="s">
        <v>711</v>
      </c>
      <c r="B41" s="2473" t="s">
        <v>712</v>
      </c>
      <c r="C41" s="2473"/>
      <c r="D41" s="2473"/>
      <c r="E41" s="2473"/>
      <c r="F41" s="2473"/>
      <c r="G41" s="5"/>
    </row>
  </sheetData>
  <mergeCells count="3">
    <mergeCell ref="B40:D40"/>
    <mergeCell ref="E40:F40"/>
    <mergeCell ref="B41:F4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C00000"/>
  </sheetPr>
  <dimension ref="B2:N880"/>
  <sheetViews>
    <sheetView showGridLines="0" view="pageBreakPreview" topLeftCell="A85" zoomScale="120" zoomScaleSheetLayoutView="120" workbookViewId="0">
      <selection activeCell="I99" sqref="I99"/>
    </sheetView>
  </sheetViews>
  <sheetFormatPr defaultColWidth="7.88671875" defaultRowHeight="13.8"/>
  <cols>
    <col min="1" max="1" width="6.33203125" style="549" customWidth="1"/>
    <col min="2" max="2" width="6" style="871" customWidth="1"/>
    <col min="3" max="3" width="13.88671875" style="549" customWidth="1"/>
    <col min="4" max="4" width="2.33203125" style="549" customWidth="1"/>
    <col min="5" max="5" width="13.6640625" style="549" customWidth="1"/>
    <col min="6" max="6" width="23.33203125" style="549" customWidth="1"/>
    <col min="7" max="7" width="11.5546875" style="551" customWidth="1"/>
    <col min="8" max="8" width="14.109375" style="551" customWidth="1"/>
    <col min="9" max="9" width="16.5546875" style="560" customWidth="1"/>
    <col min="10" max="10" width="13.33203125" style="871" customWidth="1"/>
    <col min="11" max="11" width="3.6640625" style="549" hidden="1" customWidth="1"/>
    <col min="12" max="12" width="20.5546875" style="549" hidden="1" customWidth="1"/>
    <col min="13" max="13" width="7.88671875" style="549" hidden="1" customWidth="1"/>
    <col min="14" max="14" width="12.33203125" style="549" hidden="1" customWidth="1"/>
    <col min="15" max="18" width="7.88671875" style="549" customWidth="1"/>
    <col min="19" max="16384" width="7.88671875" style="549"/>
  </cols>
  <sheetData>
    <row r="2" spans="2:10" ht="17.399999999999999">
      <c r="B2" s="2213" t="s">
        <v>4738</v>
      </c>
      <c r="C2" s="2213"/>
      <c r="D2" s="2213"/>
      <c r="E2" s="2213"/>
      <c r="F2" s="2213"/>
      <c r="G2" s="2213"/>
      <c r="H2" s="2213"/>
      <c r="I2" s="2213"/>
      <c r="J2" s="2213"/>
    </row>
    <row r="3" spans="2:10" ht="17.399999999999999">
      <c r="B3" s="2213" t="s">
        <v>4770</v>
      </c>
      <c r="C3" s="2213"/>
      <c r="D3" s="2213"/>
      <c r="E3" s="2213"/>
      <c r="F3" s="2213"/>
      <c r="G3" s="2213"/>
      <c r="H3" s="2213"/>
      <c r="I3" s="2213"/>
      <c r="J3" s="2213"/>
    </row>
    <row r="4" spans="2:10" ht="17.399999999999999">
      <c r="B4" s="2213" t="s">
        <v>4769</v>
      </c>
      <c r="C4" s="2213"/>
      <c r="D4" s="2213"/>
      <c r="E4" s="2213"/>
      <c r="F4" s="2213"/>
      <c r="G4" s="2213"/>
      <c r="H4" s="2213"/>
      <c r="I4" s="2213"/>
      <c r="J4" s="2213"/>
    </row>
    <row r="5" spans="2:10" ht="7.5" customHeight="1" thickBot="1">
      <c r="C5" s="550"/>
      <c r="D5" s="550"/>
      <c r="E5" s="550"/>
      <c r="F5" s="550"/>
      <c r="I5" s="552"/>
    </row>
    <row r="6" spans="2:10" ht="16.5" customHeight="1">
      <c r="B6" s="2214" t="s">
        <v>2893</v>
      </c>
      <c r="C6" s="2216" t="s">
        <v>2894</v>
      </c>
      <c r="D6" s="2217"/>
      <c r="E6" s="2217"/>
      <c r="F6" s="2217"/>
      <c r="G6" s="2222" t="s">
        <v>2895</v>
      </c>
      <c r="H6" s="2222" t="s">
        <v>2896</v>
      </c>
      <c r="I6" s="2249" t="s">
        <v>2897</v>
      </c>
      <c r="J6" s="2240" t="s">
        <v>2898</v>
      </c>
    </row>
    <row r="7" spans="2:10">
      <c r="B7" s="2215"/>
      <c r="C7" s="2218"/>
      <c r="D7" s="2219"/>
      <c r="E7" s="2219"/>
      <c r="F7" s="2219"/>
      <c r="G7" s="2223"/>
      <c r="H7" s="2223"/>
      <c r="I7" s="2250"/>
      <c r="J7" s="2241"/>
    </row>
    <row r="8" spans="2:10">
      <c r="B8" s="2215"/>
      <c r="C8" s="2220"/>
      <c r="D8" s="2221"/>
      <c r="E8" s="2221"/>
      <c r="F8" s="2221"/>
      <c r="G8" s="2223"/>
      <c r="H8" s="2224"/>
      <c r="I8" s="2251"/>
      <c r="J8" s="2242"/>
    </row>
    <row r="9" spans="2:10" s="553" customFormat="1" ht="11.4">
      <c r="B9" s="904">
        <v>1</v>
      </c>
      <c r="C9" s="2225">
        <v>2</v>
      </c>
      <c r="D9" s="2226"/>
      <c r="E9" s="2226"/>
      <c r="F9" s="2226"/>
      <c r="G9" s="905">
        <v>3</v>
      </c>
      <c r="H9" s="905">
        <v>4</v>
      </c>
      <c r="I9" s="906">
        <v>5</v>
      </c>
      <c r="J9" s="907">
        <v>6</v>
      </c>
    </row>
    <row r="10" spans="2:10">
      <c r="B10" s="908">
        <v>1</v>
      </c>
      <c r="C10" s="555" t="s">
        <v>2899</v>
      </c>
      <c r="D10" s="556"/>
      <c r="E10" s="556"/>
      <c r="F10" s="556"/>
      <c r="G10" s="557" t="s">
        <v>2900</v>
      </c>
      <c r="H10" s="557" t="s">
        <v>2901</v>
      </c>
      <c r="I10" s="558">
        <v>150000</v>
      </c>
      <c r="J10" s="909"/>
    </row>
    <row r="11" spans="2:10">
      <c r="B11" s="908">
        <v>2</v>
      </c>
      <c r="C11" s="555" t="s">
        <v>3300</v>
      </c>
      <c r="D11" s="556"/>
      <c r="E11" s="556"/>
      <c r="F11" s="556"/>
      <c r="G11" s="557" t="s">
        <v>2902</v>
      </c>
      <c r="H11" s="557" t="s">
        <v>2901</v>
      </c>
      <c r="I11" s="558">
        <v>187000</v>
      </c>
      <c r="J11" s="909"/>
    </row>
    <row r="12" spans="2:10">
      <c r="B12" s="908">
        <v>3</v>
      </c>
      <c r="C12" s="555" t="s">
        <v>683</v>
      </c>
      <c r="D12" s="556"/>
      <c r="E12" s="556"/>
      <c r="F12" s="556"/>
      <c r="G12" s="557" t="s">
        <v>2903</v>
      </c>
      <c r="H12" s="557" t="s">
        <v>2901</v>
      </c>
      <c r="I12" s="558">
        <v>225000</v>
      </c>
      <c r="J12" s="909"/>
    </row>
    <row r="13" spans="2:10">
      <c r="B13" s="908">
        <v>4</v>
      </c>
      <c r="C13" s="555" t="s">
        <v>680</v>
      </c>
      <c r="D13" s="556"/>
      <c r="E13" s="556"/>
      <c r="F13" s="556"/>
      <c r="G13" s="557" t="s">
        <v>2904</v>
      </c>
      <c r="H13" s="557" t="s">
        <v>2901</v>
      </c>
      <c r="I13" s="558">
        <v>240000</v>
      </c>
      <c r="J13" s="909"/>
    </row>
    <row r="14" spans="2:10" s="559" customFormat="1" ht="8.25" customHeight="1" thickBot="1">
      <c r="B14" s="910"/>
      <c r="C14" s="911"/>
      <c r="D14" s="912"/>
      <c r="E14" s="912"/>
      <c r="F14" s="912"/>
      <c r="G14" s="913"/>
      <c r="H14" s="913"/>
      <c r="I14" s="914"/>
      <c r="J14" s="915"/>
    </row>
    <row r="15" spans="2:10" s="559" customFormat="1" ht="10.5" customHeight="1">
      <c r="B15" s="871"/>
      <c r="C15" s="549"/>
      <c r="D15" s="549"/>
      <c r="E15" s="549"/>
      <c r="F15" s="549"/>
      <c r="G15" s="551"/>
      <c r="H15" s="551"/>
      <c r="I15" s="560"/>
      <c r="J15" s="871"/>
    </row>
    <row r="16" spans="2:10" s="559" customFormat="1" ht="17.399999999999999">
      <c r="B16" s="2213" t="s">
        <v>4771</v>
      </c>
      <c r="C16" s="2213"/>
      <c r="D16" s="2213"/>
      <c r="E16" s="2213"/>
      <c r="F16" s="2213"/>
      <c r="G16" s="2213"/>
      <c r="H16" s="2213"/>
      <c r="I16" s="2213"/>
      <c r="J16" s="2213"/>
    </row>
    <row r="17" spans="2:14" s="559" customFormat="1" ht="17.399999999999999">
      <c r="B17" s="2213" t="s">
        <v>4769</v>
      </c>
      <c r="C17" s="2213"/>
      <c r="D17" s="2213"/>
      <c r="E17" s="2213"/>
      <c r="F17" s="2213"/>
      <c r="G17" s="2213"/>
      <c r="H17" s="2213"/>
      <c r="I17" s="2213"/>
      <c r="J17" s="2213"/>
    </row>
    <row r="18" spans="2:14" s="559" customFormat="1" ht="17.399999999999999">
      <c r="B18" s="2213"/>
      <c r="C18" s="2213"/>
      <c r="D18" s="2213"/>
      <c r="E18" s="2213"/>
      <c r="F18" s="2213"/>
      <c r="G18" s="2213"/>
      <c r="H18" s="2213"/>
      <c r="I18" s="2213"/>
      <c r="J18" s="2213"/>
    </row>
    <row r="19" spans="2:14" s="559" customFormat="1" ht="7.5" customHeight="1">
      <c r="B19" s="871"/>
      <c r="C19" s="550"/>
      <c r="D19" s="550"/>
      <c r="E19" s="550"/>
      <c r="F19" s="550"/>
      <c r="G19" s="551"/>
      <c r="H19" s="551"/>
      <c r="I19" s="552"/>
      <c r="J19" s="871"/>
    </row>
    <row r="20" spans="2:14" s="559" customFormat="1" ht="12.75" customHeight="1">
      <c r="B20" s="2237" t="s">
        <v>2893</v>
      </c>
      <c r="C20" s="2252" t="s">
        <v>2905</v>
      </c>
      <c r="D20" s="2253"/>
      <c r="E20" s="2253"/>
      <c r="F20" s="2253"/>
      <c r="G20" s="2254"/>
      <c r="H20" s="2243" t="s">
        <v>2896</v>
      </c>
      <c r="I20" s="2246" t="s">
        <v>2906</v>
      </c>
      <c r="J20" s="2237" t="s">
        <v>2907</v>
      </c>
    </row>
    <row r="21" spans="2:14" s="559" customFormat="1">
      <c r="B21" s="2238"/>
      <c r="C21" s="2218"/>
      <c r="D21" s="2219"/>
      <c r="E21" s="2219"/>
      <c r="F21" s="2219"/>
      <c r="G21" s="2255"/>
      <c r="H21" s="2244"/>
      <c r="I21" s="2247"/>
      <c r="J21" s="2238"/>
    </row>
    <row r="22" spans="2:14" s="559" customFormat="1">
      <c r="B22" s="2239"/>
      <c r="C22" s="2256"/>
      <c r="D22" s="2221"/>
      <c r="E22" s="2221"/>
      <c r="F22" s="2221"/>
      <c r="G22" s="2257"/>
      <c r="H22" s="2245"/>
      <c r="I22" s="2248"/>
      <c r="J22" s="2239"/>
    </row>
    <row r="23" spans="2:14" s="553" customFormat="1" ht="11.4">
      <c r="B23" s="901">
        <v>1</v>
      </c>
      <c r="C23" s="2227">
        <v>2</v>
      </c>
      <c r="D23" s="2228"/>
      <c r="E23" s="2228"/>
      <c r="F23" s="2228"/>
      <c r="G23" s="2229"/>
      <c r="H23" s="902">
        <v>3</v>
      </c>
      <c r="I23" s="903">
        <v>4</v>
      </c>
      <c r="J23" s="901">
        <v>5</v>
      </c>
    </row>
    <row r="24" spans="2:14" ht="7.5" customHeight="1">
      <c r="B24" s="561"/>
      <c r="C24" s="562"/>
      <c r="D24" s="563"/>
      <c r="E24" s="563"/>
      <c r="F24" s="563"/>
      <c r="G24" s="564"/>
      <c r="H24" s="565"/>
      <c r="I24" s="566"/>
      <c r="J24" s="561"/>
    </row>
    <row r="25" spans="2:14" ht="17.100000000000001" customHeight="1">
      <c r="B25" s="554"/>
      <c r="C25" s="567" t="s">
        <v>2908</v>
      </c>
      <c r="D25" s="568"/>
      <c r="E25" s="556"/>
      <c r="F25" s="556"/>
      <c r="G25" s="569"/>
      <c r="H25" s="557"/>
      <c r="I25" s="570"/>
      <c r="J25" s="554"/>
    </row>
    <row r="26" spans="2:14" ht="17.100000000000001" customHeight="1">
      <c r="B26" s="554">
        <v>1</v>
      </c>
      <c r="C26" s="555" t="s">
        <v>4774</v>
      </c>
      <c r="D26" s="556"/>
      <c r="E26" s="556"/>
      <c r="F26" s="556"/>
      <c r="G26" s="569"/>
      <c r="H26" s="557" t="s">
        <v>2647</v>
      </c>
      <c r="I26" s="570">
        <f>N26</f>
        <v>8550</v>
      </c>
      <c r="J26" s="554"/>
      <c r="K26" s="570">
        <v>9500</v>
      </c>
      <c r="L26" s="570">
        <v>9500</v>
      </c>
      <c r="M26" s="549">
        <v>0.9</v>
      </c>
      <c r="N26" s="686">
        <f>L26*M26</f>
        <v>8550</v>
      </c>
    </row>
    <row r="27" spans="2:14" ht="17.100000000000001" customHeight="1">
      <c r="B27" s="554">
        <v>2</v>
      </c>
      <c r="C27" s="555" t="s">
        <v>2909</v>
      </c>
      <c r="D27" s="556"/>
      <c r="E27" s="556"/>
      <c r="F27" s="556"/>
      <c r="G27" s="569"/>
      <c r="H27" s="557" t="s">
        <v>2647</v>
      </c>
      <c r="I27" s="570">
        <f t="shared" ref="I27:I90" si="0">N27</f>
        <v>18720</v>
      </c>
      <c r="J27" s="554"/>
      <c r="L27" s="570">
        <v>20800</v>
      </c>
      <c r="M27" s="549">
        <v>0.9</v>
      </c>
      <c r="N27" s="686">
        <f t="shared" ref="N27:N90" si="1">L27*M27</f>
        <v>18720</v>
      </c>
    </row>
    <row r="28" spans="2:14" ht="17.100000000000001" hidden="1" customHeight="1">
      <c r="B28" s="554">
        <v>3</v>
      </c>
      <c r="C28" s="555" t="s">
        <v>2910</v>
      </c>
      <c r="D28" s="556"/>
      <c r="E28" s="556"/>
      <c r="F28" s="556"/>
      <c r="G28" s="569"/>
      <c r="H28" s="557" t="s">
        <v>2647</v>
      </c>
      <c r="I28" s="570">
        <f t="shared" si="0"/>
        <v>29430</v>
      </c>
      <c r="J28" s="554"/>
      <c r="L28" s="570">
        <v>32700</v>
      </c>
      <c r="M28" s="549">
        <v>0.9</v>
      </c>
      <c r="N28" s="686">
        <f t="shared" si="1"/>
        <v>29430</v>
      </c>
    </row>
    <row r="29" spans="2:14" ht="17.100000000000001" customHeight="1">
      <c r="B29" s="554">
        <v>3</v>
      </c>
      <c r="C29" s="555" t="s">
        <v>2911</v>
      </c>
      <c r="D29" s="556"/>
      <c r="E29" s="556"/>
      <c r="F29" s="556"/>
      <c r="G29" s="569"/>
      <c r="H29" s="557" t="s">
        <v>2647</v>
      </c>
      <c r="I29" s="570">
        <f t="shared" si="0"/>
        <v>20970</v>
      </c>
      <c r="J29" s="554"/>
      <c r="L29" s="570">
        <v>23300</v>
      </c>
      <c r="M29" s="549">
        <v>0.9</v>
      </c>
      <c r="N29" s="686">
        <f t="shared" si="1"/>
        <v>20970</v>
      </c>
    </row>
    <row r="30" spans="2:14" ht="17.100000000000001" customHeight="1">
      <c r="B30" s="554"/>
      <c r="C30" s="555"/>
      <c r="D30" s="556"/>
      <c r="E30" s="556"/>
      <c r="F30" s="556"/>
      <c r="G30" s="569"/>
      <c r="H30" s="557"/>
      <c r="I30" s="570"/>
      <c r="J30" s="554"/>
      <c r="L30" s="570"/>
      <c r="N30" s="686"/>
    </row>
    <row r="31" spans="2:14" ht="17.100000000000001" customHeight="1">
      <c r="B31" s="571" t="s">
        <v>671</v>
      </c>
      <c r="C31" s="567" t="s">
        <v>2912</v>
      </c>
      <c r="D31" s="568"/>
      <c r="E31" s="568"/>
      <c r="F31" s="568"/>
      <c r="G31" s="569"/>
      <c r="H31" s="557"/>
      <c r="I31" s="570"/>
      <c r="J31" s="554"/>
      <c r="L31" s="570"/>
      <c r="N31" s="686"/>
    </row>
    <row r="32" spans="2:14" ht="17.100000000000001" customHeight="1">
      <c r="B32" s="571"/>
      <c r="C32" s="567" t="s">
        <v>2913</v>
      </c>
      <c r="D32" s="568"/>
      <c r="E32" s="568"/>
      <c r="F32" s="568"/>
      <c r="G32" s="569"/>
      <c r="H32" s="557"/>
      <c r="I32" s="570"/>
      <c r="J32" s="554"/>
      <c r="L32" s="570"/>
      <c r="N32" s="686"/>
    </row>
    <row r="33" spans="2:14" ht="17.100000000000001" customHeight="1">
      <c r="B33" s="554">
        <v>1</v>
      </c>
      <c r="C33" s="555" t="s">
        <v>842</v>
      </c>
      <c r="D33" s="568"/>
      <c r="E33" s="568"/>
      <c r="F33" s="568"/>
      <c r="G33" s="569"/>
      <c r="H33" s="557" t="s">
        <v>2916</v>
      </c>
      <c r="I33" s="570">
        <v>44</v>
      </c>
      <c r="J33" s="554"/>
      <c r="L33" s="570">
        <v>44</v>
      </c>
      <c r="M33" s="549">
        <v>0.9</v>
      </c>
      <c r="N33" s="686">
        <f t="shared" si="1"/>
        <v>39.6</v>
      </c>
    </row>
    <row r="34" spans="2:14" ht="17.100000000000001" hidden="1" customHeight="1">
      <c r="B34" s="554">
        <v>2</v>
      </c>
      <c r="C34" s="555" t="s">
        <v>2914</v>
      </c>
      <c r="D34" s="556"/>
      <c r="E34" s="556"/>
      <c r="F34" s="556"/>
      <c r="G34" s="569"/>
      <c r="H34" s="557" t="s">
        <v>773</v>
      </c>
      <c r="I34" s="570">
        <f t="shared" si="0"/>
        <v>19872</v>
      </c>
      <c r="J34" s="554"/>
      <c r="L34" s="570">
        <v>22080</v>
      </c>
      <c r="M34" s="549">
        <v>0.9</v>
      </c>
      <c r="N34" s="686">
        <f t="shared" si="1"/>
        <v>19872</v>
      </c>
    </row>
    <row r="35" spans="2:14" ht="17.100000000000001" hidden="1" customHeight="1">
      <c r="B35" s="554">
        <v>3</v>
      </c>
      <c r="C35" s="555" t="s">
        <v>2915</v>
      </c>
      <c r="D35" s="556"/>
      <c r="E35" s="556"/>
      <c r="F35" s="556"/>
      <c r="G35" s="569"/>
      <c r="H35" s="557" t="s">
        <v>2916</v>
      </c>
      <c r="I35" s="570">
        <f t="shared" si="0"/>
        <v>22649.4</v>
      </c>
      <c r="J35" s="554"/>
      <c r="L35" s="570">
        <v>25166</v>
      </c>
      <c r="M35" s="549">
        <v>0.9</v>
      </c>
      <c r="N35" s="686">
        <f t="shared" si="1"/>
        <v>22649.4</v>
      </c>
    </row>
    <row r="36" spans="2:14" ht="17.100000000000001" hidden="1" customHeight="1">
      <c r="B36" s="554">
        <v>4</v>
      </c>
      <c r="C36" s="555" t="s">
        <v>2917</v>
      </c>
      <c r="D36" s="556"/>
      <c r="E36" s="556"/>
      <c r="F36" s="556"/>
      <c r="G36" s="569"/>
      <c r="H36" s="557" t="s">
        <v>2646</v>
      </c>
      <c r="I36" s="570">
        <f t="shared" si="0"/>
        <v>236700</v>
      </c>
      <c r="J36" s="554"/>
      <c r="L36" s="570">
        <v>263000</v>
      </c>
      <c r="M36" s="549">
        <v>0.9</v>
      </c>
      <c r="N36" s="686">
        <f t="shared" si="1"/>
        <v>236700</v>
      </c>
    </row>
    <row r="37" spans="2:14" ht="17.100000000000001" hidden="1" customHeight="1">
      <c r="B37" s="554">
        <v>5</v>
      </c>
      <c r="C37" s="555" t="s">
        <v>2918</v>
      </c>
      <c r="D37" s="556"/>
      <c r="E37" s="556"/>
      <c r="F37" s="556"/>
      <c r="G37" s="569"/>
      <c r="H37" s="557" t="s">
        <v>2646</v>
      </c>
      <c r="I37" s="570">
        <f t="shared" si="0"/>
        <v>236700</v>
      </c>
      <c r="J37" s="554"/>
      <c r="L37" s="570">
        <v>263000</v>
      </c>
      <c r="M37" s="549">
        <v>0.9</v>
      </c>
      <c r="N37" s="686">
        <f t="shared" si="1"/>
        <v>236700</v>
      </c>
    </row>
    <row r="38" spans="2:14" ht="17.100000000000001" hidden="1" customHeight="1">
      <c r="B38" s="554">
        <v>6</v>
      </c>
      <c r="C38" s="555" t="s">
        <v>2919</v>
      </c>
      <c r="D38" s="556"/>
      <c r="E38" s="556"/>
      <c r="F38" s="556"/>
      <c r="G38" s="569"/>
      <c r="H38" s="557" t="s">
        <v>2646</v>
      </c>
      <c r="I38" s="570">
        <f t="shared" si="0"/>
        <v>236700</v>
      </c>
      <c r="J38" s="554"/>
      <c r="L38" s="570">
        <v>263000</v>
      </c>
      <c r="M38" s="549">
        <v>0.9</v>
      </c>
      <c r="N38" s="686">
        <f t="shared" si="1"/>
        <v>236700</v>
      </c>
    </row>
    <row r="39" spans="2:14" ht="17.100000000000001" customHeight="1">
      <c r="B39" s="554">
        <v>2</v>
      </c>
      <c r="C39" s="555" t="s">
        <v>2920</v>
      </c>
      <c r="D39" s="556"/>
      <c r="E39" s="556"/>
      <c r="F39" s="556"/>
      <c r="G39" s="569"/>
      <c r="H39" s="557" t="s">
        <v>2646</v>
      </c>
      <c r="I39" s="570">
        <v>382720</v>
      </c>
      <c r="J39" s="554"/>
      <c r="L39" s="570">
        <v>250000</v>
      </c>
      <c r="M39" s="549">
        <v>0.9</v>
      </c>
      <c r="N39" s="686">
        <f t="shared" si="1"/>
        <v>225000</v>
      </c>
    </row>
    <row r="40" spans="2:14" ht="17.100000000000001" hidden="1" customHeight="1">
      <c r="B40" s="554">
        <v>8</v>
      </c>
      <c r="C40" s="555" t="s">
        <v>2921</v>
      </c>
      <c r="D40" s="556"/>
      <c r="E40" s="556"/>
      <c r="F40" s="556"/>
      <c r="G40" s="569"/>
      <c r="H40" s="557" t="s">
        <v>2646</v>
      </c>
      <c r="I40" s="570">
        <f t="shared" si="0"/>
        <v>304164</v>
      </c>
      <c r="J40" s="554"/>
      <c r="L40" s="570">
        <v>337960</v>
      </c>
      <c r="M40" s="549">
        <v>0.9</v>
      </c>
      <c r="N40" s="686">
        <f t="shared" si="1"/>
        <v>304164</v>
      </c>
    </row>
    <row r="41" spans="2:14" ht="17.100000000000001" hidden="1" customHeight="1">
      <c r="B41" s="554">
        <v>9</v>
      </c>
      <c r="C41" s="555" t="s">
        <v>2922</v>
      </c>
      <c r="D41" s="556"/>
      <c r="E41" s="556"/>
      <c r="F41" s="556"/>
      <c r="G41" s="569"/>
      <c r="H41" s="557" t="s">
        <v>2646</v>
      </c>
      <c r="I41" s="570">
        <f t="shared" si="0"/>
        <v>319500</v>
      </c>
      <c r="J41" s="554"/>
      <c r="L41" s="570">
        <v>355000</v>
      </c>
      <c r="M41" s="549">
        <v>0.9</v>
      </c>
      <c r="N41" s="686">
        <f t="shared" si="1"/>
        <v>319500</v>
      </c>
    </row>
    <row r="42" spans="2:14" ht="17.100000000000001" hidden="1" customHeight="1">
      <c r="B42" s="554">
        <v>10</v>
      </c>
      <c r="C42" s="555" t="s">
        <v>2922</v>
      </c>
      <c r="D42" s="556"/>
      <c r="E42" s="556"/>
      <c r="F42" s="556"/>
      <c r="G42" s="569"/>
      <c r="H42" s="557" t="s">
        <v>773</v>
      </c>
      <c r="I42" s="570">
        <f t="shared" si="0"/>
        <v>234</v>
      </c>
      <c r="J42" s="554"/>
      <c r="L42" s="570">
        <v>260</v>
      </c>
      <c r="M42" s="549">
        <v>0.9</v>
      </c>
      <c r="N42" s="686">
        <f t="shared" si="1"/>
        <v>234</v>
      </c>
    </row>
    <row r="43" spans="2:14" ht="17.100000000000001" hidden="1" customHeight="1">
      <c r="B43" s="554">
        <v>11</v>
      </c>
      <c r="C43" s="555" t="s">
        <v>2923</v>
      </c>
      <c r="D43" s="556"/>
      <c r="E43" s="556"/>
      <c r="F43" s="556"/>
      <c r="G43" s="569"/>
      <c r="H43" s="557" t="s">
        <v>2646</v>
      </c>
      <c r="I43" s="570">
        <f t="shared" si="0"/>
        <v>471183.75</v>
      </c>
      <c r="J43" s="554"/>
      <c r="L43" s="570">
        <f>455250+(455250*0.15)</f>
        <v>523537.5</v>
      </c>
      <c r="M43" s="549">
        <v>0.9</v>
      </c>
      <c r="N43" s="686">
        <f t="shared" si="1"/>
        <v>471183.75</v>
      </c>
    </row>
    <row r="44" spans="2:14" ht="17.100000000000001" customHeight="1">
      <c r="B44" s="554">
        <v>3</v>
      </c>
      <c r="C44" s="555" t="s">
        <v>2923</v>
      </c>
      <c r="D44" s="556"/>
      <c r="E44" s="556"/>
      <c r="F44" s="556"/>
      <c r="G44" s="569"/>
      <c r="H44" s="557" t="s">
        <v>773</v>
      </c>
      <c r="I44" s="570">
        <v>271</v>
      </c>
      <c r="J44" s="554"/>
      <c r="L44" s="570">
        <v>260</v>
      </c>
      <c r="M44" s="549">
        <v>0.9</v>
      </c>
      <c r="N44" s="686">
        <f t="shared" si="1"/>
        <v>234</v>
      </c>
    </row>
    <row r="45" spans="2:14" ht="17.100000000000001" hidden="1" customHeight="1">
      <c r="B45" s="554">
        <v>13</v>
      </c>
      <c r="C45" s="555" t="s">
        <v>2924</v>
      </c>
      <c r="D45" s="556"/>
      <c r="E45" s="556"/>
      <c r="F45" s="556"/>
      <c r="G45" s="569"/>
      <c r="H45" s="557" t="s">
        <v>2646</v>
      </c>
      <c r="I45" s="570">
        <f t="shared" si="0"/>
        <v>225000</v>
      </c>
      <c r="J45" s="554"/>
      <c r="L45" s="570">
        <v>250000</v>
      </c>
      <c r="M45" s="549">
        <v>0.9</v>
      </c>
      <c r="N45" s="686">
        <f t="shared" si="1"/>
        <v>225000</v>
      </c>
    </row>
    <row r="46" spans="2:14" s="577" customFormat="1" ht="17.100000000000001" hidden="1" customHeight="1">
      <c r="B46" s="554">
        <v>14</v>
      </c>
      <c r="C46" s="572" t="s">
        <v>2925</v>
      </c>
      <c r="D46" s="573"/>
      <c r="E46" s="573"/>
      <c r="F46" s="573"/>
      <c r="G46" s="574"/>
      <c r="H46" s="575" t="s">
        <v>2647</v>
      </c>
      <c r="I46" s="570">
        <f t="shared" si="0"/>
        <v>219555</v>
      </c>
      <c r="J46" s="576"/>
      <c r="L46" s="570">
        <v>243950</v>
      </c>
      <c r="M46" s="549">
        <v>0.9</v>
      </c>
      <c r="N46" s="686">
        <f t="shared" si="1"/>
        <v>219555</v>
      </c>
    </row>
    <row r="47" spans="2:14" s="577" customFormat="1" ht="17.100000000000001" customHeight="1">
      <c r="B47" s="554">
        <v>4</v>
      </c>
      <c r="C47" s="572" t="s">
        <v>4950</v>
      </c>
      <c r="D47" s="573"/>
      <c r="E47" s="573"/>
      <c r="F47" s="573"/>
      <c r="G47" s="574"/>
      <c r="H47" s="575" t="s">
        <v>1423</v>
      </c>
      <c r="I47" s="570">
        <f t="shared" si="0"/>
        <v>6750</v>
      </c>
      <c r="J47" s="576"/>
      <c r="L47" s="570">
        <v>7500</v>
      </c>
      <c r="M47" s="549">
        <v>0.9</v>
      </c>
      <c r="N47" s="686">
        <f t="shared" si="1"/>
        <v>6750</v>
      </c>
    </row>
    <row r="48" spans="2:14" s="577" customFormat="1" ht="17.100000000000001" hidden="1" customHeight="1">
      <c r="B48" s="554">
        <v>16</v>
      </c>
      <c r="C48" s="572" t="s">
        <v>4744</v>
      </c>
      <c r="D48" s="573"/>
      <c r="E48" s="573"/>
      <c r="F48" s="573"/>
      <c r="G48" s="574"/>
      <c r="H48" s="575" t="s">
        <v>2647</v>
      </c>
      <c r="I48" s="570">
        <f t="shared" si="0"/>
        <v>251685</v>
      </c>
      <c r="J48" s="576"/>
      <c r="L48" s="570">
        <v>279650</v>
      </c>
      <c r="M48" s="549">
        <v>0.9</v>
      </c>
      <c r="N48" s="686">
        <f t="shared" si="1"/>
        <v>251685</v>
      </c>
    </row>
    <row r="49" spans="2:14" s="1056" customFormat="1" ht="17.100000000000001" customHeight="1">
      <c r="B49" s="554">
        <v>5</v>
      </c>
      <c r="C49" s="555" t="s">
        <v>2926</v>
      </c>
      <c r="D49" s="556"/>
      <c r="E49" s="556"/>
      <c r="F49" s="556"/>
      <c r="G49" s="569"/>
      <c r="H49" s="557" t="s">
        <v>1423</v>
      </c>
      <c r="I49" s="570">
        <v>590</v>
      </c>
      <c r="J49" s="554"/>
      <c r="L49" s="1055">
        <v>730</v>
      </c>
      <c r="M49" s="1056">
        <v>0.9</v>
      </c>
      <c r="N49" s="1057">
        <f t="shared" si="1"/>
        <v>657</v>
      </c>
    </row>
    <row r="50" spans="2:14" s="1056" customFormat="1" ht="17.100000000000001" hidden="1" customHeight="1">
      <c r="B50" s="554">
        <v>18</v>
      </c>
      <c r="C50" s="555" t="s">
        <v>4792</v>
      </c>
      <c r="D50" s="556"/>
      <c r="E50" s="556"/>
      <c r="F50" s="556"/>
      <c r="G50" s="569"/>
      <c r="H50" s="557" t="s">
        <v>1423</v>
      </c>
      <c r="I50" s="570">
        <f t="shared" si="0"/>
        <v>3735</v>
      </c>
      <c r="J50" s="554"/>
      <c r="L50" s="1055">
        <v>4150</v>
      </c>
      <c r="M50" s="1056">
        <v>0.9</v>
      </c>
      <c r="N50" s="1057">
        <f t="shared" si="1"/>
        <v>3735</v>
      </c>
    </row>
    <row r="51" spans="2:14" s="1056" customFormat="1" ht="17.100000000000001" hidden="1" customHeight="1">
      <c r="B51" s="554">
        <v>19</v>
      </c>
      <c r="C51" s="555" t="s">
        <v>2927</v>
      </c>
      <c r="D51" s="556"/>
      <c r="E51" s="556"/>
      <c r="F51" s="556" t="s">
        <v>2928</v>
      </c>
      <c r="G51" s="569"/>
      <c r="H51" s="557" t="s">
        <v>1423</v>
      </c>
      <c r="I51" s="570">
        <f t="shared" si="0"/>
        <v>18045</v>
      </c>
      <c r="J51" s="554"/>
      <c r="L51" s="1055">
        <v>20050</v>
      </c>
      <c r="M51" s="1056">
        <v>0.9</v>
      </c>
      <c r="N51" s="1057">
        <f t="shared" si="1"/>
        <v>18045</v>
      </c>
    </row>
    <row r="52" spans="2:14" s="1056" customFormat="1" ht="17.100000000000001" hidden="1" customHeight="1">
      <c r="B52" s="554">
        <v>20</v>
      </c>
      <c r="C52" s="555" t="s">
        <v>3502</v>
      </c>
      <c r="D52" s="556"/>
      <c r="E52" s="556"/>
      <c r="F52" s="556" t="s">
        <v>3503</v>
      </c>
      <c r="G52" s="569"/>
      <c r="H52" s="557" t="s">
        <v>1423</v>
      </c>
      <c r="I52" s="570">
        <f t="shared" si="0"/>
        <v>13545</v>
      </c>
      <c r="J52" s="554"/>
      <c r="L52" s="1055">
        <v>15050</v>
      </c>
      <c r="M52" s="1056">
        <v>0.9</v>
      </c>
      <c r="N52" s="1057">
        <f t="shared" si="1"/>
        <v>13545</v>
      </c>
    </row>
    <row r="53" spans="2:14" s="1056" customFormat="1" ht="17.100000000000001" customHeight="1">
      <c r="B53" s="554">
        <v>6</v>
      </c>
      <c r="C53" s="555" t="s">
        <v>5323</v>
      </c>
      <c r="D53" s="556"/>
      <c r="E53" s="556"/>
      <c r="F53" s="556"/>
      <c r="G53" s="569"/>
      <c r="H53" s="557" t="s">
        <v>1423</v>
      </c>
      <c r="I53" s="570">
        <v>13000</v>
      </c>
      <c r="J53" s="554"/>
      <c r="L53" s="1055">
        <v>13140</v>
      </c>
      <c r="M53" s="1056">
        <v>0.9</v>
      </c>
      <c r="N53" s="1057">
        <f t="shared" si="1"/>
        <v>11826</v>
      </c>
    </row>
    <row r="54" spans="2:14" s="1056" customFormat="1" ht="17.100000000000001" hidden="1" customHeight="1">
      <c r="B54" s="554">
        <v>22</v>
      </c>
      <c r="C54" s="555" t="s">
        <v>3342</v>
      </c>
      <c r="D54" s="556"/>
      <c r="E54" s="556"/>
      <c r="F54" s="556"/>
      <c r="G54" s="569"/>
      <c r="H54" s="557" t="s">
        <v>1423</v>
      </c>
      <c r="I54" s="570">
        <f t="shared" si="0"/>
        <v>3636</v>
      </c>
      <c r="J54" s="554"/>
      <c r="L54" s="1055">
        <v>4040</v>
      </c>
      <c r="M54" s="1056">
        <v>0.9</v>
      </c>
      <c r="N54" s="1057">
        <f t="shared" si="1"/>
        <v>3636</v>
      </c>
    </row>
    <row r="55" spans="2:14" s="1056" customFormat="1" ht="17.100000000000001" hidden="1" customHeight="1">
      <c r="B55" s="554">
        <v>23</v>
      </c>
      <c r="C55" s="555" t="s">
        <v>3343</v>
      </c>
      <c r="D55" s="556"/>
      <c r="E55" s="556"/>
      <c r="F55" s="556"/>
      <c r="G55" s="569"/>
      <c r="H55" s="557" t="s">
        <v>1423</v>
      </c>
      <c r="I55" s="570">
        <f t="shared" si="0"/>
        <v>3186</v>
      </c>
      <c r="J55" s="554"/>
      <c r="L55" s="1055">
        <v>3540</v>
      </c>
      <c r="M55" s="1056">
        <v>0.9</v>
      </c>
      <c r="N55" s="1057">
        <f t="shared" si="1"/>
        <v>3186</v>
      </c>
    </row>
    <row r="56" spans="2:14" s="1056" customFormat="1" ht="17.100000000000001" hidden="1" customHeight="1">
      <c r="B56" s="554">
        <v>24</v>
      </c>
      <c r="C56" s="555" t="s">
        <v>3344</v>
      </c>
      <c r="D56" s="556"/>
      <c r="E56" s="556"/>
      <c r="F56" s="556"/>
      <c r="G56" s="569"/>
      <c r="H56" s="557" t="s">
        <v>1423</v>
      </c>
      <c r="I56" s="570">
        <f t="shared" si="0"/>
        <v>2727</v>
      </c>
      <c r="J56" s="554"/>
      <c r="L56" s="1055">
        <v>3030</v>
      </c>
      <c r="M56" s="1056">
        <v>0.9</v>
      </c>
      <c r="N56" s="1057">
        <f t="shared" si="1"/>
        <v>2727</v>
      </c>
    </row>
    <row r="57" spans="2:14" s="1056" customFormat="1" ht="17.100000000000001" customHeight="1">
      <c r="B57" s="554">
        <f>B53+1</f>
        <v>7</v>
      </c>
      <c r="C57" s="555" t="s">
        <v>2929</v>
      </c>
      <c r="D57" s="556"/>
      <c r="E57" s="556"/>
      <c r="F57" s="556"/>
      <c r="G57" s="569"/>
      <c r="H57" s="557" t="s">
        <v>2646</v>
      </c>
      <c r="I57" s="570">
        <f t="shared" si="0"/>
        <v>202500</v>
      </c>
      <c r="J57" s="554"/>
      <c r="L57" s="1055">
        <v>225000</v>
      </c>
      <c r="M57" s="1056">
        <v>0.9</v>
      </c>
      <c r="N57" s="1057">
        <f t="shared" si="1"/>
        <v>202500</v>
      </c>
    </row>
    <row r="58" spans="2:14" ht="17.100000000000001" customHeight="1">
      <c r="B58" s="554">
        <v>8</v>
      </c>
      <c r="C58" s="555" t="s">
        <v>2929</v>
      </c>
      <c r="D58" s="556"/>
      <c r="E58" s="556"/>
      <c r="F58" s="556"/>
      <c r="G58" s="569"/>
      <c r="H58" s="557" t="s">
        <v>773</v>
      </c>
      <c r="I58" s="570">
        <f t="shared" si="0"/>
        <v>225</v>
      </c>
      <c r="J58" s="554"/>
      <c r="L58" s="570">
        <v>250</v>
      </c>
      <c r="M58" s="549">
        <v>0.9</v>
      </c>
      <c r="N58" s="686">
        <f t="shared" si="1"/>
        <v>225</v>
      </c>
    </row>
    <row r="59" spans="2:14" ht="17.100000000000001" customHeight="1">
      <c r="B59" s="554">
        <v>9</v>
      </c>
      <c r="C59" s="555" t="s">
        <v>2930</v>
      </c>
      <c r="D59" s="556"/>
      <c r="E59" s="556"/>
      <c r="F59" s="556"/>
      <c r="G59" s="569"/>
      <c r="H59" s="557" t="s">
        <v>2646</v>
      </c>
      <c r="I59" s="570">
        <v>208463</v>
      </c>
      <c r="J59" s="554"/>
      <c r="L59" s="570">
        <v>208463</v>
      </c>
      <c r="M59" s="549">
        <v>0.9</v>
      </c>
      <c r="N59" s="686">
        <f t="shared" si="1"/>
        <v>187616.7</v>
      </c>
    </row>
    <row r="60" spans="2:14" ht="17.100000000000001" customHeight="1">
      <c r="B60" s="554">
        <v>10</v>
      </c>
      <c r="C60" s="555" t="s">
        <v>2930</v>
      </c>
      <c r="D60" s="556"/>
      <c r="E60" s="556"/>
      <c r="F60" s="556"/>
      <c r="G60" s="569"/>
      <c r="H60" s="557" t="s">
        <v>773</v>
      </c>
      <c r="I60" s="570">
        <f>I59/1000</f>
        <v>208.46299999999999</v>
      </c>
      <c r="J60" s="554"/>
      <c r="L60" s="570">
        <f>L59/1464</f>
        <v>142.39275956284152</v>
      </c>
      <c r="M60" s="549">
        <v>0.9</v>
      </c>
      <c r="N60" s="686">
        <f t="shared" si="1"/>
        <v>128.15348360655736</v>
      </c>
    </row>
    <row r="61" spans="2:14" ht="17.100000000000001" customHeight="1">
      <c r="B61" s="554">
        <v>11</v>
      </c>
      <c r="C61" s="555" t="s">
        <v>2931</v>
      </c>
      <c r="D61" s="556"/>
      <c r="E61" s="556"/>
      <c r="F61" s="556"/>
      <c r="G61" s="569"/>
      <c r="H61" s="557" t="s">
        <v>2646</v>
      </c>
      <c r="I61" s="570">
        <v>152729</v>
      </c>
      <c r="J61" s="554"/>
      <c r="L61" s="570">
        <v>130900</v>
      </c>
      <c r="M61" s="549">
        <v>0.9</v>
      </c>
      <c r="N61" s="686">
        <f t="shared" si="1"/>
        <v>117810</v>
      </c>
    </row>
    <row r="62" spans="2:14" ht="17.100000000000001" customHeight="1">
      <c r="B62" s="554">
        <v>12</v>
      </c>
      <c r="C62" s="555" t="s">
        <v>2932</v>
      </c>
      <c r="D62" s="556"/>
      <c r="E62" s="556"/>
      <c r="F62" s="556"/>
      <c r="G62" s="569"/>
      <c r="H62" s="557" t="s">
        <v>2933</v>
      </c>
      <c r="I62" s="570">
        <v>110000</v>
      </c>
      <c r="J62" s="554"/>
      <c r="L62" s="570">
        <v>154700</v>
      </c>
      <c r="M62" s="549">
        <v>0.9</v>
      </c>
      <c r="N62" s="686">
        <f t="shared" si="1"/>
        <v>139230</v>
      </c>
    </row>
    <row r="63" spans="2:14" ht="17.100000000000001" customHeight="1">
      <c r="B63" s="554">
        <v>13</v>
      </c>
      <c r="C63" s="555" t="s">
        <v>2932</v>
      </c>
      <c r="D63" s="556"/>
      <c r="E63" s="556"/>
      <c r="F63" s="556"/>
      <c r="G63" s="569"/>
      <c r="H63" s="557" t="s">
        <v>773</v>
      </c>
      <c r="I63" s="570">
        <v>2750</v>
      </c>
      <c r="J63" s="554"/>
      <c r="L63" s="570">
        <v>3860</v>
      </c>
      <c r="M63" s="549">
        <v>0.9</v>
      </c>
      <c r="N63" s="686">
        <f t="shared" si="1"/>
        <v>3474</v>
      </c>
    </row>
    <row r="64" spans="2:14" ht="17.100000000000001" hidden="1" customHeight="1">
      <c r="B64" s="554">
        <f t="shared" ref="B64:B70" si="2">B60+1</f>
        <v>11</v>
      </c>
      <c r="C64" s="555" t="s">
        <v>2934</v>
      </c>
      <c r="D64" s="556"/>
      <c r="E64" s="556"/>
      <c r="F64" s="556"/>
      <c r="G64" s="569"/>
      <c r="H64" s="557" t="s">
        <v>2933</v>
      </c>
      <c r="I64" s="570">
        <f t="shared" si="0"/>
        <v>55152</v>
      </c>
      <c r="J64" s="554"/>
      <c r="L64" s="570">
        <v>61280</v>
      </c>
      <c r="M64" s="549">
        <v>0.9</v>
      </c>
      <c r="N64" s="686">
        <f t="shared" si="1"/>
        <v>55152</v>
      </c>
    </row>
    <row r="65" spans="2:14" ht="17.100000000000001" customHeight="1">
      <c r="B65" s="554">
        <v>14</v>
      </c>
      <c r="C65" s="555" t="s">
        <v>2935</v>
      </c>
      <c r="D65" s="556"/>
      <c r="E65" s="556"/>
      <c r="F65" s="556"/>
      <c r="G65" s="569"/>
      <c r="H65" s="557" t="s">
        <v>773</v>
      </c>
      <c r="I65" s="570">
        <v>1575</v>
      </c>
      <c r="J65" s="554"/>
      <c r="L65" s="570">
        <v>2392</v>
      </c>
      <c r="M65" s="549">
        <v>0.9</v>
      </c>
      <c r="N65" s="686">
        <f t="shared" si="1"/>
        <v>2152.8000000000002</v>
      </c>
    </row>
    <row r="66" spans="2:14" ht="17.100000000000001" hidden="1" customHeight="1">
      <c r="B66" s="554">
        <f t="shared" si="2"/>
        <v>13</v>
      </c>
      <c r="C66" s="555" t="s">
        <v>2936</v>
      </c>
      <c r="D66" s="556"/>
      <c r="E66" s="556"/>
      <c r="F66" s="556"/>
      <c r="G66" s="569"/>
      <c r="H66" s="557" t="s">
        <v>773</v>
      </c>
      <c r="I66" s="570">
        <f t="shared" si="0"/>
        <v>5004</v>
      </c>
      <c r="J66" s="554"/>
      <c r="L66" s="570">
        <v>5560</v>
      </c>
      <c r="M66" s="549">
        <v>0.9</v>
      </c>
      <c r="N66" s="686">
        <f t="shared" si="1"/>
        <v>5004</v>
      </c>
    </row>
    <row r="67" spans="2:14" ht="17.100000000000001" hidden="1" customHeight="1">
      <c r="B67" s="554">
        <f t="shared" si="2"/>
        <v>14</v>
      </c>
      <c r="C67" s="555" t="s">
        <v>3322</v>
      </c>
      <c r="D67" s="556"/>
      <c r="E67" s="556"/>
      <c r="F67" s="556"/>
      <c r="G67" s="569"/>
      <c r="H67" s="557" t="s">
        <v>773</v>
      </c>
      <c r="I67" s="570">
        <f t="shared" si="0"/>
        <v>5004</v>
      </c>
      <c r="J67" s="554"/>
      <c r="L67" s="570">
        <v>5560</v>
      </c>
      <c r="M67" s="549">
        <v>0.9</v>
      </c>
      <c r="N67" s="686">
        <f t="shared" si="1"/>
        <v>5004</v>
      </c>
    </row>
    <row r="68" spans="2:14" ht="17.100000000000001" hidden="1" customHeight="1">
      <c r="B68" s="554">
        <f t="shared" si="2"/>
        <v>12</v>
      </c>
      <c r="C68" s="555" t="s">
        <v>2937</v>
      </c>
      <c r="D68" s="556"/>
      <c r="E68" s="556"/>
      <c r="F68" s="556"/>
      <c r="G68" s="569"/>
      <c r="H68" s="557" t="s">
        <v>2646</v>
      </c>
      <c r="I68" s="570">
        <f t="shared" si="0"/>
        <v>221697</v>
      </c>
      <c r="J68" s="554"/>
      <c r="L68" s="570">
        <v>246330</v>
      </c>
      <c r="M68" s="549">
        <v>0.9</v>
      </c>
      <c r="N68" s="686">
        <f t="shared" si="1"/>
        <v>221697</v>
      </c>
    </row>
    <row r="69" spans="2:14" ht="17.100000000000001" customHeight="1">
      <c r="B69" s="554">
        <f t="shared" si="2"/>
        <v>15</v>
      </c>
      <c r="C69" s="555" t="s">
        <v>2938</v>
      </c>
      <c r="D69" s="556"/>
      <c r="E69" s="556"/>
      <c r="F69" s="556"/>
      <c r="G69" s="569"/>
      <c r="H69" s="557" t="s">
        <v>2646</v>
      </c>
      <c r="I69" s="570">
        <f t="shared" si="0"/>
        <v>117810</v>
      </c>
      <c r="J69" s="554"/>
      <c r="L69" s="570">
        <v>130900</v>
      </c>
      <c r="M69" s="549">
        <v>0.9</v>
      </c>
      <c r="N69" s="686">
        <f t="shared" si="1"/>
        <v>117810</v>
      </c>
    </row>
    <row r="70" spans="2:14" ht="17.100000000000001" customHeight="1">
      <c r="B70" s="554">
        <f t="shared" si="2"/>
        <v>14</v>
      </c>
      <c r="C70" s="555" t="s">
        <v>2939</v>
      </c>
      <c r="D70" s="556"/>
      <c r="E70" s="556"/>
      <c r="F70" s="556"/>
      <c r="G70" s="569"/>
      <c r="H70" s="557" t="s">
        <v>2646</v>
      </c>
      <c r="I70" s="570">
        <f t="shared" si="0"/>
        <v>214200</v>
      </c>
      <c r="J70" s="554"/>
      <c r="L70" s="570">
        <v>238000</v>
      </c>
      <c r="M70" s="549">
        <v>0.9</v>
      </c>
      <c r="N70" s="686">
        <f t="shared" si="1"/>
        <v>214200</v>
      </c>
    </row>
    <row r="71" spans="2:14" ht="16.5" customHeight="1">
      <c r="B71" s="554">
        <v>39</v>
      </c>
      <c r="C71" s="578" t="s">
        <v>2940</v>
      </c>
      <c r="D71" s="579"/>
      <c r="E71" s="556"/>
      <c r="F71" s="568"/>
      <c r="G71" s="569"/>
      <c r="H71" s="557" t="s">
        <v>2941</v>
      </c>
      <c r="I71" s="570">
        <f t="shared" si="0"/>
        <v>353430</v>
      </c>
      <c r="J71" s="554"/>
      <c r="L71" s="570">
        <v>392700</v>
      </c>
      <c r="M71" s="549">
        <v>0.9</v>
      </c>
      <c r="N71" s="686">
        <f t="shared" si="1"/>
        <v>353430</v>
      </c>
    </row>
    <row r="72" spans="2:14" ht="17.100000000000001" customHeight="1">
      <c r="B72" s="554">
        <v>40</v>
      </c>
      <c r="C72" s="578" t="s">
        <v>3308</v>
      </c>
      <c r="D72" s="579"/>
      <c r="E72" s="556"/>
      <c r="F72" s="568"/>
      <c r="G72" s="569"/>
      <c r="H72" s="557" t="s">
        <v>3025</v>
      </c>
      <c r="I72" s="570">
        <f t="shared" si="0"/>
        <v>179928</v>
      </c>
      <c r="J72" s="554"/>
      <c r="L72" s="570">
        <v>199920</v>
      </c>
      <c r="M72" s="549">
        <v>0.9</v>
      </c>
      <c r="N72" s="686">
        <f t="shared" si="1"/>
        <v>179928</v>
      </c>
    </row>
    <row r="73" spans="2:14" ht="17.100000000000001" customHeight="1">
      <c r="B73" s="554">
        <v>41</v>
      </c>
      <c r="C73" s="578" t="s">
        <v>3309</v>
      </c>
      <c r="D73" s="579"/>
      <c r="E73" s="556"/>
      <c r="F73" s="568"/>
      <c r="G73" s="569"/>
      <c r="H73" s="557" t="s">
        <v>2666</v>
      </c>
      <c r="I73" s="570">
        <f t="shared" si="0"/>
        <v>337365</v>
      </c>
      <c r="J73" s="554"/>
      <c r="L73" s="570">
        <v>374850</v>
      </c>
      <c r="M73" s="549">
        <v>0.9</v>
      </c>
      <c r="N73" s="686">
        <f t="shared" si="1"/>
        <v>337365</v>
      </c>
    </row>
    <row r="74" spans="2:14" ht="17.100000000000001" customHeight="1">
      <c r="B74" s="554">
        <v>42</v>
      </c>
      <c r="C74" s="578" t="s">
        <v>3399</v>
      </c>
      <c r="D74" s="579"/>
      <c r="E74" s="556"/>
      <c r="F74" s="568"/>
      <c r="G74" s="569"/>
      <c r="H74" s="557" t="s">
        <v>773</v>
      </c>
      <c r="I74" s="570">
        <f t="shared" si="0"/>
        <v>80325</v>
      </c>
      <c r="J74" s="554"/>
      <c r="L74" s="570">
        <v>89250</v>
      </c>
      <c r="M74" s="549">
        <v>0.9</v>
      </c>
      <c r="N74" s="686">
        <f t="shared" si="1"/>
        <v>80325</v>
      </c>
    </row>
    <row r="75" spans="2:14" ht="17.100000000000001" customHeight="1">
      <c r="B75" s="554">
        <v>43</v>
      </c>
      <c r="C75" s="578" t="s">
        <v>937</v>
      </c>
      <c r="D75" s="579"/>
      <c r="E75" s="556"/>
      <c r="F75" s="568"/>
      <c r="G75" s="569"/>
      <c r="H75" s="557" t="s">
        <v>1423</v>
      </c>
      <c r="I75" s="570">
        <f t="shared" si="0"/>
        <v>5004</v>
      </c>
      <c r="J75" s="554"/>
      <c r="L75" s="570">
        <v>5560</v>
      </c>
      <c r="M75" s="549">
        <v>0.9</v>
      </c>
      <c r="N75" s="686">
        <f t="shared" si="1"/>
        <v>5004</v>
      </c>
    </row>
    <row r="76" spans="2:14" ht="17.100000000000001" customHeight="1">
      <c r="B76" s="554">
        <v>44</v>
      </c>
      <c r="C76" s="578" t="s">
        <v>4745</v>
      </c>
      <c r="D76" s="579"/>
      <c r="E76" s="556"/>
      <c r="F76" s="568"/>
      <c r="G76" s="569"/>
      <c r="H76" s="557" t="s">
        <v>1423</v>
      </c>
      <c r="I76" s="570">
        <f t="shared" si="0"/>
        <v>19116</v>
      </c>
      <c r="J76" s="554"/>
      <c r="L76" s="570">
        <v>21240</v>
      </c>
      <c r="M76" s="549">
        <v>0.9</v>
      </c>
      <c r="N76" s="686">
        <f t="shared" si="1"/>
        <v>19116</v>
      </c>
    </row>
    <row r="77" spans="2:14" ht="17.100000000000001" customHeight="1">
      <c r="B77" s="571"/>
      <c r="C77" s="578"/>
      <c r="D77" s="579"/>
      <c r="E77" s="556"/>
      <c r="F77" s="568"/>
      <c r="G77" s="569"/>
      <c r="H77" s="557"/>
      <c r="I77" s="570">
        <f t="shared" si="0"/>
        <v>0</v>
      </c>
      <c r="J77" s="554"/>
      <c r="L77" s="570"/>
      <c r="M77" s="549">
        <v>0.9</v>
      </c>
      <c r="N77" s="686">
        <f t="shared" si="1"/>
        <v>0</v>
      </c>
    </row>
    <row r="78" spans="2:14" ht="17.100000000000001" customHeight="1">
      <c r="B78" s="571"/>
      <c r="C78" s="567" t="s">
        <v>5170</v>
      </c>
      <c r="D78" s="568"/>
      <c r="E78" s="568"/>
      <c r="F78" s="568"/>
      <c r="G78" s="569"/>
      <c r="H78" s="557"/>
      <c r="I78" s="570"/>
      <c r="J78" s="554"/>
      <c r="L78" s="570"/>
      <c r="N78" s="686"/>
    </row>
    <row r="79" spans="2:14" s="577" customFormat="1" ht="17.100000000000001" hidden="1" customHeight="1">
      <c r="B79" s="554">
        <v>1</v>
      </c>
      <c r="C79" s="572" t="s">
        <v>812</v>
      </c>
      <c r="D79" s="573"/>
      <c r="E79" s="573"/>
      <c r="F79" s="573"/>
      <c r="G79" s="574"/>
      <c r="H79" s="575" t="s">
        <v>773</v>
      </c>
      <c r="I79" s="570">
        <f t="shared" si="0"/>
        <v>35046</v>
      </c>
      <c r="J79" s="576"/>
      <c r="L79" s="570">
        <v>38940</v>
      </c>
      <c r="M79" s="549">
        <v>0.9</v>
      </c>
      <c r="N79" s="686">
        <f t="shared" si="1"/>
        <v>35046</v>
      </c>
    </row>
    <row r="80" spans="2:14" ht="17.100000000000001" customHeight="1">
      <c r="B80" s="554">
        <v>1</v>
      </c>
      <c r="C80" s="555" t="s">
        <v>2942</v>
      </c>
      <c r="D80" s="556"/>
      <c r="E80" s="556"/>
      <c r="F80" s="556"/>
      <c r="G80" s="569"/>
      <c r="H80" s="557" t="s">
        <v>2666</v>
      </c>
      <c r="I80" s="570">
        <f t="shared" si="0"/>
        <v>41220</v>
      </c>
      <c r="J80" s="554"/>
      <c r="L80" s="570">
        <v>45800</v>
      </c>
      <c r="M80" s="549">
        <v>0.9</v>
      </c>
      <c r="N80" s="686">
        <f t="shared" si="1"/>
        <v>41220</v>
      </c>
    </row>
    <row r="81" spans="2:14" ht="17.100000000000001" hidden="1" customHeight="1">
      <c r="B81" s="554">
        <v>3</v>
      </c>
      <c r="C81" s="555" t="s">
        <v>2943</v>
      </c>
      <c r="D81" s="556"/>
      <c r="E81" s="556"/>
      <c r="F81" s="556"/>
      <c r="G81" s="569"/>
      <c r="H81" s="557" t="s">
        <v>2944</v>
      </c>
      <c r="I81" s="570">
        <f t="shared" si="0"/>
        <v>5004</v>
      </c>
      <c r="J81" s="554"/>
      <c r="L81" s="570">
        <v>5560</v>
      </c>
      <c r="M81" s="549">
        <v>0.9</v>
      </c>
      <c r="N81" s="686">
        <f t="shared" si="1"/>
        <v>5004</v>
      </c>
    </row>
    <row r="82" spans="2:14" ht="17.100000000000001" hidden="1" customHeight="1">
      <c r="B82" s="554">
        <v>4</v>
      </c>
      <c r="C82" s="555" t="s">
        <v>2945</v>
      </c>
      <c r="D82" s="556"/>
      <c r="E82" s="556"/>
      <c r="F82" s="556"/>
      <c r="G82" s="569"/>
      <c r="H82" s="557" t="s">
        <v>2944</v>
      </c>
      <c r="I82" s="570">
        <f t="shared" si="0"/>
        <v>27306</v>
      </c>
      <c r="J82" s="554"/>
      <c r="L82" s="570">
        <v>30340</v>
      </c>
      <c r="M82" s="549">
        <v>0.9</v>
      </c>
      <c r="N82" s="686">
        <f t="shared" si="1"/>
        <v>27306</v>
      </c>
    </row>
    <row r="83" spans="2:14" ht="17.100000000000001" hidden="1" customHeight="1">
      <c r="B83" s="554">
        <v>5</v>
      </c>
      <c r="C83" s="555" t="s">
        <v>3303</v>
      </c>
      <c r="D83" s="556"/>
      <c r="E83" s="556"/>
      <c r="F83" s="556"/>
      <c r="G83" s="569"/>
      <c r="H83" s="557" t="s">
        <v>2646</v>
      </c>
      <c r="I83" s="570">
        <f t="shared" si="0"/>
        <v>10710000</v>
      </c>
      <c r="J83" s="554"/>
      <c r="L83" s="570">
        <v>11900000</v>
      </c>
      <c r="M83" s="549">
        <v>0.9</v>
      </c>
      <c r="N83" s="686">
        <f t="shared" si="1"/>
        <v>10710000</v>
      </c>
    </row>
    <row r="84" spans="2:14" ht="17.100000000000001" customHeight="1">
      <c r="B84" s="554">
        <v>2</v>
      </c>
      <c r="C84" s="555" t="s">
        <v>3304</v>
      </c>
      <c r="D84" s="556"/>
      <c r="E84" s="556"/>
      <c r="F84" s="556"/>
      <c r="G84" s="569"/>
      <c r="H84" s="557" t="s">
        <v>2646</v>
      </c>
      <c r="I84" s="570">
        <f t="shared" si="0"/>
        <v>6961500</v>
      </c>
      <c r="J84" s="554"/>
      <c r="L84" s="570">
        <v>7735000</v>
      </c>
      <c r="M84" s="549">
        <v>0.9</v>
      </c>
      <c r="N84" s="686">
        <f t="shared" si="1"/>
        <v>6961500</v>
      </c>
    </row>
    <row r="85" spans="2:14" ht="17.100000000000001" customHeight="1">
      <c r="B85" s="554">
        <v>3</v>
      </c>
      <c r="C85" s="555" t="s">
        <v>3305</v>
      </c>
      <c r="D85" s="556"/>
      <c r="E85" s="556"/>
      <c r="F85" s="556"/>
      <c r="G85" s="569"/>
      <c r="H85" s="557" t="s">
        <v>2646</v>
      </c>
      <c r="I85" s="570">
        <v>6250000</v>
      </c>
      <c r="J85" s="554"/>
      <c r="L85" s="570">
        <v>4351025</v>
      </c>
      <c r="M85" s="549">
        <v>0.9</v>
      </c>
      <c r="N85" s="686">
        <f t="shared" si="1"/>
        <v>3915922.5</v>
      </c>
    </row>
    <row r="86" spans="2:14" ht="17.100000000000001" hidden="1" customHeight="1">
      <c r="B86" s="554"/>
      <c r="C86" s="555" t="s">
        <v>5002</v>
      </c>
      <c r="D86" s="556"/>
      <c r="E86" s="556"/>
      <c r="F86" s="556"/>
      <c r="G86" s="569"/>
      <c r="H86" s="557" t="s">
        <v>2646</v>
      </c>
      <c r="I86" s="570">
        <f t="shared" si="0"/>
        <v>1509120</v>
      </c>
      <c r="J86" s="554"/>
      <c r="L86" s="570">
        <f>1676800</f>
        <v>1676800</v>
      </c>
      <c r="M86" s="549">
        <v>0.9</v>
      </c>
      <c r="N86" s="686">
        <f t="shared" si="1"/>
        <v>1509120</v>
      </c>
    </row>
    <row r="87" spans="2:14" ht="17.100000000000001" hidden="1" customHeight="1">
      <c r="B87" s="554">
        <v>8</v>
      </c>
      <c r="C87" s="555" t="s">
        <v>2946</v>
      </c>
      <c r="D87" s="556"/>
      <c r="E87" s="556"/>
      <c r="F87" s="556"/>
      <c r="G87" s="569"/>
      <c r="H87" s="557" t="s">
        <v>773</v>
      </c>
      <c r="I87" s="570">
        <f t="shared" si="0"/>
        <v>16380</v>
      </c>
      <c r="J87" s="554"/>
      <c r="L87" s="570">
        <v>18200</v>
      </c>
      <c r="M87" s="549">
        <v>0.9</v>
      </c>
      <c r="N87" s="686">
        <f t="shared" si="1"/>
        <v>16380</v>
      </c>
    </row>
    <row r="88" spans="2:14" ht="17.100000000000001" customHeight="1">
      <c r="B88" s="554">
        <v>4</v>
      </c>
      <c r="C88" s="572" t="s">
        <v>2947</v>
      </c>
      <c r="D88" s="573"/>
      <c r="E88" s="573"/>
      <c r="F88" s="573"/>
      <c r="G88" s="574"/>
      <c r="H88" s="557" t="s">
        <v>773</v>
      </c>
      <c r="I88" s="570">
        <f t="shared" si="0"/>
        <v>20934</v>
      </c>
      <c r="J88" s="576"/>
      <c r="L88" s="570">
        <v>23260</v>
      </c>
      <c r="M88" s="549">
        <v>0.9</v>
      </c>
      <c r="N88" s="686">
        <f t="shared" si="1"/>
        <v>20934</v>
      </c>
    </row>
    <row r="89" spans="2:14" ht="17.100000000000001" hidden="1" customHeight="1">
      <c r="B89" s="554">
        <v>10</v>
      </c>
      <c r="C89" s="572" t="s">
        <v>2948</v>
      </c>
      <c r="D89" s="573"/>
      <c r="E89" s="573"/>
      <c r="F89" s="573"/>
      <c r="G89" s="574"/>
      <c r="H89" s="557" t="s">
        <v>1423</v>
      </c>
      <c r="I89" s="570">
        <f t="shared" si="0"/>
        <v>32130</v>
      </c>
      <c r="J89" s="576"/>
      <c r="L89" s="570">
        <v>35700</v>
      </c>
      <c r="M89" s="549">
        <v>0.9</v>
      </c>
      <c r="N89" s="686">
        <f t="shared" si="1"/>
        <v>32130</v>
      </c>
    </row>
    <row r="90" spans="2:14" ht="17.100000000000001" hidden="1" customHeight="1">
      <c r="B90" s="554">
        <v>11</v>
      </c>
      <c r="C90" s="555" t="s">
        <v>2949</v>
      </c>
      <c r="D90" s="556"/>
      <c r="E90" s="556"/>
      <c r="F90" s="556"/>
      <c r="G90" s="569"/>
      <c r="H90" s="557" t="s">
        <v>2950</v>
      </c>
      <c r="I90" s="570">
        <f t="shared" si="0"/>
        <v>31860</v>
      </c>
      <c r="J90" s="554"/>
      <c r="L90" s="570">
        <v>35400</v>
      </c>
      <c r="M90" s="549">
        <v>0.9</v>
      </c>
      <c r="N90" s="686">
        <f t="shared" si="1"/>
        <v>31860</v>
      </c>
    </row>
    <row r="91" spans="2:14" ht="17.100000000000001" hidden="1" customHeight="1">
      <c r="B91" s="554">
        <v>12</v>
      </c>
      <c r="C91" s="555" t="s">
        <v>2951</v>
      </c>
      <c r="D91" s="556"/>
      <c r="E91" s="556"/>
      <c r="F91" s="556"/>
      <c r="G91" s="569"/>
      <c r="H91" s="557" t="s">
        <v>2950</v>
      </c>
      <c r="I91" s="570">
        <f t="shared" ref="I91:I154" si="3">N91</f>
        <v>31860</v>
      </c>
      <c r="J91" s="554"/>
      <c r="L91" s="570">
        <v>35400</v>
      </c>
      <c r="M91" s="549">
        <v>0.9</v>
      </c>
      <c r="N91" s="686">
        <f t="shared" ref="N91:N154" si="4">L91*M91</f>
        <v>31860</v>
      </c>
    </row>
    <row r="92" spans="2:14" ht="17.100000000000001" customHeight="1">
      <c r="B92" s="554">
        <v>5</v>
      </c>
      <c r="C92" s="555" t="s">
        <v>2952</v>
      </c>
      <c r="D92" s="556"/>
      <c r="E92" s="556"/>
      <c r="F92" s="556"/>
      <c r="G92" s="569"/>
      <c r="H92" s="557" t="s">
        <v>2950</v>
      </c>
      <c r="I92" s="570">
        <f t="shared" si="3"/>
        <v>76464</v>
      </c>
      <c r="J92" s="554"/>
      <c r="L92" s="570">
        <v>84960</v>
      </c>
      <c r="M92" s="549">
        <v>0.9</v>
      </c>
      <c r="N92" s="686">
        <f t="shared" si="4"/>
        <v>76464</v>
      </c>
    </row>
    <row r="93" spans="2:14" ht="17.100000000000001" customHeight="1">
      <c r="B93" s="554">
        <v>6</v>
      </c>
      <c r="C93" s="555" t="s">
        <v>2953</v>
      </c>
      <c r="D93" s="556"/>
      <c r="E93" s="556"/>
      <c r="F93" s="556"/>
      <c r="G93" s="569"/>
      <c r="H93" s="557" t="s">
        <v>2950</v>
      </c>
      <c r="I93" s="570">
        <f t="shared" si="3"/>
        <v>98316</v>
      </c>
      <c r="J93" s="554"/>
      <c r="L93" s="570">
        <v>109240</v>
      </c>
      <c r="M93" s="549">
        <v>0.9</v>
      </c>
      <c r="N93" s="686">
        <f t="shared" si="4"/>
        <v>98316</v>
      </c>
    </row>
    <row r="94" spans="2:14" ht="17.100000000000001" customHeight="1">
      <c r="B94" s="554">
        <v>7</v>
      </c>
      <c r="C94" s="555" t="s">
        <v>2954</v>
      </c>
      <c r="D94" s="556"/>
      <c r="E94" s="556"/>
      <c r="F94" s="556"/>
      <c r="G94" s="569"/>
      <c r="H94" s="557" t="s">
        <v>2950</v>
      </c>
      <c r="I94" s="570">
        <v>143750</v>
      </c>
      <c r="J94" s="554"/>
      <c r="L94" s="570">
        <v>143750</v>
      </c>
      <c r="M94" s="549">
        <v>0.9</v>
      </c>
      <c r="N94" s="686">
        <f t="shared" si="4"/>
        <v>129375</v>
      </c>
    </row>
    <row r="95" spans="2:14" ht="17.100000000000001" hidden="1" customHeight="1">
      <c r="B95" s="554">
        <v>16</v>
      </c>
      <c r="C95" s="555" t="s">
        <v>2955</v>
      </c>
      <c r="D95" s="556"/>
      <c r="E95" s="556"/>
      <c r="F95" s="556"/>
      <c r="G95" s="569"/>
      <c r="H95" s="557" t="s">
        <v>2950</v>
      </c>
      <c r="I95" s="570">
        <f t="shared" si="3"/>
        <v>136548</v>
      </c>
      <c r="J95" s="554"/>
      <c r="L95" s="570">
        <v>151720</v>
      </c>
      <c r="M95" s="549">
        <v>0.9</v>
      </c>
      <c r="N95" s="686">
        <f t="shared" si="4"/>
        <v>136548</v>
      </c>
    </row>
    <row r="96" spans="2:14" ht="17.100000000000001" hidden="1" customHeight="1">
      <c r="B96" s="554">
        <v>17</v>
      </c>
      <c r="C96" s="555" t="s">
        <v>4780</v>
      </c>
      <c r="D96" s="556"/>
      <c r="E96" s="556"/>
      <c r="F96" s="556"/>
      <c r="G96" s="569"/>
      <c r="H96" s="557" t="s">
        <v>3306</v>
      </c>
      <c r="I96" s="570">
        <f t="shared" si="3"/>
        <v>19080</v>
      </c>
      <c r="J96" s="554"/>
      <c r="L96" s="570">
        <v>21200</v>
      </c>
      <c r="M96" s="549">
        <v>0.9</v>
      </c>
      <c r="N96" s="686">
        <f t="shared" si="4"/>
        <v>19080</v>
      </c>
    </row>
    <row r="97" spans="2:14" ht="17.100000000000001" hidden="1" customHeight="1">
      <c r="B97" s="554">
        <v>18</v>
      </c>
      <c r="C97" s="555" t="s">
        <v>3320</v>
      </c>
      <c r="D97" s="556"/>
      <c r="E97" s="556"/>
      <c r="F97" s="556"/>
      <c r="G97" s="569"/>
      <c r="H97" s="557" t="s">
        <v>3025</v>
      </c>
      <c r="I97" s="570">
        <f t="shared" si="3"/>
        <v>348075</v>
      </c>
      <c r="J97" s="554"/>
      <c r="L97" s="570">
        <v>386750</v>
      </c>
      <c r="M97" s="549">
        <v>0.9</v>
      </c>
      <c r="N97" s="686">
        <f t="shared" si="4"/>
        <v>348075</v>
      </c>
    </row>
    <row r="98" spans="2:14" ht="17.100000000000001" hidden="1" customHeight="1">
      <c r="B98" s="554">
        <v>19</v>
      </c>
      <c r="C98" s="555" t="s">
        <v>1289</v>
      </c>
      <c r="D98" s="556"/>
      <c r="E98" s="556"/>
      <c r="F98" s="556"/>
      <c r="G98" s="569"/>
      <c r="H98" s="557" t="s">
        <v>3025</v>
      </c>
      <c r="I98" s="570">
        <f t="shared" si="3"/>
        <v>133875</v>
      </c>
      <c r="J98" s="554"/>
      <c r="L98" s="570">
        <v>148750</v>
      </c>
      <c r="M98" s="549">
        <v>0.9</v>
      </c>
      <c r="N98" s="686">
        <f t="shared" si="4"/>
        <v>133875</v>
      </c>
    </row>
    <row r="99" spans="2:14" ht="17.100000000000001" customHeight="1">
      <c r="B99" s="554">
        <v>8</v>
      </c>
      <c r="C99" s="555" t="s">
        <v>5168</v>
      </c>
      <c r="D99" s="556"/>
      <c r="E99" s="556"/>
      <c r="F99" s="556"/>
      <c r="G99" s="569"/>
      <c r="H99" s="557" t="s">
        <v>4964</v>
      </c>
      <c r="I99" s="570">
        <v>1759588</v>
      </c>
      <c r="J99" s="554"/>
      <c r="L99" s="570">
        <v>550000</v>
      </c>
      <c r="M99" s="549">
        <v>0.9</v>
      </c>
      <c r="N99" s="686">
        <f t="shared" si="4"/>
        <v>495000</v>
      </c>
    </row>
    <row r="100" spans="2:14" ht="17.100000000000001" customHeight="1">
      <c r="B100" s="571"/>
      <c r="C100" s="567" t="s">
        <v>2956</v>
      </c>
      <c r="D100" s="568"/>
      <c r="E100" s="568"/>
      <c r="F100" s="568"/>
      <c r="G100" s="569"/>
      <c r="H100" s="557"/>
      <c r="I100" s="570"/>
      <c r="J100" s="554"/>
      <c r="L100" s="570"/>
      <c r="N100" s="686"/>
    </row>
    <row r="101" spans="2:14" ht="17.100000000000001" customHeight="1">
      <c r="B101" s="554">
        <v>1</v>
      </c>
      <c r="C101" s="555" t="s">
        <v>2957</v>
      </c>
      <c r="D101" s="556"/>
      <c r="E101" s="556"/>
      <c r="F101" s="556"/>
      <c r="G101" s="569"/>
      <c r="H101" s="557" t="s">
        <v>773</v>
      </c>
      <c r="I101" s="570">
        <f t="shared" si="3"/>
        <v>15300</v>
      </c>
      <c r="J101" s="554"/>
      <c r="L101" s="570">
        <v>17000</v>
      </c>
      <c r="M101" s="549">
        <v>0.9</v>
      </c>
      <c r="N101" s="686">
        <f t="shared" si="4"/>
        <v>15300</v>
      </c>
    </row>
    <row r="102" spans="2:14" ht="17.100000000000001" customHeight="1">
      <c r="B102" s="554">
        <v>2</v>
      </c>
      <c r="C102" s="555" t="s">
        <v>2958</v>
      </c>
      <c r="D102" s="556"/>
      <c r="E102" s="556"/>
      <c r="F102" s="556"/>
      <c r="G102" s="569"/>
      <c r="H102" s="557" t="s">
        <v>773</v>
      </c>
      <c r="I102" s="570">
        <f t="shared" si="3"/>
        <v>17100</v>
      </c>
      <c r="J102" s="554"/>
      <c r="L102" s="570">
        <v>19000</v>
      </c>
      <c r="M102" s="549">
        <v>0.9</v>
      </c>
      <c r="N102" s="686">
        <f t="shared" si="4"/>
        <v>17100</v>
      </c>
    </row>
    <row r="103" spans="2:14" ht="17.100000000000001" customHeight="1">
      <c r="B103" s="554">
        <v>3</v>
      </c>
      <c r="C103" s="555" t="s">
        <v>945</v>
      </c>
      <c r="D103" s="556"/>
      <c r="E103" s="556"/>
      <c r="F103" s="556"/>
      <c r="G103" s="569"/>
      <c r="H103" s="557" t="s">
        <v>773</v>
      </c>
      <c r="I103" s="570">
        <v>15700</v>
      </c>
      <c r="J103" s="554"/>
      <c r="L103" s="570">
        <v>19500</v>
      </c>
      <c r="M103" s="549">
        <v>0.9</v>
      </c>
      <c r="N103" s="686">
        <f t="shared" si="4"/>
        <v>17550</v>
      </c>
    </row>
    <row r="104" spans="2:14" ht="17.100000000000001" hidden="1" customHeight="1">
      <c r="B104" s="554">
        <v>4</v>
      </c>
      <c r="C104" s="555" t="s">
        <v>946</v>
      </c>
      <c r="D104" s="556"/>
      <c r="E104" s="556"/>
      <c r="F104" s="556"/>
      <c r="G104" s="569"/>
      <c r="H104" s="557" t="s">
        <v>773</v>
      </c>
      <c r="I104" s="570">
        <f t="shared" si="3"/>
        <v>24300</v>
      </c>
      <c r="J104" s="554"/>
      <c r="L104" s="570">
        <v>27000</v>
      </c>
      <c r="M104" s="549">
        <v>0.9</v>
      </c>
      <c r="N104" s="686">
        <f t="shared" si="4"/>
        <v>24300</v>
      </c>
    </row>
    <row r="105" spans="2:14" ht="17.100000000000001" customHeight="1">
      <c r="B105" s="554">
        <v>4</v>
      </c>
      <c r="C105" s="555" t="s">
        <v>2959</v>
      </c>
      <c r="D105" s="556"/>
      <c r="E105" s="556"/>
      <c r="F105" s="556"/>
      <c r="G105" s="569"/>
      <c r="H105" s="557" t="s">
        <v>773</v>
      </c>
      <c r="I105" s="570">
        <f t="shared" si="3"/>
        <v>16065</v>
      </c>
      <c r="J105" s="554"/>
      <c r="L105" s="570">
        <v>17850</v>
      </c>
      <c r="M105" s="549">
        <v>0.9</v>
      </c>
      <c r="N105" s="686">
        <f t="shared" si="4"/>
        <v>16065</v>
      </c>
    </row>
    <row r="106" spans="2:14" ht="17.100000000000001" hidden="1" customHeight="1">
      <c r="B106" s="554">
        <v>6</v>
      </c>
      <c r="C106" s="555" t="s">
        <v>3339</v>
      </c>
      <c r="D106" s="556"/>
      <c r="E106" s="556"/>
      <c r="F106" s="556"/>
      <c r="G106" s="569"/>
      <c r="H106" s="557" t="s">
        <v>2944</v>
      </c>
      <c r="I106" s="570">
        <f t="shared" si="3"/>
        <v>32130</v>
      </c>
      <c r="J106" s="554"/>
      <c r="L106" s="570">
        <v>35700</v>
      </c>
      <c r="M106" s="549">
        <v>0.9</v>
      </c>
      <c r="N106" s="686">
        <f t="shared" si="4"/>
        <v>32130</v>
      </c>
    </row>
    <row r="107" spans="2:14" ht="17.100000000000001" hidden="1" customHeight="1">
      <c r="B107" s="554">
        <v>7</v>
      </c>
      <c r="C107" s="555" t="s">
        <v>2960</v>
      </c>
      <c r="D107" s="556"/>
      <c r="E107" s="556"/>
      <c r="F107" s="556"/>
      <c r="G107" s="569"/>
      <c r="H107" s="557" t="s">
        <v>773</v>
      </c>
      <c r="I107" s="570">
        <f t="shared" si="3"/>
        <v>30060</v>
      </c>
      <c r="J107" s="554"/>
      <c r="L107" s="570">
        <v>33400</v>
      </c>
      <c r="M107" s="549">
        <v>0.9</v>
      </c>
      <c r="N107" s="686">
        <f t="shared" si="4"/>
        <v>30060</v>
      </c>
    </row>
    <row r="108" spans="2:14" ht="17.100000000000001" customHeight="1">
      <c r="B108" s="554">
        <v>5</v>
      </c>
      <c r="C108" s="555" t="s">
        <v>2961</v>
      </c>
      <c r="D108" s="556"/>
      <c r="E108" s="556"/>
      <c r="F108" s="556"/>
      <c r="G108" s="569"/>
      <c r="H108" s="557" t="s">
        <v>773</v>
      </c>
      <c r="I108" s="570">
        <f t="shared" si="3"/>
        <v>29497.5</v>
      </c>
      <c r="J108" s="554"/>
      <c r="L108" s="570">
        <v>32775</v>
      </c>
      <c r="M108" s="549">
        <v>0.9</v>
      </c>
      <c r="N108" s="686">
        <f t="shared" si="4"/>
        <v>29497.5</v>
      </c>
    </row>
    <row r="109" spans="2:14" ht="17.100000000000001" hidden="1" customHeight="1">
      <c r="B109" s="554">
        <v>9</v>
      </c>
      <c r="C109" s="555" t="s">
        <v>4467</v>
      </c>
      <c r="D109" s="556"/>
      <c r="E109" s="556"/>
      <c r="F109" s="556"/>
      <c r="G109" s="569"/>
      <c r="H109" s="557" t="s">
        <v>2962</v>
      </c>
      <c r="I109" s="570">
        <f t="shared" si="3"/>
        <v>230265</v>
      </c>
      <c r="J109" s="554"/>
      <c r="L109" s="570">
        <v>255850</v>
      </c>
      <c r="M109" s="549">
        <v>0.9</v>
      </c>
      <c r="N109" s="686">
        <f t="shared" si="4"/>
        <v>230265</v>
      </c>
    </row>
    <row r="110" spans="2:14" s="955" customFormat="1" ht="17.100000000000001" hidden="1" customHeight="1">
      <c r="B110" s="554">
        <v>6</v>
      </c>
      <c r="C110" s="555" t="s">
        <v>4422</v>
      </c>
      <c r="D110" s="556"/>
      <c r="E110" s="556"/>
      <c r="F110" s="556"/>
      <c r="G110" s="569"/>
      <c r="H110" s="557" t="s">
        <v>773</v>
      </c>
      <c r="I110" s="570">
        <f t="shared" si="3"/>
        <v>46053</v>
      </c>
      <c r="J110" s="554"/>
      <c r="L110" s="954">
        <v>51170</v>
      </c>
      <c r="M110" s="549">
        <v>0.9</v>
      </c>
      <c r="N110" s="686">
        <f t="shared" si="4"/>
        <v>46053</v>
      </c>
    </row>
    <row r="111" spans="2:14" s="955" customFormat="1" ht="17.100000000000001" hidden="1" customHeight="1">
      <c r="B111" s="554">
        <v>11</v>
      </c>
      <c r="C111" s="555" t="s">
        <v>4773</v>
      </c>
      <c r="D111" s="556"/>
      <c r="E111" s="556"/>
      <c r="F111" s="556"/>
      <c r="G111" s="569"/>
      <c r="H111" s="557" t="s">
        <v>715</v>
      </c>
      <c r="I111" s="570">
        <f t="shared" si="3"/>
        <v>309519</v>
      </c>
      <c r="J111" s="580"/>
      <c r="L111" s="954">
        <v>343910</v>
      </c>
      <c r="M111" s="549">
        <v>0.9</v>
      </c>
      <c r="N111" s="686">
        <f t="shared" si="4"/>
        <v>309519</v>
      </c>
    </row>
    <row r="112" spans="2:14" s="955" customFormat="1" ht="17.100000000000001" hidden="1" customHeight="1">
      <c r="B112" s="554">
        <v>12</v>
      </c>
      <c r="C112" s="555" t="s">
        <v>721</v>
      </c>
      <c r="D112" s="556"/>
      <c r="E112" s="556"/>
      <c r="F112" s="556"/>
      <c r="G112" s="569"/>
      <c r="H112" s="557" t="s">
        <v>2944</v>
      </c>
      <c r="I112" s="570">
        <f t="shared" si="3"/>
        <v>2673</v>
      </c>
      <c r="J112" s="554"/>
      <c r="L112" s="954">
        <v>2970</v>
      </c>
      <c r="M112" s="549">
        <v>0.9</v>
      </c>
      <c r="N112" s="686">
        <f t="shared" si="4"/>
        <v>2673</v>
      </c>
    </row>
    <row r="113" spans="2:14" s="955" customFormat="1" ht="17.100000000000001" hidden="1" customHeight="1">
      <c r="B113" s="554">
        <v>13</v>
      </c>
      <c r="C113" s="555" t="s">
        <v>3384</v>
      </c>
      <c r="D113" s="556"/>
      <c r="E113" s="556"/>
      <c r="F113" s="556"/>
      <c r="G113" s="569"/>
      <c r="H113" s="557" t="s">
        <v>1423</v>
      </c>
      <c r="I113" s="570">
        <f t="shared" si="3"/>
        <v>824670</v>
      </c>
      <c r="J113" s="554"/>
      <c r="L113" s="954">
        <v>916300</v>
      </c>
      <c r="M113" s="549">
        <v>0.9</v>
      </c>
      <c r="N113" s="686">
        <f t="shared" si="4"/>
        <v>824670</v>
      </c>
    </row>
    <row r="114" spans="2:14" s="955" customFormat="1" ht="17.100000000000001" hidden="1" customHeight="1">
      <c r="B114" s="554">
        <v>14</v>
      </c>
      <c r="C114" s="555" t="s">
        <v>3385</v>
      </c>
      <c r="D114" s="556"/>
      <c r="E114" s="556"/>
      <c r="F114" s="556"/>
      <c r="G114" s="569"/>
      <c r="H114" s="557" t="s">
        <v>1423</v>
      </c>
      <c r="I114" s="570">
        <f t="shared" si="3"/>
        <v>765765</v>
      </c>
      <c r="J114" s="554"/>
      <c r="L114" s="954">
        <v>850850</v>
      </c>
      <c r="M114" s="549">
        <v>0.9</v>
      </c>
      <c r="N114" s="686">
        <f t="shared" si="4"/>
        <v>765765</v>
      </c>
    </row>
    <row r="115" spans="2:14" s="955" customFormat="1" ht="17.100000000000001" hidden="1" customHeight="1">
      <c r="B115" s="554">
        <v>15</v>
      </c>
      <c r="C115" s="555" t="s">
        <v>3386</v>
      </c>
      <c r="D115" s="556"/>
      <c r="E115" s="556"/>
      <c r="F115" s="556"/>
      <c r="G115" s="569"/>
      <c r="H115" s="557" t="s">
        <v>1423</v>
      </c>
      <c r="I115" s="570">
        <f t="shared" si="3"/>
        <v>824670</v>
      </c>
      <c r="J115" s="554"/>
      <c r="L115" s="954">
        <v>916300</v>
      </c>
      <c r="M115" s="549">
        <v>0.9</v>
      </c>
      <c r="N115" s="686">
        <f t="shared" si="4"/>
        <v>824670</v>
      </c>
    </row>
    <row r="116" spans="2:14" s="955" customFormat="1" ht="17.100000000000001" hidden="1" customHeight="1">
      <c r="B116" s="554">
        <v>16</v>
      </c>
      <c r="C116" s="555" t="s">
        <v>3387</v>
      </c>
      <c r="D116" s="556"/>
      <c r="E116" s="556"/>
      <c r="F116" s="556"/>
      <c r="G116" s="569"/>
      <c r="H116" s="557" t="s">
        <v>1423</v>
      </c>
      <c r="I116" s="570">
        <f t="shared" si="3"/>
        <v>765765</v>
      </c>
      <c r="J116" s="554"/>
      <c r="L116" s="954">
        <v>850850</v>
      </c>
      <c r="M116" s="549">
        <v>0.9</v>
      </c>
      <c r="N116" s="686">
        <f t="shared" si="4"/>
        <v>765765</v>
      </c>
    </row>
    <row r="117" spans="2:14" s="956" customFormat="1" ht="17.100000000000001" hidden="1" customHeight="1">
      <c r="B117" s="554">
        <v>17</v>
      </c>
      <c r="C117" s="572" t="s">
        <v>2963</v>
      </c>
      <c r="D117" s="573"/>
      <c r="E117" s="573"/>
      <c r="F117" s="573"/>
      <c r="G117" s="574"/>
      <c r="H117" s="575" t="s">
        <v>2647</v>
      </c>
      <c r="I117" s="570">
        <f t="shared" si="3"/>
        <v>481950</v>
      </c>
      <c r="J117" s="576"/>
      <c r="L117" s="954">
        <v>535500</v>
      </c>
      <c r="M117" s="549">
        <v>0.9</v>
      </c>
      <c r="N117" s="686">
        <f t="shared" si="4"/>
        <v>481950</v>
      </c>
    </row>
    <row r="118" spans="2:14" s="956" customFormat="1" ht="17.100000000000001" hidden="1" customHeight="1">
      <c r="B118" s="554">
        <v>18</v>
      </c>
      <c r="C118" s="572" t="s">
        <v>2964</v>
      </c>
      <c r="D118" s="573"/>
      <c r="E118" s="573"/>
      <c r="F118" s="573"/>
      <c r="G118" s="574"/>
      <c r="H118" s="575" t="s">
        <v>2647</v>
      </c>
      <c r="I118" s="570">
        <f t="shared" si="3"/>
        <v>535500</v>
      </c>
      <c r="J118" s="576"/>
      <c r="L118" s="954">
        <v>595000</v>
      </c>
      <c r="M118" s="549">
        <v>0.9</v>
      </c>
      <c r="N118" s="686">
        <f t="shared" si="4"/>
        <v>535500</v>
      </c>
    </row>
    <row r="119" spans="2:14" s="956" customFormat="1" ht="17.100000000000001" hidden="1" customHeight="1">
      <c r="B119" s="554">
        <v>19</v>
      </c>
      <c r="C119" s="555" t="s">
        <v>3388</v>
      </c>
      <c r="D119" s="556"/>
      <c r="E119" s="556"/>
      <c r="F119" s="556"/>
      <c r="G119" s="569"/>
      <c r="H119" s="557" t="s">
        <v>1423</v>
      </c>
      <c r="I119" s="570">
        <f t="shared" si="3"/>
        <v>803250</v>
      </c>
      <c r="J119" s="576"/>
      <c r="L119" s="954">
        <v>892500</v>
      </c>
      <c r="M119" s="549">
        <v>0.9</v>
      </c>
      <c r="N119" s="686">
        <f t="shared" si="4"/>
        <v>803250</v>
      </c>
    </row>
    <row r="120" spans="2:14" s="956" customFormat="1" ht="17.100000000000001" hidden="1" customHeight="1">
      <c r="B120" s="554">
        <v>20</v>
      </c>
      <c r="C120" s="555" t="s">
        <v>3389</v>
      </c>
      <c r="D120" s="556"/>
      <c r="E120" s="556"/>
      <c r="F120" s="556"/>
      <c r="G120" s="569"/>
      <c r="H120" s="557" t="s">
        <v>1423</v>
      </c>
      <c r="I120" s="570">
        <f t="shared" si="3"/>
        <v>749700</v>
      </c>
      <c r="J120" s="576"/>
      <c r="L120" s="954">
        <v>833000</v>
      </c>
      <c r="M120" s="549">
        <v>0.9</v>
      </c>
      <c r="N120" s="686">
        <f t="shared" si="4"/>
        <v>749700</v>
      </c>
    </row>
    <row r="121" spans="2:14" s="955" customFormat="1" ht="17.100000000000001" customHeight="1">
      <c r="B121" s="554">
        <v>6</v>
      </c>
      <c r="C121" s="555" t="s">
        <v>2965</v>
      </c>
      <c r="D121" s="556"/>
      <c r="E121" s="556"/>
      <c r="F121" s="556"/>
      <c r="G121" s="569"/>
      <c r="H121" s="557" t="s">
        <v>2647</v>
      </c>
      <c r="I121" s="570">
        <f t="shared" si="3"/>
        <v>650700</v>
      </c>
      <c r="J121" s="554"/>
      <c r="L121" s="570">
        <v>723000</v>
      </c>
      <c r="M121" s="549">
        <v>0.9</v>
      </c>
      <c r="N121" s="686">
        <f t="shared" si="4"/>
        <v>650700</v>
      </c>
    </row>
    <row r="122" spans="2:14" s="955" customFormat="1" ht="17.100000000000001" hidden="1" customHeight="1">
      <c r="B122" s="554">
        <v>22</v>
      </c>
      <c r="C122" s="555" t="s">
        <v>3390</v>
      </c>
      <c r="D122" s="556"/>
      <c r="E122" s="556"/>
      <c r="F122" s="556"/>
      <c r="G122" s="569"/>
      <c r="H122" s="557" t="s">
        <v>2647</v>
      </c>
      <c r="I122" s="570">
        <f t="shared" si="3"/>
        <v>1071000</v>
      </c>
      <c r="J122" s="554"/>
      <c r="L122" s="954">
        <v>1190000</v>
      </c>
      <c r="M122" s="549">
        <v>0.9</v>
      </c>
      <c r="N122" s="686">
        <f t="shared" si="4"/>
        <v>1071000</v>
      </c>
    </row>
    <row r="123" spans="2:14" s="955" customFormat="1" ht="17.100000000000001" hidden="1" customHeight="1">
      <c r="B123" s="554">
        <v>23</v>
      </c>
      <c r="C123" s="555" t="s">
        <v>2966</v>
      </c>
      <c r="D123" s="556"/>
      <c r="E123" s="556"/>
      <c r="F123" s="556"/>
      <c r="G123" s="569"/>
      <c r="H123" s="557" t="s">
        <v>2647</v>
      </c>
      <c r="I123" s="570">
        <f t="shared" si="3"/>
        <v>1124550</v>
      </c>
      <c r="J123" s="554"/>
      <c r="L123" s="954">
        <v>1249500</v>
      </c>
      <c r="M123" s="549">
        <v>0.9</v>
      </c>
      <c r="N123" s="686">
        <f t="shared" si="4"/>
        <v>1124550</v>
      </c>
    </row>
    <row r="124" spans="2:14" s="955" customFormat="1" ht="17.100000000000001" hidden="1" customHeight="1">
      <c r="B124" s="554">
        <v>24</v>
      </c>
      <c r="C124" s="555" t="s">
        <v>2967</v>
      </c>
      <c r="D124" s="556"/>
      <c r="E124" s="556"/>
      <c r="F124" s="556"/>
      <c r="G124" s="569"/>
      <c r="H124" s="557" t="s">
        <v>1346</v>
      </c>
      <c r="I124" s="570">
        <f t="shared" si="3"/>
        <v>481950</v>
      </c>
      <c r="J124" s="554"/>
      <c r="L124" s="954">
        <v>535500</v>
      </c>
      <c r="M124" s="549">
        <v>0.9</v>
      </c>
      <c r="N124" s="686">
        <f t="shared" si="4"/>
        <v>481950</v>
      </c>
    </row>
    <row r="125" spans="2:14" s="955" customFormat="1" ht="17.100000000000001" hidden="1" customHeight="1">
      <c r="B125" s="554">
        <v>25</v>
      </c>
      <c r="C125" s="555" t="s">
        <v>2968</v>
      </c>
      <c r="D125" s="556"/>
      <c r="E125" s="556"/>
      <c r="F125" s="556"/>
      <c r="G125" s="569"/>
      <c r="H125" s="557" t="s">
        <v>1346</v>
      </c>
      <c r="I125" s="570">
        <f t="shared" si="3"/>
        <v>1071000</v>
      </c>
      <c r="J125" s="554"/>
      <c r="L125" s="954">
        <v>1190000</v>
      </c>
      <c r="M125" s="549">
        <v>0.9</v>
      </c>
      <c r="N125" s="686">
        <f t="shared" si="4"/>
        <v>1071000</v>
      </c>
    </row>
    <row r="126" spans="2:14" s="957" customFormat="1" ht="17.100000000000001" hidden="1" customHeight="1">
      <c r="B126" s="554">
        <v>26</v>
      </c>
      <c r="C126" s="2232" t="s">
        <v>2969</v>
      </c>
      <c r="D126" s="2233"/>
      <c r="E126" s="2233"/>
      <c r="F126" s="2233"/>
      <c r="G126" s="1025"/>
      <c r="H126" s="581" t="s">
        <v>2970</v>
      </c>
      <c r="I126" s="570">
        <f t="shared" si="3"/>
        <v>3748500</v>
      </c>
      <c r="J126" s="1026"/>
      <c r="L126" s="954">
        <v>4165000</v>
      </c>
      <c r="M126" s="549">
        <v>0.9</v>
      </c>
      <c r="N126" s="686">
        <f t="shared" si="4"/>
        <v>3748500</v>
      </c>
    </row>
    <row r="127" spans="2:14" s="955" customFormat="1" ht="17.100000000000001" hidden="1" customHeight="1">
      <c r="B127" s="554">
        <v>27</v>
      </c>
      <c r="C127" s="555" t="s">
        <v>2971</v>
      </c>
      <c r="D127" s="556"/>
      <c r="E127" s="556"/>
      <c r="F127" s="556"/>
      <c r="G127" s="569"/>
      <c r="H127" s="557" t="s">
        <v>773</v>
      </c>
      <c r="I127" s="570">
        <f t="shared" si="3"/>
        <v>16065</v>
      </c>
      <c r="J127" s="554"/>
      <c r="L127" s="954">
        <v>17850</v>
      </c>
      <c r="M127" s="549">
        <v>0.9</v>
      </c>
      <c r="N127" s="686">
        <f t="shared" si="4"/>
        <v>16065</v>
      </c>
    </row>
    <row r="128" spans="2:14" s="955" customFormat="1" ht="17.100000000000001" hidden="1" customHeight="1">
      <c r="B128" s="554">
        <v>7</v>
      </c>
      <c r="C128" s="555" t="s">
        <v>2972</v>
      </c>
      <c r="D128" s="556"/>
      <c r="E128" s="556"/>
      <c r="F128" s="556"/>
      <c r="G128" s="569"/>
      <c r="H128" s="557" t="s">
        <v>773</v>
      </c>
      <c r="I128" s="570">
        <f t="shared" si="3"/>
        <v>20441.7</v>
      </c>
      <c r="J128" s="554"/>
      <c r="L128" s="954">
        <v>22713</v>
      </c>
      <c r="M128" s="549">
        <v>0.9</v>
      </c>
      <c r="N128" s="686">
        <f t="shared" si="4"/>
        <v>20441.7</v>
      </c>
    </row>
    <row r="129" spans="2:14" ht="17.100000000000001" customHeight="1">
      <c r="B129" s="554">
        <v>7</v>
      </c>
      <c r="C129" s="555" t="s">
        <v>5268</v>
      </c>
      <c r="D129" s="556"/>
      <c r="E129" s="556"/>
      <c r="F129" s="556"/>
      <c r="G129" s="569"/>
      <c r="H129" s="557" t="s">
        <v>773</v>
      </c>
      <c r="I129" s="570">
        <v>155400</v>
      </c>
      <c r="J129" s="554"/>
      <c r="L129" s="570">
        <v>29750</v>
      </c>
      <c r="M129" s="549">
        <v>0.9</v>
      </c>
      <c r="N129" s="686">
        <f t="shared" si="4"/>
        <v>26775</v>
      </c>
    </row>
    <row r="130" spans="2:14" ht="17.100000000000001" hidden="1" customHeight="1">
      <c r="B130" s="554">
        <v>30</v>
      </c>
      <c r="C130" s="555" t="s">
        <v>3425</v>
      </c>
      <c r="D130" s="556"/>
      <c r="E130" s="556"/>
      <c r="F130" s="556"/>
      <c r="G130" s="569"/>
      <c r="H130" s="557" t="s">
        <v>1423</v>
      </c>
      <c r="I130" s="570">
        <f t="shared" si="3"/>
        <v>207</v>
      </c>
      <c r="J130" s="554"/>
      <c r="L130" s="570">
        <v>230</v>
      </c>
      <c r="M130" s="549">
        <v>0.9</v>
      </c>
      <c r="N130" s="686">
        <f t="shared" si="4"/>
        <v>207</v>
      </c>
    </row>
    <row r="131" spans="2:14" s="955" customFormat="1" ht="17.100000000000001" customHeight="1">
      <c r="B131" s="554">
        <v>8</v>
      </c>
      <c r="C131" s="555" t="s">
        <v>3426</v>
      </c>
      <c r="D131" s="556"/>
      <c r="E131" s="556"/>
      <c r="F131" s="556"/>
      <c r="G131" s="569"/>
      <c r="H131" s="557" t="s">
        <v>1423</v>
      </c>
      <c r="I131" s="570">
        <f t="shared" si="3"/>
        <v>531</v>
      </c>
      <c r="J131" s="554"/>
      <c r="L131" s="954">
        <v>590</v>
      </c>
      <c r="M131" s="955">
        <v>0.9</v>
      </c>
      <c r="N131" s="1004">
        <f t="shared" si="4"/>
        <v>531</v>
      </c>
    </row>
    <row r="132" spans="2:14" s="955" customFormat="1" ht="17.100000000000001" hidden="1" customHeight="1">
      <c r="B132" s="554">
        <v>32</v>
      </c>
      <c r="C132" s="555" t="s">
        <v>2973</v>
      </c>
      <c r="D132" s="556"/>
      <c r="E132" s="556"/>
      <c r="F132" s="556"/>
      <c r="G132" s="569"/>
      <c r="H132" s="557" t="s">
        <v>773</v>
      </c>
      <c r="I132" s="570">
        <f t="shared" si="3"/>
        <v>38592</v>
      </c>
      <c r="J132" s="554"/>
      <c r="L132" s="954">
        <v>42880</v>
      </c>
      <c r="M132" s="955">
        <v>0.9</v>
      </c>
      <c r="N132" s="1004">
        <f t="shared" si="4"/>
        <v>38592</v>
      </c>
    </row>
    <row r="133" spans="2:14" s="955" customFormat="1" ht="17.100000000000001" hidden="1" customHeight="1">
      <c r="B133" s="554">
        <v>33</v>
      </c>
      <c r="C133" s="555" t="s">
        <v>2974</v>
      </c>
      <c r="D133" s="556"/>
      <c r="E133" s="556"/>
      <c r="F133" s="556"/>
      <c r="G133" s="569"/>
      <c r="H133" s="557" t="s">
        <v>2647</v>
      </c>
      <c r="I133" s="570">
        <f t="shared" si="3"/>
        <v>481950</v>
      </c>
      <c r="J133" s="554"/>
      <c r="L133" s="954">
        <v>535500</v>
      </c>
      <c r="M133" s="955">
        <v>0.9</v>
      </c>
      <c r="N133" s="1004">
        <f t="shared" si="4"/>
        <v>481950</v>
      </c>
    </row>
    <row r="134" spans="2:14" s="955" customFormat="1" ht="17.100000000000001" hidden="1" customHeight="1">
      <c r="B134" s="554">
        <v>34</v>
      </c>
      <c r="C134" s="555" t="s">
        <v>2975</v>
      </c>
      <c r="D134" s="556"/>
      <c r="E134" s="556"/>
      <c r="F134" s="556"/>
      <c r="G134" s="569"/>
      <c r="H134" s="557" t="s">
        <v>2647</v>
      </c>
      <c r="I134" s="570">
        <f t="shared" si="3"/>
        <v>562275</v>
      </c>
      <c r="J134" s="554"/>
      <c r="L134" s="954">
        <v>624750</v>
      </c>
      <c r="M134" s="955">
        <v>0.9</v>
      </c>
      <c r="N134" s="1004">
        <f t="shared" si="4"/>
        <v>562275</v>
      </c>
    </row>
    <row r="135" spans="2:14" s="955" customFormat="1" ht="17.100000000000001" hidden="1" customHeight="1">
      <c r="B135" s="554">
        <v>35</v>
      </c>
      <c r="C135" s="555" t="s">
        <v>3327</v>
      </c>
      <c r="D135" s="556"/>
      <c r="E135" s="556"/>
      <c r="F135" s="556"/>
      <c r="G135" s="569"/>
      <c r="H135" s="557" t="s">
        <v>1423</v>
      </c>
      <c r="I135" s="570">
        <f t="shared" si="3"/>
        <v>1071</v>
      </c>
      <c r="J135" s="554"/>
      <c r="L135" s="954">
        <v>1190</v>
      </c>
      <c r="M135" s="955">
        <v>0.9</v>
      </c>
      <c r="N135" s="1004">
        <f t="shared" si="4"/>
        <v>1071</v>
      </c>
    </row>
    <row r="136" spans="2:14" s="956" customFormat="1" ht="17.100000000000001" hidden="1" customHeight="1">
      <c r="B136" s="554">
        <v>36</v>
      </c>
      <c r="C136" s="572" t="s">
        <v>2976</v>
      </c>
      <c r="D136" s="573"/>
      <c r="E136" s="573"/>
      <c r="F136" s="573"/>
      <c r="G136" s="574"/>
      <c r="H136" s="557" t="s">
        <v>2647</v>
      </c>
      <c r="I136" s="570">
        <f t="shared" si="3"/>
        <v>187425</v>
      </c>
      <c r="J136" s="576"/>
      <c r="L136" s="954">
        <v>208250</v>
      </c>
      <c r="M136" s="955">
        <v>0.9</v>
      </c>
      <c r="N136" s="1004">
        <f t="shared" si="4"/>
        <v>187425</v>
      </c>
    </row>
    <row r="137" spans="2:14" s="956" customFormat="1" ht="17.100000000000001" hidden="1" customHeight="1">
      <c r="B137" s="554">
        <v>37</v>
      </c>
      <c r="C137" s="572" t="s">
        <v>2977</v>
      </c>
      <c r="D137" s="573"/>
      <c r="E137" s="573"/>
      <c r="F137" s="573"/>
      <c r="G137" s="574"/>
      <c r="H137" s="575" t="s">
        <v>2647</v>
      </c>
      <c r="I137" s="570">
        <f t="shared" si="3"/>
        <v>374850</v>
      </c>
      <c r="J137" s="576"/>
      <c r="L137" s="954">
        <v>416500</v>
      </c>
      <c r="M137" s="955">
        <v>0.9</v>
      </c>
      <c r="N137" s="1004">
        <f t="shared" si="4"/>
        <v>374850</v>
      </c>
    </row>
    <row r="138" spans="2:14" s="956" customFormat="1" ht="17.100000000000001" hidden="1" customHeight="1">
      <c r="B138" s="554">
        <v>38</v>
      </c>
      <c r="C138" s="572" t="s">
        <v>2978</v>
      </c>
      <c r="D138" s="573"/>
      <c r="E138" s="573"/>
      <c r="F138" s="573"/>
      <c r="G138" s="574"/>
      <c r="H138" s="575" t="s">
        <v>2647</v>
      </c>
      <c r="I138" s="570">
        <f t="shared" si="3"/>
        <v>160650</v>
      </c>
      <c r="J138" s="576"/>
      <c r="L138" s="954">
        <v>178500</v>
      </c>
      <c r="M138" s="955">
        <v>0.9</v>
      </c>
      <c r="N138" s="1004">
        <f t="shared" si="4"/>
        <v>160650</v>
      </c>
    </row>
    <row r="139" spans="2:14" s="956" customFormat="1" ht="17.100000000000001" hidden="1" customHeight="1">
      <c r="B139" s="554">
        <v>39</v>
      </c>
      <c r="C139" s="572" t="s">
        <v>3848</v>
      </c>
      <c r="D139" s="573"/>
      <c r="E139" s="573"/>
      <c r="F139" s="573"/>
      <c r="G139" s="574"/>
      <c r="H139" s="575" t="s">
        <v>2944</v>
      </c>
      <c r="I139" s="570">
        <f t="shared" si="3"/>
        <v>117810</v>
      </c>
      <c r="J139" s="576"/>
      <c r="L139" s="954">
        <v>130900</v>
      </c>
      <c r="M139" s="955">
        <v>0.9</v>
      </c>
      <c r="N139" s="1004">
        <f t="shared" si="4"/>
        <v>117810</v>
      </c>
    </row>
    <row r="140" spans="2:14" s="956" customFormat="1" ht="17.100000000000001" hidden="1" customHeight="1">
      <c r="B140" s="554">
        <v>40</v>
      </c>
      <c r="C140" s="572" t="s">
        <v>3849</v>
      </c>
      <c r="D140" s="573"/>
      <c r="E140" s="573"/>
      <c r="F140" s="573"/>
      <c r="G140" s="574"/>
      <c r="H140" s="575" t="s">
        <v>2944</v>
      </c>
      <c r="I140" s="570">
        <f t="shared" si="3"/>
        <v>107100</v>
      </c>
      <c r="J140" s="576"/>
      <c r="L140" s="954">
        <v>119000</v>
      </c>
      <c r="M140" s="955">
        <v>0.9</v>
      </c>
      <c r="N140" s="1004">
        <f t="shared" si="4"/>
        <v>107100</v>
      </c>
    </row>
    <row r="141" spans="2:14" s="956" customFormat="1" ht="17.100000000000001" hidden="1" customHeight="1">
      <c r="B141" s="554">
        <v>41</v>
      </c>
      <c r="C141" s="572" t="s">
        <v>3850</v>
      </c>
      <c r="D141" s="573"/>
      <c r="E141" s="573"/>
      <c r="F141" s="573"/>
      <c r="G141" s="574"/>
      <c r="H141" s="575" t="s">
        <v>2944</v>
      </c>
      <c r="I141" s="570">
        <f t="shared" si="3"/>
        <v>107100</v>
      </c>
      <c r="J141" s="576"/>
      <c r="L141" s="954">
        <v>119000</v>
      </c>
      <c r="M141" s="955">
        <v>0.9</v>
      </c>
      <c r="N141" s="1004">
        <f t="shared" si="4"/>
        <v>107100</v>
      </c>
    </row>
    <row r="142" spans="2:14" s="956" customFormat="1" ht="17.100000000000001" hidden="1" customHeight="1">
      <c r="B142" s="554">
        <v>42</v>
      </c>
      <c r="C142" s="572" t="s">
        <v>3851</v>
      </c>
      <c r="D142" s="573"/>
      <c r="E142" s="573"/>
      <c r="F142" s="573"/>
      <c r="G142" s="574"/>
      <c r="H142" s="575" t="s">
        <v>2944</v>
      </c>
      <c r="I142" s="570">
        <f t="shared" si="3"/>
        <v>96390</v>
      </c>
      <c r="J142" s="576"/>
      <c r="L142" s="954">
        <v>107100</v>
      </c>
      <c r="M142" s="955">
        <v>0.9</v>
      </c>
      <c r="N142" s="1004">
        <f t="shared" si="4"/>
        <v>96390</v>
      </c>
    </row>
    <row r="143" spans="2:14" s="956" customFormat="1" ht="17.100000000000001" hidden="1" customHeight="1">
      <c r="B143" s="554">
        <v>43</v>
      </c>
      <c r="C143" s="572" t="s">
        <v>3857</v>
      </c>
      <c r="D143" s="573"/>
      <c r="E143" s="573"/>
      <c r="F143" s="573"/>
      <c r="G143" s="574"/>
      <c r="H143" s="575" t="s">
        <v>2944</v>
      </c>
      <c r="I143" s="570">
        <f t="shared" si="3"/>
        <v>96390</v>
      </c>
      <c r="J143" s="576"/>
      <c r="L143" s="954">
        <v>107100</v>
      </c>
      <c r="M143" s="955">
        <v>0.9</v>
      </c>
      <c r="N143" s="1004">
        <f t="shared" si="4"/>
        <v>96390</v>
      </c>
    </row>
    <row r="144" spans="2:14" s="956" customFormat="1" ht="17.100000000000001" customHeight="1">
      <c r="B144" s="554">
        <v>9</v>
      </c>
      <c r="C144" s="572" t="s">
        <v>5202</v>
      </c>
      <c r="D144" s="573"/>
      <c r="E144" s="573"/>
      <c r="F144" s="573"/>
      <c r="G144" s="574"/>
      <c r="H144" s="575" t="s">
        <v>2944</v>
      </c>
      <c r="I144" s="570">
        <f t="shared" si="3"/>
        <v>54621</v>
      </c>
      <c r="J144" s="576"/>
      <c r="L144" s="954">
        <v>60690</v>
      </c>
      <c r="M144" s="955">
        <v>0.9</v>
      </c>
      <c r="N144" s="1004">
        <f t="shared" si="4"/>
        <v>54621</v>
      </c>
    </row>
    <row r="145" spans="2:14" s="956" customFormat="1" ht="17.100000000000001" customHeight="1">
      <c r="B145" s="554">
        <v>10</v>
      </c>
      <c r="C145" s="572" t="s">
        <v>5203</v>
      </c>
      <c r="D145" s="573"/>
      <c r="E145" s="573"/>
      <c r="F145" s="573"/>
      <c r="G145" s="574"/>
      <c r="H145" s="575" t="s">
        <v>2647</v>
      </c>
      <c r="I145" s="570">
        <v>445500</v>
      </c>
      <c r="J145" s="576"/>
      <c r="L145" s="954">
        <v>833000</v>
      </c>
      <c r="M145" s="955">
        <v>0.9</v>
      </c>
      <c r="N145" s="1004">
        <f t="shared" si="4"/>
        <v>749700</v>
      </c>
    </row>
    <row r="146" spans="2:14" s="956" customFormat="1" ht="17.100000000000001" hidden="1" customHeight="1">
      <c r="B146" s="554">
        <v>46</v>
      </c>
      <c r="C146" s="572" t="s">
        <v>2980</v>
      </c>
      <c r="D146" s="573"/>
      <c r="E146" s="573"/>
      <c r="F146" s="573"/>
      <c r="G146" s="574"/>
      <c r="H146" s="575" t="s">
        <v>1423</v>
      </c>
      <c r="I146" s="570">
        <f t="shared" si="3"/>
        <v>7281</v>
      </c>
      <c r="J146" s="576"/>
      <c r="L146" s="954">
        <v>8090</v>
      </c>
      <c r="M146" s="955">
        <v>0.9</v>
      </c>
      <c r="N146" s="1004">
        <f t="shared" si="4"/>
        <v>7281</v>
      </c>
    </row>
    <row r="147" spans="2:14" s="956" customFormat="1" ht="17.100000000000001" hidden="1" customHeight="1">
      <c r="B147" s="554">
        <v>47</v>
      </c>
      <c r="C147" s="572" t="s">
        <v>2981</v>
      </c>
      <c r="D147" s="573"/>
      <c r="E147" s="573"/>
      <c r="F147" s="573"/>
      <c r="G147" s="574"/>
      <c r="H147" s="575" t="s">
        <v>2944</v>
      </c>
      <c r="I147" s="570">
        <f t="shared" si="3"/>
        <v>10710</v>
      </c>
      <c r="J147" s="576"/>
      <c r="L147" s="954">
        <v>11900</v>
      </c>
      <c r="M147" s="955">
        <v>0.9</v>
      </c>
      <c r="N147" s="1004">
        <f t="shared" si="4"/>
        <v>10710</v>
      </c>
    </row>
    <row r="148" spans="2:14" s="956" customFormat="1" ht="17.100000000000001" hidden="1" customHeight="1">
      <c r="B148" s="554">
        <v>48</v>
      </c>
      <c r="C148" s="572" t="s">
        <v>2982</v>
      </c>
      <c r="D148" s="573"/>
      <c r="E148" s="573"/>
      <c r="F148" s="573"/>
      <c r="G148" s="574"/>
      <c r="H148" s="575" t="s">
        <v>2647</v>
      </c>
      <c r="I148" s="570">
        <f t="shared" si="3"/>
        <v>647955</v>
      </c>
      <c r="J148" s="576"/>
      <c r="L148" s="954">
        <v>719950</v>
      </c>
      <c r="M148" s="955">
        <v>0.9</v>
      </c>
      <c r="N148" s="1004">
        <f t="shared" si="4"/>
        <v>647955</v>
      </c>
    </row>
    <row r="149" spans="2:14" s="956" customFormat="1" ht="17.100000000000001" hidden="1" customHeight="1">
      <c r="B149" s="554">
        <v>49</v>
      </c>
      <c r="C149" s="572" t="s">
        <v>2983</v>
      </c>
      <c r="D149" s="573"/>
      <c r="E149" s="573"/>
      <c r="F149" s="573"/>
      <c r="G149" s="574"/>
      <c r="H149" s="575" t="s">
        <v>2647</v>
      </c>
      <c r="I149" s="570">
        <f t="shared" si="3"/>
        <v>535500</v>
      </c>
      <c r="J149" s="576"/>
      <c r="L149" s="954">
        <v>595000</v>
      </c>
      <c r="M149" s="955">
        <v>0.9</v>
      </c>
      <c r="N149" s="1004">
        <f t="shared" si="4"/>
        <v>535500</v>
      </c>
    </row>
    <row r="150" spans="2:14" s="1005" customFormat="1" ht="17.100000000000001" hidden="1" customHeight="1">
      <c r="B150" s="554">
        <v>50</v>
      </c>
      <c r="C150" s="2230" t="s">
        <v>2984</v>
      </c>
      <c r="D150" s="2231"/>
      <c r="E150" s="2231"/>
      <c r="F150" s="2231"/>
      <c r="G150" s="1027"/>
      <c r="H150" s="1028" t="s">
        <v>2970</v>
      </c>
      <c r="I150" s="570">
        <f t="shared" si="3"/>
        <v>1231650</v>
      </c>
      <c r="J150" s="1029"/>
      <c r="L150" s="954">
        <v>1368500</v>
      </c>
      <c r="M150" s="955">
        <v>0.9</v>
      </c>
      <c r="N150" s="1004">
        <f t="shared" si="4"/>
        <v>1231650</v>
      </c>
    </row>
    <row r="151" spans="2:14" s="956" customFormat="1" ht="17.100000000000001" hidden="1" customHeight="1">
      <c r="B151" s="554">
        <v>51</v>
      </c>
      <c r="C151" s="572" t="s">
        <v>2985</v>
      </c>
      <c r="D151" s="573"/>
      <c r="E151" s="573"/>
      <c r="F151" s="573"/>
      <c r="G151" s="574"/>
      <c r="H151" s="575" t="s">
        <v>2647</v>
      </c>
      <c r="I151" s="570">
        <f t="shared" si="3"/>
        <v>1124550</v>
      </c>
      <c r="J151" s="576"/>
      <c r="L151" s="954">
        <v>1249500</v>
      </c>
      <c r="M151" s="955">
        <v>0.9</v>
      </c>
      <c r="N151" s="1004">
        <f t="shared" si="4"/>
        <v>1124550</v>
      </c>
    </row>
    <row r="152" spans="2:14" s="1005" customFormat="1" ht="17.100000000000001" hidden="1" customHeight="1">
      <c r="B152" s="554">
        <v>52</v>
      </c>
      <c r="C152" s="2230" t="s">
        <v>2986</v>
      </c>
      <c r="D152" s="2231"/>
      <c r="E152" s="2231"/>
      <c r="F152" s="2231"/>
      <c r="G152" s="1027"/>
      <c r="H152" s="1028" t="s">
        <v>2970</v>
      </c>
      <c r="I152" s="570">
        <f t="shared" si="3"/>
        <v>1981350</v>
      </c>
      <c r="J152" s="1029"/>
      <c r="L152" s="954">
        <v>2201500</v>
      </c>
      <c r="M152" s="955">
        <v>0.9</v>
      </c>
      <c r="N152" s="1004">
        <f t="shared" si="4"/>
        <v>1981350</v>
      </c>
    </row>
    <row r="153" spans="2:14" s="956" customFormat="1" ht="17.100000000000001" hidden="1" customHeight="1">
      <c r="B153" s="554">
        <v>53</v>
      </c>
      <c r="C153" s="572" t="s">
        <v>2987</v>
      </c>
      <c r="D153" s="573"/>
      <c r="E153" s="573"/>
      <c r="F153" s="573"/>
      <c r="G153" s="574"/>
      <c r="H153" s="575" t="s">
        <v>2647</v>
      </c>
      <c r="I153" s="570">
        <f t="shared" si="3"/>
        <v>1954575</v>
      </c>
      <c r="J153" s="576"/>
      <c r="L153" s="954">
        <v>2171750</v>
      </c>
      <c r="M153" s="955">
        <v>0.9</v>
      </c>
      <c r="N153" s="1004">
        <f t="shared" si="4"/>
        <v>1954575</v>
      </c>
    </row>
    <row r="154" spans="2:14" s="956" customFormat="1" ht="17.100000000000001" hidden="1" customHeight="1">
      <c r="B154" s="554">
        <v>54</v>
      </c>
      <c r="C154" s="1030" t="s">
        <v>2988</v>
      </c>
      <c r="D154" s="1031"/>
      <c r="E154" s="573"/>
      <c r="F154" s="573"/>
      <c r="G154" s="574"/>
      <c r="H154" s="582" t="s">
        <v>2647</v>
      </c>
      <c r="I154" s="570">
        <f t="shared" si="3"/>
        <v>133875</v>
      </c>
      <c r="J154" s="576"/>
      <c r="L154" s="954">
        <v>148750</v>
      </c>
      <c r="M154" s="955">
        <v>0.9</v>
      </c>
      <c r="N154" s="1004">
        <f t="shared" si="4"/>
        <v>133875</v>
      </c>
    </row>
    <row r="155" spans="2:14" s="956" customFormat="1" ht="17.100000000000001" hidden="1" customHeight="1">
      <c r="B155" s="554">
        <v>55</v>
      </c>
      <c r="C155" s="1030" t="s">
        <v>2989</v>
      </c>
      <c r="D155" s="1031"/>
      <c r="E155" s="573"/>
      <c r="F155" s="573"/>
      <c r="G155" s="574"/>
      <c r="H155" s="582" t="s">
        <v>1452</v>
      </c>
      <c r="I155" s="570">
        <f t="shared" ref="I155:I219" si="5">N155</f>
        <v>212058</v>
      </c>
      <c r="J155" s="576"/>
      <c r="L155" s="954">
        <v>235620</v>
      </c>
      <c r="M155" s="955">
        <v>0.9</v>
      </c>
      <c r="N155" s="1004">
        <f t="shared" ref="N155:N219" si="6">L155*M155</f>
        <v>212058</v>
      </c>
    </row>
    <row r="156" spans="2:14" s="956" customFormat="1" ht="17.100000000000001" hidden="1" customHeight="1">
      <c r="B156" s="554">
        <v>56</v>
      </c>
      <c r="C156" s="578" t="s">
        <v>2990</v>
      </c>
      <c r="D156" s="579"/>
      <c r="E156" s="573"/>
      <c r="F156" s="573"/>
      <c r="G156" s="574"/>
      <c r="H156" s="583" t="s">
        <v>2991</v>
      </c>
      <c r="I156" s="570">
        <f t="shared" si="5"/>
        <v>28269</v>
      </c>
      <c r="J156" s="576"/>
      <c r="L156" s="954">
        <v>31410</v>
      </c>
      <c r="M156" s="955">
        <v>0.9</v>
      </c>
      <c r="N156" s="1004">
        <f t="shared" si="6"/>
        <v>28269</v>
      </c>
    </row>
    <row r="157" spans="2:14" s="956" customFormat="1" ht="17.100000000000001" hidden="1" customHeight="1">
      <c r="B157" s="554">
        <v>57</v>
      </c>
      <c r="C157" s="578" t="s">
        <v>3325</v>
      </c>
      <c r="D157" s="579"/>
      <c r="E157" s="573"/>
      <c r="F157" s="573"/>
      <c r="G157" s="574"/>
      <c r="H157" s="583" t="s">
        <v>2647</v>
      </c>
      <c r="I157" s="570">
        <f t="shared" si="5"/>
        <v>374850</v>
      </c>
      <c r="J157" s="576"/>
      <c r="L157" s="954">
        <v>416500</v>
      </c>
      <c r="M157" s="955">
        <v>0.9</v>
      </c>
      <c r="N157" s="1004">
        <f t="shared" si="6"/>
        <v>374850</v>
      </c>
    </row>
    <row r="158" spans="2:14" s="956" customFormat="1" ht="17.100000000000001" hidden="1" customHeight="1">
      <c r="B158" s="554">
        <v>58</v>
      </c>
      <c r="C158" s="578" t="s">
        <v>3860</v>
      </c>
      <c r="D158" s="579"/>
      <c r="E158" s="573"/>
      <c r="F158" s="573"/>
      <c r="G158" s="574"/>
      <c r="H158" s="583" t="s">
        <v>2647</v>
      </c>
      <c r="I158" s="570">
        <f t="shared" si="5"/>
        <v>374850</v>
      </c>
      <c r="J158" s="576"/>
      <c r="L158" s="954">
        <v>416500</v>
      </c>
      <c r="M158" s="955">
        <v>0.9</v>
      </c>
      <c r="N158" s="1004">
        <f t="shared" si="6"/>
        <v>374850</v>
      </c>
    </row>
    <row r="159" spans="2:14" s="956" customFormat="1" ht="17.100000000000001" hidden="1" customHeight="1">
      <c r="B159" s="554">
        <v>59</v>
      </c>
      <c r="C159" s="578" t="s">
        <v>982</v>
      </c>
      <c r="D159" s="579"/>
      <c r="E159" s="573"/>
      <c r="F159" s="573"/>
      <c r="G159" s="574"/>
      <c r="H159" s="583" t="s">
        <v>2944</v>
      </c>
      <c r="I159" s="570">
        <f t="shared" si="5"/>
        <v>21420</v>
      </c>
      <c r="J159" s="576"/>
      <c r="L159" s="954">
        <v>23800</v>
      </c>
      <c r="M159" s="955">
        <v>0.9</v>
      </c>
      <c r="N159" s="1004">
        <f t="shared" si="6"/>
        <v>21420</v>
      </c>
    </row>
    <row r="160" spans="2:14" s="956" customFormat="1" ht="17.100000000000001" hidden="1" customHeight="1">
      <c r="B160" s="554">
        <v>60</v>
      </c>
      <c r="C160" s="578" t="s">
        <v>3335</v>
      </c>
      <c r="D160" s="579"/>
      <c r="E160" s="573"/>
      <c r="F160" s="573"/>
      <c r="G160" s="574"/>
      <c r="H160" s="583" t="s">
        <v>2647</v>
      </c>
      <c r="I160" s="570">
        <f t="shared" si="5"/>
        <v>481950</v>
      </c>
      <c r="J160" s="576"/>
      <c r="L160" s="954">
        <v>535500</v>
      </c>
      <c r="M160" s="955">
        <v>0.9</v>
      </c>
      <c r="N160" s="1004">
        <f t="shared" si="6"/>
        <v>481950</v>
      </c>
    </row>
    <row r="161" spans="2:14" s="956" customFormat="1" ht="17.100000000000001" customHeight="1">
      <c r="B161" s="554">
        <v>11</v>
      </c>
      <c r="C161" s="578" t="s">
        <v>3341</v>
      </c>
      <c r="D161" s="579"/>
      <c r="E161" s="573"/>
      <c r="F161" s="573"/>
      <c r="G161" s="574"/>
      <c r="H161" s="583" t="s">
        <v>2944</v>
      </c>
      <c r="I161" s="570">
        <f t="shared" si="5"/>
        <v>15174</v>
      </c>
      <c r="J161" s="576"/>
      <c r="L161" s="954">
        <v>16860</v>
      </c>
      <c r="M161" s="955">
        <v>0.9</v>
      </c>
      <c r="N161" s="1004">
        <f t="shared" si="6"/>
        <v>15174</v>
      </c>
    </row>
    <row r="162" spans="2:14" s="577" customFormat="1" ht="17.100000000000001" hidden="1" customHeight="1">
      <c r="B162" s="554">
        <v>62</v>
      </c>
      <c r="C162" s="578" t="s">
        <v>3836</v>
      </c>
      <c r="D162" s="579"/>
      <c r="E162" s="573"/>
      <c r="F162" s="573"/>
      <c r="G162" s="574"/>
      <c r="H162" s="583" t="s">
        <v>853</v>
      </c>
      <c r="I162" s="570">
        <f t="shared" si="5"/>
        <v>8433</v>
      </c>
      <c r="J162" s="576"/>
      <c r="L162" s="570">
        <v>9370</v>
      </c>
      <c r="M162" s="549">
        <v>0.9</v>
      </c>
      <c r="N162" s="686">
        <f t="shared" si="6"/>
        <v>8433</v>
      </c>
    </row>
    <row r="163" spans="2:14" s="577" customFormat="1" ht="17.100000000000001" hidden="1" customHeight="1">
      <c r="B163" s="554">
        <v>63</v>
      </c>
      <c r="C163" s="578" t="s">
        <v>3488</v>
      </c>
      <c r="D163" s="579"/>
      <c r="E163" s="573"/>
      <c r="F163" s="573"/>
      <c r="G163" s="574"/>
      <c r="H163" s="583" t="s">
        <v>853</v>
      </c>
      <c r="I163" s="570">
        <f t="shared" si="5"/>
        <v>160650</v>
      </c>
      <c r="J163" s="576"/>
      <c r="L163" s="570">
        <v>178500</v>
      </c>
      <c r="M163" s="549">
        <v>0.9</v>
      </c>
      <c r="N163" s="686">
        <f t="shared" si="6"/>
        <v>160650</v>
      </c>
    </row>
    <row r="164" spans="2:14" s="577" customFormat="1" ht="17.100000000000001" hidden="1" customHeight="1">
      <c r="B164" s="554">
        <v>64</v>
      </c>
      <c r="C164" s="578" t="s">
        <v>3489</v>
      </c>
      <c r="D164" s="579"/>
      <c r="E164" s="573"/>
      <c r="F164" s="573"/>
      <c r="G164" s="574"/>
      <c r="H164" s="583" t="s">
        <v>853</v>
      </c>
      <c r="I164" s="570">
        <f t="shared" si="5"/>
        <v>10710</v>
      </c>
      <c r="J164" s="576"/>
      <c r="L164" s="570">
        <v>11900</v>
      </c>
      <c r="M164" s="549">
        <v>0.9</v>
      </c>
      <c r="N164" s="686">
        <f t="shared" si="6"/>
        <v>10710</v>
      </c>
    </row>
    <row r="165" spans="2:14" s="577" customFormat="1" ht="17.100000000000001" hidden="1" customHeight="1">
      <c r="B165" s="554">
        <v>65</v>
      </c>
      <c r="C165" s="578" t="s">
        <v>4419</v>
      </c>
      <c r="D165" s="579"/>
      <c r="E165" s="573"/>
      <c r="F165" s="573"/>
      <c r="G165" s="574"/>
      <c r="H165" s="583" t="s">
        <v>2647</v>
      </c>
      <c r="I165" s="570">
        <f t="shared" si="5"/>
        <v>130122</v>
      </c>
      <c r="J165" s="576"/>
      <c r="L165" s="570">
        <v>144580</v>
      </c>
      <c r="M165" s="549">
        <v>0.9</v>
      </c>
      <c r="N165" s="686">
        <f t="shared" si="6"/>
        <v>130122</v>
      </c>
    </row>
    <row r="166" spans="2:14" s="577" customFormat="1" ht="17.100000000000001" hidden="1" customHeight="1">
      <c r="B166" s="554">
        <v>66</v>
      </c>
      <c r="C166" s="578" t="s">
        <v>4420</v>
      </c>
      <c r="D166" s="579"/>
      <c r="E166" s="573"/>
      <c r="F166" s="573"/>
      <c r="G166" s="574"/>
      <c r="H166" s="583" t="s">
        <v>853</v>
      </c>
      <c r="I166" s="570">
        <f t="shared" si="5"/>
        <v>13383</v>
      </c>
      <c r="J166" s="576"/>
      <c r="L166" s="570">
        <v>14870</v>
      </c>
      <c r="M166" s="549">
        <v>0.9</v>
      </c>
      <c r="N166" s="686">
        <f t="shared" si="6"/>
        <v>13383</v>
      </c>
    </row>
    <row r="167" spans="2:14" s="577" customFormat="1" ht="17.100000000000001" hidden="1" customHeight="1">
      <c r="B167" s="571"/>
      <c r="C167" s="567"/>
      <c r="D167" s="568"/>
      <c r="E167" s="568"/>
      <c r="F167" s="568"/>
      <c r="G167" s="569"/>
      <c r="H167" s="557"/>
      <c r="I167" s="570">
        <f t="shared" si="5"/>
        <v>0</v>
      </c>
      <c r="J167" s="554"/>
      <c r="L167" s="570"/>
      <c r="M167" s="549">
        <v>0.9</v>
      </c>
      <c r="N167" s="686">
        <f t="shared" si="6"/>
        <v>0</v>
      </c>
    </row>
    <row r="168" spans="2:14" s="577" customFormat="1" ht="17.100000000000001" customHeight="1">
      <c r="B168" s="554">
        <v>12</v>
      </c>
      <c r="C168" s="2234" t="s">
        <v>5321</v>
      </c>
      <c r="D168" s="2235"/>
      <c r="E168" s="2235"/>
      <c r="F168" s="2235"/>
      <c r="G168" s="2236"/>
      <c r="H168" s="557" t="s">
        <v>2666</v>
      </c>
      <c r="I168" s="570">
        <v>245000</v>
      </c>
      <c r="J168" s="554"/>
      <c r="L168" s="570"/>
      <c r="M168" s="549"/>
      <c r="N168" s="686"/>
    </row>
    <row r="169" spans="2:14" ht="17.100000000000001" customHeight="1">
      <c r="B169" s="571"/>
      <c r="C169" s="567" t="s">
        <v>2992</v>
      </c>
      <c r="D169" s="568"/>
      <c r="E169" s="568"/>
      <c r="F169" s="568"/>
      <c r="G169" s="569"/>
      <c r="H169" s="557"/>
      <c r="I169" s="570"/>
      <c r="J169" s="554"/>
      <c r="L169" s="570"/>
      <c r="N169" s="686"/>
    </row>
    <row r="170" spans="2:14" ht="17.100000000000001" hidden="1" customHeight="1">
      <c r="B170" s="554">
        <v>1</v>
      </c>
      <c r="C170" s="555" t="s">
        <v>3351</v>
      </c>
      <c r="D170" s="568"/>
      <c r="E170" s="568"/>
      <c r="F170" s="568"/>
      <c r="G170" s="569"/>
      <c r="H170" s="557" t="s">
        <v>1423</v>
      </c>
      <c r="I170" s="570">
        <f t="shared" si="5"/>
        <v>4284</v>
      </c>
      <c r="J170" s="554"/>
      <c r="L170" s="570">
        <v>4760</v>
      </c>
      <c r="M170" s="549">
        <v>0.9</v>
      </c>
      <c r="N170" s="686">
        <f t="shared" si="6"/>
        <v>4284</v>
      </c>
    </row>
    <row r="171" spans="2:14" ht="17.100000000000001" hidden="1" customHeight="1">
      <c r="B171" s="554">
        <v>2</v>
      </c>
      <c r="C171" s="555" t="s">
        <v>3349</v>
      </c>
      <c r="D171" s="568"/>
      <c r="E171" s="568"/>
      <c r="F171" s="568"/>
      <c r="G171" s="569"/>
      <c r="H171" s="557" t="s">
        <v>1423</v>
      </c>
      <c r="I171" s="570">
        <f t="shared" si="5"/>
        <v>3213</v>
      </c>
      <c r="J171" s="554"/>
      <c r="L171" s="570">
        <v>3570</v>
      </c>
      <c r="M171" s="549">
        <v>0.9</v>
      </c>
      <c r="N171" s="686">
        <f t="shared" si="6"/>
        <v>3213</v>
      </c>
    </row>
    <row r="172" spans="2:14" ht="17.100000000000001" hidden="1" customHeight="1">
      <c r="B172" s="554">
        <v>3</v>
      </c>
      <c r="C172" s="555" t="s">
        <v>3350</v>
      </c>
      <c r="D172" s="568"/>
      <c r="E172" s="568"/>
      <c r="F172" s="568"/>
      <c r="G172" s="569"/>
      <c r="H172" s="557" t="s">
        <v>1423</v>
      </c>
      <c r="I172" s="570">
        <f t="shared" si="5"/>
        <v>2142</v>
      </c>
      <c r="J172" s="554"/>
      <c r="L172" s="570">
        <v>2380</v>
      </c>
      <c r="M172" s="549">
        <v>0.9</v>
      </c>
      <c r="N172" s="686">
        <f t="shared" si="6"/>
        <v>2142</v>
      </c>
    </row>
    <row r="173" spans="2:14" ht="17.100000000000001" customHeight="1">
      <c r="B173" s="554">
        <v>1</v>
      </c>
      <c r="C173" s="555" t="s">
        <v>5141</v>
      </c>
      <c r="D173" s="568"/>
      <c r="E173" s="568"/>
      <c r="F173" s="568"/>
      <c r="G173" s="569"/>
      <c r="H173" s="557" t="s">
        <v>1423</v>
      </c>
      <c r="I173" s="570">
        <v>9500</v>
      </c>
      <c r="J173" s="554"/>
      <c r="L173" s="570">
        <v>8000</v>
      </c>
      <c r="M173" s="549">
        <v>0.9</v>
      </c>
      <c r="N173" s="686">
        <f t="shared" si="6"/>
        <v>7200</v>
      </c>
    </row>
    <row r="174" spans="2:14" ht="17.100000000000001" hidden="1" customHeight="1">
      <c r="B174" s="554">
        <v>5</v>
      </c>
      <c r="C174" s="555" t="s">
        <v>3352</v>
      </c>
      <c r="D174" s="568"/>
      <c r="E174" s="568"/>
      <c r="F174" s="568"/>
      <c r="G174" s="569"/>
      <c r="H174" s="557" t="s">
        <v>1423</v>
      </c>
      <c r="I174" s="570">
        <f t="shared" si="5"/>
        <v>4284</v>
      </c>
      <c r="J174" s="554"/>
      <c r="L174" s="570">
        <v>4760</v>
      </c>
      <c r="M174" s="549">
        <v>0.9</v>
      </c>
      <c r="N174" s="686">
        <f t="shared" si="6"/>
        <v>4284</v>
      </c>
    </row>
    <row r="175" spans="2:14" ht="17.100000000000001" hidden="1" customHeight="1">
      <c r="B175" s="554">
        <v>6</v>
      </c>
      <c r="C175" s="555" t="s">
        <v>3353</v>
      </c>
      <c r="D175" s="568"/>
      <c r="E175" s="568"/>
      <c r="F175" s="568"/>
      <c r="G175" s="569"/>
      <c r="H175" s="557" t="s">
        <v>1423</v>
      </c>
      <c r="I175" s="570">
        <f t="shared" si="5"/>
        <v>3213</v>
      </c>
      <c r="J175" s="554"/>
      <c r="L175" s="570">
        <v>3570</v>
      </c>
      <c r="M175" s="549">
        <v>0.9</v>
      </c>
      <c r="N175" s="686">
        <f t="shared" si="6"/>
        <v>3213</v>
      </c>
    </row>
    <row r="176" spans="2:14" ht="17.100000000000001" hidden="1" customHeight="1">
      <c r="B176" s="554">
        <v>7</v>
      </c>
      <c r="C176" s="555" t="s">
        <v>3480</v>
      </c>
      <c r="D176" s="568"/>
      <c r="E176" s="568"/>
      <c r="F176" s="568"/>
      <c r="G176" s="569"/>
      <c r="H176" s="557" t="s">
        <v>1423</v>
      </c>
      <c r="I176" s="570">
        <f t="shared" si="5"/>
        <v>53550</v>
      </c>
      <c r="J176" s="554"/>
      <c r="L176" s="570">
        <v>59500</v>
      </c>
      <c r="M176" s="549">
        <v>0.9</v>
      </c>
      <c r="N176" s="686">
        <f t="shared" si="6"/>
        <v>53550</v>
      </c>
    </row>
    <row r="177" spans="2:14" ht="17.100000000000001" hidden="1" customHeight="1">
      <c r="B177" s="554">
        <v>8</v>
      </c>
      <c r="C177" s="555" t="s">
        <v>3481</v>
      </c>
      <c r="D177" s="568"/>
      <c r="E177" s="568"/>
      <c r="F177" s="568"/>
      <c r="G177" s="569"/>
      <c r="H177" s="557" t="s">
        <v>1423</v>
      </c>
      <c r="I177" s="570">
        <f t="shared" si="5"/>
        <v>42840</v>
      </c>
      <c r="J177" s="554"/>
      <c r="L177" s="570">
        <v>47600</v>
      </c>
      <c r="M177" s="549">
        <v>0.9</v>
      </c>
      <c r="N177" s="686">
        <f t="shared" si="6"/>
        <v>42840</v>
      </c>
    </row>
    <row r="178" spans="2:14" ht="17.100000000000001" hidden="1" customHeight="1">
      <c r="B178" s="554">
        <v>9</v>
      </c>
      <c r="C178" s="555" t="s">
        <v>2993</v>
      </c>
      <c r="D178" s="556"/>
      <c r="E178" s="556"/>
      <c r="F178" s="556"/>
      <c r="G178" s="569"/>
      <c r="H178" s="557" t="s">
        <v>1423</v>
      </c>
      <c r="I178" s="570">
        <f t="shared" si="5"/>
        <v>1710</v>
      </c>
      <c r="J178" s="554"/>
      <c r="L178" s="570">
        <v>1900</v>
      </c>
      <c r="M178" s="549">
        <v>0.9</v>
      </c>
      <c r="N178" s="686">
        <f t="shared" si="6"/>
        <v>1710</v>
      </c>
    </row>
    <row r="179" spans="2:14" ht="17.100000000000001" hidden="1" customHeight="1">
      <c r="B179" s="554">
        <v>10</v>
      </c>
      <c r="C179" s="555" t="s">
        <v>2994</v>
      </c>
      <c r="D179" s="556"/>
      <c r="E179" s="556"/>
      <c r="F179" s="556"/>
      <c r="G179" s="569"/>
      <c r="H179" s="557" t="s">
        <v>1423</v>
      </c>
      <c r="I179" s="570">
        <f t="shared" si="5"/>
        <v>2034</v>
      </c>
      <c r="J179" s="554"/>
      <c r="L179" s="570">
        <v>2260</v>
      </c>
      <c r="M179" s="549">
        <v>0.9</v>
      </c>
      <c r="N179" s="686">
        <f t="shared" si="6"/>
        <v>2034</v>
      </c>
    </row>
    <row r="180" spans="2:14" ht="17.100000000000001" hidden="1" customHeight="1">
      <c r="B180" s="554">
        <v>11</v>
      </c>
      <c r="C180" s="555" t="s">
        <v>2995</v>
      </c>
      <c r="D180" s="556"/>
      <c r="E180" s="556"/>
      <c r="F180" s="556"/>
      <c r="G180" s="569"/>
      <c r="H180" s="557" t="s">
        <v>690</v>
      </c>
      <c r="I180" s="570">
        <f t="shared" si="5"/>
        <v>4014</v>
      </c>
      <c r="J180" s="554"/>
      <c r="L180" s="570">
        <v>4460</v>
      </c>
      <c r="M180" s="549">
        <v>0.9</v>
      </c>
      <c r="N180" s="686">
        <f t="shared" si="6"/>
        <v>4014</v>
      </c>
    </row>
    <row r="181" spans="2:14" ht="17.100000000000001" hidden="1" customHeight="1">
      <c r="B181" s="554">
        <v>12</v>
      </c>
      <c r="C181" s="555" t="s">
        <v>3355</v>
      </c>
      <c r="D181" s="556"/>
      <c r="E181" s="556"/>
      <c r="F181" s="556"/>
      <c r="G181" s="569"/>
      <c r="H181" s="557" t="s">
        <v>1423</v>
      </c>
      <c r="I181" s="570">
        <f t="shared" si="5"/>
        <v>1071</v>
      </c>
      <c r="J181" s="554"/>
      <c r="L181" s="570">
        <v>1190</v>
      </c>
      <c r="M181" s="549">
        <v>0.9</v>
      </c>
      <c r="N181" s="686">
        <f t="shared" si="6"/>
        <v>1071</v>
      </c>
    </row>
    <row r="182" spans="2:14" ht="17.100000000000001" hidden="1" customHeight="1">
      <c r="B182" s="554">
        <v>13</v>
      </c>
      <c r="C182" s="555" t="s">
        <v>3354</v>
      </c>
      <c r="D182" s="556"/>
      <c r="E182" s="556"/>
      <c r="F182" s="556"/>
      <c r="G182" s="569"/>
      <c r="H182" s="557" t="s">
        <v>1423</v>
      </c>
      <c r="I182" s="570">
        <f t="shared" si="5"/>
        <v>1926</v>
      </c>
      <c r="J182" s="554"/>
      <c r="L182" s="570">
        <v>2140</v>
      </c>
      <c r="M182" s="549">
        <v>0.9</v>
      </c>
      <c r="N182" s="686">
        <f t="shared" si="6"/>
        <v>1926</v>
      </c>
    </row>
    <row r="183" spans="2:14" ht="17.100000000000001" hidden="1" customHeight="1">
      <c r="B183" s="554">
        <v>14</v>
      </c>
      <c r="C183" s="555" t="s">
        <v>2996</v>
      </c>
      <c r="D183" s="556"/>
      <c r="E183" s="556"/>
      <c r="F183" s="556"/>
      <c r="G183" s="569"/>
      <c r="H183" s="557" t="s">
        <v>1423</v>
      </c>
      <c r="I183" s="570">
        <f t="shared" si="5"/>
        <v>2403</v>
      </c>
      <c r="J183" s="554"/>
      <c r="L183" s="570">
        <v>2670</v>
      </c>
      <c r="M183" s="549">
        <v>0.9</v>
      </c>
      <c r="N183" s="686">
        <f t="shared" si="6"/>
        <v>2403</v>
      </c>
    </row>
    <row r="184" spans="2:14" ht="17.100000000000001" hidden="1" customHeight="1">
      <c r="B184" s="554">
        <v>15</v>
      </c>
      <c r="C184" s="555" t="s">
        <v>2997</v>
      </c>
      <c r="D184" s="556"/>
      <c r="E184" s="556"/>
      <c r="F184" s="556"/>
      <c r="G184" s="569"/>
      <c r="H184" s="557" t="s">
        <v>1423</v>
      </c>
      <c r="I184" s="570">
        <f t="shared" si="5"/>
        <v>3744</v>
      </c>
      <c r="J184" s="554"/>
      <c r="L184" s="570">
        <v>4160</v>
      </c>
      <c r="M184" s="549">
        <v>0.9</v>
      </c>
      <c r="N184" s="686">
        <f t="shared" si="6"/>
        <v>3744</v>
      </c>
    </row>
    <row r="185" spans="2:14" ht="17.100000000000001" customHeight="1">
      <c r="B185" s="554">
        <v>2</v>
      </c>
      <c r="C185" s="555" t="s">
        <v>3412</v>
      </c>
      <c r="D185" s="556"/>
      <c r="E185" s="556"/>
      <c r="F185" s="556"/>
      <c r="G185" s="569"/>
      <c r="H185" s="557" t="s">
        <v>1423</v>
      </c>
      <c r="I185" s="570">
        <v>10226</v>
      </c>
      <c r="J185" s="554"/>
      <c r="L185" s="570">
        <v>7140</v>
      </c>
      <c r="M185" s="549">
        <v>0.9</v>
      </c>
      <c r="N185" s="686">
        <f t="shared" si="6"/>
        <v>6426</v>
      </c>
    </row>
    <row r="186" spans="2:14" ht="17.100000000000001" hidden="1" customHeight="1">
      <c r="B186" s="554">
        <v>17</v>
      </c>
      <c r="C186" s="555" t="s">
        <v>2998</v>
      </c>
      <c r="D186" s="556"/>
      <c r="E186" s="556"/>
      <c r="F186" s="556"/>
      <c r="G186" s="569"/>
      <c r="H186" s="557" t="s">
        <v>1423</v>
      </c>
      <c r="I186" s="570">
        <f t="shared" si="5"/>
        <v>7119</v>
      </c>
      <c r="J186" s="584"/>
      <c r="L186" s="570">
        <v>7910</v>
      </c>
      <c r="M186" s="549">
        <v>0.9</v>
      </c>
      <c r="N186" s="686">
        <f t="shared" si="6"/>
        <v>7119</v>
      </c>
    </row>
    <row r="187" spans="2:14" ht="17.100000000000001" hidden="1" customHeight="1">
      <c r="B187" s="554">
        <v>18</v>
      </c>
      <c r="C187" s="555" t="s">
        <v>4380</v>
      </c>
      <c r="D187" s="556"/>
      <c r="E187" s="556"/>
      <c r="F187" s="556"/>
      <c r="G187" s="569"/>
      <c r="H187" s="557" t="s">
        <v>1423</v>
      </c>
      <c r="I187" s="570">
        <f t="shared" si="5"/>
        <v>25380</v>
      </c>
      <c r="J187" s="584"/>
      <c r="L187" s="570">
        <v>28200</v>
      </c>
      <c r="M187" s="549">
        <v>0.9</v>
      </c>
      <c r="N187" s="686">
        <f t="shared" si="6"/>
        <v>25380</v>
      </c>
    </row>
    <row r="188" spans="2:14" ht="17.100000000000001" hidden="1" customHeight="1">
      <c r="B188" s="554">
        <v>19</v>
      </c>
      <c r="C188" s="555" t="s">
        <v>3356</v>
      </c>
      <c r="D188" s="556"/>
      <c r="E188" s="556"/>
      <c r="F188" s="556"/>
      <c r="G188" s="569"/>
      <c r="H188" s="557" t="s">
        <v>1423</v>
      </c>
      <c r="I188" s="570">
        <f t="shared" si="5"/>
        <v>7821</v>
      </c>
      <c r="J188" s="554"/>
      <c r="L188" s="570">
        <v>8690</v>
      </c>
      <c r="M188" s="549">
        <v>0.9</v>
      </c>
      <c r="N188" s="686">
        <f t="shared" si="6"/>
        <v>7821</v>
      </c>
    </row>
    <row r="189" spans="2:14" ht="17.100000000000001" hidden="1" customHeight="1">
      <c r="B189" s="554">
        <v>20</v>
      </c>
      <c r="C189" s="555" t="s">
        <v>3845</v>
      </c>
      <c r="D189" s="556"/>
      <c r="E189" s="556"/>
      <c r="F189" s="556"/>
      <c r="G189" s="569"/>
      <c r="H189" s="557" t="s">
        <v>1423</v>
      </c>
      <c r="I189" s="570">
        <f t="shared" si="5"/>
        <v>5751</v>
      </c>
      <c r="J189" s="554"/>
      <c r="L189" s="570">
        <v>6390</v>
      </c>
      <c r="M189" s="549">
        <v>0.9</v>
      </c>
      <c r="N189" s="686">
        <f t="shared" si="6"/>
        <v>5751</v>
      </c>
    </row>
    <row r="190" spans="2:14" ht="17.100000000000001" customHeight="1">
      <c r="B190" s="554">
        <v>3</v>
      </c>
      <c r="C190" s="555" t="s">
        <v>2999</v>
      </c>
      <c r="D190" s="556"/>
      <c r="E190" s="556"/>
      <c r="F190" s="556"/>
      <c r="G190" s="569"/>
      <c r="H190" s="557" t="s">
        <v>1423</v>
      </c>
      <c r="I190" s="570">
        <v>11500</v>
      </c>
      <c r="J190" s="554"/>
      <c r="L190" s="570">
        <v>15440</v>
      </c>
      <c r="M190" s="549">
        <v>0.9</v>
      </c>
      <c r="N190" s="686">
        <f t="shared" si="6"/>
        <v>13896</v>
      </c>
    </row>
    <row r="191" spans="2:14" ht="17.100000000000001" hidden="1" customHeight="1">
      <c r="B191" s="554">
        <v>22</v>
      </c>
      <c r="C191" s="555" t="s">
        <v>3846</v>
      </c>
      <c r="D191" s="556"/>
      <c r="E191" s="556"/>
      <c r="F191" s="556"/>
      <c r="G191" s="569"/>
      <c r="H191" s="557" t="s">
        <v>1423</v>
      </c>
      <c r="I191" s="570">
        <f t="shared" si="5"/>
        <v>9369</v>
      </c>
      <c r="J191" s="554"/>
      <c r="L191" s="570">
        <v>10410</v>
      </c>
      <c r="M191" s="549">
        <v>0.9</v>
      </c>
      <c r="N191" s="686">
        <f t="shared" si="6"/>
        <v>9369</v>
      </c>
    </row>
    <row r="192" spans="2:14" ht="17.100000000000001" customHeight="1">
      <c r="B192" s="554">
        <v>4</v>
      </c>
      <c r="C192" s="555" t="s">
        <v>3000</v>
      </c>
      <c r="D192" s="556"/>
      <c r="E192" s="556"/>
      <c r="F192" s="556"/>
      <c r="G192" s="569"/>
      <c r="H192" s="557" t="s">
        <v>1423</v>
      </c>
      <c r="I192" s="570">
        <v>50100</v>
      </c>
      <c r="J192" s="554"/>
      <c r="L192" s="570">
        <v>49000</v>
      </c>
      <c r="M192" s="549">
        <v>0.9</v>
      </c>
      <c r="N192" s="686">
        <f t="shared" si="6"/>
        <v>44100</v>
      </c>
    </row>
    <row r="193" spans="2:14" ht="17.100000000000001" hidden="1" customHeight="1">
      <c r="B193" s="554">
        <v>24</v>
      </c>
      <c r="C193" s="555" t="s">
        <v>3001</v>
      </c>
      <c r="D193" s="556"/>
      <c r="E193" s="556"/>
      <c r="F193" s="556"/>
      <c r="G193" s="569"/>
      <c r="H193" s="557" t="s">
        <v>1423</v>
      </c>
      <c r="I193" s="570">
        <f t="shared" si="5"/>
        <v>54621</v>
      </c>
      <c r="J193" s="554"/>
      <c r="L193" s="570">
        <v>60690</v>
      </c>
      <c r="M193" s="549">
        <v>0.9</v>
      </c>
      <c r="N193" s="686">
        <f t="shared" si="6"/>
        <v>54621</v>
      </c>
    </row>
    <row r="194" spans="2:14" ht="17.100000000000001" hidden="1" customHeight="1">
      <c r="B194" s="554">
        <v>25</v>
      </c>
      <c r="C194" s="555" t="s">
        <v>3002</v>
      </c>
      <c r="D194" s="556"/>
      <c r="E194" s="556"/>
      <c r="F194" s="556"/>
      <c r="G194" s="569"/>
      <c r="H194" s="557" t="s">
        <v>1423</v>
      </c>
      <c r="I194" s="570">
        <f t="shared" si="5"/>
        <v>67473</v>
      </c>
      <c r="J194" s="554"/>
      <c r="L194" s="570">
        <v>74970</v>
      </c>
      <c r="M194" s="549">
        <v>0.9</v>
      </c>
      <c r="N194" s="686">
        <f t="shared" si="6"/>
        <v>67473</v>
      </c>
    </row>
    <row r="195" spans="2:14" ht="17.100000000000001" hidden="1" customHeight="1">
      <c r="B195" s="554">
        <v>26</v>
      </c>
      <c r="C195" s="555" t="s">
        <v>3003</v>
      </c>
      <c r="D195" s="556"/>
      <c r="E195" s="556"/>
      <c r="F195" s="556"/>
      <c r="G195" s="569"/>
      <c r="H195" s="557" t="s">
        <v>1423</v>
      </c>
      <c r="I195" s="570">
        <f t="shared" si="5"/>
        <v>2403</v>
      </c>
      <c r="J195" s="554"/>
      <c r="L195" s="570">
        <v>2670</v>
      </c>
      <c r="M195" s="549">
        <v>0.9</v>
      </c>
      <c r="N195" s="686">
        <f t="shared" si="6"/>
        <v>2403</v>
      </c>
    </row>
    <row r="196" spans="2:14" ht="17.100000000000001" hidden="1" customHeight="1">
      <c r="B196" s="554">
        <v>27</v>
      </c>
      <c r="C196" s="555" t="s">
        <v>3004</v>
      </c>
      <c r="D196" s="556"/>
      <c r="E196" s="556"/>
      <c r="F196" s="556"/>
      <c r="G196" s="569"/>
      <c r="H196" s="557" t="s">
        <v>2944</v>
      </c>
      <c r="I196" s="570">
        <f t="shared" si="5"/>
        <v>11781</v>
      </c>
      <c r="J196" s="554"/>
      <c r="L196" s="570">
        <v>13090</v>
      </c>
      <c r="M196" s="549">
        <v>0.9</v>
      </c>
      <c r="N196" s="686">
        <f t="shared" si="6"/>
        <v>11781</v>
      </c>
    </row>
    <row r="197" spans="2:14" ht="17.100000000000001" hidden="1" customHeight="1">
      <c r="B197" s="554">
        <v>28</v>
      </c>
      <c r="C197" s="572" t="s">
        <v>3005</v>
      </c>
      <c r="D197" s="573"/>
      <c r="E197" s="573"/>
      <c r="F197" s="573"/>
      <c r="G197" s="574"/>
      <c r="H197" s="557" t="s">
        <v>2647</v>
      </c>
      <c r="I197" s="570">
        <f t="shared" si="5"/>
        <v>63720</v>
      </c>
      <c r="J197" s="576"/>
      <c r="L197" s="570">
        <v>70800</v>
      </c>
      <c r="M197" s="549">
        <v>0.9</v>
      </c>
      <c r="N197" s="686">
        <f t="shared" si="6"/>
        <v>63720</v>
      </c>
    </row>
    <row r="198" spans="2:14" ht="17.100000000000001" hidden="1" customHeight="1">
      <c r="B198" s="554">
        <v>29</v>
      </c>
      <c r="C198" s="572" t="s">
        <v>3006</v>
      </c>
      <c r="D198" s="573"/>
      <c r="E198" s="573"/>
      <c r="F198" s="573"/>
      <c r="G198" s="574"/>
      <c r="H198" s="557" t="s">
        <v>2647</v>
      </c>
      <c r="I198" s="570">
        <f t="shared" si="5"/>
        <v>50067</v>
      </c>
      <c r="J198" s="576"/>
      <c r="L198" s="570">
        <v>55630</v>
      </c>
      <c r="M198" s="549">
        <v>0.9</v>
      </c>
      <c r="N198" s="686">
        <f t="shared" si="6"/>
        <v>50067</v>
      </c>
    </row>
    <row r="199" spans="2:14" ht="17.100000000000001" hidden="1" customHeight="1">
      <c r="B199" s="554">
        <v>30</v>
      </c>
      <c r="C199" s="572" t="s">
        <v>3838</v>
      </c>
      <c r="D199" s="573"/>
      <c r="E199" s="573"/>
      <c r="F199" s="573"/>
      <c r="G199" s="574"/>
      <c r="H199" s="557" t="s">
        <v>2647</v>
      </c>
      <c r="I199" s="570">
        <f t="shared" si="5"/>
        <v>55692</v>
      </c>
      <c r="J199" s="576"/>
      <c r="L199" s="570">
        <v>61880</v>
      </c>
      <c r="M199" s="549">
        <v>0.9</v>
      </c>
      <c r="N199" s="686">
        <f t="shared" si="6"/>
        <v>55692</v>
      </c>
    </row>
    <row r="200" spans="2:14" ht="17.100000000000001" hidden="1" customHeight="1">
      <c r="B200" s="554">
        <v>31</v>
      </c>
      <c r="C200" s="555" t="s">
        <v>3007</v>
      </c>
      <c r="D200" s="556"/>
      <c r="E200" s="556"/>
      <c r="F200" s="556"/>
      <c r="G200" s="569"/>
      <c r="H200" s="557" t="s">
        <v>1423</v>
      </c>
      <c r="I200" s="570">
        <f t="shared" si="5"/>
        <v>59436</v>
      </c>
      <c r="J200" s="554"/>
      <c r="L200" s="570">
        <v>66040</v>
      </c>
      <c r="M200" s="549">
        <v>0.9</v>
      </c>
      <c r="N200" s="686">
        <f t="shared" si="6"/>
        <v>59436</v>
      </c>
    </row>
    <row r="201" spans="2:14" ht="17.100000000000001" customHeight="1">
      <c r="B201" s="554">
        <v>5</v>
      </c>
      <c r="C201" s="555" t="s">
        <v>3008</v>
      </c>
      <c r="D201" s="556"/>
      <c r="E201" s="556"/>
      <c r="F201" s="556"/>
      <c r="G201" s="569"/>
      <c r="H201" s="557" t="s">
        <v>1423</v>
      </c>
      <c r="I201" s="570">
        <f t="shared" si="5"/>
        <v>49500</v>
      </c>
      <c r="J201" s="554"/>
      <c r="L201" s="570">
        <v>55000</v>
      </c>
      <c r="M201" s="549">
        <v>0.9</v>
      </c>
      <c r="N201" s="686">
        <f t="shared" si="6"/>
        <v>49500</v>
      </c>
    </row>
    <row r="202" spans="2:14" ht="17.100000000000001" hidden="1" customHeight="1">
      <c r="B202" s="554">
        <v>33</v>
      </c>
      <c r="C202" s="572" t="s">
        <v>3009</v>
      </c>
      <c r="D202" s="573"/>
      <c r="E202" s="573"/>
      <c r="F202" s="573"/>
      <c r="G202" s="574"/>
      <c r="H202" s="575" t="s">
        <v>2647</v>
      </c>
      <c r="I202" s="570">
        <f t="shared" si="5"/>
        <v>327726</v>
      </c>
      <c r="J202" s="576"/>
      <c r="L202" s="570">
        <v>364140</v>
      </c>
      <c r="M202" s="549">
        <v>0.9</v>
      </c>
      <c r="N202" s="686">
        <f t="shared" si="6"/>
        <v>327726</v>
      </c>
    </row>
    <row r="203" spans="2:14" ht="17.100000000000001" hidden="1" customHeight="1">
      <c r="B203" s="554">
        <v>34</v>
      </c>
      <c r="C203" s="572" t="s">
        <v>3010</v>
      </c>
      <c r="D203" s="573"/>
      <c r="E203" s="573"/>
      <c r="F203" s="573"/>
      <c r="G203" s="574"/>
      <c r="H203" s="575" t="s">
        <v>2647</v>
      </c>
      <c r="I203" s="570">
        <f t="shared" si="5"/>
        <v>191169</v>
      </c>
      <c r="J203" s="576"/>
      <c r="L203" s="570">
        <v>212410</v>
      </c>
      <c r="M203" s="549">
        <v>0.9</v>
      </c>
      <c r="N203" s="686">
        <f t="shared" si="6"/>
        <v>191169</v>
      </c>
    </row>
    <row r="204" spans="2:14" ht="17.100000000000001" hidden="1" customHeight="1">
      <c r="B204" s="554">
        <v>35</v>
      </c>
      <c r="C204" s="572" t="s">
        <v>3358</v>
      </c>
      <c r="D204" s="573"/>
      <c r="E204" s="573"/>
      <c r="F204" s="573"/>
      <c r="G204" s="574"/>
      <c r="H204" s="575" t="s">
        <v>1423</v>
      </c>
      <c r="I204" s="570">
        <f t="shared" si="5"/>
        <v>1143</v>
      </c>
      <c r="J204" s="576"/>
      <c r="L204" s="570">
        <v>1270</v>
      </c>
      <c r="M204" s="549">
        <v>0.9</v>
      </c>
      <c r="N204" s="686">
        <f t="shared" si="6"/>
        <v>1143</v>
      </c>
    </row>
    <row r="205" spans="2:14" ht="17.100000000000001" hidden="1" customHeight="1">
      <c r="B205" s="554">
        <v>36</v>
      </c>
      <c r="C205" s="572" t="s">
        <v>3357</v>
      </c>
      <c r="D205" s="573"/>
      <c r="E205" s="573"/>
      <c r="F205" s="573"/>
      <c r="G205" s="574"/>
      <c r="H205" s="575" t="s">
        <v>1423</v>
      </c>
      <c r="I205" s="570">
        <f t="shared" si="5"/>
        <v>1818</v>
      </c>
      <c r="J205" s="576"/>
      <c r="L205" s="570">
        <v>2020</v>
      </c>
      <c r="M205" s="549">
        <v>0.9</v>
      </c>
      <c r="N205" s="686">
        <f t="shared" si="6"/>
        <v>1818</v>
      </c>
    </row>
    <row r="206" spans="2:14" ht="17.100000000000001" hidden="1" customHeight="1">
      <c r="B206" s="554">
        <v>37</v>
      </c>
      <c r="C206" s="572" t="s">
        <v>3011</v>
      </c>
      <c r="D206" s="573"/>
      <c r="E206" s="573"/>
      <c r="F206" s="573"/>
      <c r="G206" s="574"/>
      <c r="H206" s="575" t="s">
        <v>1423</v>
      </c>
      <c r="I206" s="570">
        <f t="shared" si="5"/>
        <v>2358</v>
      </c>
      <c r="J206" s="576"/>
      <c r="L206" s="570">
        <v>2620</v>
      </c>
      <c r="M206" s="549">
        <v>0.9</v>
      </c>
      <c r="N206" s="686">
        <f t="shared" si="6"/>
        <v>2358</v>
      </c>
    </row>
    <row r="207" spans="2:14" ht="17.100000000000001" hidden="1" customHeight="1">
      <c r="B207" s="554">
        <v>38</v>
      </c>
      <c r="C207" s="572" t="s">
        <v>3012</v>
      </c>
      <c r="D207" s="573"/>
      <c r="E207" s="573"/>
      <c r="F207" s="573"/>
      <c r="G207" s="574"/>
      <c r="H207" s="575" t="s">
        <v>1423</v>
      </c>
      <c r="I207" s="570">
        <f t="shared" si="5"/>
        <v>3456</v>
      </c>
      <c r="J207" s="576"/>
      <c r="L207" s="570">
        <v>3840</v>
      </c>
      <c r="M207" s="549">
        <v>0.9</v>
      </c>
      <c r="N207" s="686">
        <f t="shared" si="6"/>
        <v>3456</v>
      </c>
    </row>
    <row r="208" spans="2:14" ht="17.100000000000001" hidden="1" customHeight="1">
      <c r="B208" s="554">
        <v>39</v>
      </c>
      <c r="C208" s="572" t="s">
        <v>3013</v>
      </c>
      <c r="D208" s="573"/>
      <c r="E208" s="573"/>
      <c r="F208" s="573"/>
      <c r="G208" s="574"/>
      <c r="H208" s="575" t="s">
        <v>1423</v>
      </c>
      <c r="I208" s="570">
        <f t="shared" si="5"/>
        <v>9009</v>
      </c>
      <c r="J208" s="576"/>
      <c r="L208" s="570">
        <v>10010</v>
      </c>
      <c r="M208" s="549">
        <v>0.9</v>
      </c>
      <c r="N208" s="686">
        <f t="shared" si="6"/>
        <v>9009</v>
      </c>
    </row>
    <row r="209" spans="2:14" ht="17.100000000000001" hidden="1" customHeight="1">
      <c r="B209" s="554">
        <v>40</v>
      </c>
      <c r="C209" s="572" t="s">
        <v>3482</v>
      </c>
      <c r="D209" s="573"/>
      <c r="E209" s="573"/>
      <c r="F209" s="573"/>
      <c r="G209" s="574"/>
      <c r="H209" s="575" t="s">
        <v>1423</v>
      </c>
      <c r="I209" s="570">
        <f t="shared" si="5"/>
        <v>1071</v>
      </c>
      <c r="J209" s="576"/>
      <c r="L209" s="570">
        <v>1190</v>
      </c>
      <c r="M209" s="549">
        <v>0.9</v>
      </c>
      <c r="N209" s="686">
        <f t="shared" si="6"/>
        <v>1071</v>
      </c>
    </row>
    <row r="210" spans="2:14" ht="17.100000000000001" hidden="1" customHeight="1">
      <c r="B210" s="554">
        <v>41</v>
      </c>
      <c r="C210" s="572" t="s">
        <v>3014</v>
      </c>
      <c r="D210" s="573"/>
      <c r="E210" s="573"/>
      <c r="F210" s="573"/>
      <c r="G210" s="574"/>
      <c r="H210" s="575" t="s">
        <v>2944</v>
      </c>
      <c r="I210" s="570">
        <f t="shared" si="5"/>
        <v>53550</v>
      </c>
      <c r="J210" s="576"/>
      <c r="L210" s="570">
        <v>59500</v>
      </c>
      <c r="M210" s="549">
        <v>0.9</v>
      </c>
      <c r="N210" s="686">
        <f t="shared" si="6"/>
        <v>53550</v>
      </c>
    </row>
    <row r="211" spans="2:14" ht="17.100000000000001" hidden="1" customHeight="1">
      <c r="B211" s="554">
        <v>42</v>
      </c>
      <c r="C211" s="572" t="s">
        <v>3015</v>
      </c>
      <c r="D211" s="573"/>
      <c r="E211" s="573"/>
      <c r="F211" s="573"/>
      <c r="G211" s="574"/>
      <c r="H211" s="575" t="s">
        <v>2944</v>
      </c>
      <c r="I211" s="570">
        <f t="shared" si="5"/>
        <v>80325</v>
      </c>
      <c r="J211" s="576"/>
      <c r="L211" s="570">
        <v>89250</v>
      </c>
      <c r="M211" s="549">
        <v>0.9</v>
      </c>
      <c r="N211" s="686">
        <f t="shared" si="6"/>
        <v>80325</v>
      </c>
    </row>
    <row r="212" spans="2:14" ht="17.100000000000001" hidden="1" customHeight="1">
      <c r="B212" s="554">
        <v>43</v>
      </c>
      <c r="C212" s="572" t="s">
        <v>1151</v>
      </c>
      <c r="D212" s="573"/>
      <c r="E212" s="573"/>
      <c r="F212" s="573"/>
      <c r="G212" s="574"/>
      <c r="H212" s="575" t="s">
        <v>2647</v>
      </c>
      <c r="I212" s="570">
        <f t="shared" si="5"/>
        <v>910350</v>
      </c>
      <c r="J212" s="576"/>
      <c r="L212" s="570">
        <v>1011500</v>
      </c>
      <c r="M212" s="549">
        <v>0.9</v>
      </c>
      <c r="N212" s="686">
        <f t="shared" si="6"/>
        <v>910350</v>
      </c>
    </row>
    <row r="213" spans="2:14" ht="17.100000000000001" hidden="1" customHeight="1">
      <c r="B213" s="554">
        <v>44</v>
      </c>
      <c r="C213" s="572" t="s">
        <v>1174</v>
      </c>
      <c r="D213" s="573"/>
      <c r="E213" s="573"/>
      <c r="F213" s="573"/>
      <c r="G213" s="574"/>
      <c r="H213" s="575" t="s">
        <v>1423</v>
      </c>
      <c r="I213" s="570">
        <f t="shared" si="5"/>
        <v>909</v>
      </c>
      <c r="J213" s="576"/>
      <c r="L213" s="570">
        <v>1010</v>
      </c>
      <c r="M213" s="549">
        <v>0.9</v>
      </c>
      <c r="N213" s="686">
        <f t="shared" si="6"/>
        <v>909</v>
      </c>
    </row>
    <row r="214" spans="2:14" ht="17.100000000000001" customHeight="1">
      <c r="B214" s="554">
        <v>6</v>
      </c>
      <c r="C214" s="572" t="s">
        <v>5158</v>
      </c>
      <c r="D214" s="573"/>
      <c r="E214" s="573"/>
      <c r="F214" s="573"/>
      <c r="G214" s="574"/>
      <c r="H214" s="575" t="s">
        <v>5157</v>
      </c>
      <c r="I214" s="570">
        <v>12500</v>
      </c>
      <c r="J214" s="576"/>
      <c r="L214" s="570">
        <v>8500</v>
      </c>
      <c r="M214" s="549">
        <v>0.9</v>
      </c>
      <c r="N214" s="686">
        <f t="shared" si="6"/>
        <v>7650</v>
      </c>
    </row>
    <row r="215" spans="2:14" ht="17.100000000000001" hidden="1" customHeight="1">
      <c r="B215" s="554">
        <v>46</v>
      </c>
      <c r="C215" s="572" t="s">
        <v>4400</v>
      </c>
      <c r="D215" s="573"/>
      <c r="E215" s="573"/>
      <c r="F215" s="573"/>
      <c r="G215" s="574"/>
      <c r="H215" s="575" t="s">
        <v>2647</v>
      </c>
      <c r="I215" s="570">
        <f t="shared" si="5"/>
        <v>85680</v>
      </c>
      <c r="J215" s="576"/>
      <c r="L215" s="570">
        <v>95200</v>
      </c>
      <c r="M215" s="549">
        <v>0.9</v>
      </c>
      <c r="N215" s="686">
        <f t="shared" si="6"/>
        <v>85680</v>
      </c>
    </row>
    <row r="216" spans="2:14" ht="17.100000000000001" customHeight="1">
      <c r="B216" s="554">
        <v>7</v>
      </c>
      <c r="C216" s="572" t="s">
        <v>4444</v>
      </c>
      <c r="D216" s="573"/>
      <c r="E216" s="573"/>
      <c r="F216" s="573"/>
      <c r="G216" s="574"/>
      <c r="H216" s="575" t="s">
        <v>3025</v>
      </c>
      <c r="I216" s="570">
        <f t="shared" si="5"/>
        <v>229500</v>
      </c>
      <c r="J216" s="576"/>
      <c r="L216" s="570">
        <v>255000</v>
      </c>
      <c r="M216" s="549">
        <v>0.9</v>
      </c>
      <c r="N216" s="686">
        <f t="shared" si="6"/>
        <v>229500</v>
      </c>
    </row>
    <row r="217" spans="2:14" ht="17.100000000000001" hidden="1" customHeight="1">
      <c r="B217" s="554">
        <v>48</v>
      </c>
      <c r="C217" s="572" t="s">
        <v>4432</v>
      </c>
      <c r="D217" s="573"/>
      <c r="E217" s="573"/>
      <c r="F217" s="573"/>
      <c r="G217" s="574"/>
      <c r="H217" s="575" t="s">
        <v>2647</v>
      </c>
      <c r="I217" s="570">
        <f t="shared" si="5"/>
        <v>728280</v>
      </c>
      <c r="J217" s="576"/>
      <c r="L217" s="570">
        <v>809200</v>
      </c>
      <c r="M217" s="549">
        <v>0.9</v>
      </c>
      <c r="N217" s="686">
        <f t="shared" si="6"/>
        <v>728280</v>
      </c>
    </row>
    <row r="218" spans="2:14" ht="17.100000000000001" hidden="1" customHeight="1">
      <c r="B218" s="554">
        <v>49</v>
      </c>
      <c r="C218" s="572" t="s">
        <v>4886</v>
      </c>
      <c r="D218" s="573"/>
      <c r="E218" s="573"/>
      <c r="F218" s="573"/>
      <c r="G218" s="574"/>
      <c r="H218" s="575" t="s">
        <v>2944</v>
      </c>
      <c r="I218" s="570">
        <f t="shared" si="5"/>
        <v>567000</v>
      </c>
      <c r="J218" s="576"/>
      <c r="L218" s="570">
        <f>(220000+270000+40000)+100000</f>
        <v>630000</v>
      </c>
      <c r="M218" s="549">
        <v>0.9</v>
      </c>
      <c r="N218" s="686">
        <f t="shared" si="6"/>
        <v>567000</v>
      </c>
    </row>
    <row r="219" spans="2:14" ht="17.100000000000001" hidden="1" customHeight="1">
      <c r="B219" s="554">
        <v>50</v>
      </c>
      <c r="C219" s="572" t="s">
        <v>4492</v>
      </c>
      <c r="D219" s="573"/>
      <c r="E219" s="573"/>
      <c r="F219" s="573"/>
      <c r="G219" s="574"/>
      <c r="H219" s="575" t="s">
        <v>2647</v>
      </c>
      <c r="I219" s="570">
        <f t="shared" si="5"/>
        <v>24093</v>
      </c>
      <c r="J219" s="576"/>
      <c r="L219" s="570">
        <v>26770</v>
      </c>
      <c r="M219" s="549">
        <v>0.9</v>
      </c>
      <c r="N219" s="686">
        <f t="shared" si="6"/>
        <v>24093</v>
      </c>
    </row>
    <row r="220" spans="2:14" ht="17.100000000000001" hidden="1" customHeight="1">
      <c r="B220" s="554">
        <v>51</v>
      </c>
      <c r="C220" s="572" t="s">
        <v>4905</v>
      </c>
      <c r="D220" s="573"/>
      <c r="E220" s="573"/>
      <c r="F220" s="573"/>
      <c r="G220" s="574"/>
      <c r="H220" s="575" t="s">
        <v>2647</v>
      </c>
      <c r="I220" s="570">
        <f t="shared" ref="I220:I284" si="7">N220</f>
        <v>249750</v>
      </c>
      <c r="J220" s="576"/>
      <c r="L220" s="570">
        <v>277500</v>
      </c>
      <c r="M220" s="549">
        <v>0.9</v>
      </c>
      <c r="N220" s="686">
        <f t="shared" ref="N220:N284" si="8">L220*M220</f>
        <v>249750</v>
      </c>
    </row>
    <row r="221" spans="2:14" ht="17.100000000000001" hidden="1" customHeight="1">
      <c r="B221" s="554">
        <v>52</v>
      </c>
      <c r="C221" s="572" t="s">
        <v>5022</v>
      </c>
      <c r="D221" s="573"/>
      <c r="E221" s="573"/>
      <c r="F221" s="573"/>
      <c r="G221" s="574"/>
      <c r="H221" s="575" t="str">
        <f>H220</f>
        <v>m2</v>
      </c>
      <c r="I221" s="570">
        <f t="shared" si="7"/>
        <v>40500</v>
      </c>
      <c r="J221" s="585"/>
      <c r="L221" s="570">
        <f>O221+(300000*0.15)</f>
        <v>45000</v>
      </c>
      <c r="M221" s="549">
        <v>0.9</v>
      </c>
      <c r="N221" s="686">
        <f t="shared" si="8"/>
        <v>40500</v>
      </c>
    </row>
    <row r="222" spans="2:14" ht="17.100000000000001" customHeight="1">
      <c r="B222" s="554"/>
      <c r="C222" s="567" t="s">
        <v>3016</v>
      </c>
      <c r="D222" s="568"/>
      <c r="E222" s="568"/>
      <c r="F222" s="556"/>
      <c r="G222" s="569"/>
      <c r="H222" s="557"/>
      <c r="I222" s="570"/>
      <c r="J222" s="554"/>
      <c r="L222" s="570"/>
      <c r="N222" s="686"/>
    </row>
    <row r="223" spans="2:14" ht="17.100000000000001" hidden="1" customHeight="1">
      <c r="B223" s="554">
        <v>1</v>
      </c>
      <c r="C223" s="555" t="s">
        <v>3017</v>
      </c>
      <c r="D223" s="556"/>
      <c r="E223" s="556"/>
      <c r="F223" s="556"/>
      <c r="G223" s="569"/>
      <c r="H223" s="557" t="s">
        <v>2647</v>
      </c>
      <c r="I223" s="570">
        <f t="shared" si="7"/>
        <v>144585</v>
      </c>
      <c r="J223" s="554"/>
      <c r="L223" s="570">
        <v>160650</v>
      </c>
      <c r="M223" s="549">
        <v>0.9</v>
      </c>
      <c r="N223" s="686">
        <f t="shared" si="8"/>
        <v>144585</v>
      </c>
    </row>
    <row r="224" spans="2:14" ht="17.100000000000001" hidden="1" customHeight="1">
      <c r="B224" s="554">
        <v>2</v>
      </c>
      <c r="C224" s="555" t="s">
        <v>3332</v>
      </c>
      <c r="D224" s="556"/>
      <c r="E224" s="556"/>
      <c r="F224" s="556"/>
      <c r="G224" s="569"/>
      <c r="H224" s="557" t="s">
        <v>2647</v>
      </c>
      <c r="I224" s="570">
        <f t="shared" si="7"/>
        <v>171360</v>
      </c>
      <c r="J224" s="554"/>
      <c r="L224" s="570">
        <v>190400</v>
      </c>
      <c r="M224" s="549">
        <v>0.9</v>
      </c>
      <c r="N224" s="686">
        <f t="shared" si="8"/>
        <v>171360</v>
      </c>
    </row>
    <row r="225" spans="2:14" ht="17.100000000000001" hidden="1" customHeight="1">
      <c r="B225" s="554">
        <v>3</v>
      </c>
      <c r="C225" s="555" t="s">
        <v>3018</v>
      </c>
      <c r="D225" s="556"/>
      <c r="E225" s="556"/>
      <c r="F225" s="556"/>
      <c r="G225" s="569"/>
      <c r="H225" s="557" t="s">
        <v>2647</v>
      </c>
      <c r="I225" s="570">
        <f t="shared" si="7"/>
        <v>112455</v>
      </c>
      <c r="J225" s="554"/>
      <c r="L225" s="570">
        <v>124950</v>
      </c>
      <c r="M225" s="549">
        <v>0.9</v>
      </c>
      <c r="N225" s="686">
        <f t="shared" si="8"/>
        <v>112455</v>
      </c>
    </row>
    <row r="226" spans="2:14" ht="17.100000000000001" hidden="1" customHeight="1">
      <c r="B226" s="554">
        <v>4</v>
      </c>
      <c r="C226" s="555" t="s">
        <v>3019</v>
      </c>
      <c r="D226" s="556"/>
      <c r="E226" s="556"/>
      <c r="F226" s="556"/>
      <c r="G226" s="569"/>
      <c r="H226" s="557" t="s">
        <v>2647</v>
      </c>
      <c r="I226" s="570">
        <f t="shared" si="7"/>
        <v>289170</v>
      </c>
      <c r="J226" s="554"/>
      <c r="L226" s="570">
        <v>321300</v>
      </c>
      <c r="M226" s="549">
        <v>0.9</v>
      </c>
      <c r="N226" s="686">
        <f t="shared" si="8"/>
        <v>289170</v>
      </c>
    </row>
    <row r="227" spans="2:14" ht="17.100000000000001" hidden="1" customHeight="1">
      <c r="B227" s="554">
        <v>5</v>
      </c>
      <c r="C227" s="555" t="s">
        <v>3020</v>
      </c>
      <c r="D227" s="556"/>
      <c r="E227" s="556"/>
      <c r="F227" s="556"/>
      <c r="G227" s="569"/>
      <c r="H227" s="557" t="s">
        <v>2647</v>
      </c>
      <c r="I227" s="570">
        <f t="shared" si="7"/>
        <v>133875</v>
      </c>
      <c r="J227" s="554"/>
      <c r="L227" s="570">
        <v>148750</v>
      </c>
      <c r="M227" s="549">
        <v>0.9</v>
      </c>
      <c r="N227" s="686">
        <f t="shared" si="8"/>
        <v>133875</v>
      </c>
    </row>
    <row r="228" spans="2:14" ht="17.100000000000001" hidden="1" customHeight="1">
      <c r="B228" s="554">
        <v>6</v>
      </c>
      <c r="C228" s="555" t="s">
        <v>3374</v>
      </c>
      <c r="D228" s="556"/>
      <c r="E228" s="556"/>
      <c r="F228" s="556"/>
      <c r="G228" s="569"/>
      <c r="H228" s="557" t="s">
        <v>2647</v>
      </c>
      <c r="I228" s="570">
        <f t="shared" si="7"/>
        <v>856800</v>
      </c>
      <c r="J228" s="554"/>
      <c r="L228" s="570">
        <v>952000</v>
      </c>
      <c r="M228" s="549">
        <v>0.9</v>
      </c>
      <c r="N228" s="686">
        <f t="shared" si="8"/>
        <v>856800</v>
      </c>
    </row>
    <row r="229" spans="2:14" ht="17.100000000000001" hidden="1" customHeight="1">
      <c r="B229" s="554">
        <v>7</v>
      </c>
      <c r="C229" s="562" t="s">
        <v>4609</v>
      </c>
      <c r="D229" s="563"/>
      <c r="E229" s="563"/>
      <c r="F229" s="563"/>
      <c r="G229" s="564"/>
      <c r="H229" s="565" t="s">
        <v>2647</v>
      </c>
      <c r="I229" s="570">
        <f t="shared" si="7"/>
        <v>481950</v>
      </c>
      <c r="J229" s="561"/>
      <c r="L229" s="570">
        <v>535500</v>
      </c>
      <c r="M229" s="549">
        <v>0.9</v>
      </c>
      <c r="N229" s="686">
        <f t="shared" si="8"/>
        <v>481950</v>
      </c>
    </row>
    <row r="230" spans="2:14" ht="17.100000000000001" customHeight="1">
      <c r="B230" s="554">
        <v>1</v>
      </c>
      <c r="C230" s="562" t="s">
        <v>4614</v>
      </c>
      <c r="D230" s="563"/>
      <c r="E230" s="563"/>
      <c r="F230" s="563"/>
      <c r="G230" s="564"/>
      <c r="H230" s="565" t="s">
        <v>2647</v>
      </c>
      <c r="I230" s="570">
        <v>1591000</v>
      </c>
      <c r="J230" s="561"/>
      <c r="L230" s="570">
        <v>700000</v>
      </c>
      <c r="M230" s="549">
        <v>0.9</v>
      </c>
      <c r="N230" s="686">
        <f t="shared" si="8"/>
        <v>630000</v>
      </c>
    </row>
    <row r="231" spans="2:14" ht="17.100000000000001" customHeight="1">
      <c r="B231" s="554">
        <v>2</v>
      </c>
      <c r="C231" s="555" t="s">
        <v>1362</v>
      </c>
      <c r="D231" s="556"/>
      <c r="E231" s="556"/>
      <c r="F231" s="556"/>
      <c r="G231" s="569"/>
      <c r="H231" s="557" t="s">
        <v>2647</v>
      </c>
      <c r="I231" s="570">
        <f t="shared" si="7"/>
        <v>192780</v>
      </c>
      <c r="J231" s="554"/>
      <c r="L231" s="570">
        <v>214200</v>
      </c>
      <c r="M231" s="549">
        <v>0.9</v>
      </c>
      <c r="N231" s="686">
        <f t="shared" si="8"/>
        <v>192780</v>
      </c>
    </row>
    <row r="232" spans="2:14" ht="17.100000000000001" hidden="1" customHeight="1">
      <c r="B232" s="554">
        <v>10</v>
      </c>
      <c r="C232" s="555" t="s">
        <v>3021</v>
      </c>
      <c r="D232" s="556"/>
      <c r="E232" s="556"/>
      <c r="F232" s="556"/>
      <c r="G232" s="569"/>
      <c r="H232" s="557" t="s">
        <v>2647</v>
      </c>
      <c r="I232" s="570">
        <f t="shared" si="7"/>
        <v>198135</v>
      </c>
      <c r="J232" s="554"/>
      <c r="L232" s="570">
        <v>220150</v>
      </c>
      <c r="M232" s="549">
        <v>0.9</v>
      </c>
      <c r="N232" s="686">
        <f t="shared" si="8"/>
        <v>198135</v>
      </c>
    </row>
    <row r="233" spans="2:14" ht="17.100000000000001" hidden="1" customHeight="1">
      <c r="B233" s="554">
        <v>11</v>
      </c>
      <c r="C233" s="555" t="s">
        <v>3022</v>
      </c>
      <c r="D233" s="556"/>
      <c r="E233" s="556"/>
      <c r="F233" s="556"/>
      <c r="G233" s="569"/>
      <c r="H233" s="557" t="s">
        <v>1423</v>
      </c>
      <c r="I233" s="570">
        <f t="shared" si="7"/>
        <v>26775</v>
      </c>
      <c r="J233" s="554"/>
      <c r="L233" s="570">
        <v>29750</v>
      </c>
      <c r="M233" s="549">
        <v>0.9</v>
      </c>
      <c r="N233" s="686">
        <f t="shared" si="8"/>
        <v>26775</v>
      </c>
    </row>
    <row r="234" spans="2:14" ht="17.100000000000001" hidden="1" customHeight="1">
      <c r="B234" s="554">
        <v>12</v>
      </c>
      <c r="C234" s="555" t="s">
        <v>4695</v>
      </c>
      <c r="D234" s="556"/>
      <c r="E234" s="556"/>
      <c r="F234" s="556"/>
      <c r="G234" s="569"/>
      <c r="H234" s="557" t="s">
        <v>3025</v>
      </c>
      <c r="I234" s="570">
        <f t="shared" si="7"/>
        <v>1773576</v>
      </c>
      <c r="J234" s="554"/>
      <c r="L234" s="570">
        <v>1970640</v>
      </c>
      <c r="M234" s="549">
        <v>0.9</v>
      </c>
      <c r="N234" s="686">
        <f t="shared" si="8"/>
        <v>1773576</v>
      </c>
    </row>
    <row r="235" spans="2:14" ht="17.100000000000001" hidden="1" customHeight="1">
      <c r="B235" s="554">
        <v>13</v>
      </c>
      <c r="C235" s="555" t="s">
        <v>4730</v>
      </c>
      <c r="D235" s="556"/>
      <c r="E235" s="556"/>
      <c r="F235" s="556"/>
      <c r="G235" s="569"/>
      <c r="H235" s="557" t="s">
        <v>2647</v>
      </c>
      <c r="I235" s="570">
        <f t="shared" si="7"/>
        <v>103887</v>
      </c>
      <c r="J235" s="554"/>
      <c r="L235" s="570">
        <v>115430</v>
      </c>
      <c r="M235" s="549">
        <v>0.9</v>
      </c>
      <c r="N235" s="686">
        <f t="shared" si="8"/>
        <v>103887</v>
      </c>
    </row>
    <row r="236" spans="2:14" ht="17.100000000000001" hidden="1" customHeight="1">
      <c r="B236" s="554">
        <v>14</v>
      </c>
      <c r="C236" s="555" t="s">
        <v>4734</v>
      </c>
      <c r="D236" s="556"/>
      <c r="E236" s="556"/>
      <c r="F236" s="556"/>
      <c r="G236" s="569"/>
      <c r="H236" s="557" t="s">
        <v>2647</v>
      </c>
      <c r="I236" s="570">
        <f t="shared" si="7"/>
        <v>190845</v>
      </c>
      <c r="J236" s="554"/>
      <c r="L236" s="570">
        <v>212050</v>
      </c>
      <c r="M236" s="549">
        <v>0.9</v>
      </c>
      <c r="N236" s="686">
        <f t="shared" si="8"/>
        <v>190845</v>
      </c>
    </row>
    <row r="237" spans="2:14" ht="17.100000000000001" hidden="1" customHeight="1">
      <c r="B237" s="571"/>
      <c r="C237" s="567"/>
      <c r="D237" s="568"/>
      <c r="E237" s="568"/>
      <c r="F237" s="568"/>
      <c r="G237" s="569"/>
      <c r="H237" s="557"/>
      <c r="I237" s="570">
        <f t="shared" si="7"/>
        <v>0</v>
      </c>
      <c r="J237" s="554"/>
      <c r="L237" s="570"/>
      <c r="M237" s="549">
        <v>0.9</v>
      </c>
      <c r="N237" s="686">
        <f t="shared" si="8"/>
        <v>0</v>
      </c>
    </row>
    <row r="238" spans="2:14" ht="17.100000000000001" customHeight="1">
      <c r="B238" s="571"/>
      <c r="C238" s="567"/>
      <c r="D238" s="568"/>
      <c r="E238" s="568"/>
      <c r="F238" s="568"/>
      <c r="G238" s="569"/>
      <c r="H238" s="557"/>
      <c r="I238" s="570"/>
      <c r="J238" s="554"/>
      <c r="L238" s="570"/>
      <c r="N238" s="686"/>
    </row>
    <row r="239" spans="2:14" ht="17.100000000000001" customHeight="1">
      <c r="B239" s="571"/>
      <c r="C239" s="567" t="s">
        <v>3023</v>
      </c>
      <c r="D239" s="568"/>
      <c r="E239" s="568"/>
      <c r="F239" s="568"/>
      <c r="G239" s="569"/>
      <c r="H239" s="557"/>
      <c r="I239" s="570"/>
      <c r="J239" s="554"/>
      <c r="L239" s="570"/>
      <c r="N239" s="686"/>
    </row>
    <row r="240" spans="2:14" ht="17.100000000000001" hidden="1" customHeight="1">
      <c r="B240" s="554">
        <v>1</v>
      </c>
      <c r="C240" s="555" t="s">
        <v>3024</v>
      </c>
      <c r="D240" s="556"/>
      <c r="E240" s="556"/>
      <c r="F240" s="556"/>
      <c r="G240" s="569"/>
      <c r="H240" s="557" t="s">
        <v>3025</v>
      </c>
      <c r="I240" s="570">
        <f t="shared" si="7"/>
        <v>37368</v>
      </c>
      <c r="J240" s="554"/>
      <c r="L240" s="570">
        <v>41520</v>
      </c>
      <c r="M240" s="549">
        <v>0.9</v>
      </c>
      <c r="N240" s="686">
        <f t="shared" si="8"/>
        <v>37368</v>
      </c>
    </row>
    <row r="241" spans="2:14" ht="17.100000000000001" hidden="1" customHeight="1">
      <c r="B241" s="554">
        <v>2</v>
      </c>
      <c r="C241" s="555" t="s">
        <v>3026</v>
      </c>
      <c r="D241" s="556"/>
      <c r="E241" s="556"/>
      <c r="F241" s="556"/>
      <c r="G241" s="569"/>
      <c r="H241" s="557" t="s">
        <v>3027</v>
      </c>
      <c r="I241" s="570">
        <f t="shared" si="7"/>
        <v>12285</v>
      </c>
      <c r="J241" s="554"/>
      <c r="L241" s="570">
        <v>13650</v>
      </c>
      <c r="M241" s="549">
        <v>0.9</v>
      </c>
      <c r="N241" s="686">
        <f t="shared" si="8"/>
        <v>12285</v>
      </c>
    </row>
    <row r="242" spans="2:14" ht="17.100000000000001" hidden="1" customHeight="1">
      <c r="B242" s="554">
        <v>3</v>
      </c>
      <c r="C242" s="555" t="s">
        <v>3028</v>
      </c>
      <c r="D242" s="556"/>
      <c r="E242" s="556"/>
      <c r="F242" s="556"/>
      <c r="G242" s="569"/>
      <c r="H242" s="557" t="s">
        <v>3027</v>
      </c>
      <c r="I242" s="570">
        <f t="shared" si="7"/>
        <v>19116</v>
      </c>
      <c r="J242" s="554"/>
      <c r="L242" s="570">
        <v>21240</v>
      </c>
      <c r="M242" s="549">
        <v>0.9</v>
      </c>
      <c r="N242" s="686">
        <f t="shared" si="8"/>
        <v>19116</v>
      </c>
    </row>
    <row r="243" spans="2:14" ht="17.100000000000001" hidden="1" customHeight="1">
      <c r="B243" s="554">
        <v>4</v>
      </c>
      <c r="C243" s="555" t="s">
        <v>3029</v>
      </c>
      <c r="D243" s="556"/>
      <c r="E243" s="556"/>
      <c r="F243" s="556"/>
      <c r="G243" s="569"/>
      <c r="H243" s="557" t="s">
        <v>2950</v>
      </c>
      <c r="I243" s="570">
        <f t="shared" si="7"/>
        <v>57348</v>
      </c>
      <c r="J243" s="554"/>
      <c r="L243" s="570">
        <v>63720</v>
      </c>
      <c r="M243" s="549">
        <v>0.9</v>
      </c>
      <c r="N243" s="686">
        <f t="shared" si="8"/>
        <v>57348</v>
      </c>
    </row>
    <row r="244" spans="2:14" ht="17.100000000000001" hidden="1" customHeight="1">
      <c r="B244" s="554">
        <v>5</v>
      </c>
      <c r="C244" s="555" t="s">
        <v>3030</v>
      </c>
      <c r="D244" s="556"/>
      <c r="E244" s="556"/>
      <c r="F244" s="556"/>
      <c r="G244" s="569"/>
      <c r="H244" s="557" t="s">
        <v>2647</v>
      </c>
      <c r="I244" s="570">
        <f t="shared" si="7"/>
        <v>87822</v>
      </c>
      <c r="J244" s="554"/>
      <c r="L244" s="570">
        <v>97580</v>
      </c>
      <c r="M244" s="549">
        <v>0.9</v>
      </c>
      <c r="N244" s="686">
        <f t="shared" si="8"/>
        <v>87822</v>
      </c>
    </row>
    <row r="245" spans="2:14" ht="17.100000000000001" hidden="1" customHeight="1">
      <c r="B245" s="554">
        <v>6</v>
      </c>
      <c r="C245" s="555" t="s">
        <v>4872</v>
      </c>
      <c r="D245" s="556"/>
      <c r="E245" s="556"/>
      <c r="F245" s="556"/>
      <c r="G245" s="569"/>
      <c r="H245" s="557" t="s">
        <v>3032</v>
      </c>
      <c r="I245" s="570">
        <f t="shared" si="7"/>
        <v>16965</v>
      </c>
      <c r="J245" s="554"/>
      <c r="L245" s="570">
        <v>18850</v>
      </c>
      <c r="M245" s="549">
        <v>0.9</v>
      </c>
      <c r="N245" s="686">
        <f t="shared" si="8"/>
        <v>16965</v>
      </c>
    </row>
    <row r="246" spans="2:14" ht="17.100000000000001" hidden="1" customHeight="1">
      <c r="B246" s="554">
        <v>7</v>
      </c>
      <c r="C246" s="555" t="s">
        <v>3033</v>
      </c>
      <c r="D246" s="556"/>
      <c r="E246" s="556"/>
      <c r="F246" s="556"/>
      <c r="G246" s="569"/>
      <c r="H246" s="557" t="s">
        <v>3032</v>
      </c>
      <c r="I246" s="570">
        <f t="shared" si="7"/>
        <v>7335</v>
      </c>
      <c r="J246" s="554"/>
      <c r="L246" s="570">
        <v>8150</v>
      </c>
      <c r="M246" s="549">
        <v>0.9</v>
      </c>
      <c r="N246" s="686">
        <f t="shared" si="8"/>
        <v>7335</v>
      </c>
    </row>
    <row r="247" spans="2:14" ht="17.100000000000001" hidden="1" customHeight="1">
      <c r="B247" s="554">
        <v>8</v>
      </c>
      <c r="C247" s="555" t="s">
        <v>4873</v>
      </c>
      <c r="D247" s="556"/>
      <c r="E247" s="556"/>
      <c r="F247" s="556"/>
      <c r="G247" s="569"/>
      <c r="H247" s="557" t="s">
        <v>3032</v>
      </c>
      <c r="I247" s="570">
        <f t="shared" si="7"/>
        <v>10917</v>
      </c>
      <c r="J247" s="554"/>
      <c r="L247" s="570">
        <v>12130</v>
      </c>
      <c r="M247" s="549">
        <v>0.9</v>
      </c>
      <c r="N247" s="686">
        <f t="shared" si="8"/>
        <v>10917</v>
      </c>
    </row>
    <row r="248" spans="2:14" ht="17.100000000000001" hidden="1" customHeight="1">
      <c r="B248" s="554">
        <v>9</v>
      </c>
      <c r="C248" s="555" t="s">
        <v>4874</v>
      </c>
      <c r="D248" s="556"/>
      <c r="E248" s="556"/>
      <c r="F248" s="556"/>
      <c r="G248" s="569"/>
      <c r="H248" s="557" t="s">
        <v>2944</v>
      </c>
      <c r="I248" s="570">
        <f t="shared" si="7"/>
        <v>47124</v>
      </c>
      <c r="J248" s="554"/>
      <c r="L248" s="570">
        <v>52360</v>
      </c>
      <c r="M248" s="549">
        <v>0.9</v>
      </c>
      <c r="N248" s="686">
        <f t="shared" si="8"/>
        <v>47124</v>
      </c>
    </row>
    <row r="249" spans="2:14" ht="17.100000000000001" hidden="1" customHeight="1">
      <c r="B249" s="554">
        <v>10</v>
      </c>
      <c r="C249" s="555" t="s">
        <v>4875</v>
      </c>
      <c r="D249" s="556"/>
      <c r="E249" s="556"/>
      <c r="F249" s="556"/>
      <c r="G249" s="569"/>
      <c r="H249" s="557" t="s">
        <v>2944</v>
      </c>
      <c r="I249" s="570">
        <f t="shared" si="7"/>
        <v>35343</v>
      </c>
      <c r="J249" s="554"/>
      <c r="L249" s="570">
        <v>39270</v>
      </c>
      <c r="M249" s="549">
        <v>0.9</v>
      </c>
      <c r="N249" s="686">
        <f t="shared" si="8"/>
        <v>35343</v>
      </c>
    </row>
    <row r="250" spans="2:14" ht="17.100000000000001" hidden="1" customHeight="1">
      <c r="B250" s="554">
        <v>11</v>
      </c>
      <c r="C250" s="555" t="s">
        <v>4876</v>
      </c>
      <c r="D250" s="556"/>
      <c r="E250" s="556"/>
      <c r="F250" s="556"/>
      <c r="G250" s="569"/>
      <c r="H250" s="557" t="s">
        <v>2944</v>
      </c>
      <c r="I250" s="570">
        <f t="shared" si="7"/>
        <v>28215</v>
      </c>
      <c r="J250" s="554"/>
      <c r="L250" s="570">
        <v>31350</v>
      </c>
      <c r="M250" s="549">
        <v>0.9</v>
      </c>
      <c r="N250" s="686">
        <f t="shared" si="8"/>
        <v>28215</v>
      </c>
    </row>
    <row r="251" spans="2:14" ht="17.100000000000001" hidden="1" customHeight="1">
      <c r="B251" s="554">
        <v>12</v>
      </c>
      <c r="C251" s="555" t="s">
        <v>4877</v>
      </c>
      <c r="D251" s="556"/>
      <c r="E251" s="556"/>
      <c r="F251" s="556"/>
      <c r="G251" s="569"/>
      <c r="H251" s="557" t="s">
        <v>2950</v>
      </c>
      <c r="I251" s="570">
        <f t="shared" si="7"/>
        <v>21951</v>
      </c>
      <c r="J251" s="554"/>
      <c r="L251" s="570">
        <v>24390</v>
      </c>
      <c r="M251" s="549">
        <v>0.9</v>
      </c>
      <c r="N251" s="686">
        <f t="shared" si="8"/>
        <v>21951</v>
      </c>
    </row>
    <row r="252" spans="2:14" ht="17.100000000000001" hidden="1" customHeight="1">
      <c r="B252" s="554">
        <v>13</v>
      </c>
      <c r="C252" s="555" t="s">
        <v>4878</v>
      </c>
      <c r="D252" s="556"/>
      <c r="E252" s="556"/>
      <c r="F252" s="556"/>
      <c r="G252" s="569"/>
      <c r="H252" s="557" t="s">
        <v>2950</v>
      </c>
      <c r="I252" s="570">
        <f t="shared" si="7"/>
        <v>36414</v>
      </c>
      <c r="J252" s="554"/>
      <c r="L252" s="570">
        <v>40460</v>
      </c>
      <c r="M252" s="549">
        <v>0.9</v>
      </c>
      <c r="N252" s="686">
        <f t="shared" si="8"/>
        <v>36414</v>
      </c>
    </row>
    <row r="253" spans="2:14" ht="17.100000000000001" hidden="1" customHeight="1">
      <c r="B253" s="554">
        <v>14</v>
      </c>
      <c r="C253" s="555" t="s">
        <v>4879</v>
      </c>
      <c r="D253" s="556"/>
      <c r="E253" s="556"/>
      <c r="F253" s="556"/>
      <c r="G253" s="569"/>
      <c r="H253" s="557" t="s">
        <v>3032</v>
      </c>
      <c r="I253" s="570">
        <f t="shared" si="7"/>
        <v>19080</v>
      </c>
      <c r="J253" s="554"/>
      <c r="L253" s="570">
        <v>21200</v>
      </c>
      <c r="M253" s="549">
        <v>0.9</v>
      </c>
      <c r="N253" s="686">
        <f t="shared" si="8"/>
        <v>19080</v>
      </c>
    </row>
    <row r="254" spans="2:14" ht="17.100000000000001" hidden="1" customHeight="1">
      <c r="B254" s="554">
        <v>15</v>
      </c>
      <c r="C254" s="586" t="s">
        <v>3034</v>
      </c>
      <c r="D254" s="587"/>
      <c r="E254" s="587"/>
      <c r="F254" s="587"/>
      <c r="G254" s="569"/>
      <c r="H254" s="557" t="s">
        <v>2647</v>
      </c>
      <c r="I254" s="570">
        <f t="shared" si="7"/>
        <v>243117</v>
      </c>
      <c r="J254" s="554"/>
      <c r="L254" s="570">
        <v>270130</v>
      </c>
      <c r="M254" s="549">
        <v>0.9</v>
      </c>
      <c r="N254" s="686">
        <f t="shared" si="8"/>
        <v>243117</v>
      </c>
    </row>
    <row r="255" spans="2:14" ht="17.100000000000001" hidden="1" customHeight="1">
      <c r="B255" s="554">
        <v>16</v>
      </c>
      <c r="C255" s="586" t="s">
        <v>3035</v>
      </c>
      <c r="D255" s="587"/>
      <c r="E255" s="587"/>
      <c r="F255" s="587"/>
      <c r="G255" s="569"/>
      <c r="H255" s="557" t="s">
        <v>2647</v>
      </c>
      <c r="I255" s="570">
        <f t="shared" si="7"/>
        <v>214200</v>
      </c>
      <c r="J255" s="554"/>
      <c r="L255" s="570">
        <v>238000</v>
      </c>
      <c r="M255" s="549">
        <v>0.9</v>
      </c>
      <c r="N255" s="686">
        <f t="shared" si="8"/>
        <v>214200</v>
      </c>
    </row>
    <row r="256" spans="2:14" ht="17.100000000000001" hidden="1" customHeight="1">
      <c r="B256" s="554">
        <v>17</v>
      </c>
      <c r="C256" s="586" t="s">
        <v>3036</v>
      </c>
      <c r="D256" s="587"/>
      <c r="E256" s="587"/>
      <c r="F256" s="587"/>
      <c r="G256" s="569"/>
      <c r="H256" s="557" t="s">
        <v>2647</v>
      </c>
      <c r="I256" s="570">
        <f t="shared" si="7"/>
        <v>257040</v>
      </c>
      <c r="J256" s="554"/>
      <c r="L256" s="570">
        <v>285600</v>
      </c>
      <c r="M256" s="549">
        <v>0.9</v>
      </c>
      <c r="N256" s="686">
        <f t="shared" si="8"/>
        <v>257040</v>
      </c>
    </row>
    <row r="257" spans="2:14" ht="17.100000000000001" hidden="1" customHeight="1">
      <c r="B257" s="554">
        <v>18</v>
      </c>
      <c r="C257" s="586" t="s">
        <v>3037</v>
      </c>
      <c r="D257" s="587"/>
      <c r="E257" s="587"/>
      <c r="F257" s="587"/>
      <c r="G257" s="569"/>
      <c r="H257" s="557" t="s">
        <v>2647</v>
      </c>
      <c r="I257" s="570">
        <f t="shared" si="7"/>
        <v>321300</v>
      </c>
      <c r="J257" s="554"/>
      <c r="L257" s="570">
        <v>357000</v>
      </c>
      <c r="M257" s="549">
        <v>0.9</v>
      </c>
      <c r="N257" s="686">
        <f t="shared" si="8"/>
        <v>321300</v>
      </c>
    </row>
    <row r="258" spans="2:14" ht="17.100000000000001" hidden="1" customHeight="1">
      <c r="B258" s="554">
        <v>19</v>
      </c>
      <c r="C258" s="555" t="s">
        <v>4880</v>
      </c>
      <c r="D258" s="556"/>
      <c r="E258" s="556"/>
      <c r="F258" s="556"/>
      <c r="G258" s="569"/>
      <c r="H258" s="557" t="s">
        <v>2950</v>
      </c>
      <c r="I258" s="570">
        <f t="shared" si="7"/>
        <v>27306</v>
      </c>
      <c r="J258" s="554"/>
      <c r="L258" s="570">
        <v>30340</v>
      </c>
      <c r="M258" s="549">
        <v>0.9</v>
      </c>
      <c r="N258" s="686">
        <f t="shared" si="8"/>
        <v>27306</v>
      </c>
    </row>
    <row r="259" spans="2:14" ht="17.100000000000001" hidden="1" customHeight="1">
      <c r="B259" s="554">
        <v>20</v>
      </c>
      <c r="C259" s="555" t="s">
        <v>3038</v>
      </c>
      <c r="D259" s="556"/>
      <c r="E259" s="556"/>
      <c r="F259" s="556"/>
      <c r="G259" s="569"/>
      <c r="H259" s="557" t="s">
        <v>2950</v>
      </c>
      <c r="I259" s="570">
        <f t="shared" si="7"/>
        <v>51408</v>
      </c>
      <c r="J259" s="554"/>
      <c r="L259" s="570">
        <v>57120</v>
      </c>
      <c r="M259" s="549">
        <v>0.9</v>
      </c>
      <c r="N259" s="686">
        <f t="shared" si="8"/>
        <v>51408</v>
      </c>
    </row>
    <row r="260" spans="2:14" ht="17.100000000000001" hidden="1" customHeight="1">
      <c r="B260" s="554">
        <v>21</v>
      </c>
      <c r="C260" s="555" t="s">
        <v>3039</v>
      </c>
      <c r="D260" s="556"/>
      <c r="E260" s="556"/>
      <c r="F260" s="556"/>
      <c r="G260" s="569"/>
      <c r="H260" s="557" t="s">
        <v>2950</v>
      </c>
      <c r="I260" s="570">
        <f t="shared" si="7"/>
        <v>69615</v>
      </c>
      <c r="J260" s="554"/>
      <c r="L260" s="570">
        <v>77350</v>
      </c>
      <c r="M260" s="549">
        <v>0.9</v>
      </c>
      <c r="N260" s="686">
        <f t="shared" si="8"/>
        <v>69615</v>
      </c>
    </row>
    <row r="261" spans="2:14" ht="17.100000000000001" hidden="1" customHeight="1">
      <c r="B261" s="554">
        <v>22</v>
      </c>
      <c r="C261" s="555" t="s">
        <v>3040</v>
      </c>
      <c r="D261" s="556"/>
      <c r="E261" s="556"/>
      <c r="F261" s="556"/>
      <c r="G261" s="569"/>
      <c r="H261" s="557" t="s">
        <v>3041</v>
      </c>
      <c r="I261" s="570">
        <f t="shared" si="7"/>
        <v>14346</v>
      </c>
      <c r="J261" s="554"/>
      <c r="L261" s="570">
        <v>15940</v>
      </c>
      <c r="M261" s="549">
        <v>0.9</v>
      </c>
      <c r="N261" s="686">
        <f t="shared" si="8"/>
        <v>14346</v>
      </c>
    </row>
    <row r="262" spans="2:14" ht="17.100000000000001" hidden="1" customHeight="1">
      <c r="B262" s="554">
        <v>23</v>
      </c>
      <c r="C262" s="555" t="s">
        <v>3040</v>
      </c>
      <c r="D262" s="556"/>
      <c r="E262" s="556"/>
      <c r="F262" s="556"/>
      <c r="G262" s="569"/>
      <c r="H262" s="557" t="s">
        <v>3025</v>
      </c>
      <c r="I262" s="570">
        <f t="shared" si="7"/>
        <v>98316</v>
      </c>
      <c r="J262" s="554"/>
      <c r="L262" s="570">
        <v>109240</v>
      </c>
      <c r="M262" s="549">
        <v>0.9</v>
      </c>
      <c r="N262" s="686">
        <f t="shared" si="8"/>
        <v>98316</v>
      </c>
    </row>
    <row r="263" spans="2:14" ht="17.100000000000001" hidden="1" customHeight="1">
      <c r="B263" s="554">
        <v>24</v>
      </c>
      <c r="C263" s="555" t="s">
        <v>3392</v>
      </c>
      <c r="D263" s="556"/>
      <c r="E263" s="556"/>
      <c r="F263" s="556"/>
      <c r="G263" s="569"/>
      <c r="H263" s="557" t="s">
        <v>2944</v>
      </c>
      <c r="I263" s="570">
        <f t="shared" si="7"/>
        <v>163053</v>
      </c>
      <c r="J263" s="554"/>
      <c r="L263" s="570">
        <v>181170</v>
      </c>
      <c r="M263" s="549">
        <v>0.9</v>
      </c>
      <c r="N263" s="686">
        <f t="shared" si="8"/>
        <v>163053</v>
      </c>
    </row>
    <row r="264" spans="2:14" ht="17.100000000000001" hidden="1" customHeight="1">
      <c r="B264" s="554">
        <v>1</v>
      </c>
      <c r="C264" s="555" t="s">
        <v>5267</v>
      </c>
      <c r="D264" s="556"/>
      <c r="E264" s="556"/>
      <c r="F264" s="568"/>
      <c r="G264" s="569"/>
      <c r="H264" s="557" t="s">
        <v>2647</v>
      </c>
      <c r="I264" s="570">
        <v>51060</v>
      </c>
      <c r="J264" s="554"/>
      <c r="L264" s="570">
        <v>23800</v>
      </c>
      <c r="M264" s="549">
        <v>0.9</v>
      </c>
      <c r="N264" s="686">
        <f t="shared" si="8"/>
        <v>21420</v>
      </c>
    </row>
    <row r="265" spans="2:14" ht="17.100000000000001" hidden="1" customHeight="1">
      <c r="B265" s="554">
        <v>26</v>
      </c>
      <c r="C265" s="555" t="s">
        <v>3393</v>
      </c>
      <c r="D265" s="556"/>
      <c r="E265" s="556"/>
      <c r="F265" s="568"/>
      <c r="G265" s="569"/>
      <c r="H265" s="557" t="s">
        <v>2647</v>
      </c>
      <c r="I265" s="570">
        <f t="shared" si="7"/>
        <v>278460</v>
      </c>
      <c r="J265" s="554"/>
      <c r="L265" s="570">
        <v>309400</v>
      </c>
      <c r="M265" s="549">
        <v>0.9</v>
      </c>
      <c r="N265" s="686">
        <f t="shared" si="8"/>
        <v>278460</v>
      </c>
    </row>
    <row r="266" spans="2:14" ht="17.100000000000001" hidden="1" customHeight="1">
      <c r="B266" s="554">
        <v>27</v>
      </c>
      <c r="C266" s="555" t="s">
        <v>3550</v>
      </c>
      <c r="D266" s="556"/>
      <c r="E266" s="556"/>
      <c r="F266" s="568"/>
      <c r="G266" s="569"/>
      <c r="H266" s="557" t="s">
        <v>2944</v>
      </c>
      <c r="I266" s="570">
        <f t="shared" si="7"/>
        <v>37485</v>
      </c>
      <c r="J266" s="554"/>
      <c r="L266" s="570">
        <v>41650</v>
      </c>
      <c r="M266" s="549">
        <v>0.9</v>
      </c>
      <c r="N266" s="686">
        <f t="shared" si="8"/>
        <v>37485</v>
      </c>
    </row>
    <row r="267" spans="2:14" ht="17.100000000000001" customHeight="1">
      <c r="B267" s="554">
        <v>1</v>
      </c>
      <c r="C267" s="2234" t="s">
        <v>5269</v>
      </c>
      <c r="D267" s="2235"/>
      <c r="E267" s="2235"/>
      <c r="F267" s="2235"/>
      <c r="G267" s="2236"/>
      <c r="H267" s="557" t="s">
        <v>2950</v>
      </c>
      <c r="I267" s="570">
        <v>208000</v>
      </c>
      <c r="J267" s="554"/>
      <c r="L267" s="570">
        <v>29270</v>
      </c>
      <c r="M267" s="549">
        <v>0.9</v>
      </c>
      <c r="N267" s="686">
        <f t="shared" si="8"/>
        <v>26343</v>
      </c>
    </row>
    <row r="268" spans="2:14" ht="17.100000000000001" hidden="1" customHeight="1">
      <c r="B268" s="554">
        <v>29</v>
      </c>
      <c r="C268" s="555" t="s">
        <v>3042</v>
      </c>
      <c r="D268" s="556"/>
      <c r="E268" s="556"/>
      <c r="F268" s="556"/>
      <c r="G268" s="569"/>
      <c r="H268" s="557" t="s">
        <v>2950</v>
      </c>
      <c r="I268" s="570">
        <f t="shared" si="7"/>
        <v>197064</v>
      </c>
      <c r="J268" s="554"/>
      <c r="L268" s="570">
        <v>218960</v>
      </c>
      <c r="M268" s="549">
        <v>0.9</v>
      </c>
      <c r="N268" s="686">
        <f t="shared" si="8"/>
        <v>197064</v>
      </c>
    </row>
    <row r="269" spans="2:14" ht="17.100000000000001" hidden="1" customHeight="1">
      <c r="B269" s="554">
        <v>30</v>
      </c>
      <c r="C269" s="555" t="s">
        <v>4881</v>
      </c>
      <c r="D269" s="556"/>
      <c r="E269" s="556"/>
      <c r="F269" s="568"/>
      <c r="G269" s="569"/>
      <c r="H269" s="557" t="s">
        <v>2950</v>
      </c>
      <c r="I269" s="570">
        <f t="shared" si="7"/>
        <v>79254</v>
      </c>
      <c r="J269" s="554"/>
      <c r="L269" s="570">
        <v>88060</v>
      </c>
      <c r="M269" s="549">
        <v>0.9</v>
      </c>
      <c r="N269" s="686">
        <f t="shared" si="8"/>
        <v>79254</v>
      </c>
    </row>
    <row r="270" spans="2:14" ht="17.100000000000001" hidden="1" customHeight="1">
      <c r="B270" s="554">
        <v>31</v>
      </c>
      <c r="C270" s="555" t="s">
        <v>3043</v>
      </c>
      <c r="D270" s="556"/>
      <c r="E270" s="556"/>
      <c r="F270" s="568"/>
      <c r="G270" s="569"/>
      <c r="H270" s="557" t="s">
        <v>2950</v>
      </c>
      <c r="I270" s="570">
        <f t="shared" si="7"/>
        <v>79254</v>
      </c>
      <c r="J270" s="554"/>
      <c r="L270" s="570">
        <v>88060</v>
      </c>
      <c r="M270" s="549">
        <v>0.9</v>
      </c>
      <c r="N270" s="686">
        <f t="shared" si="8"/>
        <v>79254</v>
      </c>
    </row>
    <row r="271" spans="2:14" ht="17.100000000000001" hidden="1" customHeight="1">
      <c r="B271" s="554">
        <v>32</v>
      </c>
      <c r="C271" s="555" t="s">
        <v>3044</v>
      </c>
      <c r="D271" s="556"/>
      <c r="E271" s="556"/>
      <c r="F271" s="568"/>
      <c r="G271" s="569"/>
      <c r="H271" s="557" t="s">
        <v>1423</v>
      </c>
      <c r="I271" s="570">
        <f t="shared" si="7"/>
        <v>1278</v>
      </c>
      <c r="J271" s="554"/>
      <c r="L271" s="570">
        <v>1420</v>
      </c>
      <c r="M271" s="549">
        <v>0.9</v>
      </c>
      <c r="N271" s="686">
        <f t="shared" si="8"/>
        <v>1278</v>
      </c>
    </row>
    <row r="272" spans="2:14" ht="17.100000000000001" hidden="1" customHeight="1">
      <c r="B272" s="554">
        <v>33</v>
      </c>
      <c r="C272" s="555" t="s">
        <v>3045</v>
      </c>
      <c r="D272" s="556"/>
      <c r="E272" s="556"/>
      <c r="F272" s="568"/>
      <c r="G272" s="569"/>
      <c r="H272" s="557" t="s">
        <v>1423</v>
      </c>
      <c r="I272" s="570">
        <f t="shared" si="7"/>
        <v>1278</v>
      </c>
      <c r="J272" s="554"/>
      <c r="L272" s="570">
        <v>1420</v>
      </c>
      <c r="M272" s="549">
        <v>0.9</v>
      </c>
      <c r="N272" s="686">
        <f t="shared" si="8"/>
        <v>1278</v>
      </c>
    </row>
    <row r="273" spans="2:14" ht="17.100000000000001" hidden="1" customHeight="1">
      <c r="B273" s="554">
        <v>34</v>
      </c>
      <c r="C273" s="555" t="s">
        <v>3046</v>
      </c>
      <c r="D273" s="568"/>
      <c r="E273" s="568"/>
      <c r="F273" s="568"/>
      <c r="G273" s="569"/>
      <c r="H273" s="557" t="s">
        <v>2647</v>
      </c>
      <c r="I273" s="570">
        <f t="shared" si="7"/>
        <v>48195</v>
      </c>
      <c r="J273" s="554"/>
      <c r="L273" s="570">
        <v>53550</v>
      </c>
      <c r="M273" s="549">
        <v>0.9</v>
      </c>
      <c r="N273" s="686">
        <f t="shared" si="8"/>
        <v>48195</v>
      </c>
    </row>
    <row r="274" spans="2:14" ht="17.100000000000001" hidden="1" customHeight="1">
      <c r="B274" s="554">
        <v>35</v>
      </c>
      <c r="C274" s="555" t="s">
        <v>3483</v>
      </c>
      <c r="D274" s="568"/>
      <c r="E274" s="568"/>
      <c r="F274" s="568"/>
      <c r="G274" s="569"/>
      <c r="H274" s="557" t="s">
        <v>1423</v>
      </c>
      <c r="I274" s="570">
        <f t="shared" si="7"/>
        <v>5355</v>
      </c>
      <c r="J274" s="554"/>
      <c r="L274" s="570">
        <v>5950</v>
      </c>
      <c r="M274" s="549">
        <v>0.9</v>
      </c>
      <c r="N274" s="686">
        <f t="shared" si="8"/>
        <v>5355</v>
      </c>
    </row>
    <row r="275" spans="2:14" ht="17.100000000000001" hidden="1" customHeight="1">
      <c r="B275" s="554">
        <v>36</v>
      </c>
      <c r="C275" s="555" t="s">
        <v>3837</v>
      </c>
      <c r="D275" s="568"/>
      <c r="E275" s="568"/>
      <c r="F275" s="568"/>
      <c r="G275" s="569"/>
      <c r="H275" s="557" t="s">
        <v>1423</v>
      </c>
      <c r="I275" s="570">
        <f t="shared" si="7"/>
        <v>261</v>
      </c>
      <c r="J275" s="554"/>
      <c r="L275" s="570">
        <v>290</v>
      </c>
      <c r="M275" s="549">
        <v>0.9</v>
      </c>
      <c r="N275" s="686">
        <f t="shared" si="8"/>
        <v>261</v>
      </c>
    </row>
    <row r="276" spans="2:14" ht="17.100000000000001" hidden="1" customHeight="1">
      <c r="B276" s="554"/>
      <c r="C276" s="555"/>
      <c r="D276" s="568"/>
      <c r="E276" s="568"/>
      <c r="F276" s="568"/>
      <c r="G276" s="569"/>
      <c r="H276" s="557"/>
      <c r="I276" s="570">
        <f t="shared" si="7"/>
        <v>0</v>
      </c>
      <c r="J276" s="554"/>
      <c r="L276" s="570"/>
      <c r="M276" s="549">
        <v>0.9</v>
      </c>
      <c r="N276" s="686">
        <f t="shared" si="8"/>
        <v>0</v>
      </c>
    </row>
    <row r="277" spans="2:14" ht="17.100000000000001" hidden="1" customHeight="1">
      <c r="B277" s="554">
        <v>3</v>
      </c>
      <c r="C277" s="555"/>
      <c r="D277" s="568"/>
      <c r="E277" s="568"/>
      <c r="F277" s="568"/>
      <c r="G277" s="569"/>
      <c r="H277" s="557" t="s">
        <v>2647</v>
      </c>
      <c r="I277" s="570">
        <v>21000</v>
      </c>
      <c r="J277" s="554"/>
      <c r="L277" s="570">
        <v>58900</v>
      </c>
      <c r="M277" s="549">
        <v>0.9</v>
      </c>
      <c r="N277" s="686">
        <f t="shared" si="8"/>
        <v>53010</v>
      </c>
    </row>
    <row r="278" spans="2:14" ht="17.100000000000001" hidden="1" customHeight="1">
      <c r="B278" s="554">
        <v>4</v>
      </c>
      <c r="C278" s="2234" t="s">
        <v>5261</v>
      </c>
      <c r="D278" s="2235"/>
      <c r="E278" s="2235"/>
      <c r="F278" s="2235"/>
      <c r="G278" s="569"/>
      <c r="H278" s="557" t="s">
        <v>2666</v>
      </c>
      <c r="I278" s="570">
        <v>37500</v>
      </c>
      <c r="J278" s="554"/>
      <c r="L278" s="570"/>
      <c r="N278" s="686"/>
    </row>
    <row r="279" spans="2:14" ht="17.100000000000001" customHeight="1">
      <c r="B279" s="571"/>
      <c r="C279" s="567" t="s">
        <v>3047</v>
      </c>
      <c r="D279" s="568"/>
      <c r="E279" s="568"/>
      <c r="F279" s="568"/>
      <c r="G279" s="569"/>
      <c r="H279" s="557"/>
      <c r="I279" s="570"/>
      <c r="J279" s="554"/>
      <c r="L279" s="570"/>
      <c r="N279" s="686"/>
    </row>
    <row r="280" spans="2:14" ht="17.100000000000001" hidden="1" customHeight="1">
      <c r="B280" s="554">
        <v>1</v>
      </c>
      <c r="C280" s="555" t="s">
        <v>3048</v>
      </c>
      <c r="D280" s="556"/>
      <c r="E280" s="556"/>
      <c r="F280" s="556"/>
      <c r="G280" s="569"/>
      <c r="H280" s="557" t="s">
        <v>3032</v>
      </c>
      <c r="I280" s="570">
        <f t="shared" si="7"/>
        <v>18018</v>
      </c>
      <c r="J280" s="554"/>
      <c r="L280" s="570">
        <v>20020</v>
      </c>
      <c r="M280" s="549">
        <v>0.9</v>
      </c>
      <c r="N280" s="686">
        <f t="shared" si="8"/>
        <v>18018</v>
      </c>
    </row>
    <row r="281" spans="2:14" ht="17.100000000000001" customHeight="1">
      <c r="B281" s="554">
        <v>1</v>
      </c>
      <c r="C281" s="555" t="s">
        <v>3049</v>
      </c>
      <c r="D281" s="556"/>
      <c r="E281" s="556"/>
      <c r="F281" s="556"/>
      <c r="G281" s="569"/>
      <c r="H281" s="557" t="s">
        <v>2950</v>
      </c>
      <c r="I281" s="570">
        <f t="shared" si="7"/>
        <v>77373</v>
      </c>
      <c r="J281" s="554"/>
      <c r="L281" s="570">
        <v>85970</v>
      </c>
      <c r="M281" s="549">
        <v>0.9</v>
      </c>
      <c r="N281" s="686">
        <f t="shared" si="8"/>
        <v>77373</v>
      </c>
    </row>
    <row r="282" spans="2:14" ht="17.100000000000001" hidden="1" customHeight="1">
      <c r="B282" s="554">
        <v>3</v>
      </c>
      <c r="C282" s="555" t="s">
        <v>3050</v>
      </c>
      <c r="D282" s="556"/>
      <c r="E282" s="556"/>
      <c r="F282" s="556"/>
      <c r="G282" s="569"/>
      <c r="H282" s="557" t="s">
        <v>2950</v>
      </c>
      <c r="I282" s="570">
        <f t="shared" si="7"/>
        <v>68274</v>
      </c>
      <c r="J282" s="554"/>
      <c r="L282" s="570">
        <v>75860</v>
      </c>
      <c r="M282" s="549">
        <v>0.9</v>
      </c>
      <c r="N282" s="686">
        <f t="shared" si="8"/>
        <v>68274</v>
      </c>
    </row>
    <row r="283" spans="2:14" ht="17.100000000000001" hidden="1" customHeight="1">
      <c r="B283" s="554">
        <v>4</v>
      </c>
      <c r="C283" s="555" t="s">
        <v>3051</v>
      </c>
      <c r="D283" s="556"/>
      <c r="E283" s="556"/>
      <c r="F283" s="556"/>
      <c r="G283" s="569"/>
      <c r="H283" s="557" t="s">
        <v>2950</v>
      </c>
      <c r="I283" s="570">
        <f t="shared" si="7"/>
        <v>104688</v>
      </c>
      <c r="J283" s="554"/>
      <c r="L283" s="570">
        <v>116320</v>
      </c>
      <c r="M283" s="549">
        <v>0.9</v>
      </c>
      <c r="N283" s="686">
        <f t="shared" si="8"/>
        <v>104688</v>
      </c>
    </row>
    <row r="284" spans="2:14" ht="17.100000000000001" customHeight="1">
      <c r="B284" s="554">
        <v>2</v>
      </c>
      <c r="C284" s="555" t="s">
        <v>4398</v>
      </c>
      <c r="D284" s="556"/>
      <c r="E284" s="556"/>
      <c r="F284" s="556"/>
      <c r="G284" s="569"/>
      <c r="H284" s="557" t="s">
        <v>2647</v>
      </c>
      <c r="I284" s="570">
        <f t="shared" si="7"/>
        <v>134946</v>
      </c>
      <c r="J284" s="554"/>
      <c r="L284" s="570">
        <v>149940</v>
      </c>
      <c r="M284" s="549">
        <v>0.9</v>
      </c>
      <c r="N284" s="686">
        <f t="shared" si="8"/>
        <v>134946</v>
      </c>
    </row>
    <row r="285" spans="2:14" ht="17.100000000000001" hidden="1" customHeight="1">
      <c r="B285" s="554">
        <v>6</v>
      </c>
      <c r="C285" s="555" t="s">
        <v>3052</v>
      </c>
      <c r="D285" s="556"/>
      <c r="E285" s="556"/>
      <c r="F285" s="556"/>
      <c r="G285" s="569"/>
      <c r="H285" s="557" t="s">
        <v>2944</v>
      </c>
      <c r="I285" s="570">
        <f t="shared" ref="I285:I349" si="9">N285</f>
        <v>13014</v>
      </c>
      <c r="J285" s="554"/>
      <c r="L285" s="570">
        <v>14460</v>
      </c>
      <c r="M285" s="549">
        <v>0.9</v>
      </c>
      <c r="N285" s="686">
        <f t="shared" ref="N285:N349" si="10">L285*M285</f>
        <v>13014</v>
      </c>
    </row>
    <row r="286" spans="2:14" ht="17.100000000000001" hidden="1" customHeight="1">
      <c r="B286" s="554">
        <v>7</v>
      </c>
      <c r="C286" s="555" t="s">
        <v>3053</v>
      </c>
      <c r="D286" s="556"/>
      <c r="E286" s="556"/>
      <c r="F286" s="556"/>
      <c r="G286" s="569"/>
      <c r="H286" s="557" t="s">
        <v>2944</v>
      </c>
      <c r="I286" s="570">
        <f t="shared" si="9"/>
        <v>10917</v>
      </c>
      <c r="J286" s="554"/>
      <c r="L286" s="570">
        <v>12130</v>
      </c>
      <c r="M286" s="549">
        <v>0.9</v>
      </c>
      <c r="N286" s="686">
        <f t="shared" si="10"/>
        <v>10917</v>
      </c>
    </row>
    <row r="287" spans="2:14" ht="17.100000000000001" hidden="1" customHeight="1">
      <c r="B287" s="554">
        <v>8</v>
      </c>
      <c r="C287" s="555" t="s">
        <v>3054</v>
      </c>
      <c r="D287" s="556"/>
      <c r="E287" s="556"/>
      <c r="F287" s="556"/>
      <c r="G287" s="569"/>
      <c r="H287" s="557" t="s">
        <v>2944</v>
      </c>
      <c r="I287" s="570">
        <f t="shared" si="9"/>
        <v>7506</v>
      </c>
      <c r="J287" s="554"/>
      <c r="L287" s="570">
        <v>8340</v>
      </c>
      <c r="M287" s="549">
        <v>0.9</v>
      </c>
      <c r="N287" s="686">
        <f t="shared" si="10"/>
        <v>7506</v>
      </c>
    </row>
    <row r="288" spans="2:14" ht="17.100000000000001" hidden="1" customHeight="1">
      <c r="B288" s="554">
        <v>9</v>
      </c>
      <c r="C288" s="555" t="s">
        <v>3055</v>
      </c>
      <c r="D288" s="556"/>
      <c r="E288" s="556"/>
      <c r="F288" s="556"/>
      <c r="G288" s="569"/>
      <c r="H288" s="557" t="s">
        <v>2944</v>
      </c>
      <c r="I288" s="570">
        <f t="shared" si="9"/>
        <v>5454</v>
      </c>
      <c r="J288" s="554"/>
      <c r="L288" s="570">
        <v>6060</v>
      </c>
      <c r="M288" s="549">
        <v>0.9</v>
      </c>
      <c r="N288" s="686">
        <f t="shared" si="10"/>
        <v>5454</v>
      </c>
    </row>
    <row r="289" spans="2:14" ht="17.100000000000001" customHeight="1">
      <c r="B289" s="554">
        <v>3</v>
      </c>
      <c r="C289" s="555" t="s">
        <v>4397</v>
      </c>
      <c r="D289" s="556"/>
      <c r="E289" s="556"/>
      <c r="F289" s="556"/>
      <c r="G289" s="569"/>
      <c r="H289" s="557" t="s">
        <v>2944</v>
      </c>
      <c r="I289" s="570">
        <f t="shared" si="9"/>
        <v>18738</v>
      </c>
      <c r="J289" s="554"/>
      <c r="L289" s="570">
        <v>20820</v>
      </c>
      <c r="M289" s="549">
        <v>0.9</v>
      </c>
      <c r="N289" s="686">
        <f t="shared" si="10"/>
        <v>18738</v>
      </c>
    </row>
    <row r="290" spans="2:14" ht="17.100000000000001" hidden="1" customHeight="1">
      <c r="B290" s="554">
        <v>3</v>
      </c>
      <c r="C290" s="555" t="s">
        <v>4904</v>
      </c>
      <c r="D290" s="556"/>
      <c r="E290" s="556"/>
      <c r="F290" s="556"/>
      <c r="G290" s="569"/>
      <c r="H290" s="557" t="s">
        <v>2647</v>
      </c>
      <c r="I290" s="570">
        <f t="shared" si="9"/>
        <v>88425</v>
      </c>
      <c r="J290" s="554"/>
      <c r="L290" s="570">
        <v>98250</v>
      </c>
      <c r="M290" s="549">
        <v>0.9</v>
      </c>
      <c r="N290" s="686">
        <f t="shared" si="10"/>
        <v>88425</v>
      </c>
    </row>
    <row r="291" spans="2:14" ht="17.100000000000001" customHeight="1">
      <c r="B291" s="554">
        <v>4</v>
      </c>
      <c r="C291" s="2234" t="str">
        <f>Analisa!C5133</f>
        <v>Lisplank GRC SHERA</v>
      </c>
      <c r="D291" s="2235"/>
      <c r="E291" s="2235"/>
      <c r="F291" s="2235"/>
      <c r="G291" s="2236"/>
      <c r="H291" s="557" t="s">
        <v>2666</v>
      </c>
      <c r="I291" s="570">
        <v>65000</v>
      </c>
      <c r="J291" s="554"/>
      <c r="L291" s="570"/>
      <c r="N291" s="686"/>
    </row>
    <row r="292" spans="2:14" ht="17.100000000000001" customHeight="1">
      <c r="B292" s="554"/>
      <c r="C292" s="567" t="s">
        <v>3056</v>
      </c>
      <c r="D292" s="568"/>
      <c r="E292" s="568"/>
      <c r="F292" s="556"/>
      <c r="G292" s="569"/>
      <c r="H292" s="557"/>
      <c r="I292" s="570"/>
      <c r="J292" s="554"/>
      <c r="L292" s="570"/>
      <c r="N292" s="686"/>
    </row>
    <row r="293" spans="2:14" ht="17.100000000000001" customHeight="1">
      <c r="B293" s="554">
        <v>1</v>
      </c>
      <c r="C293" s="555" t="s">
        <v>3057</v>
      </c>
      <c r="D293" s="556"/>
      <c r="E293" s="556"/>
      <c r="F293" s="556"/>
      <c r="G293" s="569"/>
      <c r="H293" s="557" t="s">
        <v>2666</v>
      </c>
      <c r="I293" s="570">
        <f t="shared" si="9"/>
        <v>26775</v>
      </c>
      <c r="J293" s="554"/>
      <c r="L293" s="570">
        <v>29750</v>
      </c>
      <c r="M293" s="549">
        <v>0.9</v>
      </c>
      <c r="N293" s="686">
        <f t="shared" si="10"/>
        <v>26775</v>
      </c>
    </row>
    <row r="294" spans="2:14" ht="17.100000000000001" customHeight="1">
      <c r="B294" s="554">
        <v>2</v>
      </c>
      <c r="C294" s="555" t="s">
        <v>3058</v>
      </c>
      <c r="D294" s="556"/>
      <c r="E294" s="556"/>
      <c r="F294" s="556"/>
      <c r="G294" s="569"/>
      <c r="H294" s="557" t="s">
        <v>2666</v>
      </c>
      <c r="I294" s="570">
        <f t="shared" si="9"/>
        <v>19809</v>
      </c>
      <c r="J294" s="554"/>
      <c r="L294" s="570">
        <v>22010</v>
      </c>
      <c r="M294" s="549">
        <v>0.9</v>
      </c>
      <c r="N294" s="686">
        <f t="shared" si="10"/>
        <v>19809</v>
      </c>
    </row>
    <row r="295" spans="2:14" ht="17.100000000000001" customHeight="1">
      <c r="B295" s="554">
        <v>3</v>
      </c>
      <c r="C295" s="555" t="s">
        <v>3059</v>
      </c>
      <c r="D295" s="556"/>
      <c r="E295" s="556"/>
      <c r="F295" s="556"/>
      <c r="G295" s="569"/>
      <c r="H295" s="557" t="s">
        <v>2666</v>
      </c>
      <c r="I295" s="570">
        <f t="shared" si="9"/>
        <v>36414</v>
      </c>
      <c r="J295" s="554"/>
      <c r="L295" s="570">
        <v>40460</v>
      </c>
      <c r="M295" s="549">
        <v>0.9</v>
      </c>
      <c r="N295" s="686">
        <f t="shared" si="10"/>
        <v>36414</v>
      </c>
    </row>
    <row r="296" spans="2:14" ht="17.100000000000001" customHeight="1">
      <c r="B296" s="554">
        <v>4</v>
      </c>
      <c r="C296" s="555" t="s">
        <v>3060</v>
      </c>
      <c r="D296" s="556"/>
      <c r="E296" s="556"/>
      <c r="F296" s="556"/>
      <c r="G296" s="569"/>
      <c r="H296" s="557" t="s">
        <v>1423</v>
      </c>
      <c r="I296" s="570">
        <f t="shared" si="9"/>
        <v>6795</v>
      </c>
      <c r="J296" s="554"/>
      <c r="L296" s="570">
        <v>7550</v>
      </c>
      <c r="M296" s="549">
        <v>0.9</v>
      </c>
      <c r="N296" s="686">
        <f t="shared" si="10"/>
        <v>6795</v>
      </c>
    </row>
    <row r="297" spans="2:14" ht="17.100000000000001" customHeight="1">
      <c r="B297" s="554">
        <v>5</v>
      </c>
      <c r="C297" s="555" t="s">
        <v>3061</v>
      </c>
      <c r="D297" s="556"/>
      <c r="E297" s="556"/>
      <c r="F297" s="556"/>
      <c r="G297" s="569"/>
      <c r="H297" s="557" t="s">
        <v>1423</v>
      </c>
      <c r="I297" s="570">
        <f t="shared" si="9"/>
        <v>7704</v>
      </c>
      <c r="J297" s="554"/>
      <c r="L297" s="570">
        <v>8560</v>
      </c>
      <c r="M297" s="549">
        <v>0.9</v>
      </c>
      <c r="N297" s="686">
        <f t="shared" si="10"/>
        <v>7704</v>
      </c>
    </row>
    <row r="298" spans="2:14" ht="17.100000000000001" customHeight="1">
      <c r="B298" s="554">
        <v>6</v>
      </c>
      <c r="C298" s="555" t="s">
        <v>3062</v>
      </c>
      <c r="D298" s="556"/>
      <c r="E298" s="556"/>
      <c r="F298" s="556"/>
      <c r="G298" s="569"/>
      <c r="H298" s="557" t="s">
        <v>1423</v>
      </c>
      <c r="I298" s="570">
        <f t="shared" si="9"/>
        <v>2673</v>
      </c>
      <c r="J298" s="554"/>
      <c r="L298" s="570">
        <v>2970</v>
      </c>
      <c r="M298" s="549">
        <v>0.9</v>
      </c>
      <c r="N298" s="686">
        <f t="shared" si="10"/>
        <v>2673</v>
      </c>
    </row>
    <row r="299" spans="2:14" ht="17.100000000000001" customHeight="1">
      <c r="B299" s="554">
        <v>7</v>
      </c>
      <c r="C299" s="555" t="s">
        <v>3063</v>
      </c>
      <c r="D299" s="556"/>
      <c r="E299" s="556"/>
      <c r="F299" s="556"/>
      <c r="G299" s="569"/>
      <c r="H299" s="557" t="s">
        <v>1423</v>
      </c>
      <c r="I299" s="570">
        <f t="shared" si="9"/>
        <v>3105</v>
      </c>
      <c r="J299" s="554"/>
      <c r="L299" s="570">
        <v>3450</v>
      </c>
      <c r="M299" s="549">
        <v>0.9</v>
      </c>
      <c r="N299" s="686">
        <f t="shared" si="10"/>
        <v>3105</v>
      </c>
    </row>
    <row r="300" spans="2:14" ht="17.100000000000001" customHeight="1">
      <c r="B300" s="554">
        <v>8</v>
      </c>
      <c r="C300" s="555" t="s">
        <v>3064</v>
      </c>
      <c r="D300" s="556"/>
      <c r="E300" s="556"/>
      <c r="F300" s="556"/>
      <c r="G300" s="569"/>
      <c r="H300" s="557" t="s">
        <v>1423</v>
      </c>
      <c r="I300" s="570">
        <f t="shared" si="9"/>
        <v>180</v>
      </c>
      <c r="J300" s="554"/>
      <c r="L300" s="570">
        <v>200</v>
      </c>
      <c r="M300" s="549">
        <v>0.9</v>
      </c>
      <c r="N300" s="686">
        <f t="shared" si="10"/>
        <v>180</v>
      </c>
    </row>
    <row r="301" spans="2:14" ht="17.100000000000001" customHeight="1">
      <c r="B301" s="554">
        <v>9</v>
      </c>
      <c r="C301" s="555" t="s">
        <v>3065</v>
      </c>
      <c r="D301" s="556"/>
      <c r="E301" s="556"/>
      <c r="F301" s="556"/>
      <c r="G301" s="569"/>
      <c r="H301" s="557" t="s">
        <v>3025</v>
      </c>
      <c r="I301" s="570">
        <f t="shared" si="9"/>
        <v>32130</v>
      </c>
      <c r="J301" s="554"/>
      <c r="L301" s="570">
        <v>35700</v>
      </c>
      <c r="M301" s="549">
        <v>0.9</v>
      </c>
      <c r="N301" s="686">
        <f t="shared" si="10"/>
        <v>32130</v>
      </c>
    </row>
    <row r="302" spans="2:14" ht="17.100000000000001" hidden="1" customHeight="1">
      <c r="B302" s="554">
        <v>10</v>
      </c>
      <c r="C302" s="2234" t="s">
        <v>3363</v>
      </c>
      <c r="D302" s="2235"/>
      <c r="E302" s="2235"/>
      <c r="F302" s="2235"/>
      <c r="G302" s="569"/>
      <c r="H302" s="557" t="s">
        <v>3025</v>
      </c>
      <c r="I302" s="570">
        <f t="shared" si="9"/>
        <v>8028</v>
      </c>
      <c r="J302" s="554"/>
      <c r="L302" s="570">
        <v>8920</v>
      </c>
      <c r="M302" s="549">
        <v>0.9</v>
      </c>
      <c r="N302" s="686">
        <f t="shared" si="10"/>
        <v>8028</v>
      </c>
    </row>
    <row r="303" spans="2:14" ht="17.100000000000001" hidden="1" customHeight="1">
      <c r="B303" s="554">
        <v>11</v>
      </c>
      <c r="C303" s="555" t="s">
        <v>3364</v>
      </c>
      <c r="D303" s="556"/>
      <c r="E303" s="556"/>
      <c r="F303" s="556"/>
      <c r="G303" s="569"/>
      <c r="H303" s="557" t="s">
        <v>3025</v>
      </c>
      <c r="I303" s="570">
        <f t="shared" si="9"/>
        <v>4014</v>
      </c>
      <c r="J303" s="554"/>
      <c r="L303" s="570">
        <v>4460</v>
      </c>
      <c r="M303" s="549">
        <v>0.9</v>
      </c>
      <c r="N303" s="686">
        <f t="shared" si="10"/>
        <v>4014</v>
      </c>
    </row>
    <row r="304" spans="2:14" ht="17.100000000000001" hidden="1" customHeight="1">
      <c r="B304" s="554">
        <v>12</v>
      </c>
      <c r="C304" s="588" t="s">
        <v>3066</v>
      </c>
      <c r="D304" s="589"/>
      <c r="E304" s="556"/>
      <c r="F304" s="556"/>
      <c r="G304" s="569"/>
      <c r="H304" s="582" t="s">
        <v>888</v>
      </c>
      <c r="I304" s="570">
        <f t="shared" si="9"/>
        <v>109242</v>
      </c>
      <c r="J304" s="554"/>
      <c r="L304" s="570">
        <v>121380</v>
      </c>
      <c r="M304" s="549">
        <v>0.9</v>
      </c>
      <c r="N304" s="686">
        <f t="shared" si="10"/>
        <v>109242</v>
      </c>
    </row>
    <row r="305" spans="2:14" ht="17.100000000000001" hidden="1" customHeight="1">
      <c r="B305" s="554"/>
      <c r="C305" s="588"/>
      <c r="D305" s="589"/>
      <c r="E305" s="556"/>
      <c r="F305" s="556"/>
      <c r="G305" s="569"/>
      <c r="H305" s="582"/>
      <c r="I305" s="570">
        <f t="shared" si="9"/>
        <v>0</v>
      </c>
      <c r="J305" s="554"/>
      <c r="L305" s="570"/>
      <c r="M305" s="549">
        <v>0.9</v>
      </c>
      <c r="N305" s="686">
        <f t="shared" si="10"/>
        <v>0</v>
      </c>
    </row>
    <row r="306" spans="2:14" ht="17.100000000000001" customHeight="1">
      <c r="B306" s="571"/>
      <c r="C306" s="567" t="s">
        <v>3067</v>
      </c>
      <c r="D306" s="568"/>
      <c r="E306" s="568"/>
      <c r="F306" s="568"/>
      <c r="G306" s="569"/>
      <c r="H306" s="557"/>
      <c r="I306" s="570"/>
      <c r="J306" s="554"/>
      <c r="L306" s="570"/>
      <c r="N306" s="686"/>
    </row>
    <row r="307" spans="2:14" ht="17.100000000000001" hidden="1" customHeight="1">
      <c r="B307" s="554">
        <v>1</v>
      </c>
      <c r="C307" s="555" t="s">
        <v>3068</v>
      </c>
      <c r="D307" s="556"/>
      <c r="E307" s="556"/>
      <c r="F307" s="556"/>
      <c r="G307" s="569"/>
      <c r="H307" s="557" t="s">
        <v>773</v>
      </c>
      <c r="I307" s="570">
        <f t="shared" si="9"/>
        <v>74970</v>
      </c>
      <c r="J307" s="554"/>
      <c r="L307" s="570">
        <v>83300</v>
      </c>
      <c r="M307" s="549">
        <v>0.9</v>
      </c>
      <c r="N307" s="686">
        <f t="shared" si="10"/>
        <v>74970</v>
      </c>
    </row>
    <row r="308" spans="2:14" ht="17.100000000000001" customHeight="1">
      <c r="B308" s="554">
        <v>1</v>
      </c>
      <c r="C308" s="555" t="s">
        <v>5231</v>
      </c>
      <c r="D308" s="556"/>
      <c r="E308" s="556"/>
      <c r="F308" s="556"/>
      <c r="G308" s="569"/>
      <c r="H308" s="557" t="s">
        <v>773</v>
      </c>
      <c r="I308" s="570">
        <v>77135</v>
      </c>
      <c r="J308" s="554"/>
      <c r="L308" s="570">
        <v>83300</v>
      </c>
      <c r="M308" s="549">
        <v>0.9</v>
      </c>
      <c r="N308" s="686">
        <f t="shared" si="10"/>
        <v>74970</v>
      </c>
    </row>
    <row r="309" spans="2:14" ht="17.100000000000001" hidden="1" customHeight="1">
      <c r="B309" s="554">
        <v>3</v>
      </c>
      <c r="C309" s="555" t="s">
        <v>3069</v>
      </c>
      <c r="D309" s="556"/>
      <c r="E309" s="556"/>
      <c r="F309" s="556"/>
      <c r="G309" s="569"/>
      <c r="H309" s="557" t="s">
        <v>773</v>
      </c>
      <c r="I309" s="570">
        <f t="shared" si="9"/>
        <v>26775</v>
      </c>
      <c r="J309" s="554"/>
      <c r="L309" s="570">
        <v>29750</v>
      </c>
      <c r="M309" s="549">
        <v>0.9</v>
      </c>
      <c r="N309" s="686">
        <f t="shared" si="10"/>
        <v>26775</v>
      </c>
    </row>
    <row r="310" spans="2:14" ht="17.100000000000001" customHeight="1">
      <c r="B310" s="554">
        <v>2</v>
      </c>
      <c r="C310" s="555" t="s">
        <v>5225</v>
      </c>
      <c r="D310" s="556"/>
      <c r="E310" s="556"/>
      <c r="F310" s="556"/>
      <c r="G310" s="569"/>
      <c r="H310" s="557" t="s">
        <v>773</v>
      </c>
      <c r="I310" s="570">
        <v>65500</v>
      </c>
      <c r="J310" s="554"/>
      <c r="L310" s="570">
        <v>48725</v>
      </c>
      <c r="M310" s="549">
        <v>0.9</v>
      </c>
      <c r="N310" s="686">
        <f t="shared" si="10"/>
        <v>43852.5</v>
      </c>
    </row>
    <row r="311" spans="2:14" ht="17.100000000000001" customHeight="1">
      <c r="B311" s="554">
        <v>3</v>
      </c>
      <c r="C311" s="555" t="s">
        <v>5217</v>
      </c>
      <c r="D311" s="556"/>
      <c r="E311" s="556"/>
      <c r="F311" s="556"/>
      <c r="G311" s="569"/>
      <c r="H311" s="557" t="s">
        <v>773</v>
      </c>
      <c r="I311" s="570">
        <v>106093</v>
      </c>
      <c r="J311" s="554"/>
      <c r="L311" s="570">
        <v>107100</v>
      </c>
      <c r="M311" s="549">
        <v>0.9</v>
      </c>
      <c r="N311" s="686">
        <f t="shared" si="10"/>
        <v>96390</v>
      </c>
    </row>
    <row r="312" spans="2:14" ht="17.100000000000001" hidden="1" customHeight="1">
      <c r="B312" s="554">
        <v>4</v>
      </c>
      <c r="C312" s="555" t="s">
        <v>5162</v>
      </c>
      <c r="D312" s="556"/>
      <c r="E312" s="556"/>
      <c r="F312" s="556"/>
      <c r="G312" s="569"/>
      <c r="H312" s="557" t="s">
        <v>773</v>
      </c>
      <c r="I312" s="570">
        <f t="shared" si="9"/>
        <v>32850</v>
      </c>
      <c r="J312" s="580"/>
      <c r="L312" s="570">
        <v>36500</v>
      </c>
      <c r="M312" s="549">
        <v>0.9</v>
      </c>
      <c r="N312" s="686">
        <f t="shared" si="10"/>
        <v>32850</v>
      </c>
    </row>
    <row r="313" spans="2:14" ht="17.100000000000001" hidden="1" customHeight="1">
      <c r="B313" s="554">
        <v>7</v>
      </c>
      <c r="C313" s="555" t="s">
        <v>3070</v>
      </c>
      <c r="D313" s="556"/>
      <c r="E313" s="556"/>
      <c r="F313" s="556"/>
      <c r="G313" s="569"/>
      <c r="H313" s="557" t="s">
        <v>773</v>
      </c>
      <c r="I313" s="570">
        <f t="shared" si="9"/>
        <v>65331</v>
      </c>
      <c r="J313" s="554"/>
      <c r="L313" s="570">
        <v>72590</v>
      </c>
      <c r="M313" s="549">
        <v>0.9</v>
      </c>
      <c r="N313" s="686">
        <f t="shared" si="10"/>
        <v>65331</v>
      </c>
    </row>
    <row r="314" spans="2:14" ht="17.100000000000001" customHeight="1">
      <c r="B314" s="554">
        <v>4</v>
      </c>
      <c r="C314" s="2234" t="s">
        <v>5235</v>
      </c>
      <c r="D314" s="2235"/>
      <c r="E314" s="2235"/>
      <c r="F314" s="2235"/>
      <c r="G314" s="2236"/>
      <c r="H314" s="557" t="s">
        <v>773</v>
      </c>
      <c r="I314" s="570">
        <v>37500</v>
      </c>
      <c r="J314" s="554"/>
      <c r="L314" s="570"/>
      <c r="N314" s="686"/>
    </row>
    <row r="315" spans="2:14" ht="17.100000000000001" customHeight="1">
      <c r="B315" s="554">
        <v>5</v>
      </c>
      <c r="C315" s="555" t="s">
        <v>5232</v>
      </c>
      <c r="D315" s="556"/>
      <c r="E315" s="556"/>
      <c r="F315" s="556"/>
      <c r="G315" s="569"/>
      <c r="H315" s="557" t="s">
        <v>773</v>
      </c>
      <c r="I315" s="570">
        <v>85293</v>
      </c>
      <c r="J315" s="554"/>
      <c r="L315" s="570">
        <v>44030</v>
      </c>
      <c r="M315" s="549">
        <v>0.9</v>
      </c>
      <c r="N315" s="686">
        <f t="shared" si="10"/>
        <v>39627</v>
      </c>
    </row>
    <row r="316" spans="2:14" ht="17.100000000000001" hidden="1" customHeight="1">
      <c r="B316" s="554">
        <v>9</v>
      </c>
      <c r="C316" s="555" t="s">
        <v>3071</v>
      </c>
      <c r="D316" s="556"/>
      <c r="E316" s="556"/>
      <c r="F316" s="556"/>
      <c r="G316" s="569"/>
      <c r="H316" s="557" t="s">
        <v>773</v>
      </c>
      <c r="I316" s="570">
        <f t="shared" si="9"/>
        <v>39627</v>
      </c>
      <c r="J316" s="554"/>
      <c r="L316" s="570">
        <v>44030</v>
      </c>
      <c r="M316" s="549">
        <v>0.9</v>
      </c>
      <c r="N316" s="686">
        <f t="shared" si="10"/>
        <v>39627</v>
      </c>
    </row>
    <row r="317" spans="2:14" ht="17.100000000000001" customHeight="1">
      <c r="B317" s="554">
        <v>6</v>
      </c>
      <c r="C317" s="555" t="s">
        <v>5227</v>
      </c>
      <c r="D317" s="556"/>
      <c r="E317" s="556"/>
      <c r="F317" s="556"/>
      <c r="G317" s="569"/>
      <c r="H317" s="557" t="s">
        <v>773</v>
      </c>
      <c r="I317" s="570">
        <v>55203</v>
      </c>
      <c r="J317" s="554"/>
      <c r="L317" s="570">
        <v>40688</v>
      </c>
      <c r="M317" s="549">
        <v>0.9</v>
      </c>
      <c r="N317" s="686">
        <f t="shared" si="10"/>
        <v>36619.200000000004</v>
      </c>
    </row>
    <row r="318" spans="2:14" ht="17.100000000000001" hidden="1" customHeight="1">
      <c r="B318" s="554">
        <v>11</v>
      </c>
      <c r="C318" s="555" t="s">
        <v>1378</v>
      </c>
      <c r="D318" s="556"/>
      <c r="E318" s="556"/>
      <c r="F318" s="556"/>
      <c r="G318" s="569"/>
      <c r="H318" s="557" t="s">
        <v>773</v>
      </c>
      <c r="I318" s="570">
        <f t="shared" si="9"/>
        <v>54621</v>
      </c>
      <c r="J318" s="554"/>
      <c r="L318" s="570">
        <v>60690</v>
      </c>
      <c r="M318" s="549">
        <v>0.9</v>
      </c>
      <c r="N318" s="686">
        <f t="shared" si="10"/>
        <v>54621</v>
      </c>
    </row>
    <row r="319" spans="2:14" ht="17.100000000000001" hidden="1" customHeight="1">
      <c r="B319" s="554">
        <v>12</v>
      </c>
      <c r="C319" s="555" t="s">
        <v>3469</v>
      </c>
      <c r="D319" s="556"/>
      <c r="E319" s="556"/>
      <c r="F319" s="556"/>
      <c r="G319" s="569"/>
      <c r="H319" s="557" t="s">
        <v>773</v>
      </c>
      <c r="I319" s="570">
        <f t="shared" si="9"/>
        <v>54621</v>
      </c>
      <c r="J319" s="554"/>
      <c r="L319" s="570">
        <v>60690</v>
      </c>
      <c r="M319" s="549">
        <v>0.9</v>
      </c>
      <c r="N319" s="686">
        <f t="shared" si="10"/>
        <v>54621</v>
      </c>
    </row>
    <row r="320" spans="2:14" ht="17.100000000000001" hidden="1" customHeight="1">
      <c r="B320" s="554">
        <v>12</v>
      </c>
      <c r="C320" s="555" t="s">
        <v>1384</v>
      </c>
      <c r="D320" s="556"/>
      <c r="E320" s="556"/>
      <c r="F320" s="556"/>
      <c r="G320" s="569"/>
      <c r="H320" s="557" t="s">
        <v>690</v>
      </c>
      <c r="I320" s="570">
        <f t="shared" si="9"/>
        <v>17667</v>
      </c>
      <c r="J320" s="554"/>
      <c r="L320" s="570">
        <v>19630</v>
      </c>
      <c r="M320" s="549">
        <v>0.9</v>
      </c>
      <c r="N320" s="686">
        <f t="shared" si="10"/>
        <v>17667</v>
      </c>
    </row>
    <row r="321" spans="2:14" ht="17.100000000000001" hidden="1" customHeight="1">
      <c r="B321" s="554">
        <v>14</v>
      </c>
      <c r="C321" s="555" t="s">
        <v>3072</v>
      </c>
      <c r="D321" s="556"/>
      <c r="E321" s="556"/>
      <c r="F321" s="556"/>
      <c r="G321" s="569"/>
      <c r="H321" s="557" t="s">
        <v>773</v>
      </c>
      <c r="I321" s="570">
        <f t="shared" si="9"/>
        <v>21420</v>
      </c>
      <c r="J321" s="554"/>
      <c r="L321" s="570">
        <v>23800</v>
      </c>
      <c r="M321" s="549">
        <v>0.9</v>
      </c>
      <c r="N321" s="686">
        <f t="shared" si="10"/>
        <v>21420</v>
      </c>
    </row>
    <row r="322" spans="2:14" ht="17.100000000000001" customHeight="1">
      <c r="B322" s="554">
        <v>7</v>
      </c>
      <c r="C322" s="555" t="s">
        <v>5226</v>
      </c>
      <c r="D322" s="556"/>
      <c r="E322" s="556"/>
      <c r="F322" s="556"/>
      <c r="G322" s="569"/>
      <c r="H322" s="557" t="s">
        <v>773</v>
      </c>
      <c r="I322" s="570">
        <v>55960</v>
      </c>
      <c r="J322" s="554"/>
      <c r="L322" s="570">
        <v>8920</v>
      </c>
      <c r="M322" s="549">
        <v>0.9</v>
      </c>
      <c r="N322" s="686">
        <f t="shared" si="10"/>
        <v>8028</v>
      </c>
    </row>
    <row r="323" spans="2:14" ht="17.100000000000001" hidden="1" customHeight="1">
      <c r="B323" s="554">
        <v>14</v>
      </c>
      <c r="C323" s="555" t="s">
        <v>3073</v>
      </c>
      <c r="D323" s="556"/>
      <c r="E323" s="556"/>
      <c r="F323" s="556"/>
      <c r="G323" s="569"/>
      <c r="H323" s="557" t="s">
        <v>773</v>
      </c>
      <c r="I323" s="570">
        <f t="shared" si="9"/>
        <v>39627</v>
      </c>
      <c r="J323" s="554"/>
      <c r="L323" s="570">
        <v>44030</v>
      </c>
      <c r="M323" s="549">
        <v>0.9</v>
      </c>
      <c r="N323" s="686">
        <f t="shared" si="10"/>
        <v>39627</v>
      </c>
    </row>
    <row r="324" spans="2:14" ht="17.100000000000001" hidden="1" customHeight="1">
      <c r="B324" s="554">
        <v>15</v>
      </c>
      <c r="C324" s="555" t="s">
        <v>3074</v>
      </c>
      <c r="D324" s="556"/>
      <c r="E324" s="556"/>
      <c r="F324" s="556"/>
      <c r="G324" s="569"/>
      <c r="H324" s="557" t="s">
        <v>773</v>
      </c>
      <c r="I324" s="570">
        <f t="shared" si="9"/>
        <v>19278</v>
      </c>
      <c r="J324" s="554"/>
      <c r="L324" s="570">
        <v>21420</v>
      </c>
      <c r="M324" s="549">
        <v>0.9</v>
      </c>
      <c r="N324" s="686">
        <f t="shared" si="10"/>
        <v>19278</v>
      </c>
    </row>
    <row r="325" spans="2:14" ht="17.100000000000001" hidden="1" customHeight="1">
      <c r="B325" s="554">
        <v>16</v>
      </c>
      <c r="C325" s="555" t="s">
        <v>3075</v>
      </c>
      <c r="D325" s="556"/>
      <c r="E325" s="556"/>
      <c r="F325" s="556"/>
      <c r="G325" s="569"/>
      <c r="H325" s="557" t="s">
        <v>2916</v>
      </c>
      <c r="I325" s="570">
        <f t="shared" si="9"/>
        <v>8991</v>
      </c>
      <c r="J325" s="554"/>
      <c r="L325" s="570">
        <v>9990</v>
      </c>
      <c r="M325" s="549">
        <v>0.9</v>
      </c>
      <c r="N325" s="686">
        <f t="shared" si="10"/>
        <v>8991</v>
      </c>
    </row>
    <row r="326" spans="2:14" ht="17.100000000000001" customHeight="1">
      <c r="B326" s="554">
        <v>8</v>
      </c>
      <c r="C326" s="555" t="s">
        <v>4375</v>
      </c>
      <c r="D326" s="556"/>
      <c r="E326" s="556"/>
      <c r="F326" s="556"/>
      <c r="G326" s="569"/>
      <c r="H326" s="557" t="s">
        <v>2647</v>
      </c>
      <c r="I326" s="570">
        <f t="shared" si="9"/>
        <v>28053</v>
      </c>
      <c r="J326" s="554"/>
      <c r="L326" s="570">
        <v>31170</v>
      </c>
      <c r="M326" s="549">
        <v>0.9</v>
      </c>
      <c r="N326" s="686">
        <f t="shared" si="10"/>
        <v>28053</v>
      </c>
    </row>
    <row r="327" spans="2:14" ht="17.100000000000001" customHeight="1">
      <c r="B327" s="554">
        <v>9</v>
      </c>
      <c r="C327" s="555" t="s">
        <v>3375</v>
      </c>
      <c r="D327" s="556"/>
      <c r="E327" s="556"/>
      <c r="F327" s="556"/>
      <c r="G327" s="569"/>
      <c r="H327" s="557" t="s">
        <v>2916</v>
      </c>
      <c r="I327" s="570">
        <f t="shared" si="9"/>
        <v>28721.7</v>
      </c>
      <c r="J327" s="554"/>
      <c r="L327" s="570">
        <v>31913</v>
      </c>
      <c r="M327" s="549">
        <v>0.9</v>
      </c>
      <c r="N327" s="686">
        <f t="shared" si="10"/>
        <v>28721.7</v>
      </c>
    </row>
    <row r="328" spans="2:14" ht="17.100000000000001" customHeight="1">
      <c r="B328" s="554">
        <v>16</v>
      </c>
      <c r="C328" s="555" t="s">
        <v>1367</v>
      </c>
      <c r="D328" s="556"/>
      <c r="E328" s="556"/>
      <c r="F328" s="556"/>
      <c r="G328" s="569"/>
      <c r="H328" s="557" t="s">
        <v>773</v>
      </c>
      <c r="I328" s="570">
        <f t="shared" si="9"/>
        <v>12852</v>
      </c>
      <c r="J328" s="554"/>
      <c r="L328" s="570">
        <v>14280</v>
      </c>
      <c r="M328" s="549">
        <v>0.9</v>
      </c>
      <c r="N328" s="686">
        <f t="shared" si="10"/>
        <v>12852</v>
      </c>
    </row>
    <row r="329" spans="2:14" ht="17.100000000000001" customHeight="1">
      <c r="B329" s="554">
        <v>22</v>
      </c>
      <c r="C329" s="555" t="s">
        <v>3484</v>
      </c>
      <c r="D329" s="556"/>
      <c r="E329" s="556"/>
      <c r="F329" s="556"/>
      <c r="G329" s="569"/>
      <c r="H329" s="557" t="s">
        <v>2916</v>
      </c>
      <c r="I329" s="570">
        <f t="shared" si="9"/>
        <v>69615</v>
      </c>
      <c r="J329" s="554"/>
      <c r="L329" s="570">
        <v>77350</v>
      </c>
      <c r="M329" s="549">
        <v>0.9</v>
      </c>
      <c r="N329" s="686">
        <f t="shared" si="10"/>
        <v>69615</v>
      </c>
    </row>
    <row r="330" spans="2:14" ht="17.100000000000001" customHeight="1">
      <c r="B330" s="554">
        <v>23</v>
      </c>
      <c r="C330" s="555" t="s">
        <v>3485</v>
      </c>
      <c r="D330" s="556"/>
      <c r="E330" s="556"/>
      <c r="F330" s="556"/>
      <c r="G330" s="569"/>
      <c r="H330" s="557" t="s">
        <v>773</v>
      </c>
      <c r="I330" s="570">
        <f t="shared" si="9"/>
        <v>12852</v>
      </c>
      <c r="J330" s="554"/>
      <c r="L330" s="570">
        <v>14280</v>
      </c>
      <c r="M330" s="549">
        <v>0.9</v>
      </c>
      <c r="N330" s="686">
        <f t="shared" si="10"/>
        <v>12852</v>
      </c>
    </row>
    <row r="331" spans="2:14" ht="17.100000000000001" customHeight="1">
      <c r="B331" s="554">
        <v>24</v>
      </c>
      <c r="C331" s="555" t="s">
        <v>1390</v>
      </c>
      <c r="D331" s="556"/>
      <c r="E331" s="556"/>
      <c r="F331" s="556"/>
      <c r="G331" s="569"/>
      <c r="H331" s="557" t="s">
        <v>3486</v>
      </c>
      <c r="I331" s="570">
        <f t="shared" si="9"/>
        <v>10710</v>
      </c>
      <c r="J331" s="554"/>
      <c r="L331" s="570">
        <v>11900</v>
      </c>
      <c r="M331" s="549">
        <v>0.9</v>
      </c>
      <c r="N331" s="686">
        <f t="shared" si="10"/>
        <v>10710</v>
      </c>
    </row>
    <row r="332" spans="2:14" ht="17.100000000000001" customHeight="1">
      <c r="B332" s="597">
        <v>17</v>
      </c>
      <c r="C332" s="690" t="s">
        <v>4903</v>
      </c>
      <c r="D332" s="691"/>
      <c r="E332" s="691"/>
      <c r="F332" s="691"/>
      <c r="G332" s="598"/>
      <c r="H332" s="692" t="s">
        <v>773</v>
      </c>
      <c r="I332" s="570">
        <f t="shared" si="9"/>
        <v>59400</v>
      </c>
      <c r="J332" s="597"/>
      <c r="L332" s="599">
        <v>66000</v>
      </c>
      <c r="M332" s="549">
        <v>0.9</v>
      </c>
      <c r="N332" s="686">
        <f t="shared" si="10"/>
        <v>59400</v>
      </c>
    </row>
    <row r="333" spans="2:14" ht="17.100000000000001" customHeight="1">
      <c r="B333" s="561"/>
      <c r="C333" s="562"/>
      <c r="D333" s="563"/>
      <c r="E333" s="563"/>
      <c r="F333" s="563"/>
      <c r="G333" s="564"/>
      <c r="H333" s="565"/>
      <c r="I333" s="570"/>
      <c r="J333" s="561"/>
      <c r="L333" s="566"/>
      <c r="N333" s="686"/>
    </row>
    <row r="334" spans="2:14" ht="17.100000000000001" customHeight="1">
      <c r="B334" s="571"/>
      <c r="C334" s="567" t="s">
        <v>3076</v>
      </c>
      <c r="D334" s="568"/>
      <c r="E334" s="568"/>
      <c r="F334" s="568"/>
      <c r="G334" s="569"/>
      <c r="H334" s="557"/>
      <c r="I334" s="570"/>
      <c r="J334" s="554"/>
      <c r="L334" s="570"/>
      <c r="N334" s="686"/>
    </row>
    <row r="335" spans="2:14" ht="17.100000000000001" hidden="1" customHeight="1">
      <c r="B335" s="554">
        <v>1</v>
      </c>
      <c r="C335" s="555" t="s">
        <v>3077</v>
      </c>
      <c r="D335" s="556"/>
      <c r="E335" s="556"/>
      <c r="F335" s="556"/>
      <c r="G335" s="569"/>
      <c r="H335" s="557" t="s">
        <v>1423</v>
      </c>
      <c r="I335" s="570">
        <f t="shared" si="9"/>
        <v>439110</v>
      </c>
      <c r="J335" s="554"/>
      <c r="L335" s="570">
        <v>487900</v>
      </c>
      <c r="M335" s="549">
        <v>0.9</v>
      </c>
      <c r="N335" s="686">
        <f t="shared" si="10"/>
        <v>439110</v>
      </c>
    </row>
    <row r="336" spans="2:14" ht="17.100000000000001" hidden="1" customHeight="1">
      <c r="B336" s="554">
        <v>2</v>
      </c>
      <c r="C336" s="555" t="s">
        <v>3078</v>
      </c>
      <c r="D336" s="556"/>
      <c r="E336" s="556"/>
      <c r="F336" s="556"/>
      <c r="G336" s="569"/>
      <c r="H336" s="557" t="s">
        <v>2970</v>
      </c>
      <c r="I336" s="570">
        <f t="shared" si="9"/>
        <v>846090</v>
      </c>
      <c r="J336" s="554"/>
      <c r="L336" s="570">
        <v>940100</v>
      </c>
      <c r="M336" s="549">
        <v>0.9</v>
      </c>
      <c r="N336" s="686">
        <f t="shared" si="10"/>
        <v>846090</v>
      </c>
    </row>
    <row r="337" spans="2:14" ht="17.100000000000001" hidden="1" customHeight="1">
      <c r="B337" s="554">
        <v>3</v>
      </c>
      <c r="C337" s="555" t="s">
        <v>3079</v>
      </c>
      <c r="D337" s="556"/>
      <c r="E337" s="556"/>
      <c r="F337" s="556"/>
      <c r="G337" s="569"/>
      <c r="H337" s="557" t="s">
        <v>2647</v>
      </c>
      <c r="I337" s="570">
        <f t="shared" si="9"/>
        <v>18207</v>
      </c>
      <c r="J337" s="554"/>
      <c r="L337" s="570">
        <v>20230</v>
      </c>
      <c r="M337" s="549">
        <v>0.9</v>
      </c>
      <c r="N337" s="686">
        <f t="shared" si="10"/>
        <v>18207</v>
      </c>
    </row>
    <row r="338" spans="2:14" ht="17.100000000000001" customHeight="1">
      <c r="B338" s="554">
        <v>1</v>
      </c>
      <c r="C338" s="555" t="s">
        <v>3080</v>
      </c>
      <c r="D338" s="556"/>
      <c r="E338" s="556"/>
      <c r="F338" s="556"/>
      <c r="G338" s="569"/>
      <c r="H338" s="557" t="s">
        <v>1423</v>
      </c>
      <c r="I338" s="570">
        <f t="shared" si="9"/>
        <v>30951</v>
      </c>
      <c r="J338" s="554"/>
      <c r="L338" s="570">
        <v>34390</v>
      </c>
      <c r="M338" s="549">
        <v>0.9</v>
      </c>
      <c r="N338" s="686">
        <f t="shared" si="10"/>
        <v>30951</v>
      </c>
    </row>
    <row r="339" spans="2:14" ht="17.100000000000001" hidden="1" customHeight="1">
      <c r="B339" s="554">
        <v>5</v>
      </c>
      <c r="C339" s="555" t="s">
        <v>3478</v>
      </c>
      <c r="D339" s="556"/>
      <c r="E339" s="556"/>
      <c r="F339" s="556"/>
      <c r="G339" s="569"/>
      <c r="H339" s="557" t="s">
        <v>1423</v>
      </c>
      <c r="I339" s="570">
        <f t="shared" si="9"/>
        <v>32130</v>
      </c>
      <c r="J339" s="554"/>
      <c r="L339" s="570">
        <v>35700</v>
      </c>
      <c r="M339" s="549">
        <v>0.9</v>
      </c>
      <c r="N339" s="686">
        <f t="shared" si="10"/>
        <v>32130</v>
      </c>
    </row>
    <row r="340" spans="2:14" ht="17.100000000000001" hidden="1" customHeight="1">
      <c r="B340" s="554">
        <v>6</v>
      </c>
      <c r="C340" s="555" t="s">
        <v>3081</v>
      </c>
      <c r="D340" s="556"/>
      <c r="E340" s="556"/>
      <c r="F340" s="556"/>
      <c r="G340" s="569"/>
      <c r="H340" s="557" t="s">
        <v>3082</v>
      </c>
      <c r="I340" s="570">
        <f t="shared" si="9"/>
        <v>70146</v>
      </c>
      <c r="J340" s="554"/>
      <c r="L340" s="570">
        <v>77940</v>
      </c>
      <c r="M340" s="549">
        <v>0.9</v>
      </c>
      <c r="N340" s="686">
        <f t="shared" si="10"/>
        <v>70146</v>
      </c>
    </row>
    <row r="341" spans="2:14" ht="17.100000000000001" hidden="1" customHeight="1">
      <c r="B341" s="554">
        <v>7</v>
      </c>
      <c r="C341" s="555" t="s">
        <v>3083</v>
      </c>
      <c r="D341" s="556"/>
      <c r="E341" s="556"/>
      <c r="F341" s="556"/>
      <c r="G341" s="569"/>
      <c r="H341" s="557" t="s">
        <v>1423</v>
      </c>
      <c r="I341" s="570">
        <f t="shared" si="9"/>
        <v>1606500</v>
      </c>
      <c r="J341" s="554"/>
      <c r="L341" s="570">
        <v>1785000</v>
      </c>
      <c r="M341" s="549">
        <v>0.9</v>
      </c>
      <c r="N341" s="686">
        <f t="shared" si="10"/>
        <v>1606500</v>
      </c>
    </row>
    <row r="342" spans="2:14" ht="17.100000000000001" customHeight="1">
      <c r="B342" s="554">
        <v>2</v>
      </c>
      <c r="C342" s="555" t="s">
        <v>5240</v>
      </c>
      <c r="D342" s="556"/>
      <c r="E342" s="556"/>
      <c r="F342" s="556"/>
      <c r="G342" s="569"/>
      <c r="H342" s="557" t="s">
        <v>1423</v>
      </c>
      <c r="I342" s="570">
        <v>3091000</v>
      </c>
      <c r="J342" s="554"/>
      <c r="L342" s="570">
        <v>3034500</v>
      </c>
      <c r="M342" s="549">
        <v>0.9</v>
      </c>
      <c r="N342" s="686">
        <f t="shared" si="10"/>
        <v>2731050</v>
      </c>
    </row>
    <row r="343" spans="2:14" ht="17.100000000000001" hidden="1" customHeight="1">
      <c r="B343" s="554">
        <v>9</v>
      </c>
      <c r="C343" s="555" t="s">
        <v>3084</v>
      </c>
      <c r="D343" s="556"/>
      <c r="E343" s="556"/>
      <c r="F343" s="556"/>
      <c r="G343" s="569"/>
      <c r="H343" s="557" t="s">
        <v>1423</v>
      </c>
      <c r="I343" s="570">
        <f t="shared" si="9"/>
        <v>154224</v>
      </c>
      <c r="J343" s="554"/>
      <c r="L343" s="570">
        <v>171360</v>
      </c>
      <c r="M343" s="549">
        <v>0.9</v>
      </c>
      <c r="N343" s="686">
        <f t="shared" si="10"/>
        <v>154224</v>
      </c>
    </row>
    <row r="344" spans="2:14" ht="17.100000000000001" customHeight="1">
      <c r="B344" s="554">
        <v>3</v>
      </c>
      <c r="C344" s="555" t="s">
        <v>5243</v>
      </c>
      <c r="D344" s="556"/>
      <c r="E344" s="556"/>
      <c r="F344" s="556"/>
      <c r="G344" s="569"/>
      <c r="H344" s="557" t="s">
        <v>1423</v>
      </c>
      <c r="I344" s="570">
        <v>425000</v>
      </c>
      <c r="J344" s="554"/>
      <c r="L344" s="570">
        <v>208250</v>
      </c>
      <c r="M344" s="549">
        <v>0.9</v>
      </c>
      <c r="N344" s="686">
        <f t="shared" si="10"/>
        <v>187425</v>
      </c>
    </row>
    <row r="345" spans="2:14" ht="17.100000000000001" hidden="1" customHeight="1">
      <c r="B345" s="554">
        <v>11</v>
      </c>
      <c r="C345" s="555" t="s">
        <v>3085</v>
      </c>
      <c r="D345" s="556"/>
      <c r="E345" s="556"/>
      <c r="F345" s="556"/>
      <c r="G345" s="569"/>
      <c r="H345" s="557" t="s">
        <v>1423</v>
      </c>
      <c r="I345" s="570">
        <f t="shared" si="9"/>
        <v>2585394</v>
      </c>
      <c r="J345" s="554"/>
      <c r="L345" s="570">
        <v>2872660</v>
      </c>
      <c r="M345" s="549">
        <v>0.9</v>
      </c>
      <c r="N345" s="686">
        <f t="shared" si="10"/>
        <v>2585394</v>
      </c>
    </row>
    <row r="346" spans="2:14" ht="17.100000000000001" customHeight="1">
      <c r="B346" s="554">
        <v>4</v>
      </c>
      <c r="C346" s="555" t="s">
        <v>3086</v>
      </c>
      <c r="D346" s="556"/>
      <c r="E346" s="556"/>
      <c r="F346" s="556"/>
      <c r="G346" s="569"/>
      <c r="H346" s="557" t="s">
        <v>1423</v>
      </c>
      <c r="I346" s="570">
        <f t="shared" si="9"/>
        <v>14994</v>
      </c>
      <c r="J346" s="554"/>
      <c r="L346" s="570">
        <v>16660</v>
      </c>
      <c r="M346" s="549">
        <v>0.9</v>
      </c>
      <c r="N346" s="686">
        <f t="shared" si="10"/>
        <v>14994</v>
      </c>
    </row>
    <row r="347" spans="2:14" ht="16.5" hidden="1" customHeight="1">
      <c r="B347" s="554">
        <v>13</v>
      </c>
      <c r="C347" s="555" t="s">
        <v>3087</v>
      </c>
      <c r="D347" s="556"/>
      <c r="E347" s="556"/>
      <c r="F347" s="556"/>
      <c r="G347" s="569"/>
      <c r="H347" s="557" t="s">
        <v>1423</v>
      </c>
      <c r="I347" s="570">
        <f t="shared" si="9"/>
        <v>40050</v>
      </c>
      <c r="J347" s="554"/>
      <c r="L347" s="570">
        <v>44500</v>
      </c>
      <c r="M347" s="549">
        <v>0.9</v>
      </c>
      <c r="N347" s="686">
        <f t="shared" si="10"/>
        <v>40050</v>
      </c>
    </row>
    <row r="348" spans="2:14" ht="17.100000000000001" hidden="1" customHeight="1">
      <c r="B348" s="554">
        <v>14</v>
      </c>
      <c r="C348" s="555" t="s">
        <v>3088</v>
      </c>
      <c r="D348" s="556"/>
      <c r="E348" s="556"/>
      <c r="F348" s="556"/>
      <c r="G348" s="569"/>
      <c r="H348" s="557" t="s">
        <v>1423</v>
      </c>
      <c r="I348" s="570">
        <f t="shared" si="9"/>
        <v>117432</v>
      </c>
      <c r="J348" s="554"/>
      <c r="L348" s="570">
        <v>130480</v>
      </c>
      <c r="M348" s="549">
        <v>0.9</v>
      </c>
      <c r="N348" s="686">
        <f t="shared" si="10"/>
        <v>117432</v>
      </c>
    </row>
    <row r="349" spans="2:14" ht="17.100000000000001" hidden="1" customHeight="1">
      <c r="B349" s="554">
        <v>15</v>
      </c>
      <c r="C349" s="555" t="s">
        <v>3089</v>
      </c>
      <c r="D349" s="556"/>
      <c r="E349" s="556"/>
      <c r="F349" s="556"/>
      <c r="G349" s="569"/>
      <c r="H349" s="557" t="s">
        <v>1423</v>
      </c>
      <c r="I349" s="570">
        <f t="shared" si="9"/>
        <v>146565</v>
      </c>
      <c r="J349" s="554"/>
      <c r="L349" s="570">
        <v>162850</v>
      </c>
      <c r="M349" s="549">
        <v>0.9</v>
      </c>
      <c r="N349" s="686">
        <f t="shared" si="10"/>
        <v>146565</v>
      </c>
    </row>
    <row r="350" spans="2:14" ht="17.100000000000001" hidden="1" customHeight="1">
      <c r="B350" s="554">
        <v>16</v>
      </c>
      <c r="C350" s="555" t="s">
        <v>3090</v>
      </c>
      <c r="D350" s="556"/>
      <c r="E350" s="556"/>
      <c r="F350" s="556"/>
      <c r="G350" s="569"/>
      <c r="H350" s="557" t="s">
        <v>1423</v>
      </c>
      <c r="I350" s="570">
        <f t="shared" ref="I350:I412" si="11">N350</f>
        <v>203490</v>
      </c>
      <c r="J350" s="554"/>
      <c r="L350" s="570">
        <v>226100</v>
      </c>
      <c r="M350" s="549">
        <v>0.9</v>
      </c>
      <c r="N350" s="686">
        <f t="shared" ref="N350:N413" si="12">L350*M350</f>
        <v>203490</v>
      </c>
    </row>
    <row r="351" spans="2:14" ht="17.100000000000001" hidden="1" customHeight="1">
      <c r="B351" s="554">
        <v>17</v>
      </c>
      <c r="C351" s="555" t="s">
        <v>3091</v>
      </c>
      <c r="D351" s="556"/>
      <c r="E351" s="556"/>
      <c r="F351" s="556"/>
      <c r="G351" s="569"/>
      <c r="H351" s="557" t="s">
        <v>1423</v>
      </c>
      <c r="I351" s="570">
        <f t="shared" si="11"/>
        <v>124236</v>
      </c>
      <c r="J351" s="554"/>
      <c r="L351" s="570">
        <v>138040</v>
      </c>
      <c r="M351" s="549">
        <v>0.9</v>
      </c>
      <c r="N351" s="686">
        <f t="shared" si="12"/>
        <v>124236</v>
      </c>
    </row>
    <row r="352" spans="2:14" ht="17.100000000000001" customHeight="1">
      <c r="B352" s="554">
        <v>5</v>
      </c>
      <c r="C352" s="555" t="s">
        <v>3092</v>
      </c>
      <c r="D352" s="556"/>
      <c r="E352" s="556"/>
      <c r="F352" s="556"/>
      <c r="G352" s="569"/>
      <c r="H352" s="557" t="s">
        <v>1423</v>
      </c>
      <c r="I352" s="570">
        <f t="shared" si="11"/>
        <v>24633</v>
      </c>
      <c r="J352" s="554"/>
      <c r="L352" s="570">
        <v>27370</v>
      </c>
      <c r="M352" s="549">
        <v>0.9</v>
      </c>
      <c r="N352" s="686">
        <f t="shared" si="12"/>
        <v>24633</v>
      </c>
    </row>
    <row r="353" spans="2:14" ht="17.100000000000001" customHeight="1">
      <c r="B353" s="554">
        <v>6</v>
      </c>
      <c r="C353" s="555" t="s">
        <v>5255</v>
      </c>
      <c r="D353" s="556"/>
      <c r="E353" s="556"/>
      <c r="F353" s="556"/>
      <c r="G353" s="569"/>
      <c r="H353" s="557" t="s">
        <v>1423</v>
      </c>
      <c r="I353" s="570">
        <v>1865000</v>
      </c>
      <c r="J353" s="554"/>
      <c r="L353" s="570">
        <v>773500</v>
      </c>
      <c r="M353" s="549">
        <v>0.9</v>
      </c>
      <c r="N353" s="686">
        <f t="shared" si="12"/>
        <v>696150</v>
      </c>
    </row>
    <row r="354" spans="2:14" ht="17.100000000000001" hidden="1" customHeight="1">
      <c r="B354" s="554">
        <v>20</v>
      </c>
      <c r="C354" s="555" t="s">
        <v>4463</v>
      </c>
      <c r="D354" s="556"/>
      <c r="E354" s="556"/>
      <c r="F354" s="556"/>
      <c r="G354" s="569"/>
      <c r="H354" s="557" t="s">
        <v>1423</v>
      </c>
      <c r="I354" s="570">
        <f t="shared" si="11"/>
        <v>283815</v>
      </c>
      <c r="J354" s="554"/>
      <c r="L354" s="570">
        <v>315350</v>
      </c>
      <c r="M354" s="549">
        <v>0.9</v>
      </c>
      <c r="N354" s="686">
        <f t="shared" si="12"/>
        <v>283815</v>
      </c>
    </row>
    <row r="355" spans="2:14" ht="17.100000000000001" hidden="1" customHeight="1">
      <c r="B355" s="554">
        <v>21</v>
      </c>
      <c r="C355" s="555" t="s">
        <v>3093</v>
      </c>
      <c r="D355" s="556"/>
      <c r="E355" s="556"/>
      <c r="F355" s="556"/>
      <c r="G355" s="569"/>
      <c r="H355" s="557" t="s">
        <v>1423</v>
      </c>
      <c r="I355" s="570">
        <f t="shared" si="11"/>
        <v>4535685</v>
      </c>
      <c r="J355" s="554"/>
      <c r="L355" s="570">
        <v>5039650</v>
      </c>
      <c r="M355" s="549">
        <v>0.9</v>
      </c>
      <c r="N355" s="686">
        <f t="shared" si="12"/>
        <v>4535685</v>
      </c>
    </row>
    <row r="356" spans="2:14" ht="17.100000000000001" hidden="1" customHeight="1">
      <c r="B356" s="554">
        <v>22</v>
      </c>
      <c r="C356" s="555" t="s">
        <v>3094</v>
      </c>
      <c r="D356" s="556"/>
      <c r="E356" s="556"/>
      <c r="F356" s="556"/>
      <c r="G356" s="569"/>
      <c r="H356" s="557" t="s">
        <v>1346</v>
      </c>
      <c r="I356" s="570">
        <f t="shared" si="11"/>
        <v>10817100</v>
      </c>
      <c r="J356" s="554"/>
      <c r="L356" s="570">
        <v>12019000</v>
      </c>
      <c r="M356" s="549">
        <v>0.9</v>
      </c>
      <c r="N356" s="686">
        <f t="shared" si="12"/>
        <v>10817100</v>
      </c>
    </row>
    <row r="357" spans="2:14" ht="17.100000000000001" hidden="1" customHeight="1">
      <c r="B357" s="554">
        <v>23</v>
      </c>
      <c r="C357" s="555" t="s">
        <v>3095</v>
      </c>
      <c r="D357" s="556"/>
      <c r="E357" s="556"/>
      <c r="F357" s="556"/>
      <c r="G357" s="569"/>
      <c r="H357" s="557" t="s">
        <v>1423</v>
      </c>
      <c r="I357" s="570">
        <f t="shared" si="11"/>
        <v>46584</v>
      </c>
      <c r="J357" s="554"/>
      <c r="L357" s="570">
        <v>51760</v>
      </c>
      <c r="M357" s="549">
        <v>0.9</v>
      </c>
      <c r="N357" s="686">
        <f t="shared" si="12"/>
        <v>46584</v>
      </c>
    </row>
    <row r="358" spans="2:14" ht="17.100000000000001" customHeight="1">
      <c r="B358" s="554">
        <v>7</v>
      </c>
      <c r="C358" s="555" t="s">
        <v>5248</v>
      </c>
      <c r="D358" s="556"/>
      <c r="E358" s="556"/>
      <c r="F358" s="556"/>
      <c r="G358" s="569"/>
      <c r="H358" s="557" t="s">
        <v>1423</v>
      </c>
      <c r="I358" s="570">
        <v>2644000</v>
      </c>
      <c r="J358" s="554"/>
      <c r="L358" s="570">
        <v>2023000</v>
      </c>
      <c r="M358" s="549">
        <v>0.9</v>
      </c>
      <c r="N358" s="686">
        <f t="shared" si="12"/>
        <v>1820700</v>
      </c>
    </row>
    <row r="359" spans="2:14" ht="17.100000000000001" hidden="1" customHeight="1">
      <c r="B359" s="554">
        <v>25</v>
      </c>
      <c r="C359" s="555" t="s">
        <v>3096</v>
      </c>
      <c r="D359" s="556"/>
      <c r="E359" s="556"/>
      <c r="F359" s="556"/>
      <c r="G359" s="569"/>
      <c r="H359" s="557" t="s">
        <v>1423</v>
      </c>
      <c r="I359" s="570">
        <f t="shared" si="11"/>
        <v>746487</v>
      </c>
      <c r="J359" s="554"/>
      <c r="L359" s="570">
        <v>829430</v>
      </c>
      <c r="M359" s="549">
        <v>0.9</v>
      </c>
      <c r="N359" s="686">
        <f t="shared" si="12"/>
        <v>746487</v>
      </c>
    </row>
    <row r="360" spans="2:14" ht="17.100000000000001" customHeight="1">
      <c r="B360" s="554">
        <v>8</v>
      </c>
      <c r="C360" s="555" t="s">
        <v>5252</v>
      </c>
      <c r="D360" s="556"/>
      <c r="E360" s="556"/>
      <c r="F360" s="556"/>
      <c r="G360" s="569"/>
      <c r="H360" s="557" t="s">
        <v>1423</v>
      </c>
      <c r="I360" s="570">
        <v>1122000</v>
      </c>
      <c r="J360" s="554"/>
      <c r="L360" s="570">
        <v>1130500</v>
      </c>
      <c r="M360" s="549">
        <v>0.9</v>
      </c>
      <c r="N360" s="686">
        <f t="shared" si="12"/>
        <v>1017450</v>
      </c>
    </row>
    <row r="361" spans="2:14" ht="17.100000000000001" customHeight="1">
      <c r="B361" s="554">
        <v>9</v>
      </c>
      <c r="C361" s="578" t="s">
        <v>4897</v>
      </c>
      <c r="D361" s="579"/>
      <c r="E361" s="556"/>
      <c r="F361" s="556"/>
      <c r="G361" s="569"/>
      <c r="H361" s="583" t="s">
        <v>1423</v>
      </c>
      <c r="I361" s="570">
        <f t="shared" si="11"/>
        <v>4284</v>
      </c>
      <c r="J361" s="554"/>
      <c r="L361" s="570">
        <v>4760</v>
      </c>
      <c r="M361" s="549">
        <v>0.9</v>
      </c>
      <c r="N361" s="686">
        <f t="shared" si="12"/>
        <v>4284</v>
      </c>
    </row>
    <row r="362" spans="2:14" ht="17.100000000000001" hidden="1" customHeight="1">
      <c r="B362" s="554">
        <v>28</v>
      </c>
      <c r="C362" s="578" t="s">
        <v>1414</v>
      </c>
      <c r="D362" s="579"/>
      <c r="E362" s="556"/>
      <c r="F362" s="556"/>
      <c r="G362" s="569"/>
      <c r="H362" s="583" t="s">
        <v>2970</v>
      </c>
      <c r="I362" s="570">
        <f t="shared" si="11"/>
        <v>5355000</v>
      </c>
      <c r="J362" s="554"/>
      <c r="L362" s="570">
        <v>5950000</v>
      </c>
      <c r="M362" s="549">
        <v>0.9</v>
      </c>
      <c r="N362" s="686">
        <f t="shared" si="12"/>
        <v>5355000</v>
      </c>
    </row>
    <row r="363" spans="2:14" ht="17.100000000000001" hidden="1" customHeight="1">
      <c r="B363" s="554">
        <v>29</v>
      </c>
      <c r="C363" s="590" t="s">
        <v>4592</v>
      </c>
      <c r="D363" s="591"/>
      <c r="E363" s="591"/>
      <c r="F363" s="591"/>
      <c r="G363" s="592"/>
      <c r="H363" s="593" t="s">
        <v>4593</v>
      </c>
      <c r="I363" s="570">
        <f t="shared" si="11"/>
        <v>680085</v>
      </c>
      <c r="J363" s="554"/>
      <c r="L363" s="570">
        <v>755650</v>
      </c>
      <c r="M363" s="549">
        <v>0.9</v>
      </c>
      <c r="N363" s="686">
        <f t="shared" si="12"/>
        <v>680085</v>
      </c>
    </row>
    <row r="364" spans="2:14" ht="17.100000000000001" hidden="1" customHeight="1">
      <c r="B364" s="554">
        <v>30</v>
      </c>
      <c r="C364" s="590" t="s">
        <v>4594</v>
      </c>
      <c r="D364" s="591"/>
      <c r="E364" s="591"/>
      <c r="F364" s="591"/>
      <c r="G364" s="592"/>
      <c r="H364" s="593" t="s">
        <v>4593</v>
      </c>
      <c r="I364" s="570">
        <f t="shared" si="11"/>
        <v>1552950</v>
      </c>
      <c r="J364" s="554"/>
      <c r="L364" s="570">
        <v>1725500</v>
      </c>
      <c r="M364" s="549">
        <v>0.9</v>
      </c>
      <c r="N364" s="686">
        <f t="shared" si="12"/>
        <v>1552950</v>
      </c>
    </row>
    <row r="365" spans="2:14" ht="17.100000000000001" hidden="1" customHeight="1">
      <c r="B365" s="554">
        <v>31</v>
      </c>
      <c r="C365" s="590" t="s">
        <v>4595</v>
      </c>
      <c r="D365" s="591"/>
      <c r="E365" s="591"/>
      <c r="F365" s="591"/>
      <c r="G365" s="592"/>
      <c r="H365" s="593" t="s">
        <v>4593</v>
      </c>
      <c r="I365" s="570">
        <f t="shared" si="11"/>
        <v>1686825</v>
      </c>
      <c r="J365" s="554"/>
      <c r="L365" s="570">
        <v>1874250</v>
      </c>
      <c r="M365" s="549">
        <v>0.9</v>
      </c>
      <c r="N365" s="686">
        <f t="shared" si="12"/>
        <v>1686825</v>
      </c>
    </row>
    <row r="366" spans="2:14" ht="17.100000000000001" customHeight="1">
      <c r="B366" s="554">
        <v>10</v>
      </c>
      <c r="C366" s="578" t="s">
        <v>5258</v>
      </c>
      <c r="D366" s="579"/>
      <c r="E366" s="556"/>
      <c r="F366" s="556"/>
      <c r="G366" s="569"/>
      <c r="H366" s="583" t="s">
        <v>1423</v>
      </c>
      <c r="I366" s="570">
        <v>6945000</v>
      </c>
      <c r="J366" s="554"/>
      <c r="L366" s="570">
        <v>3390000</v>
      </c>
      <c r="M366" s="549">
        <v>0.9</v>
      </c>
      <c r="N366" s="686">
        <f t="shared" si="12"/>
        <v>3051000</v>
      </c>
    </row>
    <row r="367" spans="2:14" ht="17.100000000000001" customHeight="1">
      <c r="B367" s="554">
        <v>11</v>
      </c>
      <c r="C367" s="578" t="s">
        <v>5033</v>
      </c>
      <c r="D367" s="579"/>
      <c r="E367" s="556"/>
      <c r="F367" s="556"/>
      <c r="G367" s="569"/>
      <c r="H367" s="583" t="s">
        <v>1423</v>
      </c>
      <c r="I367" s="570">
        <v>3500000</v>
      </c>
      <c r="J367" s="554"/>
      <c r="L367" s="570">
        <v>2500000</v>
      </c>
      <c r="M367" s="549">
        <v>0.9</v>
      </c>
      <c r="N367" s="686">
        <f t="shared" si="12"/>
        <v>2250000</v>
      </c>
    </row>
    <row r="368" spans="2:14" ht="17.100000000000001" customHeight="1">
      <c r="B368" s="554"/>
      <c r="C368" s="567" t="s">
        <v>3097</v>
      </c>
      <c r="D368" s="568"/>
      <c r="E368" s="568"/>
      <c r="F368" s="556"/>
      <c r="G368" s="569"/>
      <c r="H368" s="557"/>
      <c r="I368" s="570"/>
      <c r="J368" s="554"/>
      <c r="L368" s="570"/>
      <c r="N368" s="686"/>
    </row>
    <row r="369" spans="2:14" ht="17.100000000000001" hidden="1" customHeight="1">
      <c r="B369" s="554">
        <v>1</v>
      </c>
      <c r="C369" s="555" t="s">
        <v>3098</v>
      </c>
      <c r="D369" s="556"/>
      <c r="E369" s="556"/>
      <c r="F369" s="556"/>
      <c r="G369" s="569"/>
      <c r="H369" s="557" t="s">
        <v>3082</v>
      </c>
      <c r="I369" s="570">
        <f t="shared" si="11"/>
        <v>129591</v>
      </c>
      <c r="J369" s="554"/>
      <c r="L369" s="570">
        <v>143990</v>
      </c>
      <c r="M369" s="549">
        <v>0.9</v>
      </c>
      <c r="N369" s="686">
        <f t="shared" si="12"/>
        <v>129591</v>
      </c>
    </row>
    <row r="370" spans="2:14" ht="17.100000000000001" hidden="1" customHeight="1">
      <c r="B370" s="554">
        <v>2</v>
      </c>
      <c r="C370" s="555" t="s">
        <v>3099</v>
      </c>
      <c r="D370" s="556"/>
      <c r="E370" s="556"/>
      <c r="F370" s="556"/>
      <c r="G370" s="569"/>
      <c r="H370" s="557" t="s">
        <v>3082</v>
      </c>
      <c r="I370" s="570">
        <f t="shared" si="11"/>
        <v>129591</v>
      </c>
      <c r="J370" s="554"/>
      <c r="L370" s="570">
        <v>143990</v>
      </c>
      <c r="M370" s="549">
        <v>0.9</v>
      </c>
      <c r="N370" s="686">
        <f t="shared" si="12"/>
        <v>129591</v>
      </c>
    </row>
    <row r="371" spans="2:14" ht="17.100000000000001" hidden="1" customHeight="1">
      <c r="B371" s="554">
        <v>3</v>
      </c>
      <c r="C371" s="555" t="s">
        <v>3100</v>
      </c>
      <c r="D371" s="556"/>
      <c r="E371" s="556"/>
      <c r="F371" s="556"/>
      <c r="G371" s="569"/>
      <c r="H371" s="557" t="s">
        <v>1346</v>
      </c>
      <c r="I371" s="570">
        <f t="shared" si="11"/>
        <v>47124</v>
      </c>
      <c r="J371" s="554"/>
      <c r="L371" s="570">
        <v>52360</v>
      </c>
      <c r="M371" s="549">
        <v>0.9</v>
      </c>
      <c r="N371" s="686">
        <f t="shared" si="12"/>
        <v>47124</v>
      </c>
    </row>
    <row r="372" spans="2:14" ht="17.100000000000001" hidden="1" customHeight="1">
      <c r="B372" s="554">
        <v>4</v>
      </c>
      <c r="C372" s="555" t="s">
        <v>3101</v>
      </c>
      <c r="D372" s="556"/>
      <c r="E372" s="556"/>
      <c r="F372" s="556"/>
      <c r="G372" s="569"/>
      <c r="H372" s="557" t="s">
        <v>1346</v>
      </c>
      <c r="I372" s="570">
        <f t="shared" si="11"/>
        <v>37692</v>
      </c>
      <c r="J372" s="554"/>
      <c r="L372" s="570">
        <v>41880</v>
      </c>
      <c r="M372" s="549">
        <v>0.9</v>
      </c>
      <c r="N372" s="686">
        <f t="shared" si="12"/>
        <v>37692</v>
      </c>
    </row>
    <row r="373" spans="2:14" ht="17.100000000000001" hidden="1" customHeight="1">
      <c r="B373" s="554">
        <v>5</v>
      </c>
      <c r="C373" s="555" t="s">
        <v>3102</v>
      </c>
      <c r="D373" s="556"/>
      <c r="E373" s="556"/>
      <c r="F373" s="556"/>
      <c r="G373" s="569"/>
      <c r="H373" s="557" t="s">
        <v>1346</v>
      </c>
      <c r="I373" s="570">
        <f t="shared" si="11"/>
        <v>34164</v>
      </c>
      <c r="J373" s="554"/>
      <c r="L373" s="570">
        <v>37960</v>
      </c>
      <c r="M373" s="549">
        <v>0.9</v>
      </c>
      <c r="N373" s="686">
        <f t="shared" si="12"/>
        <v>34164</v>
      </c>
    </row>
    <row r="374" spans="2:14" ht="17.100000000000001" hidden="1" customHeight="1">
      <c r="B374" s="554">
        <v>6</v>
      </c>
      <c r="C374" s="555" t="s">
        <v>3103</v>
      </c>
      <c r="D374" s="556"/>
      <c r="E374" s="556"/>
      <c r="F374" s="556"/>
      <c r="G374" s="569"/>
      <c r="H374" s="557" t="s">
        <v>1346</v>
      </c>
      <c r="I374" s="570">
        <f t="shared" si="11"/>
        <v>100134</v>
      </c>
      <c r="J374" s="554"/>
      <c r="L374" s="570">
        <v>111260</v>
      </c>
      <c r="M374" s="549">
        <v>0.9</v>
      </c>
      <c r="N374" s="686">
        <f t="shared" si="12"/>
        <v>100134</v>
      </c>
    </row>
    <row r="375" spans="2:14" ht="17.100000000000001" hidden="1" customHeight="1">
      <c r="B375" s="554">
        <v>7</v>
      </c>
      <c r="C375" s="555" t="s">
        <v>4306</v>
      </c>
      <c r="D375" s="556"/>
      <c r="E375" s="556"/>
      <c r="F375" s="556"/>
      <c r="G375" s="569"/>
      <c r="H375" s="557" t="s">
        <v>1346</v>
      </c>
      <c r="I375" s="570">
        <f t="shared" si="11"/>
        <v>153153</v>
      </c>
      <c r="J375" s="554"/>
      <c r="L375" s="570">
        <v>170170</v>
      </c>
      <c r="M375" s="549">
        <v>0.9</v>
      </c>
      <c r="N375" s="686">
        <f t="shared" si="12"/>
        <v>153153</v>
      </c>
    </row>
    <row r="376" spans="2:14" ht="17.100000000000001" hidden="1" customHeight="1">
      <c r="B376" s="554">
        <v>8</v>
      </c>
      <c r="C376" s="555" t="s">
        <v>4307</v>
      </c>
      <c r="D376" s="556"/>
      <c r="E376" s="556"/>
      <c r="F376" s="556"/>
      <c r="G376" s="569"/>
      <c r="H376" s="557" t="s">
        <v>1346</v>
      </c>
      <c r="I376" s="570">
        <f t="shared" si="11"/>
        <v>200277</v>
      </c>
      <c r="J376" s="554"/>
      <c r="L376" s="570">
        <v>222530</v>
      </c>
      <c r="M376" s="549">
        <v>0.9</v>
      </c>
      <c r="N376" s="686">
        <f t="shared" si="12"/>
        <v>200277</v>
      </c>
    </row>
    <row r="377" spans="2:14" ht="17.100000000000001" hidden="1" customHeight="1">
      <c r="B377" s="554">
        <v>9</v>
      </c>
      <c r="C377" s="555" t="s">
        <v>3104</v>
      </c>
      <c r="D377" s="556"/>
      <c r="E377" s="556"/>
      <c r="F377" s="556"/>
      <c r="G377" s="569"/>
      <c r="H377" s="557" t="s">
        <v>1346</v>
      </c>
      <c r="I377" s="570">
        <f t="shared" si="11"/>
        <v>20610</v>
      </c>
      <c r="J377" s="554"/>
      <c r="L377" s="570">
        <v>22900</v>
      </c>
      <c r="M377" s="549">
        <v>0.9</v>
      </c>
      <c r="N377" s="686">
        <f t="shared" si="12"/>
        <v>20610</v>
      </c>
    </row>
    <row r="378" spans="2:14" ht="17.100000000000001" hidden="1" customHeight="1">
      <c r="B378" s="554">
        <v>10</v>
      </c>
      <c r="C378" s="555" t="s">
        <v>3105</v>
      </c>
      <c r="D378" s="556"/>
      <c r="E378" s="556"/>
      <c r="F378" s="556"/>
      <c r="G378" s="569"/>
      <c r="H378" s="557" t="s">
        <v>1346</v>
      </c>
      <c r="I378" s="570">
        <f t="shared" si="11"/>
        <v>25911</v>
      </c>
      <c r="J378" s="554"/>
      <c r="L378" s="570">
        <v>28790</v>
      </c>
      <c r="M378" s="549">
        <v>0.9</v>
      </c>
      <c r="N378" s="686">
        <f t="shared" si="12"/>
        <v>25911</v>
      </c>
    </row>
    <row r="379" spans="2:14" ht="17.100000000000001" hidden="1" customHeight="1">
      <c r="B379" s="554">
        <v>11</v>
      </c>
      <c r="C379" s="555" t="s">
        <v>3106</v>
      </c>
      <c r="D379" s="556"/>
      <c r="E379" s="556"/>
      <c r="F379" s="556"/>
      <c r="G379" s="569"/>
      <c r="H379" s="557" t="s">
        <v>1346</v>
      </c>
      <c r="I379" s="570">
        <f t="shared" si="11"/>
        <v>32391</v>
      </c>
      <c r="J379" s="554"/>
      <c r="L379" s="570">
        <v>35990</v>
      </c>
      <c r="M379" s="549">
        <v>0.9</v>
      </c>
      <c r="N379" s="686">
        <f t="shared" si="12"/>
        <v>32391</v>
      </c>
    </row>
    <row r="380" spans="2:14" ht="17.100000000000001" hidden="1" customHeight="1">
      <c r="B380" s="554">
        <v>12</v>
      </c>
      <c r="C380" s="555" t="s">
        <v>3107</v>
      </c>
      <c r="D380" s="556"/>
      <c r="E380" s="556"/>
      <c r="F380" s="556"/>
      <c r="G380" s="569"/>
      <c r="H380" s="557" t="s">
        <v>1346</v>
      </c>
      <c r="I380" s="570">
        <f t="shared" si="11"/>
        <v>45351</v>
      </c>
      <c r="J380" s="554"/>
      <c r="L380" s="570">
        <v>50390</v>
      </c>
      <c r="M380" s="549">
        <v>0.9</v>
      </c>
      <c r="N380" s="686">
        <f t="shared" si="12"/>
        <v>45351</v>
      </c>
    </row>
    <row r="381" spans="2:14" ht="17.100000000000001" hidden="1" customHeight="1">
      <c r="B381" s="554">
        <v>13</v>
      </c>
      <c r="C381" s="555" t="s">
        <v>3108</v>
      </c>
      <c r="D381" s="556"/>
      <c r="E381" s="556"/>
      <c r="F381" s="556"/>
      <c r="G381" s="569"/>
      <c r="H381" s="557" t="s">
        <v>1346</v>
      </c>
      <c r="I381" s="570">
        <f t="shared" si="11"/>
        <v>53010</v>
      </c>
      <c r="J381" s="554"/>
      <c r="L381" s="570">
        <v>58900</v>
      </c>
      <c r="M381" s="549">
        <v>0.9</v>
      </c>
      <c r="N381" s="686">
        <f t="shared" si="12"/>
        <v>53010</v>
      </c>
    </row>
    <row r="382" spans="2:14" ht="17.100000000000001" hidden="1" customHeight="1">
      <c r="B382" s="554">
        <v>14</v>
      </c>
      <c r="C382" s="555" t="s">
        <v>4591</v>
      </c>
      <c r="D382" s="556"/>
      <c r="E382" s="556"/>
      <c r="F382" s="556"/>
      <c r="G382" s="569"/>
      <c r="H382" s="557" t="s">
        <v>2944</v>
      </c>
      <c r="I382" s="570">
        <f t="shared" si="11"/>
        <v>37485</v>
      </c>
      <c r="J382" s="554"/>
      <c r="L382" s="570">
        <v>41650</v>
      </c>
      <c r="M382" s="549">
        <v>0.9</v>
      </c>
      <c r="N382" s="686">
        <f t="shared" si="12"/>
        <v>37485</v>
      </c>
    </row>
    <row r="383" spans="2:14" ht="17.100000000000001" hidden="1" customHeight="1">
      <c r="B383" s="554">
        <v>15</v>
      </c>
      <c r="C383" s="555" t="s">
        <v>4697</v>
      </c>
      <c r="D383" s="556"/>
      <c r="E383" s="556"/>
      <c r="F383" s="556"/>
      <c r="G383" s="569"/>
      <c r="H383" s="557" t="s">
        <v>1423</v>
      </c>
      <c r="I383" s="570">
        <f t="shared" si="11"/>
        <v>128520</v>
      </c>
      <c r="J383" s="554"/>
      <c r="L383" s="570">
        <v>142800</v>
      </c>
      <c r="M383" s="549">
        <v>0.9</v>
      </c>
      <c r="N383" s="686">
        <f t="shared" si="12"/>
        <v>128520</v>
      </c>
    </row>
    <row r="384" spans="2:14" ht="17.100000000000001" hidden="1" customHeight="1">
      <c r="B384" s="554">
        <v>16</v>
      </c>
      <c r="C384" s="555" t="s">
        <v>4726</v>
      </c>
      <c r="D384" s="556"/>
      <c r="E384" s="556"/>
      <c r="F384" s="556"/>
      <c r="G384" s="569"/>
      <c r="H384" s="557" t="s">
        <v>2944</v>
      </c>
      <c r="I384" s="570">
        <f t="shared" si="11"/>
        <v>216342</v>
      </c>
      <c r="J384" s="554"/>
      <c r="L384" s="570">
        <v>240380</v>
      </c>
      <c r="M384" s="549">
        <v>0.9</v>
      </c>
      <c r="N384" s="686">
        <f t="shared" si="12"/>
        <v>216342</v>
      </c>
    </row>
    <row r="385" spans="2:14" ht="17.100000000000001" hidden="1" customHeight="1">
      <c r="B385" s="554">
        <v>17</v>
      </c>
      <c r="C385" s="555" t="s">
        <v>4727</v>
      </c>
      <c r="D385" s="556"/>
      <c r="E385" s="556"/>
      <c r="F385" s="556"/>
      <c r="G385" s="569"/>
      <c r="H385" s="557" t="s">
        <v>1405</v>
      </c>
      <c r="I385" s="570">
        <f t="shared" si="11"/>
        <v>2977380</v>
      </c>
      <c r="J385" s="554"/>
      <c r="L385" s="570">
        <v>3308200</v>
      </c>
      <c r="M385" s="549">
        <v>0.9</v>
      </c>
      <c r="N385" s="686">
        <f t="shared" si="12"/>
        <v>2977380</v>
      </c>
    </row>
    <row r="386" spans="2:14" ht="17.100000000000001" customHeight="1">
      <c r="B386" s="554">
        <v>1</v>
      </c>
      <c r="C386" s="555" t="s">
        <v>3109</v>
      </c>
      <c r="D386" s="556"/>
      <c r="E386" s="556"/>
      <c r="F386" s="556"/>
      <c r="G386" s="569"/>
      <c r="H386" s="557" t="s">
        <v>1423</v>
      </c>
      <c r="I386" s="570">
        <f t="shared" si="11"/>
        <v>15309</v>
      </c>
      <c r="J386" s="554"/>
      <c r="L386" s="570">
        <v>17010</v>
      </c>
      <c r="M386" s="549">
        <v>0.9</v>
      </c>
      <c r="N386" s="686">
        <f t="shared" si="12"/>
        <v>15309</v>
      </c>
    </row>
    <row r="387" spans="2:14" ht="17.100000000000001" customHeight="1">
      <c r="B387" s="554">
        <v>2</v>
      </c>
      <c r="C387" s="555" t="s">
        <v>3519</v>
      </c>
      <c r="D387" s="556"/>
      <c r="E387" s="556"/>
      <c r="F387" s="556"/>
      <c r="G387" s="569"/>
      <c r="H387" s="557" t="s">
        <v>1423</v>
      </c>
      <c r="I387" s="570">
        <f t="shared" si="11"/>
        <v>20025</v>
      </c>
      <c r="J387" s="554"/>
      <c r="L387" s="570">
        <v>22250</v>
      </c>
      <c r="M387" s="549">
        <v>0.9</v>
      </c>
      <c r="N387" s="686">
        <f t="shared" si="12"/>
        <v>20025</v>
      </c>
    </row>
    <row r="388" spans="2:14" ht="17.100000000000001" hidden="1" customHeight="1">
      <c r="B388" s="554">
        <v>20</v>
      </c>
      <c r="C388" s="555" t="s">
        <v>3110</v>
      </c>
      <c r="D388" s="556"/>
      <c r="E388" s="556"/>
      <c r="F388" s="556"/>
      <c r="G388" s="569"/>
      <c r="H388" s="557" t="s">
        <v>1423</v>
      </c>
      <c r="I388" s="570">
        <f t="shared" si="11"/>
        <v>23562</v>
      </c>
      <c r="J388" s="554"/>
      <c r="L388" s="570">
        <v>26180</v>
      </c>
      <c r="M388" s="549">
        <v>0.9</v>
      </c>
      <c r="N388" s="686">
        <f t="shared" si="12"/>
        <v>23562</v>
      </c>
    </row>
    <row r="389" spans="2:14" s="1056" customFormat="1" ht="17.100000000000001" hidden="1" customHeight="1">
      <c r="B389" s="554">
        <v>3</v>
      </c>
      <c r="C389" s="555" t="s">
        <v>3111</v>
      </c>
      <c r="D389" s="556"/>
      <c r="E389" s="556"/>
      <c r="F389" s="556"/>
      <c r="G389" s="569"/>
      <c r="H389" s="557" t="s">
        <v>1423</v>
      </c>
      <c r="I389" s="570">
        <f t="shared" si="11"/>
        <v>19431</v>
      </c>
      <c r="J389" s="554"/>
      <c r="L389" s="1055">
        <v>21590</v>
      </c>
      <c r="M389" s="1056">
        <v>0.9</v>
      </c>
      <c r="N389" s="1057">
        <f t="shared" si="12"/>
        <v>19431</v>
      </c>
    </row>
    <row r="390" spans="2:14" s="1056" customFormat="1" ht="17.100000000000001" hidden="1" customHeight="1">
      <c r="B390" s="554">
        <v>22</v>
      </c>
      <c r="C390" s="555" t="s">
        <v>3112</v>
      </c>
      <c r="D390" s="556"/>
      <c r="E390" s="556"/>
      <c r="F390" s="556"/>
      <c r="G390" s="569"/>
      <c r="H390" s="557" t="s">
        <v>1423</v>
      </c>
      <c r="I390" s="570">
        <f t="shared" si="11"/>
        <v>69615</v>
      </c>
      <c r="J390" s="554"/>
      <c r="L390" s="1055">
        <v>77350</v>
      </c>
      <c r="M390" s="1056">
        <v>0.9</v>
      </c>
      <c r="N390" s="1057">
        <f t="shared" si="12"/>
        <v>69615</v>
      </c>
    </row>
    <row r="391" spans="2:14" s="1056" customFormat="1" ht="17.100000000000001" hidden="1" customHeight="1">
      <c r="B391" s="554">
        <v>23</v>
      </c>
      <c r="C391" s="555" t="s">
        <v>3113</v>
      </c>
      <c r="D391" s="556"/>
      <c r="E391" s="556"/>
      <c r="F391" s="556"/>
      <c r="G391" s="569"/>
      <c r="H391" s="557" t="s">
        <v>1423</v>
      </c>
      <c r="I391" s="570">
        <f t="shared" si="11"/>
        <v>45351</v>
      </c>
      <c r="J391" s="554"/>
      <c r="L391" s="1055">
        <v>50390</v>
      </c>
      <c r="M391" s="1056">
        <v>0.9</v>
      </c>
      <c r="N391" s="1057">
        <f t="shared" si="12"/>
        <v>45351</v>
      </c>
    </row>
    <row r="392" spans="2:14" s="1056" customFormat="1" ht="17.100000000000001" hidden="1" customHeight="1">
      <c r="B392" s="554">
        <v>24</v>
      </c>
      <c r="C392" s="555" t="s">
        <v>3114</v>
      </c>
      <c r="D392" s="556"/>
      <c r="E392" s="556"/>
      <c r="F392" s="556"/>
      <c r="G392" s="569"/>
      <c r="H392" s="557" t="s">
        <v>1423</v>
      </c>
      <c r="I392" s="570">
        <f t="shared" si="11"/>
        <v>53010</v>
      </c>
      <c r="J392" s="554"/>
      <c r="L392" s="1055">
        <v>58900</v>
      </c>
      <c r="M392" s="1056">
        <v>0.9</v>
      </c>
      <c r="N392" s="1057">
        <f t="shared" si="12"/>
        <v>53010</v>
      </c>
    </row>
    <row r="393" spans="2:14" s="1056" customFormat="1" ht="17.100000000000001" hidden="1" customHeight="1">
      <c r="B393" s="554">
        <v>25</v>
      </c>
      <c r="C393" s="555" t="s">
        <v>3115</v>
      </c>
      <c r="D393" s="556"/>
      <c r="E393" s="556"/>
      <c r="F393" s="556"/>
      <c r="G393" s="569"/>
      <c r="H393" s="557" t="s">
        <v>1423</v>
      </c>
      <c r="I393" s="570">
        <f t="shared" si="11"/>
        <v>82467</v>
      </c>
      <c r="J393" s="554"/>
      <c r="L393" s="1055">
        <v>91630</v>
      </c>
      <c r="M393" s="1056">
        <v>0.9</v>
      </c>
      <c r="N393" s="1057">
        <f t="shared" si="12"/>
        <v>82467</v>
      </c>
    </row>
    <row r="394" spans="2:14" s="1056" customFormat="1" ht="17.100000000000001" hidden="1" customHeight="1">
      <c r="B394" s="554">
        <v>26</v>
      </c>
      <c r="C394" s="555" t="s">
        <v>3116</v>
      </c>
      <c r="D394" s="556"/>
      <c r="E394" s="556"/>
      <c r="F394" s="556"/>
      <c r="G394" s="569"/>
      <c r="H394" s="557" t="s">
        <v>1423</v>
      </c>
      <c r="I394" s="570">
        <f t="shared" si="11"/>
        <v>111915</v>
      </c>
      <c r="J394" s="554"/>
      <c r="L394" s="1055">
        <v>124350</v>
      </c>
      <c r="M394" s="1056">
        <v>0.9</v>
      </c>
      <c r="N394" s="1057">
        <f t="shared" si="12"/>
        <v>111915</v>
      </c>
    </row>
    <row r="395" spans="2:14" s="1056" customFormat="1" ht="17.100000000000001" hidden="1" customHeight="1">
      <c r="B395" s="554">
        <v>27</v>
      </c>
      <c r="C395" s="555" t="s">
        <v>3117</v>
      </c>
      <c r="D395" s="556"/>
      <c r="E395" s="556"/>
      <c r="F395" s="556"/>
      <c r="G395" s="569"/>
      <c r="H395" s="557" t="s">
        <v>2970</v>
      </c>
      <c r="I395" s="570">
        <f t="shared" si="11"/>
        <v>53010</v>
      </c>
      <c r="J395" s="554"/>
      <c r="L395" s="1055">
        <v>58900</v>
      </c>
      <c r="M395" s="1056">
        <v>0.9</v>
      </c>
      <c r="N395" s="1057">
        <f t="shared" si="12"/>
        <v>53010</v>
      </c>
    </row>
    <row r="396" spans="2:14" s="1056" customFormat="1" ht="17.100000000000001" hidden="1" customHeight="1">
      <c r="B396" s="554">
        <v>28</v>
      </c>
      <c r="C396" s="555" t="s">
        <v>3118</v>
      </c>
      <c r="D396" s="556"/>
      <c r="E396" s="556"/>
      <c r="F396" s="556"/>
      <c r="G396" s="569"/>
      <c r="H396" s="557" t="s">
        <v>2970</v>
      </c>
      <c r="I396" s="570">
        <f t="shared" si="11"/>
        <v>64791</v>
      </c>
      <c r="J396" s="554"/>
      <c r="L396" s="1055">
        <v>71990</v>
      </c>
      <c r="M396" s="1056">
        <v>0.9</v>
      </c>
      <c r="N396" s="1057">
        <f t="shared" si="12"/>
        <v>64791</v>
      </c>
    </row>
    <row r="397" spans="2:14" s="1056" customFormat="1" ht="17.100000000000001" hidden="1" customHeight="1">
      <c r="B397" s="554">
        <v>29</v>
      </c>
      <c r="C397" s="555" t="s">
        <v>3119</v>
      </c>
      <c r="D397" s="556"/>
      <c r="E397" s="556"/>
      <c r="F397" s="556"/>
      <c r="G397" s="569"/>
      <c r="H397" s="557" t="s">
        <v>2970</v>
      </c>
      <c r="I397" s="570">
        <f t="shared" si="11"/>
        <v>70686</v>
      </c>
      <c r="J397" s="554"/>
      <c r="L397" s="1055">
        <v>78540</v>
      </c>
      <c r="M397" s="1056">
        <v>0.9</v>
      </c>
      <c r="N397" s="1057">
        <f t="shared" si="12"/>
        <v>70686</v>
      </c>
    </row>
    <row r="398" spans="2:14" s="1056" customFormat="1" ht="17.100000000000001" hidden="1" customHeight="1">
      <c r="B398" s="554">
        <v>30</v>
      </c>
      <c r="C398" s="555" t="s">
        <v>3120</v>
      </c>
      <c r="D398" s="556"/>
      <c r="E398" s="556"/>
      <c r="F398" s="556"/>
      <c r="G398" s="569"/>
      <c r="H398" s="557" t="s">
        <v>2970</v>
      </c>
      <c r="I398" s="570">
        <f t="shared" si="11"/>
        <v>76572</v>
      </c>
      <c r="J398" s="554"/>
      <c r="L398" s="1055">
        <v>85080</v>
      </c>
      <c r="M398" s="1056">
        <v>0.9</v>
      </c>
      <c r="N398" s="1057">
        <f t="shared" si="12"/>
        <v>76572</v>
      </c>
    </row>
    <row r="399" spans="2:14" s="1056" customFormat="1" ht="17.100000000000001" hidden="1" customHeight="1">
      <c r="B399" s="554">
        <v>31</v>
      </c>
      <c r="C399" s="555" t="s">
        <v>3121</v>
      </c>
      <c r="D399" s="556"/>
      <c r="E399" s="556"/>
      <c r="F399" s="556"/>
      <c r="G399" s="569"/>
      <c r="H399" s="557" t="s">
        <v>2944</v>
      </c>
      <c r="I399" s="570">
        <f t="shared" si="11"/>
        <v>3528</v>
      </c>
      <c r="J399" s="554"/>
      <c r="L399" s="1055">
        <v>3920</v>
      </c>
      <c r="M399" s="1056">
        <v>0.9</v>
      </c>
      <c r="N399" s="1057">
        <f t="shared" si="12"/>
        <v>3528</v>
      </c>
    </row>
    <row r="400" spans="2:14" s="1056" customFormat="1" ht="17.100000000000001" hidden="1" customHeight="1">
      <c r="B400" s="554">
        <v>32</v>
      </c>
      <c r="C400" s="555" t="s">
        <v>3122</v>
      </c>
      <c r="D400" s="556"/>
      <c r="E400" s="556"/>
      <c r="F400" s="556"/>
      <c r="G400" s="569"/>
      <c r="H400" s="557" t="s">
        <v>2944</v>
      </c>
      <c r="I400" s="570">
        <f t="shared" si="11"/>
        <v>7650</v>
      </c>
      <c r="J400" s="554"/>
      <c r="L400" s="1055">
        <v>8500</v>
      </c>
      <c r="M400" s="1056">
        <v>0.9</v>
      </c>
      <c r="N400" s="1057">
        <f t="shared" si="12"/>
        <v>7650</v>
      </c>
    </row>
    <row r="401" spans="2:14" s="1056" customFormat="1" ht="17.100000000000001" hidden="1" customHeight="1">
      <c r="B401" s="554">
        <v>33</v>
      </c>
      <c r="C401" s="555" t="s">
        <v>3123</v>
      </c>
      <c r="D401" s="556"/>
      <c r="E401" s="556"/>
      <c r="F401" s="556"/>
      <c r="G401" s="569"/>
      <c r="H401" s="557" t="s">
        <v>2944</v>
      </c>
      <c r="I401" s="570">
        <f t="shared" si="11"/>
        <v>12951</v>
      </c>
      <c r="J401" s="554"/>
      <c r="L401" s="1055">
        <v>14390</v>
      </c>
      <c r="M401" s="1056">
        <v>0.9</v>
      </c>
      <c r="N401" s="1057">
        <f t="shared" si="12"/>
        <v>12951</v>
      </c>
    </row>
    <row r="402" spans="2:14" s="1056" customFormat="1" ht="17.100000000000001" hidden="1" customHeight="1">
      <c r="B402" s="554">
        <v>34</v>
      </c>
      <c r="C402" s="555" t="s">
        <v>3124</v>
      </c>
      <c r="D402" s="556"/>
      <c r="E402" s="556"/>
      <c r="F402" s="556"/>
      <c r="G402" s="569"/>
      <c r="H402" s="557" t="s">
        <v>2944</v>
      </c>
      <c r="I402" s="570">
        <f t="shared" si="11"/>
        <v>7281</v>
      </c>
      <c r="J402" s="554"/>
      <c r="L402" s="1055">
        <v>8090</v>
      </c>
      <c r="M402" s="1056">
        <v>0.9</v>
      </c>
      <c r="N402" s="1057">
        <f t="shared" si="12"/>
        <v>7281</v>
      </c>
    </row>
    <row r="403" spans="2:14" s="1056" customFormat="1" ht="17.100000000000001" hidden="1" customHeight="1">
      <c r="B403" s="554">
        <v>35</v>
      </c>
      <c r="C403" s="555" t="s">
        <v>3125</v>
      </c>
      <c r="D403" s="556"/>
      <c r="E403" s="556"/>
      <c r="F403" s="556"/>
      <c r="G403" s="569"/>
      <c r="H403" s="557" t="s">
        <v>2944</v>
      </c>
      <c r="I403" s="570">
        <f t="shared" si="11"/>
        <v>14130</v>
      </c>
      <c r="J403" s="554"/>
      <c r="L403" s="1055">
        <v>15700</v>
      </c>
      <c r="M403" s="1056">
        <v>0.9</v>
      </c>
      <c r="N403" s="1057">
        <f t="shared" si="12"/>
        <v>14130</v>
      </c>
    </row>
    <row r="404" spans="2:14" s="1056" customFormat="1" ht="17.100000000000001" hidden="1" customHeight="1">
      <c r="B404" s="554">
        <v>36</v>
      </c>
      <c r="C404" s="555" t="s">
        <v>4494</v>
      </c>
      <c r="D404" s="556"/>
      <c r="E404" s="556"/>
      <c r="F404" s="556"/>
      <c r="G404" s="569"/>
      <c r="H404" s="557" t="s">
        <v>2944</v>
      </c>
      <c r="I404" s="570">
        <f t="shared" si="11"/>
        <v>8991</v>
      </c>
      <c r="J404" s="554"/>
      <c r="L404" s="1055">
        <v>9990</v>
      </c>
      <c r="M404" s="1056">
        <v>0.9</v>
      </c>
      <c r="N404" s="1057">
        <f t="shared" si="12"/>
        <v>8991</v>
      </c>
    </row>
    <row r="405" spans="2:14" s="1056" customFormat="1" ht="17.100000000000001" hidden="1" customHeight="1">
      <c r="B405" s="554">
        <v>37</v>
      </c>
      <c r="C405" s="555" t="s">
        <v>4493</v>
      </c>
      <c r="D405" s="556"/>
      <c r="E405" s="556"/>
      <c r="F405" s="556"/>
      <c r="G405" s="569"/>
      <c r="H405" s="557" t="s">
        <v>2944</v>
      </c>
      <c r="I405" s="570">
        <f t="shared" si="11"/>
        <v>15309</v>
      </c>
      <c r="J405" s="554"/>
      <c r="L405" s="1055">
        <v>17010</v>
      </c>
      <c r="M405" s="1056">
        <v>0.9</v>
      </c>
      <c r="N405" s="1057">
        <f t="shared" si="12"/>
        <v>15309</v>
      </c>
    </row>
    <row r="406" spans="2:14" s="1056" customFormat="1" ht="17.100000000000001" hidden="1" customHeight="1">
      <c r="B406" s="554">
        <v>38</v>
      </c>
      <c r="C406" s="555" t="s">
        <v>3126</v>
      </c>
      <c r="D406" s="556"/>
      <c r="E406" s="556"/>
      <c r="F406" s="556"/>
      <c r="G406" s="569"/>
      <c r="H406" s="557" t="s">
        <v>2944</v>
      </c>
      <c r="I406" s="570">
        <f t="shared" si="11"/>
        <v>25911</v>
      </c>
      <c r="J406" s="554"/>
      <c r="L406" s="1055">
        <v>28790</v>
      </c>
      <c r="M406" s="1056">
        <v>0.9</v>
      </c>
      <c r="N406" s="1057">
        <f t="shared" si="12"/>
        <v>25911</v>
      </c>
    </row>
    <row r="407" spans="2:14" s="1056" customFormat="1" ht="17.100000000000001" hidden="1" customHeight="1">
      <c r="B407" s="554">
        <v>39</v>
      </c>
      <c r="C407" s="578" t="s">
        <v>3127</v>
      </c>
      <c r="D407" s="579"/>
      <c r="E407" s="556"/>
      <c r="F407" s="556"/>
      <c r="G407" s="569"/>
      <c r="H407" s="583" t="s">
        <v>2991</v>
      </c>
      <c r="I407" s="570">
        <f t="shared" si="11"/>
        <v>111915</v>
      </c>
      <c r="J407" s="554"/>
      <c r="L407" s="1055">
        <v>124350</v>
      </c>
      <c r="M407" s="1056">
        <v>0.9</v>
      </c>
      <c r="N407" s="1057">
        <f t="shared" si="12"/>
        <v>111915</v>
      </c>
    </row>
    <row r="408" spans="2:14" s="1056" customFormat="1" ht="17.100000000000001" hidden="1" customHeight="1">
      <c r="B408" s="554">
        <v>40</v>
      </c>
      <c r="C408" s="578" t="s">
        <v>4882</v>
      </c>
      <c r="D408" s="579"/>
      <c r="E408" s="556"/>
      <c r="F408" s="556"/>
      <c r="G408" s="569"/>
      <c r="H408" s="583" t="s">
        <v>2991</v>
      </c>
      <c r="I408" s="570">
        <f t="shared" si="11"/>
        <v>108000</v>
      </c>
      <c r="J408" s="554"/>
      <c r="L408" s="1055">
        <v>120000</v>
      </c>
      <c r="M408" s="1056">
        <v>0.9</v>
      </c>
      <c r="N408" s="1057">
        <f t="shared" si="12"/>
        <v>108000</v>
      </c>
    </row>
    <row r="409" spans="2:14" s="1056" customFormat="1" ht="17.100000000000001" hidden="1" customHeight="1">
      <c r="B409" s="554">
        <v>41</v>
      </c>
      <c r="C409" s="578" t="s">
        <v>4883</v>
      </c>
      <c r="D409" s="579"/>
      <c r="E409" s="556"/>
      <c r="F409" s="556"/>
      <c r="G409" s="569"/>
      <c r="H409" s="583" t="s">
        <v>2991</v>
      </c>
      <c r="I409" s="570">
        <f t="shared" si="11"/>
        <v>139500</v>
      </c>
      <c r="J409" s="554"/>
      <c r="L409" s="1055">
        <v>155000</v>
      </c>
      <c r="M409" s="1056">
        <v>0.9</v>
      </c>
      <c r="N409" s="1057">
        <f t="shared" si="12"/>
        <v>139500</v>
      </c>
    </row>
    <row r="410" spans="2:14" s="1056" customFormat="1" ht="17.100000000000001" hidden="1" customHeight="1">
      <c r="B410" s="554">
        <v>42</v>
      </c>
      <c r="C410" s="578" t="s">
        <v>4884</v>
      </c>
      <c r="D410" s="579"/>
      <c r="E410" s="556"/>
      <c r="F410" s="556"/>
      <c r="G410" s="569"/>
      <c r="H410" s="583" t="s">
        <v>2991</v>
      </c>
      <c r="I410" s="570">
        <f t="shared" si="11"/>
        <v>234000</v>
      </c>
      <c r="J410" s="554"/>
      <c r="L410" s="1055">
        <v>260000</v>
      </c>
      <c r="M410" s="1056">
        <v>0.9</v>
      </c>
      <c r="N410" s="1057">
        <f t="shared" si="12"/>
        <v>234000</v>
      </c>
    </row>
    <row r="411" spans="2:14" s="1056" customFormat="1" ht="17.100000000000001" hidden="1" customHeight="1">
      <c r="B411" s="554">
        <v>43</v>
      </c>
      <c r="C411" s="578" t="s">
        <v>4885</v>
      </c>
      <c r="D411" s="579"/>
      <c r="E411" s="556"/>
      <c r="F411" s="556"/>
      <c r="G411" s="569"/>
      <c r="H411" s="583" t="s">
        <v>2991</v>
      </c>
      <c r="I411" s="570">
        <f t="shared" si="11"/>
        <v>286200</v>
      </c>
      <c r="J411" s="554"/>
      <c r="L411" s="1055">
        <v>318000</v>
      </c>
      <c r="M411" s="1056">
        <v>0.9</v>
      </c>
      <c r="N411" s="1057">
        <f t="shared" si="12"/>
        <v>286200</v>
      </c>
    </row>
    <row r="412" spans="2:14" s="1056" customFormat="1" ht="17.100000000000001" hidden="1" customHeight="1">
      <c r="B412" s="554">
        <v>44</v>
      </c>
      <c r="C412" s="578" t="s">
        <v>3128</v>
      </c>
      <c r="D412" s="579"/>
      <c r="E412" s="556"/>
      <c r="F412" s="556"/>
      <c r="G412" s="569"/>
      <c r="H412" s="583" t="s">
        <v>3129</v>
      </c>
      <c r="I412" s="570">
        <f t="shared" si="11"/>
        <v>10008</v>
      </c>
      <c r="J412" s="554"/>
      <c r="L412" s="1055">
        <v>11120</v>
      </c>
      <c r="M412" s="1056">
        <v>0.9</v>
      </c>
      <c r="N412" s="1057">
        <f t="shared" si="12"/>
        <v>10008</v>
      </c>
    </row>
    <row r="413" spans="2:14" s="1056" customFormat="1" ht="17.100000000000001" customHeight="1">
      <c r="B413" s="554">
        <v>3</v>
      </c>
      <c r="C413" s="578" t="s">
        <v>5276</v>
      </c>
      <c r="D413" s="579"/>
      <c r="E413" s="556"/>
      <c r="F413" s="556"/>
      <c r="G413" s="569"/>
      <c r="H413" s="583" t="s">
        <v>1346</v>
      </c>
      <c r="I413" s="570">
        <v>6250000</v>
      </c>
      <c r="J413" s="554"/>
      <c r="L413" s="1055">
        <v>346880</v>
      </c>
      <c r="M413" s="1056">
        <v>0.9</v>
      </c>
      <c r="N413" s="1057">
        <f t="shared" si="12"/>
        <v>312192</v>
      </c>
    </row>
    <row r="414" spans="2:14" s="1056" customFormat="1" ht="17.100000000000001" hidden="1" customHeight="1">
      <c r="B414" s="554">
        <v>46</v>
      </c>
      <c r="C414" s="578" t="s">
        <v>4728</v>
      </c>
      <c r="D414" s="579"/>
      <c r="E414" s="556"/>
      <c r="F414" s="556"/>
      <c r="G414" s="569"/>
      <c r="H414" s="583" t="s">
        <v>1405</v>
      </c>
      <c r="I414" s="570">
        <f t="shared" ref="I414:I478" si="13">N414</f>
        <v>198135</v>
      </c>
      <c r="J414" s="554"/>
      <c r="L414" s="1055">
        <v>220150</v>
      </c>
      <c r="M414" s="1056">
        <v>0.9</v>
      </c>
      <c r="N414" s="1057">
        <f t="shared" ref="N414:N478" si="14">L414*M414</f>
        <v>198135</v>
      </c>
    </row>
    <row r="415" spans="2:14" s="1056" customFormat="1" ht="17.100000000000001" hidden="1" customHeight="1">
      <c r="B415" s="554">
        <v>47</v>
      </c>
      <c r="C415" s="578" t="s">
        <v>4729</v>
      </c>
      <c r="D415" s="579"/>
      <c r="E415" s="556"/>
      <c r="F415" s="556"/>
      <c r="G415" s="569"/>
      <c r="H415" s="583" t="s">
        <v>2991</v>
      </c>
      <c r="I415" s="570">
        <f t="shared" si="13"/>
        <v>74970</v>
      </c>
      <c r="J415" s="554"/>
      <c r="L415" s="1055">
        <v>83300</v>
      </c>
      <c r="M415" s="1056">
        <v>0.9</v>
      </c>
      <c r="N415" s="1057">
        <f t="shared" si="14"/>
        <v>74970</v>
      </c>
    </row>
    <row r="416" spans="2:14" s="1056" customFormat="1" ht="17.100000000000001" hidden="1" customHeight="1">
      <c r="B416" s="554">
        <v>48</v>
      </c>
      <c r="C416" s="578" t="s">
        <v>4762</v>
      </c>
      <c r="D416" s="579"/>
      <c r="E416" s="556"/>
      <c r="F416" s="556"/>
      <c r="G416" s="569"/>
      <c r="H416" s="583" t="s">
        <v>1346</v>
      </c>
      <c r="I416" s="570">
        <f t="shared" si="13"/>
        <v>27920970</v>
      </c>
      <c r="J416" s="554"/>
      <c r="L416" s="1055">
        <v>31023300</v>
      </c>
      <c r="M416" s="1056">
        <v>0.9</v>
      </c>
      <c r="N416" s="1057">
        <f t="shared" si="14"/>
        <v>27920970</v>
      </c>
    </row>
    <row r="417" spans="2:14" s="1056" customFormat="1" ht="17.100000000000001" hidden="1" customHeight="1">
      <c r="B417" s="554">
        <v>49</v>
      </c>
      <c r="C417" s="578" t="s">
        <v>4763</v>
      </c>
      <c r="D417" s="579"/>
      <c r="E417" s="556"/>
      <c r="F417" s="556"/>
      <c r="G417" s="569"/>
      <c r="H417" s="583" t="s">
        <v>1346</v>
      </c>
      <c r="I417" s="570">
        <f t="shared" si="13"/>
        <v>53014500</v>
      </c>
      <c r="J417" s="554"/>
      <c r="L417" s="1055">
        <v>58905000</v>
      </c>
      <c r="M417" s="1056">
        <v>0.9</v>
      </c>
      <c r="N417" s="1057">
        <f t="shared" si="14"/>
        <v>53014500</v>
      </c>
    </row>
    <row r="418" spans="2:14" s="1056" customFormat="1" ht="17.100000000000001" hidden="1" customHeight="1">
      <c r="B418" s="571">
        <v>50</v>
      </c>
      <c r="C418" s="578" t="s">
        <v>5035</v>
      </c>
      <c r="D418" s="579"/>
      <c r="E418" s="556"/>
      <c r="F418" s="556"/>
      <c r="G418" s="569"/>
      <c r="H418" s="583" t="s">
        <v>1423</v>
      </c>
      <c r="I418" s="570">
        <f t="shared" si="13"/>
        <v>168750</v>
      </c>
      <c r="J418" s="554"/>
      <c r="L418" s="1055">
        <f>(1250000*0.15)+O418</f>
        <v>187500</v>
      </c>
      <c r="M418" s="1056">
        <v>0.9</v>
      </c>
      <c r="N418" s="1057">
        <f t="shared" si="14"/>
        <v>168750</v>
      </c>
    </row>
    <row r="419" spans="2:14" s="1056" customFormat="1" ht="17.100000000000001" hidden="1" customHeight="1">
      <c r="B419" s="571">
        <v>51</v>
      </c>
      <c r="C419" s="578" t="s">
        <v>5036</v>
      </c>
      <c r="D419" s="579"/>
      <c r="E419" s="556"/>
      <c r="F419" s="556"/>
      <c r="G419" s="569"/>
      <c r="H419" s="583" t="s">
        <v>1423</v>
      </c>
      <c r="I419" s="570">
        <f t="shared" si="13"/>
        <v>108675</v>
      </c>
      <c r="J419" s="554"/>
      <c r="L419" s="1055">
        <f>(805000*0.15)+O419</f>
        <v>120750</v>
      </c>
      <c r="M419" s="1056">
        <v>0.9</v>
      </c>
      <c r="N419" s="1057">
        <f t="shared" si="14"/>
        <v>108675</v>
      </c>
    </row>
    <row r="420" spans="2:14" s="1056" customFormat="1" ht="17.100000000000001" hidden="1" customHeight="1">
      <c r="B420" s="554"/>
      <c r="C420" s="594" t="s">
        <v>3833</v>
      </c>
      <c r="D420" s="579"/>
      <c r="E420" s="556"/>
      <c r="F420" s="556"/>
      <c r="G420" s="569"/>
      <c r="H420" s="583"/>
      <c r="I420" s="570">
        <f t="shared" si="13"/>
        <v>0</v>
      </c>
      <c r="J420" s="554"/>
      <c r="L420" s="1055"/>
      <c r="M420" s="1056">
        <v>0.9</v>
      </c>
      <c r="N420" s="1057">
        <f t="shared" si="14"/>
        <v>0</v>
      </c>
    </row>
    <row r="421" spans="2:14" s="1056" customFormat="1" ht="17.100000000000001" hidden="1" customHeight="1">
      <c r="B421" s="554"/>
      <c r="C421" s="594" t="s">
        <v>3660</v>
      </c>
      <c r="D421" s="579"/>
      <c r="E421" s="556"/>
      <c r="F421" s="556"/>
      <c r="G421" s="569"/>
      <c r="H421" s="583"/>
      <c r="I421" s="570">
        <f t="shared" si="13"/>
        <v>0</v>
      </c>
      <c r="J421" s="554"/>
      <c r="L421" s="1055"/>
      <c r="M421" s="1056">
        <v>0.9</v>
      </c>
      <c r="N421" s="1057">
        <f t="shared" si="14"/>
        <v>0</v>
      </c>
    </row>
    <row r="422" spans="2:14" s="1056" customFormat="1" ht="17.100000000000001" hidden="1" customHeight="1">
      <c r="B422" s="554">
        <v>1</v>
      </c>
      <c r="C422" s="578" t="s">
        <v>3661</v>
      </c>
      <c r="D422" s="579"/>
      <c r="E422" s="556"/>
      <c r="F422" s="556"/>
      <c r="G422" s="569"/>
      <c r="H422" s="583" t="s">
        <v>3662</v>
      </c>
      <c r="I422" s="570">
        <f t="shared" si="13"/>
        <v>1035</v>
      </c>
      <c r="J422" s="554"/>
      <c r="L422" s="1055">
        <v>1150</v>
      </c>
      <c r="M422" s="1056">
        <v>0.9</v>
      </c>
      <c r="N422" s="1057">
        <f t="shared" si="14"/>
        <v>1035</v>
      </c>
    </row>
    <row r="423" spans="2:14" s="1056" customFormat="1" ht="17.100000000000001" hidden="1" customHeight="1">
      <c r="B423" s="554">
        <v>2</v>
      </c>
      <c r="C423" s="578" t="s">
        <v>3663</v>
      </c>
      <c r="D423" s="579"/>
      <c r="E423" s="556"/>
      <c r="F423" s="556"/>
      <c r="G423" s="569"/>
      <c r="H423" s="583" t="s">
        <v>3662</v>
      </c>
      <c r="I423" s="570">
        <f t="shared" si="13"/>
        <v>171</v>
      </c>
      <c r="J423" s="554"/>
      <c r="L423" s="1055">
        <v>190</v>
      </c>
      <c r="M423" s="1056">
        <v>0.9</v>
      </c>
      <c r="N423" s="1057">
        <f t="shared" si="14"/>
        <v>171</v>
      </c>
    </row>
    <row r="424" spans="2:14" s="1056" customFormat="1" ht="17.100000000000001" hidden="1" customHeight="1">
      <c r="B424" s="554">
        <v>3</v>
      </c>
      <c r="C424" s="578" t="s">
        <v>3664</v>
      </c>
      <c r="D424" s="579"/>
      <c r="E424" s="556"/>
      <c r="F424" s="556"/>
      <c r="G424" s="569"/>
      <c r="H424" s="583" t="s">
        <v>3662</v>
      </c>
      <c r="I424" s="570">
        <f t="shared" si="13"/>
        <v>27</v>
      </c>
      <c r="J424" s="554"/>
      <c r="L424" s="1055">
        <v>30</v>
      </c>
      <c r="M424" s="1056">
        <v>0.9</v>
      </c>
      <c r="N424" s="1057">
        <f t="shared" si="14"/>
        <v>27</v>
      </c>
    </row>
    <row r="425" spans="2:14" s="1056" customFormat="1" ht="17.100000000000001" hidden="1" customHeight="1">
      <c r="B425" s="554">
        <v>4</v>
      </c>
      <c r="C425" s="578" t="s">
        <v>3665</v>
      </c>
      <c r="D425" s="579"/>
      <c r="E425" s="556"/>
      <c r="F425" s="556"/>
      <c r="G425" s="569"/>
      <c r="H425" s="583" t="s">
        <v>3662</v>
      </c>
      <c r="I425" s="570">
        <f t="shared" si="13"/>
        <v>45</v>
      </c>
      <c r="J425" s="554"/>
      <c r="L425" s="1055">
        <v>50</v>
      </c>
      <c r="M425" s="1056">
        <v>0.9</v>
      </c>
      <c r="N425" s="1057">
        <f t="shared" si="14"/>
        <v>45</v>
      </c>
    </row>
    <row r="426" spans="2:14" s="1056" customFormat="1" ht="17.100000000000001" hidden="1" customHeight="1">
      <c r="B426" s="554"/>
      <c r="C426" s="578"/>
      <c r="D426" s="579"/>
      <c r="E426" s="556"/>
      <c r="F426" s="556"/>
      <c r="G426" s="569"/>
      <c r="H426" s="583"/>
      <c r="I426" s="570">
        <f t="shared" si="13"/>
        <v>0</v>
      </c>
      <c r="J426" s="554"/>
      <c r="L426" s="1055"/>
      <c r="M426" s="1056">
        <v>0.9</v>
      </c>
      <c r="N426" s="1057">
        <f t="shared" si="14"/>
        <v>0</v>
      </c>
    </row>
    <row r="427" spans="2:14" s="1056" customFormat="1" ht="17.100000000000001" hidden="1" customHeight="1">
      <c r="B427" s="554"/>
      <c r="C427" s="594" t="s">
        <v>3666</v>
      </c>
      <c r="D427" s="579"/>
      <c r="E427" s="556"/>
      <c r="F427" s="556"/>
      <c r="G427" s="569"/>
      <c r="H427" s="583"/>
      <c r="I427" s="570">
        <f t="shared" si="13"/>
        <v>0</v>
      </c>
      <c r="J427" s="554"/>
      <c r="L427" s="1055"/>
      <c r="M427" s="1056">
        <v>0.9</v>
      </c>
      <c r="N427" s="1057">
        <f t="shared" si="14"/>
        <v>0</v>
      </c>
    </row>
    <row r="428" spans="2:14" s="1056" customFormat="1" ht="17.100000000000001" hidden="1" customHeight="1">
      <c r="B428" s="554">
        <v>1</v>
      </c>
      <c r="C428" s="578" t="s">
        <v>3667</v>
      </c>
      <c r="D428" s="579"/>
      <c r="E428" s="556"/>
      <c r="F428" s="556"/>
      <c r="G428" s="569"/>
      <c r="H428" s="583" t="s">
        <v>1346</v>
      </c>
      <c r="I428" s="570">
        <f t="shared" si="13"/>
        <v>1606500</v>
      </c>
      <c r="J428" s="554"/>
      <c r="L428" s="1055">
        <v>1785000</v>
      </c>
      <c r="M428" s="1056">
        <v>0.9</v>
      </c>
      <c r="N428" s="1057">
        <f t="shared" si="14"/>
        <v>1606500</v>
      </c>
    </row>
    <row r="429" spans="2:14" s="1056" customFormat="1" ht="17.100000000000001" hidden="1" customHeight="1">
      <c r="B429" s="554">
        <v>2</v>
      </c>
      <c r="C429" s="578" t="s">
        <v>3668</v>
      </c>
      <c r="D429" s="579"/>
      <c r="E429" s="556"/>
      <c r="F429" s="556"/>
      <c r="G429" s="569"/>
      <c r="H429" s="583" t="s">
        <v>2970</v>
      </c>
      <c r="I429" s="570">
        <f t="shared" si="13"/>
        <v>2142000</v>
      </c>
      <c r="J429" s="554"/>
      <c r="L429" s="1055">
        <v>2380000</v>
      </c>
      <c r="M429" s="1056">
        <v>0.9</v>
      </c>
      <c r="N429" s="1057">
        <f t="shared" si="14"/>
        <v>2142000</v>
      </c>
    </row>
    <row r="430" spans="2:14" s="1056" customFormat="1" ht="17.100000000000001" hidden="1" customHeight="1">
      <c r="B430" s="554"/>
      <c r="C430" s="578"/>
      <c r="D430" s="579"/>
      <c r="E430" s="556"/>
      <c r="F430" s="556"/>
      <c r="G430" s="569"/>
      <c r="H430" s="583"/>
      <c r="I430" s="570">
        <f t="shared" si="13"/>
        <v>0</v>
      </c>
      <c r="J430" s="554"/>
      <c r="L430" s="1055"/>
      <c r="M430" s="1056">
        <v>0.9</v>
      </c>
      <c r="N430" s="1057">
        <f t="shared" si="14"/>
        <v>0</v>
      </c>
    </row>
    <row r="431" spans="2:14" s="1056" customFormat="1" ht="17.100000000000001" customHeight="1">
      <c r="B431" s="554"/>
      <c r="C431" s="578"/>
      <c r="D431" s="579"/>
      <c r="E431" s="556"/>
      <c r="F431" s="556"/>
      <c r="G431" s="569"/>
      <c r="H431" s="583"/>
      <c r="I431" s="570"/>
      <c r="J431" s="554"/>
      <c r="L431" s="1055"/>
      <c r="N431" s="1057"/>
    </row>
    <row r="432" spans="2:14" s="1056" customFormat="1" ht="17.100000000000001" customHeight="1">
      <c r="B432" s="554"/>
      <c r="C432" s="594" t="s">
        <v>3669</v>
      </c>
      <c r="D432" s="579"/>
      <c r="E432" s="556"/>
      <c r="F432" s="556"/>
      <c r="G432" s="569"/>
      <c r="H432" s="583"/>
      <c r="I432" s="570"/>
      <c r="J432" s="554"/>
      <c r="L432" s="1055"/>
      <c r="N432" s="1057"/>
    </row>
    <row r="433" spans="2:14" ht="17.100000000000001" hidden="1" customHeight="1">
      <c r="B433" s="554">
        <v>1</v>
      </c>
      <c r="C433" s="578" t="s">
        <v>3670</v>
      </c>
      <c r="D433" s="579"/>
      <c r="E433" s="556"/>
      <c r="F433" s="556"/>
      <c r="G433" s="569"/>
      <c r="H433" s="583" t="s">
        <v>853</v>
      </c>
      <c r="I433" s="570">
        <f t="shared" si="13"/>
        <v>23562</v>
      </c>
      <c r="J433" s="554"/>
      <c r="L433" s="570">
        <v>26180</v>
      </c>
      <c r="M433" s="549">
        <v>0.9</v>
      </c>
      <c r="N433" s="686">
        <f t="shared" si="14"/>
        <v>23562</v>
      </c>
    </row>
    <row r="434" spans="2:14" ht="17.100000000000001" hidden="1" customHeight="1">
      <c r="B434" s="554">
        <v>2</v>
      </c>
      <c r="C434" s="578" t="s">
        <v>3671</v>
      </c>
      <c r="D434" s="579"/>
      <c r="E434" s="556"/>
      <c r="F434" s="556"/>
      <c r="G434" s="569"/>
      <c r="H434" s="583" t="s">
        <v>1346</v>
      </c>
      <c r="I434" s="570">
        <f t="shared" si="13"/>
        <v>69615</v>
      </c>
      <c r="J434" s="554"/>
      <c r="L434" s="570">
        <v>77350</v>
      </c>
      <c r="M434" s="549">
        <v>0.9</v>
      </c>
      <c r="N434" s="686">
        <f t="shared" si="14"/>
        <v>69615</v>
      </c>
    </row>
    <row r="435" spans="2:14" ht="17.100000000000001" hidden="1" customHeight="1">
      <c r="B435" s="554">
        <v>3</v>
      </c>
      <c r="C435" s="578" t="s">
        <v>3672</v>
      </c>
      <c r="D435" s="579"/>
      <c r="E435" s="556"/>
      <c r="F435" s="556"/>
      <c r="G435" s="569"/>
      <c r="H435" s="583" t="s">
        <v>1423</v>
      </c>
      <c r="I435" s="570">
        <f t="shared" si="13"/>
        <v>12852</v>
      </c>
      <c r="J435" s="554"/>
      <c r="L435" s="570">
        <v>14280</v>
      </c>
      <c r="M435" s="549">
        <v>0.9</v>
      </c>
      <c r="N435" s="686">
        <f t="shared" si="14"/>
        <v>12852</v>
      </c>
    </row>
    <row r="436" spans="2:14" ht="17.100000000000001" hidden="1" customHeight="1">
      <c r="B436" s="554">
        <v>4</v>
      </c>
      <c r="C436" s="578" t="s">
        <v>3673</v>
      </c>
      <c r="D436" s="579"/>
      <c r="E436" s="556"/>
      <c r="F436" s="556"/>
      <c r="G436" s="569"/>
      <c r="H436" s="583" t="s">
        <v>1423</v>
      </c>
      <c r="I436" s="570">
        <f t="shared" si="13"/>
        <v>2409750</v>
      </c>
      <c r="J436" s="554"/>
      <c r="L436" s="570">
        <v>2677500</v>
      </c>
      <c r="M436" s="549">
        <v>0.9</v>
      </c>
      <c r="N436" s="686">
        <f t="shared" si="14"/>
        <v>2409750</v>
      </c>
    </row>
    <row r="437" spans="2:14" ht="17.100000000000001" hidden="1" customHeight="1">
      <c r="B437" s="554">
        <v>5</v>
      </c>
      <c r="C437" s="578" t="s">
        <v>3674</v>
      </c>
      <c r="D437" s="579"/>
      <c r="E437" s="556"/>
      <c r="F437" s="556"/>
      <c r="G437" s="569"/>
      <c r="H437" s="583" t="s">
        <v>1346</v>
      </c>
      <c r="I437" s="570">
        <f t="shared" si="13"/>
        <v>91035</v>
      </c>
      <c r="J437" s="554"/>
      <c r="L437" s="570">
        <v>101150</v>
      </c>
      <c r="M437" s="549">
        <v>0.9</v>
      </c>
      <c r="N437" s="686">
        <f t="shared" si="14"/>
        <v>91035</v>
      </c>
    </row>
    <row r="438" spans="2:14" ht="17.100000000000001" hidden="1" customHeight="1">
      <c r="B438" s="554">
        <v>6</v>
      </c>
      <c r="C438" s="578" t="s">
        <v>3675</v>
      </c>
      <c r="D438" s="579"/>
      <c r="E438" s="556"/>
      <c r="F438" s="556"/>
      <c r="G438" s="569"/>
      <c r="H438" s="583" t="s">
        <v>1346</v>
      </c>
      <c r="I438" s="570">
        <f t="shared" si="13"/>
        <v>8032500</v>
      </c>
      <c r="J438" s="554"/>
      <c r="L438" s="570">
        <v>8925000</v>
      </c>
      <c r="M438" s="549">
        <v>0.9</v>
      </c>
      <c r="N438" s="686">
        <f t="shared" si="14"/>
        <v>8032500</v>
      </c>
    </row>
    <row r="439" spans="2:14" ht="17.100000000000001" hidden="1" customHeight="1">
      <c r="B439" s="554">
        <v>7</v>
      </c>
      <c r="C439" s="578" t="s">
        <v>3676</v>
      </c>
      <c r="D439" s="579"/>
      <c r="E439" s="556"/>
      <c r="F439" s="556"/>
      <c r="G439" s="569"/>
      <c r="H439" s="583" t="s">
        <v>853</v>
      </c>
      <c r="I439" s="570">
        <f t="shared" si="13"/>
        <v>58905</v>
      </c>
      <c r="J439" s="554"/>
      <c r="L439" s="570">
        <v>65450</v>
      </c>
      <c r="M439" s="549">
        <v>0.9</v>
      </c>
      <c r="N439" s="686">
        <f t="shared" si="14"/>
        <v>58905</v>
      </c>
    </row>
    <row r="440" spans="2:14" ht="17.100000000000001" hidden="1" customHeight="1">
      <c r="B440" s="554">
        <v>8</v>
      </c>
      <c r="C440" s="578" t="s">
        <v>3677</v>
      </c>
      <c r="D440" s="579"/>
      <c r="E440" s="556"/>
      <c r="F440" s="556"/>
      <c r="G440" s="569"/>
      <c r="H440" s="583" t="s">
        <v>3082</v>
      </c>
      <c r="I440" s="570">
        <f t="shared" si="13"/>
        <v>129591</v>
      </c>
      <c r="J440" s="554"/>
      <c r="L440" s="570">
        <v>143990</v>
      </c>
      <c r="M440" s="549">
        <v>0.9</v>
      </c>
      <c r="N440" s="686">
        <f t="shared" si="14"/>
        <v>129591</v>
      </c>
    </row>
    <row r="441" spans="2:14" ht="17.100000000000001" hidden="1" customHeight="1">
      <c r="B441" s="554">
        <v>9</v>
      </c>
      <c r="C441" s="595" t="s">
        <v>3834</v>
      </c>
      <c r="D441" s="579"/>
      <c r="E441" s="556"/>
      <c r="F441" s="556"/>
      <c r="G441" s="569"/>
      <c r="H441" s="583" t="s">
        <v>2970</v>
      </c>
      <c r="I441" s="570">
        <f t="shared" si="13"/>
        <v>12852000</v>
      </c>
      <c r="J441" s="554"/>
      <c r="L441" s="570">
        <v>14280000</v>
      </c>
      <c r="M441" s="549">
        <v>0.9</v>
      </c>
      <c r="N441" s="686">
        <f t="shared" si="14"/>
        <v>12852000</v>
      </c>
    </row>
    <row r="442" spans="2:14" ht="17.100000000000001" customHeight="1">
      <c r="B442" s="571">
        <v>1</v>
      </c>
      <c r="C442" s="578" t="s">
        <v>5169</v>
      </c>
      <c r="D442" s="579"/>
      <c r="E442" s="556"/>
      <c r="F442" s="556"/>
      <c r="G442" s="569"/>
      <c r="H442" s="583"/>
      <c r="I442" s="570">
        <f t="shared" si="13"/>
        <v>675000</v>
      </c>
      <c r="J442" s="554"/>
      <c r="L442" s="570">
        <v>750000</v>
      </c>
      <c r="M442" s="549">
        <v>0.9</v>
      </c>
      <c r="N442" s="686">
        <f t="shared" si="14"/>
        <v>675000</v>
      </c>
    </row>
    <row r="443" spans="2:14" ht="17.100000000000001" hidden="1" customHeight="1">
      <c r="B443" s="571"/>
      <c r="C443" s="567" t="s">
        <v>3130</v>
      </c>
      <c r="D443" s="568"/>
      <c r="E443" s="568"/>
      <c r="F443" s="568"/>
      <c r="G443" s="569"/>
      <c r="H443" s="557"/>
      <c r="I443" s="570">
        <f t="shared" si="13"/>
        <v>0</v>
      </c>
      <c r="J443" s="554"/>
      <c r="L443" s="570"/>
      <c r="M443" s="549">
        <v>0.9</v>
      </c>
      <c r="N443" s="686">
        <f t="shared" si="14"/>
        <v>0</v>
      </c>
    </row>
    <row r="444" spans="2:14" ht="17.100000000000001" hidden="1" customHeight="1">
      <c r="B444" s="554">
        <v>1</v>
      </c>
      <c r="C444" s="555" t="s">
        <v>3131</v>
      </c>
      <c r="D444" s="556"/>
      <c r="E444" s="556"/>
      <c r="F444" s="556"/>
      <c r="G444" s="569"/>
      <c r="H444" s="557" t="s">
        <v>1423</v>
      </c>
      <c r="I444" s="570">
        <f t="shared" si="13"/>
        <v>191169</v>
      </c>
      <c r="J444" s="554"/>
      <c r="L444" s="570">
        <v>212410</v>
      </c>
      <c r="M444" s="549">
        <v>0.9</v>
      </c>
      <c r="N444" s="686">
        <f t="shared" si="14"/>
        <v>191169</v>
      </c>
    </row>
    <row r="445" spans="2:14" ht="17.100000000000001" hidden="1" customHeight="1">
      <c r="B445" s="554">
        <v>2</v>
      </c>
      <c r="C445" s="555" t="s">
        <v>3132</v>
      </c>
      <c r="D445" s="556"/>
      <c r="E445" s="556"/>
      <c r="F445" s="556"/>
      <c r="G445" s="569"/>
      <c r="H445" s="557" t="s">
        <v>1423</v>
      </c>
      <c r="I445" s="570">
        <f t="shared" si="13"/>
        <v>95319</v>
      </c>
      <c r="J445" s="554"/>
      <c r="L445" s="570">
        <v>105910</v>
      </c>
      <c r="M445" s="549">
        <v>0.9</v>
      </c>
      <c r="N445" s="686">
        <f t="shared" si="14"/>
        <v>95319</v>
      </c>
    </row>
    <row r="446" spans="2:14" ht="17.100000000000001" hidden="1" customHeight="1">
      <c r="B446" s="554">
        <v>3</v>
      </c>
      <c r="C446" s="555" t="s">
        <v>3133</v>
      </c>
      <c r="D446" s="556"/>
      <c r="E446" s="556"/>
      <c r="F446" s="556"/>
      <c r="G446" s="569"/>
      <c r="H446" s="557" t="s">
        <v>1423</v>
      </c>
      <c r="I446" s="570">
        <f t="shared" si="13"/>
        <v>10710</v>
      </c>
      <c r="J446" s="554"/>
      <c r="L446" s="570">
        <v>11900</v>
      </c>
      <c r="M446" s="549">
        <v>0.9</v>
      </c>
      <c r="N446" s="686">
        <f t="shared" si="14"/>
        <v>10710</v>
      </c>
    </row>
    <row r="447" spans="2:14" ht="17.100000000000001" hidden="1" customHeight="1">
      <c r="B447" s="554">
        <v>4</v>
      </c>
      <c r="C447" s="555" t="s">
        <v>3134</v>
      </c>
      <c r="D447" s="556"/>
      <c r="E447" s="556"/>
      <c r="F447" s="556"/>
      <c r="G447" s="569"/>
      <c r="H447" s="557" t="s">
        <v>1423</v>
      </c>
      <c r="I447" s="570">
        <f t="shared" si="13"/>
        <v>8568</v>
      </c>
      <c r="J447" s="554"/>
      <c r="L447" s="570">
        <v>9520</v>
      </c>
      <c r="M447" s="549">
        <v>0.9</v>
      </c>
      <c r="N447" s="686">
        <f t="shared" si="14"/>
        <v>8568</v>
      </c>
    </row>
    <row r="448" spans="2:14" ht="17.100000000000001" hidden="1" customHeight="1">
      <c r="B448" s="554">
        <v>5</v>
      </c>
      <c r="C448" s="555" t="s">
        <v>4452</v>
      </c>
      <c r="D448" s="556"/>
      <c r="E448" s="556"/>
      <c r="F448" s="556"/>
      <c r="G448" s="569"/>
      <c r="H448" s="557" t="s">
        <v>1423</v>
      </c>
      <c r="I448" s="570">
        <f t="shared" si="13"/>
        <v>116946</v>
      </c>
      <c r="J448" s="554"/>
      <c r="L448" s="570">
        <v>129940</v>
      </c>
      <c r="M448" s="549">
        <v>0.9</v>
      </c>
      <c r="N448" s="686">
        <f t="shared" si="14"/>
        <v>116946</v>
      </c>
    </row>
    <row r="449" spans="2:14" ht="17.100000000000001" hidden="1" customHeight="1">
      <c r="B449" s="554">
        <v>6</v>
      </c>
      <c r="C449" s="555" t="s">
        <v>4453</v>
      </c>
      <c r="D449" s="556"/>
      <c r="E449" s="556"/>
      <c r="F449" s="556"/>
      <c r="G449" s="569"/>
      <c r="H449" s="557" t="s">
        <v>1423</v>
      </c>
      <c r="I449" s="570">
        <f t="shared" si="13"/>
        <v>25704</v>
      </c>
      <c r="J449" s="554"/>
      <c r="L449" s="570">
        <v>28560</v>
      </c>
      <c r="M449" s="549">
        <v>0.9</v>
      </c>
      <c r="N449" s="686">
        <f t="shared" si="14"/>
        <v>25704</v>
      </c>
    </row>
    <row r="450" spans="2:14" ht="17.100000000000001" hidden="1" customHeight="1">
      <c r="B450" s="554">
        <v>7</v>
      </c>
      <c r="C450" s="555" t="s">
        <v>3135</v>
      </c>
      <c r="D450" s="556"/>
      <c r="E450" s="556"/>
      <c r="F450" s="556"/>
      <c r="G450" s="569"/>
      <c r="H450" s="557" t="s">
        <v>1423</v>
      </c>
      <c r="I450" s="570">
        <f t="shared" si="13"/>
        <v>26775</v>
      </c>
      <c r="J450" s="554"/>
      <c r="L450" s="570">
        <v>29750</v>
      </c>
      <c r="M450" s="549">
        <v>0.9</v>
      </c>
      <c r="N450" s="686">
        <f t="shared" si="14"/>
        <v>26775</v>
      </c>
    </row>
    <row r="451" spans="2:14" ht="17.100000000000001" hidden="1" customHeight="1">
      <c r="B451" s="554">
        <v>8</v>
      </c>
      <c r="C451" s="555" t="s">
        <v>3136</v>
      </c>
      <c r="D451" s="556"/>
      <c r="E451" s="556"/>
      <c r="F451" s="556"/>
      <c r="G451" s="569"/>
      <c r="H451" s="557" t="s">
        <v>1423</v>
      </c>
      <c r="I451" s="570">
        <f t="shared" si="13"/>
        <v>21420</v>
      </c>
      <c r="J451" s="554"/>
      <c r="L451" s="570">
        <v>23800</v>
      </c>
      <c r="M451" s="549">
        <v>0.9</v>
      </c>
      <c r="N451" s="686">
        <f t="shared" si="14"/>
        <v>21420</v>
      </c>
    </row>
    <row r="452" spans="2:14" ht="17.100000000000001" hidden="1" customHeight="1">
      <c r="B452" s="554">
        <v>9</v>
      </c>
      <c r="C452" s="555" t="s">
        <v>3137</v>
      </c>
      <c r="D452" s="556"/>
      <c r="E452" s="556"/>
      <c r="F452" s="556"/>
      <c r="G452" s="569"/>
      <c r="H452" s="557" t="s">
        <v>1423</v>
      </c>
      <c r="I452" s="570">
        <f t="shared" si="13"/>
        <v>9639</v>
      </c>
      <c r="J452" s="554"/>
      <c r="L452" s="570">
        <v>10710</v>
      </c>
      <c r="M452" s="549">
        <v>0.9</v>
      </c>
      <c r="N452" s="686">
        <f t="shared" si="14"/>
        <v>9639</v>
      </c>
    </row>
    <row r="453" spans="2:14" ht="17.100000000000001" hidden="1" customHeight="1">
      <c r="B453" s="554">
        <v>10</v>
      </c>
      <c r="C453" s="555" t="s">
        <v>3138</v>
      </c>
      <c r="D453" s="556"/>
      <c r="E453" s="556"/>
      <c r="F453" s="556"/>
      <c r="G453" s="569"/>
      <c r="H453" s="557" t="s">
        <v>1423</v>
      </c>
      <c r="I453" s="570">
        <f t="shared" si="13"/>
        <v>9099</v>
      </c>
      <c r="J453" s="554"/>
      <c r="L453" s="570">
        <v>10110</v>
      </c>
      <c r="M453" s="549">
        <v>0.9</v>
      </c>
      <c r="N453" s="686">
        <f t="shared" si="14"/>
        <v>9099</v>
      </c>
    </row>
    <row r="454" spans="2:14" ht="17.100000000000001" hidden="1" customHeight="1">
      <c r="B454" s="554">
        <v>11</v>
      </c>
      <c r="C454" s="555" t="s">
        <v>3139</v>
      </c>
      <c r="D454" s="556"/>
      <c r="E454" s="556"/>
      <c r="F454" s="556"/>
      <c r="G454" s="569"/>
      <c r="H454" s="557" t="s">
        <v>1423</v>
      </c>
      <c r="I454" s="570">
        <f t="shared" si="13"/>
        <v>69615</v>
      </c>
      <c r="J454" s="554"/>
      <c r="L454" s="570">
        <v>77350</v>
      </c>
      <c r="M454" s="549">
        <v>0.9</v>
      </c>
      <c r="N454" s="686">
        <f t="shared" si="14"/>
        <v>69615</v>
      </c>
    </row>
    <row r="455" spans="2:14" ht="17.100000000000001" hidden="1" customHeight="1">
      <c r="B455" s="554">
        <v>12</v>
      </c>
      <c r="C455" s="555" t="s">
        <v>3140</v>
      </c>
      <c r="D455" s="556"/>
      <c r="E455" s="556"/>
      <c r="F455" s="556"/>
      <c r="G455" s="569"/>
      <c r="H455" s="557" t="s">
        <v>1423</v>
      </c>
      <c r="I455" s="570">
        <f t="shared" si="13"/>
        <v>192780</v>
      </c>
      <c r="J455" s="554"/>
      <c r="L455" s="570">
        <v>214200</v>
      </c>
      <c r="M455" s="549">
        <v>0.9</v>
      </c>
      <c r="N455" s="686">
        <f t="shared" si="14"/>
        <v>192780</v>
      </c>
    </row>
    <row r="456" spans="2:14" ht="17.100000000000001" hidden="1" customHeight="1">
      <c r="B456" s="554">
        <v>13</v>
      </c>
      <c r="C456" s="555" t="s">
        <v>3141</v>
      </c>
      <c r="D456" s="556"/>
      <c r="E456" s="556"/>
      <c r="F456" s="556"/>
      <c r="G456" s="569"/>
      <c r="H456" s="557" t="s">
        <v>1423</v>
      </c>
      <c r="I456" s="570">
        <f t="shared" si="13"/>
        <v>66402</v>
      </c>
      <c r="J456" s="554"/>
      <c r="L456" s="570">
        <v>73780</v>
      </c>
      <c r="M456" s="549">
        <v>0.9</v>
      </c>
      <c r="N456" s="686">
        <f t="shared" si="14"/>
        <v>66402</v>
      </c>
    </row>
    <row r="457" spans="2:14" ht="17.100000000000001" hidden="1" customHeight="1">
      <c r="B457" s="554">
        <v>14</v>
      </c>
      <c r="C457" s="555" t="s">
        <v>3142</v>
      </c>
      <c r="D457" s="556"/>
      <c r="E457" s="556"/>
      <c r="F457" s="556"/>
      <c r="G457" s="569"/>
      <c r="H457" s="557" t="s">
        <v>1423</v>
      </c>
      <c r="I457" s="570">
        <f t="shared" si="13"/>
        <v>37485</v>
      </c>
      <c r="J457" s="554"/>
      <c r="L457" s="570">
        <v>41650</v>
      </c>
      <c r="M457" s="549">
        <v>0.9</v>
      </c>
      <c r="N457" s="686">
        <f t="shared" si="14"/>
        <v>37485</v>
      </c>
    </row>
    <row r="458" spans="2:14" ht="17.100000000000001" hidden="1" customHeight="1">
      <c r="B458" s="554">
        <v>15</v>
      </c>
      <c r="C458" s="555" t="s">
        <v>3143</v>
      </c>
      <c r="D458" s="556"/>
      <c r="E458" s="556"/>
      <c r="F458" s="556"/>
      <c r="G458" s="569"/>
      <c r="H458" s="557" t="s">
        <v>1423</v>
      </c>
      <c r="I458" s="570">
        <f t="shared" si="13"/>
        <v>15012</v>
      </c>
      <c r="J458" s="554"/>
      <c r="L458" s="570">
        <v>16680</v>
      </c>
      <c r="M458" s="549">
        <v>0.9</v>
      </c>
      <c r="N458" s="686">
        <f t="shared" si="14"/>
        <v>15012</v>
      </c>
    </row>
    <row r="459" spans="2:14" ht="17.100000000000001" hidden="1" customHeight="1">
      <c r="B459" s="554">
        <v>16</v>
      </c>
      <c r="C459" s="555" t="s">
        <v>4899</v>
      </c>
      <c r="D459" s="556"/>
      <c r="E459" s="556"/>
      <c r="F459" s="556"/>
      <c r="G459" s="569"/>
      <c r="H459" s="557" t="s">
        <v>1423</v>
      </c>
      <c r="I459" s="570">
        <f t="shared" si="13"/>
        <v>251685</v>
      </c>
      <c r="J459" s="554"/>
      <c r="L459" s="570">
        <v>279650</v>
      </c>
      <c r="M459" s="549">
        <v>0.9</v>
      </c>
      <c r="N459" s="686">
        <f t="shared" si="14"/>
        <v>251685</v>
      </c>
    </row>
    <row r="460" spans="2:14" ht="17.100000000000001" hidden="1" customHeight="1">
      <c r="B460" s="554">
        <v>17</v>
      </c>
      <c r="C460" s="555" t="s">
        <v>3369</v>
      </c>
      <c r="D460" s="556"/>
      <c r="E460" s="556"/>
      <c r="F460" s="556"/>
      <c r="G460" s="569"/>
      <c r="H460" s="557" t="s">
        <v>1423</v>
      </c>
      <c r="I460" s="570">
        <f t="shared" si="13"/>
        <v>64260</v>
      </c>
      <c r="J460" s="554"/>
      <c r="L460" s="570">
        <v>71400</v>
      </c>
      <c r="M460" s="549">
        <v>0.9</v>
      </c>
      <c r="N460" s="686">
        <f t="shared" si="14"/>
        <v>64260</v>
      </c>
    </row>
    <row r="461" spans="2:14" ht="17.100000000000001" hidden="1" customHeight="1">
      <c r="B461" s="554">
        <v>18</v>
      </c>
      <c r="C461" s="555" t="s">
        <v>4898</v>
      </c>
      <c r="D461" s="556"/>
      <c r="E461" s="556"/>
      <c r="F461" s="556"/>
      <c r="G461" s="569"/>
      <c r="H461" s="557" t="s">
        <v>1423</v>
      </c>
      <c r="I461" s="570">
        <f t="shared" si="13"/>
        <v>27306</v>
      </c>
      <c r="J461" s="554"/>
      <c r="L461" s="570">
        <v>30340</v>
      </c>
      <c r="M461" s="549">
        <v>0.9</v>
      </c>
      <c r="N461" s="686">
        <f t="shared" si="14"/>
        <v>27306</v>
      </c>
    </row>
    <row r="462" spans="2:14" ht="17.100000000000001" hidden="1" customHeight="1">
      <c r="B462" s="554">
        <v>19</v>
      </c>
      <c r="C462" s="555" t="s">
        <v>4967</v>
      </c>
      <c r="D462" s="556"/>
      <c r="E462" s="556"/>
      <c r="F462" s="556"/>
      <c r="G462" s="569"/>
      <c r="H462" s="557" t="s">
        <v>1346</v>
      </c>
      <c r="I462" s="570">
        <f t="shared" si="13"/>
        <v>15776505</v>
      </c>
      <c r="J462" s="554"/>
      <c r="L462" s="570">
        <f>15243000+(15243000*0.15)</f>
        <v>17529450</v>
      </c>
      <c r="M462" s="549">
        <v>0.9</v>
      </c>
      <c r="N462" s="686">
        <f t="shared" si="14"/>
        <v>15776505</v>
      </c>
    </row>
    <row r="463" spans="2:14" ht="17.100000000000001" customHeight="1">
      <c r="B463" s="571"/>
      <c r="C463" s="567" t="s">
        <v>3144</v>
      </c>
      <c r="D463" s="568"/>
      <c r="E463" s="568"/>
      <c r="F463" s="568"/>
      <c r="G463" s="569"/>
      <c r="H463" s="557"/>
      <c r="I463" s="570"/>
      <c r="J463" s="554"/>
      <c r="L463" s="570"/>
      <c r="N463" s="686"/>
    </row>
    <row r="464" spans="2:14" ht="17.100000000000001" hidden="1" customHeight="1">
      <c r="B464" s="554">
        <v>1</v>
      </c>
      <c r="C464" s="555" t="s">
        <v>3145</v>
      </c>
      <c r="D464" s="556"/>
      <c r="E464" s="556"/>
      <c r="F464" s="556"/>
      <c r="G464" s="569"/>
      <c r="H464" s="557" t="s">
        <v>715</v>
      </c>
      <c r="I464" s="570">
        <f t="shared" si="13"/>
        <v>3744</v>
      </c>
      <c r="J464" s="554"/>
      <c r="L464" s="570">
        <v>4160</v>
      </c>
      <c r="M464" s="549">
        <v>0.9</v>
      </c>
      <c r="N464" s="686">
        <f t="shared" si="14"/>
        <v>3744</v>
      </c>
    </row>
    <row r="465" spans="2:14" ht="17.100000000000001" customHeight="1">
      <c r="B465" s="554">
        <v>1</v>
      </c>
      <c r="C465" s="555" t="s">
        <v>5219</v>
      </c>
      <c r="D465" s="556"/>
      <c r="E465" s="556"/>
      <c r="F465" s="556"/>
      <c r="G465" s="569"/>
      <c r="H465" s="557" t="s">
        <v>1423</v>
      </c>
      <c r="I465" s="570">
        <v>27600</v>
      </c>
      <c r="J465" s="554"/>
      <c r="L465" s="570">
        <v>26671</v>
      </c>
      <c r="M465" s="549">
        <v>0.9</v>
      </c>
      <c r="N465" s="686">
        <f t="shared" si="14"/>
        <v>24003.9</v>
      </c>
    </row>
    <row r="466" spans="2:14" ht="17.100000000000001" hidden="1" customHeight="1">
      <c r="B466" s="554">
        <v>3</v>
      </c>
      <c r="C466" s="555" t="s">
        <v>3146</v>
      </c>
      <c r="D466" s="556"/>
      <c r="E466" s="556"/>
      <c r="F466" s="556"/>
      <c r="G466" s="569"/>
      <c r="H466" s="557" t="s">
        <v>1423</v>
      </c>
      <c r="I466" s="570">
        <f t="shared" si="13"/>
        <v>1325358</v>
      </c>
      <c r="J466" s="554"/>
      <c r="L466" s="570">
        <v>1472620</v>
      </c>
      <c r="M466" s="549">
        <v>0.9</v>
      </c>
      <c r="N466" s="686">
        <f t="shared" si="14"/>
        <v>1325358</v>
      </c>
    </row>
    <row r="467" spans="2:14" ht="17.100000000000001" hidden="1" customHeight="1">
      <c r="B467" s="554">
        <v>4</v>
      </c>
      <c r="C467" s="555" t="s">
        <v>3147</v>
      </c>
      <c r="D467" s="556"/>
      <c r="E467" s="556"/>
      <c r="F467" s="556"/>
      <c r="G467" s="569"/>
      <c r="H467" s="557" t="s">
        <v>3148</v>
      </c>
      <c r="I467" s="570">
        <f t="shared" si="13"/>
        <v>2142000</v>
      </c>
      <c r="J467" s="554"/>
      <c r="L467" s="570">
        <v>2380000</v>
      </c>
      <c r="M467" s="549">
        <v>0.9</v>
      </c>
      <c r="N467" s="686">
        <f t="shared" si="14"/>
        <v>2142000</v>
      </c>
    </row>
    <row r="468" spans="2:14" ht="17.100000000000001" hidden="1" customHeight="1">
      <c r="B468" s="554">
        <v>5</v>
      </c>
      <c r="C468" s="555" t="s">
        <v>3149</v>
      </c>
      <c r="D468" s="556"/>
      <c r="E468" s="556"/>
      <c r="F468" s="556"/>
      <c r="G468" s="569"/>
      <c r="H468" s="557" t="s">
        <v>690</v>
      </c>
      <c r="I468" s="570">
        <f t="shared" si="13"/>
        <v>12366</v>
      </c>
      <c r="J468" s="554"/>
      <c r="L468" s="570">
        <v>13740</v>
      </c>
      <c r="M468" s="549">
        <v>0.9</v>
      </c>
      <c r="N468" s="686">
        <f t="shared" si="14"/>
        <v>12366</v>
      </c>
    </row>
    <row r="469" spans="2:14" ht="17.100000000000001" hidden="1" customHeight="1">
      <c r="B469" s="554">
        <v>6</v>
      </c>
      <c r="C469" s="555" t="s">
        <v>3150</v>
      </c>
      <c r="D469" s="556"/>
      <c r="E469" s="556"/>
      <c r="F469" s="556"/>
      <c r="G469" s="569"/>
      <c r="H469" s="557" t="s">
        <v>2647</v>
      </c>
      <c r="I469" s="570">
        <f t="shared" si="13"/>
        <v>80325</v>
      </c>
      <c r="J469" s="554"/>
      <c r="L469" s="570">
        <v>89250</v>
      </c>
      <c r="M469" s="549">
        <v>0.9</v>
      </c>
      <c r="N469" s="686">
        <f t="shared" si="14"/>
        <v>80325</v>
      </c>
    </row>
    <row r="470" spans="2:14" ht="17.100000000000001" hidden="1" customHeight="1">
      <c r="B470" s="554">
        <v>7</v>
      </c>
      <c r="C470" s="555" t="s">
        <v>3151</v>
      </c>
      <c r="D470" s="556"/>
      <c r="E470" s="556"/>
      <c r="F470" s="556"/>
      <c r="G470" s="569"/>
      <c r="H470" s="557" t="s">
        <v>773</v>
      </c>
      <c r="I470" s="570">
        <f t="shared" si="13"/>
        <v>23562</v>
      </c>
      <c r="J470" s="554"/>
      <c r="L470" s="570">
        <v>26180</v>
      </c>
      <c r="M470" s="549">
        <v>0.9</v>
      </c>
      <c r="N470" s="686">
        <f t="shared" si="14"/>
        <v>23562</v>
      </c>
    </row>
    <row r="471" spans="2:14" ht="17.100000000000001" hidden="1" customHeight="1">
      <c r="B471" s="554">
        <v>8</v>
      </c>
      <c r="C471" s="555" t="s">
        <v>4811</v>
      </c>
      <c r="D471" s="556"/>
      <c r="E471" s="556"/>
      <c r="F471" s="556"/>
      <c r="G471" s="569"/>
      <c r="H471" s="557" t="s">
        <v>4801</v>
      </c>
      <c r="I471" s="570">
        <f t="shared" si="13"/>
        <v>765000</v>
      </c>
      <c r="J471" s="554"/>
      <c r="L471" s="570">
        <v>850000</v>
      </c>
      <c r="M471" s="549">
        <v>0.9</v>
      </c>
      <c r="N471" s="686">
        <f t="shared" si="14"/>
        <v>765000</v>
      </c>
    </row>
    <row r="472" spans="2:14" ht="17.100000000000001" hidden="1" customHeight="1">
      <c r="B472" s="554">
        <v>9</v>
      </c>
      <c r="C472" s="555" t="s">
        <v>4887</v>
      </c>
      <c r="D472" s="556"/>
      <c r="E472" s="556"/>
      <c r="F472" s="556"/>
      <c r="G472" s="569"/>
      <c r="H472" s="554" t="s">
        <v>1405</v>
      </c>
      <c r="I472" s="570">
        <f t="shared" si="13"/>
        <v>58500</v>
      </c>
      <c r="J472" s="554"/>
      <c r="L472" s="596">
        <v>65000</v>
      </c>
      <c r="M472" s="549">
        <v>0.9</v>
      </c>
      <c r="N472" s="686">
        <f t="shared" si="14"/>
        <v>58500</v>
      </c>
    </row>
    <row r="473" spans="2:14" ht="17.100000000000001" hidden="1" customHeight="1">
      <c r="B473" s="554">
        <v>10</v>
      </c>
      <c r="C473" s="555" t="s">
        <v>4888</v>
      </c>
      <c r="D473" s="556"/>
      <c r="E473" s="556"/>
      <c r="F473" s="556"/>
      <c r="G473" s="569"/>
      <c r="H473" s="554" t="s">
        <v>1405</v>
      </c>
      <c r="I473" s="570">
        <f t="shared" si="13"/>
        <v>67500</v>
      </c>
      <c r="J473" s="554"/>
      <c r="L473" s="596">
        <v>75000</v>
      </c>
      <c r="M473" s="549">
        <v>0.9</v>
      </c>
      <c r="N473" s="686">
        <f t="shared" si="14"/>
        <v>67500</v>
      </c>
    </row>
    <row r="474" spans="2:14" ht="17.100000000000001" hidden="1" customHeight="1">
      <c r="B474" s="554">
        <v>11</v>
      </c>
      <c r="C474" s="555" t="s">
        <v>4889</v>
      </c>
      <c r="D474" s="556"/>
      <c r="E474" s="556"/>
      <c r="F474" s="556"/>
      <c r="G474" s="569"/>
      <c r="H474" s="554" t="s">
        <v>1405</v>
      </c>
      <c r="I474" s="570">
        <f t="shared" si="13"/>
        <v>49500</v>
      </c>
      <c r="J474" s="554"/>
      <c r="L474" s="596">
        <v>55000</v>
      </c>
      <c r="M474" s="549">
        <v>0.9</v>
      </c>
      <c r="N474" s="686">
        <f t="shared" si="14"/>
        <v>49500</v>
      </c>
    </row>
    <row r="475" spans="2:14" ht="17.100000000000001" hidden="1" customHeight="1">
      <c r="B475" s="554">
        <v>12</v>
      </c>
      <c r="C475" s="555" t="s">
        <v>4890</v>
      </c>
      <c r="D475" s="556"/>
      <c r="E475" s="556"/>
      <c r="F475" s="556"/>
      <c r="G475" s="569"/>
      <c r="H475" s="554" t="s">
        <v>1405</v>
      </c>
      <c r="I475" s="570">
        <f t="shared" si="13"/>
        <v>157500</v>
      </c>
      <c r="J475" s="554"/>
      <c r="L475" s="596">
        <v>175000</v>
      </c>
      <c r="M475" s="549">
        <v>0.9</v>
      </c>
      <c r="N475" s="686">
        <f t="shared" si="14"/>
        <v>157500</v>
      </c>
    </row>
    <row r="476" spans="2:14" ht="17.100000000000001" hidden="1" customHeight="1">
      <c r="B476" s="554">
        <v>13</v>
      </c>
      <c r="C476" s="555" t="s">
        <v>4891</v>
      </c>
      <c r="D476" s="556"/>
      <c r="E476" s="556"/>
      <c r="F476" s="556"/>
      <c r="G476" s="569"/>
      <c r="H476" s="554" t="s">
        <v>1405</v>
      </c>
      <c r="I476" s="570">
        <f t="shared" si="13"/>
        <v>157500</v>
      </c>
      <c r="J476" s="554"/>
      <c r="L476" s="596">
        <v>175000</v>
      </c>
      <c r="M476" s="549">
        <v>0.9</v>
      </c>
      <c r="N476" s="686">
        <f t="shared" si="14"/>
        <v>157500</v>
      </c>
    </row>
    <row r="477" spans="2:14" ht="17.100000000000001" hidden="1" customHeight="1">
      <c r="B477" s="554">
        <v>14</v>
      </c>
      <c r="C477" s="555" t="s">
        <v>4892</v>
      </c>
      <c r="D477" s="556"/>
      <c r="E477" s="556"/>
      <c r="F477" s="556"/>
      <c r="G477" s="569"/>
      <c r="H477" s="554" t="s">
        <v>4813</v>
      </c>
      <c r="I477" s="570">
        <f t="shared" si="13"/>
        <v>270000</v>
      </c>
      <c r="J477" s="554"/>
      <c r="L477" s="596">
        <v>300000</v>
      </c>
      <c r="M477" s="549">
        <v>0.9</v>
      </c>
      <c r="N477" s="686">
        <f t="shared" si="14"/>
        <v>270000</v>
      </c>
    </row>
    <row r="478" spans="2:14" ht="17.100000000000001" hidden="1" customHeight="1">
      <c r="B478" s="554">
        <v>15</v>
      </c>
      <c r="C478" s="555" t="s">
        <v>4812</v>
      </c>
      <c r="D478" s="556"/>
      <c r="E478" s="556"/>
      <c r="F478" s="556"/>
      <c r="G478" s="569"/>
      <c r="H478" s="554" t="s">
        <v>1405</v>
      </c>
      <c r="I478" s="570">
        <f t="shared" si="13"/>
        <v>225000</v>
      </c>
      <c r="J478" s="554"/>
      <c r="L478" s="596">
        <v>250000</v>
      </c>
      <c r="M478" s="549">
        <v>0.9</v>
      </c>
      <c r="N478" s="686">
        <f t="shared" si="14"/>
        <v>225000</v>
      </c>
    </row>
    <row r="479" spans="2:14" ht="17.100000000000001" hidden="1" customHeight="1">
      <c r="B479" s="554">
        <v>16</v>
      </c>
      <c r="C479" s="555" t="s">
        <v>4962</v>
      </c>
      <c r="D479" s="556"/>
      <c r="E479" s="556"/>
      <c r="F479" s="556"/>
      <c r="G479" s="569"/>
      <c r="H479" s="557" t="s">
        <v>1405</v>
      </c>
      <c r="I479" s="570">
        <f t="shared" ref="I479:I543" si="15">N479</f>
        <v>450000</v>
      </c>
      <c r="J479" s="554"/>
      <c r="L479" s="570">
        <v>500000</v>
      </c>
      <c r="M479" s="549">
        <v>0.9</v>
      </c>
      <c r="N479" s="686">
        <f t="shared" ref="N479:N543" si="16">L479*M479</f>
        <v>450000</v>
      </c>
    </row>
    <row r="480" spans="2:14" ht="17.100000000000001" hidden="1" customHeight="1">
      <c r="B480" s="554">
        <v>17</v>
      </c>
      <c r="C480" s="555" t="s">
        <v>4963</v>
      </c>
      <c r="D480" s="556"/>
      <c r="E480" s="556"/>
      <c r="F480" s="556"/>
      <c r="G480" s="569"/>
      <c r="H480" s="557" t="s">
        <v>743</v>
      </c>
      <c r="I480" s="570">
        <f t="shared" si="15"/>
        <v>22500</v>
      </c>
      <c r="J480" s="554"/>
      <c r="L480" s="570">
        <v>25000</v>
      </c>
      <c r="M480" s="549">
        <v>0.9</v>
      </c>
      <c r="N480" s="686">
        <f t="shared" si="16"/>
        <v>22500</v>
      </c>
    </row>
    <row r="481" spans="2:14" ht="17.100000000000001" customHeight="1">
      <c r="B481" s="554">
        <v>2</v>
      </c>
      <c r="C481" s="2234" t="s">
        <v>5233</v>
      </c>
      <c r="D481" s="2235"/>
      <c r="E481" s="2235"/>
      <c r="F481" s="2235"/>
      <c r="G481" s="569"/>
      <c r="H481" s="557" t="s">
        <v>1423</v>
      </c>
      <c r="I481" s="570">
        <v>17000</v>
      </c>
      <c r="J481" s="554"/>
      <c r="L481" s="570"/>
      <c r="N481" s="686"/>
    </row>
    <row r="482" spans="2:14" ht="17.100000000000001" customHeight="1">
      <c r="B482" s="571"/>
      <c r="C482" s="567" t="s">
        <v>3152</v>
      </c>
      <c r="D482" s="568"/>
      <c r="E482" s="568"/>
      <c r="F482" s="568"/>
      <c r="G482" s="569"/>
      <c r="H482" s="557"/>
      <c r="I482" s="570"/>
      <c r="J482" s="554"/>
      <c r="L482" s="570"/>
      <c r="N482" s="686"/>
    </row>
    <row r="483" spans="2:14" ht="17.100000000000001" customHeight="1">
      <c r="B483" s="554">
        <v>1</v>
      </c>
      <c r="C483" s="555" t="s">
        <v>3153</v>
      </c>
      <c r="D483" s="556"/>
      <c r="E483" s="556"/>
      <c r="F483" s="556"/>
      <c r="G483" s="569"/>
      <c r="H483" s="557" t="s">
        <v>2093</v>
      </c>
      <c r="I483" s="570">
        <f t="shared" si="15"/>
        <v>7497</v>
      </c>
      <c r="J483" s="554"/>
      <c r="L483" s="570">
        <v>8330</v>
      </c>
      <c r="M483" s="549">
        <v>0.9</v>
      </c>
      <c r="N483" s="686">
        <f t="shared" si="16"/>
        <v>7497</v>
      </c>
    </row>
    <row r="484" spans="2:14" ht="17.100000000000001" customHeight="1">
      <c r="B484" s="554">
        <f t="shared" ref="B484:B492" si="17">B483+1</f>
        <v>2</v>
      </c>
      <c r="C484" s="555" t="s">
        <v>3154</v>
      </c>
      <c r="D484" s="556"/>
      <c r="E484" s="556"/>
      <c r="F484" s="556"/>
      <c r="G484" s="569"/>
      <c r="H484" s="557" t="s">
        <v>701</v>
      </c>
      <c r="I484" s="570">
        <f t="shared" si="15"/>
        <v>53550</v>
      </c>
      <c r="J484" s="554"/>
      <c r="L484" s="570">
        <v>59500</v>
      </c>
      <c r="M484" s="549">
        <v>0.9</v>
      </c>
      <c r="N484" s="686">
        <f t="shared" si="16"/>
        <v>53550</v>
      </c>
    </row>
    <row r="485" spans="2:14" ht="17.100000000000001" customHeight="1">
      <c r="B485" s="554">
        <f t="shared" si="17"/>
        <v>3</v>
      </c>
      <c r="C485" s="555" t="s">
        <v>3155</v>
      </c>
      <c r="D485" s="556"/>
      <c r="E485" s="556"/>
      <c r="F485" s="556"/>
      <c r="G485" s="569"/>
      <c r="H485" s="557" t="s">
        <v>701</v>
      </c>
      <c r="I485" s="570">
        <f t="shared" si="15"/>
        <v>53550</v>
      </c>
      <c r="J485" s="554"/>
      <c r="L485" s="570">
        <v>59500</v>
      </c>
      <c r="M485" s="549">
        <v>0.9</v>
      </c>
      <c r="N485" s="686">
        <f t="shared" si="16"/>
        <v>53550</v>
      </c>
    </row>
    <row r="486" spans="2:14" ht="17.100000000000001" customHeight="1">
      <c r="B486" s="554">
        <f t="shared" si="17"/>
        <v>4</v>
      </c>
      <c r="C486" s="555" t="s">
        <v>4511</v>
      </c>
      <c r="D486" s="556"/>
      <c r="E486" s="556"/>
      <c r="F486" s="556"/>
      <c r="G486" s="569"/>
      <c r="H486" s="557" t="s">
        <v>701</v>
      </c>
      <c r="I486" s="570">
        <f t="shared" si="15"/>
        <v>18000</v>
      </c>
      <c r="J486" s="554"/>
      <c r="L486" s="570">
        <v>20000</v>
      </c>
      <c r="M486" s="549">
        <v>0.9</v>
      </c>
      <c r="N486" s="686">
        <f t="shared" si="16"/>
        <v>18000</v>
      </c>
    </row>
    <row r="487" spans="2:14" ht="17.100000000000001" customHeight="1">
      <c r="B487" s="554">
        <f t="shared" si="17"/>
        <v>5</v>
      </c>
      <c r="C487" s="555" t="s">
        <v>3156</v>
      </c>
      <c r="D487" s="556"/>
      <c r="E487" s="556"/>
      <c r="F487" s="556"/>
      <c r="G487" s="569"/>
      <c r="H487" s="557" t="s">
        <v>701</v>
      </c>
      <c r="I487" s="570">
        <f t="shared" si="15"/>
        <v>10710</v>
      </c>
      <c r="J487" s="554"/>
      <c r="L487" s="570">
        <v>11900</v>
      </c>
      <c r="M487" s="549">
        <v>0.9</v>
      </c>
      <c r="N487" s="686">
        <f t="shared" si="16"/>
        <v>10710</v>
      </c>
    </row>
    <row r="488" spans="2:14" ht="17.100000000000001" customHeight="1">
      <c r="B488" s="554">
        <f t="shared" si="17"/>
        <v>6</v>
      </c>
      <c r="C488" s="555" t="s">
        <v>3157</v>
      </c>
      <c r="D488" s="556"/>
      <c r="E488" s="556"/>
      <c r="F488" s="556"/>
      <c r="G488" s="569"/>
      <c r="H488" s="557" t="s">
        <v>701</v>
      </c>
      <c r="I488" s="570">
        <f t="shared" si="15"/>
        <v>10710</v>
      </c>
      <c r="J488" s="554"/>
      <c r="L488" s="570">
        <v>11900</v>
      </c>
      <c r="M488" s="549">
        <v>0.9</v>
      </c>
      <c r="N488" s="686">
        <f t="shared" si="16"/>
        <v>10710</v>
      </c>
    </row>
    <row r="489" spans="2:14" ht="17.100000000000001" customHeight="1">
      <c r="B489" s="554">
        <v>1</v>
      </c>
      <c r="C489" s="555" t="s">
        <v>3158</v>
      </c>
      <c r="D489" s="556"/>
      <c r="E489" s="556"/>
      <c r="F489" s="556"/>
      <c r="G489" s="569"/>
      <c r="H489" s="557" t="s">
        <v>773</v>
      </c>
      <c r="I489" s="570">
        <f t="shared" si="15"/>
        <v>13455</v>
      </c>
      <c r="J489" s="554"/>
      <c r="L489" s="570">
        <v>14950</v>
      </c>
      <c r="M489" s="549">
        <v>0.9</v>
      </c>
      <c r="N489" s="686">
        <f t="shared" si="16"/>
        <v>13455</v>
      </c>
    </row>
    <row r="490" spans="2:14" ht="17.100000000000001" hidden="1" customHeight="1">
      <c r="B490" s="554">
        <f t="shared" si="17"/>
        <v>2</v>
      </c>
      <c r="C490" s="555" t="s">
        <v>3159</v>
      </c>
      <c r="D490" s="556"/>
      <c r="E490" s="556"/>
      <c r="F490" s="556"/>
      <c r="G490" s="569"/>
      <c r="H490" s="557" t="s">
        <v>2093</v>
      </c>
      <c r="I490" s="570">
        <f t="shared" si="15"/>
        <v>47655</v>
      </c>
      <c r="J490" s="554"/>
      <c r="L490" s="570">
        <v>52950</v>
      </c>
      <c r="M490" s="549">
        <v>0.9</v>
      </c>
      <c r="N490" s="686">
        <f t="shared" si="16"/>
        <v>47655</v>
      </c>
    </row>
    <row r="491" spans="2:14" ht="17.100000000000001" hidden="1" customHeight="1">
      <c r="B491" s="554">
        <f t="shared" si="17"/>
        <v>3</v>
      </c>
      <c r="C491" s="555" t="s">
        <v>3160</v>
      </c>
      <c r="D491" s="556"/>
      <c r="E491" s="556"/>
      <c r="F491" s="556"/>
      <c r="G491" s="569"/>
      <c r="H491" s="557" t="s">
        <v>2093</v>
      </c>
      <c r="I491" s="570">
        <f t="shared" si="15"/>
        <v>19062</v>
      </c>
      <c r="J491" s="554"/>
      <c r="L491" s="570">
        <v>21180</v>
      </c>
      <c r="M491" s="549">
        <v>0.9</v>
      </c>
      <c r="N491" s="686">
        <f t="shared" si="16"/>
        <v>19062</v>
      </c>
    </row>
    <row r="492" spans="2:14" ht="17.100000000000001" hidden="1" customHeight="1">
      <c r="B492" s="554">
        <f t="shared" si="17"/>
        <v>4</v>
      </c>
      <c r="C492" s="555" t="s">
        <v>3161</v>
      </c>
      <c r="D492" s="556"/>
      <c r="E492" s="556"/>
      <c r="F492" s="556"/>
      <c r="G492" s="569"/>
      <c r="H492" s="557" t="s">
        <v>2093</v>
      </c>
      <c r="I492" s="570">
        <f t="shared" si="15"/>
        <v>10710</v>
      </c>
      <c r="J492" s="554"/>
      <c r="L492" s="570">
        <v>11900</v>
      </c>
      <c r="M492" s="549">
        <v>0.9</v>
      </c>
      <c r="N492" s="686">
        <f t="shared" si="16"/>
        <v>10710</v>
      </c>
    </row>
    <row r="493" spans="2:14" ht="17.100000000000001" customHeight="1">
      <c r="B493" s="571"/>
      <c r="C493" s="567"/>
      <c r="D493" s="568"/>
      <c r="E493" s="568"/>
      <c r="F493" s="568"/>
      <c r="G493" s="569"/>
      <c r="H493" s="557"/>
      <c r="I493" s="570"/>
      <c r="J493" s="554"/>
      <c r="L493" s="570"/>
      <c r="N493" s="686"/>
    </row>
    <row r="494" spans="2:14" ht="17.100000000000001" hidden="1" customHeight="1">
      <c r="B494" s="571"/>
      <c r="C494" s="567" t="s">
        <v>3162</v>
      </c>
      <c r="D494" s="568"/>
      <c r="E494" s="568"/>
      <c r="F494" s="568"/>
      <c r="G494" s="569"/>
      <c r="H494" s="557"/>
      <c r="I494" s="570">
        <f t="shared" si="15"/>
        <v>0</v>
      </c>
      <c r="J494" s="554"/>
      <c r="L494" s="570"/>
      <c r="M494" s="549">
        <v>0.9</v>
      </c>
      <c r="N494" s="686">
        <f t="shared" si="16"/>
        <v>0</v>
      </c>
    </row>
    <row r="495" spans="2:14" ht="17.100000000000001" hidden="1" customHeight="1">
      <c r="B495" s="554">
        <v>1</v>
      </c>
      <c r="C495" s="1335" t="s">
        <v>3163</v>
      </c>
      <c r="D495" s="1336"/>
      <c r="E495" s="1336"/>
      <c r="F495" s="556"/>
      <c r="G495" s="569"/>
      <c r="H495" s="557" t="s">
        <v>1423</v>
      </c>
      <c r="I495" s="570">
        <f t="shared" si="15"/>
        <v>58905</v>
      </c>
      <c r="J495" s="554"/>
      <c r="L495" s="570">
        <v>65450</v>
      </c>
      <c r="M495" s="549">
        <v>0.9</v>
      </c>
      <c r="N495" s="686">
        <f t="shared" si="16"/>
        <v>58905</v>
      </c>
    </row>
    <row r="496" spans="2:14" ht="17.100000000000001" hidden="1" customHeight="1">
      <c r="B496" s="554">
        <f t="shared" ref="B496:B505" si="18">B495+1</f>
        <v>2</v>
      </c>
      <c r="C496" s="1335" t="s">
        <v>3164</v>
      </c>
      <c r="D496" s="1336"/>
      <c r="E496" s="1336"/>
      <c r="F496" s="556"/>
      <c r="G496" s="569"/>
      <c r="H496" s="557" t="s">
        <v>1423</v>
      </c>
      <c r="I496" s="570">
        <f t="shared" si="15"/>
        <v>64260</v>
      </c>
      <c r="J496" s="554"/>
      <c r="L496" s="570">
        <v>71400</v>
      </c>
      <c r="M496" s="549">
        <v>0.9</v>
      </c>
      <c r="N496" s="686">
        <f t="shared" si="16"/>
        <v>64260</v>
      </c>
    </row>
    <row r="497" spans="2:14" ht="17.100000000000001" hidden="1" customHeight="1">
      <c r="B497" s="554">
        <f t="shared" si="18"/>
        <v>3</v>
      </c>
      <c r="C497" s="1335" t="s">
        <v>3165</v>
      </c>
      <c r="D497" s="1336"/>
      <c r="E497" s="1336"/>
      <c r="F497" s="556"/>
      <c r="G497" s="569"/>
      <c r="H497" s="557" t="s">
        <v>1423</v>
      </c>
      <c r="I497" s="570">
        <f t="shared" si="15"/>
        <v>85680</v>
      </c>
      <c r="J497" s="554"/>
      <c r="L497" s="570">
        <v>95200</v>
      </c>
      <c r="M497" s="549">
        <v>0.9</v>
      </c>
      <c r="N497" s="686">
        <f t="shared" si="16"/>
        <v>85680</v>
      </c>
    </row>
    <row r="498" spans="2:14" ht="17.100000000000001" hidden="1" customHeight="1">
      <c r="B498" s="554">
        <f t="shared" si="18"/>
        <v>4</v>
      </c>
      <c r="C498" s="1335" t="s">
        <v>3166</v>
      </c>
      <c r="D498" s="1336"/>
      <c r="E498" s="1336"/>
      <c r="F498" s="556"/>
      <c r="G498" s="569"/>
      <c r="H498" s="557" t="s">
        <v>1423</v>
      </c>
      <c r="I498" s="570">
        <f t="shared" si="15"/>
        <v>51723</v>
      </c>
      <c r="J498" s="554"/>
      <c r="L498" s="570">
        <v>57470</v>
      </c>
      <c r="M498" s="549">
        <v>0.9</v>
      </c>
      <c r="N498" s="686">
        <f t="shared" si="16"/>
        <v>51723</v>
      </c>
    </row>
    <row r="499" spans="2:14" ht="17.100000000000001" hidden="1" customHeight="1">
      <c r="B499" s="554">
        <f t="shared" si="18"/>
        <v>5</v>
      </c>
      <c r="C499" s="1335" t="s">
        <v>3167</v>
      </c>
      <c r="D499" s="1336"/>
      <c r="E499" s="1336"/>
      <c r="F499" s="556"/>
      <c r="G499" s="569"/>
      <c r="H499" s="557" t="s">
        <v>1423</v>
      </c>
      <c r="I499" s="570">
        <f t="shared" si="15"/>
        <v>85680</v>
      </c>
      <c r="J499" s="554"/>
      <c r="L499" s="570">
        <v>95200</v>
      </c>
      <c r="M499" s="549">
        <v>0.9</v>
      </c>
      <c r="N499" s="686">
        <f t="shared" si="16"/>
        <v>85680</v>
      </c>
    </row>
    <row r="500" spans="2:14" ht="17.100000000000001" hidden="1" customHeight="1">
      <c r="B500" s="554">
        <f t="shared" si="18"/>
        <v>6</v>
      </c>
      <c r="C500" s="1335" t="s">
        <v>3168</v>
      </c>
      <c r="D500" s="1336"/>
      <c r="E500" s="1336"/>
      <c r="F500" s="556"/>
      <c r="G500" s="569"/>
      <c r="H500" s="557" t="s">
        <v>1423</v>
      </c>
      <c r="I500" s="570">
        <f t="shared" si="15"/>
        <v>117810</v>
      </c>
      <c r="J500" s="554"/>
      <c r="L500" s="570">
        <v>130900</v>
      </c>
      <c r="M500" s="549">
        <v>0.9</v>
      </c>
      <c r="N500" s="686">
        <f t="shared" si="16"/>
        <v>117810</v>
      </c>
    </row>
    <row r="501" spans="2:14" ht="17.100000000000001" hidden="1" customHeight="1">
      <c r="B501" s="554">
        <f t="shared" si="18"/>
        <v>7</v>
      </c>
      <c r="C501" s="1335" t="s">
        <v>3169</v>
      </c>
      <c r="D501" s="1336"/>
      <c r="E501" s="1336"/>
      <c r="F501" s="556"/>
      <c r="G501" s="569"/>
      <c r="H501" s="557" t="s">
        <v>1423</v>
      </c>
      <c r="I501" s="570">
        <f t="shared" si="15"/>
        <v>147258</v>
      </c>
      <c r="J501" s="554"/>
      <c r="L501" s="570">
        <v>163620</v>
      </c>
      <c r="M501" s="549">
        <v>0.9</v>
      </c>
      <c r="N501" s="686">
        <f t="shared" si="16"/>
        <v>147258</v>
      </c>
    </row>
    <row r="502" spans="2:14" ht="17.100000000000001" hidden="1" customHeight="1">
      <c r="B502" s="554">
        <f t="shared" si="18"/>
        <v>8</v>
      </c>
      <c r="C502" s="1335" t="s">
        <v>3170</v>
      </c>
      <c r="D502" s="1336"/>
      <c r="E502" s="1336"/>
      <c r="F502" s="556"/>
      <c r="G502" s="569"/>
      <c r="H502" s="557" t="s">
        <v>1423</v>
      </c>
      <c r="I502" s="570">
        <f t="shared" si="15"/>
        <v>223839</v>
      </c>
      <c r="J502" s="554"/>
      <c r="L502" s="570">
        <v>248710</v>
      </c>
      <c r="M502" s="549">
        <v>0.9</v>
      </c>
      <c r="N502" s="686">
        <f t="shared" si="16"/>
        <v>223839</v>
      </c>
    </row>
    <row r="503" spans="2:14" ht="17.100000000000001" hidden="1" customHeight="1">
      <c r="B503" s="554">
        <f t="shared" si="18"/>
        <v>9</v>
      </c>
      <c r="C503" s="1335" t="s">
        <v>3171</v>
      </c>
      <c r="D503" s="1336"/>
      <c r="E503" s="1336"/>
      <c r="F503" s="556"/>
      <c r="G503" s="569"/>
      <c r="H503" s="557" t="s">
        <v>1423</v>
      </c>
      <c r="I503" s="570">
        <f t="shared" si="15"/>
        <v>300411</v>
      </c>
      <c r="J503" s="554"/>
      <c r="L503" s="570">
        <v>333790</v>
      </c>
      <c r="M503" s="549">
        <v>0.9</v>
      </c>
      <c r="N503" s="686">
        <f t="shared" si="16"/>
        <v>300411</v>
      </c>
    </row>
    <row r="504" spans="2:14" ht="17.100000000000001" hidden="1" customHeight="1">
      <c r="B504" s="554">
        <f t="shared" si="18"/>
        <v>10</v>
      </c>
      <c r="C504" s="1335" t="s">
        <v>3172</v>
      </c>
      <c r="D504" s="1336"/>
      <c r="E504" s="1336"/>
      <c r="F504" s="556"/>
      <c r="G504" s="569"/>
      <c r="H504" s="557" t="s">
        <v>1423</v>
      </c>
      <c r="I504" s="570">
        <f t="shared" si="15"/>
        <v>600831</v>
      </c>
      <c r="J504" s="554"/>
      <c r="L504" s="570">
        <v>667590</v>
      </c>
      <c r="M504" s="549">
        <v>0.9</v>
      </c>
      <c r="N504" s="686">
        <f t="shared" si="16"/>
        <v>600831</v>
      </c>
    </row>
    <row r="505" spans="2:14" ht="17.100000000000001" hidden="1" customHeight="1">
      <c r="B505" s="554">
        <f t="shared" si="18"/>
        <v>11</v>
      </c>
      <c r="C505" s="1335" t="s">
        <v>3173</v>
      </c>
      <c r="D505" s="1336"/>
      <c r="E505" s="1336"/>
      <c r="F505" s="556"/>
      <c r="G505" s="569"/>
      <c r="H505" s="557" t="s">
        <v>1423</v>
      </c>
      <c r="I505" s="570">
        <f t="shared" si="15"/>
        <v>718641</v>
      </c>
      <c r="J505" s="554"/>
      <c r="L505" s="570">
        <v>798490</v>
      </c>
      <c r="M505" s="549">
        <v>0.9</v>
      </c>
      <c r="N505" s="686">
        <f t="shared" si="16"/>
        <v>718641</v>
      </c>
    </row>
    <row r="506" spans="2:14" ht="17.100000000000001" hidden="1" customHeight="1">
      <c r="B506" s="571"/>
      <c r="C506" s="567"/>
      <c r="D506" s="568"/>
      <c r="E506" s="568"/>
      <c r="F506" s="568"/>
      <c r="G506" s="569"/>
      <c r="H506" s="557"/>
      <c r="I506" s="570">
        <f t="shared" si="15"/>
        <v>0</v>
      </c>
      <c r="J506" s="554"/>
      <c r="L506" s="570"/>
      <c r="M506" s="549">
        <v>0.9</v>
      </c>
      <c r="N506" s="686">
        <f t="shared" si="16"/>
        <v>0</v>
      </c>
    </row>
    <row r="507" spans="2:14" ht="17.100000000000001" customHeight="1">
      <c r="B507" s="571"/>
      <c r="C507" s="567" t="s">
        <v>3174</v>
      </c>
      <c r="D507" s="568"/>
      <c r="E507" s="568"/>
      <c r="F507" s="568"/>
      <c r="G507" s="569"/>
      <c r="H507" s="557"/>
      <c r="I507" s="570"/>
      <c r="J507" s="554"/>
      <c r="L507" s="570"/>
      <c r="N507" s="686"/>
    </row>
    <row r="508" spans="2:14" ht="17.100000000000001" hidden="1" customHeight="1">
      <c r="B508" s="554">
        <v>1</v>
      </c>
      <c r="C508" s="555" t="s">
        <v>3175</v>
      </c>
      <c r="D508" s="556"/>
      <c r="E508" s="556"/>
      <c r="F508" s="556"/>
      <c r="G508" s="569"/>
      <c r="H508" s="557" t="s">
        <v>2944</v>
      </c>
      <c r="I508" s="570">
        <f t="shared" si="15"/>
        <v>16065</v>
      </c>
      <c r="J508" s="554"/>
      <c r="L508" s="570">
        <v>17850</v>
      </c>
      <c r="M508" s="549">
        <v>0.9</v>
      </c>
      <c r="N508" s="686">
        <f t="shared" si="16"/>
        <v>16065</v>
      </c>
    </row>
    <row r="509" spans="2:14" ht="17.100000000000001" hidden="1" customHeight="1">
      <c r="B509" s="554">
        <f t="shared" ref="B509:B530" si="19">B508+1</f>
        <v>2</v>
      </c>
      <c r="C509" s="555" t="s">
        <v>3176</v>
      </c>
      <c r="D509" s="556"/>
      <c r="E509" s="556"/>
      <c r="F509" s="556"/>
      <c r="G509" s="569"/>
      <c r="H509" s="557" t="s">
        <v>2944</v>
      </c>
      <c r="I509" s="570">
        <f t="shared" si="15"/>
        <v>4284</v>
      </c>
      <c r="J509" s="554" t="s">
        <v>3177</v>
      </c>
      <c r="L509" s="570">
        <v>4760</v>
      </c>
      <c r="M509" s="549">
        <v>0.9</v>
      </c>
      <c r="N509" s="686">
        <f t="shared" si="16"/>
        <v>4284</v>
      </c>
    </row>
    <row r="510" spans="2:14" ht="17.100000000000001" customHeight="1">
      <c r="B510" s="554">
        <v>1</v>
      </c>
      <c r="C510" s="555" t="s">
        <v>3178</v>
      </c>
      <c r="D510" s="556"/>
      <c r="E510" s="556"/>
      <c r="F510" s="556"/>
      <c r="G510" s="569"/>
      <c r="H510" s="557" t="s">
        <v>2944</v>
      </c>
      <c r="I510" s="570">
        <f t="shared" si="15"/>
        <v>7497</v>
      </c>
      <c r="J510" s="554" t="s">
        <v>3177</v>
      </c>
      <c r="L510" s="570">
        <v>8330</v>
      </c>
      <c r="M510" s="549">
        <v>0.9</v>
      </c>
      <c r="N510" s="686">
        <f t="shared" si="16"/>
        <v>7497</v>
      </c>
    </row>
    <row r="511" spans="2:14" ht="17.100000000000001" hidden="1" customHeight="1">
      <c r="B511" s="554">
        <f t="shared" si="19"/>
        <v>2</v>
      </c>
      <c r="C511" s="555" t="s">
        <v>3179</v>
      </c>
      <c r="D511" s="556"/>
      <c r="E511" s="556"/>
      <c r="F511" s="556"/>
      <c r="G511" s="569"/>
      <c r="H511" s="557" t="s">
        <v>2944</v>
      </c>
      <c r="I511" s="570">
        <f t="shared" si="15"/>
        <v>9639</v>
      </c>
      <c r="J511" s="554" t="s">
        <v>3177</v>
      </c>
      <c r="L511" s="570">
        <v>10710</v>
      </c>
      <c r="M511" s="549">
        <v>0.9</v>
      </c>
      <c r="N511" s="686">
        <f t="shared" si="16"/>
        <v>9639</v>
      </c>
    </row>
    <row r="512" spans="2:14" ht="17.100000000000001" customHeight="1">
      <c r="B512" s="554">
        <v>2</v>
      </c>
      <c r="C512" s="555" t="s">
        <v>3180</v>
      </c>
      <c r="D512" s="556"/>
      <c r="E512" s="556"/>
      <c r="F512" s="556"/>
      <c r="G512" s="569"/>
      <c r="H512" s="557" t="s">
        <v>2944</v>
      </c>
      <c r="I512" s="570">
        <f t="shared" si="15"/>
        <v>12852</v>
      </c>
      <c r="J512" s="554" t="s">
        <v>3177</v>
      </c>
      <c r="L512" s="570">
        <v>14280</v>
      </c>
      <c r="M512" s="549">
        <v>0.9</v>
      </c>
      <c r="N512" s="686">
        <f t="shared" si="16"/>
        <v>12852</v>
      </c>
    </row>
    <row r="513" spans="2:14" ht="17.100000000000001" hidden="1" customHeight="1">
      <c r="B513" s="554">
        <f t="shared" si="19"/>
        <v>3</v>
      </c>
      <c r="C513" s="555" t="s">
        <v>3181</v>
      </c>
      <c r="D513" s="556"/>
      <c r="E513" s="556"/>
      <c r="F513" s="556"/>
      <c r="G513" s="569"/>
      <c r="H513" s="557" t="s">
        <v>2944</v>
      </c>
      <c r="I513" s="570">
        <f t="shared" si="15"/>
        <v>17136</v>
      </c>
      <c r="J513" s="554" t="s">
        <v>3177</v>
      </c>
      <c r="L513" s="570">
        <v>19040</v>
      </c>
      <c r="M513" s="549">
        <v>0.9</v>
      </c>
      <c r="N513" s="686">
        <f t="shared" si="16"/>
        <v>17136</v>
      </c>
    </row>
    <row r="514" spans="2:14" ht="17.100000000000001" hidden="1" customHeight="1">
      <c r="B514" s="554">
        <f t="shared" si="19"/>
        <v>4</v>
      </c>
      <c r="C514" s="555" t="s">
        <v>3182</v>
      </c>
      <c r="D514" s="556"/>
      <c r="E514" s="556"/>
      <c r="F514" s="556"/>
      <c r="G514" s="569"/>
      <c r="H514" s="557" t="s">
        <v>2944</v>
      </c>
      <c r="I514" s="570">
        <f t="shared" si="15"/>
        <v>21420</v>
      </c>
      <c r="J514" s="554" t="s">
        <v>3177</v>
      </c>
      <c r="L514" s="570">
        <v>23800</v>
      </c>
      <c r="M514" s="549">
        <v>0.9</v>
      </c>
      <c r="N514" s="686">
        <f t="shared" si="16"/>
        <v>21420</v>
      </c>
    </row>
    <row r="515" spans="2:14" ht="17.100000000000001" customHeight="1">
      <c r="B515" s="554">
        <v>3</v>
      </c>
      <c r="C515" s="555" t="s">
        <v>3183</v>
      </c>
      <c r="D515" s="556"/>
      <c r="E515" s="556"/>
      <c r="F515" s="556"/>
      <c r="G515" s="569"/>
      <c r="H515" s="557" t="s">
        <v>2944</v>
      </c>
      <c r="I515" s="570">
        <f t="shared" si="15"/>
        <v>26775</v>
      </c>
      <c r="J515" s="554" t="s">
        <v>3177</v>
      </c>
      <c r="L515" s="570">
        <v>29750</v>
      </c>
      <c r="M515" s="549">
        <v>0.9</v>
      </c>
      <c r="N515" s="686">
        <f t="shared" si="16"/>
        <v>26775</v>
      </c>
    </row>
    <row r="516" spans="2:14" ht="17.100000000000001" customHeight="1">
      <c r="B516" s="597">
        <f t="shared" si="19"/>
        <v>4</v>
      </c>
      <c r="C516" s="690" t="s">
        <v>3184</v>
      </c>
      <c r="D516" s="691"/>
      <c r="E516" s="691"/>
      <c r="F516" s="691"/>
      <c r="G516" s="598"/>
      <c r="H516" s="692" t="s">
        <v>2944</v>
      </c>
      <c r="I516" s="599">
        <f t="shared" si="15"/>
        <v>37485</v>
      </c>
      <c r="J516" s="597" t="s">
        <v>3177</v>
      </c>
      <c r="L516" s="570">
        <v>41650</v>
      </c>
      <c r="M516" s="549">
        <v>0.9</v>
      </c>
      <c r="N516" s="686">
        <f t="shared" si="16"/>
        <v>37485</v>
      </c>
    </row>
    <row r="517" spans="2:14" ht="17.100000000000001" customHeight="1">
      <c r="B517" s="561">
        <f t="shared" si="19"/>
        <v>5</v>
      </c>
      <c r="C517" s="562" t="s">
        <v>3185</v>
      </c>
      <c r="D517" s="563"/>
      <c r="E517" s="563"/>
      <c r="F517" s="563"/>
      <c r="G517" s="564"/>
      <c r="H517" s="565" t="s">
        <v>2944</v>
      </c>
      <c r="I517" s="566">
        <f t="shared" si="15"/>
        <v>107100</v>
      </c>
      <c r="J517" s="561" t="s">
        <v>3177</v>
      </c>
      <c r="L517" s="570">
        <v>119000</v>
      </c>
      <c r="M517" s="549">
        <v>0.9</v>
      </c>
      <c r="N517" s="686">
        <f t="shared" si="16"/>
        <v>107100</v>
      </c>
    </row>
    <row r="518" spans="2:14" ht="17.100000000000001" customHeight="1">
      <c r="B518" s="554">
        <f t="shared" si="19"/>
        <v>6</v>
      </c>
      <c r="C518" s="555" t="s">
        <v>3186</v>
      </c>
      <c r="D518" s="556"/>
      <c r="E518" s="556"/>
      <c r="F518" s="556"/>
      <c r="G518" s="569"/>
      <c r="H518" s="557" t="s">
        <v>2944</v>
      </c>
      <c r="I518" s="570">
        <f t="shared" si="15"/>
        <v>32130</v>
      </c>
      <c r="J518" s="554"/>
      <c r="L518" s="570">
        <v>35700</v>
      </c>
      <c r="M518" s="549">
        <v>0.9</v>
      </c>
      <c r="N518" s="686">
        <f t="shared" si="16"/>
        <v>32130</v>
      </c>
    </row>
    <row r="519" spans="2:14" ht="17.100000000000001" customHeight="1">
      <c r="B519" s="554">
        <f t="shared" si="19"/>
        <v>7</v>
      </c>
      <c r="C519" s="555" t="s">
        <v>3187</v>
      </c>
      <c r="D519" s="556"/>
      <c r="E519" s="556"/>
      <c r="F519" s="556"/>
      <c r="G519" s="569"/>
      <c r="H519" s="557" t="s">
        <v>2944</v>
      </c>
      <c r="I519" s="570">
        <f t="shared" si="15"/>
        <v>42840</v>
      </c>
      <c r="J519" s="554"/>
      <c r="L519" s="570">
        <v>47600</v>
      </c>
      <c r="M519" s="549">
        <v>0.9</v>
      </c>
      <c r="N519" s="686">
        <f t="shared" si="16"/>
        <v>42840</v>
      </c>
    </row>
    <row r="520" spans="2:14" ht="17.100000000000001" customHeight="1">
      <c r="B520" s="554">
        <f t="shared" si="19"/>
        <v>8</v>
      </c>
      <c r="C520" s="555" t="s">
        <v>3188</v>
      </c>
      <c r="D520" s="556"/>
      <c r="E520" s="556"/>
      <c r="F520" s="556"/>
      <c r="G520" s="569"/>
      <c r="H520" s="557" t="s">
        <v>2944</v>
      </c>
      <c r="I520" s="570">
        <f t="shared" si="15"/>
        <v>53550</v>
      </c>
      <c r="J520" s="554"/>
      <c r="L520" s="570">
        <v>59500</v>
      </c>
      <c r="M520" s="549">
        <v>0.9</v>
      </c>
      <c r="N520" s="686">
        <f t="shared" si="16"/>
        <v>53550</v>
      </c>
    </row>
    <row r="521" spans="2:14" ht="17.100000000000001" customHeight="1">
      <c r="B521" s="554">
        <f t="shared" si="19"/>
        <v>9</v>
      </c>
      <c r="C521" s="555" t="s">
        <v>3189</v>
      </c>
      <c r="D521" s="556"/>
      <c r="E521" s="556"/>
      <c r="F521" s="556"/>
      <c r="G521" s="569"/>
      <c r="H521" s="557" t="s">
        <v>2944</v>
      </c>
      <c r="I521" s="570">
        <f t="shared" si="15"/>
        <v>80325</v>
      </c>
      <c r="J521" s="554"/>
      <c r="L521" s="570">
        <v>89250</v>
      </c>
      <c r="M521" s="549">
        <v>0.9</v>
      </c>
      <c r="N521" s="686">
        <f t="shared" si="16"/>
        <v>80325</v>
      </c>
    </row>
    <row r="522" spans="2:14" ht="17.100000000000001" customHeight="1">
      <c r="B522" s="554">
        <f t="shared" si="19"/>
        <v>10</v>
      </c>
      <c r="C522" s="555" t="s">
        <v>3190</v>
      </c>
      <c r="D522" s="556"/>
      <c r="E522" s="556"/>
      <c r="F522" s="556"/>
      <c r="G522" s="569"/>
      <c r="H522" s="557" t="s">
        <v>2944</v>
      </c>
      <c r="I522" s="570">
        <f t="shared" si="15"/>
        <v>96390</v>
      </c>
      <c r="J522" s="554"/>
      <c r="L522" s="570">
        <v>107100</v>
      </c>
      <c r="M522" s="549">
        <v>0.9</v>
      </c>
      <c r="N522" s="686">
        <f t="shared" si="16"/>
        <v>96390</v>
      </c>
    </row>
    <row r="523" spans="2:14" ht="17.100000000000001" customHeight="1">
      <c r="B523" s="554">
        <f t="shared" si="19"/>
        <v>11</v>
      </c>
      <c r="C523" s="555" t="s">
        <v>3191</v>
      </c>
      <c r="D523" s="556"/>
      <c r="E523" s="556"/>
      <c r="F523" s="556"/>
      <c r="G523" s="569"/>
      <c r="H523" s="557" t="s">
        <v>2944</v>
      </c>
      <c r="I523" s="570">
        <f t="shared" si="15"/>
        <v>128520</v>
      </c>
      <c r="J523" s="554"/>
      <c r="L523" s="570">
        <v>142800</v>
      </c>
      <c r="M523" s="549">
        <v>0.9</v>
      </c>
      <c r="N523" s="686">
        <f t="shared" si="16"/>
        <v>128520</v>
      </c>
    </row>
    <row r="524" spans="2:14" ht="17.100000000000001" customHeight="1">
      <c r="B524" s="554">
        <f>B523+1</f>
        <v>12</v>
      </c>
      <c r="C524" s="555" t="s">
        <v>3394</v>
      </c>
      <c r="D524" s="556"/>
      <c r="E524" s="556"/>
      <c r="F524" s="556"/>
      <c r="G524" s="569"/>
      <c r="H524" s="557" t="s">
        <v>2944</v>
      </c>
      <c r="I524" s="570">
        <f t="shared" si="15"/>
        <v>306774</v>
      </c>
      <c r="J524" s="554"/>
      <c r="L524" s="570">
        <v>340860</v>
      </c>
      <c r="M524" s="549">
        <v>0.9</v>
      </c>
      <c r="N524" s="686">
        <f t="shared" si="16"/>
        <v>306774</v>
      </c>
    </row>
    <row r="525" spans="2:14" ht="17.100000000000001" customHeight="1">
      <c r="B525" s="554">
        <f t="shared" si="19"/>
        <v>13</v>
      </c>
      <c r="C525" s="555" t="s">
        <v>3395</v>
      </c>
      <c r="D525" s="556"/>
      <c r="E525" s="556"/>
      <c r="F525" s="556"/>
      <c r="G525" s="569"/>
      <c r="H525" s="557" t="s">
        <v>2944</v>
      </c>
      <c r="I525" s="570">
        <f t="shared" si="15"/>
        <v>411300</v>
      </c>
      <c r="J525" s="554"/>
      <c r="L525" s="570">
        <v>457000</v>
      </c>
      <c r="M525" s="549">
        <v>0.9</v>
      </c>
      <c r="N525" s="686">
        <f t="shared" si="16"/>
        <v>411300</v>
      </c>
    </row>
    <row r="526" spans="2:14" ht="17.100000000000001" customHeight="1">
      <c r="B526" s="554">
        <f t="shared" si="19"/>
        <v>14</v>
      </c>
      <c r="C526" s="555" t="s">
        <v>3396</v>
      </c>
      <c r="D526" s="556"/>
      <c r="E526" s="556"/>
      <c r="F526" s="556"/>
      <c r="G526" s="569"/>
      <c r="H526" s="557" t="s">
        <v>2944</v>
      </c>
      <c r="I526" s="570">
        <f t="shared" si="15"/>
        <v>321300</v>
      </c>
      <c r="J526" s="554"/>
      <c r="L526" s="570">
        <v>357000</v>
      </c>
      <c r="M526" s="549">
        <v>0.9</v>
      </c>
      <c r="N526" s="686">
        <f t="shared" si="16"/>
        <v>321300</v>
      </c>
    </row>
    <row r="527" spans="2:14" ht="17.100000000000001" customHeight="1">
      <c r="B527" s="554">
        <f t="shared" si="19"/>
        <v>15</v>
      </c>
      <c r="C527" s="555" t="s">
        <v>3397</v>
      </c>
      <c r="D527" s="556"/>
      <c r="E527" s="556"/>
      <c r="F527" s="556"/>
      <c r="G527" s="569"/>
      <c r="H527" s="557" t="s">
        <v>2944</v>
      </c>
      <c r="I527" s="570">
        <f t="shared" si="15"/>
        <v>481950</v>
      </c>
      <c r="J527" s="554"/>
      <c r="L527" s="570">
        <v>535500</v>
      </c>
      <c r="M527" s="549">
        <v>0.9</v>
      </c>
      <c r="N527" s="686">
        <f t="shared" si="16"/>
        <v>481950</v>
      </c>
    </row>
    <row r="528" spans="2:14" ht="17.100000000000001" customHeight="1">
      <c r="B528" s="554">
        <f t="shared" si="19"/>
        <v>16</v>
      </c>
      <c r="C528" s="555" t="s">
        <v>3310</v>
      </c>
      <c r="D528" s="556"/>
      <c r="E528" s="556"/>
      <c r="F528" s="556"/>
      <c r="G528" s="569"/>
      <c r="H528" s="557" t="s">
        <v>2944</v>
      </c>
      <c r="I528" s="570">
        <f t="shared" si="15"/>
        <v>64260</v>
      </c>
      <c r="J528" s="554"/>
      <c r="L528" s="570">
        <v>71400</v>
      </c>
      <c r="M528" s="549">
        <v>0.9</v>
      </c>
      <c r="N528" s="686">
        <f t="shared" si="16"/>
        <v>64260</v>
      </c>
    </row>
    <row r="529" spans="2:14" ht="17.100000000000001" customHeight="1">
      <c r="B529" s="554">
        <f t="shared" si="19"/>
        <v>17</v>
      </c>
      <c r="C529" s="555" t="s">
        <v>3311</v>
      </c>
      <c r="D529" s="556"/>
      <c r="E529" s="556"/>
      <c r="F529" s="556"/>
      <c r="G529" s="569"/>
      <c r="H529" s="557" t="s">
        <v>2944</v>
      </c>
      <c r="I529" s="570">
        <f t="shared" si="15"/>
        <v>85680</v>
      </c>
      <c r="J529" s="554"/>
      <c r="L529" s="570">
        <v>95200</v>
      </c>
      <c r="M529" s="549">
        <v>0.9</v>
      </c>
      <c r="N529" s="686">
        <f t="shared" si="16"/>
        <v>85680</v>
      </c>
    </row>
    <row r="530" spans="2:14" ht="17.100000000000001" customHeight="1">
      <c r="B530" s="554">
        <f t="shared" si="19"/>
        <v>18</v>
      </c>
      <c r="C530" s="555" t="s">
        <v>3312</v>
      </c>
      <c r="D530" s="556"/>
      <c r="E530" s="556"/>
      <c r="F530" s="556"/>
      <c r="G530" s="569"/>
      <c r="H530" s="557" t="s">
        <v>2944</v>
      </c>
      <c r="I530" s="570">
        <f t="shared" si="15"/>
        <v>155295</v>
      </c>
      <c r="J530" s="554"/>
      <c r="L530" s="570">
        <v>172550</v>
      </c>
      <c r="M530" s="549">
        <v>0.9</v>
      </c>
      <c r="N530" s="686">
        <f t="shared" si="16"/>
        <v>155295</v>
      </c>
    </row>
    <row r="531" spans="2:14" ht="17.100000000000001" customHeight="1">
      <c r="B531" s="554"/>
      <c r="C531" s="555"/>
      <c r="D531" s="556"/>
      <c r="E531" s="556"/>
      <c r="F531" s="556"/>
      <c r="G531" s="569"/>
      <c r="H531" s="557"/>
      <c r="I531" s="570">
        <f t="shared" si="15"/>
        <v>0</v>
      </c>
      <c r="J531" s="554"/>
      <c r="L531" s="570"/>
      <c r="M531" s="549">
        <v>0.9</v>
      </c>
      <c r="N531" s="686">
        <f t="shared" si="16"/>
        <v>0</v>
      </c>
    </row>
    <row r="532" spans="2:14" ht="17.100000000000001" customHeight="1">
      <c r="B532" s="571" t="s">
        <v>686</v>
      </c>
      <c r="C532" s="567" t="s">
        <v>4835</v>
      </c>
      <c r="D532" s="568"/>
      <c r="E532" s="568"/>
      <c r="F532" s="556"/>
      <c r="G532" s="569"/>
      <c r="H532" s="557"/>
      <c r="I532" s="570">
        <f t="shared" si="15"/>
        <v>0</v>
      </c>
      <c r="J532" s="554"/>
      <c r="L532" s="570"/>
      <c r="M532" s="549">
        <v>0.9</v>
      </c>
      <c r="N532" s="686">
        <f t="shared" si="16"/>
        <v>0</v>
      </c>
    </row>
    <row r="533" spans="2:14" ht="17.100000000000001" customHeight="1">
      <c r="B533" s="554">
        <v>1</v>
      </c>
      <c r="C533" s="555" t="s">
        <v>4836</v>
      </c>
      <c r="D533" s="556"/>
      <c r="E533" s="556"/>
      <c r="F533" s="556"/>
      <c r="G533" s="569"/>
      <c r="H533" s="557" t="s">
        <v>4777</v>
      </c>
      <c r="I533" s="570">
        <f t="shared" si="15"/>
        <v>180000</v>
      </c>
      <c r="J533" s="580"/>
      <c r="L533" s="570">
        <v>200000</v>
      </c>
      <c r="M533" s="549">
        <v>0.9</v>
      </c>
      <c r="N533" s="686">
        <f t="shared" si="16"/>
        <v>180000</v>
      </c>
    </row>
    <row r="534" spans="2:14" ht="17.100000000000001" customHeight="1">
      <c r="B534" s="554">
        <v>2</v>
      </c>
      <c r="C534" s="555" t="s">
        <v>4837</v>
      </c>
      <c r="D534" s="556"/>
      <c r="E534" s="556"/>
      <c r="F534" s="556"/>
      <c r="G534" s="569"/>
      <c r="H534" s="557" t="s">
        <v>948</v>
      </c>
      <c r="I534" s="570">
        <f t="shared" si="15"/>
        <v>76500</v>
      </c>
      <c r="J534" s="580"/>
      <c r="L534" s="570">
        <v>85000</v>
      </c>
      <c r="M534" s="549">
        <v>0.9</v>
      </c>
      <c r="N534" s="686">
        <f t="shared" si="16"/>
        <v>76500</v>
      </c>
    </row>
    <row r="535" spans="2:14" ht="17.100000000000001" customHeight="1">
      <c r="B535" s="554">
        <v>3</v>
      </c>
      <c r="C535" s="555" t="s">
        <v>4838</v>
      </c>
      <c r="D535" s="556"/>
      <c r="E535" s="556"/>
      <c r="F535" s="556"/>
      <c r="G535" s="569"/>
      <c r="H535" s="557" t="s">
        <v>4777</v>
      </c>
      <c r="I535" s="570">
        <f t="shared" si="15"/>
        <v>67500</v>
      </c>
      <c r="J535" s="580"/>
      <c r="L535" s="570">
        <v>75000</v>
      </c>
      <c r="M535" s="549">
        <v>0.9</v>
      </c>
      <c r="N535" s="686">
        <f t="shared" si="16"/>
        <v>67500</v>
      </c>
    </row>
    <row r="536" spans="2:14" ht="17.100000000000001" customHeight="1">
      <c r="B536" s="554">
        <v>4</v>
      </c>
      <c r="C536" s="555" t="s">
        <v>4839</v>
      </c>
      <c r="D536" s="556"/>
      <c r="E536" s="556"/>
      <c r="F536" s="556"/>
      <c r="G536" s="569"/>
      <c r="H536" s="557" t="s">
        <v>948</v>
      </c>
      <c r="I536" s="570">
        <f t="shared" si="15"/>
        <v>135000</v>
      </c>
      <c r="J536" s="580"/>
      <c r="L536" s="570">
        <v>150000</v>
      </c>
      <c r="M536" s="549">
        <v>0.9</v>
      </c>
      <c r="N536" s="686">
        <f t="shared" si="16"/>
        <v>135000</v>
      </c>
    </row>
    <row r="537" spans="2:14" ht="17.100000000000001" customHeight="1">
      <c r="B537" s="554">
        <v>5</v>
      </c>
      <c r="C537" s="555" t="s">
        <v>4840</v>
      </c>
      <c r="D537" s="556"/>
      <c r="E537" s="556"/>
      <c r="F537" s="556"/>
      <c r="G537" s="569"/>
      <c r="H537" s="557" t="s">
        <v>948</v>
      </c>
      <c r="I537" s="570">
        <f t="shared" si="15"/>
        <v>68400</v>
      </c>
      <c r="J537" s="580"/>
      <c r="L537" s="570">
        <v>76000</v>
      </c>
      <c r="M537" s="549">
        <v>0.9</v>
      </c>
      <c r="N537" s="686">
        <f t="shared" si="16"/>
        <v>68400</v>
      </c>
    </row>
    <row r="538" spans="2:14" ht="17.100000000000001" customHeight="1">
      <c r="B538" s="554">
        <v>6</v>
      </c>
      <c r="C538" s="555" t="s">
        <v>4841</v>
      </c>
      <c r="D538" s="556"/>
      <c r="E538" s="556"/>
      <c r="F538" s="556"/>
      <c r="G538" s="569"/>
      <c r="H538" s="557" t="s">
        <v>948</v>
      </c>
      <c r="I538" s="570">
        <f t="shared" si="15"/>
        <v>63000</v>
      </c>
      <c r="J538" s="580"/>
      <c r="L538" s="570">
        <v>70000</v>
      </c>
      <c r="M538" s="549">
        <v>0.9</v>
      </c>
      <c r="N538" s="686">
        <f t="shared" si="16"/>
        <v>63000</v>
      </c>
    </row>
    <row r="539" spans="2:14" ht="17.100000000000001" customHeight="1">
      <c r="B539" s="554">
        <v>7</v>
      </c>
      <c r="C539" s="555" t="s">
        <v>4842</v>
      </c>
      <c r="D539" s="556"/>
      <c r="E539" s="556"/>
      <c r="F539" s="556"/>
      <c r="G539" s="569"/>
      <c r="H539" s="557" t="s">
        <v>2647</v>
      </c>
      <c r="I539" s="570">
        <f t="shared" si="15"/>
        <v>18000</v>
      </c>
      <c r="J539" s="580"/>
      <c r="L539" s="570">
        <v>20000</v>
      </c>
      <c r="M539" s="549">
        <v>0.9</v>
      </c>
      <c r="N539" s="686">
        <f t="shared" si="16"/>
        <v>18000</v>
      </c>
    </row>
    <row r="540" spans="2:14" ht="17.100000000000001" customHeight="1">
      <c r="B540" s="554">
        <v>8</v>
      </c>
      <c r="C540" s="555" t="s">
        <v>4843</v>
      </c>
      <c r="D540" s="556"/>
      <c r="E540" s="556"/>
      <c r="F540" s="556"/>
      <c r="G540" s="569"/>
      <c r="H540" s="557" t="s">
        <v>948</v>
      </c>
      <c r="I540" s="570">
        <f t="shared" si="15"/>
        <v>378000</v>
      </c>
      <c r="J540" s="580"/>
      <c r="L540" s="570">
        <v>420000</v>
      </c>
      <c r="M540" s="549">
        <v>0.9</v>
      </c>
      <c r="N540" s="686">
        <f t="shared" si="16"/>
        <v>378000</v>
      </c>
    </row>
    <row r="541" spans="2:14" ht="17.100000000000001" customHeight="1">
      <c r="B541" s="554">
        <v>9</v>
      </c>
      <c r="C541" s="555" t="s">
        <v>4844</v>
      </c>
      <c r="D541" s="556"/>
      <c r="E541" s="556"/>
      <c r="F541" s="556"/>
      <c r="G541" s="569"/>
      <c r="H541" s="557" t="s">
        <v>948</v>
      </c>
      <c r="I541" s="570">
        <f t="shared" si="15"/>
        <v>187200</v>
      </c>
      <c r="J541" s="580"/>
      <c r="L541" s="570">
        <v>208000</v>
      </c>
      <c r="M541" s="549">
        <v>0.9</v>
      </c>
      <c r="N541" s="686">
        <f t="shared" si="16"/>
        <v>187200</v>
      </c>
    </row>
    <row r="542" spans="2:14" ht="17.100000000000001" customHeight="1">
      <c r="B542" s="554">
        <v>10</v>
      </c>
      <c r="C542" s="555" t="s">
        <v>3509</v>
      </c>
      <c r="D542" s="556"/>
      <c r="E542" s="556"/>
      <c r="F542" s="556"/>
      <c r="G542" s="569"/>
      <c r="H542" s="557" t="s">
        <v>1011</v>
      </c>
      <c r="I542" s="570">
        <f t="shared" si="15"/>
        <v>45000</v>
      </c>
      <c r="J542" s="580"/>
      <c r="L542" s="570">
        <v>50000</v>
      </c>
      <c r="M542" s="549">
        <v>0.9</v>
      </c>
      <c r="N542" s="686">
        <f t="shared" si="16"/>
        <v>45000</v>
      </c>
    </row>
    <row r="543" spans="2:14" ht="17.100000000000001" customHeight="1">
      <c r="B543" s="554">
        <v>11</v>
      </c>
      <c r="C543" s="555" t="s">
        <v>3192</v>
      </c>
      <c r="D543" s="556"/>
      <c r="E543" s="556"/>
      <c r="F543" s="556"/>
      <c r="G543" s="569"/>
      <c r="H543" s="557" t="s">
        <v>948</v>
      </c>
      <c r="I543" s="570">
        <f t="shared" si="15"/>
        <v>427500</v>
      </c>
      <c r="J543" s="580"/>
      <c r="L543" s="570">
        <v>475000</v>
      </c>
      <c r="M543" s="549">
        <v>0.9</v>
      </c>
      <c r="N543" s="686">
        <f t="shared" si="16"/>
        <v>427500</v>
      </c>
    </row>
    <row r="544" spans="2:14" ht="17.100000000000001" customHeight="1">
      <c r="B544" s="554">
        <v>12</v>
      </c>
      <c r="C544" s="555" t="s">
        <v>3194</v>
      </c>
      <c r="D544" s="556"/>
      <c r="E544" s="556"/>
      <c r="F544" s="556"/>
      <c r="G544" s="569"/>
      <c r="H544" s="557" t="s">
        <v>948</v>
      </c>
      <c r="I544" s="570">
        <f t="shared" ref="I544:I607" si="20">N544</f>
        <v>112500</v>
      </c>
      <c r="J544" s="580"/>
      <c r="L544" s="570">
        <v>125000</v>
      </c>
      <c r="M544" s="549">
        <v>0.9</v>
      </c>
      <c r="N544" s="686">
        <f t="shared" ref="N544:N607" si="21">L544*M544</f>
        <v>112500</v>
      </c>
    </row>
    <row r="545" spans="2:14" ht="17.100000000000001" customHeight="1">
      <c r="B545" s="554">
        <v>13</v>
      </c>
      <c r="C545" s="555" t="s">
        <v>4845</v>
      </c>
      <c r="D545" s="556"/>
      <c r="E545" s="556"/>
      <c r="F545" s="556"/>
      <c r="G545" s="569"/>
      <c r="H545" s="557" t="s">
        <v>1346</v>
      </c>
      <c r="I545" s="570">
        <f t="shared" si="20"/>
        <v>90000</v>
      </c>
      <c r="J545" s="580"/>
      <c r="L545" s="570">
        <v>100000</v>
      </c>
      <c r="M545" s="549">
        <v>0.9</v>
      </c>
      <c r="N545" s="686">
        <f t="shared" si="21"/>
        <v>90000</v>
      </c>
    </row>
    <row r="546" spans="2:14" ht="17.100000000000001" customHeight="1">
      <c r="B546" s="554">
        <v>14</v>
      </c>
      <c r="C546" s="555" t="s">
        <v>3193</v>
      </c>
      <c r="D546" s="556"/>
      <c r="E546" s="556"/>
      <c r="F546" s="556"/>
      <c r="G546" s="569"/>
      <c r="H546" s="557" t="s">
        <v>948</v>
      </c>
      <c r="I546" s="570">
        <f t="shared" si="20"/>
        <v>405000</v>
      </c>
      <c r="J546" s="580"/>
      <c r="L546" s="570">
        <v>450000</v>
      </c>
      <c r="M546" s="549">
        <v>0.9</v>
      </c>
      <c r="N546" s="686">
        <f t="shared" si="21"/>
        <v>405000</v>
      </c>
    </row>
    <row r="547" spans="2:14" ht="17.100000000000001" customHeight="1">
      <c r="B547" s="554">
        <v>15</v>
      </c>
      <c r="C547" s="555" t="s">
        <v>4846</v>
      </c>
      <c r="D547" s="556"/>
      <c r="E547" s="556"/>
      <c r="F547" s="556"/>
      <c r="G547" s="569"/>
      <c r="H547" s="557" t="s">
        <v>948</v>
      </c>
      <c r="I547" s="570">
        <f t="shared" si="20"/>
        <v>405000</v>
      </c>
      <c r="J547" s="580"/>
      <c r="L547" s="570">
        <v>450000</v>
      </c>
      <c r="M547" s="549">
        <v>0.9</v>
      </c>
      <c r="N547" s="686">
        <f t="shared" si="21"/>
        <v>405000</v>
      </c>
    </row>
    <row r="548" spans="2:14" ht="17.100000000000001" customHeight="1">
      <c r="B548" s="554">
        <v>16</v>
      </c>
      <c r="C548" s="555" t="s">
        <v>4847</v>
      </c>
      <c r="D548" s="556"/>
      <c r="E548" s="556"/>
      <c r="F548" s="556"/>
      <c r="G548" s="569"/>
      <c r="H548" s="557" t="s">
        <v>948</v>
      </c>
      <c r="I548" s="570">
        <f t="shared" si="20"/>
        <v>405000</v>
      </c>
      <c r="J548" s="554"/>
      <c r="L548" s="570">
        <v>450000</v>
      </c>
      <c r="M548" s="549">
        <v>0.9</v>
      </c>
      <c r="N548" s="686">
        <f t="shared" si="21"/>
        <v>405000</v>
      </c>
    </row>
    <row r="549" spans="2:14" ht="17.100000000000001" customHeight="1">
      <c r="B549" s="554">
        <v>17</v>
      </c>
      <c r="C549" s="555" t="s">
        <v>4848</v>
      </c>
      <c r="D549" s="556"/>
      <c r="E549" s="556"/>
      <c r="F549" s="556"/>
      <c r="G549" s="569"/>
      <c r="H549" s="557" t="s">
        <v>948</v>
      </c>
      <c r="I549" s="570">
        <f t="shared" si="20"/>
        <v>315000</v>
      </c>
      <c r="J549" s="580"/>
      <c r="L549" s="570">
        <v>350000</v>
      </c>
      <c r="M549" s="549">
        <v>0.9</v>
      </c>
      <c r="N549" s="686">
        <f t="shared" si="21"/>
        <v>315000</v>
      </c>
    </row>
    <row r="550" spans="2:14" ht="17.100000000000001" customHeight="1">
      <c r="B550" s="554">
        <v>18</v>
      </c>
      <c r="C550" s="555" t="s">
        <v>4849</v>
      </c>
      <c r="D550" s="556"/>
      <c r="E550" s="556"/>
      <c r="F550" s="556"/>
      <c r="G550" s="569"/>
      <c r="H550" s="557" t="s">
        <v>948</v>
      </c>
      <c r="I550" s="570">
        <f t="shared" si="20"/>
        <v>72000</v>
      </c>
      <c r="J550" s="554"/>
      <c r="L550" s="570">
        <v>80000</v>
      </c>
      <c r="M550" s="549">
        <v>0.9</v>
      </c>
      <c r="N550" s="686">
        <f t="shared" si="21"/>
        <v>72000</v>
      </c>
    </row>
    <row r="551" spans="2:14" ht="17.100000000000001" customHeight="1">
      <c r="B551" s="554">
        <v>19</v>
      </c>
      <c r="C551" s="555" t="s">
        <v>4850</v>
      </c>
      <c r="D551" s="556"/>
      <c r="E551" s="556"/>
      <c r="F551" s="556"/>
      <c r="G551" s="569"/>
      <c r="H551" s="557" t="s">
        <v>948</v>
      </c>
      <c r="I551" s="570">
        <f t="shared" si="20"/>
        <v>54000</v>
      </c>
      <c r="J551" s="554"/>
      <c r="L551" s="570">
        <v>60000</v>
      </c>
      <c r="M551" s="549">
        <v>0.9</v>
      </c>
      <c r="N551" s="686">
        <f t="shared" si="21"/>
        <v>54000</v>
      </c>
    </row>
    <row r="552" spans="2:14" ht="17.100000000000001" customHeight="1">
      <c r="B552" s="554">
        <v>20</v>
      </c>
      <c r="C552" s="555" t="s">
        <v>4851</v>
      </c>
      <c r="D552" s="556"/>
      <c r="E552" s="556"/>
      <c r="F552" s="556"/>
      <c r="G552" s="569"/>
      <c r="H552" s="557" t="s">
        <v>948</v>
      </c>
      <c r="I552" s="570">
        <f t="shared" si="20"/>
        <v>3150000</v>
      </c>
      <c r="J552" s="554"/>
      <c r="L552" s="570">
        <v>3500000</v>
      </c>
      <c r="M552" s="549">
        <v>0.9</v>
      </c>
      <c r="N552" s="686">
        <f t="shared" si="21"/>
        <v>3150000</v>
      </c>
    </row>
    <row r="553" spans="2:14" ht="17.100000000000001" customHeight="1">
      <c r="B553" s="554">
        <v>21</v>
      </c>
      <c r="C553" s="555" t="s">
        <v>4852</v>
      </c>
      <c r="D553" s="556"/>
      <c r="E553" s="556"/>
      <c r="F553" s="556"/>
      <c r="G553" s="569"/>
      <c r="H553" s="557" t="s">
        <v>948</v>
      </c>
      <c r="I553" s="570">
        <f t="shared" si="20"/>
        <v>90000</v>
      </c>
      <c r="J553" s="554"/>
      <c r="L553" s="570">
        <v>100000</v>
      </c>
      <c r="M553" s="549">
        <v>0.9</v>
      </c>
      <c r="N553" s="686">
        <f t="shared" si="21"/>
        <v>90000</v>
      </c>
    </row>
    <row r="554" spans="2:14" ht="17.100000000000001" customHeight="1">
      <c r="B554" s="554">
        <v>22</v>
      </c>
      <c r="C554" s="555" t="s">
        <v>4853</v>
      </c>
      <c r="D554" s="556"/>
      <c r="E554" s="556"/>
      <c r="F554" s="556"/>
      <c r="G554" s="569"/>
      <c r="H554" s="557" t="s">
        <v>948</v>
      </c>
      <c r="I554" s="570">
        <f t="shared" si="20"/>
        <v>90000</v>
      </c>
      <c r="J554" s="554"/>
      <c r="L554" s="570">
        <v>100000</v>
      </c>
      <c r="M554" s="549">
        <v>0.9</v>
      </c>
      <c r="N554" s="686">
        <f t="shared" si="21"/>
        <v>90000</v>
      </c>
    </row>
    <row r="555" spans="2:14" ht="17.100000000000001" customHeight="1">
      <c r="B555" s="554">
        <v>23</v>
      </c>
      <c r="C555" s="555" t="s">
        <v>4854</v>
      </c>
      <c r="D555" s="556"/>
      <c r="E555" s="556"/>
      <c r="F555" s="556"/>
      <c r="G555" s="569"/>
      <c r="H555" s="557" t="s">
        <v>948</v>
      </c>
      <c r="I555" s="570">
        <f t="shared" si="20"/>
        <v>405000</v>
      </c>
      <c r="J555" s="554"/>
      <c r="L555" s="570">
        <v>450000</v>
      </c>
      <c r="M555" s="549">
        <v>0.9</v>
      </c>
      <c r="N555" s="686">
        <f t="shared" si="21"/>
        <v>405000</v>
      </c>
    </row>
    <row r="556" spans="2:14" ht="17.100000000000001" customHeight="1">
      <c r="B556" s="554">
        <v>24</v>
      </c>
      <c r="C556" s="555" t="s">
        <v>4855</v>
      </c>
      <c r="D556" s="556"/>
      <c r="E556" s="556"/>
      <c r="F556" s="556"/>
      <c r="G556" s="569"/>
      <c r="H556" s="557" t="s">
        <v>948</v>
      </c>
      <c r="I556" s="570">
        <f t="shared" si="20"/>
        <v>405000</v>
      </c>
      <c r="J556" s="554"/>
      <c r="L556" s="570">
        <v>450000</v>
      </c>
      <c r="M556" s="549">
        <v>0.9</v>
      </c>
      <c r="N556" s="686">
        <f t="shared" si="21"/>
        <v>405000</v>
      </c>
    </row>
    <row r="557" spans="2:14" ht="17.100000000000001" customHeight="1">
      <c r="B557" s="554">
        <v>25</v>
      </c>
      <c r="C557" s="555" t="s">
        <v>4856</v>
      </c>
      <c r="D557" s="556"/>
      <c r="E557" s="556"/>
      <c r="F557" s="556"/>
      <c r="G557" s="569"/>
      <c r="H557" s="557" t="s">
        <v>4777</v>
      </c>
      <c r="I557" s="570">
        <f t="shared" si="20"/>
        <v>24300</v>
      </c>
      <c r="J557" s="554"/>
      <c r="L557" s="570">
        <v>27000</v>
      </c>
      <c r="M557" s="549">
        <v>0.9</v>
      </c>
      <c r="N557" s="686">
        <f t="shared" si="21"/>
        <v>24300</v>
      </c>
    </row>
    <row r="558" spans="2:14" ht="17.100000000000001" customHeight="1">
      <c r="B558" s="597"/>
      <c r="C558" s="690"/>
      <c r="D558" s="691"/>
      <c r="E558" s="691"/>
      <c r="F558" s="691"/>
      <c r="G558" s="598"/>
      <c r="H558" s="692"/>
      <c r="I558" s="570">
        <f t="shared" si="20"/>
        <v>0</v>
      </c>
      <c r="J558" s="597"/>
      <c r="L558" s="599"/>
      <c r="M558" s="549">
        <v>0.9</v>
      </c>
      <c r="N558" s="686">
        <f t="shared" si="21"/>
        <v>0</v>
      </c>
    </row>
    <row r="559" spans="2:14" ht="17.100000000000001" customHeight="1">
      <c r="B559" s="687" t="s">
        <v>703</v>
      </c>
      <c r="C559" s="688" t="s">
        <v>3780</v>
      </c>
      <c r="D559" s="689"/>
      <c r="E559" s="689"/>
      <c r="F559" s="689"/>
      <c r="G559" s="564"/>
      <c r="H559" s="565"/>
      <c r="I559" s="570"/>
      <c r="J559" s="561"/>
      <c r="L559" s="566"/>
      <c r="N559" s="686"/>
    </row>
    <row r="560" spans="2:14" ht="17.100000000000001" customHeight="1">
      <c r="B560" s="554">
        <v>1</v>
      </c>
      <c r="C560" s="555" t="s">
        <v>3195</v>
      </c>
      <c r="D560" s="556"/>
      <c r="E560" s="556" t="s">
        <v>3196</v>
      </c>
      <c r="F560" s="556" t="s">
        <v>3781</v>
      </c>
      <c r="G560" s="569"/>
      <c r="H560" s="557" t="s">
        <v>2944</v>
      </c>
      <c r="I560" s="570">
        <f t="shared" si="20"/>
        <v>1073007</v>
      </c>
      <c r="J560" s="554"/>
      <c r="L560" s="570">
        <v>1192230</v>
      </c>
      <c r="M560" s="549">
        <v>0.9</v>
      </c>
      <c r="N560" s="686">
        <f t="shared" si="21"/>
        <v>1073007</v>
      </c>
    </row>
    <row r="561" spans="2:14" ht="16.5" customHeight="1">
      <c r="B561" s="554">
        <v>2</v>
      </c>
      <c r="C561" s="555" t="s">
        <v>3195</v>
      </c>
      <c r="D561" s="556"/>
      <c r="E561" s="556" t="s">
        <v>3196</v>
      </c>
      <c r="F561" s="556" t="s">
        <v>3197</v>
      </c>
      <c r="G561" s="569"/>
      <c r="H561" s="557" t="s">
        <v>2944</v>
      </c>
      <c r="I561" s="570">
        <f t="shared" si="20"/>
        <v>669456</v>
      </c>
      <c r="J561" s="554"/>
      <c r="L561" s="570">
        <v>743840</v>
      </c>
      <c r="M561" s="549">
        <v>0.9</v>
      </c>
      <c r="N561" s="686">
        <f t="shared" si="21"/>
        <v>669456</v>
      </c>
    </row>
    <row r="562" spans="2:14" ht="17.100000000000001" customHeight="1">
      <c r="B562" s="554">
        <v>3</v>
      </c>
      <c r="C562" s="555" t="s">
        <v>3195</v>
      </c>
      <c r="D562" s="556"/>
      <c r="E562" s="556" t="s">
        <v>3196</v>
      </c>
      <c r="F562" s="556" t="s">
        <v>3204</v>
      </c>
      <c r="G562" s="569"/>
      <c r="H562" s="557" t="s">
        <v>2944</v>
      </c>
      <c r="I562" s="570">
        <f t="shared" si="20"/>
        <v>420768</v>
      </c>
      <c r="J562" s="554"/>
      <c r="L562" s="570">
        <v>467520</v>
      </c>
      <c r="M562" s="549">
        <v>0.9</v>
      </c>
      <c r="N562" s="686">
        <f t="shared" si="21"/>
        <v>420768</v>
      </c>
    </row>
    <row r="563" spans="2:14" ht="17.100000000000001" customHeight="1">
      <c r="B563" s="554">
        <v>4</v>
      </c>
      <c r="C563" s="555" t="s">
        <v>3195</v>
      </c>
      <c r="D563" s="556"/>
      <c r="E563" s="556" t="s">
        <v>3196</v>
      </c>
      <c r="F563" s="556" t="s">
        <v>3198</v>
      </c>
      <c r="G563" s="569"/>
      <c r="H563" s="557" t="s">
        <v>2944</v>
      </c>
      <c r="I563" s="570">
        <f t="shared" si="20"/>
        <v>270144</v>
      </c>
      <c r="J563" s="554"/>
      <c r="L563" s="570">
        <v>300160</v>
      </c>
      <c r="M563" s="549">
        <v>0.9</v>
      </c>
      <c r="N563" s="686">
        <f t="shared" si="21"/>
        <v>270144</v>
      </c>
    </row>
    <row r="564" spans="2:14" ht="17.100000000000001" customHeight="1">
      <c r="B564" s="554">
        <v>5</v>
      </c>
      <c r="C564" s="555" t="s">
        <v>3195</v>
      </c>
      <c r="D564" s="556"/>
      <c r="E564" s="556" t="s">
        <v>3196</v>
      </c>
      <c r="F564" s="556" t="s">
        <v>3199</v>
      </c>
      <c r="G564" s="569"/>
      <c r="H564" s="557" t="s">
        <v>2944</v>
      </c>
      <c r="I564" s="570">
        <f t="shared" si="20"/>
        <v>125433</v>
      </c>
      <c r="J564" s="554"/>
      <c r="L564" s="570">
        <v>139370</v>
      </c>
      <c r="M564" s="549">
        <v>0.9</v>
      </c>
      <c r="N564" s="686">
        <f t="shared" si="21"/>
        <v>125433</v>
      </c>
    </row>
    <row r="565" spans="2:14" ht="17.100000000000001" customHeight="1">
      <c r="B565" s="554">
        <v>6</v>
      </c>
      <c r="C565" s="555" t="s">
        <v>3195</v>
      </c>
      <c r="D565" s="556"/>
      <c r="E565" s="556" t="s">
        <v>3196</v>
      </c>
      <c r="F565" s="556" t="s">
        <v>3200</v>
      </c>
      <c r="G565" s="569"/>
      <c r="H565" s="557" t="s">
        <v>2944</v>
      </c>
      <c r="I565" s="570">
        <f t="shared" si="20"/>
        <v>85203</v>
      </c>
      <c r="J565" s="554"/>
      <c r="L565" s="570">
        <v>94670</v>
      </c>
      <c r="M565" s="549">
        <v>0.9</v>
      </c>
      <c r="N565" s="686">
        <f t="shared" si="21"/>
        <v>85203</v>
      </c>
    </row>
    <row r="566" spans="2:14" ht="17.100000000000001" customHeight="1">
      <c r="B566" s="554">
        <v>7</v>
      </c>
      <c r="C566" s="555" t="s">
        <v>3195</v>
      </c>
      <c r="D566" s="556"/>
      <c r="E566" s="556" t="s">
        <v>3196</v>
      </c>
      <c r="F566" s="556" t="s">
        <v>3201</v>
      </c>
      <c r="G566" s="569"/>
      <c r="H566" s="557" t="s">
        <v>2944</v>
      </c>
      <c r="I566" s="570">
        <f t="shared" si="20"/>
        <v>40869</v>
      </c>
      <c r="J566" s="554"/>
      <c r="L566" s="570">
        <v>45410</v>
      </c>
      <c r="M566" s="549">
        <v>0.9</v>
      </c>
      <c r="N566" s="686">
        <f t="shared" si="21"/>
        <v>40869</v>
      </c>
    </row>
    <row r="567" spans="2:14" ht="17.100000000000001" customHeight="1">
      <c r="B567" s="554">
        <v>8</v>
      </c>
      <c r="C567" s="555" t="s">
        <v>3195</v>
      </c>
      <c r="D567" s="556"/>
      <c r="E567" s="556" t="s">
        <v>3202</v>
      </c>
      <c r="F567" s="556" t="s">
        <v>3782</v>
      </c>
      <c r="G567" s="569"/>
      <c r="H567" s="557" t="s">
        <v>2944</v>
      </c>
      <c r="I567" s="570">
        <f t="shared" si="20"/>
        <v>782424</v>
      </c>
      <c r="J567" s="554"/>
      <c r="L567" s="570">
        <v>869360</v>
      </c>
      <c r="M567" s="549">
        <v>0.9</v>
      </c>
      <c r="N567" s="686">
        <f t="shared" si="21"/>
        <v>782424</v>
      </c>
    </row>
    <row r="568" spans="2:14" ht="17.100000000000001" customHeight="1">
      <c r="B568" s="554">
        <v>9</v>
      </c>
      <c r="C568" s="555" t="s">
        <v>3195</v>
      </c>
      <c r="D568" s="556"/>
      <c r="E568" s="556" t="s">
        <v>3202</v>
      </c>
      <c r="F568" s="556" t="s">
        <v>3219</v>
      </c>
      <c r="G568" s="569"/>
      <c r="H568" s="557" t="s">
        <v>2944</v>
      </c>
      <c r="I568" s="570">
        <f t="shared" si="20"/>
        <v>496341</v>
      </c>
      <c r="J568" s="554"/>
      <c r="L568" s="570">
        <v>551490</v>
      </c>
      <c r="M568" s="549">
        <v>0.9</v>
      </c>
      <c r="N568" s="686">
        <f t="shared" si="21"/>
        <v>496341</v>
      </c>
    </row>
    <row r="569" spans="2:14" ht="17.100000000000001" customHeight="1">
      <c r="B569" s="554">
        <v>10</v>
      </c>
      <c r="C569" s="555" t="s">
        <v>3195</v>
      </c>
      <c r="D569" s="556"/>
      <c r="E569" s="556" t="s">
        <v>3202</v>
      </c>
      <c r="F569" s="556" t="s">
        <v>3203</v>
      </c>
      <c r="G569" s="569"/>
      <c r="H569" s="557" t="s">
        <v>2944</v>
      </c>
      <c r="I569" s="570">
        <f t="shared" si="20"/>
        <v>314352</v>
      </c>
      <c r="J569" s="554"/>
      <c r="L569" s="570">
        <v>349280</v>
      </c>
      <c r="M569" s="549">
        <v>0.9</v>
      </c>
      <c r="N569" s="686">
        <f t="shared" si="21"/>
        <v>314352</v>
      </c>
    </row>
    <row r="570" spans="2:14" ht="17.100000000000001" customHeight="1">
      <c r="B570" s="554">
        <v>1</v>
      </c>
      <c r="C570" s="555" t="s">
        <v>3195</v>
      </c>
      <c r="D570" s="556"/>
      <c r="E570" s="556" t="s">
        <v>3202</v>
      </c>
      <c r="F570" s="556" t="s">
        <v>3205</v>
      </c>
      <c r="G570" s="569"/>
      <c r="H570" s="557" t="s">
        <v>2944</v>
      </c>
      <c r="I570" s="570">
        <f t="shared" si="20"/>
        <v>205497</v>
      </c>
      <c r="J570" s="554"/>
      <c r="L570" s="570">
        <v>228330</v>
      </c>
      <c r="M570" s="549">
        <v>0.9</v>
      </c>
      <c r="N570" s="686">
        <f t="shared" si="21"/>
        <v>205497</v>
      </c>
    </row>
    <row r="571" spans="2:14" ht="17.100000000000001" customHeight="1">
      <c r="B571" s="554">
        <v>12</v>
      </c>
      <c r="C571" s="555" t="s">
        <v>3195</v>
      </c>
      <c r="D571" s="556"/>
      <c r="E571" s="556" t="s">
        <v>3202</v>
      </c>
      <c r="F571" s="556" t="s">
        <v>3206</v>
      </c>
      <c r="G571" s="569"/>
      <c r="H571" s="557" t="s">
        <v>2944</v>
      </c>
      <c r="I571" s="570">
        <f t="shared" si="20"/>
        <v>112068</v>
      </c>
      <c r="J571" s="554"/>
      <c r="L571" s="570">
        <v>124520</v>
      </c>
      <c r="M571" s="549">
        <v>0.9</v>
      </c>
      <c r="N571" s="686">
        <f t="shared" si="21"/>
        <v>112068</v>
      </c>
    </row>
    <row r="572" spans="2:14" ht="17.100000000000001" customHeight="1">
      <c r="B572" s="554">
        <v>13</v>
      </c>
      <c r="C572" s="555" t="s">
        <v>3208</v>
      </c>
      <c r="D572" s="556"/>
      <c r="E572" s="556"/>
      <c r="F572" s="556"/>
      <c r="G572" s="569"/>
      <c r="H572" s="557" t="s">
        <v>1423</v>
      </c>
      <c r="I572" s="570">
        <f t="shared" si="20"/>
        <v>530010</v>
      </c>
      <c r="J572" s="554"/>
      <c r="L572" s="570">
        <v>588900</v>
      </c>
      <c r="M572" s="549">
        <v>0.9</v>
      </c>
      <c r="N572" s="686">
        <f t="shared" si="21"/>
        <v>530010</v>
      </c>
    </row>
    <row r="573" spans="2:14" ht="17.100000000000001" customHeight="1">
      <c r="B573" s="554">
        <v>14</v>
      </c>
      <c r="C573" s="555" t="s">
        <v>3682</v>
      </c>
      <c r="D573" s="556"/>
      <c r="E573" s="556"/>
      <c r="F573" s="556"/>
      <c r="G573" s="569"/>
      <c r="H573" s="557" t="s">
        <v>1423</v>
      </c>
      <c r="I573" s="570">
        <f t="shared" si="20"/>
        <v>198045</v>
      </c>
      <c r="J573" s="554"/>
      <c r="L573" s="570">
        <v>220050</v>
      </c>
      <c r="M573" s="549">
        <v>0.9</v>
      </c>
      <c r="N573" s="686">
        <f t="shared" si="21"/>
        <v>198045</v>
      </c>
    </row>
    <row r="574" spans="2:14" ht="17.100000000000001" customHeight="1">
      <c r="B574" s="554">
        <v>15</v>
      </c>
      <c r="C574" s="555" t="s">
        <v>3783</v>
      </c>
      <c r="D574" s="556"/>
      <c r="E574" s="556"/>
      <c r="F574" s="556"/>
      <c r="G574" s="569"/>
      <c r="H574" s="557" t="s">
        <v>1423</v>
      </c>
      <c r="I574" s="570">
        <f t="shared" si="20"/>
        <v>1249209</v>
      </c>
      <c r="J574" s="554"/>
      <c r="L574" s="570">
        <v>1388010</v>
      </c>
      <c r="M574" s="549">
        <v>0.9</v>
      </c>
      <c r="N574" s="686">
        <f t="shared" si="21"/>
        <v>1249209</v>
      </c>
    </row>
    <row r="575" spans="2:14" ht="17.100000000000001" customHeight="1">
      <c r="B575" s="554">
        <v>2</v>
      </c>
      <c r="C575" s="555" t="s">
        <v>3209</v>
      </c>
      <c r="D575" s="556"/>
      <c r="E575" s="556"/>
      <c r="F575" s="556"/>
      <c r="G575" s="569"/>
      <c r="H575" s="557" t="s">
        <v>690</v>
      </c>
      <c r="I575" s="570">
        <f t="shared" si="20"/>
        <v>134172</v>
      </c>
      <c r="J575" s="554"/>
      <c r="L575" s="570">
        <v>149080</v>
      </c>
      <c r="M575" s="549">
        <v>0.9</v>
      </c>
      <c r="N575" s="686">
        <f t="shared" si="21"/>
        <v>134172</v>
      </c>
    </row>
    <row r="576" spans="2:14" ht="17.100000000000001" customHeight="1">
      <c r="B576" s="554">
        <v>17</v>
      </c>
      <c r="C576" s="555" t="s">
        <v>3784</v>
      </c>
      <c r="D576" s="556"/>
      <c r="E576" s="556"/>
      <c r="F576" s="556"/>
      <c r="G576" s="569"/>
      <c r="H576" s="557" t="s">
        <v>1423</v>
      </c>
      <c r="I576" s="570">
        <f t="shared" si="20"/>
        <v>9207558</v>
      </c>
      <c r="J576" s="554"/>
      <c r="L576" s="570">
        <v>10230620</v>
      </c>
      <c r="M576" s="549">
        <v>0.9</v>
      </c>
      <c r="N576" s="686">
        <f t="shared" si="21"/>
        <v>9207558</v>
      </c>
    </row>
    <row r="577" spans="2:14" ht="17.100000000000001" customHeight="1">
      <c r="B577" s="554">
        <v>18</v>
      </c>
      <c r="C577" s="555" t="s">
        <v>3785</v>
      </c>
      <c r="D577" s="556"/>
      <c r="E577" s="556"/>
      <c r="F577" s="556"/>
      <c r="G577" s="569"/>
      <c r="H577" s="557" t="s">
        <v>743</v>
      </c>
      <c r="I577" s="570">
        <f t="shared" si="20"/>
        <v>5424183</v>
      </c>
      <c r="J577" s="554"/>
      <c r="L577" s="570">
        <v>6026870</v>
      </c>
      <c r="M577" s="549">
        <v>0.9</v>
      </c>
      <c r="N577" s="686">
        <f t="shared" si="21"/>
        <v>5424183</v>
      </c>
    </row>
    <row r="578" spans="2:14" ht="17.100000000000001" customHeight="1">
      <c r="B578" s="554">
        <v>19</v>
      </c>
      <c r="C578" s="555" t="s">
        <v>3786</v>
      </c>
      <c r="D578" s="556"/>
      <c r="E578" s="556"/>
      <c r="F578" s="556"/>
      <c r="G578" s="569"/>
      <c r="H578" s="557" t="s">
        <v>743</v>
      </c>
      <c r="I578" s="570">
        <f t="shared" si="20"/>
        <v>3111975</v>
      </c>
      <c r="J578" s="554"/>
      <c r="L578" s="570">
        <v>3457750</v>
      </c>
      <c r="M578" s="549">
        <v>0.9</v>
      </c>
      <c r="N578" s="686">
        <f t="shared" si="21"/>
        <v>3111975</v>
      </c>
    </row>
    <row r="579" spans="2:14" ht="17.100000000000001" customHeight="1">
      <c r="B579" s="554">
        <v>20</v>
      </c>
      <c r="C579" s="555" t="s">
        <v>3787</v>
      </c>
      <c r="D579" s="556"/>
      <c r="E579" s="556"/>
      <c r="F579" s="556"/>
      <c r="G579" s="569"/>
      <c r="H579" s="557" t="s">
        <v>743</v>
      </c>
      <c r="I579" s="570">
        <f t="shared" si="20"/>
        <v>1748385</v>
      </c>
      <c r="J579" s="554"/>
      <c r="L579" s="570">
        <v>1942650</v>
      </c>
      <c r="M579" s="549">
        <v>0.9</v>
      </c>
      <c r="N579" s="686">
        <f t="shared" si="21"/>
        <v>1748385</v>
      </c>
    </row>
    <row r="580" spans="2:14" ht="17.100000000000001" customHeight="1">
      <c r="B580" s="554">
        <v>21</v>
      </c>
      <c r="C580" s="555" t="s">
        <v>3788</v>
      </c>
      <c r="D580" s="556"/>
      <c r="E580" s="556"/>
      <c r="F580" s="556"/>
      <c r="G580" s="569"/>
      <c r="H580" s="557" t="s">
        <v>743</v>
      </c>
      <c r="I580" s="570">
        <f t="shared" si="20"/>
        <v>848358</v>
      </c>
      <c r="J580" s="554"/>
      <c r="L580" s="570">
        <v>942620</v>
      </c>
      <c r="M580" s="549">
        <v>0.9</v>
      </c>
      <c r="N580" s="686">
        <f t="shared" si="21"/>
        <v>848358</v>
      </c>
    </row>
    <row r="581" spans="2:14" ht="17.100000000000001" customHeight="1">
      <c r="B581" s="554">
        <v>22</v>
      </c>
      <c r="C581" s="555" t="s">
        <v>3789</v>
      </c>
      <c r="D581" s="556"/>
      <c r="E581" s="556"/>
      <c r="F581" s="556"/>
      <c r="G581" s="569"/>
      <c r="H581" s="557" t="s">
        <v>1423</v>
      </c>
      <c r="I581" s="570">
        <f t="shared" si="20"/>
        <v>609696</v>
      </c>
      <c r="J581" s="554"/>
      <c r="L581" s="570">
        <v>677440</v>
      </c>
      <c r="M581" s="549">
        <v>0.9</v>
      </c>
      <c r="N581" s="686">
        <f t="shared" si="21"/>
        <v>609696</v>
      </c>
    </row>
    <row r="582" spans="2:14" ht="17.100000000000001" customHeight="1">
      <c r="B582" s="554">
        <v>23</v>
      </c>
      <c r="C582" s="555" t="s">
        <v>3790</v>
      </c>
      <c r="D582" s="556"/>
      <c r="E582" s="556"/>
      <c r="F582" s="556"/>
      <c r="G582" s="569"/>
      <c r="H582" s="557" t="s">
        <v>743</v>
      </c>
      <c r="I582" s="570">
        <f t="shared" si="20"/>
        <v>64260</v>
      </c>
      <c r="J582" s="554"/>
      <c r="L582" s="570">
        <v>71400</v>
      </c>
      <c r="M582" s="549">
        <v>0.9</v>
      </c>
      <c r="N582" s="686">
        <f t="shared" si="21"/>
        <v>64260</v>
      </c>
    </row>
    <row r="583" spans="2:14" ht="17.100000000000001" customHeight="1">
      <c r="B583" s="554">
        <v>24</v>
      </c>
      <c r="C583" s="555" t="s">
        <v>3791</v>
      </c>
      <c r="D583" s="556"/>
      <c r="E583" s="556"/>
      <c r="F583" s="556"/>
      <c r="G583" s="569"/>
      <c r="H583" s="557" t="s">
        <v>743</v>
      </c>
      <c r="I583" s="570">
        <f t="shared" si="20"/>
        <v>96390</v>
      </c>
      <c r="J583" s="554"/>
      <c r="L583" s="570">
        <v>107100</v>
      </c>
      <c r="M583" s="549">
        <v>0.9</v>
      </c>
      <c r="N583" s="686">
        <f t="shared" si="21"/>
        <v>96390</v>
      </c>
    </row>
    <row r="584" spans="2:14" ht="17.100000000000001" customHeight="1">
      <c r="B584" s="554">
        <v>28</v>
      </c>
      <c r="C584" s="555" t="s">
        <v>3211</v>
      </c>
      <c r="D584" s="556"/>
      <c r="E584" s="556"/>
      <c r="F584" s="556" t="s">
        <v>3212</v>
      </c>
      <c r="G584" s="569"/>
      <c r="H584" s="557" t="s">
        <v>1423</v>
      </c>
      <c r="I584" s="570">
        <f t="shared" si="20"/>
        <v>1365651</v>
      </c>
      <c r="J584" s="554"/>
      <c r="L584" s="570">
        <v>1517390</v>
      </c>
      <c r="M584" s="549">
        <v>0.9</v>
      </c>
      <c r="N584" s="686">
        <f t="shared" si="21"/>
        <v>1365651</v>
      </c>
    </row>
    <row r="585" spans="2:14" ht="17.100000000000001" customHeight="1">
      <c r="B585" s="554">
        <v>29</v>
      </c>
      <c r="C585" s="555" t="s">
        <v>3211</v>
      </c>
      <c r="D585" s="556"/>
      <c r="E585" s="556"/>
      <c r="F585" s="556" t="s">
        <v>3213</v>
      </c>
      <c r="G585" s="569"/>
      <c r="H585" s="557" t="s">
        <v>1423</v>
      </c>
      <c r="I585" s="570">
        <f t="shared" si="20"/>
        <v>1912374</v>
      </c>
      <c r="J585" s="554"/>
      <c r="L585" s="570">
        <v>2124860</v>
      </c>
      <c r="M585" s="549">
        <v>0.9</v>
      </c>
      <c r="N585" s="686">
        <f t="shared" si="21"/>
        <v>1912374</v>
      </c>
    </row>
    <row r="586" spans="2:14" ht="17.100000000000001" customHeight="1">
      <c r="B586" s="554">
        <v>30</v>
      </c>
      <c r="C586" s="555" t="s">
        <v>3211</v>
      </c>
      <c r="D586" s="556"/>
      <c r="E586" s="556"/>
      <c r="F586" s="556" t="s">
        <v>3214</v>
      </c>
      <c r="G586" s="569"/>
      <c r="H586" s="557" t="s">
        <v>1423</v>
      </c>
      <c r="I586" s="570">
        <f t="shared" si="20"/>
        <v>1912374</v>
      </c>
      <c r="J586" s="554"/>
      <c r="L586" s="570">
        <v>2124860</v>
      </c>
      <c r="M586" s="549">
        <v>0.9</v>
      </c>
      <c r="N586" s="686">
        <f t="shared" si="21"/>
        <v>1912374</v>
      </c>
    </row>
    <row r="587" spans="2:14" ht="17.100000000000001" customHeight="1">
      <c r="B587" s="554">
        <v>31</v>
      </c>
      <c r="C587" s="555" t="s">
        <v>3211</v>
      </c>
      <c r="D587" s="556"/>
      <c r="E587" s="556"/>
      <c r="F587" s="556" t="s">
        <v>3792</v>
      </c>
      <c r="G587" s="569"/>
      <c r="H587" s="557" t="s">
        <v>1423</v>
      </c>
      <c r="I587" s="570">
        <f t="shared" si="20"/>
        <v>461511</v>
      </c>
      <c r="J587" s="554"/>
      <c r="L587" s="570">
        <v>512790</v>
      </c>
      <c r="M587" s="549">
        <v>0.9</v>
      </c>
      <c r="N587" s="686">
        <f t="shared" si="21"/>
        <v>461511</v>
      </c>
    </row>
    <row r="588" spans="2:14" ht="17.100000000000001" customHeight="1">
      <c r="B588" s="554">
        <v>32</v>
      </c>
      <c r="C588" s="555" t="s">
        <v>3211</v>
      </c>
      <c r="D588" s="556"/>
      <c r="E588" s="556"/>
      <c r="F588" s="556" t="s">
        <v>3793</v>
      </c>
      <c r="G588" s="569"/>
      <c r="H588" s="557" t="s">
        <v>1423</v>
      </c>
      <c r="I588" s="570">
        <f t="shared" si="20"/>
        <v>631674</v>
      </c>
      <c r="J588" s="554"/>
      <c r="L588" s="570">
        <v>701860</v>
      </c>
      <c r="M588" s="549">
        <v>0.9</v>
      </c>
      <c r="N588" s="686">
        <f t="shared" si="21"/>
        <v>631674</v>
      </c>
    </row>
    <row r="589" spans="2:14" ht="17.100000000000001" customHeight="1">
      <c r="B589" s="554">
        <v>33</v>
      </c>
      <c r="C589" s="555" t="s">
        <v>3211</v>
      </c>
      <c r="D589" s="556"/>
      <c r="E589" s="556"/>
      <c r="F589" s="556" t="s">
        <v>3794</v>
      </c>
      <c r="G589" s="569"/>
      <c r="H589" s="557" t="s">
        <v>1423</v>
      </c>
      <c r="I589" s="570">
        <f t="shared" si="20"/>
        <v>290322</v>
      </c>
      <c r="J589" s="554"/>
      <c r="L589" s="570">
        <v>322580</v>
      </c>
      <c r="M589" s="549">
        <v>0.9</v>
      </c>
      <c r="N589" s="686">
        <f t="shared" si="21"/>
        <v>290322</v>
      </c>
    </row>
    <row r="590" spans="2:14" ht="17.100000000000001" customHeight="1">
      <c r="B590" s="554">
        <v>34</v>
      </c>
      <c r="C590" s="555" t="s">
        <v>3218</v>
      </c>
      <c r="D590" s="556"/>
      <c r="E590" s="556"/>
      <c r="F590" s="556" t="s">
        <v>3795</v>
      </c>
      <c r="G590" s="569"/>
      <c r="H590" s="557" t="s">
        <v>1423</v>
      </c>
      <c r="I590" s="570">
        <f t="shared" si="20"/>
        <v>778824</v>
      </c>
      <c r="J590" s="554"/>
      <c r="L590" s="570">
        <v>865360</v>
      </c>
      <c r="M590" s="549">
        <v>0.9</v>
      </c>
      <c r="N590" s="686">
        <f t="shared" si="21"/>
        <v>778824</v>
      </c>
    </row>
    <row r="591" spans="2:14" ht="17.100000000000001" customHeight="1">
      <c r="B591" s="554">
        <v>35</v>
      </c>
      <c r="C591" s="555" t="s">
        <v>3218</v>
      </c>
      <c r="D591" s="556"/>
      <c r="E591" s="556"/>
      <c r="F591" s="556" t="s">
        <v>3219</v>
      </c>
      <c r="G591" s="569"/>
      <c r="H591" s="557" t="s">
        <v>1423</v>
      </c>
      <c r="I591" s="570">
        <f t="shared" si="20"/>
        <v>670869</v>
      </c>
      <c r="J591" s="554"/>
      <c r="L591" s="570">
        <v>745410</v>
      </c>
      <c r="M591" s="549">
        <v>0.9</v>
      </c>
      <c r="N591" s="686">
        <f t="shared" si="21"/>
        <v>670869</v>
      </c>
    </row>
    <row r="592" spans="2:14" ht="17.100000000000001" customHeight="1">
      <c r="B592" s="554">
        <v>36</v>
      </c>
      <c r="C592" s="555" t="s">
        <v>3218</v>
      </c>
      <c r="D592" s="556"/>
      <c r="E592" s="556"/>
      <c r="F592" s="556" t="s">
        <v>3203</v>
      </c>
      <c r="G592" s="569"/>
      <c r="H592" s="557" t="s">
        <v>1423</v>
      </c>
      <c r="I592" s="570">
        <f t="shared" si="20"/>
        <v>578340</v>
      </c>
      <c r="J592" s="554"/>
      <c r="L592" s="570">
        <v>642600</v>
      </c>
      <c r="M592" s="549">
        <v>0.9</v>
      </c>
      <c r="N592" s="686">
        <f t="shared" si="21"/>
        <v>578340</v>
      </c>
    </row>
    <row r="593" spans="2:14" ht="17.100000000000001" customHeight="1">
      <c r="B593" s="554">
        <v>37</v>
      </c>
      <c r="C593" s="555" t="s">
        <v>3218</v>
      </c>
      <c r="D593" s="556"/>
      <c r="E593" s="556"/>
      <c r="F593" s="556" t="s">
        <v>3205</v>
      </c>
      <c r="G593" s="569"/>
      <c r="H593" s="557" t="s">
        <v>1423</v>
      </c>
      <c r="I593" s="570">
        <f t="shared" si="20"/>
        <v>501228</v>
      </c>
      <c r="J593" s="554"/>
      <c r="L593" s="570">
        <v>556920</v>
      </c>
      <c r="M593" s="549">
        <v>0.9</v>
      </c>
      <c r="N593" s="686">
        <f t="shared" si="21"/>
        <v>501228</v>
      </c>
    </row>
    <row r="594" spans="2:14" ht="17.100000000000001" customHeight="1">
      <c r="B594" s="554">
        <v>38</v>
      </c>
      <c r="C594" s="555" t="s">
        <v>3218</v>
      </c>
      <c r="D594" s="556"/>
      <c r="E594" s="556"/>
      <c r="F594" s="556" t="s">
        <v>3206</v>
      </c>
      <c r="G594" s="569"/>
      <c r="H594" s="557" t="s">
        <v>1423</v>
      </c>
      <c r="I594" s="570">
        <f t="shared" si="20"/>
        <v>408690</v>
      </c>
      <c r="J594" s="554"/>
      <c r="L594" s="570">
        <v>454100</v>
      </c>
      <c r="M594" s="549">
        <v>0.9</v>
      </c>
      <c r="N594" s="686">
        <f t="shared" si="21"/>
        <v>408690</v>
      </c>
    </row>
    <row r="595" spans="2:14" ht="17.100000000000001" customHeight="1">
      <c r="B595" s="554">
        <v>39</v>
      </c>
      <c r="C595" s="555" t="s">
        <v>3218</v>
      </c>
      <c r="D595" s="556"/>
      <c r="E595" s="556"/>
      <c r="F595" s="556" t="s">
        <v>3210</v>
      </c>
      <c r="G595" s="569"/>
      <c r="H595" s="557" t="s">
        <v>1423</v>
      </c>
      <c r="I595" s="570">
        <f t="shared" si="20"/>
        <v>269892</v>
      </c>
      <c r="J595" s="554"/>
      <c r="L595" s="570">
        <v>299880</v>
      </c>
      <c r="M595" s="549">
        <v>0.9</v>
      </c>
      <c r="N595" s="686">
        <f t="shared" si="21"/>
        <v>269892</v>
      </c>
    </row>
    <row r="596" spans="2:14" ht="17.100000000000001" customHeight="1">
      <c r="B596" s="554">
        <v>40</v>
      </c>
      <c r="C596" s="555" t="s">
        <v>3796</v>
      </c>
      <c r="D596" s="556"/>
      <c r="E596" s="556"/>
      <c r="F596" s="556" t="s">
        <v>3782</v>
      </c>
      <c r="G596" s="569"/>
      <c r="H596" s="557" t="s">
        <v>1423</v>
      </c>
      <c r="I596" s="570">
        <f t="shared" si="20"/>
        <v>24418800</v>
      </c>
      <c r="J596" s="554"/>
      <c r="L596" s="570">
        <v>27132000</v>
      </c>
      <c r="M596" s="549">
        <v>0.9</v>
      </c>
      <c r="N596" s="686">
        <f t="shared" si="21"/>
        <v>24418800</v>
      </c>
    </row>
    <row r="597" spans="2:14" ht="17.100000000000001" customHeight="1">
      <c r="B597" s="554">
        <v>41</v>
      </c>
      <c r="C597" s="555" t="s">
        <v>3796</v>
      </c>
      <c r="D597" s="556"/>
      <c r="E597" s="556"/>
      <c r="F597" s="556" t="s">
        <v>3219</v>
      </c>
      <c r="G597" s="569"/>
      <c r="H597" s="557" t="s">
        <v>1423</v>
      </c>
      <c r="I597" s="570">
        <f t="shared" si="20"/>
        <v>19535040</v>
      </c>
      <c r="J597" s="554"/>
      <c r="L597" s="570">
        <v>21705600</v>
      </c>
      <c r="M597" s="549">
        <v>0.9</v>
      </c>
      <c r="N597" s="686">
        <f t="shared" si="21"/>
        <v>19535040</v>
      </c>
    </row>
    <row r="598" spans="2:14" ht="17.100000000000001" customHeight="1">
      <c r="B598" s="554">
        <v>42</v>
      </c>
      <c r="C598" s="555" t="s">
        <v>3796</v>
      </c>
      <c r="D598" s="556"/>
      <c r="E598" s="556"/>
      <c r="F598" s="556" t="s">
        <v>3203</v>
      </c>
      <c r="G598" s="569"/>
      <c r="H598" s="557" t="s">
        <v>1423</v>
      </c>
      <c r="I598" s="570">
        <f t="shared" si="20"/>
        <v>9767520</v>
      </c>
      <c r="J598" s="554"/>
      <c r="L598" s="570">
        <v>10852800</v>
      </c>
      <c r="M598" s="549">
        <v>0.9</v>
      </c>
      <c r="N598" s="686">
        <f t="shared" si="21"/>
        <v>9767520</v>
      </c>
    </row>
    <row r="599" spans="2:14" ht="17.100000000000001" customHeight="1">
      <c r="B599" s="554">
        <v>43</v>
      </c>
      <c r="C599" s="555" t="s">
        <v>3796</v>
      </c>
      <c r="D599" s="556"/>
      <c r="E599" s="556"/>
      <c r="F599" s="556" t="s">
        <v>3205</v>
      </c>
      <c r="G599" s="569"/>
      <c r="H599" s="557" t="s">
        <v>1423</v>
      </c>
      <c r="I599" s="570">
        <f t="shared" si="20"/>
        <v>4883760</v>
      </c>
      <c r="J599" s="554"/>
      <c r="L599" s="570">
        <v>5426400</v>
      </c>
      <c r="M599" s="549">
        <v>0.9</v>
      </c>
      <c r="N599" s="686">
        <f t="shared" si="21"/>
        <v>4883760</v>
      </c>
    </row>
    <row r="600" spans="2:14" ht="17.100000000000001" customHeight="1">
      <c r="B600" s="554">
        <v>44</v>
      </c>
      <c r="C600" s="555" t="s">
        <v>3796</v>
      </c>
      <c r="D600" s="556"/>
      <c r="E600" s="556"/>
      <c r="F600" s="556" t="s">
        <v>3206</v>
      </c>
      <c r="G600" s="569"/>
      <c r="H600" s="557" t="s">
        <v>1423</v>
      </c>
      <c r="I600" s="570">
        <f t="shared" si="20"/>
        <v>2024190</v>
      </c>
      <c r="J600" s="554"/>
      <c r="L600" s="570">
        <v>2249100</v>
      </c>
      <c r="M600" s="549">
        <v>0.9</v>
      </c>
      <c r="N600" s="686">
        <f t="shared" si="21"/>
        <v>2024190</v>
      </c>
    </row>
    <row r="601" spans="2:14" ht="17.100000000000001" customHeight="1">
      <c r="B601" s="554">
        <v>45</v>
      </c>
      <c r="C601" s="555" t="s">
        <v>3796</v>
      </c>
      <c r="D601" s="556"/>
      <c r="E601" s="556"/>
      <c r="F601" s="556" t="s">
        <v>3210</v>
      </c>
      <c r="G601" s="569"/>
      <c r="H601" s="557" t="s">
        <v>1423</v>
      </c>
      <c r="I601" s="570">
        <f t="shared" si="20"/>
        <v>1638630</v>
      </c>
      <c r="J601" s="554"/>
      <c r="L601" s="570">
        <v>1820700</v>
      </c>
      <c r="M601" s="549">
        <v>0.9</v>
      </c>
      <c r="N601" s="686">
        <f t="shared" si="21"/>
        <v>1638630</v>
      </c>
    </row>
    <row r="602" spans="2:14" ht="17.100000000000001" customHeight="1">
      <c r="B602" s="554">
        <v>46</v>
      </c>
      <c r="C602" s="555" t="s">
        <v>3220</v>
      </c>
      <c r="D602" s="556"/>
      <c r="E602" s="556"/>
      <c r="F602" s="556" t="s">
        <v>3221</v>
      </c>
      <c r="G602" s="569"/>
      <c r="H602" s="557" t="s">
        <v>1423</v>
      </c>
      <c r="I602" s="570">
        <f t="shared" si="20"/>
        <v>405090</v>
      </c>
      <c r="J602" s="554"/>
      <c r="L602" s="570">
        <v>450100</v>
      </c>
      <c r="M602" s="549">
        <v>0.9</v>
      </c>
      <c r="N602" s="686">
        <f t="shared" si="21"/>
        <v>405090</v>
      </c>
    </row>
    <row r="603" spans="2:14" ht="17.100000000000001" customHeight="1">
      <c r="B603" s="554">
        <v>47</v>
      </c>
      <c r="C603" s="555" t="s">
        <v>3220</v>
      </c>
      <c r="D603" s="556"/>
      <c r="E603" s="556"/>
      <c r="F603" s="556" t="s">
        <v>3222</v>
      </c>
      <c r="G603" s="569"/>
      <c r="H603" s="557" t="s">
        <v>1423</v>
      </c>
      <c r="I603" s="570">
        <f t="shared" si="20"/>
        <v>235701</v>
      </c>
      <c r="J603" s="554"/>
      <c r="L603" s="570">
        <v>261890</v>
      </c>
      <c r="M603" s="549">
        <v>0.9</v>
      </c>
      <c r="N603" s="686">
        <f t="shared" si="21"/>
        <v>235701</v>
      </c>
    </row>
    <row r="604" spans="2:14" ht="17.100000000000001" customHeight="1">
      <c r="B604" s="554">
        <v>48</v>
      </c>
      <c r="C604" s="555" t="s">
        <v>3797</v>
      </c>
      <c r="D604" s="556"/>
      <c r="E604" s="556"/>
      <c r="F604" s="556"/>
      <c r="G604" s="569"/>
      <c r="H604" s="557" t="s">
        <v>1423</v>
      </c>
      <c r="I604" s="570">
        <f t="shared" si="20"/>
        <v>541962</v>
      </c>
      <c r="J604" s="554"/>
      <c r="L604" s="570">
        <v>602180</v>
      </c>
      <c r="M604" s="549">
        <v>0.9</v>
      </c>
      <c r="N604" s="686">
        <f t="shared" si="21"/>
        <v>541962</v>
      </c>
    </row>
    <row r="605" spans="2:14" ht="17.100000000000001" customHeight="1">
      <c r="B605" s="554">
        <v>49</v>
      </c>
      <c r="C605" s="555" t="s">
        <v>3798</v>
      </c>
      <c r="D605" s="556"/>
      <c r="E605" s="556"/>
      <c r="F605" s="556"/>
      <c r="G605" s="569"/>
      <c r="H605" s="557" t="s">
        <v>1423</v>
      </c>
      <c r="I605" s="570">
        <f t="shared" si="20"/>
        <v>728829</v>
      </c>
      <c r="J605" s="554"/>
      <c r="L605" s="570">
        <v>809810</v>
      </c>
      <c r="M605" s="549">
        <v>0.9</v>
      </c>
      <c r="N605" s="686">
        <f t="shared" si="21"/>
        <v>728829</v>
      </c>
    </row>
    <row r="606" spans="2:14" ht="17.100000000000001" customHeight="1">
      <c r="B606" s="554">
        <v>50</v>
      </c>
      <c r="C606" s="555" t="s">
        <v>3799</v>
      </c>
      <c r="D606" s="556"/>
      <c r="E606" s="556"/>
      <c r="F606" s="556"/>
      <c r="G606" s="569"/>
      <c r="H606" s="557" t="s">
        <v>1423</v>
      </c>
      <c r="I606" s="570">
        <f t="shared" si="20"/>
        <v>1302678</v>
      </c>
      <c r="J606" s="554"/>
      <c r="L606" s="570">
        <v>1447420</v>
      </c>
      <c r="M606" s="549">
        <v>0.9</v>
      </c>
      <c r="N606" s="686">
        <f t="shared" si="21"/>
        <v>1302678</v>
      </c>
    </row>
    <row r="607" spans="2:14" ht="17.100000000000001" customHeight="1">
      <c r="B607" s="554">
        <v>51</v>
      </c>
      <c r="C607" s="555" t="s">
        <v>3800</v>
      </c>
      <c r="D607" s="556"/>
      <c r="E607" s="556"/>
      <c r="F607" s="556"/>
      <c r="G607" s="569"/>
      <c r="H607" s="557" t="s">
        <v>1423</v>
      </c>
      <c r="I607" s="570">
        <f t="shared" si="20"/>
        <v>1897722</v>
      </c>
      <c r="J607" s="554"/>
      <c r="L607" s="570">
        <v>2108580</v>
      </c>
      <c r="M607" s="549">
        <v>0.9</v>
      </c>
      <c r="N607" s="686">
        <f t="shared" si="21"/>
        <v>1897722</v>
      </c>
    </row>
    <row r="608" spans="2:14" ht="17.100000000000001" customHeight="1">
      <c r="B608" s="554">
        <v>52</v>
      </c>
      <c r="C608" s="555" t="s">
        <v>3801</v>
      </c>
      <c r="D608" s="556"/>
      <c r="E608" s="556"/>
      <c r="F608" s="556"/>
      <c r="G608" s="569"/>
      <c r="H608" s="557" t="s">
        <v>1423</v>
      </c>
      <c r="I608" s="570">
        <f t="shared" ref="I608:I671" si="22">N608</f>
        <v>2846718</v>
      </c>
      <c r="J608" s="554"/>
      <c r="L608" s="570">
        <v>3163020</v>
      </c>
      <c r="M608" s="549">
        <v>0.9</v>
      </c>
      <c r="N608" s="686">
        <f t="shared" ref="N608:N671" si="23">L608*M608</f>
        <v>2846718</v>
      </c>
    </row>
    <row r="609" spans="2:14" ht="17.100000000000001" customHeight="1">
      <c r="B609" s="554">
        <v>53</v>
      </c>
      <c r="C609" s="555" t="s">
        <v>3802</v>
      </c>
      <c r="D609" s="556"/>
      <c r="E609" s="556"/>
      <c r="F609" s="556"/>
      <c r="G609" s="569"/>
      <c r="H609" s="557" t="s">
        <v>1423</v>
      </c>
      <c r="I609" s="570">
        <f t="shared" si="22"/>
        <v>3226230</v>
      </c>
      <c r="J609" s="554"/>
      <c r="L609" s="570">
        <v>3584700</v>
      </c>
      <c r="M609" s="549">
        <v>0.9</v>
      </c>
      <c r="N609" s="686">
        <f t="shared" si="23"/>
        <v>3226230</v>
      </c>
    </row>
    <row r="610" spans="2:14" ht="17.100000000000001" customHeight="1">
      <c r="B610" s="554">
        <v>54</v>
      </c>
      <c r="C610" s="555" t="s">
        <v>3223</v>
      </c>
      <c r="D610" s="556"/>
      <c r="E610" s="556"/>
      <c r="F610" s="556" t="s">
        <v>3224</v>
      </c>
      <c r="G610" s="569"/>
      <c r="H610" s="557" t="s">
        <v>2647</v>
      </c>
      <c r="I610" s="570">
        <f t="shared" si="22"/>
        <v>183141</v>
      </c>
      <c r="J610" s="554"/>
      <c r="L610" s="570">
        <v>203490</v>
      </c>
      <c r="M610" s="549">
        <v>0.9</v>
      </c>
      <c r="N610" s="686">
        <f t="shared" si="23"/>
        <v>183141</v>
      </c>
    </row>
    <row r="611" spans="2:14" ht="17.100000000000001" customHeight="1">
      <c r="B611" s="554">
        <v>55</v>
      </c>
      <c r="C611" s="555" t="s">
        <v>3225</v>
      </c>
      <c r="D611" s="556"/>
      <c r="E611" s="556"/>
      <c r="F611" s="556" t="s">
        <v>3226</v>
      </c>
      <c r="G611" s="569"/>
      <c r="H611" s="557" t="s">
        <v>1423</v>
      </c>
      <c r="I611" s="570">
        <f t="shared" si="22"/>
        <v>5004</v>
      </c>
      <c r="J611" s="554"/>
      <c r="L611" s="570">
        <v>5560</v>
      </c>
      <c r="M611" s="549">
        <v>0.9</v>
      </c>
      <c r="N611" s="686">
        <f t="shared" si="23"/>
        <v>5004</v>
      </c>
    </row>
    <row r="612" spans="2:14" ht="17.100000000000001" customHeight="1">
      <c r="B612" s="554">
        <v>56</v>
      </c>
      <c r="C612" s="555" t="s">
        <v>3225</v>
      </c>
      <c r="D612" s="556"/>
      <c r="E612" s="556"/>
      <c r="F612" s="556" t="s">
        <v>3803</v>
      </c>
      <c r="G612" s="569"/>
      <c r="H612" s="557" t="s">
        <v>1423</v>
      </c>
      <c r="I612" s="570">
        <f t="shared" si="22"/>
        <v>9252</v>
      </c>
      <c r="J612" s="554"/>
      <c r="L612" s="570">
        <v>10280</v>
      </c>
      <c r="M612" s="549">
        <v>0.9</v>
      </c>
      <c r="N612" s="686">
        <f t="shared" si="23"/>
        <v>9252</v>
      </c>
    </row>
    <row r="613" spans="2:14" ht="17.100000000000001" customHeight="1">
      <c r="B613" s="554">
        <v>57</v>
      </c>
      <c r="C613" s="555" t="s">
        <v>3225</v>
      </c>
      <c r="D613" s="556"/>
      <c r="E613" s="556"/>
      <c r="F613" s="556" t="s">
        <v>3804</v>
      </c>
      <c r="G613" s="569"/>
      <c r="H613" s="557" t="s">
        <v>1423</v>
      </c>
      <c r="I613" s="570">
        <f t="shared" si="22"/>
        <v>26217</v>
      </c>
      <c r="J613" s="554"/>
      <c r="L613" s="570">
        <v>29130</v>
      </c>
      <c r="M613" s="549">
        <v>0.9</v>
      </c>
      <c r="N613" s="686">
        <f t="shared" si="23"/>
        <v>26217</v>
      </c>
    </row>
    <row r="614" spans="2:14" ht="17.100000000000001" customHeight="1">
      <c r="B614" s="554">
        <v>58</v>
      </c>
      <c r="C614" s="555" t="s">
        <v>3227</v>
      </c>
      <c r="D614" s="556"/>
      <c r="E614" s="556"/>
      <c r="F614" s="556" t="s">
        <v>3205</v>
      </c>
      <c r="G614" s="569"/>
      <c r="H614" s="557" t="s">
        <v>1423</v>
      </c>
      <c r="I614" s="570">
        <f t="shared" si="22"/>
        <v>1175058</v>
      </c>
      <c r="J614" s="554"/>
      <c r="L614" s="570">
        <v>1305620</v>
      </c>
      <c r="M614" s="549">
        <v>0.9</v>
      </c>
      <c r="N614" s="686">
        <f t="shared" si="23"/>
        <v>1175058</v>
      </c>
    </row>
    <row r="615" spans="2:14" ht="17.100000000000001" customHeight="1">
      <c r="B615" s="554">
        <v>59</v>
      </c>
      <c r="C615" s="555" t="s">
        <v>3227</v>
      </c>
      <c r="D615" s="556"/>
      <c r="E615" s="556"/>
      <c r="F615" s="556" t="s">
        <v>3206</v>
      </c>
      <c r="G615" s="569"/>
      <c r="H615" s="557" t="s">
        <v>1423</v>
      </c>
      <c r="I615" s="570">
        <f t="shared" si="22"/>
        <v>877788</v>
      </c>
      <c r="J615" s="554"/>
      <c r="L615" s="570">
        <v>975320</v>
      </c>
      <c r="M615" s="549">
        <v>0.9</v>
      </c>
      <c r="N615" s="686">
        <f t="shared" si="23"/>
        <v>877788</v>
      </c>
    </row>
    <row r="616" spans="2:14" ht="17.100000000000001" customHeight="1">
      <c r="B616" s="554">
        <v>60</v>
      </c>
      <c r="C616" s="555" t="s">
        <v>3227</v>
      </c>
      <c r="D616" s="556"/>
      <c r="E616" s="556"/>
      <c r="F616" s="556" t="s">
        <v>3210</v>
      </c>
      <c r="G616" s="569"/>
      <c r="H616" s="557" t="s">
        <v>1423</v>
      </c>
      <c r="I616" s="570">
        <f t="shared" si="22"/>
        <v>688347</v>
      </c>
      <c r="J616" s="554"/>
      <c r="L616" s="570">
        <v>764830</v>
      </c>
      <c r="M616" s="549">
        <v>0.9</v>
      </c>
      <c r="N616" s="686">
        <f t="shared" si="23"/>
        <v>688347</v>
      </c>
    </row>
    <row r="617" spans="2:14" ht="17.100000000000001" customHeight="1">
      <c r="B617" s="554">
        <v>61</v>
      </c>
      <c r="C617" s="555" t="s">
        <v>3805</v>
      </c>
      <c r="D617" s="556"/>
      <c r="E617" s="556"/>
      <c r="F617" s="556"/>
      <c r="G617" s="569"/>
      <c r="H617" s="557" t="s">
        <v>1423</v>
      </c>
      <c r="I617" s="570">
        <f t="shared" si="22"/>
        <v>208845</v>
      </c>
      <c r="J617" s="554"/>
      <c r="L617" s="570">
        <v>232050</v>
      </c>
      <c r="M617" s="549">
        <v>0.9</v>
      </c>
      <c r="N617" s="686">
        <f t="shared" si="23"/>
        <v>208845</v>
      </c>
    </row>
    <row r="618" spans="2:14" ht="17.100000000000001" customHeight="1">
      <c r="B618" s="554">
        <v>62</v>
      </c>
      <c r="C618" s="555" t="s">
        <v>3228</v>
      </c>
      <c r="D618" s="556"/>
      <c r="E618" s="556"/>
      <c r="F618" s="556"/>
      <c r="G618" s="569"/>
      <c r="H618" s="557" t="s">
        <v>1423</v>
      </c>
      <c r="I618" s="570">
        <f t="shared" si="22"/>
        <v>350856</v>
      </c>
      <c r="J618" s="554"/>
      <c r="L618" s="570">
        <v>389840</v>
      </c>
      <c r="M618" s="549">
        <v>0.9</v>
      </c>
      <c r="N618" s="686">
        <f t="shared" si="23"/>
        <v>350856</v>
      </c>
    </row>
    <row r="619" spans="2:14" ht="17.100000000000001" customHeight="1">
      <c r="B619" s="554">
        <v>63</v>
      </c>
      <c r="C619" s="555" t="s">
        <v>3230</v>
      </c>
      <c r="D619" s="556"/>
      <c r="E619" s="556"/>
      <c r="F619" s="556" t="s">
        <v>3217</v>
      </c>
      <c r="G619" s="569"/>
      <c r="H619" s="557" t="s">
        <v>1423</v>
      </c>
      <c r="I619" s="570">
        <f t="shared" si="22"/>
        <v>1101411</v>
      </c>
      <c r="J619" s="554"/>
      <c r="L619" s="570">
        <v>1223790</v>
      </c>
      <c r="M619" s="549">
        <v>0.9</v>
      </c>
      <c r="N619" s="686">
        <f t="shared" si="23"/>
        <v>1101411</v>
      </c>
    </row>
    <row r="620" spans="2:14" ht="17.100000000000001" customHeight="1">
      <c r="B620" s="554">
        <v>64</v>
      </c>
      <c r="C620" s="555" t="s">
        <v>3230</v>
      </c>
      <c r="D620" s="556"/>
      <c r="E620" s="556"/>
      <c r="F620" s="556" t="s">
        <v>3207</v>
      </c>
      <c r="G620" s="569"/>
      <c r="H620" s="557" t="s">
        <v>1423</v>
      </c>
      <c r="I620" s="570">
        <f t="shared" si="22"/>
        <v>392877</v>
      </c>
      <c r="J620" s="554"/>
      <c r="L620" s="570">
        <v>436530</v>
      </c>
      <c r="M620" s="549">
        <v>0.9</v>
      </c>
      <c r="N620" s="686">
        <f t="shared" si="23"/>
        <v>392877</v>
      </c>
    </row>
    <row r="621" spans="2:14" ht="17.100000000000001" customHeight="1">
      <c r="B621" s="554">
        <v>65</v>
      </c>
      <c r="C621" s="555" t="s">
        <v>3230</v>
      </c>
      <c r="D621" s="556"/>
      <c r="E621" s="556"/>
      <c r="F621" s="556" t="s">
        <v>3215</v>
      </c>
      <c r="G621" s="569"/>
      <c r="H621" s="557" t="s">
        <v>1423</v>
      </c>
      <c r="I621" s="570">
        <f t="shared" si="22"/>
        <v>230436</v>
      </c>
      <c r="J621" s="554"/>
      <c r="L621" s="570">
        <v>256040</v>
      </c>
      <c r="M621" s="549">
        <v>0.9</v>
      </c>
      <c r="N621" s="686">
        <f t="shared" si="23"/>
        <v>230436</v>
      </c>
    </row>
    <row r="622" spans="2:14" ht="17.100000000000001" customHeight="1">
      <c r="B622" s="554">
        <v>66</v>
      </c>
      <c r="C622" s="555" t="s">
        <v>3230</v>
      </c>
      <c r="D622" s="556"/>
      <c r="E622" s="556"/>
      <c r="F622" s="556" t="s">
        <v>3216</v>
      </c>
      <c r="G622" s="569"/>
      <c r="H622" s="557" t="s">
        <v>1423</v>
      </c>
      <c r="I622" s="570">
        <f t="shared" si="22"/>
        <v>99342</v>
      </c>
      <c r="J622" s="554"/>
      <c r="L622" s="570">
        <v>110380</v>
      </c>
      <c r="M622" s="549">
        <v>0.9</v>
      </c>
      <c r="N622" s="686">
        <f t="shared" si="23"/>
        <v>99342</v>
      </c>
    </row>
    <row r="623" spans="2:14" ht="17.100000000000001" customHeight="1">
      <c r="B623" s="554">
        <v>67</v>
      </c>
      <c r="C623" s="555" t="s">
        <v>3231</v>
      </c>
      <c r="D623" s="556"/>
      <c r="E623" s="556"/>
      <c r="F623" s="556" t="s">
        <v>3217</v>
      </c>
      <c r="G623" s="569"/>
      <c r="H623" s="557" t="s">
        <v>1423</v>
      </c>
      <c r="I623" s="570">
        <f t="shared" si="22"/>
        <v>189693</v>
      </c>
      <c r="J623" s="554"/>
      <c r="L623" s="570">
        <v>210770</v>
      </c>
      <c r="M623" s="549">
        <v>0.9</v>
      </c>
      <c r="N623" s="686">
        <f t="shared" si="23"/>
        <v>189693</v>
      </c>
    </row>
    <row r="624" spans="2:14" ht="17.100000000000001" customHeight="1">
      <c r="B624" s="554">
        <v>68</v>
      </c>
      <c r="C624" s="555" t="s">
        <v>3231</v>
      </c>
      <c r="D624" s="556"/>
      <c r="E624" s="556"/>
      <c r="F624" s="556" t="s">
        <v>3207</v>
      </c>
      <c r="G624" s="569"/>
      <c r="H624" s="557" t="s">
        <v>1423</v>
      </c>
      <c r="I624" s="570">
        <f t="shared" si="22"/>
        <v>89964</v>
      </c>
      <c r="J624" s="554"/>
      <c r="L624" s="570">
        <v>99960</v>
      </c>
      <c r="M624" s="549">
        <v>0.9</v>
      </c>
      <c r="N624" s="686">
        <f t="shared" si="23"/>
        <v>89964</v>
      </c>
    </row>
    <row r="625" spans="2:14" ht="17.100000000000001" customHeight="1">
      <c r="B625" s="554">
        <v>69</v>
      </c>
      <c r="C625" s="555" t="s">
        <v>3231</v>
      </c>
      <c r="D625" s="556"/>
      <c r="E625" s="556"/>
      <c r="F625" s="556" t="s">
        <v>3215</v>
      </c>
      <c r="G625" s="569"/>
      <c r="H625" s="557" t="s">
        <v>1423</v>
      </c>
      <c r="I625" s="570">
        <f t="shared" si="22"/>
        <v>74151</v>
      </c>
      <c r="J625" s="554"/>
      <c r="L625" s="570">
        <v>82390</v>
      </c>
      <c r="M625" s="549">
        <v>0.9</v>
      </c>
      <c r="N625" s="686">
        <f t="shared" si="23"/>
        <v>74151</v>
      </c>
    </row>
    <row r="626" spans="2:14" ht="17.100000000000001" customHeight="1">
      <c r="B626" s="554">
        <v>70</v>
      </c>
      <c r="C626" s="555" t="s">
        <v>3231</v>
      </c>
      <c r="D626" s="556"/>
      <c r="E626" s="556"/>
      <c r="F626" s="556" t="s">
        <v>3216</v>
      </c>
      <c r="G626" s="569"/>
      <c r="H626" s="557" t="s">
        <v>1423</v>
      </c>
      <c r="I626" s="570">
        <f t="shared" si="22"/>
        <v>46521</v>
      </c>
      <c r="J626" s="554"/>
      <c r="L626" s="570">
        <v>51690</v>
      </c>
      <c r="M626" s="549">
        <v>0.9</v>
      </c>
      <c r="N626" s="686">
        <f t="shared" si="23"/>
        <v>46521</v>
      </c>
    </row>
    <row r="627" spans="2:14" ht="17.100000000000001" customHeight="1">
      <c r="B627" s="554">
        <v>71</v>
      </c>
      <c r="C627" s="555" t="s">
        <v>3806</v>
      </c>
      <c r="D627" s="556"/>
      <c r="E627" s="556"/>
      <c r="F627" s="556" t="s">
        <v>3205</v>
      </c>
      <c r="G627" s="569"/>
      <c r="H627" s="557" t="s">
        <v>1423</v>
      </c>
      <c r="I627" s="570">
        <f t="shared" si="22"/>
        <v>6717996</v>
      </c>
      <c r="J627" s="554"/>
      <c r="L627" s="570">
        <v>7464440</v>
      </c>
      <c r="M627" s="549">
        <v>0.9</v>
      </c>
      <c r="N627" s="686">
        <f t="shared" si="23"/>
        <v>6717996</v>
      </c>
    </row>
    <row r="628" spans="2:14" ht="17.100000000000001" customHeight="1">
      <c r="B628" s="554">
        <v>72</v>
      </c>
      <c r="C628" s="555" t="s">
        <v>3806</v>
      </c>
      <c r="D628" s="556"/>
      <c r="E628" s="556"/>
      <c r="F628" s="556" t="s">
        <v>3206</v>
      </c>
      <c r="G628" s="569"/>
      <c r="H628" s="557" t="s">
        <v>1423</v>
      </c>
      <c r="I628" s="570">
        <f t="shared" si="22"/>
        <v>4665276</v>
      </c>
      <c r="J628" s="554"/>
      <c r="L628" s="570">
        <v>5183640</v>
      </c>
      <c r="M628" s="549">
        <v>0.9</v>
      </c>
      <c r="N628" s="686">
        <f t="shared" si="23"/>
        <v>4665276</v>
      </c>
    </row>
    <row r="629" spans="2:14" ht="17.100000000000001" customHeight="1">
      <c r="B629" s="554">
        <v>73</v>
      </c>
      <c r="C629" s="555" t="s">
        <v>3806</v>
      </c>
      <c r="D629" s="556"/>
      <c r="E629" s="556"/>
      <c r="F629" s="556" t="s">
        <v>3210</v>
      </c>
      <c r="G629" s="569"/>
      <c r="H629" s="557" t="s">
        <v>1423</v>
      </c>
      <c r="I629" s="570">
        <f t="shared" si="22"/>
        <v>3084480</v>
      </c>
      <c r="J629" s="554"/>
      <c r="L629" s="570">
        <v>3427200</v>
      </c>
      <c r="M629" s="549">
        <v>0.9</v>
      </c>
      <c r="N629" s="686">
        <f t="shared" si="23"/>
        <v>3084480</v>
      </c>
    </row>
    <row r="630" spans="2:14" ht="17.100000000000001" customHeight="1">
      <c r="B630" s="554">
        <v>74</v>
      </c>
      <c r="C630" s="555" t="s">
        <v>3806</v>
      </c>
      <c r="D630" s="556"/>
      <c r="E630" s="556"/>
      <c r="F630" s="556" t="s">
        <v>3229</v>
      </c>
      <c r="G630" s="569"/>
      <c r="H630" s="557" t="s">
        <v>1423</v>
      </c>
      <c r="I630" s="570">
        <f t="shared" si="22"/>
        <v>2985768</v>
      </c>
      <c r="J630" s="554"/>
      <c r="L630" s="570">
        <v>3317520</v>
      </c>
      <c r="M630" s="549">
        <v>0.9</v>
      </c>
      <c r="N630" s="686">
        <f t="shared" si="23"/>
        <v>2985768</v>
      </c>
    </row>
    <row r="631" spans="2:14" ht="17.100000000000001" customHeight="1">
      <c r="B631" s="554">
        <v>75</v>
      </c>
      <c r="C631" s="555" t="s">
        <v>3232</v>
      </c>
      <c r="D631" s="556"/>
      <c r="E631" s="556"/>
      <c r="F631" s="556" t="s">
        <v>3205</v>
      </c>
      <c r="G631" s="569"/>
      <c r="H631" s="557" t="s">
        <v>1423</v>
      </c>
      <c r="I631" s="570">
        <f t="shared" si="22"/>
        <v>16669422</v>
      </c>
      <c r="J631" s="554"/>
      <c r="L631" s="570">
        <v>18521580</v>
      </c>
      <c r="M631" s="549">
        <v>0.9</v>
      </c>
      <c r="N631" s="686">
        <f t="shared" si="23"/>
        <v>16669422</v>
      </c>
    </row>
    <row r="632" spans="2:14" ht="17.100000000000001" customHeight="1">
      <c r="B632" s="554">
        <v>76</v>
      </c>
      <c r="C632" s="555" t="s">
        <v>3232</v>
      </c>
      <c r="D632" s="556"/>
      <c r="E632" s="556"/>
      <c r="F632" s="556" t="s">
        <v>3206</v>
      </c>
      <c r="G632" s="569"/>
      <c r="H632" s="557" t="s">
        <v>1423</v>
      </c>
      <c r="I632" s="570">
        <f t="shared" si="22"/>
        <v>9813780</v>
      </c>
      <c r="J632" s="554"/>
      <c r="L632" s="570">
        <v>10904200</v>
      </c>
      <c r="M632" s="549">
        <v>0.9</v>
      </c>
      <c r="N632" s="686">
        <f t="shared" si="23"/>
        <v>9813780</v>
      </c>
    </row>
    <row r="633" spans="2:14" ht="17.100000000000001" customHeight="1">
      <c r="B633" s="554">
        <v>77</v>
      </c>
      <c r="C633" s="555" t="s">
        <v>3232</v>
      </c>
      <c r="D633" s="556"/>
      <c r="E633" s="556"/>
      <c r="F633" s="556" t="s">
        <v>3210</v>
      </c>
      <c r="G633" s="569"/>
      <c r="H633" s="557" t="s">
        <v>1423</v>
      </c>
      <c r="I633" s="570">
        <f t="shared" si="22"/>
        <v>6536907</v>
      </c>
      <c r="J633" s="554"/>
      <c r="L633" s="570">
        <v>7263230</v>
      </c>
      <c r="M633" s="549">
        <v>0.9</v>
      </c>
      <c r="N633" s="686">
        <f t="shared" si="23"/>
        <v>6536907</v>
      </c>
    </row>
    <row r="634" spans="2:14" ht="17.100000000000001" customHeight="1">
      <c r="B634" s="554">
        <v>78</v>
      </c>
      <c r="C634" s="555" t="s">
        <v>3232</v>
      </c>
      <c r="D634" s="556"/>
      <c r="E634" s="556"/>
      <c r="F634" s="556" t="s">
        <v>3229</v>
      </c>
      <c r="G634" s="569"/>
      <c r="H634" s="557" t="s">
        <v>1423</v>
      </c>
      <c r="I634" s="570">
        <f t="shared" si="22"/>
        <v>6010623</v>
      </c>
      <c r="J634" s="554"/>
      <c r="L634" s="570">
        <v>6678470</v>
      </c>
      <c r="M634" s="549">
        <v>0.9</v>
      </c>
      <c r="N634" s="686">
        <f t="shared" si="23"/>
        <v>6010623</v>
      </c>
    </row>
    <row r="635" spans="2:14" ht="17.100000000000001" customHeight="1">
      <c r="B635" s="554">
        <v>79</v>
      </c>
      <c r="C635" s="555" t="s">
        <v>3640</v>
      </c>
      <c r="D635" s="556"/>
      <c r="E635" s="556"/>
      <c r="F635" s="556" t="s">
        <v>3807</v>
      </c>
      <c r="G635" s="569"/>
      <c r="H635" s="557" t="s">
        <v>2944</v>
      </c>
      <c r="I635" s="570">
        <f t="shared" si="22"/>
        <v>72864</v>
      </c>
      <c r="J635" s="554"/>
      <c r="L635" s="570">
        <v>80960</v>
      </c>
      <c r="M635" s="549">
        <v>0.9</v>
      </c>
      <c r="N635" s="686">
        <f t="shared" si="23"/>
        <v>72864</v>
      </c>
    </row>
    <row r="636" spans="2:14" ht="17.100000000000001" customHeight="1">
      <c r="B636" s="554">
        <v>80</v>
      </c>
      <c r="C636" s="555" t="s">
        <v>3641</v>
      </c>
      <c r="D636" s="556"/>
      <c r="E636" s="556"/>
      <c r="F636" s="556" t="s">
        <v>3808</v>
      </c>
      <c r="G636" s="569"/>
      <c r="H636" s="557" t="s">
        <v>2944</v>
      </c>
      <c r="I636" s="570">
        <f t="shared" si="22"/>
        <v>45873</v>
      </c>
      <c r="J636" s="554"/>
      <c r="L636" s="570">
        <v>50970</v>
      </c>
      <c r="M636" s="549">
        <v>0.9</v>
      </c>
      <c r="N636" s="686">
        <f t="shared" si="23"/>
        <v>45873</v>
      </c>
    </row>
    <row r="637" spans="2:14" ht="17.100000000000001" customHeight="1">
      <c r="B637" s="554"/>
      <c r="C637" s="555"/>
      <c r="D637" s="556"/>
      <c r="E637" s="556"/>
      <c r="F637" s="556"/>
      <c r="G637" s="569"/>
      <c r="H637" s="557"/>
      <c r="I637" s="570">
        <f t="shared" si="22"/>
        <v>0</v>
      </c>
      <c r="J637" s="554"/>
      <c r="L637" s="570"/>
      <c r="M637" s="549">
        <v>0.9</v>
      </c>
      <c r="N637" s="686">
        <f t="shared" si="23"/>
        <v>0</v>
      </c>
    </row>
    <row r="638" spans="2:14" ht="17.100000000000001" customHeight="1">
      <c r="B638" s="554"/>
      <c r="C638" s="567" t="s">
        <v>3809</v>
      </c>
      <c r="D638" s="556"/>
      <c r="E638" s="556"/>
      <c r="F638" s="556"/>
      <c r="G638" s="569"/>
      <c r="H638" s="557"/>
      <c r="I638" s="570">
        <f t="shared" si="22"/>
        <v>0</v>
      </c>
      <c r="J638" s="554"/>
      <c r="L638" s="570"/>
      <c r="M638" s="549">
        <v>0.9</v>
      </c>
      <c r="N638" s="686">
        <f t="shared" si="23"/>
        <v>0</v>
      </c>
    </row>
    <row r="639" spans="2:14" ht="17.100000000000001" customHeight="1">
      <c r="B639" s="554">
        <v>1</v>
      </c>
      <c r="C639" s="555" t="s">
        <v>3810</v>
      </c>
      <c r="D639" s="556"/>
      <c r="E639" s="556"/>
      <c r="F639" s="556" t="s">
        <v>3205</v>
      </c>
      <c r="G639" s="569"/>
      <c r="H639" s="557" t="s">
        <v>2944</v>
      </c>
      <c r="I639" s="570">
        <f t="shared" si="22"/>
        <v>385812</v>
      </c>
      <c r="J639" s="554"/>
      <c r="L639" s="570">
        <v>428680</v>
      </c>
      <c r="M639" s="549">
        <v>0.9</v>
      </c>
      <c r="N639" s="686">
        <f t="shared" si="23"/>
        <v>385812</v>
      </c>
    </row>
    <row r="640" spans="2:14" ht="17.100000000000001" customHeight="1">
      <c r="B640" s="554">
        <v>2</v>
      </c>
      <c r="C640" s="555" t="s">
        <v>3810</v>
      </c>
      <c r="D640" s="556"/>
      <c r="E640" s="556"/>
      <c r="F640" s="556" t="s">
        <v>3206</v>
      </c>
      <c r="G640" s="569"/>
      <c r="H640" s="557" t="s">
        <v>2944</v>
      </c>
      <c r="I640" s="570">
        <f t="shared" si="22"/>
        <v>184806</v>
      </c>
      <c r="J640" s="554"/>
      <c r="L640" s="570">
        <v>205340</v>
      </c>
      <c r="M640" s="549">
        <v>0.9</v>
      </c>
      <c r="N640" s="686">
        <f t="shared" si="23"/>
        <v>184806</v>
      </c>
    </row>
    <row r="641" spans="2:14" ht="17.100000000000001" customHeight="1">
      <c r="B641" s="554">
        <v>3</v>
      </c>
      <c r="C641" s="555" t="s">
        <v>3810</v>
      </c>
      <c r="D641" s="556"/>
      <c r="E641" s="556"/>
      <c r="F641" s="556" t="s">
        <v>3210</v>
      </c>
      <c r="G641" s="569"/>
      <c r="H641" s="557" t="s">
        <v>2944</v>
      </c>
      <c r="I641" s="570">
        <f t="shared" si="22"/>
        <v>123759</v>
      </c>
      <c r="J641" s="554"/>
      <c r="L641" s="570">
        <v>137510</v>
      </c>
      <c r="M641" s="549">
        <v>0.9</v>
      </c>
      <c r="N641" s="686">
        <f t="shared" si="23"/>
        <v>123759</v>
      </c>
    </row>
    <row r="642" spans="2:14" ht="17.100000000000001" customHeight="1">
      <c r="B642" s="554">
        <v>4</v>
      </c>
      <c r="C642" s="555" t="s">
        <v>3810</v>
      </c>
      <c r="D642" s="556"/>
      <c r="E642" s="556"/>
      <c r="F642" s="556" t="s">
        <v>3229</v>
      </c>
      <c r="G642" s="569"/>
      <c r="H642" s="557" t="s">
        <v>2944</v>
      </c>
      <c r="I642" s="570">
        <f t="shared" si="22"/>
        <v>61047</v>
      </c>
      <c r="J642" s="554"/>
      <c r="L642" s="570">
        <v>67830</v>
      </c>
      <c r="M642" s="549">
        <v>0.9</v>
      </c>
      <c r="N642" s="686">
        <f t="shared" si="23"/>
        <v>61047</v>
      </c>
    </row>
    <row r="643" spans="2:14" ht="17.100000000000001" customHeight="1">
      <c r="B643" s="554">
        <v>5</v>
      </c>
      <c r="C643" s="555" t="s">
        <v>3811</v>
      </c>
      <c r="D643" s="556"/>
      <c r="E643" s="556"/>
      <c r="F643" s="556"/>
      <c r="G643" s="569"/>
      <c r="H643" s="557" t="s">
        <v>2944</v>
      </c>
      <c r="I643" s="570">
        <f t="shared" si="22"/>
        <v>15543</v>
      </c>
      <c r="J643" s="554"/>
      <c r="L643" s="570">
        <v>17270</v>
      </c>
      <c r="M643" s="549">
        <v>0.9</v>
      </c>
      <c r="N643" s="686">
        <f t="shared" si="23"/>
        <v>15543</v>
      </c>
    </row>
    <row r="644" spans="2:14" ht="17.100000000000001" customHeight="1">
      <c r="B644" s="554">
        <v>6</v>
      </c>
      <c r="C644" s="555" t="s">
        <v>3241</v>
      </c>
      <c r="D644" s="556"/>
      <c r="E644" s="556"/>
      <c r="F644" s="556"/>
      <c r="G644" s="569"/>
      <c r="H644" s="557"/>
      <c r="I644" s="570">
        <f t="shared" si="22"/>
        <v>12078</v>
      </c>
      <c r="J644" s="554"/>
      <c r="L644" s="570">
        <v>13420</v>
      </c>
      <c r="M644" s="549">
        <v>0.9</v>
      </c>
      <c r="N644" s="686">
        <f t="shared" si="23"/>
        <v>12078</v>
      </c>
    </row>
    <row r="645" spans="2:14" ht="17.100000000000001" customHeight="1">
      <c r="B645" s="554">
        <v>7</v>
      </c>
      <c r="C645" s="555" t="s">
        <v>3812</v>
      </c>
      <c r="D645" s="556"/>
      <c r="E645" s="556"/>
      <c r="F645" s="556"/>
      <c r="G645" s="569"/>
      <c r="H645" s="557" t="s">
        <v>1423</v>
      </c>
      <c r="I645" s="570">
        <f t="shared" si="22"/>
        <v>1460880</v>
      </c>
      <c r="J645" s="554"/>
      <c r="L645" s="570">
        <v>1623200</v>
      </c>
      <c r="M645" s="549">
        <v>0.9</v>
      </c>
      <c r="N645" s="686">
        <f t="shared" si="23"/>
        <v>1460880</v>
      </c>
    </row>
    <row r="646" spans="2:14" ht="17.100000000000001" customHeight="1">
      <c r="B646" s="554">
        <v>8</v>
      </c>
      <c r="C646" s="555" t="s">
        <v>3813</v>
      </c>
      <c r="D646" s="556"/>
      <c r="E646" s="556"/>
      <c r="F646" s="556"/>
      <c r="G646" s="569"/>
      <c r="H646" s="557" t="s">
        <v>1423</v>
      </c>
      <c r="I646" s="570">
        <f t="shared" si="22"/>
        <v>1336473</v>
      </c>
      <c r="J646" s="554"/>
      <c r="L646" s="570">
        <v>1484970</v>
      </c>
      <c r="M646" s="549">
        <v>0.9</v>
      </c>
      <c r="N646" s="686">
        <f t="shared" si="23"/>
        <v>1336473</v>
      </c>
    </row>
    <row r="647" spans="2:14" ht="17.100000000000001" customHeight="1">
      <c r="B647" s="554">
        <v>9</v>
      </c>
      <c r="C647" s="555" t="s">
        <v>3233</v>
      </c>
      <c r="D647" s="556"/>
      <c r="E647" s="556"/>
      <c r="F647" s="556"/>
      <c r="G647" s="569"/>
      <c r="H647" s="557" t="s">
        <v>1423</v>
      </c>
      <c r="I647" s="570">
        <f t="shared" si="22"/>
        <v>882927</v>
      </c>
      <c r="J647" s="554"/>
      <c r="L647" s="570">
        <v>981030</v>
      </c>
      <c r="M647" s="549">
        <v>0.9</v>
      </c>
      <c r="N647" s="686">
        <f t="shared" si="23"/>
        <v>882927</v>
      </c>
    </row>
    <row r="648" spans="2:14" ht="17.100000000000001" customHeight="1">
      <c r="B648" s="554">
        <v>10</v>
      </c>
      <c r="C648" s="555" t="s">
        <v>3234</v>
      </c>
      <c r="D648" s="556"/>
      <c r="E648" s="556"/>
      <c r="F648" s="556"/>
      <c r="G648" s="569"/>
      <c r="H648" s="557" t="s">
        <v>1423</v>
      </c>
      <c r="I648" s="570">
        <f t="shared" si="22"/>
        <v>779211</v>
      </c>
      <c r="J648" s="554"/>
      <c r="L648" s="570">
        <v>865790</v>
      </c>
      <c r="M648" s="549">
        <v>0.9</v>
      </c>
      <c r="N648" s="686">
        <f t="shared" si="23"/>
        <v>779211</v>
      </c>
    </row>
    <row r="649" spans="2:14" ht="17.100000000000001" customHeight="1">
      <c r="B649" s="554">
        <v>11</v>
      </c>
      <c r="C649" s="555" t="s">
        <v>3235</v>
      </c>
      <c r="D649" s="556"/>
      <c r="E649" s="556"/>
      <c r="F649" s="556"/>
      <c r="G649" s="569"/>
      <c r="H649" s="557" t="s">
        <v>1423</v>
      </c>
      <c r="I649" s="570">
        <f t="shared" si="22"/>
        <v>540297</v>
      </c>
      <c r="J649" s="554"/>
      <c r="L649" s="570">
        <v>600330</v>
      </c>
      <c r="M649" s="549">
        <v>0.9</v>
      </c>
      <c r="N649" s="686">
        <f t="shared" si="23"/>
        <v>540297</v>
      </c>
    </row>
    <row r="650" spans="2:14" ht="17.100000000000001" customHeight="1">
      <c r="B650" s="554">
        <v>12</v>
      </c>
      <c r="C650" s="555" t="s">
        <v>3236</v>
      </c>
      <c r="D650" s="556"/>
      <c r="E650" s="556"/>
      <c r="F650" s="556"/>
      <c r="G650" s="569"/>
      <c r="H650" s="557" t="s">
        <v>1423</v>
      </c>
      <c r="I650" s="570">
        <f t="shared" si="22"/>
        <v>457137</v>
      </c>
      <c r="J650" s="554"/>
      <c r="L650" s="570">
        <v>507930</v>
      </c>
      <c r="M650" s="549">
        <v>0.9</v>
      </c>
      <c r="N650" s="686">
        <f t="shared" si="23"/>
        <v>457137</v>
      </c>
    </row>
    <row r="651" spans="2:14" ht="17.100000000000001" customHeight="1">
      <c r="B651" s="554">
        <v>13</v>
      </c>
      <c r="C651" s="555" t="s">
        <v>3814</v>
      </c>
      <c r="D651" s="556"/>
      <c r="E651" s="556"/>
      <c r="F651" s="556"/>
      <c r="G651" s="569"/>
      <c r="H651" s="557" t="s">
        <v>1423</v>
      </c>
      <c r="I651" s="570">
        <f t="shared" si="22"/>
        <v>737442</v>
      </c>
      <c r="J651" s="554"/>
      <c r="L651" s="570">
        <v>819380</v>
      </c>
      <c r="M651" s="549">
        <v>0.9</v>
      </c>
      <c r="N651" s="686">
        <f t="shared" si="23"/>
        <v>737442</v>
      </c>
    </row>
    <row r="652" spans="2:14" ht="17.100000000000001" customHeight="1">
      <c r="B652" s="554">
        <v>14</v>
      </c>
      <c r="C652" s="555" t="s">
        <v>4814</v>
      </c>
      <c r="D652" s="556"/>
      <c r="E652" s="556"/>
      <c r="F652" s="556"/>
      <c r="G652" s="569"/>
      <c r="H652" s="557" t="s">
        <v>1423</v>
      </c>
      <c r="I652" s="570">
        <f t="shared" si="22"/>
        <v>796437</v>
      </c>
      <c r="J652" s="554"/>
      <c r="L652" s="570">
        <v>884930</v>
      </c>
      <c r="M652" s="549">
        <v>0.9</v>
      </c>
      <c r="N652" s="686">
        <f t="shared" si="23"/>
        <v>796437</v>
      </c>
    </row>
    <row r="653" spans="2:14" ht="17.100000000000001" customHeight="1">
      <c r="B653" s="554">
        <v>15</v>
      </c>
      <c r="C653" s="555" t="s">
        <v>4815</v>
      </c>
      <c r="D653" s="556"/>
      <c r="E653" s="556"/>
      <c r="F653" s="556"/>
      <c r="G653" s="569"/>
      <c r="H653" s="557" t="s">
        <v>1423</v>
      </c>
      <c r="I653" s="570">
        <f t="shared" si="22"/>
        <v>553914</v>
      </c>
      <c r="J653" s="554"/>
      <c r="L653" s="570">
        <v>615460</v>
      </c>
      <c r="M653" s="549">
        <v>0.9</v>
      </c>
      <c r="N653" s="686">
        <f t="shared" si="23"/>
        <v>553914</v>
      </c>
    </row>
    <row r="654" spans="2:14" ht="17.100000000000001" customHeight="1">
      <c r="B654" s="554">
        <v>16</v>
      </c>
      <c r="C654" s="555" t="s">
        <v>4816</v>
      </c>
      <c r="D654" s="556"/>
      <c r="E654" s="556"/>
      <c r="F654" s="556"/>
      <c r="G654" s="569"/>
      <c r="H654" s="557" t="s">
        <v>1423</v>
      </c>
      <c r="I654" s="570">
        <f t="shared" si="22"/>
        <v>329004</v>
      </c>
      <c r="J654" s="554"/>
      <c r="L654" s="570">
        <v>365560</v>
      </c>
      <c r="M654" s="549">
        <v>0.9</v>
      </c>
      <c r="N654" s="686">
        <f t="shared" si="23"/>
        <v>329004</v>
      </c>
    </row>
    <row r="655" spans="2:14" ht="17.100000000000001" customHeight="1">
      <c r="B655" s="554">
        <v>17</v>
      </c>
      <c r="C655" s="555" t="s">
        <v>3237</v>
      </c>
      <c r="D655" s="556"/>
      <c r="E655" s="556"/>
      <c r="F655" s="556"/>
      <c r="G655" s="569"/>
      <c r="H655" s="557" t="s">
        <v>1423</v>
      </c>
      <c r="I655" s="570">
        <f t="shared" si="22"/>
        <v>72999</v>
      </c>
      <c r="J655" s="554"/>
      <c r="L655" s="570">
        <v>81110</v>
      </c>
      <c r="M655" s="549">
        <v>0.9</v>
      </c>
      <c r="N655" s="686">
        <f t="shared" si="23"/>
        <v>72999</v>
      </c>
    </row>
    <row r="656" spans="2:14" ht="17.100000000000001" customHeight="1">
      <c r="B656" s="554">
        <v>18</v>
      </c>
      <c r="C656" s="555" t="s">
        <v>3238</v>
      </c>
      <c r="D656" s="556"/>
      <c r="E656" s="556"/>
      <c r="F656" s="556"/>
      <c r="G656" s="569"/>
      <c r="H656" s="557" t="s">
        <v>1423</v>
      </c>
      <c r="I656" s="570">
        <f t="shared" si="22"/>
        <v>114507</v>
      </c>
      <c r="J656" s="554"/>
      <c r="L656" s="570">
        <v>127230</v>
      </c>
      <c r="M656" s="549">
        <v>0.9</v>
      </c>
      <c r="N656" s="686">
        <f t="shared" si="23"/>
        <v>114507</v>
      </c>
    </row>
    <row r="657" spans="2:14" ht="17.100000000000001" customHeight="1">
      <c r="B657" s="554">
        <v>19</v>
      </c>
      <c r="C657" s="555" t="s">
        <v>3815</v>
      </c>
      <c r="D657" s="556"/>
      <c r="E657" s="556"/>
      <c r="F657" s="556"/>
      <c r="G657" s="569"/>
      <c r="H657" s="557"/>
      <c r="I657" s="570">
        <f t="shared" si="22"/>
        <v>415629</v>
      </c>
      <c r="J657" s="554"/>
      <c r="L657" s="570">
        <v>461810</v>
      </c>
      <c r="M657" s="549">
        <v>0.9</v>
      </c>
      <c r="N657" s="686">
        <f t="shared" si="23"/>
        <v>415629</v>
      </c>
    </row>
    <row r="658" spans="2:14" ht="17.100000000000001" customHeight="1">
      <c r="B658" s="554">
        <v>20</v>
      </c>
      <c r="C658" s="555" t="s">
        <v>3239</v>
      </c>
      <c r="D658" s="556"/>
      <c r="E658" s="556"/>
      <c r="F658" s="556"/>
      <c r="G658" s="569"/>
      <c r="H658" s="557" t="s">
        <v>1423</v>
      </c>
      <c r="I658" s="570">
        <f t="shared" si="22"/>
        <v>319239</v>
      </c>
      <c r="J658" s="554"/>
      <c r="L658" s="570">
        <v>354710</v>
      </c>
      <c r="M658" s="549">
        <v>0.9</v>
      </c>
      <c r="N658" s="686">
        <f t="shared" si="23"/>
        <v>319239</v>
      </c>
    </row>
    <row r="659" spans="2:14" ht="17.100000000000001" customHeight="1">
      <c r="B659" s="554">
        <v>21</v>
      </c>
      <c r="C659" s="555" t="s">
        <v>3240</v>
      </c>
      <c r="D659" s="556"/>
      <c r="E659" s="556"/>
      <c r="F659" s="556"/>
      <c r="G659" s="569"/>
      <c r="H659" s="557" t="s">
        <v>1423</v>
      </c>
      <c r="I659" s="570">
        <f t="shared" si="22"/>
        <v>674469</v>
      </c>
      <c r="J659" s="554"/>
      <c r="L659" s="570">
        <v>749410</v>
      </c>
      <c r="M659" s="549">
        <v>0.9</v>
      </c>
      <c r="N659" s="686">
        <f t="shared" si="23"/>
        <v>674469</v>
      </c>
    </row>
    <row r="660" spans="2:14" ht="17.100000000000001" customHeight="1">
      <c r="B660" s="554">
        <v>22</v>
      </c>
      <c r="C660" s="555" t="s">
        <v>3816</v>
      </c>
      <c r="D660" s="556"/>
      <c r="E660" s="556"/>
      <c r="F660" s="556"/>
      <c r="G660" s="569"/>
      <c r="H660" s="557" t="s">
        <v>1423</v>
      </c>
      <c r="I660" s="570">
        <f t="shared" si="22"/>
        <v>805041</v>
      </c>
      <c r="J660" s="554"/>
      <c r="L660" s="570">
        <v>894490</v>
      </c>
      <c r="M660" s="549">
        <v>0.9</v>
      </c>
      <c r="N660" s="686">
        <f t="shared" si="23"/>
        <v>805041</v>
      </c>
    </row>
    <row r="661" spans="2:14" ht="17.100000000000001" customHeight="1">
      <c r="B661" s="554">
        <v>23</v>
      </c>
      <c r="C661" s="555" t="s">
        <v>3817</v>
      </c>
      <c r="D661" s="556"/>
      <c r="E661" s="556"/>
      <c r="F661" s="556"/>
      <c r="G661" s="569"/>
      <c r="H661" s="557" t="s">
        <v>1423</v>
      </c>
      <c r="I661" s="570">
        <f t="shared" si="22"/>
        <v>360495</v>
      </c>
      <c r="J661" s="554"/>
      <c r="L661" s="570">
        <v>400550</v>
      </c>
      <c r="M661" s="549">
        <v>0.9</v>
      </c>
      <c r="N661" s="686">
        <f t="shared" si="23"/>
        <v>360495</v>
      </c>
    </row>
    <row r="662" spans="2:14" ht="17.100000000000001" customHeight="1">
      <c r="B662" s="554">
        <v>24</v>
      </c>
      <c r="C662" s="555" t="s">
        <v>3818</v>
      </c>
      <c r="D662" s="556"/>
      <c r="E662" s="556"/>
      <c r="F662" s="556"/>
      <c r="G662" s="569"/>
      <c r="H662" s="557" t="s">
        <v>1423</v>
      </c>
      <c r="I662" s="570">
        <f t="shared" si="22"/>
        <v>341604</v>
      </c>
      <c r="J662" s="554"/>
      <c r="L662" s="570">
        <v>379560</v>
      </c>
      <c r="M662" s="549">
        <v>0.9</v>
      </c>
      <c r="N662" s="686">
        <f t="shared" si="23"/>
        <v>341604</v>
      </c>
    </row>
    <row r="663" spans="2:14" ht="17.100000000000001" customHeight="1">
      <c r="B663" s="554">
        <v>25</v>
      </c>
      <c r="C663" s="555" t="s">
        <v>3819</v>
      </c>
      <c r="D663" s="556"/>
      <c r="E663" s="556"/>
      <c r="F663" s="556"/>
      <c r="G663" s="569"/>
      <c r="H663" s="557" t="s">
        <v>1423</v>
      </c>
      <c r="I663" s="570">
        <f t="shared" si="22"/>
        <v>227736</v>
      </c>
      <c r="J663" s="554"/>
      <c r="L663" s="570">
        <v>253040</v>
      </c>
      <c r="M663" s="549">
        <v>0.9</v>
      </c>
      <c r="N663" s="686">
        <f t="shared" si="23"/>
        <v>227736</v>
      </c>
    </row>
    <row r="664" spans="2:14" ht="17.100000000000001" customHeight="1">
      <c r="B664" s="554">
        <v>26</v>
      </c>
      <c r="C664" s="555" t="s">
        <v>3820</v>
      </c>
      <c r="D664" s="556"/>
      <c r="E664" s="556"/>
      <c r="F664" s="556"/>
      <c r="G664" s="569"/>
      <c r="H664" s="557" t="s">
        <v>1423</v>
      </c>
      <c r="I664" s="570">
        <f t="shared" si="22"/>
        <v>132759</v>
      </c>
      <c r="J664" s="554"/>
      <c r="L664" s="570">
        <v>147510</v>
      </c>
      <c r="M664" s="549">
        <v>0.9</v>
      </c>
      <c r="N664" s="686">
        <f t="shared" si="23"/>
        <v>132759</v>
      </c>
    </row>
    <row r="665" spans="2:14" ht="17.100000000000001" customHeight="1">
      <c r="B665" s="554">
        <v>27</v>
      </c>
      <c r="C665" s="555" t="s">
        <v>3821</v>
      </c>
      <c r="D665" s="556"/>
      <c r="E665" s="556"/>
      <c r="F665" s="556"/>
      <c r="G665" s="569"/>
      <c r="H665" s="557" t="s">
        <v>1423</v>
      </c>
      <c r="I665" s="570">
        <f t="shared" si="22"/>
        <v>68364</v>
      </c>
      <c r="J665" s="554"/>
      <c r="L665" s="570">
        <v>75960</v>
      </c>
      <c r="M665" s="549">
        <v>0.9</v>
      </c>
      <c r="N665" s="686">
        <f t="shared" si="23"/>
        <v>68364</v>
      </c>
    </row>
    <row r="666" spans="2:14" ht="17.100000000000001" customHeight="1">
      <c r="B666" s="554">
        <v>28</v>
      </c>
      <c r="C666" s="555" t="s">
        <v>3822</v>
      </c>
      <c r="D666" s="556"/>
      <c r="E666" s="556"/>
      <c r="F666" s="556"/>
      <c r="G666" s="569"/>
      <c r="H666" s="557" t="s">
        <v>1423</v>
      </c>
      <c r="I666" s="570">
        <f t="shared" si="22"/>
        <v>43182</v>
      </c>
      <c r="J666" s="554"/>
      <c r="L666" s="570">
        <v>47980</v>
      </c>
      <c r="M666" s="549">
        <v>0.9</v>
      </c>
      <c r="N666" s="686">
        <f t="shared" si="23"/>
        <v>43182</v>
      </c>
    </row>
    <row r="667" spans="2:14" ht="17.100000000000001" customHeight="1">
      <c r="B667" s="554">
        <v>29</v>
      </c>
      <c r="C667" s="555" t="s">
        <v>3823</v>
      </c>
      <c r="D667" s="556"/>
      <c r="E667" s="556"/>
      <c r="F667" s="556"/>
      <c r="G667" s="569"/>
      <c r="H667" s="557" t="s">
        <v>1423</v>
      </c>
      <c r="I667" s="570">
        <f t="shared" si="22"/>
        <v>39834</v>
      </c>
      <c r="J667" s="554"/>
      <c r="L667" s="570">
        <v>44260</v>
      </c>
      <c r="M667" s="549">
        <v>0.9</v>
      </c>
      <c r="N667" s="686">
        <f t="shared" si="23"/>
        <v>39834</v>
      </c>
    </row>
    <row r="668" spans="2:14" ht="17.100000000000001" customHeight="1">
      <c r="B668" s="554">
        <v>30</v>
      </c>
      <c r="C668" s="555" t="s">
        <v>3824</v>
      </c>
      <c r="D668" s="556"/>
      <c r="E668" s="556"/>
      <c r="F668" s="556"/>
      <c r="G668" s="569"/>
      <c r="H668" s="557" t="s">
        <v>1423</v>
      </c>
      <c r="I668" s="570">
        <f t="shared" si="22"/>
        <v>33282</v>
      </c>
      <c r="J668" s="554"/>
      <c r="L668" s="570">
        <v>36980</v>
      </c>
      <c r="M668" s="549">
        <v>0.9</v>
      </c>
      <c r="N668" s="686">
        <f t="shared" si="23"/>
        <v>33282</v>
      </c>
    </row>
    <row r="669" spans="2:14" ht="17.100000000000001" customHeight="1">
      <c r="B669" s="554">
        <v>31</v>
      </c>
      <c r="C669" s="555" t="s">
        <v>3642</v>
      </c>
      <c r="D669" s="556"/>
      <c r="E669" s="556"/>
      <c r="F669" s="556"/>
      <c r="G669" s="569"/>
      <c r="H669" s="557" t="s">
        <v>1423</v>
      </c>
      <c r="I669" s="570">
        <f t="shared" si="22"/>
        <v>62325</v>
      </c>
      <c r="J669" s="554"/>
      <c r="L669" s="570">
        <v>69250</v>
      </c>
      <c r="M669" s="549">
        <v>0.9</v>
      </c>
      <c r="N669" s="686">
        <f t="shared" si="23"/>
        <v>62325</v>
      </c>
    </row>
    <row r="670" spans="2:14" ht="17.100000000000001" customHeight="1">
      <c r="B670" s="554">
        <v>32</v>
      </c>
      <c r="C670" s="555" t="s">
        <v>3644</v>
      </c>
      <c r="D670" s="556"/>
      <c r="E670" s="556"/>
      <c r="F670" s="556"/>
      <c r="G670" s="569"/>
      <c r="H670" s="557" t="s">
        <v>1423</v>
      </c>
      <c r="I670" s="570">
        <f t="shared" si="22"/>
        <v>40095</v>
      </c>
      <c r="J670" s="554"/>
      <c r="L670" s="570">
        <v>44550</v>
      </c>
      <c r="M670" s="549">
        <v>0.9</v>
      </c>
      <c r="N670" s="686">
        <f t="shared" si="23"/>
        <v>40095</v>
      </c>
    </row>
    <row r="671" spans="2:14" ht="17.100000000000001" customHeight="1">
      <c r="B671" s="554">
        <v>33</v>
      </c>
      <c r="C671" s="555" t="s">
        <v>3645</v>
      </c>
      <c r="D671" s="556"/>
      <c r="E671" s="556"/>
      <c r="F671" s="556"/>
      <c r="G671" s="569"/>
      <c r="H671" s="557" t="s">
        <v>1423</v>
      </c>
      <c r="I671" s="570">
        <f t="shared" si="22"/>
        <v>322578</v>
      </c>
      <c r="J671" s="554"/>
      <c r="L671" s="570">
        <v>358420</v>
      </c>
      <c r="M671" s="549">
        <v>0.9</v>
      </c>
      <c r="N671" s="686">
        <f t="shared" si="23"/>
        <v>322578</v>
      </c>
    </row>
    <row r="672" spans="2:14" ht="17.100000000000001" customHeight="1">
      <c r="B672" s="554">
        <v>34</v>
      </c>
      <c r="C672" s="555" t="s">
        <v>3646</v>
      </c>
      <c r="D672" s="556"/>
      <c r="E672" s="556"/>
      <c r="F672" s="556"/>
      <c r="G672" s="569"/>
      <c r="H672" s="557" t="s">
        <v>1423</v>
      </c>
      <c r="I672" s="570">
        <f t="shared" ref="I672:I735" si="24">N672</f>
        <v>63738</v>
      </c>
      <c r="J672" s="554"/>
      <c r="L672" s="570">
        <v>70820</v>
      </c>
      <c r="M672" s="549">
        <v>0.9</v>
      </c>
      <c r="N672" s="686">
        <f t="shared" ref="N672:N735" si="25">L672*M672</f>
        <v>63738</v>
      </c>
    </row>
    <row r="673" spans="2:14" ht="17.100000000000001" customHeight="1">
      <c r="B673" s="554">
        <v>35</v>
      </c>
      <c r="C673" s="555" t="s">
        <v>3242</v>
      </c>
      <c r="D673" s="556"/>
      <c r="E673" s="556"/>
      <c r="F673" s="556"/>
      <c r="G673" s="569"/>
      <c r="H673" s="557" t="s">
        <v>1423</v>
      </c>
      <c r="I673" s="570">
        <f t="shared" si="24"/>
        <v>76338</v>
      </c>
      <c r="J673" s="554"/>
      <c r="L673" s="570">
        <v>84820</v>
      </c>
      <c r="M673" s="549">
        <v>0.9</v>
      </c>
      <c r="N673" s="686">
        <f t="shared" si="25"/>
        <v>76338</v>
      </c>
    </row>
    <row r="674" spans="2:14" ht="17.100000000000001" customHeight="1">
      <c r="B674" s="554">
        <v>36</v>
      </c>
      <c r="C674" s="555" t="s">
        <v>3647</v>
      </c>
      <c r="D674" s="556"/>
      <c r="E674" s="556"/>
      <c r="F674" s="556"/>
      <c r="G674" s="569"/>
      <c r="H674" s="557" t="s">
        <v>1423</v>
      </c>
      <c r="I674" s="570">
        <f t="shared" si="24"/>
        <v>296874</v>
      </c>
      <c r="J674" s="554"/>
      <c r="L674" s="570">
        <v>329860</v>
      </c>
      <c r="M674" s="549">
        <v>0.9</v>
      </c>
      <c r="N674" s="686">
        <f t="shared" si="25"/>
        <v>296874</v>
      </c>
    </row>
    <row r="675" spans="2:14" ht="17.100000000000001" customHeight="1">
      <c r="B675" s="554">
        <v>37</v>
      </c>
      <c r="C675" s="555" t="s">
        <v>3648</v>
      </c>
      <c r="D675" s="556"/>
      <c r="E675" s="556"/>
      <c r="F675" s="556"/>
      <c r="G675" s="569"/>
      <c r="H675" s="557" t="s">
        <v>1423</v>
      </c>
      <c r="I675" s="570">
        <f t="shared" si="24"/>
        <v>13491</v>
      </c>
      <c r="J675" s="554"/>
      <c r="L675" s="570">
        <v>14990</v>
      </c>
      <c r="M675" s="549">
        <v>0.9</v>
      </c>
      <c r="N675" s="686">
        <f t="shared" si="25"/>
        <v>13491</v>
      </c>
    </row>
    <row r="676" spans="2:14" ht="17.100000000000001" customHeight="1">
      <c r="B676" s="554">
        <v>38</v>
      </c>
      <c r="C676" s="555" t="s">
        <v>3649</v>
      </c>
      <c r="D676" s="556"/>
      <c r="E676" s="556"/>
      <c r="F676" s="556"/>
      <c r="G676" s="569"/>
      <c r="H676" s="557" t="s">
        <v>1423</v>
      </c>
      <c r="I676" s="570">
        <f t="shared" si="24"/>
        <v>57960</v>
      </c>
      <c r="J676" s="554"/>
      <c r="L676" s="570">
        <v>64400</v>
      </c>
      <c r="M676" s="549">
        <v>0.9</v>
      </c>
      <c r="N676" s="686">
        <f t="shared" si="25"/>
        <v>57960</v>
      </c>
    </row>
    <row r="677" spans="2:14" ht="17.100000000000001" customHeight="1">
      <c r="B677" s="554">
        <v>39</v>
      </c>
      <c r="C677" s="555" t="s">
        <v>3650</v>
      </c>
      <c r="D677" s="556"/>
      <c r="E677" s="556"/>
      <c r="F677" s="556"/>
      <c r="G677" s="569"/>
      <c r="H677" s="557" t="s">
        <v>1423</v>
      </c>
      <c r="I677" s="570">
        <f t="shared" si="24"/>
        <v>6939</v>
      </c>
      <c r="J677" s="554"/>
      <c r="L677" s="570">
        <v>7710</v>
      </c>
      <c r="M677" s="549">
        <v>0.9</v>
      </c>
      <c r="N677" s="686">
        <f t="shared" si="25"/>
        <v>6939</v>
      </c>
    </row>
    <row r="678" spans="2:14" ht="17.100000000000001" customHeight="1">
      <c r="B678" s="554">
        <v>40</v>
      </c>
      <c r="C678" s="555" t="s">
        <v>3651</v>
      </c>
      <c r="D678" s="556"/>
      <c r="E678" s="556"/>
      <c r="F678" s="556"/>
      <c r="G678" s="569"/>
      <c r="H678" s="557" t="s">
        <v>1423</v>
      </c>
      <c r="I678" s="570">
        <f t="shared" si="24"/>
        <v>6552</v>
      </c>
      <c r="J678" s="554"/>
      <c r="L678" s="570">
        <v>7280</v>
      </c>
      <c r="M678" s="549">
        <v>0.9</v>
      </c>
      <c r="N678" s="686">
        <f t="shared" si="25"/>
        <v>6552</v>
      </c>
    </row>
    <row r="679" spans="2:14" ht="17.100000000000001" customHeight="1">
      <c r="B679" s="554">
        <v>41</v>
      </c>
      <c r="C679" s="555" t="s">
        <v>3652</v>
      </c>
      <c r="D679" s="556"/>
      <c r="E679" s="556"/>
      <c r="F679" s="556"/>
      <c r="G679" s="569"/>
      <c r="H679" s="557" t="s">
        <v>1423</v>
      </c>
      <c r="I679" s="570">
        <f t="shared" si="24"/>
        <v>383760</v>
      </c>
      <c r="J679" s="554"/>
      <c r="L679" s="570">
        <v>426400</v>
      </c>
      <c r="M679" s="549">
        <v>0.9</v>
      </c>
      <c r="N679" s="686">
        <f t="shared" si="25"/>
        <v>383760</v>
      </c>
    </row>
    <row r="680" spans="2:14" ht="17.100000000000001" customHeight="1">
      <c r="B680" s="554">
        <v>42</v>
      </c>
      <c r="C680" s="555" t="s">
        <v>3653</v>
      </c>
      <c r="D680" s="556"/>
      <c r="E680" s="556"/>
      <c r="F680" s="556"/>
      <c r="G680" s="569"/>
      <c r="H680" s="557" t="s">
        <v>1423</v>
      </c>
      <c r="I680" s="570">
        <f t="shared" si="24"/>
        <v>848232</v>
      </c>
      <c r="J680" s="554"/>
      <c r="L680" s="570">
        <v>942480</v>
      </c>
      <c r="M680" s="549">
        <v>0.9</v>
      </c>
      <c r="N680" s="686">
        <f t="shared" si="25"/>
        <v>848232</v>
      </c>
    </row>
    <row r="681" spans="2:14" ht="17.100000000000001" customHeight="1">
      <c r="B681" s="554">
        <v>43</v>
      </c>
      <c r="C681" s="555" t="s">
        <v>3655</v>
      </c>
      <c r="D681" s="556"/>
      <c r="E681" s="556"/>
      <c r="F681" s="556"/>
      <c r="G681" s="569"/>
      <c r="H681" s="557" t="s">
        <v>1423</v>
      </c>
      <c r="I681" s="570">
        <f t="shared" si="24"/>
        <v>4239</v>
      </c>
      <c r="J681" s="554"/>
      <c r="L681" s="570">
        <v>4710</v>
      </c>
      <c r="M681" s="549">
        <v>0.9</v>
      </c>
      <c r="N681" s="686">
        <f t="shared" si="25"/>
        <v>4239</v>
      </c>
    </row>
    <row r="682" spans="2:14" ht="17.100000000000001" customHeight="1">
      <c r="B682" s="554">
        <v>44</v>
      </c>
      <c r="C682" s="555" t="s">
        <v>3656</v>
      </c>
      <c r="D682" s="556"/>
      <c r="E682" s="556"/>
      <c r="F682" s="556"/>
      <c r="G682" s="569"/>
      <c r="H682" s="557" t="s">
        <v>1423</v>
      </c>
      <c r="I682" s="570">
        <f t="shared" si="24"/>
        <v>13104</v>
      </c>
      <c r="J682" s="554"/>
      <c r="L682" s="570">
        <v>14560</v>
      </c>
      <c r="M682" s="549">
        <v>0.9</v>
      </c>
      <c r="N682" s="686">
        <f t="shared" si="25"/>
        <v>13104</v>
      </c>
    </row>
    <row r="683" spans="2:14" ht="17.100000000000001" customHeight="1">
      <c r="B683" s="554">
        <v>45</v>
      </c>
      <c r="C683" s="555" t="s">
        <v>3243</v>
      </c>
      <c r="D683" s="556"/>
      <c r="E683" s="556"/>
      <c r="F683" s="556"/>
      <c r="G683" s="569"/>
      <c r="H683" s="557" t="s">
        <v>1423</v>
      </c>
      <c r="I683" s="570">
        <f t="shared" si="24"/>
        <v>117981</v>
      </c>
      <c r="J683" s="554"/>
      <c r="L683" s="570">
        <v>131090</v>
      </c>
      <c r="M683" s="549">
        <v>0.9</v>
      </c>
      <c r="N683" s="686">
        <f t="shared" si="25"/>
        <v>117981</v>
      </c>
    </row>
    <row r="684" spans="2:14" ht="17.100000000000001" customHeight="1">
      <c r="B684" s="554"/>
      <c r="C684" s="555"/>
      <c r="D684" s="556"/>
      <c r="E684" s="556"/>
      <c r="F684" s="556"/>
      <c r="G684" s="569"/>
      <c r="H684" s="557"/>
      <c r="I684" s="570">
        <f t="shared" si="24"/>
        <v>0</v>
      </c>
      <c r="J684" s="554"/>
      <c r="L684" s="570"/>
      <c r="M684" s="549">
        <v>0.9</v>
      </c>
      <c r="N684" s="686">
        <f t="shared" si="25"/>
        <v>0</v>
      </c>
    </row>
    <row r="685" spans="2:14" ht="17.100000000000001" customHeight="1">
      <c r="B685" s="554"/>
      <c r="C685" s="567" t="s">
        <v>3249</v>
      </c>
      <c r="D685" s="556"/>
      <c r="E685" s="556"/>
      <c r="F685" s="556"/>
      <c r="G685" s="569"/>
      <c r="H685" s="557"/>
      <c r="I685" s="570">
        <f t="shared" si="24"/>
        <v>0</v>
      </c>
      <c r="J685" s="554"/>
      <c r="L685" s="570"/>
      <c r="M685" s="549">
        <v>0.9</v>
      </c>
      <c r="N685" s="686">
        <f t="shared" si="25"/>
        <v>0</v>
      </c>
    </row>
    <row r="686" spans="2:14" ht="17.100000000000001" customHeight="1">
      <c r="B686" s="554">
        <v>1</v>
      </c>
      <c r="C686" s="555" t="s">
        <v>3244</v>
      </c>
      <c r="D686" s="556"/>
      <c r="E686" s="556"/>
      <c r="F686" s="556" t="s">
        <v>3219</v>
      </c>
      <c r="G686" s="569"/>
      <c r="H686" s="557" t="s">
        <v>3250</v>
      </c>
      <c r="I686" s="570">
        <f t="shared" si="24"/>
        <v>1965069</v>
      </c>
      <c r="J686" s="554"/>
      <c r="L686" s="570">
        <v>2183410</v>
      </c>
      <c r="M686" s="549">
        <v>0.9</v>
      </c>
      <c r="N686" s="686">
        <f t="shared" si="25"/>
        <v>1965069</v>
      </c>
    </row>
    <row r="687" spans="2:14" ht="17.100000000000001" customHeight="1">
      <c r="B687" s="554">
        <v>2</v>
      </c>
      <c r="C687" s="555" t="s">
        <v>3244</v>
      </c>
      <c r="D687" s="556"/>
      <c r="E687" s="556"/>
      <c r="F687" s="556" t="s">
        <v>3205</v>
      </c>
      <c r="G687" s="569"/>
      <c r="H687" s="557" t="s">
        <v>3250</v>
      </c>
      <c r="I687" s="570">
        <f t="shared" si="24"/>
        <v>1965069</v>
      </c>
      <c r="J687" s="554"/>
      <c r="L687" s="570">
        <v>2183410</v>
      </c>
      <c r="M687" s="549">
        <v>0.9</v>
      </c>
      <c r="N687" s="686">
        <f t="shared" si="25"/>
        <v>1965069</v>
      </c>
    </row>
    <row r="688" spans="2:14" ht="17.100000000000001" customHeight="1">
      <c r="B688" s="554">
        <v>3</v>
      </c>
      <c r="C688" s="555" t="s">
        <v>3244</v>
      </c>
      <c r="D688" s="556"/>
      <c r="E688" s="556"/>
      <c r="F688" s="556" t="s">
        <v>3206</v>
      </c>
      <c r="G688" s="569"/>
      <c r="H688" s="557" t="s">
        <v>3250</v>
      </c>
      <c r="I688" s="570">
        <f t="shared" si="24"/>
        <v>1104111</v>
      </c>
      <c r="J688" s="554"/>
      <c r="L688" s="570">
        <v>1226790</v>
      </c>
      <c r="M688" s="549">
        <v>0.9</v>
      </c>
      <c r="N688" s="686">
        <f t="shared" si="25"/>
        <v>1104111</v>
      </c>
    </row>
    <row r="689" spans="2:14" ht="17.100000000000001" customHeight="1">
      <c r="B689" s="554">
        <v>4</v>
      </c>
      <c r="C689" s="555" t="s">
        <v>3244</v>
      </c>
      <c r="D689" s="556"/>
      <c r="E689" s="556"/>
      <c r="F689" s="556" t="s">
        <v>3210</v>
      </c>
      <c r="G689" s="569"/>
      <c r="H689" s="557" t="s">
        <v>3250</v>
      </c>
      <c r="I689" s="570">
        <f t="shared" si="24"/>
        <v>736542</v>
      </c>
      <c r="J689" s="554"/>
      <c r="L689" s="570">
        <v>818380</v>
      </c>
      <c r="M689" s="549">
        <v>0.9</v>
      </c>
      <c r="N689" s="686">
        <f t="shared" si="25"/>
        <v>736542</v>
      </c>
    </row>
    <row r="690" spans="2:14" ht="17.100000000000001" customHeight="1">
      <c r="B690" s="554">
        <v>5</v>
      </c>
      <c r="C690" s="555" t="s">
        <v>3245</v>
      </c>
      <c r="D690" s="556"/>
      <c r="E690" s="556"/>
      <c r="F690" s="556" t="s">
        <v>3205</v>
      </c>
      <c r="G690" s="569"/>
      <c r="H690" s="557" t="s">
        <v>3250</v>
      </c>
      <c r="I690" s="570">
        <f t="shared" si="24"/>
        <v>315252</v>
      </c>
      <c r="J690" s="554"/>
      <c r="L690" s="570">
        <v>350280</v>
      </c>
      <c r="M690" s="549">
        <v>0.9</v>
      </c>
      <c r="N690" s="686">
        <f t="shared" si="25"/>
        <v>315252</v>
      </c>
    </row>
    <row r="691" spans="2:14" ht="17.100000000000001" customHeight="1">
      <c r="B691" s="554">
        <v>6</v>
      </c>
      <c r="C691" s="555" t="s">
        <v>3245</v>
      </c>
      <c r="D691" s="556"/>
      <c r="E691" s="556"/>
      <c r="F691" s="556" t="s">
        <v>3206</v>
      </c>
      <c r="G691" s="569"/>
      <c r="H691" s="557" t="s">
        <v>3250</v>
      </c>
      <c r="I691" s="570">
        <f t="shared" si="24"/>
        <v>219123</v>
      </c>
      <c r="J691" s="554"/>
      <c r="L691" s="570">
        <v>243470</v>
      </c>
      <c r="M691" s="549">
        <v>0.9</v>
      </c>
      <c r="N691" s="686">
        <f t="shared" si="25"/>
        <v>219123</v>
      </c>
    </row>
    <row r="692" spans="2:14" ht="17.100000000000001" customHeight="1">
      <c r="B692" s="554">
        <v>7</v>
      </c>
      <c r="C692" s="555" t="s">
        <v>3245</v>
      </c>
      <c r="D692" s="556"/>
      <c r="E692" s="556"/>
      <c r="F692" s="556" t="s">
        <v>3210</v>
      </c>
      <c r="G692" s="569"/>
      <c r="H692" s="557" t="s">
        <v>3250</v>
      </c>
      <c r="I692" s="570">
        <f t="shared" si="24"/>
        <v>315252</v>
      </c>
      <c r="J692" s="554"/>
      <c r="L692" s="570">
        <v>350280</v>
      </c>
      <c r="M692" s="549">
        <v>0.9</v>
      </c>
      <c r="N692" s="686">
        <f t="shared" si="25"/>
        <v>315252</v>
      </c>
    </row>
    <row r="693" spans="2:14" ht="17.100000000000001" customHeight="1">
      <c r="B693" s="554">
        <v>8</v>
      </c>
      <c r="C693" s="555" t="s">
        <v>3245</v>
      </c>
      <c r="D693" s="556"/>
      <c r="E693" s="556"/>
      <c r="F693" s="556" t="s">
        <v>3229</v>
      </c>
      <c r="G693" s="569"/>
      <c r="H693" s="557" t="s">
        <v>3250</v>
      </c>
      <c r="I693" s="570">
        <f t="shared" si="24"/>
        <v>219123</v>
      </c>
      <c r="J693" s="554"/>
      <c r="L693" s="570">
        <v>243470</v>
      </c>
      <c r="M693" s="549">
        <v>0.9</v>
      </c>
      <c r="N693" s="686">
        <f t="shared" si="25"/>
        <v>219123</v>
      </c>
    </row>
    <row r="694" spans="2:14" ht="17.100000000000001" customHeight="1">
      <c r="B694" s="554">
        <v>9</v>
      </c>
      <c r="C694" s="555" t="s">
        <v>3246</v>
      </c>
      <c r="D694" s="556"/>
      <c r="E694" s="556"/>
      <c r="F694" s="556" t="s">
        <v>3205</v>
      </c>
      <c r="G694" s="569"/>
      <c r="H694" s="557" t="s">
        <v>3250</v>
      </c>
      <c r="I694" s="570">
        <f t="shared" si="24"/>
        <v>220536</v>
      </c>
      <c r="J694" s="554"/>
      <c r="L694" s="570">
        <v>245040</v>
      </c>
      <c r="M694" s="549">
        <v>0.9</v>
      </c>
      <c r="N694" s="686">
        <f t="shared" si="25"/>
        <v>220536</v>
      </c>
    </row>
    <row r="695" spans="2:14" ht="17.100000000000001" customHeight="1">
      <c r="B695" s="554">
        <v>10</v>
      </c>
      <c r="C695" s="555" t="s">
        <v>3246</v>
      </c>
      <c r="D695" s="556"/>
      <c r="E695" s="556"/>
      <c r="F695" s="556" t="s">
        <v>3206</v>
      </c>
      <c r="G695" s="569"/>
      <c r="H695" s="557" t="s">
        <v>3250</v>
      </c>
      <c r="I695" s="570">
        <f t="shared" si="24"/>
        <v>74925</v>
      </c>
      <c r="J695" s="554"/>
      <c r="L695" s="570">
        <v>83250</v>
      </c>
      <c r="M695" s="549">
        <v>0.9</v>
      </c>
      <c r="N695" s="686">
        <f t="shared" si="25"/>
        <v>74925</v>
      </c>
    </row>
    <row r="696" spans="2:14" ht="17.100000000000001" customHeight="1">
      <c r="B696" s="554">
        <v>11</v>
      </c>
      <c r="C696" s="555" t="s">
        <v>3246</v>
      </c>
      <c r="D696" s="556"/>
      <c r="E696" s="556"/>
      <c r="F696" s="556" t="s">
        <v>3210</v>
      </c>
      <c r="G696" s="569"/>
      <c r="H696" s="557" t="s">
        <v>3250</v>
      </c>
      <c r="I696" s="570">
        <f t="shared" si="24"/>
        <v>74925</v>
      </c>
      <c r="J696" s="554"/>
      <c r="L696" s="570">
        <v>83250</v>
      </c>
      <c r="M696" s="549">
        <v>0.9</v>
      </c>
      <c r="N696" s="686">
        <f t="shared" si="25"/>
        <v>74925</v>
      </c>
    </row>
    <row r="697" spans="2:14" ht="17.100000000000001" customHeight="1">
      <c r="B697" s="554">
        <v>12</v>
      </c>
      <c r="C697" s="555" t="s">
        <v>3251</v>
      </c>
      <c r="D697" s="556"/>
      <c r="E697" s="556"/>
      <c r="F697" s="556" t="s">
        <v>3205</v>
      </c>
      <c r="G697" s="569"/>
      <c r="H697" s="557" t="s">
        <v>3250</v>
      </c>
      <c r="I697" s="570">
        <f t="shared" si="24"/>
        <v>371808</v>
      </c>
      <c r="J697" s="554"/>
      <c r="L697" s="570">
        <v>413120</v>
      </c>
      <c r="M697" s="549">
        <v>0.9</v>
      </c>
      <c r="N697" s="686">
        <f t="shared" si="25"/>
        <v>371808</v>
      </c>
    </row>
    <row r="698" spans="2:14" ht="17.100000000000001" customHeight="1">
      <c r="B698" s="554">
        <v>13</v>
      </c>
      <c r="C698" s="555" t="s">
        <v>3251</v>
      </c>
      <c r="D698" s="556"/>
      <c r="E698" s="556"/>
      <c r="F698" s="556" t="s">
        <v>3206</v>
      </c>
      <c r="G698" s="569"/>
      <c r="H698" s="557" t="s">
        <v>3250</v>
      </c>
      <c r="I698" s="570">
        <f t="shared" si="24"/>
        <v>371808</v>
      </c>
      <c r="J698" s="554"/>
      <c r="L698" s="570">
        <v>413120</v>
      </c>
      <c r="M698" s="549">
        <v>0.9</v>
      </c>
      <c r="N698" s="686">
        <f t="shared" si="25"/>
        <v>371808</v>
      </c>
    </row>
    <row r="699" spans="2:14" ht="17.100000000000001" customHeight="1">
      <c r="B699" s="554">
        <v>14</v>
      </c>
      <c r="C699" s="555" t="s">
        <v>3251</v>
      </c>
      <c r="D699" s="556"/>
      <c r="E699" s="556"/>
      <c r="F699" s="556" t="s">
        <v>3210</v>
      </c>
      <c r="G699" s="569"/>
      <c r="H699" s="557" t="s">
        <v>3250</v>
      </c>
      <c r="I699" s="570">
        <f t="shared" si="24"/>
        <v>371808</v>
      </c>
      <c r="J699" s="554"/>
      <c r="L699" s="570">
        <v>413120</v>
      </c>
      <c r="M699" s="549">
        <v>0.9</v>
      </c>
      <c r="N699" s="686">
        <f t="shared" si="25"/>
        <v>371808</v>
      </c>
    </row>
    <row r="700" spans="2:14" ht="17.100000000000001" customHeight="1">
      <c r="B700" s="554">
        <v>15</v>
      </c>
      <c r="C700" s="555" t="s">
        <v>3247</v>
      </c>
      <c r="D700" s="556"/>
      <c r="E700" s="556"/>
      <c r="F700" s="556" t="s">
        <v>3205</v>
      </c>
      <c r="G700" s="569"/>
      <c r="H700" s="557" t="s">
        <v>2944</v>
      </c>
      <c r="I700" s="570">
        <f t="shared" si="24"/>
        <v>220536</v>
      </c>
      <c r="J700" s="554"/>
      <c r="L700" s="570">
        <v>245040</v>
      </c>
      <c r="M700" s="549">
        <v>0.9</v>
      </c>
      <c r="N700" s="686">
        <f t="shared" si="25"/>
        <v>220536</v>
      </c>
    </row>
    <row r="701" spans="2:14" ht="17.100000000000001" customHeight="1">
      <c r="B701" s="554">
        <v>16</v>
      </c>
      <c r="C701" s="555" t="s">
        <v>3247</v>
      </c>
      <c r="D701" s="556"/>
      <c r="E701" s="556"/>
      <c r="F701" s="556" t="s">
        <v>3206</v>
      </c>
      <c r="G701" s="569"/>
      <c r="H701" s="557" t="s">
        <v>2944</v>
      </c>
      <c r="I701" s="570">
        <f t="shared" si="24"/>
        <v>220536</v>
      </c>
      <c r="J701" s="554"/>
      <c r="L701" s="570">
        <v>245040</v>
      </c>
      <c r="M701" s="549">
        <v>0.9</v>
      </c>
      <c r="N701" s="686">
        <f t="shared" si="25"/>
        <v>220536</v>
      </c>
    </row>
    <row r="702" spans="2:14" ht="17.100000000000001" customHeight="1">
      <c r="B702" s="554">
        <v>17</v>
      </c>
      <c r="C702" s="555" t="s">
        <v>3247</v>
      </c>
      <c r="D702" s="556"/>
      <c r="E702" s="556"/>
      <c r="F702" s="556" t="s">
        <v>3210</v>
      </c>
      <c r="G702" s="569"/>
      <c r="H702" s="557" t="s">
        <v>2944</v>
      </c>
      <c r="I702" s="570">
        <f t="shared" si="24"/>
        <v>220536</v>
      </c>
      <c r="J702" s="554"/>
      <c r="L702" s="570">
        <v>245040</v>
      </c>
      <c r="M702" s="549">
        <v>0.9</v>
      </c>
      <c r="N702" s="686">
        <f t="shared" si="25"/>
        <v>220536</v>
      </c>
    </row>
    <row r="703" spans="2:14" ht="17.100000000000001" customHeight="1">
      <c r="B703" s="554">
        <v>18</v>
      </c>
      <c r="C703" s="555" t="s">
        <v>3247</v>
      </c>
      <c r="D703" s="556"/>
      <c r="E703" s="556"/>
      <c r="F703" s="556" t="s">
        <v>3229</v>
      </c>
      <c r="G703" s="569"/>
      <c r="H703" s="557" t="s">
        <v>2944</v>
      </c>
      <c r="I703" s="570">
        <f t="shared" si="24"/>
        <v>220536</v>
      </c>
      <c r="J703" s="554"/>
      <c r="L703" s="570">
        <v>245040</v>
      </c>
      <c r="M703" s="549">
        <v>0.9</v>
      </c>
      <c r="N703" s="686">
        <f t="shared" si="25"/>
        <v>220536</v>
      </c>
    </row>
    <row r="704" spans="2:14" ht="17.100000000000001" customHeight="1">
      <c r="B704" s="554">
        <v>19</v>
      </c>
      <c r="C704" s="555" t="s">
        <v>3252</v>
      </c>
      <c r="D704" s="556"/>
      <c r="E704" s="556"/>
      <c r="F704" s="556" t="s">
        <v>3205</v>
      </c>
      <c r="G704" s="569"/>
      <c r="H704" s="557" t="s">
        <v>2944</v>
      </c>
      <c r="I704" s="570">
        <f t="shared" si="24"/>
        <v>115920</v>
      </c>
      <c r="J704" s="554"/>
      <c r="L704" s="570">
        <v>128800</v>
      </c>
      <c r="M704" s="549">
        <v>0.9</v>
      </c>
      <c r="N704" s="686">
        <f t="shared" si="25"/>
        <v>115920</v>
      </c>
    </row>
    <row r="705" spans="2:14" ht="17.100000000000001" customHeight="1">
      <c r="B705" s="554">
        <v>20</v>
      </c>
      <c r="C705" s="555" t="s">
        <v>3253</v>
      </c>
      <c r="D705" s="556"/>
      <c r="E705" s="556"/>
      <c r="F705" s="556" t="s">
        <v>3206</v>
      </c>
      <c r="G705" s="569"/>
      <c r="H705" s="557" t="s">
        <v>2944</v>
      </c>
      <c r="I705" s="570">
        <f t="shared" si="24"/>
        <v>115920</v>
      </c>
      <c r="J705" s="554"/>
      <c r="L705" s="570">
        <v>128800</v>
      </c>
      <c r="M705" s="549">
        <v>0.9</v>
      </c>
      <c r="N705" s="686">
        <f t="shared" si="25"/>
        <v>115920</v>
      </c>
    </row>
    <row r="706" spans="2:14" ht="17.100000000000001" customHeight="1">
      <c r="B706" s="554">
        <v>21</v>
      </c>
      <c r="C706" s="555" t="s">
        <v>3253</v>
      </c>
      <c r="D706" s="556"/>
      <c r="E706" s="556"/>
      <c r="F706" s="556" t="s">
        <v>3210</v>
      </c>
      <c r="G706" s="569"/>
      <c r="H706" s="557" t="s">
        <v>2944</v>
      </c>
      <c r="I706" s="570">
        <f t="shared" si="24"/>
        <v>103194</v>
      </c>
      <c r="J706" s="554"/>
      <c r="L706" s="570">
        <v>114660</v>
      </c>
      <c r="M706" s="549">
        <v>0.9</v>
      </c>
      <c r="N706" s="686">
        <f t="shared" si="25"/>
        <v>103194</v>
      </c>
    </row>
    <row r="707" spans="2:14" ht="17.100000000000001" customHeight="1">
      <c r="B707" s="554">
        <v>22</v>
      </c>
      <c r="C707" s="555" t="s">
        <v>3253</v>
      </c>
      <c r="D707" s="556"/>
      <c r="E707" s="556"/>
      <c r="F707" s="556" t="s">
        <v>3229</v>
      </c>
      <c r="G707" s="569"/>
      <c r="H707" s="557" t="s">
        <v>2944</v>
      </c>
      <c r="I707" s="570">
        <f t="shared" si="24"/>
        <v>90477</v>
      </c>
      <c r="J707" s="554"/>
      <c r="L707" s="570">
        <v>100530</v>
      </c>
      <c r="M707" s="549">
        <v>0.9</v>
      </c>
      <c r="N707" s="686">
        <f t="shared" si="25"/>
        <v>90477</v>
      </c>
    </row>
    <row r="708" spans="2:14" ht="17.100000000000001" customHeight="1">
      <c r="B708" s="554">
        <v>23</v>
      </c>
      <c r="C708" s="555" t="s">
        <v>3254</v>
      </c>
      <c r="D708" s="556"/>
      <c r="E708" s="556"/>
      <c r="F708" s="556" t="s">
        <v>3219</v>
      </c>
      <c r="G708" s="569"/>
      <c r="H708" s="557" t="s">
        <v>2944</v>
      </c>
      <c r="I708" s="570">
        <f t="shared" si="24"/>
        <v>40995</v>
      </c>
      <c r="J708" s="554"/>
      <c r="L708" s="570">
        <v>45550</v>
      </c>
      <c r="M708" s="549">
        <v>0.9</v>
      </c>
      <c r="N708" s="686">
        <f t="shared" si="25"/>
        <v>40995</v>
      </c>
    </row>
    <row r="709" spans="2:14" ht="17.100000000000001" customHeight="1">
      <c r="B709" s="554">
        <v>24</v>
      </c>
      <c r="C709" s="555" t="s">
        <v>3254</v>
      </c>
      <c r="D709" s="556"/>
      <c r="E709" s="556"/>
      <c r="F709" s="556" t="s">
        <v>3205</v>
      </c>
      <c r="G709" s="569"/>
      <c r="H709" s="557" t="s">
        <v>2944</v>
      </c>
      <c r="I709" s="570">
        <f t="shared" si="24"/>
        <v>40995</v>
      </c>
      <c r="J709" s="554"/>
      <c r="L709" s="570">
        <v>45550</v>
      </c>
      <c r="M709" s="549">
        <v>0.9</v>
      </c>
      <c r="N709" s="686">
        <f t="shared" si="25"/>
        <v>40995</v>
      </c>
    </row>
    <row r="710" spans="2:14" ht="17.100000000000001" customHeight="1">
      <c r="B710" s="554">
        <v>25</v>
      </c>
      <c r="C710" s="555" t="s">
        <v>3254</v>
      </c>
      <c r="D710" s="556"/>
      <c r="E710" s="556"/>
      <c r="F710" s="556" t="s">
        <v>3206</v>
      </c>
      <c r="G710" s="569"/>
      <c r="H710" s="557" t="s">
        <v>2944</v>
      </c>
      <c r="I710" s="570">
        <f t="shared" si="24"/>
        <v>40995</v>
      </c>
      <c r="J710" s="554"/>
      <c r="L710" s="570">
        <v>45550</v>
      </c>
      <c r="M710" s="549">
        <v>0.9</v>
      </c>
      <c r="N710" s="686">
        <f t="shared" si="25"/>
        <v>40995</v>
      </c>
    </row>
    <row r="711" spans="2:14" ht="17.100000000000001" customHeight="1">
      <c r="B711" s="554">
        <v>26</v>
      </c>
      <c r="C711" s="555" t="s">
        <v>3254</v>
      </c>
      <c r="D711" s="556"/>
      <c r="E711" s="556"/>
      <c r="F711" s="556" t="s">
        <v>3210</v>
      </c>
      <c r="G711" s="569"/>
      <c r="H711" s="557" t="s">
        <v>2944</v>
      </c>
      <c r="I711" s="570">
        <f t="shared" si="24"/>
        <v>36756</v>
      </c>
      <c r="J711" s="554"/>
      <c r="L711" s="570">
        <v>40840</v>
      </c>
      <c r="M711" s="549">
        <v>0.9</v>
      </c>
      <c r="N711" s="686">
        <f t="shared" si="25"/>
        <v>36756</v>
      </c>
    </row>
    <row r="712" spans="2:14" ht="17.100000000000001" customHeight="1">
      <c r="B712" s="554">
        <v>27</v>
      </c>
      <c r="C712" s="555" t="s">
        <v>3254</v>
      </c>
      <c r="D712" s="556"/>
      <c r="E712" s="556"/>
      <c r="F712" s="556" t="s">
        <v>3229</v>
      </c>
      <c r="G712" s="569"/>
      <c r="H712" s="557" t="s">
        <v>2944</v>
      </c>
      <c r="I712" s="570">
        <f t="shared" si="24"/>
        <v>40995</v>
      </c>
      <c r="J712" s="554"/>
      <c r="L712" s="570">
        <v>45550</v>
      </c>
      <c r="M712" s="549">
        <v>0.9</v>
      </c>
      <c r="N712" s="686">
        <f t="shared" si="25"/>
        <v>40995</v>
      </c>
    </row>
    <row r="713" spans="2:14" ht="17.100000000000001" customHeight="1">
      <c r="B713" s="554"/>
      <c r="C713" s="555"/>
      <c r="D713" s="556"/>
      <c r="E713" s="556"/>
      <c r="F713" s="556"/>
      <c r="G713" s="569"/>
      <c r="H713" s="557"/>
      <c r="I713" s="570">
        <f t="shared" si="24"/>
        <v>0</v>
      </c>
      <c r="J713" s="554"/>
      <c r="L713" s="570"/>
      <c r="M713" s="549">
        <v>0.9</v>
      </c>
      <c r="N713" s="686">
        <f t="shared" si="25"/>
        <v>0</v>
      </c>
    </row>
    <row r="714" spans="2:14" ht="17.100000000000001" customHeight="1">
      <c r="B714" s="554"/>
      <c r="C714" s="567" t="s">
        <v>3255</v>
      </c>
      <c r="D714" s="556"/>
      <c r="E714" s="556"/>
      <c r="F714" s="556"/>
      <c r="G714" s="569"/>
      <c r="H714" s="557"/>
      <c r="I714" s="570">
        <f t="shared" si="24"/>
        <v>0</v>
      </c>
      <c r="J714" s="554"/>
      <c r="L714" s="570"/>
      <c r="M714" s="549">
        <v>0.9</v>
      </c>
      <c r="N714" s="686">
        <f t="shared" si="25"/>
        <v>0</v>
      </c>
    </row>
    <row r="715" spans="2:14" ht="17.100000000000001" customHeight="1">
      <c r="B715" s="554">
        <v>1</v>
      </c>
      <c r="C715" s="555" t="s">
        <v>3244</v>
      </c>
      <c r="D715" s="556"/>
      <c r="E715" s="556"/>
      <c r="F715" s="556" t="s">
        <v>3219</v>
      </c>
      <c r="G715" s="569"/>
      <c r="H715" s="557" t="s">
        <v>3250</v>
      </c>
      <c r="I715" s="570">
        <f t="shared" si="24"/>
        <v>1965069</v>
      </c>
      <c r="J715" s="554"/>
      <c r="L715" s="570">
        <v>2183410</v>
      </c>
      <c r="M715" s="549">
        <v>0.9</v>
      </c>
      <c r="N715" s="686">
        <f t="shared" si="25"/>
        <v>1965069</v>
      </c>
    </row>
    <row r="716" spans="2:14" ht="17.100000000000001" customHeight="1">
      <c r="B716" s="554">
        <v>2</v>
      </c>
      <c r="C716" s="555" t="s">
        <v>3244</v>
      </c>
      <c r="D716" s="556"/>
      <c r="E716" s="556"/>
      <c r="F716" s="556" t="s">
        <v>3205</v>
      </c>
      <c r="G716" s="569"/>
      <c r="H716" s="557" t="s">
        <v>3250</v>
      </c>
      <c r="I716" s="570">
        <f t="shared" si="24"/>
        <v>1965069</v>
      </c>
      <c r="J716" s="554"/>
      <c r="L716" s="570">
        <v>2183410</v>
      </c>
      <c r="M716" s="549">
        <v>0.9</v>
      </c>
      <c r="N716" s="686">
        <f t="shared" si="25"/>
        <v>1965069</v>
      </c>
    </row>
    <row r="717" spans="2:14" ht="17.100000000000001" customHeight="1">
      <c r="B717" s="554">
        <v>3</v>
      </c>
      <c r="C717" s="555" t="s">
        <v>3244</v>
      </c>
      <c r="D717" s="556"/>
      <c r="E717" s="556"/>
      <c r="F717" s="556" t="s">
        <v>3206</v>
      </c>
      <c r="G717" s="569"/>
      <c r="H717" s="557" t="s">
        <v>3250</v>
      </c>
      <c r="I717" s="570">
        <f t="shared" si="24"/>
        <v>1104111</v>
      </c>
      <c r="J717" s="554"/>
      <c r="L717" s="570">
        <v>1226790</v>
      </c>
      <c r="M717" s="549">
        <v>0.9</v>
      </c>
      <c r="N717" s="686">
        <f t="shared" si="25"/>
        <v>1104111</v>
      </c>
    </row>
    <row r="718" spans="2:14" ht="17.100000000000001" customHeight="1">
      <c r="B718" s="554">
        <v>4</v>
      </c>
      <c r="C718" s="555" t="s">
        <v>3244</v>
      </c>
      <c r="D718" s="556"/>
      <c r="E718" s="556"/>
      <c r="F718" s="556" t="s">
        <v>3210</v>
      </c>
      <c r="G718" s="569"/>
      <c r="H718" s="557" t="s">
        <v>3250</v>
      </c>
      <c r="I718" s="570">
        <f t="shared" si="24"/>
        <v>736542</v>
      </c>
      <c r="J718" s="554"/>
      <c r="L718" s="570">
        <v>818380</v>
      </c>
      <c r="M718" s="549">
        <v>0.9</v>
      </c>
      <c r="N718" s="686">
        <f t="shared" si="25"/>
        <v>736542</v>
      </c>
    </row>
    <row r="719" spans="2:14" ht="17.100000000000001" customHeight="1">
      <c r="B719" s="554">
        <v>5</v>
      </c>
      <c r="C719" s="555" t="s">
        <v>3245</v>
      </c>
      <c r="D719" s="556"/>
      <c r="E719" s="556"/>
      <c r="F719" s="556" t="s">
        <v>3205</v>
      </c>
      <c r="G719" s="569"/>
      <c r="H719" s="557" t="s">
        <v>3250</v>
      </c>
      <c r="I719" s="570">
        <f t="shared" si="24"/>
        <v>315252</v>
      </c>
      <c r="J719" s="554"/>
      <c r="L719" s="570">
        <v>350280</v>
      </c>
      <c r="M719" s="549">
        <v>0.9</v>
      </c>
      <c r="N719" s="686">
        <f t="shared" si="25"/>
        <v>315252</v>
      </c>
    </row>
    <row r="720" spans="2:14" ht="17.100000000000001" customHeight="1">
      <c r="B720" s="554">
        <v>6</v>
      </c>
      <c r="C720" s="555" t="s">
        <v>3245</v>
      </c>
      <c r="D720" s="556"/>
      <c r="E720" s="556"/>
      <c r="F720" s="556" t="s">
        <v>3206</v>
      </c>
      <c r="G720" s="569"/>
      <c r="H720" s="557" t="s">
        <v>3250</v>
      </c>
      <c r="I720" s="570">
        <f t="shared" si="24"/>
        <v>219123</v>
      </c>
      <c r="J720" s="554"/>
      <c r="L720" s="570">
        <v>243470</v>
      </c>
      <c r="M720" s="549">
        <v>0.9</v>
      </c>
      <c r="N720" s="686">
        <f t="shared" si="25"/>
        <v>219123</v>
      </c>
    </row>
    <row r="721" spans="2:14" ht="17.100000000000001" customHeight="1">
      <c r="B721" s="554">
        <v>7</v>
      </c>
      <c r="C721" s="555" t="s">
        <v>3245</v>
      </c>
      <c r="D721" s="556"/>
      <c r="E721" s="556"/>
      <c r="F721" s="556" t="s">
        <v>3210</v>
      </c>
      <c r="G721" s="569"/>
      <c r="H721" s="557" t="s">
        <v>3250</v>
      </c>
      <c r="I721" s="570">
        <f t="shared" si="24"/>
        <v>315252</v>
      </c>
      <c r="J721" s="554"/>
      <c r="L721" s="570">
        <v>350280</v>
      </c>
      <c r="M721" s="549">
        <v>0.9</v>
      </c>
      <c r="N721" s="686">
        <f t="shared" si="25"/>
        <v>315252</v>
      </c>
    </row>
    <row r="722" spans="2:14" ht="17.100000000000001" customHeight="1">
      <c r="B722" s="554">
        <v>8</v>
      </c>
      <c r="C722" s="555" t="s">
        <v>3245</v>
      </c>
      <c r="D722" s="556"/>
      <c r="E722" s="556"/>
      <c r="F722" s="556" t="s">
        <v>3229</v>
      </c>
      <c r="G722" s="569"/>
      <c r="H722" s="557" t="s">
        <v>3250</v>
      </c>
      <c r="I722" s="570">
        <f t="shared" si="24"/>
        <v>219123</v>
      </c>
      <c r="J722" s="554"/>
      <c r="L722" s="570">
        <v>243470</v>
      </c>
      <c r="M722" s="549">
        <v>0.9</v>
      </c>
      <c r="N722" s="686">
        <f t="shared" si="25"/>
        <v>219123</v>
      </c>
    </row>
    <row r="723" spans="2:14" ht="17.100000000000001" customHeight="1">
      <c r="B723" s="554">
        <v>9</v>
      </c>
      <c r="C723" s="555" t="s">
        <v>3246</v>
      </c>
      <c r="D723" s="556"/>
      <c r="E723" s="556"/>
      <c r="F723" s="556" t="s">
        <v>3205</v>
      </c>
      <c r="G723" s="569"/>
      <c r="H723" s="557" t="s">
        <v>3250</v>
      </c>
      <c r="I723" s="570">
        <f t="shared" si="24"/>
        <v>220536</v>
      </c>
      <c r="J723" s="554"/>
      <c r="L723" s="570">
        <v>245040</v>
      </c>
      <c r="M723" s="549">
        <v>0.9</v>
      </c>
      <c r="N723" s="686">
        <f t="shared" si="25"/>
        <v>220536</v>
      </c>
    </row>
    <row r="724" spans="2:14" ht="17.100000000000001" customHeight="1">
      <c r="B724" s="554">
        <v>10</v>
      </c>
      <c r="C724" s="555" t="s">
        <v>3246</v>
      </c>
      <c r="D724" s="556"/>
      <c r="E724" s="556"/>
      <c r="F724" s="556" t="s">
        <v>3206</v>
      </c>
      <c r="G724" s="569"/>
      <c r="H724" s="557" t="s">
        <v>3250</v>
      </c>
      <c r="I724" s="570">
        <f t="shared" si="24"/>
        <v>74925</v>
      </c>
      <c r="J724" s="554"/>
      <c r="L724" s="570">
        <v>83250</v>
      </c>
      <c r="M724" s="549">
        <v>0.9</v>
      </c>
      <c r="N724" s="686">
        <f t="shared" si="25"/>
        <v>74925</v>
      </c>
    </row>
    <row r="725" spans="2:14" ht="17.100000000000001" customHeight="1">
      <c r="B725" s="554">
        <v>11</v>
      </c>
      <c r="C725" s="555" t="s">
        <v>3246</v>
      </c>
      <c r="D725" s="556"/>
      <c r="E725" s="556"/>
      <c r="F725" s="556" t="s">
        <v>3210</v>
      </c>
      <c r="G725" s="569"/>
      <c r="H725" s="557" t="s">
        <v>3250</v>
      </c>
      <c r="I725" s="570">
        <f t="shared" si="24"/>
        <v>74925</v>
      </c>
      <c r="J725" s="554"/>
      <c r="L725" s="570">
        <v>83250</v>
      </c>
      <c r="M725" s="549">
        <v>0.9</v>
      </c>
      <c r="N725" s="686">
        <f t="shared" si="25"/>
        <v>74925</v>
      </c>
    </row>
    <row r="726" spans="2:14" ht="17.100000000000001" customHeight="1">
      <c r="B726" s="554">
        <v>12</v>
      </c>
      <c r="C726" s="555" t="s">
        <v>3251</v>
      </c>
      <c r="D726" s="556"/>
      <c r="E726" s="556"/>
      <c r="F726" s="556" t="s">
        <v>3205</v>
      </c>
      <c r="G726" s="569"/>
      <c r="H726" s="557" t="s">
        <v>3250</v>
      </c>
      <c r="I726" s="570">
        <f t="shared" si="24"/>
        <v>371808</v>
      </c>
      <c r="J726" s="554"/>
      <c r="L726" s="570">
        <v>413120</v>
      </c>
      <c r="M726" s="549">
        <v>0.9</v>
      </c>
      <c r="N726" s="686">
        <f t="shared" si="25"/>
        <v>371808</v>
      </c>
    </row>
    <row r="727" spans="2:14" ht="17.100000000000001" customHeight="1">
      <c r="B727" s="554">
        <v>13</v>
      </c>
      <c r="C727" s="555" t="s">
        <v>3251</v>
      </c>
      <c r="D727" s="556"/>
      <c r="E727" s="556"/>
      <c r="F727" s="556" t="s">
        <v>3206</v>
      </c>
      <c r="G727" s="569"/>
      <c r="H727" s="557" t="s">
        <v>3250</v>
      </c>
      <c r="I727" s="570">
        <f t="shared" si="24"/>
        <v>371808</v>
      </c>
      <c r="J727" s="554"/>
      <c r="L727" s="570">
        <v>413120</v>
      </c>
      <c r="M727" s="549">
        <v>0.9</v>
      </c>
      <c r="N727" s="686">
        <f t="shared" si="25"/>
        <v>371808</v>
      </c>
    </row>
    <row r="728" spans="2:14" ht="17.100000000000001" customHeight="1">
      <c r="B728" s="554">
        <v>14</v>
      </c>
      <c r="C728" s="555" t="s">
        <v>3251</v>
      </c>
      <c r="D728" s="556"/>
      <c r="E728" s="556"/>
      <c r="F728" s="556" t="s">
        <v>3210</v>
      </c>
      <c r="G728" s="569"/>
      <c r="H728" s="557" t="s">
        <v>3250</v>
      </c>
      <c r="I728" s="570">
        <f t="shared" si="24"/>
        <v>371808</v>
      </c>
      <c r="J728" s="554"/>
      <c r="L728" s="570">
        <v>413120</v>
      </c>
      <c r="M728" s="549">
        <v>0.9</v>
      </c>
      <c r="N728" s="686">
        <f t="shared" si="25"/>
        <v>371808</v>
      </c>
    </row>
    <row r="729" spans="2:14" ht="17.100000000000001" customHeight="1">
      <c r="B729" s="554">
        <v>15</v>
      </c>
      <c r="C729" s="555" t="s">
        <v>3247</v>
      </c>
      <c r="D729" s="556"/>
      <c r="E729" s="556"/>
      <c r="F729" s="556" t="s">
        <v>3205</v>
      </c>
      <c r="G729" s="569"/>
      <c r="H729" s="557" t="s">
        <v>2944</v>
      </c>
      <c r="I729" s="570">
        <f t="shared" si="24"/>
        <v>220536</v>
      </c>
      <c r="J729" s="554"/>
      <c r="L729" s="570">
        <v>245040</v>
      </c>
      <c r="M729" s="549">
        <v>0.9</v>
      </c>
      <c r="N729" s="686">
        <f t="shared" si="25"/>
        <v>220536</v>
      </c>
    </row>
    <row r="730" spans="2:14" ht="17.100000000000001" customHeight="1">
      <c r="B730" s="554">
        <v>16</v>
      </c>
      <c r="C730" s="555" t="s">
        <v>3247</v>
      </c>
      <c r="D730" s="556"/>
      <c r="E730" s="556"/>
      <c r="F730" s="556" t="s">
        <v>3206</v>
      </c>
      <c r="G730" s="569"/>
      <c r="H730" s="557" t="s">
        <v>2944</v>
      </c>
      <c r="I730" s="570">
        <f t="shared" si="24"/>
        <v>220536</v>
      </c>
      <c r="J730" s="554"/>
      <c r="L730" s="570">
        <v>245040</v>
      </c>
      <c r="M730" s="549">
        <v>0.9</v>
      </c>
      <c r="N730" s="686">
        <f t="shared" si="25"/>
        <v>220536</v>
      </c>
    </row>
    <row r="731" spans="2:14" ht="17.100000000000001" customHeight="1">
      <c r="B731" s="554">
        <v>17</v>
      </c>
      <c r="C731" s="555" t="s">
        <v>3247</v>
      </c>
      <c r="D731" s="556"/>
      <c r="E731" s="556"/>
      <c r="F731" s="556" t="s">
        <v>3210</v>
      </c>
      <c r="G731" s="569"/>
      <c r="H731" s="557" t="s">
        <v>2944</v>
      </c>
      <c r="I731" s="570">
        <f t="shared" si="24"/>
        <v>220536</v>
      </c>
      <c r="J731" s="554"/>
      <c r="L731" s="570">
        <v>245040</v>
      </c>
      <c r="M731" s="549">
        <v>0.9</v>
      </c>
      <c r="N731" s="686">
        <f t="shared" si="25"/>
        <v>220536</v>
      </c>
    </row>
    <row r="732" spans="2:14" ht="17.100000000000001" customHeight="1">
      <c r="B732" s="554">
        <v>18</v>
      </c>
      <c r="C732" s="555" t="s">
        <v>3247</v>
      </c>
      <c r="D732" s="556"/>
      <c r="E732" s="556"/>
      <c r="F732" s="556" t="s">
        <v>3229</v>
      </c>
      <c r="G732" s="569"/>
      <c r="H732" s="557" t="s">
        <v>2944</v>
      </c>
      <c r="I732" s="570">
        <f t="shared" si="24"/>
        <v>220536</v>
      </c>
      <c r="J732" s="554"/>
      <c r="L732" s="570">
        <v>245040</v>
      </c>
      <c r="M732" s="549">
        <v>0.9</v>
      </c>
      <c r="N732" s="686">
        <f t="shared" si="25"/>
        <v>220536</v>
      </c>
    </row>
    <row r="733" spans="2:14" ht="17.100000000000001" customHeight="1">
      <c r="B733" s="554">
        <v>19</v>
      </c>
      <c r="C733" s="555" t="s">
        <v>3252</v>
      </c>
      <c r="D733" s="556"/>
      <c r="E733" s="556"/>
      <c r="F733" s="556" t="s">
        <v>3205</v>
      </c>
      <c r="G733" s="569"/>
      <c r="H733" s="557" t="s">
        <v>2944</v>
      </c>
      <c r="I733" s="570">
        <f t="shared" si="24"/>
        <v>115920</v>
      </c>
      <c r="J733" s="554"/>
      <c r="L733" s="570">
        <v>128800</v>
      </c>
      <c r="M733" s="549">
        <v>0.9</v>
      </c>
      <c r="N733" s="686">
        <f t="shared" si="25"/>
        <v>115920</v>
      </c>
    </row>
    <row r="734" spans="2:14" ht="17.100000000000001" customHeight="1">
      <c r="B734" s="554">
        <v>20</v>
      </c>
      <c r="C734" s="555" t="s">
        <v>3253</v>
      </c>
      <c r="D734" s="556"/>
      <c r="E734" s="556"/>
      <c r="F734" s="556" t="s">
        <v>3206</v>
      </c>
      <c r="G734" s="569"/>
      <c r="H734" s="557" t="s">
        <v>2944</v>
      </c>
      <c r="I734" s="570">
        <f t="shared" si="24"/>
        <v>115920</v>
      </c>
      <c r="J734" s="554"/>
      <c r="L734" s="570">
        <v>128800</v>
      </c>
      <c r="M734" s="549">
        <v>0.9</v>
      </c>
      <c r="N734" s="686">
        <f t="shared" si="25"/>
        <v>115920</v>
      </c>
    </row>
    <row r="735" spans="2:14" ht="17.100000000000001" customHeight="1">
      <c r="B735" s="554">
        <v>21</v>
      </c>
      <c r="C735" s="555" t="s">
        <v>3253</v>
      </c>
      <c r="D735" s="556"/>
      <c r="E735" s="556"/>
      <c r="F735" s="556" t="s">
        <v>3210</v>
      </c>
      <c r="G735" s="569"/>
      <c r="H735" s="557" t="s">
        <v>2944</v>
      </c>
      <c r="I735" s="570">
        <f t="shared" si="24"/>
        <v>103194</v>
      </c>
      <c r="J735" s="554"/>
      <c r="L735" s="570">
        <v>114660</v>
      </c>
      <c r="M735" s="549">
        <v>0.9</v>
      </c>
      <c r="N735" s="686">
        <f t="shared" si="25"/>
        <v>103194</v>
      </c>
    </row>
    <row r="736" spans="2:14" ht="17.100000000000001" customHeight="1">
      <c r="B736" s="554">
        <v>22</v>
      </c>
      <c r="C736" s="555" t="s">
        <v>3253</v>
      </c>
      <c r="D736" s="556"/>
      <c r="E736" s="556"/>
      <c r="F736" s="556" t="s">
        <v>3229</v>
      </c>
      <c r="G736" s="569"/>
      <c r="H736" s="557" t="s">
        <v>2944</v>
      </c>
      <c r="I736" s="570">
        <f t="shared" ref="I736:I799" si="26">N736</f>
        <v>90477</v>
      </c>
      <c r="J736" s="554"/>
      <c r="L736" s="570">
        <v>100530</v>
      </c>
      <c r="M736" s="549">
        <v>0.9</v>
      </c>
      <c r="N736" s="686">
        <f t="shared" ref="N736:N799" si="27">L736*M736</f>
        <v>90477</v>
      </c>
    </row>
    <row r="737" spans="2:14" ht="17.100000000000001" customHeight="1">
      <c r="B737" s="554">
        <v>23</v>
      </c>
      <c r="C737" s="555" t="s">
        <v>3254</v>
      </c>
      <c r="D737" s="556"/>
      <c r="E737" s="556"/>
      <c r="F737" s="556" t="s">
        <v>3219</v>
      </c>
      <c r="G737" s="569"/>
      <c r="H737" s="557" t="s">
        <v>2944</v>
      </c>
      <c r="I737" s="570">
        <f t="shared" si="26"/>
        <v>40995</v>
      </c>
      <c r="J737" s="554"/>
      <c r="L737" s="570">
        <v>45550</v>
      </c>
      <c r="M737" s="549">
        <v>0.9</v>
      </c>
      <c r="N737" s="686">
        <f t="shared" si="27"/>
        <v>40995</v>
      </c>
    </row>
    <row r="738" spans="2:14" ht="17.100000000000001" customHeight="1">
      <c r="B738" s="554">
        <v>24</v>
      </c>
      <c r="C738" s="555" t="s">
        <v>3254</v>
      </c>
      <c r="D738" s="556"/>
      <c r="E738" s="556"/>
      <c r="F738" s="556" t="s">
        <v>3205</v>
      </c>
      <c r="G738" s="569"/>
      <c r="H738" s="557" t="s">
        <v>2944</v>
      </c>
      <c r="I738" s="570">
        <f t="shared" si="26"/>
        <v>40995</v>
      </c>
      <c r="J738" s="554"/>
      <c r="L738" s="570">
        <v>45550</v>
      </c>
      <c r="M738" s="549">
        <v>0.9</v>
      </c>
      <c r="N738" s="686">
        <f t="shared" si="27"/>
        <v>40995</v>
      </c>
    </row>
    <row r="739" spans="2:14" ht="17.100000000000001" customHeight="1">
      <c r="B739" s="554">
        <v>25</v>
      </c>
      <c r="C739" s="555" t="s">
        <v>3254</v>
      </c>
      <c r="D739" s="556"/>
      <c r="E739" s="556"/>
      <c r="F739" s="556" t="s">
        <v>3206</v>
      </c>
      <c r="G739" s="569"/>
      <c r="H739" s="557" t="s">
        <v>2944</v>
      </c>
      <c r="I739" s="570">
        <f t="shared" si="26"/>
        <v>40995</v>
      </c>
      <c r="J739" s="554"/>
      <c r="L739" s="570">
        <v>45550</v>
      </c>
      <c r="M739" s="549">
        <v>0.9</v>
      </c>
      <c r="N739" s="686">
        <f t="shared" si="27"/>
        <v>40995</v>
      </c>
    </row>
    <row r="740" spans="2:14" ht="17.100000000000001" customHeight="1">
      <c r="B740" s="554">
        <v>26</v>
      </c>
      <c r="C740" s="555" t="s">
        <v>3254</v>
      </c>
      <c r="D740" s="556"/>
      <c r="E740" s="556"/>
      <c r="F740" s="556" t="s">
        <v>3210</v>
      </c>
      <c r="G740" s="569"/>
      <c r="H740" s="557" t="s">
        <v>2944</v>
      </c>
      <c r="I740" s="570">
        <f t="shared" si="26"/>
        <v>36756</v>
      </c>
      <c r="J740" s="554"/>
      <c r="L740" s="570">
        <v>40840</v>
      </c>
      <c r="M740" s="549">
        <v>0.9</v>
      </c>
      <c r="N740" s="686">
        <f t="shared" si="27"/>
        <v>36756</v>
      </c>
    </row>
    <row r="741" spans="2:14" ht="17.100000000000001" customHeight="1">
      <c r="B741" s="554">
        <v>27</v>
      </c>
      <c r="C741" s="555" t="s">
        <v>3254</v>
      </c>
      <c r="D741" s="556"/>
      <c r="E741" s="556"/>
      <c r="F741" s="556" t="s">
        <v>3229</v>
      </c>
      <c r="G741" s="569"/>
      <c r="H741" s="557" t="s">
        <v>2944</v>
      </c>
      <c r="I741" s="570">
        <f t="shared" si="26"/>
        <v>40995</v>
      </c>
      <c r="J741" s="554"/>
      <c r="L741" s="570">
        <v>45550</v>
      </c>
      <c r="M741" s="549">
        <v>0.9</v>
      </c>
      <c r="N741" s="686">
        <f t="shared" si="27"/>
        <v>40995</v>
      </c>
    </row>
    <row r="742" spans="2:14" ht="17.100000000000001" customHeight="1">
      <c r="B742" s="554"/>
      <c r="C742" s="555"/>
      <c r="D742" s="556"/>
      <c r="E742" s="556"/>
      <c r="F742" s="556"/>
      <c r="G742" s="569"/>
      <c r="H742" s="557"/>
      <c r="I742" s="570">
        <f t="shared" si="26"/>
        <v>0</v>
      </c>
      <c r="J742" s="554"/>
      <c r="L742" s="570"/>
      <c r="M742" s="549">
        <v>0.9</v>
      </c>
      <c r="N742" s="686">
        <f t="shared" si="27"/>
        <v>0</v>
      </c>
    </row>
    <row r="743" spans="2:14" ht="17.100000000000001" customHeight="1">
      <c r="B743" s="571"/>
      <c r="C743" s="567" t="s">
        <v>3825</v>
      </c>
      <c r="D743" s="568"/>
      <c r="E743" s="568"/>
      <c r="F743" s="556"/>
      <c r="G743" s="569"/>
      <c r="H743" s="557"/>
      <c r="I743" s="570">
        <f t="shared" si="26"/>
        <v>0</v>
      </c>
      <c r="J743" s="554"/>
      <c r="L743" s="570"/>
      <c r="M743" s="549">
        <v>0.9</v>
      </c>
      <c r="N743" s="686">
        <f t="shared" si="27"/>
        <v>0</v>
      </c>
    </row>
    <row r="744" spans="2:14" ht="17.100000000000001" customHeight="1">
      <c r="B744" s="554">
        <v>1</v>
      </c>
      <c r="C744" s="555" t="s">
        <v>3256</v>
      </c>
      <c r="D744" s="556"/>
      <c r="E744" s="556"/>
      <c r="F744" s="556"/>
      <c r="G744" s="569"/>
      <c r="H744" s="557" t="s">
        <v>3025</v>
      </c>
      <c r="I744" s="570">
        <f t="shared" si="26"/>
        <v>6438465</v>
      </c>
      <c r="J744" s="554"/>
      <c r="L744" s="570">
        <v>7153850</v>
      </c>
      <c r="M744" s="549">
        <v>0.9</v>
      </c>
      <c r="N744" s="686">
        <f t="shared" si="27"/>
        <v>6438465</v>
      </c>
    </row>
    <row r="745" spans="2:14" ht="17.100000000000001" customHeight="1">
      <c r="B745" s="554">
        <v>2</v>
      </c>
      <c r="C745" s="555" t="s">
        <v>3257</v>
      </c>
      <c r="D745" s="556"/>
      <c r="E745" s="556"/>
      <c r="F745" s="556"/>
      <c r="G745" s="569"/>
      <c r="H745" s="557" t="s">
        <v>3025</v>
      </c>
      <c r="I745" s="570">
        <f t="shared" si="26"/>
        <v>8599914</v>
      </c>
      <c r="J745" s="554"/>
      <c r="L745" s="570">
        <v>9555460</v>
      </c>
      <c r="M745" s="549">
        <v>0.9</v>
      </c>
      <c r="N745" s="686">
        <f t="shared" si="27"/>
        <v>8599914</v>
      </c>
    </row>
    <row r="746" spans="2:14" ht="17.100000000000001" customHeight="1">
      <c r="B746" s="554">
        <v>3</v>
      </c>
      <c r="C746" s="555" t="s">
        <v>3258</v>
      </c>
      <c r="D746" s="556"/>
      <c r="E746" s="556"/>
      <c r="F746" s="556"/>
      <c r="G746" s="569"/>
      <c r="H746" s="557" t="s">
        <v>3025</v>
      </c>
      <c r="I746" s="570">
        <f t="shared" si="26"/>
        <v>9721377</v>
      </c>
      <c r="J746" s="554"/>
      <c r="L746" s="570">
        <v>10801530</v>
      </c>
      <c r="M746" s="549">
        <v>0.9</v>
      </c>
      <c r="N746" s="686">
        <f t="shared" si="27"/>
        <v>9721377</v>
      </c>
    </row>
    <row r="747" spans="2:14" ht="17.100000000000001" customHeight="1">
      <c r="B747" s="554">
        <v>4</v>
      </c>
      <c r="C747" s="555" t="s">
        <v>3259</v>
      </c>
      <c r="D747" s="556"/>
      <c r="E747" s="556"/>
      <c r="F747" s="556"/>
      <c r="G747" s="569"/>
      <c r="H747" s="557" t="s">
        <v>1423</v>
      </c>
      <c r="I747" s="570">
        <f t="shared" si="26"/>
        <v>4087188</v>
      </c>
      <c r="J747" s="554"/>
      <c r="L747" s="570">
        <v>4541320</v>
      </c>
      <c r="M747" s="549">
        <v>0.9</v>
      </c>
      <c r="N747" s="686">
        <f t="shared" si="27"/>
        <v>4087188</v>
      </c>
    </row>
    <row r="748" spans="2:14" ht="17.100000000000001" customHeight="1">
      <c r="B748" s="554">
        <v>5</v>
      </c>
      <c r="C748" s="555" t="s">
        <v>3260</v>
      </c>
      <c r="D748" s="556"/>
      <c r="E748" s="556"/>
      <c r="F748" s="556"/>
      <c r="G748" s="569"/>
      <c r="H748" s="557" t="s">
        <v>1423</v>
      </c>
      <c r="I748" s="570">
        <f t="shared" si="26"/>
        <v>4087188</v>
      </c>
      <c r="J748" s="554"/>
      <c r="L748" s="570">
        <v>4541320</v>
      </c>
      <c r="M748" s="549">
        <v>0.9</v>
      </c>
      <c r="N748" s="686">
        <f t="shared" si="27"/>
        <v>4087188</v>
      </c>
    </row>
    <row r="749" spans="2:14" ht="17.100000000000001" customHeight="1">
      <c r="B749" s="554">
        <v>6</v>
      </c>
      <c r="C749" s="555" t="s">
        <v>3770</v>
      </c>
      <c r="D749" s="556"/>
      <c r="E749" s="556"/>
      <c r="F749" s="556"/>
      <c r="G749" s="569"/>
      <c r="H749" s="557" t="s">
        <v>1423</v>
      </c>
      <c r="I749" s="570">
        <f t="shared" si="26"/>
        <v>1619217</v>
      </c>
      <c r="J749" s="554"/>
      <c r="L749" s="570">
        <v>1799130</v>
      </c>
      <c r="M749" s="549">
        <v>0.9</v>
      </c>
      <c r="N749" s="686">
        <f t="shared" si="27"/>
        <v>1619217</v>
      </c>
    </row>
    <row r="750" spans="2:14" ht="17.100000000000001" customHeight="1">
      <c r="B750" s="554">
        <v>7</v>
      </c>
      <c r="C750" s="555" t="s">
        <v>3771</v>
      </c>
      <c r="D750" s="556"/>
      <c r="E750" s="556"/>
      <c r="F750" s="556"/>
      <c r="G750" s="569"/>
      <c r="H750" s="557" t="s">
        <v>1423</v>
      </c>
      <c r="I750" s="570">
        <f t="shared" si="26"/>
        <v>109107</v>
      </c>
      <c r="J750" s="554"/>
      <c r="L750" s="570">
        <v>121230</v>
      </c>
      <c r="M750" s="549">
        <v>0.9</v>
      </c>
      <c r="N750" s="686">
        <f t="shared" si="27"/>
        <v>109107</v>
      </c>
    </row>
    <row r="751" spans="2:14" ht="17.100000000000001" customHeight="1">
      <c r="B751" s="554">
        <v>8</v>
      </c>
      <c r="C751" s="555" t="s">
        <v>3261</v>
      </c>
      <c r="D751" s="556"/>
      <c r="E751" s="556"/>
      <c r="F751" s="556"/>
      <c r="G751" s="569"/>
      <c r="H751" s="557" t="s">
        <v>1423</v>
      </c>
      <c r="I751" s="570">
        <f t="shared" si="26"/>
        <v>509319</v>
      </c>
      <c r="J751" s="554"/>
      <c r="L751" s="570">
        <v>565910</v>
      </c>
      <c r="M751" s="549">
        <v>0.9</v>
      </c>
      <c r="N751" s="686">
        <f t="shared" si="27"/>
        <v>509319</v>
      </c>
    </row>
    <row r="752" spans="2:14" ht="17.100000000000001" customHeight="1">
      <c r="B752" s="554">
        <v>9</v>
      </c>
      <c r="C752" s="555" t="s">
        <v>3262</v>
      </c>
      <c r="D752" s="556"/>
      <c r="E752" s="556"/>
      <c r="F752" s="556"/>
      <c r="G752" s="569"/>
      <c r="H752" s="557" t="s">
        <v>1423</v>
      </c>
      <c r="I752" s="570">
        <f t="shared" si="26"/>
        <v>311661</v>
      </c>
      <c r="J752" s="554"/>
      <c r="L752" s="570">
        <v>346290</v>
      </c>
      <c r="M752" s="549">
        <v>0.9</v>
      </c>
      <c r="N752" s="686">
        <f t="shared" si="27"/>
        <v>311661</v>
      </c>
    </row>
    <row r="753" spans="2:14" ht="17.100000000000001" customHeight="1">
      <c r="B753" s="554">
        <v>10</v>
      </c>
      <c r="C753" s="555" t="s">
        <v>3772</v>
      </c>
      <c r="D753" s="556"/>
      <c r="E753" s="556"/>
      <c r="F753" s="556"/>
      <c r="G753" s="569"/>
      <c r="H753" s="557" t="s">
        <v>1423</v>
      </c>
      <c r="I753" s="570">
        <f t="shared" si="26"/>
        <v>311661</v>
      </c>
      <c r="J753" s="554"/>
      <c r="L753" s="570">
        <v>346290</v>
      </c>
      <c r="M753" s="549">
        <v>0.9</v>
      </c>
      <c r="N753" s="686">
        <f t="shared" si="27"/>
        <v>311661</v>
      </c>
    </row>
    <row r="754" spans="2:14" ht="17.100000000000001" customHeight="1">
      <c r="B754" s="554">
        <v>11</v>
      </c>
      <c r="C754" s="555" t="s">
        <v>3263</v>
      </c>
      <c r="D754" s="556"/>
      <c r="E754" s="556"/>
      <c r="F754" s="556"/>
      <c r="G754" s="569"/>
      <c r="H754" s="557" t="s">
        <v>853</v>
      </c>
      <c r="I754" s="570">
        <f t="shared" si="26"/>
        <v>6409800</v>
      </c>
      <c r="J754" s="554"/>
      <c r="L754" s="570">
        <v>7122000</v>
      </c>
      <c r="M754" s="549">
        <v>0.9</v>
      </c>
      <c r="N754" s="686">
        <f t="shared" si="27"/>
        <v>6409800</v>
      </c>
    </row>
    <row r="755" spans="2:14" ht="17.100000000000001" customHeight="1">
      <c r="B755" s="554">
        <v>12</v>
      </c>
      <c r="C755" s="555" t="s">
        <v>3264</v>
      </c>
      <c r="D755" s="556"/>
      <c r="E755" s="556"/>
      <c r="F755" s="556"/>
      <c r="G755" s="569"/>
      <c r="H755" s="557" t="s">
        <v>853</v>
      </c>
      <c r="I755" s="570">
        <f t="shared" si="26"/>
        <v>648891</v>
      </c>
      <c r="J755" s="554"/>
      <c r="L755" s="570">
        <v>720990</v>
      </c>
      <c r="M755" s="549">
        <v>0.9</v>
      </c>
      <c r="N755" s="686">
        <f t="shared" si="27"/>
        <v>648891</v>
      </c>
    </row>
    <row r="756" spans="2:14" ht="17.100000000000001" customHeight="1">
      <c r="B756" s="554">
        <v>13</v>
      </c>
      <c r="C756" s="555" t="s">
        <v>3265</v>
      </c>
      <c r="D756" s="556"/>
      <c r="E756" s="556"/>
      <c r="F756" s="556"/>
      <c r="G756" s="569"/>
      <c r="H756" s="557" t="s">
        <v>2666</v>
      </c>
      <c r="I756" s="570">
        <f t="shared" si="26"/>
        <v>13134357</v>
      </c>
      <c r="J756" s="554"/>
      <c r="L756" s="570">
        <v>14593730</v>
      </c>
      <c r="M756" s="549">
        <v>0.9</v>
      </c>
      <c r="N756" s="686">
        <f t="shared" si="27"/>
        <v>13134357</v>
      </c>
    </row>
    <row r="757" spans="2:14" ht="17.100000000000001" customHeight="1">
      <c r="B757" s="554">
        <v>14</v>
      </c>
      <c r="C757" s="555" t="s">
        <v>3266</v>
      </c>
      <c r="D757" s="556"/>
      <c r="E757" s="556"/>
      <c r="F757" s="556"/>
      <c r="G757" s="569"/>
      <c r="H757" s="557" t="s">
        <v>1423</v>
      </c>
      <c r="I757" s="570">
        <f t="shared" si="26"/>
        <v>7081704</v>
      </c>
      <c r="J757" s="554"/>
      <c r="L757" s="570">
        <v>7868560</v>
      </c>
      <c r="M757" s="549">
        <v>0.9</v>
      </c>
      <c r="N757" s="686">
        <f t="shared" si="27"/>
        <v>7081704</v>
      </c>
    </row>
    <row r="758" spans="2:14" ht="17.100000000000001" customHeight="1">
      <c r="B758" s="554">
        <v>15</v>
      </c>
      <c r="C758" s="555" t="s">
        <v>3267</v>
      </c>
      <c r="D758" s="556"/>
      <c r="E758" s="556"/>
      <c r="F758" s="556"/>
      <c r="G758" s="569"/>
      <c r="H758" s="557" t="s">
        <v>1423</v>
      </c>
      <c r="I758" s="570">
        <f t="shared" si="26"/>
        <v>595431</v>
      </c>
      <c r="J758" s="554"/>
      <c r="L758" s="570">
        <v>661590</v>
      </c>
      <c r="M758" s="549">
        <v>0.9</v>
      </c>
      <c r="N758" s="686">
        <f t="shared" si="27"/>
        <v>595431</v>
      </c>
    </row>
    <row r="759" spans="2:14" ht="17.100000000000001" customHeight="1">
      <c r="B759" s="554">
        <v>16</v>
      </c>
      <c r="C759" s="555" t="s">
        <v>3268</v>
      </c>
      <c r="D759" s="556"/>
      <c r="E759" s="556"/>
      <c r="F759" s="556"/>
      <c r="G759" s="569"/>
      <c r="H759" s="557" t="s">
        <v>1423</v>
      </c>
      <c r="I759" s="570">
        <f t="shared" si="26"/>
        <v>120294</v>
      </c>
      <c r="J759" s="554"/>
      <c r="L759" s="570">
        <v>133660</v>
      </c>
      <c r="M759" s="549">
        <v>0.9</v>
      </c>
      <c r="N759" s="686">
        <f t="shared" si="27"/>
        <v>120294</v>
      </c>
    </row>
    <row r="760" spans="2:14" ht="17.100000000000001" customHeight="1">
      <c r="B760" s="554">
        <v>17</v>
      </c>
      <c r="C760" s="555" t="s">
        <v>3269</v>
      </c>
      <c r="D760" s="556"/>
      <c r="E760" s="556"/>
      <c r="F760" s="556"/>
      <c r="G760" s="569"/>
      <c r="H760" s="557" t="s">
        <v>773</v>
      </c>
      <c r="I760" s="570">
        <f t="shared" si="26"/>
        <v>2565</v>
      </c>
      <c r="J760" s="554"/>
      <c r="L760" s="570">
        <v>2850</v>
      </c>
      <c r="M760" s="549">
        <v>0.9</v>
      </c>
      <c r="N760" s="686">
        <f t="shared" si="27"/>
        <v>2565</v>
      </c>
    </row>
    <row r="761" spans="2:14" ht="17.100000000000001" customHeight="1">
      <c r="B761" s="554">
        <v>18</v>
      </c>
      <c r="C761" s="555" t="s">
        <v>3270</v>
      </c>
      <c r="D761" s="556"/>
      <c r="E761" s="556"/>
      <c r="F761" s="556"/>
      <c r="G761" s="569"/>
      <c r="H761" s="557" t="s">
        <v>773</v>
      </c>
      <c r="I761" s="570">
        <f t="shared" si="26"/>
        <v>2565</v>
      </c>
      <c r="J761" s="554"/>
      <c r="L761" s="570">
        <v>2850</v>
      </c>
      <c r="M761" s="549">
        <v>0.9</v>
      </c>
      <c r="N761" s="686">
        <f t="shared" si="27"/>
        <v>2565</v>
      </c>
    </row>
    <row r="762" spans="2:14" ht="17.100000000000001" customHeight="1">
      <c r="B762" s="554">
        <v>19</v>
      </c>
      <c r="C762" s="555" t="s">
        <v>3271</v>
      </c>
      <c r="D762" s="556"/>
      <c r="E762" s="556"/>
      <c r="F762" s="556"/>
      <c r="G762" s="569"/>
      <c r="H762" s="557" t="s">
        <v>773</v>
      </c>
      <c r="I762" s="570">
        <f t="shared" si="26"/>
        <v>2565</v>
      </c>
      <c r="J762" s="554"/>
      <c r="L762" s="570">
        <v>2850</v>
      </c>
      <c r="M762" s="549">
        <v>0.9</v>
      </c>
      <c r="N762" s="686">
        <f t="shared" si="27"/>
        <v>2565</v>
      </c>
    </row>
    <row r="763" spans="2:14" ht="17.100000000000001" customHeight="1">
      <c r="B763" s="554">
        <v>20</v>
      </c>
      <c r="C763" s="555" t="s">
        <v>3272</v>
      </c>
      <c r="D763" s="556"/>
      <c r="E763" s="556"/>
      <c r="F763" s="556"/>
      <c r="G763" s="569"/>
      <c r="H763" s="557" t="s">
        <v>773</v>
      </c>
      <c r="I763" s="570">
        <f t="shared" si="26"/>
        <v>2313</v>
      </c>
      <c r="J763" s="554"/>
      <c r="L763" s="570">
        <v>2570</v>
      </c>
      <c r="M763" s="549">
        <v>0.9</v>
      </c>
      <c r="N763" s="686">
        <f t="shared" si="27"/>
        <v>2313</v>
      </c>
    </row>
    <row r="764" spans="2:14" ht="17.100000000000001" customHeight="1">
      <c r="B764" s="554">
        <v>21</v>
      </c>
      <c r="C764" s="555" t="s">
        <v>3273</v>
      </c>
      <c r="D764" s="556"/>
      <c r="E764" s="556"/>
      <c r="F764" s="556"/>
      <c r="G764" s="569"/>
      <c r="H764" s="557" t="s">
        <v>1423</v>
      </c>
      <c r="I764" s="570">
        <f t="shared" si="26"/>
        <v>178506</v>
      </c>
      <c r="J764" s="554"/>
      <c r="L764" s="570">
        <v>198340</v>
      </c>
      <c r="M764" s="549">
        <v>0.9</v>
      </c>
      <c r="N764" s="686">
        <f t="shared" si="27"/>
        <v>178506</v>
      </c>
    </row>
    <row r="765" spans="2:14" ht="17.100000000000001" customHeight="1">
      <c r="B765" s="554">
        <v>22</v>
      </c>
      <c r="C765" s="555" t="s">
        <v>3274</v>
      </c>
      <c r="D765" s="556"/>
      <c r="E765" s="556"/>
      <c r="F765" s="556"/>
      <c r="G765" s="569"/>
      <c r="H765" s="557" t="s">
        <v>1423</v>
      </c>
      <c r="I765" s="570">
        <f t="shared" si="26"/>
        <v>9252</v>
      </c>
      <c r="J765" s="554"/>
      <c r="L765" s="570">
        <v>10280</v>
      </c>
      <c r="M765" s="549">
        <v>0.9</v>
      </c>
      <c r="N765" s="686">
        <f t="shared" si="27"/>
        <v>9252</v>
      </c>
    </row>
    <row r="766" spans="2:14" ht="17.100000000000001" customHeight="1">
      <c r="B766" s="554">
        <v>23</v>
      </c>
      <c r="C766" s="555" t="s">
        <v>3275</v>
      </c>
      <c r="D766" s="556"/>
      <c r="E766" s="556"/>
      <c r="F766" s="556"/>
      <c r="G766" s="569"/>
      <c r="H766" s="557" t="s">
        <v>1423</v>
      </c>
      <c r="I766" s="570">
        <f t="shared" si="26"/>
        <v>130959</v>
      </c>
      <c r="J766" s="554"/>
      <c r="L766" s="570">
        <v>145510</v>
      </c>
      <c r="M766" s="549">
        <v>0.9</v>
      </c>
      <c r="N766" s="686">
        <f t="shared" si="27"/>
        <v>130959</v>
      </c>
    </row>
    <row r="767" spans="2:14" ht="17.100000000000001" customHeight="1">
      <c r="B767" s="554">
        <v>24</v>
      </c>
      <c r="C767" s="555" t="s">
        <v>3276</v>
      </c>
      <c r="D767" s="556"/>
      <c r="E767" s="556"/>
      <c r="F767" s="556"/>
      <c r="G767" s="569"/>
      <c r="H767" s="557" t="s">
        <v>1423</v>
      </c>
      <c r="I767" s="570">
        <f t="shared" si="26"/>
        <v>36369</v>
      </c>
      <c r="J767" s="554"/>
      <c r="L767" s="570">
        <v>40410</v>
      </c>
      <c r="M767" s="549">
        <v>0.9</v>
      </c>
      <c r="N767" s="686">
        <f t="shared" si="27"/>
        <v>36369</v>
      </c>
    </row>
    <row r="768" spans="2:14" ht="17.100000000000001" customHeight="1">
      <c r="B768" s="554">
        <v>25</v>
      </c>
      <c r="C768" s="555" t="s">
        <v>3277</v>
      </c>
      <c r="D768" s="556"/>
      <c r="E768" s="556"/>
      <c r="F768" s="556"/>
      <c r="G768" s="569"/>
      <c r="H768" s="557" t="s">
        <v>2970</v>
      </c>
      <c r="I768" s="570">
        <f t="shared" si="26"/>
        <v>9795402</v>
      </c>
      <c r="J768" s="554"/>
      <c r="L768" s="570">
        <v>10883780</v>
      </c>
      <c r="M768" s="549">
        <v>0.9</v>
      </c>
      <c r="N768" s="686">
        <f t="shared" si="27"/>
        <v>9795402</v>
      </c>
    </row>
    <row r="769" spans="2:14" ht="17.100000000000001" customHeight="1">
      <c r="B769" s="554">
        <v>26</v>
      </c>
      <c r="C769" s="555" t="s">
        <v>3826</v>
      </c>
      <c r="D769" s="556"/>
      <c r="E769" s="556"/>
      <c r="F769" s="556"/>
      <c r="G769" s="569"/>
      <c r="H769" s="557" t="s">
        <v>2970</v>
      </c>
      <c r="I769" s="570">
        <f t="shared" si="26"/>
        <v>16874676</v>
      </c>
      <c r="J769" s="554"/>
      <c r="L769" s="570">
        <v>18749640</v>
      </c>
      <c r="M769" s="549">
        <v>0.9</v>
      </c>
      <c r="N769" s="686">
        <f t="shared" si="27"/>
        <v>16874676</v>
      </c>
    </row>
    <row r="770" spans="2:14" ht="17.100000000000001" customHeight="1">
      <c r="B770" s="554"/>
      <c r="C770" s="555"/>
      <c r="D770" s="556"/>
      <c r="E770" s="556"/>
      <c r="F770" s="556"/>
      <c r="G770" s="569"/>
      <c r="H770" s="557"/>
      <c r="I770" s="570">
        <f t="shared" si="26"/>
        <v>0</v>
      </c>
      <c r="J770" s="554"/>
      <c r="L770" s="570"/>
      <c r="M770" s="549">
        <v>0.9</v>
      </c>
      <c r="N770" s="686">
        <f t="shared" si="27"/>
        <v>0</v>
      </c>
    </row>
    <row r="771" spans="2:14" ht="17.100000000000001" customHeight="1">
      <c r="B771" s="571"/>
      <c r="C771" s="567" t="s">
        <v>3278</v>
      </c>
      <c r="D771" s="568"/>
      <c r="E771" s="568"/>
      <c r="F771" s="556"/>
      <c r="G771" s="569"/>
      <c r="H771" s="557"/>
      <c r="I771" s="570">
        <f t="shared" si="26"/>
        <v>0</v>
      </c>
      <c r="J771" s="554"/>
      <c r="L771" s="570"/>
      <c r="M771" s="549">
        <v>0.9</v>
      </c>
      <c r="N771" s="686">
        <f t="shared" si="27"/>
        <v>0</v>
      </c>
    </row>
    <row r="772" spans="2:14" ht="17.100000000000001" customHeight="1">
      <c r="B772" s="554">
        <v>1</v>
      </c>
      <c r="C772" s="555" t="s">
        <v>3279</v>
      </c>
      <c r="D772" s="556"/>
      <c r="E772" s="556"/>
      <c r="F772" s="556"/>
      <c r="G772" s="569"/>
      <c r="H772" s="557" t="s">
        <v>2944</v>
      </c>
      <c r="I772" s="570">
        <f t="shared" si="26"/>
        <v>575892</v>
      </c>
      <c r="J772" s="554"/>
      <c r="L772" s="570">
        <v>639880</v>
      </c>
      <c r="M772" s="549">
        <v>0.9</v>
      </c>
      <c r="N772" s="686">
        <f t="shared" si="27"/>
        <v>575892</v>
      </c>
    </row>
    <row r="773" spans="2:14" ht="17.100000000000001" customHeight="1">
      <c r="B773" s="554">
        <v>2</v>
      </c>
      <c r="C773" s="555" t="s">
        <v>3280</v>
      </c>
      <c r="D773" s="556"/>
      <c r="E773" s="556"/>
      <c r="F773" s="556"/>
      <c r="G773" s="569"/>
      <c r="H773" s="557" t="s">
        <v>2944</v>
      </c>
      <c r="I773" s="570">
        <f t="shared" si="26"/>
        <v>874701</v>
      </c>
      <c r="J773" s="554"/>
      <c r="L773" s="570">
        <v>971890</v>
      </c>
      <c r="M773" s="549">
        <v>0.9</v>
      </c>
      <c r="N773" s="686">
        <f t="shared" si="27"/>
        <v>874701</v>
      </c>
    </row>
    <row r="774" spans="2:14" ht="17.100000000000001" customHeight="1">
      <c r="B774" s="554">
        <v>3</v>
      </c>
      <c r="C774" s="555" t="s">
        <v>3281</v>
      </c>
      <c r="D774" s="556"/>
      <c r="E774" s="556"/>
      <c r="F774" s="556"/>
      <c r="G774" s="569"/>
      <c r="H774" s="557" t="s">
        <v>2944</v>
      </c>
      <c r="I774" s="570">
        <f t="shared" si="26"/>
        <v>1804419</v>
      </c>
      <c r="J774" s="554"/>
      <c r="L774" s="570">
        <v>2004910</v>
      </c>
      <c r="M774" s="549">
        <v>0.9</v>
      </c>
      <c r="N774" s="686">
        <f t="shared" si="27"/>
        <v>1804419</v>
      </c>
    </row>
    <row r="775" spans="2:14" ht="17.100000000000001" customHeight="1">
      <c r="B775" s="554">
        <v>4</v>
      </c>
      <c r="C775" s="555" t="s">
        <v>3282</v>
      </c>
      <c r="D775" s="556"/>
      <c r="E775" s="556"/>
      <c r="F775" s="556"/>
      <c r="G775" s="569"/>
      <c r="H775" s="557" t="s">
        <v>1423</v>
      </c>
      <c r="I775" s="570">
        <f t="shared" si="26"/>
        <v>781911</v>
      </c>
      <c r="J775" s="554"/>
      <c r="L775" s="570">
        <v>868790</v>
      </c>
      <c r="M775" s="549">
        <v>0.9</v>
      </c>
      <c r="N775" s="686">
        <f t="shared" si="27"/>
        <v>781911</v>
      </c>
    </row>
    <row r="776" spans="2:14" ht="17.100000000000001" customHeight="1">
      <c r="B776" s="554">
        <v>5</v>
      </c>
      <c r="C776" s="555" t="s">
        <v>3759</v>
      </c>
      <c r="D776" s="556"/>
      <c r="E776" s="556"/>
      <c r="F776" s="556"/>
      <c r="G776" s="569"/>
      <c r="H776" s="557" t="s">
        <v>1423</v>
      </c>
      <c r="I776" s="570">
        <f t="shared" si="26"/>
        <v>616509</v>
      </c>
      <c r="J776" s="554"/>
      <c r="L776" s="570">
        <v>685010</v>
      </c>
      <c r="M776" s="549">
        <v>0.9</v>
      </c>
      <c r="N776" s="686">
        <f t="shared" si="27"/>
        <v>616509</v>
      </c>
    </row>
    <row r="777" spans="2:14" ht="17.100000000000001" customHeight="1">
      <c r="B777" s="554">
        <v>6</v>
      </c>
      <c r="C777" s="555" t="s">
        <v>3283</v>
      </c>
      <c r="D777" s="556"/>
      <c r="E777" s="556"/>
      <c r="F777" s="556"/>
      <c r="G777" s="569"/>
      <c r="H777" s="557" t="s">
        <v>1423</v>
      </c>
      <c r="I777" s="570">
        <f t="shared" si="26"/>
        <v>97668</v>
      </c>
      <c r="J777" s="554"/>
      <c r="L777" s="570">
        <v>108520</v>
      </c>
      <c r="M777" s="549">
        <v>0.9</v>
      </c>
      <c r="N777" s="686">
        <f t="shared" si="27"/>
        <v>97668</v>
      </c>
    </row>
    <row r="778" spans="2:14" ht="17.100000000000001" customHeight="1">
      <c r="B778" s="554">
        <v>7</v>
      </c>
      <c r="C778" s="555" t="s">
        <v>3284</v>
      </c>
      <c r="D778" s="556"/>
      <c r="E778" s="556"/>
      <c r="F778" s="556"/>
      <c r="G778" s="569"/>
      <c r="H778" s="557" t="s">
        <v>1423</v>
      </c>
      <c r="I778" s="570">
        <f t="shared" si="26"/>
        <v>6014736</v>
      </c>
      <c r="J778" s="554"/>
      <c r="L778" s="570">
        <v>6683040</v>
      </c>
      <c r="M778" s="549">
        <v>0.9</v>
      </c>
      <c r="N778" s="686">
        <f t="shared" si="27"/>
        <v>6014736</v>
      </c>
    </row>
    <row r="779" spans="2:14" ht="17.100000000000001" customHeight="1">
      <c r="B779" s="554">
        <v>8</v>
      </c>
      <c r="C779" s="555" t="s">
        <v>3760</v>
      </c>
      <c r="D779" s="556"/>
      <c r="E779" s="556"/>
      <c r="F779" s="556"/>
      <c r="G779" s="569"/>
      <c r="H779" s="557" t="s">
        <v>1423</v>
      </c>
      <c r="I779" s="570">
        <f t="shared" si="26"/>
        <v>2352294</v>
      </c>
      <c r="J779" s="554"/>
      <c r="L779" s="570">
        <v>2613660</v>
      </c>
      <c r="M779" s="549">
        <v>0.9</v>
      </c>
      <c r="N779" s="686">
        <f t="shared" si="27"/>
        <v>2352294</v>
      </c>
    </row>
    <row r="780" spans="2:14" ht="17.100000000000001" customHeight="1">
      <c r="B780" s="554">
        <v>9</v>
      </c>
      <c r="C780" s="555" t="s">
        <v>3285</v>
      </c>
      <c r="D780" s="556"/>
      <c r="E780" s="556"/>
      <c r="F780" s="556"/>
      <c r="G780" s="569"/>
      <c r="H780" s="557" t="s">
        <v>1423</v>
      </c>
      <c r="I780" s="570">
        <f t="shared" si="26"/>
        <v>381960</v>
      </c>
      <c r="J780" s="554"/>
      <c r="L780" s="570">
        <v>424400</v>
      </c>
      <c r="M780" s="549">
        <v>0.9</v>
      </c>
      <c r="N780" s="686">
        <f t="shared" si="27"/>
        <v>381960</v>
      </c>
    </row>
    <row r="781" spans="2:14" ht="17.100000000000001" customHeight="1">
      <c r="B781" s="554">
        <v>10</v>
      </c>
      <c r="C781" s="555" t="s">
        <v>3286</v>
      </c>
      <c r="D781" s="556"/>
      <c r="E781" s="556"/>
      <c r="F781" s="556"/>
      <c r="G781" s="569"/>
      <c r="H781" s="557" t="s">
        <v>1423</v>
      </c>
      <c r="I781" s="570">
        <f t="shared" si="26"/>
        <v>85464</v>
      </c>
      <c r="J781" s="554"/>
      <c r="L781" s="570">
        <v>94960</v>
      </c>
      <c r="M781" s="549">
        <v>0.9</v>
      </c>
      <c r="N781" s="686">
        <f t="shared" si="27"/>
        <v>85464</v>
      </c>
    </row>
    <row r="782" spans="2:14" ht="17.100000000000001" customHeight="1">
      <c r="B782" s="554">
        <v>11</v>
      </c>
      <c r="C782" s="555" t="s">
        <v>3287</v>
      </c>
      <c r="D782" s="556"/>
      <c r="E782" s="556"/>
      <c r="F782" s="556"/>
      <c r="G782" s="569"/>
      <c r="H782" s="557" t="s">
        <v>1423</v>
      </c>
      <c r="I782" s="570">
        <f t="shared" si="26"/>
        <v>180441</v>
      </c>
      <c r="J782" s="554"/>
      <c r="L782" s="570">
        <v>200490</v>
      </c>
      <c r="M782" s="549">
        <v>0.9</v>
      </c>
      <c r="N782" s="686">
        <f t="shared" si="27"/>
        <v>180441</v>
      </c>
    </row>
    <row r="783" spans="2:14" ht="17.100000000000001" customHeight="1">
      <c r="B783" s="554">
        <v>12</v>
      </c>
      <c r="C783" s="555" t="s">
        <v>3288</v>
      </c>
      <c r="D783" s="556"/>
      <c r="E783" s="556"/>
      <c r="F783" s="556"/>
      <c r="G783" s="569"/>
      <c r="H783" s="557" t="s">
        <v>1423</v>
      </c>
      <c r="I783" s="570">
        <f t="shared" si="26"/>
        <v>11167740</v>
      </c>
      <c r="J783" s="554"/>
      <c r="L783" s="570">
        <v>12408600</v>
      </c>
      <c r="M783" s="549">
        <v>0.9</v>
      </c>
      <c r="N783" s="686">
        <f t="shared" si="27"/>
        <v>11167740</v>
      </c>
    </row>
    <row r="784" spans="2:14" ht="17.100000000000001" customHeight="1">
      <c r="B784" s="554">
        <v>13</v>
      </c>
      <c r="C784" s="555" t="s">
        <v>3827</v>
      </c>
      <c r="D784" s="556"/>
      <c r="E784" s="556"/>
      <c r="F784" s="556"/>
      <c r="G784" s="569"/>
      <c r="H784" s="557" t="s">
        <v>1405</v>
      </c>
      <c r="I784" s="570">
        <f t="shared" si="26"/>
        <v>31889664</v>
      </c>
      <c r="J784" s="554"/>
      <c r="L784" s="570">
        <v>35432960</v>
      </c>
      <c r="M784" s="549">
        <v>0.9</v>
      </c>
      <c r="N784" s="686">
        <f t="shared" si="27"/>
        <v>31889664</v>
      </c>
    </row>
    <row r="785" spans="2:14" ht="17.100000000000001" customHeight="1">
      <c r="B785" s="554">
        <v>14</v>
      </c>
      <c r="C785" s="555" t="s">
        <v>3761</v>
      </c>
      <c r="D785" s="556"/>
      <c r="E785" s="556"/>
      <c r="F785" s="556"/>
      <c r="G785" s="569"/>
      <c r="H785" s="557" t="s">
        <v>1405</v>
      </c>
      <c r="I785" s="570">
        <f t="shared" si="26"/>
        <v>49274568</v>
      </c>
      <c r="J785" s="554"/>
      <c r="L785" s="570">
        <v>54749520</v>
      </c>
      <c r="M785" s="549">
        <v>0.9</v>
      </c>
      <c r="N785" s="686">
        <f t="shared" si="27"/>
        <v>49274568</v>
      </c>
    </row>
    <row r="786" spans="2:14" ht="17.100000000000001" customHeight="1">
      <c r="B786" s="554">
        <v>15</v>
      </c>
      <c r="C786" s="2258" t="s">
        <v>3762</v>
      </c>
      <c r="D786" s="2259"/>
      <c r="E786" s="2259"/>
      <c r="F786" s="2259"/>
      <c r="G786" s="569"/>
      <c r="H786" s="581" t="s">
        <v>1405</v>
      </c>
      <c r="I786" s="570">
        <f t="shared" si="26"/>
        <v>9773946</v>
      </c>
      <c r="J786" s="554"/>
      <c r="L786" s="570">
        <v>10859940</v>
      </c>
      <c r="M786" s="549">
        <v>0.9</v>
      </c>
      <c r="N786" s="686">
        <f t="shared" si="27"/>
        <v>9773946</v>
      </c>
    </row>
    <row r="787" spans="2:14" ht="17.100000000000001" customHeight="1">
      <c r="B787" s="554">
        <v>16</v>
      </c>
      <c r="C787" s="555" t="s">
        <v>3289</v>
      </c>
      <c r="D787" s="556"/>
      <c r="E787" s="556"/>
      <c r="F787" s="556"/>
      <c r="G787" s="569"/>
      <c r="H787" s="557" t="s">
        <v>2944</v>
      </c>
      <c r="I787" s="570">
        <f t="shared" si="26"/>
        <v>213723</v>
      </c>
      <c r="J787" s="554"/>
      <c r="L787" s="570">
        <v>237470</v>
      </c>
      <c r="M787" s="549">
        <v>0.9</v>
      </c>
      <c r="N787" s="686">
        <f t="shared" si="27"/>
        <v>213723</v>
      </c>
    </row>
    <row r="788" spans="2:14" ht="17.100000000000001" customHeight="1">
      <c r="B788" s="554">
        <v>17</v>
      </c>
      <c r="C788" s="555" t="s">
        <v>3290</v>
      </c>
      <c r="D788" s="556"/>
      <c r="E788" s="556"/>
      <c r="F788" s="556"/>
      <c r="G788" s="569"/>
      <c r="H788" s="557" t="s">
        <v>1423</v>
      </c>
      <c r="I788" s="570">
        <f t="shared" si="26"/>
        <v>181854</v>
      </c>
      <c r="J788" s="554"/>
      <c r="L788" s="570">
        <v>202060</v>
      </c>
      <c r="M788" s="549">
        <v>0.9</v>
      </c>
      <c r="N788" s="686">
        <f t="shared" si="27"/>
        <v>181854</v>
      </c>
    </row>
    <row r="789" spans="2:14" ht="17.100000000000001" customHeight="1">
      <c r="B789" s="554">
        <v>18</v>
      </c>
      <c r="C789" s="555" t="s">
        <v>3291</v>
      </c>
      <c r="D789" s="556"/>
      <c r="E789" s="556"/>
      <c r="F789" s="556"/>
      <c r="G789" s="569"/>
      <c r="H789" s="557" t="s">
        <v>1423</v>
      </c>
      <c r="I789" s="570">
        <f t="shared" si="26"/>
        <v>1157832</v>
      </c>
      <c r="J789" s="554"/>
      <c r="L789" s="570">
        <v>1286480</v>
      </c>
      <c r="M789" s="549">
        <v>0.9</v>
      </c>
      <c r="N789" s="686">
        <f t="shared" si="27"/>
        <v>1157832</v>
      </c>
    </row>
    <row r="790" spans="2:14" ht="17.100000000000001" customHeight="1">
      <c r="B790" s="554">
        <v>19</v>
      </c>
      <c r="C790" s="555" t="s">
        <v>3292</v>
      </c>
      <c r="D790" s="556"/>
      <c r="E790" s="556"/>
      <c r="F790" s="556"/>
      <c r="G790" s="569"/>
      <c r="H790" s="557" t="s">
        <v>2646</v>
      </c>
      <c r="I790" s="570">
        <f t="shared" si="26"/>
        <v>1157832</v>
      </c>
      <c r="J790" s="580"/>
      <c r="L790" s="570">
        <v>1286480</v>
      </c>
      <c r="M790" s="549">
        <v>0.9</v>
      </c>
      <c r="N790" s="686">
        <f t="shared" si="27"/>
        <v>1157832</v>
      </c>
    </row>
    <row r="791" spans="2:14" ht="17.100000000000001" customHeight="1">
      <c r="B791" s="554">
        <v>20</v>
      </c>
      <c r="C791" s="555" t="s">
        <v>3292</v>
      </c>
      <c r="D791" s="556"/>
      <c r="E791" s="556"/>
      <c r="F791" s="556"/>
      <c r="G791" s="569"/>
      <c r="H791" s="557" t="s">
        <v>773</v>
      </c>
      <c r="I791" s="570">
        <f t="shared" si="26"/>
        <v>4387.5</v>
      </c>
      <c r="J791" s="554"/>
      <c r="L791" s="570">
        <v>4875</v>
      </c>
      <c r="M791" s="549">
        <v>0.9</v>
      </c>
      <c r="N791" s="686">
        <f t="shared" si="27"/>
        <v>4387.5</v>
      </c>
    </row>
    <row r="792" spans="2:14" ht="17.100000000000001" customHeight="1">
      <c r="B792" s="554">
        <v>21</v>
      </c>
      <c r="C792" s="555" t="s">
        <v>3293</v>
      </c>
      <c r="D792" s="556"/>
      <c r="E792" s="556"/>
      <c r="F792" s="556"/>
      <c r="G792" s="569"/>
      <c r="H792" s="557" t="s">
        <v>2933</v>
      </c>
      <c r="I792" s="570">
        <f t="shared" si="26"/>
        <v>1240470</v>
      </c>
      <c r="J792" s="554"/>
      <c r="L792" s="570">
        <v>1378300</v>
      </c>
      <c r="M792" s="549">
        <v>0.9</v>
      </c>
      <c r="N792" s="686">
        <f t="shared" si="27"/>
        <v>1240470</v>
      </c>
    </row>
    <row r="793" spans="2:14" ht="17.100000000000001" customHeight="1">
      <c r="B793" s="554">
        <v>22</v>
      </c>
      <c r="C793" s="555" t="s">
        <v>3294</v>
      </c>
      <c r="D793" s="556"/>
      <c r="E793" s="556"/>
      <c r="F793" s="556"/>
      <c r="G793" s="569"/>
      <c r="H793" s="557" t="s">
        <v>1405</v>
      </c>
      <c r="I793" s="570">
        <f t="shared" si="26"/>
        <v>6014736</v>
      </c>
      <c r="J793" s="554"/>
      <c r="L793" s="570">
        <v>6683040</v>
      </c>
      <c r="M793" s="549">
        <v>0.9</v>
      </c>
      <c r="N793" s="686">
        <f t="shared" si="27"/>
        <v>6014736</v>
      </c>
    </row>
    <row r="794" spans="2:14" ht="17.100000000000001" customHeight="1">
      <c r="B794" s="554">
        <v>23</v>
      </c>
      <c r="C794" s="555" t="s">
        <v>3295</v>
      </c>
      <c r="D794" s="556"/>
      <c r="E794" s="556"/>
      <c r="F794" s="556"/>
      <c r="G794" s="569"/>
      <c r="H794" s="557" t="s">
        <v>3296</v>
      </c>
      <c r="I794" s="570">
        <f t="shared" si="26"/>
        <v>180442080</v>
      </c>
      <c r="J794" s="554"/>
      <c r="L794" s="570">
        <v>200491200</v>
      </c>
      <c r="M794" s="549">
        <v>0.9</v>
      </c>
      <c r="N794" s="686">
        <f t="shared" si="27"/>
        <v>180442080</v>
      </c>
    </row>
    <row r="795" spans="2:14" ht="17.100000000000001" customHeight="1">
      <c r="B795" s="554">
        <v>24</v>
      </c>
      <c r="C795" s="555" t="s">
        <v>3297</v>
      </c>
      <c r="D795" s="556"/>
      <c r="E795" s="556"/>
      <c r="F795" s="556"/>
      <c r="G795" s="569"/>
      <c r="H795" s="557" t="s">
        <v>3296</v>
      </c>
      <c r="I795" s="570">
        <f t="shared" si="26"/>
        <v>8353800</v>
      </c>
      <c r="J795" s="554"/>
      <c r="L795" s="570">
        <v>9282000</v>
      </c>
      <c r="M795" s="549">
        <v>0.9</v>
      </c>
      <c r="N795" s="686">
        <f t="shared" si="27"/>
        <v>8353800</v>
      </c>
    </row>
    <row r="796" spans="2:14" ht="17.100000000000001" customHeight="1">
      <c r="B796" s="554">
        <v>25</v>
      </c>
      <c r="C796" s="2258" t="s">
        <v>3757</v>
      </c>
      <c r="D796" s="2259"/>
      <c r="E796" s="2259"/>
      <c r="F796" s="2259"/>
      <c r="G796" s="569"/>
      <c r="H796" s="581" t="s">
        <v>3296</v>
      </c>
      <c r="I796" s="570">
        <f t="shared" si="26"/>
        <v>8353800</v>
      </c>
      <c r="J796" s="554"/>
      <c r="L796" s="570">
        <v>9282000</v>
      </c>
      <c r="M796" s="549">
        <v>0.9</v>
      </c>
      <c r="N796" s="686">
        <f t="shared" si="27"/>
        <v>8353800</v>
      </c>
    </row>
    <row r="797" spans="2:14" ht="17.100000000000001" customHeight="1">
      <c r="B797" s="554">
        <v>26</v>
      </c>
      <c r="C797" s="555" t="s">
        <v>3298</v>
      </c>
      <c r="D797" s="556"/>
      <c r="E797" s="556"/>
      <c r="F797" s="556"/>
      <c r="G797" s="569"/>
      <c r="H797" s="557" t="s">
        <v>3296</v>
      </c>
      <c r="I797" s="570">
        <f t="shared" si="26"/>
        <v>2506140</v>
      </c>
      <c r="J797" s="554"/>
      <c r="L797" s="570">
        <v>2784600</v>
      </c>
      <c r="M797" s="549">
        <v>0.9</v>
      </c>
      <c r="N797" s="686">
        <f t="shared" si="27"/>
        <v>2506140</v>
      </c>
    </row>
    <row r="798" spans="2:14" ht="17.100000000000001" customHeight="1">
      <c r="B798" s="554">
        <v>27</v>
      </c>
      <c r="C798" s="555" t="s">
        <v>3299</v>
      </c>
      <c r="D798" s="556"/>
      <c r="E798" s="556"/>
      <c r="F798" s="556"/>
      <c r="G798" s="569"/>
      <c r="H798" s="557" t="s">
        <v>3296</v>
      </c>
      <c r="I798" s="570">
        <f t="shared" si="26"/>
        <v>3341520</v>
      </c>
      <c r="J798" s="554"/>
      <c r="L798" s="570">
        <v>3712800</v>
      </c>
      <c r="M798" s="549">
        <v>0.9</v>
      </c>
      <c r="N798" s="686">
        <f t="shared" si="27"/>
        <v>3341520</v>
      </c>
    </row>
    <row r="799" spans="2:14" ht="17.100000000000001" customHeight="1">
      <c r="B799" s="554"/>
      <c r="C799" s="2258"/>
      <c r="D799" s="2259"/>
      <c r="E799" s="2259"/>
      <c r="F799" s="2259"/>
      <c r="G799" s="569"/>
      <c r="H799" s="581"/>
      <c r="I799" s="570">
        <f t="shared" si="26"/>
        <v>0</v>
      </c>
      <c r="J799" s="554"/>
      <c r="L799" s="570"/>
      <c r="M799" s="549">
        <v>0.9</v>
      </c>
      <c r="N799" s="686">
        <f t="shared" si="27"/>
        <v>0</v>
      </c>
    </row>
    <row r="800" spans="2:14" ht="17.100000000000001" customHeight="1">
      <c r="B800" s="571"/>
      <c r="C800" s="567" t="s">
        <v>4615</v>
      </c>
      <c r="D800" s="568"/>
      <c r="E800" s="568"/>
      <c r="F800" s="556"/>
      <c r="G800" s="569"/>
      <c r="H800" s="557"/>
      <c r="I800" s="570"/>
      <c r="J800" s="554"/>
      <c r="L800" s="570"/>
      <c r="N800" s="686"/>
    </row>
    <row r="801" spans="2:14" ht="17.100000000000001" customHeight="1">
      <c r="B801" s="554">
        <v>1</v>
      </c>
      <c r="C801" s="1405" t="s">
        <v>4627</v>
      </c>
      <c r="D801" s="556"/>
      <c r="E801" s="556"/>
      <c r="F801" s="556"/>
      <c r="G801" s="569"/>
      <c r="H801" s="557" t="s">
        <v>2666</v>
      </c>
      <c r="I801" s="570">
        <f t="shared" ref="I801:I843" si="28">N801</f>
        <v>1606500</v>
      </c>
      <c r="J801" s="554"/>
      <c r="L801" s="570">
        <v>1785000</v>
      </c>
      <c r="M801" s="549">
        <v>0.9</v>
      </c>
      <c r="N801" s="686">
        <f t="shared" ref="N801:N863" si="29">L801*M801</f>
        <v>1606500</v>
      </c>
    </row>
    <row r="802" spans="2:14" ht="17.100000000000001" customHeight="1">
      <c r="B802" s="554">
        <v>2</v>
      </c>
      <c r="C802" s="1405" t="s">
        <v>4628</v>
      </c>
      <c r="D802" s="556"/>
      <c r="E802" s="556"/>
      <c r="F802" s="556"/>
      <c r="G802" s="569"/>
      <c r="H802" s="557" t="s">
        <v>2666</v>
      </c>
      <c r="I802" s="570">
        <f t="shared" si="28"/>
        <v>1092420</v>
      </c>
      <c r="J802" s="554"/>
      <c r="L802" s="570">
        <v>1213800</v>
      </c>
      <c r="M802" s="549">
        <v>0.9</v>
      </c>
      <c r="N802" s="686">
        <f t="shared" si="29"/>
        <v>1092420</v>
      </c>
    </row>
    <row r="803" spans="2:14" ht="17.100000000000001" customHeight="1">
      <c r="B803" s="554">
        <v>3</v>
      </c>
      <c r="C803" s="1405" t="s">
        <v>4629</v>
      </c>
      <c r="D803" s="556"/>
      <c r="E803" s="556"/>
      <c r="F803" s="556"/>
      <c r="G803" s="569"/>
      <c r="H803" s="557" t="s">
        <v>2666</v>
      </c>
      <c r="I803" s="570">
        <f t="shared" si="28"/>
        <v>1477980</v>
      </c>
      <c r="J803" s="554"/>
      <c r="L803" s="570">
        <v>1642200</v>
      </c>
      <c r="M803" s="549">
        <v>0.9</v>
      </c>
      <c r="N803" s="686">
        <f t="shared" si="29"/>
        <v>1477980</v>
      </c>
    </row>
    <row r="804" spans="2:14" ht="17.100000000000001" customHeight="1">
      <c r="B804" s="554">
        <v>4</v>
      </c>
      <c r="C804" s="1405" t="s">
        <v>4651</v>
      </c>
      <c r="D804" s="556"/>
      <c r="E804" s="556"/>
      <c r="F804" s="556"/>
      <c r="G804" s="569"/>
      <c r="H804" s="557" t="s">
        <v>2666</v>
      </c>
      <c r="I804" s="570">
        <f t="shared" si="28"/>
        <v>6426</v>
      </c>
      <c r="J804" s="554"/>
      <c r="L804" s="570">
        <v>7140</v>
      </c>
      <c r="M804" s="549">
        <v>0.9</v>
      </c>
      <c r="N804" s="686">
        <f t="shared" si="29"/>
        <v>6426</v>
      </c>
    </row>
    <row r="805" spans="2:14" ht="17.100000000000001" customHeight="1">
      <c r="B805" s="554">
        <v>5</v>
      </c>
      <c r="C805" s="1405" t="s">
        <v>4685</v>
      </c>
      <c r="D805" s="556"/>
      <c r="E805" s="556"/>
      <c r="F805" s="556"/>
      <c r="G805" s="569"/>
      <c r="H805" s="557" t="s">
        <v>2666</v>
      </c>
      <c r="I805" s="570">
        <f t="shared" si="28"/>
        <v>6426</v>
      </c>
      <c r="J805" s="554"/>
      <c r="L805" s="570">
        <v>7140</v>
      </c>
      <c r="M805" s="549">
        <v>0.9</v>
      </c>
      <c r="N805" s="686">
        <f t="shared" si="29"/>
        <v>6426</v>
      </c>
    </row>
    <row r="806" spans="2:14" ht="17.100000000000001" customHeight="1">
      <c r="B806" s="554">
        <v>6</v>
      </c>
      <c r="C806" s="2234" t="s">
        <v>4630</v>
      </c>
      <c r="D806" s="2235"/>
      <c r="E806" s="2235"/>
      <c r="F806" s="2235"/>
      <c r="G806" s="569"/>
      <c r="H806" s="557" t="s">
        <v>2666</v>
      </c>
      <c r="I806" s="570">
        <f t="shared" si="28"/>
        <v>6426</v>
      </c>
      <c r="J806" s="554"/>
      <c r="L806" s="570">
        <v>7140</v>
      </c>
      <c r="M806" s="549">
        <v>0.9</v>
      </c>
      <c r="N806" s="686">
        <f t="shared" si="29"/>
        <v>6426</v>
      </c>
    </row>
    <row r="807" spans="2:14" ht="17.100000000000001" customHeight="1">
      <c r="B807" s="554">
        <v>7</v>
      </c>
      <c r="C807" s="1405" t="s">
        <v>4652</v>
      </c>
      <c r="D807" s="556"/>
      <c r="E807" s="556"/>
      <c r="F807" s="556"/>
      <c r="G807" s="569"/>
      <c r="H807" s="557" t="s">
        <v>2666</v>
      </c>
      <c r="I807" s="570">
        <f t="shared" si="28"/>
        <v>6426</v>
      </c>
      <c r="J807" s="554"/>
      <c r="L807" s="570">
        <v>7140</v>
      </c>
      <c r="M807" s="549">
        <v>0.9</v>
      </c>
      <c r="N807" s="686">
        <f t="shared" si="29"/>
        <v>6426</v>
      </c>
    </row>
    <row r="808" spans="2:14" ht="17.100000000000001" customHeight="1">
      <c r="B808" s="554">
        <v>8</v>
      </c>
      <c r="C808" s="1405" t="s">
        <v>4631</v>
      </c>
      <c r="D808" s="556"/>
      <c r="E808" s="556"/>
      <c r="F808" s="556"/>
      <c r="G808" s="569"/>
      <c r="H808" s="557" t="s">
        <v>2666</v>
      </c>
      <c r="I808" s="570">
        <f t="shared" si="28"/>
        <v>9639</v>
      </c>
      <c r="J808" s="554"/>
      <c r="L808" s="570">
        <v>10710</v>
      </c>
      <c r="M808" s="549">
        <v>0.9</v>
      </c>
      <c r="N808" s="686">
        <f t="shared" si="29"/>
        <v>9639</v>
      </c>
    </row>
    <row r="809" spans="2:14" ht="17.100000000000001" customHeight="1">
      <c r="B809" s="554">
        <v>9</v>
      </c>
      <c r="C809" s="1405" t="s">
        <v>4676</v>
      </c>
      <c r="D809" s="556"/>
      <c r="E809" s="556"/>
      <c r="F809" s="556"/>
      <c r="G809" s="569"/>
      <c r="H809" s="557" t="s">
        <v>2666</v>
      </c>
      <c r="I809" s="570">
        <f t="shared" si="28"/>
        <v>9639</v>
      </c>
      <c r="J809" s="554"/>
      <c r="L809" s="570">
        <v>10710</v>
      </c>
      <c r="M809" s="549">
        <v>0.9</v>
      </c>
      <c r="N809" s="686">
        <f t="shared" si="29"/>
        <v>9639</v>
      </c>
    </row>
    <row r="810" spans="2:14" ht="17.100000000000001" customHeight="1">
      <c r="B810" s="554">
        <v>10</v>
      </c>
      <c r="C810" s="1405" t="s">
        <v>4632</v>
      </c>
      <c r="D810" s="556"/>
      <c r="E810" s="556"/>
      <c r="F810" s="556"/>
      <c r="G810" s="569"/>
      <c r="H810" s="557" t="s">
        <v>2666</v>
      </c>
      <c r="I810" s="570">
        <f t="shared" si="28"/>
        <v>57834</v>
      </c>
      <c r="J810" s="554"/>
      <c r="L810" s="570">
        <v>64260</v>
      </c>
      <c r="M810" s="549">
        <v>0.9</v>
      </c>
      <c r="N810" s="686">
        <f t="shared" si="29"/>
        <v>57834</v>
      </c>
    </row>
    <row r="811" spans="2:14" ht="17.100000000000001" customHeight="1">
      <c r="B811" s="554">
        <v>11</v>
      </c>
      <c r="C811" s="1405" t="s">
        <v>4633</v>
      </c>
      <c r="D811" s="556"/>
      <c r="E811" s="556"/>
      <c r="F811" s="556"/>
      <c r="G811" s="569"/>
      <c r="H811" s="557" t="s">
        <v>2666</v>
      </c>
      <c r="I811" s="570">
        <f t="shared" si="28"/>
        <v>6426</v>
      </c>
      <c r="J811" s="554"/>
      <c r="L811" s="570">
        <v>7140</v>
      </c>
      <c r="M811" s="549">
        <v>0.9</v>
      </c>
      <c r="N811" s="686">
        <f t="shared" si="29"/>
        <v>6426</v>
      </c>
    </row>
    <row r="812" spans="2:14" ht="17.100000000000001" customHeight="1">
      <c r="B812" s="554">
        <v>12</v>
      </c>
      <c r="C812" s="1405" t="s">
        <v>4634</v>
      </c>
      <c r="D812" s="556"/>
      <c r="E812" s="556"/>
      <c r="F812" s="556"/>
      <c r="G812" s="569"/>
      <c r="H812" s="557" t="s">
        <v>2666</v>
      </c>
      <c r="I812" s="570">
        <f t="shared" si="28"/>
        <v>6426</v>
      </c>
      <c r="J812" s="554"/>
      <c r="L812" s="570">
        <v>7140</v>
      </c>
      <c r="M812" s="549">
        <v>0.9</v>
      </c>
      <c r="N812" s="686">
        <f t="shared" si="29"/>
        <v>6426</v>
      </c>
    </row>
    <row r="813" spans="2:14" ht="17.100000000000001" customHeight="1">
      <c r="B813" s="554">
        <v>13</v>
      </c>
      <c r="C813" s="1405" t="s">
        <v>4635</v>
      </c>
      <c r="D813" s="556"/>
      <c r="E813" s="556"/>
      <c r="F813" s="556"/>
      <c r="G813" s="569"/>
      <c r="H813" s="557" t="s">
        <v>2666</v>
      </c>
      <c r="I813" s="570">
        <f t="shared" si="28"/>
        <v>6426</v>
      </c>
      <c r="J813" s="554"/>
      <c r="L813" s="570">
        <v>7140</v>
      </c>
      <c r="M813" s="549">
        <v>0.9</v>
      </c>
      <c r="N813" s="686">
        <f t="shared" si="29"/>
        <v>6426</v>
      </c>
    </row>
    <row r="814" spans="2:14" ht="17.100000000000001" customHeight="1">
      <c r="B814" s="554">
        <v>14</v>
      </c>
      <c r="C814" s="1405" t="s">
        <v>4636</v>
      </c>
      <c r="D814" s="556"/>
      <c r="E814" s="556"/>
      <c r="F814" s="556"/>
      <c r="G814" s="569"/>
      <c r="H814" s="557" t="s">
        <v>2666</v>
      </c>
      <c r="I814" s="570">
        <f t="shared" si="28"/>
        <v>321300</v>
      </c>
      <c r="J814" s="554"/>
      <c r="L814" s="570">
        <v>357000</v>
      </c>
      <c r="M814" s="549">
        <v>0.9</v>
      </c>
      <c r="N814" s="686">
        <f t="shared" si="29"/>
        <v>321300</v>
      </c>
    </row>
    <row r="815" spans="2:14" ht="17.100000000000001" customHeight="1">
      <c r="B815" s="554">
        <v>15</v>
      </c>
      <c r="C815" s="1405" t="s">
        <v>4638</v>
      </c>
      <c r="D815" s="556"/>
      <c r="E815" s="556"/>
      <c r="F815" s="556"/>
      <c r="G815" s="569"/>
      <c r="H815" s="557" t="s">
        <v>2666</v>
      </c>
      <c r="I815" s="570">
        <f t="shared" si="28"/>
        <v>6426</v>
      </c>
      <c r="J815" s="554"/>
      <c r="L815" s="570">
        <v>7140</v>
      </c>
      <c r="M815" s="549">
        <v>0.9</v>
      </c>
      <c r="N815" s="686">
        <f t="shared" si="29"/>
        <v>6426</v>
      </c>
    </row>
    <row r="816" spans="2:14" ht="17.100000000000001" customHeight="1">
      <c r="B816" s="554">
        <v>16</v>
      </c>
      <c r="C816" s="1405" t="s">
        <v>4639</v>
      </c>
      <c r="D816" s="556"/>
      <c r="E816" s="556"/>
      <c r="F816" s="556"/>
      <c r="G816" s="569"/>
      <c r="H816" s="557" t="s">
        <v>2666</v>
      </c>
      <c r="I816" s="570">
        <f t="shared" si="28"/>
        <v>6426</v>
      </c>
      <c r="J816" s="554"/>
      <c r="L816" s="570">
        <v>7140</v>
      </c>
      <c r="M816" s="549">
        <v>0.9</v>
      </c>
      <c r="N816" s="686">
        <f t="shared" si="29"/>
        <v>6426</v>
      </c>
    </row>
    <row r="817" spans="2:14" ht="17.100000000000001" customHeight="1">
      <c r="B817" s="554">
        <v>17</v>
      </c>
      <c r="C817" s="1405" t="s">
        <v>4640</v>
      </c>
      <c r="D817" s="556"/>
      <c r="E817" s="556"/>
      <c r="F817" s="556"/>
      <c r="G817" s="569"/>
      <c r="H817" s="557" t="s">
        <v>2666</v>
      </c>
      <c r="I817" s="570">
        <f t="shared" si="28"/>
        <v>6426</v>
      </c>
      <c r="J817" s="554"/>
      <c r="L817" s="570">
        <v>7140</v>
      </c>
      <c r="M817" s="549">
        <v>0.9</v>
      </c>
      <c r="N817" s="686">
        <f t="shared" si="29"/>
        <v>6426</v>
      </c>
    </row>
    <row r="818" spans="2:14" ht="17.100000000000001" customHeight="1">
      <c r="B818" s="554">
        <v>2</v>
      </c>
      <c r="C818" s="1405" t="s">
        <v>4944</v>
      </c>
      <c r="D818" s="556"/>
      <c r="E818" s="556"/>
      <c r="F818" s="556"/>
      <c r="G818" s="569"/>
      <c r="H818" s="557" t="s">
        <v>2647</v>
      </c>
      <c r="I818" s="570">
        <f t="shared" si="28"/>
        <v>32130</v>
      </c>
      <c r="J818" s="554"/>
      <c r="L818" s="570">
        <v>35700</v>
      </c>
      <c r="M818" s="549">
        <v>0.9</v>
      </c>
      <c r="N818" s="686">
        <f t="shared" si="29"/>
        <v>32130</v>
      </c>
    </row>
    <row r="819" spans="2:14" ht="17.100000000000001" customHeight="1">
      <c r="B819" s="554">
        <v>19</v>
      </c>
      <c r="C819" s="2234" t="s">
        <v>4645</v>
      </c>
      <c r="D819" s="2235"/>
      <c r="E819" s="2235"/>
      <c r="F819" s="2235"/>
      <c r="G819" s="569"/>
      <c r="H819" s="581" t="s">
        <v>773</v>
      </c>
      <c r="I819" s="570">
        <f t="shared" si="28"/>
        <v>9369</v>
      </c>
      <c r="J819" s="554"/>
      <c r="L819" s="570">
        <v>10410</v>
      </c>
      <c r="M819" s="549">
        <v>0.9</v>
      </c>
      <c r="N819" s="686">
        <f t="shared" si="29"/>
        <v>9369</v>
      </c>
    </row>
    <row r="820" spans="2:14" ht="17.100000000000001" customHeight="1">
      <c r="B820" s="554">
        <v>20</v>
      </c>
      <c r="C820" s="1335" t="s">
        <v>4684</v>
      </c>
      <c r="D820" s="1336"/>
      <c r="E820" s="1336"/>
      <c r="F820" s="1336"/>
      <c r="G820" s="569"/>
      <c r="H820" s="581" t="s">
        <v>2666</v>
      </c>
      <c r="I820" s="570">
        <f t="shared" si="28"/>
        <v>103887</v>
      </c>
      <c r="J820" s="554"/>
      <c r="L820" s="570">
        <v>115430</v>
      </c>
      <c r="M820" s="549">
        <v>0.9</v>
      </c>
      <c r="N820" s="686">
        <f t="shared" si="29"/>
        <v>103887</v>
      </c>
    </row>
    <row r="821" spans="2:14" ht="17.100000000000001" customHeight="1">
      <c r="B821" s="554">
        <v>21</v>
      </c>
      <c r="C821" s="1335" t="s">
        <v>4686</v>
      </c>
      <c r="D821" s="1336"/>
      <c r="E821" s="1336"/>
      <c r="F821" s="1336"/>
      <c r="G821" s="569"/>
      <c r="H821" s="581" t="s">
        <v>2666</v>
      </c>
      <c r="I821" s="570">
        <f t="shared" si="28"/>
        <v>160650</v>
      </c>
      <c r="J821" s="554"/>
      <c r="L821" s="570">
        <v>178500</v>
      </c>
      <c r="M821" s="549">
        <v>0.9</v>
      </c>
      <c r="N821" s="686">
        <f t="shared" si="29"/>
        <v>160650</v>
      </c>
    </row>
    <row r="822" spans="2:14" ht="17.100000000000001" customHeight="1">
      <c r="B822" s="554">
        <v>22</v>
      </c>
      <c r="C822" s="1335" t="s">
        <v>4687</v>
      </c>
      <c r="D822" s="1336"/>
      <c r="E822" s="1336"/>
      <c r="F822" s="1336"/>
      <c r="G822" s="569"/>
      <c r="H822" s="581" t="s">
        <v>2666</v>
      </c>
      <c r="I822" s="570">
        <f t="shared" si="28"/>
        <v>321300</v>
      </c>
      <c r="J822" s="554"/>
      <c r="L822" s="570">
        <v>357000</v>
      </c>
      <c r="M822" s="549">
        <v>0.9</v>
      </c>
      <c r="N822" s="686">
        <f t="shared" si="29"/>
        <v>321300</v>
      </c>
    </row>
    <row r="823" spans="2:14" ht="17.100000000000001" customHeight="1">
      <c r="B823" s="554">
        <v>23</v>
      </c>
      <c r="C823" s="1335" t="s">
        <v>4688</v>
      </c>
      <c r="D823" s="1336"/>
      <c r="E823" s="1336"/>
      <c r="F823" s="1336"/>
      <c r="G823" s="569"/>
      <c r="H823" s="581" t="s">
        <v>2666</v>
      </c>
      <c r="I823" s="570">
        <f t="shared" si="28"/>
        <v>267750</v>
      </c>
      <c r="J823" s="554"/>
      <c r="L823" s="570">
        <v>297500</v>
      </c>
      <c r="M823" s="549">
        <v>0.9</v>
      </c>
      <c r="N823" s="686">
        <f t="shared" si="29"/>
        <v>267750</v>
      </c>
    </row>
    <row r="824" spans="2:14" ht="17.100000000000001" customHeight="1">
      <c r="B824" s="554">
        <v>24</v>
      </c>
      <c r="C824" s="1335" t="s">
        <v>4719</v>
      </c>
      <c r="D824" s="1336"/>
      <c r="E824" s="1336"/>
      <c r="F824" s="1336"/>
      <c r="G824" s="569"/>
      <c r="H824" s="581" t="s">
        <v>2666</v>
      </c>
      <c r="I824" s="570">
        <f t="shared" si="28"/>
        <v>11781</v>
      </c>
      <c r="J824" s="554"/>
      <c r="L824" s="570">
        <v>13090</v>
      </c>
      <c r="M824" s="549">
        <v>0.9</v>
      </c>
      <c r="N824" s="686">
        <f t="shared" si="29"/>
        <v>11781</v>
      </c>
    </row>
    <row r="825" spans="2:14" ht="17.100000000000001" customHeight="1">
      <c r="B825" s="554">
        <v>25</v>
      </c>
      <c r="C825" s="1335" t="s">
        <v>4627</v>
      </c>
      <c r="D825" s="1336"/>
      <c r="E825" s="1336"/>
      <c r="F825" s="1336"/>
      <c r="G825" s="569"/>
      <c r="H825" s="581" t="s">
        <v>2666</v>
      </c>
      <c r="I825" s="570">
        <f t="shared" si="28"/>
        <v>2088450</v>
      </c>
      <c r="J825" s="554"/>
      <c r="L825" s="570">
        <v>2320500</v>
      </c>
      <c r="M825" s="549">
        <v>0.9</v>
      </c>
      <c r="N825" s="686">
        <f t="shared" si="29"/>
        <v>2088450</v>
      </c>
    </row>
    <row r="826" spans="2:14" ht="17.100000000000001" customHeight="1">
      <c r="B826" s="554">
        <v>26</v>
      </c>
      <c r="C826" s="1335" t="s">
        <v>4628</v>
      </c>
      <c r="D826" s="1336"/>
      <c r="E826" s="1336"/>
      <c r="F826" s="1336"/>
      <c r="G826" s="569"/>
      <c r="H826" s="581" t="s">
        <v>2666</v>
      </c>
      <c r="I826" s="570">
        <f t="shared" si="28"/>
        <v>1420146</v>
      </c>
      <c r="J826" s="554"/>
      <c r="L826" s="570">
        <v>1577940</v>
      </c>
      <c r="M826" s="549">
        <v>0.9</v>
      </c>
      <c r="N826" s="686">
        <f t="shared" si="29"/>
        <v>1420146</v>
      </c>
    </row>
    <row r="827" spans="2:14" ht="17.100000000000001" customHeight="1">
      <c r="B827" s="554">
        <v>27</v>
      </c>
      <c r="C827" s="1335" t="s">
        <v>4629</v>
      </c>
      <c r="D827" s="1336"/>
      <c r="E827" s="1336"/>
      <c r="F827" s="1336"/>
      <c r="G827" s="569"/>
      <c r="H827" s="581" t="s">
        <v>2666</v>
      </c>
      <c r="I827" s="570">
        <f t="shared" si="28"/>
        <v>1921374</v>
      </c>
      <c r="J827" s="554"/>
      <c r="L827" s="570">
        <v>2134860</v>
      </c>
      <c r="M827" s="549">
        <v>0.9</v>
      </c>
      <c r="N827" s="686">
        <f t="shared" si="29"/>
        <v>1921374</v>
      </c>
    </row>
    <row r="828" spans="2:14" ht="17.100000000000001" customHeight="1">
      <c r="B828" s="554">
        <v>28</v>
      </c>
      <c r="C828" s="1335" t="s">
        <v>4651</v>
      </c>
      <c r="D828" s="1336"/>
      <c r="E828" s="1336"/>
      <c r="F828" s="1336"/>
      <c r="G828" s="569"/>
      <c r="H828" s="581" t="s">
        <v>2666</v>
      </c>
      <c r="I828" s="570">
        <f t="shared" si="28"/>
        <v>8352</v>
      </c>
      <c r="J828" s="554"/>
      <c r="L828" s="570">
        <v>9280</v>
      </c>
      <c r="M828" s="549">
        <v>0.9</v>
      </c>
      <c r="N828" s="686">
        <f t="shared" si="29"/>
        <v>8352</v>
      </c>
    </row>
    <row r="829" spans="2:14" ht="17.100000000000001" customHeight="1">
      <c r="B829" s="554">
        <v>29</v>
      </c>
      <c r="C829" s="1335" t="s">
        <v>4685</v>
      </c>
      <c r="D829" s="1336"/>
      <c r="E829" s="1336"/>
      <c r="F829" s="1336"/>
      <c r="G829" s="569"/>
      <c r="H829" s="581" t="s">
        <v>2666</v>
      </c>
      <c r="I829" s="570">
        <f t="shared" si="28"/>
        <v>8352</v>
      </c>
      <c r="J829" s="554"/>
      <c r="L829" s="570">
        <v>9280</v>
      </c>
      <c r="M829" s="549">
        <v>0.9</v>
      </c>
      <c r="N829" s="686">
        <f t="shared" si="29"/>
        <v>8352</v>
      </c>
    </row>
    <row r="830" spans="2:14" ht="17.100000000000001" customHeight="1">
      <c r="B830" s="554">
        <v>30</v>
      </c>
      <c r="C830" s="1335" t="s">
        <v>4630</v>
      </c>
      <c r="D830" s="1336"/>
      <c r="E830" s="1336"/>
      <c r="F830" s="1336"/>
      <c r="G830" s="569"/>
      <c r="H830" s="581" t="s">
        <v>2666</v>
      </c>
      <c r="I830" s="570">
        <f t="shared" si="28"/>
        <v>8352</v>
      </c>
      <c r="J830" s="554"/>
      <c r="L830" s="570">
        <v>9280</v>
      </c>
      <c r="M830" s="549">
        <v>0.9</v>
      </c>
      <c r="N830" s="686">
        <f t="shared" si="29"/>
        <v>8352</v>
      </c>
    </row>
    <row r="831" spans="2:14" ht="17.100000000000001" customHeight="1">
      <c r="B831" s="554">
        <v>31</v>
      </c>
      <c r="C831" s="1335" t="s">
        <v>4652</v>
      </c>
      <c r="D831" s="1336"/>
      <c r="E831" s="1336"/>
      <c r="F831" s="1336"/>
      <c r="G831" s="569"/>
      <c r="H831" s="581" t="s">
        <v>2666</v>
      </c>
      <c r="I831" s="570">
        <f t="shared" si="28"/>
        <v>8352</v>
      </c>
      <c r="J831" s="554"/>
      <c r="L831" s="570">
        <v>9280</v>
      </c>
      <c r="M831" s="549">
        <v>0.9</v>
      </c>
      <c r="N831" s="686">
        <f t="shared" si="29"/>
        <v>8352</v>
      </c>
    </row>
    <row r="832" spans="2:14" ht="17.100000000000001" customHeight="1">
      <c r="B832" s="554">
        <v>32</v>
      </c>
      <c r="C832" s="1335" t="s">
        <v>4631</v>
      </c>
      <c r="D832" s="1336"/>
      <c r="E832" s="1336"/>
      <c r="F832" s="1336"/>
      <c r="G832" s="569"/>
      <c r="H832" s="581" t="s">
        <v>2666</v>
      </c>
      <c r="I832" s="570">
        <f t="shared" si="28"/>
        <v>12528</v>
      </c>
      <c r="J832" s="554"/>
      <c r="L832" s="570">
        <v>13920</v>
      </c>
      <c r="M832" s="549">
        <v>0.9</v>
      </c>
      <c r="N832" s="686">
        <f t="shared" si="29"/>
        <v>12528</v>
      </c>
    </row>
    <row r="833" spans="2:14" ht="17.100000000000001" customHeight="1">
      <c r="B833" s="554">
        <v>33</v>
      </c>
      <c r="C833" s="1335" t="s">
        <v>4747</v>
      </c>
      <c r="D833" s="1336"/>
      <c r="E833" s="1336"/>
      <c r="F833" s="1336"/>
      <c r="G833" s="569"/>
      <c r="H833" s="581" t="s">
        <v>2666</v>
      </c>
      <c r="I833" s="570">
        <f t="shared" si="28"/>
        <v>12528</v>
      </c>
      <c r="J833" s="554"/>
      <c r="L833" s="570">
        <v>13920</v>
      </c>
      <c r="M833" s="549">
        <v>0.9</v>
      </c>
      <c r="N833" s="686">
        <f t="shared" si="29"/>
        <v>12528</v>
      </c>
    </row>
    <row r="834" spans="2:14" ht="17.100000000000001" customHeight="1">
      <c r="B834" s="554">
        <v>34</v>
      </c>
      <c r="C834" s="1335" t="s">
        <v>4632</v>
      </c>
      <c r="D834" s="1336"/>
      <c r="E834" s="1336"/>
      <c r="F834" s="1336"/>
      <c r="G834" s="569"/>
      <c r="H834" s="581" t="s">
        <v>2666</v>
      </c>
      <c r="I834" s="570">
        <f t="shared" si="28"/>
        <v>75177</v>
      </c>
      <c r="J834" s="554"/>
      <c r="L834" s="570">
        <v>83530</v>
      </c>
      <c r="M834" s="549">
        <v>0.9</v>
      </c>
      <c r="N834" s="686">
        <f t="shared" si="29"/>
        <v>75177</v>
      </c>
    </row>
    <row r="835" spans="2:14" ht="17.100000000000001" customHeight="1">
      <c r="B835" s="554">
        <v>35</v>
      </c>
      <c r="C835" s="1335" t="s">
        <v>4633</v>
      </c>
      <c r="D835" s="1336"/>
      <c r="E835" s="1336"/>
      <c r="F835" s="1336"/>
      <c r="G835" s="569"/>
      <c r="H835" s="581" t="s">
        <v>2666</v>
      </c>
      <c r="I835" s="570">
        <f t="shared" si="28"/>
        <v>8352</v>
      </c>
      <c r="J835" s="554"/>
      <c r="L835" s="570">
        <v>9280</v>
      </c>
      <c r="M835" s="549">
        <v>0.9</v>
      </c>
      <c r="N835" s="686">
        <f t="shared" si="29"/>
        <v>8352</v>
      </c>
    </row>
    <row r="836" spans="2:14" ht="17.100000000000001" customHeight="1">
      <c r="B836" s="554">
        <v>36</v>
      </c>
      <c r="C836" s="1335" t="s">
        <v>4634</v>
      </c>
      <c r="D836" s="1336"/>
      <c r="E836" s="1336"/>
      <c r="F836" s="1336"/>
      <c r="G836" s="569"/>
      <c r="H836" s="581" t="s">
        <v>2666</v>
      </c>
      <c r="I836" s="570">
        <f t="shared" si="28"/>
        <v>8352</v>
      </c>
      <c r="J836" s="554"/>
      <c r="L836" s="570">
        <v>9280</v>
      </c>
      <c r="M836" s="549">
        <v>0.9</v>
      </c>
      <c r="N836" s="686">
        <f t="shared" si="29"/>
        <v>8352</v>
      </c>
    </row>
    <row r="837" spans="2:14" ht="17.100000000000001" customHeight="1">
      <c r="B837" s="554">
        <v>37</v>
      </c>
      <c r="C837" s="1335" t="s">
        <v>4635</v>
      </c>
      <c r="D837" s="1336"/>
      <c r="E837" s="1336"/>
      <c r="F837" s="1336"/>
      <c r="G837" s="569"/>
      <c r="H837" s="581" t="s">
        <v>2666</v>
      </c>
      <c r="I837" s="570">
        <f t="shared" si="28"/>
        <v>8352</v>
      </c>
      <c r="J837" s="554"/>
      <c r="L837" s="570">
        <v>9280</v>
      </c>
      <c r="M837" s="549">
        <v>0.9</v>
      </c>
      <c r="N837" s="686">
        <f t="shared" si="29"/>
        <v>8352</v>
      </c>
    </row>
    <row r="838" spans="2:14" ht="17.100000000000001" customHeight="1">
      <c r="B838" s="554">
        <v>38</v>
      </c>
      <c r="C838" s="1335" t="s">
        <v>4636</v>
      </c>
      <c r="D838" s="1336"/>
      <c r="E838" s="1336"/>
      <c r="F838" s="1336"/>
      <c r="G838" s="569"/>
      <c r="H838" s="581" t="s">
        <v>2666</v>
      </c>
      <c r="I838" s="570">
        <f t="shared" si="28"/>
        <v>417690</v>
      </c>
      <c r="J838" s="554"/>
      <c r="L838" s="570">
        <v>464100</v>
      </c>
      <c r="M838" s="549">
        <v>0.9</v>
      </c>
      <c r="N838" s="686">
        <f t="shared" si="29"/>
        <v>417690</v>
      </c>
    </row>
    <row r="839" spans="2:14" ht="17.100000000000001" customHeight="1">
      <c r="B839" s="554">
        <v>39</v>
      </c>
      <c r="C839" s="1335" t="s">
        <v>4638</v>
      </c>
      <c r="D839" s="1336"/>
      <c r="E839" s="1336"/>
      <c r="F839" s="1336"/>
      <c r="G839" s="569"/>
      <c r="H839" s="581" t="s">
        <v>2666</v>
      </c>
      <c r="I839" s="570">
        <f t="shared" si="28"/>
        <v>8352</v>
      </c>
      <c r="J839" s="554"/>
      <c r="L839" s="570">
        <v>9280</v>
      </c>
      <c r="M839" s="549">
        <v>0.9</v>
      </c>
      <c r="N839" s="686">
        <f t="shared" si="29"/>
        <v>8352</v>
      </c>
    </row>
    <row r="840" spans="2:14" ht="17.100000000000001" customHeight="1">
      <c r="B840" s="554">
        <v>40</v>
      </c>
      <c r="C840" s="1335" t="s">
        <v>4639</v>
      </c>
      <c r="D840" s="1336"/>
      <c r="E840" s="1336"/>
      <c r="F840" s="1336"/>
      <c r="G840" s="569"/>
      <c r="H840" s="581" t="s">
        <v>2666</v>
      </c>
      <c r="I840" s="570">
        <f t="shared" si="28"/>
        <v>8352</v>
      </c>
      <c r="J840" s="554"/>
      <c r="L840" s="570">
        <v>9280</v>
      </c>
      <c r="M840" s="549">
        <v>0.9</v>
      </c>
      <c r="N840" s="686">
        <f t="shared" si="29"/>
        <v>8352</v>
      </c>
    </row>
    <row r="841" spans="2:14" ht="17.100000000000001" customHeight="1">
      <c r="B841" s="554">
        <v>41</v>
      </c>
      <c r="C841" s="1335" t="s">
        <v>4640</v>
      </c>
      <c r="D841" s="1336"/>
      <c r="E841" s="1336"/>
      <c r="F841" s="1336"/>
      <c r="G841" s="569"/>
      <c r="H841" s="581" t="s">
        <v>2666</v>
      </c>
      <c r="I841" s="570">
        <f t="shared" si="28"/>
        <v>8352</v>
      </c>
      <c r="J841" s="554"/>
      <c r="L841" s="570">
        <v>9280</v>
      </c>
      <c r="M841" s="549">
        <v>0.9</v>
      </c>
      <c r="N841" s="686">
        <f t="shared" si="29"/>
        <v>8352</v>
      </c>
    </row>
    <row r="842" spans="2:14" ht="17.100000000000001" customHeight="1">
      <c r="B842" s="554">
        <v>42</v>
      </c>
      <c r="C842" s="1335" t="s">
        <v>4637</v>
      </c>
      <c r="D842" s="1336"/>
      <c r="E842" s="1336"/>
      <c r="F842" s="1336"/>
      <c r="G842" s="569"/>
      <c r="H842" s="581" t="s">
        <v>2647</v>
      </c>
      <c r="I842" s="570">
        <f t="shared" si="28"/>
        <v>41769</v>
      </c>
      <c r="J842" s="554"/>
      <c r="L842" s="570">
        <v>46410</v>
      </c>
      <c r="M842" s="549">
        <v>0.9</v>
      </c>
      <c r="N842" s="686">
        <f t="shared" si="29"/>
        <v>41769</v>
      </c>
    </row>
    <row r="843" spans="2:14" ht="17.100000000000001" customHeight="1">
      <c r="B843" s="554">
        <v>3</v>
      </c>
      <c r="C843" s="1335" t="s">
        <v>4645</v>
      </c>
      <c r="D843" s="1336"/>
      <c r="E843" s="1336"/>
      <c r="F843" s="1336"/>
      <c r="G843" s="569"/>
      <c r="H843" s="581" t="s">
        <v>773</v>
      </c>
      <c r="I843" s="570">
        <f t="shared" si="28"/>
        <v>12177</v>
      </c>
      <c r="J843" s="554"/>
      <c r="L843" s="570">
        <v>13530</v>
      </c>
      <c r="M843" s="549">
        <v>0.9</v>
      </c>
      <c r="N843" s="686">
        <f t="shared" si="29"/>
        <v>12177</v>
      </c>
    </row>
    <row r="844" spans="2:14" ht="17.100000000000001" customHeight="1">
      <c r="B844" s="554">
        <v>44</v>
      </c>
      <c r="C844" s="1335" t="s">
        <v>4684</v>
      </c>
      <c r="D844" s="1336"/>
      <c r="E844" s="1336"/>
      <c r="F844" s="1336"/>
      <c r="G844" s="569"/>
      <c r="H844" s="581" t="s">
        <v>2666</v>
      </c>
      <c r="I844" s="570">
        <v>150050</v>
      </c>
      <c r="J844" s="554"/>
      <c r="L844" s="570">
        <v>9500</v>
      </c>
      <c r="M844" s="549">
        <v>0.9</v>
      </c>
      <c r="N844" s="686">
        <f t="shared" si="29"/>
        <v>8550</v>
      </c>
    </row>
    <row r="845" spans="2:14" ht="17.100000000000001" customHeight="1">
      <c r="B845" s="554">
        <v>45</v>
      </c>
      <c r="C845" s="1335" t="s">
        <v>4686</v>
      </c>
      <c r="D845" s="1336"/>
      <c r="E845" s="1336"/>
      <c r="F845" s="1336"/>
      <c r="G845" s="569"/>
      <c r="H845" s="581" t="s">
        <v>2666</v>
      </c>
      <c r="I845" s="570">
        <v>232050</v>
      </c>
      <c r="J845" s="554"/>
      <c r="L845" s="570">
        <v>9500</v>
      </c>
      <c r="M845" s="549">
        <v>0.9</v>
      </c>
      <c r="N845" s="686">
        <f t="shared" si="29"/>
        <v>8550</v>
      </c>
    </row>
    <row r="846" spans="2:14" ht="17.100000000000001" customHeight="1">
      <c r="B846" s="554">
        <v>46</v>
      </c>
      <c r="C846" s="1335" t="s">
        <v>4687</v>
      </c>
      <c r="D846" s="1336"/>
      <c r="E846" s="1336"/>
      <c r="F846" s="1336"/>
      <c r="G846" s="569"/>
      <c r="H846" s="581" t="s">
        <v>2666</v>
      </c>
      <c r="I846" s="570">
        <v>464100</v>
      </c>
      <c r="J846" s="554"/>
      <c r="L846" s="570">
        <v>9500</v>
      </c>
      <c r="M846" s="549">
        <v>0.9</v>
      </c>
      <c r="N846" s="686">
        <f t="shared" si="29"/>
        <v>8550</v>
      </c>
    </row>
    <row r="847" spans="2:14" ht="17.100000000000001" customHeight="1">
      <c r="B847" s="554">
        <v>47</v>
      </c>
      <c r="C847" s="1335" t="s">
        <v>4688</v>
      </c>
      <c r="D847" s="1336"/>
      <c r="E847" s="1336"/>
      <c r="F847" s="1336"/>
      <c r="G847" s="569"/>
      <c r="H847" s="581" t="s">
        <v>2666</v>
      </c>
      <c r="I847" s="570">
        <v>386750</v>
      </c>
      <c r="J847" s="554"/>
      <c r="L847" s="570">
        <v>9500</v>
      </c>
      <c r="M847" s="549">
        <v>0.9</v>
      </c>
      <c r="N847" s="686">
        <f t="shared" si="29"/>
        <v>8550</v>
      </c>
    </row>
    <row r="848" spans="2:14" ht="17.100000000000001" customHeight="1">
      <c r="B848" s="554">
        <v>48</v>
      </c>
      <c r="C848" s="1335" t="s">
        <v>4719</v>
      </c>
      <c r="D848" s="1336"/>
      <c r="E848" s="1336"/>
      <c r="F848" s="1336"/>
      <c r="G848" s="569"/>
      <c r="H848" s="581" t="s">
        <v>2666</v>
      </c>
      <c r="I848" s="570">
        <v>17010</v>
      </c>
      <c r="J848" s="554"/>
      <c r="L848" s="570">
        <v>9500</v>
      </c>
      <c r="M848" s="549">
        <v>0.9</v>
      </c>
      <c r="N848" s="686">
        <f t="shared" si="29"/>
        <v>8550</v>
      </c>
    </row>
    <row r="849" spans="2:14" ht="17.100000000000001" customHeight="1">
      <c r="B849" s="554">
        <v>49</v>
      </c>
      <c r="C849" s="1335" t="s">
        <v>4748</v>
      </c>
      <c r="D849" s="1336"/>
      <c r="E849" s="1336"/>
      <c r="F849" s="1336"/>
      <c r="G849" s="569"/>
      <c r="H849" s="581" t="s">
        <v>2666</v>
      </c>
      <c r="I849" s="570">
        <v>1198920</v>
      </c>
      <c r="J849" s="554"/>
      <c r="L849" s="570">
        <v>9500</v>
      </c>
      <c r="M849" s="549">
        <v>0.9</v>
      </c>
      <c r="N849" s="686">
        <f t="shared" si="29"/>
        <v>8550</v>
      </c>
    </row>
    <row r="850" spans="2:14" ht="17.100000000000001" customHeight="1">
      <c r="B850" s="554">
        <v>50</v>
      </c>
      <c r="C850" s="1335" t="s">
        <v>4749</v>
      </c>
      <c r="D850" s="1336"/>
      <c r="E850" s="1336"/>
      <c r="F850" s="1336"/>
      <c r="G850" s="569"/>
      <c r="H850" s="581" t="s">
        <v>2666</v>
      </c>
      <c r="I850" s="570">
        <v>541450</v>
      </c>
      <c r="J850" s="554"/>
      <c r="L850" s="570">
        <v>9500</v>
      </c>
      <c r="M850" s="549">
        <v>0.9</v>
      </c>
      <c r="N850" s="686">
        <f t="shared" si="29"/>
        <v>8550</v>
      </c>
    </row>
    <row r="851" spans="2:14" ht="17.100000000000001" customHeight="1">
      <c r="B851" s="554">
        <v>51</v>
      </c>
      <c r="C851" s="1335" t="s">
        <v>4750</v>
      </c>
      <c r="D851" s="1336"/>
      <c r="E851" s="1336"/>
      <c r="F851" s="1336"/>
      <c r="G851" s="569"/>
      <c r="H851" s="581" t="s">
        <v>2666</v>
      </c>
      <c r="I851" s="570">
        <v>348070</v>
      </c>
      <c r="J851" s="554"/>
      <c r="L851" s="570">
        <v>9500</v>
      </c>
      <c r="M851" s="549">
        <v>0.9</v>
      </c>
      <c r="N851" s="686">
        <f t="shared" si="29"/>
        <v>8550</v>
      </c>
    </row>
    <row r="852" spans="2:14" ht="17.100000000000001" customHeight="1">
      <c r="B852" s="554">
        <v>52</v>
      </c>
      <c r="C852" s="1335" t="s">
        <v>4751</v>
      </c>
      <c r="D852" s="1336"/>
      <c r="E852" s="1336"/>
      <c r="F852" s="1336"/>
      <c r="G852" s="569"/>
      <c r="H852" s="581" t="s">
        <v>2666</v>
      </c>
      <c r="I852" s="570">
        <v>541450</v>
      </c>
      <c r="J852" s="554"/>
      <c r="L852" s="570">
        <v>9500</v>
      </c>
      <c r="M852" s="549">
        <v>0.9</v>
      </c>
      <c r="N852" s="686">
        <f t="shared" si="29"/>
        <v>8550</v>
      </c>
    </row>
    <row r="853" spans="2:14" ht="17.100000000000001" customHeight="1">
      <c r="B853" s="554">
        <v>53</v>
      </c>
      <c r="C853" s="1335" t="s">
        <v>4752</v>
      </c>
      <c r="D853" s="1336"/>
      <c r="E853" s="1336"/>
      <c r="F853" s="1336"/>
      <c r="G853" s="569"/>
      <c r="H853" s="581" t="s">
        <v>2666</v>
      </c>
      <c r="I853" s="570">
        <v>2049770</v>
      </c>
      <c r="J853" s="554"/>
      <c r="L853" s="570">
        <v>9500</v>
      </c>
      <c r="M853" s="549">
        <v>0.9</v>
      </c>
      <c r="N853" s="686">
        <f t="shared" si="29"/>
        <v>8550</v>
      </c>
    </row>
    <row r="854" spans="2:14" ht="17.100000000000001" customHeight="1">
      <c r="B854" s="554">
        <v>54</v>
      </c>
      <c r="C854" s="1335" t="s">
        <v>4753</v>
      </c>
      <c r="D854" s="1336"/>
      <c r="E854" s="1336"/>
      <c r="F854" s="1336"/>
      <c r="G854" s="569"/>
      <c r="H854" s="581" t="s">
        <v>2666</v>
      </c>
      <c r="I854" s="570">
        <v>18560</v>
      </c>
      <c r="J854" s="554"/>
      <c r="L854" s="570">
        <v>9500</v>
      </c>
      <c r="M854" s="549">
        <v>0.9</v>
      </c>
      <c r="N854" s="686">
        <f t="shared" si="29"/>
        <v>8550</v>
      </c>
    </row>
    <row r="855" spans="2:14" ht="17.100000000000001" customHeight="1">
      <c r="B855" s="554">
        <v>55</v>
      </c>
      <c r="C855" s="1335" t="s">
        <v>4754</v>
      </c>
      <c r="D855" s="1336"/>
      <c r="E855" s="1336"/>
      <c r="F855" s="1336"/>
      <c r="G855" s="569"/>
      <c r="H855" s="581" t="s">
        <v>2666</v>
      </c>
      <c r="I855" s="570">
        <v>10820</v>
      </c>
      <c r="J855" s="554"/>
      <c r="L855" s="570">
        <v>9500</v>
      </c>
      <c r="M855" s="549">
        <v>0.9</v>
      </c>
      <c r="N855" s="686">
        <f t="shared" si="29"/>
        <v>8550</v>
      </c>
    </row>
    <row r="856" spans="2:14" ht="17.100000000000001" customHeight="1">
      <c r="B856" s="554">
        <v>56</v>
      </c>
      <c r="C856" s="1335" t="s">
        <v>4755</v>
      </c>
      <c r="D856" s="1336"/>
      <c r="E856" s="1336"/>
      <c r="F856" s="1336"/>
      <c r="G856" s="569"/>
      <c r="H856" s="581" t="s">
        <v>2666</v>
      </c>
      <c r="I856" s="570">
        <v>23200</v>
      </c>
      <c r="J856" s="554"/>
      <c r="L856" s="570">
        <v>9500</v>
      </c>
      <c r="M856" s="549">
        <v>0.9</v>
      </c>
      <c r="N856" s="686">
        <f t="shared" si="29"/>
        <v>8550</v>
      </c>
    </row>
    <row r="857" spans="2:14" ht="17.100000000000001" customHeight="1">
      <c r="B857" s="554">
        <v>57</v>
      </c>
      <c r="C857" s="1335" t="s">
        <v>4756</v>
      </c>
      <c r="D857" s="1336"/>
      <c r="E857" s="1336"/>
      <c r="F857" s="1336"/>
      <c r="G857" s="569"/>
      <c r="H857" s="581" t="s">
        <v>2666</v>
      </c>
      <c r="I857" s="570">
        <v>13920</v>
      </c>
      <c r="J857" s="554"/>
      <c r="L857" s="570">
        <v>9500</v>
      </c>
      <c r="M857" s="549">
        <v>0.9</v>
      </c>
      <c r="N857" s="686">
        <f t="shared" si="29"/>
        <v>8550</v>
      </c>
    </row>
    <row r="858" spans="2:14" ht="17.100000000000001" customHeight="1">
      <c r="B858" s="554">
        <v>58</v>
      </c>
      <c r="C858" s="1335" t="s">
        <v>4757</v>
      </c>
      <c r="D858" s="1336"/>
      <c r="E858" s="1336"/>
      <c r="F858" s="1336"/>
      <c r="G858" s="569"/>
      <c r="H858" s="581" t="s">
        <v>2666</v>
      </c>
      <c r="I858" s="570">
        <v>13920</v>
      </c>
      <c r="J858" s="554"/>
      <c r="L858" s="570">
        <v>9500</v>
      </c>
      <c r="M858" s="549">
        <v>0.9</v>
      </c>
      <c r="N858" s="686">
        <f t="shared" si="29"/>
        <v>8550</v>
      </c>
    </row>
    <row r="859" spans="2:14" ht="17.100000000000001" customHeight="1">
      <c r="B859" s="554">
        <v>59</v>
      </c>
      <c r="C859" s="1335" t="s">
        <v>4758</v>
      </c>
      <c r="D859" s="1336"/>
      <c r="E859" s="1336"/>
      <c r="F859" s="1336"/>
      <c r="G859" s="569"/>
      <c r="H859" s="581" t="s">
        <v>2666</v>
      </c>
      <c r="I859" s="570">
        <v>41760</v>
      </c>
      <c r="J859" s="554"/>
      <c r="L859" s="570">
        <v>9500</v>
      </c>
      <c r="M859" s="549">
        <v>0.9</v>
      </c>
      <c r="N859" s="686">
        <f t="shared" si="29"/>
        <v>8550</v>
      </c>
    </row>
    <row r="860" spans="2:14" ht="17.100000000000001" customHeight="1">
      <c r="B860" s="554">
        <v>60</v>
      </c>
      <c r="C860" s="1335" t="s">
        <v>4759</v>
      </c>
      <c r="D860" s="1336"/>
      <c r="E860" s="1336"/>
      <c r="F860" s="1336"/>
      <c r="G860" s="569"/>
      <c r="H860" s="581" t="s">
        <v>2666</v>
      </c>
      <c r="I860" s="570">
        <v>18560</v>
      </c>
      <c r="J860" s="554"/>
      <c r="L860" s="570">
        <v>9500</v>
      </c>
      <c r="M860" s="549">
        <v>0.9</v>
      </c>
      <c r="N860" s="686">
        <f t="shared" si="29"/>
        <v>8550</v>
      </c>
    </row>
    <row r="861" spans="2:14" ht="17.100000000000001" customHeight="1">
      <c r="B861" s="554">
        <v>61</v>
      </c>
      <c r="C861" s="1335" t="s">
        <v>4760</v>
      </c>
      <c r="D861" s="1336"/>
      <c r="E861" s="1336"/>
      <c r="F861" s="1336"/>
      <c r="G861" s="569"/>
      <c r="H861" s="581" t="s">
        <v>2666</v>
      </c>
      <c r="I861" s="570">
        <v>18560</v>
      </c>
      <c r="J861" s="554"/>
      <c r="L861" s="570">
        <v>9500</v>
      </c>
      <c r="M861" s="549">
        <v>0.9</v>
      </c>
      <c r="N861" s="686">
        <f t="shared" si="29"/>
        <v>8550</v>
      </c>
    </row>
    <row r="862" spans="2:14" ht="17.100000000000001" customHeight="1">
      <c r="B862" s="788">
        <v>62</v>
      </c>
      <c r="C862" s="789" t="s">
        <v>4761</v>
      </c>
      <c r="D862" s="790"/>
      <c r="E862" s="790"/>
      <c r="F862" s="790"/>
      <c r="G862" s="791"/>
      <c r="H862" s="792" t="s">
        <v>2666</v>
      </c>
      <c r="I862" s="793">
        <v>30940</v>
      </c>
      <c r="J862" s="788"/>
      <c r="L862" s="570">
        <v>9500</v>
      </c>
      <c r="M862" s="549">
        <v>0.9</v>
      </c>
      <c r="N862" s="686">
        <f t="shared" si="29"/>
        <v>8550</v>
      </c>
    </row>
    <row r="863" spans="2:14">
      <c r="B863" s="794">
        <v>63</v>
      </c>
      <c r="C863" s="795" t="s">
        <v>5024</v>
      </c>
      <c r="D863" s="785"/>
      <c r="E863" s="785"/>
      <c r="F863" s="785"/>
      <c r="G863" s="796"/>
      <c r="H863" s="797" t="s">
        <v>2666</v>
      </c>
      <c r="I863" s="558">
        <v>550000</v>
      </c>
      <c r="J863" s="798"/>
      <c r="L863" s="570">
        <v>9500</v>
      </c>
      <c r="M863" s="549">
        <v>0.9</v>
      </c>
      <c r="N863" s="686">
        <f t="shared" si="29"/>
        <v>8550</v>
      </c>
    </row>
    <row r="864" spans="2:14">
      <c r="B864" s="783">
        <v>64</v>
      </c>
      <c r="C864" s="555" t="s">
        <v>5027</v>
      </c>
      <c r="D864" s="556"/>
      <c r="E864" s="556"/>
      <c r="F864" s="556"/>
      <c r="G864" s="569"/>
      <c r="H864" s="784" t="s">
        <v>2666</v>
      </c>
      <c r="I864" s="558">
        <v>5500</v>
      </c>
      <c r="J864" s="786"/>
      <c r="L864" s="570">
        <v>9500</v>
      </c>
      <c r="M864" s="549">
        <v>0.9</v>
      </c>
      <c r="N864" s="686">
        <f t="shared" ref="N864:N865" si="30">L864*M864</f>
        <v>8550</v>
      </c>
    </row>
    <row r="865" spans="2:14">
      <c r="B865" s="799">
        <v>65</v>
      </c>
      <c r="C865" s="690" t="s">
        <v>5031</v>
      </c>
      <c r="D865" s="691"/>
      <c r="E865" s="691"/>
      <c r="F865" s="691"/>
      <c r="G865" s="598"/>
      <c r="H865" s="800" t="s">
        <v>2666</v>
      </c>
      <c r="I865" s="801">
        <v>8000</v>
      </c>
      <c r="J865" s="799"/>
      <c r="L865" s="570">
        <v>9500</v>
      </c>
      <c r="M865" s="549">
        <v>0.9</v>
      </c>
      <c r="N865" s="686">
        <f t="shared" si="30"/>
        <v>8550</v>
      </c>
    </row>
    <row r="866" spans="2:14">
      <c r="L866" s="570"/>
      <c r="N866" s="686"/>
    </row>
    <row r="867" spans="2:14">
      <c r="L867" s="570"/>
      <c r="N867" s="686"/>
    </row>
    <row r="868" spans="2:14">
      <c r="L868" s="570">
        <f>'REKAP EE'!E21</f>
        <v>6999999000</v>
      </c>
      <c r="N868" s="686"/>
    </row>
    <row r="869" spans="2:14">
      <c r="L869" s="570"/>
      <c r="N869" s="686"/>
    </row>
    <row r="870" spans="2:14">
      <c r="L870" s="570"/>
      <c r="N870" s="686"/>
    </row>
    <row r="871" spans="2:14">
      <c r="L871" s="570"/>
      <c r="N871" s="686"/>
    </row>
    <row r="872" spans="2:14">
      <c r="L872" s="570"/>
      <c r="N872" s="686"/>
    </row>
    <row r="873" spans="2:14">
      <c r="L873" s="570"/>
      <c r="N873" s="686"/>
    </row>
    <row r="874" spans="2:14">
      <c r="L874" s="570"/>
      <c r="N874" s="686"/>
    </row>
    <row r="875" spans="2:14">
      <c r="L875" s="570"/>
      <c r="N875" s="686"/>
    </row>
    <row r="876" spans="2:14">
      <c r="L876" s="570"/>
      <c r="N876" s="686"/>
    </row>
    <row r="877" spans="2:14" s="559" customFormat="1">
      <c r="B877" s="2260"/>
      <c r="C877" s="2260"/>
      <c r="D877" s="2260"/>
      <c r="E877" s="2260"/>
      <c r="F877" s="2260"/>
      <c r="G877" s="2260"/>
      <c r="H877" s="2260"/>
      <c r="I877" s="2260"/>
      <c r="J877" s="2260"/>
      <c r="L877" s="570"/>
      <c r="N877" s="686"/>
    </row>
    <row r="878" spans="2:14" s="559" customFormat="1">
      <c r="B878" s="2260"/>
      <c r="C878" s="2260"/>
      <c r="D878" s="2260"/>
      <c r="E878" s="2260"/>
      <c r="F878" s="2260"/>
      <c r="G878" s="2260"/>
      <c r="H878" s="2260"/>
      <c r="I878" s="2260"/>
      <c r="J878" s="2260"/>
      <c r="L878" s="570"/>
      <c r="N878" s="686"/>
    </row>
    <row r="879" spans="2:14">
      <c r="L879" s="570"/>
      <c r="N879" s="686"/>
    </row>
    <row r="880" spans="2:14">
      <c r="L880" s="570"/>
      <c r="N880" s="686"/>
    </row>
  </sheetData>
  <mergeCells count="36">
    <mergeCell ref="C786:F786"/>
    <mergeCell ref="C481:F481"/>
    <mergeCell ref="C314:G314"/>
    <mergeCell ref="B877:J877"/>
    <mergeCell ref="B878:J878"/>
    <mergeCell ref="C796:F796"/>
    <mergeCell ref="C806:F806"/>
    <mergeCell ref="C819:F819"/>
    <mergeCell ref="C799:F799"/>
    <mergeCell ref="B20:B22"/>
    <mergeCell ref="J6:J8"/>
    <mergeCell ref="H20:H22"/>
    <mergeCell ref="I20:I22"/>
    <mergeCell ref="J20:J22"/>
    <mergeCell ref="I6:I8"/>
    <mergeCell ref="C20:G22"/>
    <mergeCell ref="C23:G23"/>
    <mergeCell ref="C150:F150"/>
    <mergeCell ref="C152:F152"/>
    <mergeCell ref="C126:F126"/>
    <mergeCell ref="C302:F302"/>
    <mergeCell ref="C267:G267"/>
    <mergeCell ref="C278:F278"/>
    <mergeCell ref="C291:G291"/>
    <mergeCell ref="C168:G168"/>
    <mergeCell ref="B4:J4"/>
    <mergeCell ref="B17:J17"/>
    <mergeCell ref="B18:J18"/>
    <mergeCell ref="B2:J2"/>
    <mergeCell ref="B3:J3"/>
    <mergeCell ref="B6:B8"/>
    <mergeCell ref="C6:F8"/>
    <mergeCell ref="G6:G8"/>
    <mergeCell ref="H6:H8"/>
    <mergeCell ref="C9:F9"/>
    <mergeCell ref="B16:J16"/>
  </mergeCells>
  <printOptions horizontalCentered="1"/>
  <pageMargins left="0.5" right="0" top="0.5" bottom="0.5" header="0" footer="0"/>
  <pageSetup paperSize="9" scale="84" orientation="portrait" horizontalDpi="360" verticalDpi="360" r:id="rId1"/>
  <headerFooter differentOddEven="1" alignWithMargins="0"/>
  <rowBreaks count="2" manualBreakCount="2">
    <brk id="99" min="1" max="9" man="1"/>
    <brk id="332" min="1" max="9" man="1"/>
  </rowBreak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72"/>
  <dimension ref="A1:G43"/>
  <sheetViews>
    <sheetView topLeftCell="A22" workbookViewId="0">
      <selection activeCell="F46" sqref="F46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.33203125" customWidth="1"/>
    <col min="5" max="5" width="14.6640625" customWidth="1"/>
    <col min="6" max="6" width="14.33203125" customWidth="1"/>
    <col min="7" max="7" width="16.6640625" customWidth="1"/>
  </cols>
  <sheetData>
    <row r="1" spans="1:7">
      <c r="A1" s="50" t="s">
        <v>2264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65" customHeight="1">
      <c r="A5" s="5"/>
      <c r="B5" s="3" t="s">
        <v>673</v>
      </c>
      <c r="C5" s="3" t="s">
        <v>674</v>
      </c>
      <c r="D5" s="12" t="s">
        <v>675</v>
      </c>
      <c r="E5" s="3" t="s">
        <v>741</v>
      </c>
      <c r="F5" s="5"/>
      <c r="G5" s="5"/>
    </row>
    <row r="6" spans="1:7" ht="13.95" customHeight="1">
      <c r="A6" s="5"/>
      <c r="B6" s="3" t="s">
        <v>871</v>
      </c>
      <c r="C6" s="3" t="s">
        <v>678</v>
      </c>
      <c r="D6" s="12" t="s">
        <v>675</v>
      </c>
      <c r="E6" s="3" t="s">
        <v>801</v>
      </c>
      <c r="F6" s="5"/>
      <c r="G6" s="5"/>
    </row>
    <row r="7" spans="1:7" ht="13.65" customHeight="1">
      <c r="A7" s="5"/>
      <c r="B7" s="3" t="s">
        <v>751</v>
      </c>
      <c r="C7" s="3" t="s">
        <v>681</v>
      </c>
      <c r="D7" s="12" t="s">
        <v>675</v>
      </c>
      <c r="E7" s="3" t="s">
        <v>693</v>
      </c>
      <c r="F7" s="5"/>
      <c r="G7" s="5"/>
    </row>
    <row r="8" spans="1:7" ht="13.65" customHeight="1">
      <c r="A8" s="5"/>
      <c r="B8" s="3" t="s">
        <v>683</v>
      </c>
      <c r="C8" s="3" t="s">
        <v>684</v>
      </c>
      <c r="D8" s="12" t="s">
        <v>675</v>
      </c>
      <c r="E8" s="3" t="s">
        <v>693</v>
      </c>
      <c r="F8" s="5"/>
      <c r="G8" s="5"/>
    </row>
    <row r="9" spans="1:7" ht="12" customHeight="1">
      <c r="A9" s="5"/>
      <c r="B9" s="5"/>
      <c r="C9" s="5"/>
      <c r="D9" s="5"/>
      <c r="E9" s="2474" t="s">
        <v>685</v>
      </c>
      <c r="F9" s="2474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95" customHeight="1">
      <c r="A11" s="5"/>
      <c r="B11" s="3" t="s">
        <v>1193</v>
      </c>
      <c r="C11" s="5"/>
      <c r="D11" s="3" t="s">
        <v>888</v>
      </c>
      <c r="E11" s="3" t="s">
        <v>1052</v>
      </c>
      <c r="F11" s="5"/>
      <c r="G11" s="5"/>
    </row>
    <row r="12" spans="1:7" ht="13.65" customHeight="1">
      <c r="A12" s="5"/>
      <c r="B12" s="3" t="s">
        <v>1194</v>
      </c>
      <c r="C12" s="5"/>
      <c r="D12" s="12" t="s">
        <v>773</v>
      </c>
      <c r="E12" s="3" t="s">
        <v>1195</v>
      </c>
      <c r="F12" s="5"/>
      <c r="G12" s="5"/>
    </row>
    <row r="13" spans="1:7" ht="12" customHeight="1">
      <c r="A13" s="5"/>
      <c r="B13" s="5"/>
      <c r="C13" s="5"/>
      <c r="D13" s="5"/>
      <c r="E13" s="2474" t="s">
        <v>702</v>
      </c>
      <c r="F13" s="2474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8" customHeight="1">
      <c r="A15" s="5"/>
      <c r="B15" s="5"/>
      <c r="C15" s="5"/>
      <c r="D15" s="5"/>
      <c r="E15" s="5"/>
      <c r="F15" s="5"/>
      <c r="G15" s="5"/>
    </row>
    <row r="16" spans="1:7" ht="18" customHeight="1">
      <c r="A16" s="5"/>
      <c r="B16" s="5"/>
      <c r="C16" s="5"/>
      <c r="D16" s="5"/>
      <c r="E16" s="2474" t="s">
        <v>705</v>
      </c>
      <c r="F16" s="2474"/>
      <c r="G16" s="5"/>
    </row>
    <row r="17" spans="1:7" ht="18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12" t="s">
        <v>706</v>
      </c>
      <c r="B18" s="2474" t="s">
        <v>707</v>
      </c>
      <c r="C18" s="2474"/>
      <c r="D18" s="2474"/>
      <c r="E18" s="2474"/>
      <c r="F18" s="2474"/>
      <c r="G18" s="5"/>
    </row>
    <row r="19" spans="1:7" ht="12" customHeight="1">
      <c r="A19" s="12" t="s">
        <v>708</v>
      </c>
      <c r="B19" s="2471" t="s">
        <v>876</v>
      </c>
      <c r="C19" s="2471"/>
      <c r="D19" s="2471"/>
      <c r="E19" s="2472" t="s">
        <v>710</v>
      </c>
      <c r="F19" s="2472"/>
      <c r="G19" s="5"/>
    </row>
    <row r="20" spans="1:7" ht="12" customHeight="1">
      <c r="A20" s="12" t="s">
        <v>711</v>
      </c>
      <c r="B20" s="2473" t="s">
        <v>712</v>
      </c>
      <c r="C20" s="2473"/>
      <c r="D20" s="2473"/>
      <c r="E20" s="2473"/>
      <c r="F20" s="2473"/>
      <c r="G20" s="5"/>
    </row>
    <row r="21" spans="1:7" ht="12" customHeight="1">
      <c r="A21" s="12"/>
      <c r="B21" s="26"/>
      <c r="C21" s="26"/>
      <c r="D21" s="26"/>
      <c r="E21" s="26"/>
      <c r="F21" s="26"/>
      <c r="G21" s="5"/>
    </row>
    <row r="22" spans="1:7" ht="12" customHeight="1">
      <c r="A22" s="50" t="s">
        <v>2265</v>
      </c>
      <c r="B22" s="26"/>
      <c r="C22" s="26"/>
      <c r="D22" s="26"/>
      <c r="E22" s="26"/>
      <c r="F22" s="26"/>
      <c r="G22" s="5"/>
    </row>
    <row r="23" spans="1:7" ht="12" customHeight="1">
      <c r="A23" s="12"/>
      <c r="B23" s="26"/>
      <c r="C23" s="26"/>
      <c r="D23" s="26"/>
      <c r="E23" s="26"/>
      <c r="F23" s="26"/>
      <c r="G23" s="5"/>
    </row>
    <row r="24" spans="1:7" ht="34.950000000000003" customHeight="1">
      <c r="A24" s="6" t="s">
        <v>762</v>
      </c>
      <c r="B24" s="6" t="s">
        <v>763</v>
      </c>
      <c r="C24" s="91" t="s">
        <v>764</v>
      </c>
      <c r="D24" s="91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86"/>
      <c r="D25" s="86"/>
      <c r="E25" s="5"/>
      <c r="F25" s="5"/>
      <c r="G25" s="5"/>
    </row>
    <row r="26" spans="1:7" ht="13.95" customHeight="1">
      <c r="A26" s="5"/>
      <c r="B26" s="3" t="s">
        <v>673</v>
      </c>
      <c r="C26" s="96" t="s">
        <v>674</v>
      </c>
      <c r="D26" s="96" t="s">
        <v>675</v>
      </c>
      <c r="E26" s="3" t="s">
        <v>802</v>
      </c>
      <c r="F26" s="5"/>
      <c r="G26" s="5"/>
    </row>
    <row r="27" spans="1:7" ht="13.65" customHeight="1">
      <c r="A27" s="5"/>
      <c r="B27" s="3" t="s">
        <v>855</v>
      </c>
      <c r="C27" s="96" t="s">
        <v>678</v>
      </c>
      <c r="D27" s="96" t="s">
        <v>675</v>
      </c>
      <c r="E27" s="3" t="s">
        <v>802</v>
      </c>
      <c r="F27" s="5"/>
      <c r="G27" s="5"/>
    </row>
    <row r="28" spans="1:7" ht="13.65" customHeight="1">
      <c r="A28" s="5"/>
      <c r="B28" s="3" t="s">
        <v>751</v>
      </c>
      <c r="C28" s="96" t="s">
        <v>681</v>
      </c>
      <c r="D28" s="96" t="s">
        <v>675</v>
      </c>
      <c r="E28" s="3" t="s">
        <v>801</v>
      </c>
      <c r="F28" s="5"/>
      <c r="G28" s="5"/>
    </row>
    <row r="29" spans="1:7" ht="13.95" customHeight="1">
      <c r="A29" s="5"/>
      <c r="B29" s="3" t="s">
        <v>683</v>
      </c>
      <c r="C29" s="96" t="s">
        <v>684</v>
      </c>
      <c r="D29" s="96" t="s">
        <v>675</v>
      </c>
      <c r="E29" s="3" t="s">
        <v>794</v>
      </c>
      <c r="F29" s="5"/>
      <c r="G29" s="5"/>
    </row>
    <row r="30" spans="1:7" ht="12" customHeight="1">
      <c r="A30" s="5"/>
      <c r="B30" s="5"/>
      <c r="C30" s="86"/>
      <c r="D30" s="86"/>
      <c r="E30" s="96" t="s">
        <v>685</v>
      </c>
      <c r="F30" s="97"/>
      <c r="G30" s="5"/>
    </row>
    <row r="31" spans="1:7" ht="12" customHeight="1">
      <c r="A31" s="12" t="s">
        <v>686</v>
      </c>
      <c r="B31" s="3" t="s">
        <v>687</v>
      </c>
      <c r="C31" s="86"/>
      <c r="D31" s="86"/>
      <c r="E31" s="5"/>
      <c r="F31" s="5"/>
      <c r="G31" s="5"/>
    </row>
    <row r="32" spans="1:7" ht="13.65" customHeight="1">
      <c r="A32" s="5"/>
      <c r="B32" s="3" t="s">
        <v>1196</v>
      </c>
      <c r="C32" s="86"/>
      <c r="D32" s="96" t="s">
        <v>853</v>
      </c>
      <c r="E32" s="3" t="s">
        <v>893</v>
      </c>
      <c r="F32" s="5"/>
      <c r="G32" s="5"/>
    </row>
    <row r="33" spans="1:7" ht="13.65" customHeight="1">
      <c r="A33" s="5"/>
      <c r="B33" s="3" t="s">
        <v>1197</v>
      </c>
      <c r="C33" s="86"/>
      <c r="D33" s="96" t="s">
        <v>773</v>
      </c>
      <c r="E33" s="3" t="s">
        <v>740</v>
      </c>
      <c r="F33" s="5"/>
      <c r="G33" s="5"/>
    </row>
    <row r="34" spans="1:7" ht="13.95" customHeight="1">
      <c r="A34" s="5"/>
      <c r="B34" s="3" t="s">
        <v>1198</v>
      </c>
      <c r="C34" s="86"/>
      <c r="D34" s="96" t="s">
        <v>866</v>
      </c>
      <c r="E34" s="3" t="s">
        <v>797</v>
      </c>
      <c r="F34" s="5"/>
      <c r="G34" s="5"/>
    </row>
    <row r="35" spans="1:7" ht="13.65" customHeight="1">
      <c r="A35" s="5"/>
      <c r="B35" s="3" t="s">
        <v>1199</v>
      </c>
      <c r="C35" s="86"/>
      <c r="D35" s="96" t="s">
        <v>888</v>
      </c>
      <c r="E35" s="3" t="s">
        <v>756</v>
      </c>
      <c r="F35" s="5"/>
      <c r="G35" s="5"/>
    </row>
    <row r="36" spans="1:7" ht="12" customHeight="1">
      <c r="A36" s="5"/>
      <c r="B36" s="5"/>
      <c r="C36" s="87"/>
      <c r="D36" s="87"/>
      <c r="E36" s="96" t="s">
        <v>702</v>
      </c>
      <c r="F36" s="97"/>
      <c r="G36" s="5"/>
    </row>
    <row r="37" spans="1:7" ht="12" customHeight="1">
      <c r="A37" s="12" t="s">
        <v>703</v>
      </c>
      <c r="B37" s="3" t="s">
        <v>704</v>
      </c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5"/>
      <c r="B39" s="5"/>
      <c r="C39" s="5"/>
      <c r="D39" s="5"/>
      <c r="E39" s="2474" t="s">
        <v>705</v>
      </c>
      <c r="F39" s="2474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12" t="s">
        <v>706</v>
      </c>
      <c r="B41" s="2474" t="s">
        <v>707</v>
      </c>
      <c r="C41" s="2474"/>
      <c r="D41" s="2474"/>
      <c r="E41" s="2474"/>
      <c r="F41" s="2474"/>
      <c r="G41" s="5"/>
    </row>
    <row r="42" spans="1:7" ht="12" customHeight="1">
      <c r="A42" s="12" t="s">
        <v>708</v>
      </c>
      <c r="B42" s="2471" t="s">
        <v>876</v>
      </c>
      <c r="C42" s="2471"/>
      <c r="D42" s="2471"/>
      <c r="E42" s="2472" t="s">
        <v>710</v>
      </c>
      <c r="F42" s="2472"/>
      <c r="G42" s="5"/>
    </row>
    <row r="43" spans="1:7" ht="12" customHeight="1">
      <c r="A43" s="12" t="s">
        <v>711</v>
      </c>
      <c r="B43" s="2473" t="s">
        <v>712</v>
      </c>
      <c r="C43" s="2473"/>
      <c r="D43" s="2473"/>
      <c r="E43" s="2473"/>
      <c r="F43" s="2473"/>
      <c r="G43" s="5"/>
    </row>
  </sheetData>
  <mergeCells count="12">
    <mergeCell ref="E9:F9"/>
    <mergeCell ref="E13:F13"/>
    <mergeCell ref="E16:F16"/>
    <mergeCell ref="B18:F18"/>
    <mergeCell ref="B19:D19"/>
    <mergeCell ref="E19:F19"/>
    <mergeCell ref="B20:F20"/>
    <mergeCell ref="E39:F39"/>
    <mergeCell ref="B43:F43"/>
    <mergeCell ref="B41:F41"/>
    <mergeCell ref="B42:D42"/>
    <mergeCell ref="E42:F42"/>
  </mergeCell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73"/>
  <dimension ref="A1:G22"/>
  <sheetViews>
    <sheetView workbookViewId="0">
      <selection activeCell="E24" sqref="E24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2266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65" customHeight="1">
      <c r="A5" s="5"/>
      <c r="B5" s="3" t="s">
        <v>673</v>
      </c>
      <c r="C5" s="3" t="s">
        <v>674</v>
      </c>
      <c r="D5" s="12" t="s">
        <v>675</v>
      </c>
      <c r="E5" s="3" t="s">
        <v>801</v>
      </c>
      <c r="F5" s="5"/>
      <c r="G5" s="5"/>
    </row>
    <row r="6" spans="1:7" ht="13.95" customHeight="1">
      <c r="A6" s="5"/>
      <c r="B6" s="3" t="s">
        <v>677</v>
      </c>
      <c r="C6" s="3" t="s">
        <v>678</v>
      </c>
      <c r="D6" s="12" t="s">
        <v>675</v>
      </c>
      <c r="E6" s="3" t="s">
        <v>801</v>
      </c>
      <c r="F6" s="5"/>
      <c r="G6" s="5"/>
    </row>
    <row r="7" spans="1:7" ht="13.65" customHeight="1">
      <c r="A7" s="5"/>
      <c r="B7" s="3" t="s">
        <v>751</v>
      </c>
      <c r="C7" s="3" t="s">
        <v>681</v>
      </c>
      <c r="D7" s="12" t="s">
        <v>675</v>
      </c>
      <c r="E7" s="3" t="s">
        <v>693</v>
      </c>
      <c r="F7" s="5"/>
      <c r="G7" s="5"/>
    </row>
    <row r="8" spans="1:7" ht="13.65" customHeight="1">
      <c r="A8" s="5"/>
      <c r="B8" s="3" t="s">
        <v>683</v>
      </c>
      <c r="C8" s="3" t="s">
        <v>684</v>
      </c>
      <c r="D8" s="12" t="s">
        <v>675</v>
      </c>
      <c r="E8" s="3" t="s">
        <v>852</v>
      </c>
      <c r="F8" s="5"/>
      <c r="G8" s="5"/>
    </row>
    <row r="9" spans="1:7" ht="12" customHeight="1">
      <c r="A9" s="5"/>
      <c r="B9" s="5"/>
      <c r="C9" s="5"/>
      <c r="D9" s="5"/>
      <c r="E9" s="2474" t="s">
        <v>685</v>
      </c>
      <c r="F9" s="2474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95" customHeight="1">
      <c r="A11" s="5"/>
      <c r="B11" s="3" t="s">
        <v>1200</v>
      </c>
      <c r="C11" s="5"/>
      <c r="D11" s="12" t="s">
        <v>853</v>
      </c>
      <c r="E11" s="3" t="s">
        <v>797</v>
      </c>
      <c r="F11" s="5"/>
      <c r="G11" s="5"/>
    </row>
    <row r="12" spans="1:7" ht="13.65" customHeight="1">
      <c r="A12" s="5"/>
      <c r="B12" s="3" t="s">
        <v>1201</v>
      </c>
      <c r="C12" s="5"/>
      <c r="D12" s="12" t="s">
        <v>773</v>
      </c>
      <c r="E12" s="3" t="s">
        <v>779</v>
      </c>
      <c r="F12" s="5"/>
      <c r="G12" s="5"/>
    </row>
    <row r="13" spans="1:7" ht="12" customHeight="1">
      <c r="A13" s="5"/>
      <c r="B13" s="5"/>
      <c r="C13" s="5"/>
      <c r="D13" s="5"/>
      <c r="E13" s="2474" t="s">
        <v>702</v>
      </c>
      <c r="F13" s="2474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2474" t="s">
        <v>705</v>
      </c>
      <c r="F16" s="2474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12" t="s">
        <v>706</v>
      </c>
      <c r="B18" s="2474" t="s">
        <v>707</v>
      </c>
      <c r="C18" s="2474"/>
      <c r="D18" s="2474"/>
      <c r="E18" s="2474"/>
      <c r="F18" s="2474"/>
      <c r="G18" s="5"/>
    </row>
    <row r="19" spans="1:7" ht="12" customHeight="1">
      <c r="A19" s="12" t="s">
        <v>708</v>
      </c>
      <c r="B19" s="2471" t="s">
        <v>876</v>
      </c>
      <c r="C19" s="2471"/>
      <c r="D19" s="2471"/>
      <c r="E19" s="2472" t="s">
        <v>710</v>
      </c>
      <c r="F19" s="2472"/>
      <c r="G19" s="5"/>
    </row>
    <row r="20" spans="1:7" ht="12" customHeight="1">
      <c r="A20" s="70" t="s">
        <v>711</v>
      </c>
      <c r="B20" s="2474" t="s">
        <v>712</v>
      </c>
      <c r="C20" s="2474"/>
      <c r="D20" s="2474"/>
      <c r="E20" s="2474"/>
      <c r="F20" s="2474"/>
      <c r="G20" s="28"/>
    </row>
    <row r="21" spans="1:7" ht="12" customHeight="1">
      <c r="A21" s="58"/>
      <c r="B21" s="46"/>
      <c r="C21" s="46"/>
      <c r="D21" s="46"/>
      <c r="E21" s="46"/>
      <c r="F21" s="46"/>
      <c r="G21" s="44"/>
    </row>
    <row r="22" spans="1:7" ht="12" customHeight="1">
      <c r="A22" s="69" t="s">
        <v>2267</v>
      </c>
      <c r="B22" s="46"/>
      <c r="C22" s="46"/>
      <c r="D22" s="46"/>
      <c r="E22" s="46"/>
      <c r="F22" s="46"/>
      <c r="G22" s="44"/>
    </row>
  </sheetData>
  <mergeCells count="7">
    <mergeCell ref="B20:F20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74">
    <tabColor rgb="FFFF0000"/>
  </sheetPr>
  <dimension ref="A1:G21"/>
  <sheetViews>
    <sheetView workbookViewId="0">
      <selection activeCell="C27" sqref="C27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2268</v>
      </c>
    </row>
    <row r="3" spans="1:7">
      <c r="A3" t="s">
        <v>2269</v>
      </c>
    </row>
    <row r="5" spans="1:7" ht="35.1" customHeight="1">
      <c r="A5" s="39" t="s">
        <v>762</v>
      </c>
      <c r="B5" s="39" t="s">
        <v>763</v>
      </c>
      <c r="C5" s="39" t="s">
        <v>764</v>
      </c>
      <c r="D5" s="39" t="s">
        <v>765</v>
      </c>
      <c r="E5" s="39" t="s">
        <v>766</v>
      </c>
      <c r="F5" s="39" t="s">
        <v>767</v>
      </c>
      <c r="G5" s="39" t="s">
        <v>768</v>
      </c>
    </row>
    <row r="6" spans="1:7" ht="12" customHeight="1">
      <c r="A6" s="46" t="s">
        <v>671</v>
      </c>
      <c r="B6" s="46" t="s">
        <v>672</v>
      </c>
      <c r="C6" s="44"/>
      <c r="D6" s="44"/>
      <c r="E6" s="44"/>
      <c r="F6" s="44"/>
      <c r="G6" s="44"/>
    </row>
    <row r="7" spans="1:7" ht="13.65" customHeight="1">
      <c r="A7" s="44"/>
      <c r="B7" s="46" t="s">
        <v>673</v>
      </c>
      <c r="C7" s="46" t="s">
        <v>674</v>
      </c>
      <c r="D7" s="46" t="s">
        <v>675</v>
      </c>
      <c r="E7" s="58" t="s">
        <v>752</v>
      </c>
      <c r="F7" s="44"/>
      <c r="G7" s="44"/>
    </row>
    <row r="8" spans="1:7" ht="13.65" customHeight="1">
      <c r="A8" s="44"/>
      <c r="B8" s="46" t="s">
        <v>677</v>
      </c>
      <c r="C8" s="46" t="s">
        <v>681</v>
      </c>
      <c r="D8" s="46" t="s">
        <v>675</v>
      </c>
      <c r="E8" s="46" t="s">
        <v>817</v>
      </c>
      <c r="F8" s="44"/>
      <c r="G8" s="44"/>
    </row>
    <row r="9" spans="1:7" ht="13.95" customHeight="1">
      <c r="A9" s="44"/>
      <c r="B9" s="46" t="s">
        <v>751</v>
      </c>
      <c r="C9" s="46" t="s">
        <v>1202</v>
      </c>
      <c r="D9" s="46" t="s">
        <v>675</v>
      </c>
      <c r="E9" s="46" t="s">
        <v>1203</v>
      </c>
      <c r="F9" s="44"/>
      <c r="G9" s="44"/>
    </row>
    <row r="10" spans="1:7" ht="13.65" customHeight="1">
      <c r="A10" s="44"/>
      <c r="B10" s="46" t="s">
        <v>683</v>
      </c>
      <c r="C10" s="46" t="s">
        <v>1204</v>
      </c>
      <c r="D10" s="46" t="s">
        <v>675</v>
      </c>
      <c r="E10" s="46" t="s">
        <v>868</v>
      </c>
      <c r="F10" s="44"/>
      <c r="G10" s="44"/>
    </row>
    <row r="11" spans="1:7" ht="12" customHeight="1">
      <c r="A11" s="44"/>
      <c r="B11" s="44"/>
      <c r="C11" s="44"/>
      <c r="D11" s="44"/>
      <c r="E11" s="2479" t="s">
        <v>685</v>
      </c>
      <c r="F11" s="2479"/>
      <c r="G11" s="44"/>
    </row>
    <row r="12" spans="1:7" ht="12" customHeight="1">
      <c r="A12" s="46" t="s">
        <v>686</v>
      </c>
      <c r="B12" s="46" t="s">
        <v>687</v>
      </c>
      <c r="C12" s="44"/>
      <c r="D12" s="44"/>
      <c r="E12" s="44"/>
      <c r="F12" s="44"/>
      <c r="G12" s="44"/>
    </row>
    <row r="13" spans="1:7" ht="13.95" customHeight="1">
      <c r="A13" s="44"/>
      <c r="B13" s="46" t="s">
        <v>1205</v>
      </c>
      <c r="C13" s="44"/>
      <c r="D13" s="46" t="s">
        <v>743</v>
      </c>
      <c r="E13" s="46" t="s">
        <v>1206</v>
      </c>
      <c r="F13" s="44"/>
      <c r="G13" s="44"/>
    </row>
    <row r="14" spans="1:7" ht="12" customHeight="1">
      <c r="A14" s="44"/>
      <c r="B14" s="44"/>
      <c r="C14" s="44"/>
      <c r="D14" s="44"/>
      <c r="E14" s="2479" t="s">
        <v>702</v>
      </c>
      <c r="F14" s="2479"/>
      <c r="G14" s="44"/>
    </row>
    <row r="15" spans="1:7" ht="12" customHeight="1">
      <c r="A15" s="46" t="s">
        <v>703</v>
      </c>
      <c r="B15" s="46" t="s">
        <v>704</v>
      </c>
      <c r="C15" s="44"/>
      <c r="D15" s="44"/>
      <c r="E15" s="44"/>
      <c r="F15" s="44"/>
      <c r="G15" s="44"/>
    </row>
    <row r="16" spans="1:7" ht="12" customHeight="1">
      <c r="A16" s="44"/>
      <c r="B16" s="44"/>
      <c r="C16" s="44"/>
      <c r="D16" s="44"/>
      <c r="E16" s="44"/>
      <c r="F16" s="44"/>
      <c r="G16" s="44"/>
    </row>
    <row r="17" spans="1:7" ht="12" customHeight="1">
      <c r="A17" s="44"/>
      <c r="B17" s="44"/>
      <c r="C17" s="44"/>
      <c r="D17" s="44"/>
      <c r="E17" s="2479" t="s">
        <v>705</v>
      </c>
      <c r="F17" s="2479"/>
      <c r="G17" s="44"/>
    </row>
    <row r="18" spans="1:7" ht="11.85" customHeight="1">
      <c r="A18" s="44"/>
      <c r="B18" s="44"/>
      <c r="C18" s="44"/>
      <c r="D18" s="44"/>
      <c r="E18" s="44"/>
      <c r="F18" s="44"/>
      <c r="G18" s="44"/>
    </row>
    <row r="19" spans="1:7" ht="12" customHeight="1">
      <c r="A19" s="46" t="s">
        <v>706</v>
      </c>
      <c r="B19" s="2479" t="s">
        <v>707</v>
      </c>
      <c r="C19" s="2479"/>
      <c r="D19" s="2479"/>
      <c r="E19" s="2479"/>
      <c r="F19" s="2479"/>
      <c r="G19" s="44"/>
    </row>
    <row r="20" spans="1:7" ht="12" customHeight="1">
      <c r="A20" s="46" t="s">
        <v>708</v>
      </c>
      <c r="B20" s="2480" t="s">
        <v>876</v>
      </c>
      <c r="C20" s="2480"/>
      <c r="D20" s="2480"/>
      <c r="E20" s="2479" t="s">
        <v>710</v>
      </c>
      <c r="F20" s="2479"/>
      <c r="G20" s="44"/>
    </row>
    <row r="21" spans="1:7" ht="12.15" customHeight="1">
      <c r="A21" s="46" t="s">
        <v>711</v>
      </c>
      <c r="B21" s="2479" t="s">
        <v>712</v>
      </c>
      <c r="C21" s="2479"/>
      <c r="D21" s="2479"/>
      <c r="E21" s="2479"/>
      <c r="F21" s="2479"/>
      <c r="G21" s="44"/>
    </row>
  </sheetData>
  <mergeCells count="7">
    <mergeCell ref="B21:F21"/>
    <mergeCell ref="E11:F11"/>
    <mergeCell ref="E14:F14"/>
    <mergeCell ref="E17:F17"/>
    <mergeCell ref="B19:F19"/>
    <mergeCell ref="B20:D20"/>
    <mergeCell ref="E20:F20"/>
  </mergeCell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75"/>
  <dimension ref="A1:G39"/>
  <sheetViews>
    <sheetView workbookViewId="0">
      <selection activeCell="G39" sqref="A1:G39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2270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6" t="s">
        <v>767</v>
      </c>
      <c r="G3" s="6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65" customHeight="1">
      <c r="A5" s="5"/>
      <c r="B5" s="3" t="s">
        <v>673</v>
      </c>
      <c r="C5" s="3" t="s">
        <v>674</v>
      </c>
      <c r="D5" s="3" t="s">
        <v>675</v>
      </c>
      <c r="E5" s="12" t="s">
        <v>752</v>
      </c>
      <c r="F5" s="5"/>
      <c r="G5" s="5"/>
    </row>
    <row r="6" spans="1:7" ht="13.95" customHeight="1">
      <c r="A6" s="5"/>
      <c r="B6" s="3" t="s">
        <v>677</v>
      </c>
      <c r="C6" s="3" t="s">
        <v>681</v>
      </c>
      <c r="D6" s="3" t="s">
        <v>675</v>
      </c>
      <c r="E6" s="3" t="s">
        <v>817</v>
      </c>
      <c r="F6" s="5"/>
      <c r="G6" s="5"/>
    </row>
    <row r="7" spans="1:7" ht="13.65" customHeight="1">
      <c r="A7" s="5"/>
      <c r="B7" s="3" t="s">
        <v>751</v>
      </c>
      <c r="C7" s="3" t="s">
        <v>1202</v>
      </c>
      <c r="D7" s="3" t="s">
        <v>675</v>
      </c>
      <c r="E7" s="3" t="s">
        <v>868</v>
      </c>
      <c r="F7" s="5"/>
      <c r="G7" s="5"/>
    </row>
    <row r="8" spans="1:7" ht="13.65" customHeight="1">
      <c r="A8" s="5"/>
      <c r="B8" s="3" t="s">
        <v>683</v>
      </c>
      <c r="C8" s="3" t="s">
        <v>1204</v>
      </c>
      <c r="D8" s="3" t="s">
        <v>675</v>
      </c>
      <c r="E8" s="3" t="s">
        <v>868</v>
      </c>
      <c r="F8" s="5"/>
      <c r="G8" s="5"/>
    </row>
    <row r="9" spans="1:7" ht="12" customHeight="1">
      <c r="A9" s="5"/>
      <c r="B9" s="5"/>
      <c r="C9" s="5"/>
      <c r="D9" s="5"/>
      <c r="E9" s="2474" t="s">
        <v>685</v>
      </c>
      <c r="F9" s="2474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5" customHeight="1">
      <c r="A11" s="5"/>
      <c r="B11" s="3" t="s">
        <v>1207</v>
      </c>
      <c r="C11" s="5"/>
      <c r="D11" s="3" t="s">
        <v>743</v>
      </c>
      <c r="E11" s="3" t="s">
        <v>1206</v>
      </c>
      <c r="F11" s="5"/>
      <c r="G11" s="5"/>
    </row>
    <row r="12" spans="1:7" ht="12" customHeight="1">
      <c r="A12" s="5"/>
      <c r="B12" s="5"/>
      <c r="C12" s="5"/>
      <c r="D12" s="5"/>
      <c r="E12" s="2474" t="s">
        <v>702</v>
      </c>
      <c r="F12" s="2474"/>
      <c r="G12" s="5"/>
    </row>
    <row r="13" spans="1:7" ht="12" customHeight="1">
      <c r="A13" s="3" t="s">
        <v>703</v>
      </c>
      <c r="B13" s="3" t="s">
        <v>704</v>
      </c>
      <c r="C13" s="5"/>
      <c r="D13" s="5"/>
      <c r="E13" s="5"/>
      <c r="F13" s="5"/>
      <c r="G13" s="5"/>
    </row>
    <row r="14" spans="1:7" ht="12" customHeight="1">
      <c r="A14" s="5"/>
      <c r="B14" s="5"/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2474" t="s">
        <v>705</v>
      </c>
      <c r="F15" s="2474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3" t="s">
        <v>706</v>
      </c>
      <c r="B17" s="2474" t="s">
        <v>707</v>
      </c>
      <c r="C17" s="2474"/>
      <c r="D17" s="2474"/>
      <c r="E17" s="2474"/>
      <c r="F17" s="2474"/>
      <c r="G17" s="5"/>
    </row>
    <row r="18" spans="1:7" ht="12" customHeight="1">
      <c r="A18" s="3" t="s">
        <v>708</v>
      </c>
      <c r="B18" s="2471" t="s">
        <v>876</v>
      </c>
      <c r="C18" s="2471"/>
      <c r="D18" s="2471"/>
      <c r="E18" s="2472" t="s">
        <v>710</v>
      </c>
      <c r="F18" s="2472"/>
      <c r="G18" s="5"/>
    </row>
    <row r="19" spans="1:7" ht="12" customHeight="1">
      <c r="A19" s="3" t="s">
        <v>711</v>
      </c>
      <c r="B19" s="2473" t="s">
        <v>712</v>
      </c>
      <c r="C19" s="2473"/>
      <c r="D19" s="2473"/>
      <c r="E19" s="2473"/>
      <c r="F19" s="2473"/>
      <c r="G19" s="5"/>
    </row>
    <row r="20" spans="1:7" ht="12" customHeight="1">
      <c r="A20" s="3"/>
      <c r="B20" s="26"/>
      <c r="C20" s="26"/>
      <c r="D20" s="26"/>
      <c r="E20" s="26"/>
      <c r="F20" s="26"/>
      <c r="G20" s="5"/>
    </row>
    <row r="21" spans="1:7" ht="12" customHeight="1">
      <c r="A21" s="50" t="s">
        <v>2271</v>
      </c>
      <c r="B21" s="26"/>
      <c r="C21" s="26"/>
      <c r="D21" s="26"/>
      <c r="E21" s="26"/>
      <c r="F21" s="26"/>
      <c r="G21" s="5"/>
    </row>
    <row r="22" spans="1:7" ht="12" customHeight="1">
      <c r="A22" s="3"/>
      <c r="B22" s="26"/>
      <c r="C22" s="26"/>
      <c r="D22" s="26"/>
      <c r="E22" s="26"/>
      <c r="F22" s="26"/>
      <c r="G22" s="5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6" t="s">
        <v>767</v>
      </c>
      <c r="G23" s="6" t="s">
        <v>768</v>
      </c>
    </row>
    <row r="24" spans="1:7" ht="12" customHeight="1">
      <c r="A24" s="3" t="s">
        <v>671</v>
      </c>
      <c r="B24" s="3" t="s">
        <v>672</v>
      </c>
      <c r="C24" s="5"/>
      <c r="D24" s="5"/>
      <c r="E24" s="5"/>
      <c r="F24" s="5"/>
      <c r="G24" s="5"/>
    </row>
    <row r="25" spans="1:7" ht="13.65" customHeight="1">
      <c r="A25" s="5"/>
      <c r="B25" s="3" t="s">
        <v>673</v>
      </c>
      <c r="C25" s="3" t="s">
        <v>674</v>
      </c>
      <c r="D25" s="3" t="s">
        <v>675</v>
      </c>
      <c r="E25" s="12" t="s">
        <v>752</v>
      </c>
      <c r="F25" s="5"/>
      <c r="G25" s="5"/>
    </row>
    <row r="26" spans="1:7" ht="13.65" customHeight="1">
      <c r="A26" s="5"/>
      <c r="B26" s="3" t="s">
        <v>677</v>
      </c>
      <c r="C26" s="3" t="s">
        <v>681</v>
      </c>
      <c r="D26" s="3" t="s">
        <v>675</v>
      </c>
      <c r="E26" s="3" t="s">
        <v>817</v>
      </c>
      <c r="F26" s="5"/>
      <c r="G26" s="5"/>
    </row>
    <row r="27" spans="1:7" ht="13.95" customHeight="1">
      <c r="A27" s="5"/>
      <c r="B27" s="3" t="s">
        <v>751</v>
      </c>
      <c r="C27" s="3" t="s">
        <v>1202</v>
      </c>
      <c r="D27" s="3" t="s">
        <v>675</v>
      </c>
      <c r="E27" s="3" t="s">
        <v>868</v>
      </c>
      <c r="F27" s="5"/>
      <c r="G27" s="5"/>
    </row>
    <row r="28" spans="1:7" ht="13.65" customHeight="1">
      <c r="A28" s="5"/>
      <c r="B28" s="3" t="s">
        <v>683</v>
      </c>
      <c r="C28" s="3" t="s">
        <v>1204</v>
      </c>
      <c r="D28" s="3" t="s">
        <v>675</v>
      </c>
      <c r="E28" s="3" t="s">
        <v>868</v>
      </c>
      <c r="F28" s="5"/>
      <c r="G28" s="5"/>
    </row>
    <row r="29" spans="1:7" ht="12" customHeight="1">
      <c r="A29" s="5"/>
      <c r="B29" s="5"/>
      <c r="C29" s="5"/>
      <c r="D29" s="5"/>
      <c r="E29" s="2474" t="s">
        <v>685</v>
      </c>
      <c r="F29" s="2474"/>
      <c r="G29" s="5"/>
    </row>
    <row r="30" spans="1:7" ht="12" customHeight="1">
      <c r="A30" s="3" t="s">
        <v>686</v>
      </c>
      <c r="B30" s="3" t="s">
        <v>687</v>
      </c>
      <c r="C30" s="5"/>
      <c r="D30" s="5"/>
      <c r="E30" s="5"/>
      <c r="F30" s="5"/>
      <c r="G30" s="5"/>
    </row>
    <row r="31" spans="1:7" ht="13.65" customHeight="1">
      <c r="A31" s="5"/>
      <c r="B31" s="3" t="s">
        <v>1207</v>
      </c>
      <c r="C31" s="5"/>
      <c r="D31" s="3" t="s">
        <v>743</v>
      </c>
      <c r="E31" s="3" t="s">
        <v>1208</v>
      </c>
      <c r="F31" s="5"/>
      <c r="G31" s="5"/>
    </row>
    <row r="32" spans="1:7" ht="12" customHeight="1">
      <c r="A32" s="5"/>
      <c r="B32" s="5"/>
      <c r="C32" s="5"/>
      <c r="D32" s="5"/>
      <c r="E32" s="2474" t="s">
        <v>702</v>
      </c>
      <c r="F32" s="2474"/>
      <c r="G32" s="5"/>
    </row>
    <row r="33" spans="1:7" ht="12" customHeight="1">
      <c r="A33" s="3" t="s">
        <v>703</v>
      </c>
      <c r="B33" s="3" t="s">
        <v>704</v>
      </c>
      <c r="C33" s="5"/>
      <c r="D33" s="5"/>
      <c r="E33" s="5"/>
      <c r="F33" s="5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5"/>
      <c r="B35" s="5"/>
      <c r="C35" s="5"/>
      <c r="D35" s="5"/>
      <c r="E35" s="2474" t="s">
        <v>705</v>
      </c>
      <c r="F35" s="2474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3" t="s">
        <v>706</v>
      </c>
      <c r="B37" s="2474" t="s">
        <v>707</v>
      </c>
      <c r="C37" s="2474"/>
      <c r="D37" s="2474"/>
      <c r="E37" s="2474"/>
      <c r="F37" s="2474"/>
      <c r="G37" s="5"/>
    </row>
    <row r="38" spans="1:7" ht="12" customHeight="1">
      <c r="A38" s="3" t="s">
        <v>708</v>
      </c>
      <c r="B38" s="2471" t="s">
        <v>876</v>
      </c>
      <c r="C38" s="2471"/>
      <c r="D38" s="2471"/>
      <c r="E38" s="2472" t="s">
        <v>710</v>
      </c>
      <c r="F38" s="2472"/>
      <c r="G38" s="5"/>
    </row>
    <row r="39" spans="1:7" ht="12" customHeight="1">
      <c r="A39" s="3" t="s">
        <v>711</v>
      </c>
      <c r="B39" s="2473" t="s">
        <v>712</v>
      </c>
      <c r="C39" s="2473"/>
      <c r="D39" s="2473"/>
      <c r="E39" s="2473"/>
      <c r="F39" s="2473"/>
      <c r="G39" s="5"/>
    </row>
  </sheetData>
  <mergeCells count="14">
    <mergeCell ref="E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E29:F29"/>
    <mergeCell ref="E32:F32"/>
    <mergeCell ref="E35:F35"/>
    <mergeCell ref="B37:F37"/>
  </mergeCell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76"/>
  <dimension ref="A1:G43"/>
  <sheetViews>
    <sheetView topLeftCell="A31" workbookViewId="0">
      <selection sqref="A1:G43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2272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6" t="s">
        <v>767</v>
      </c>
      <c r="G3" s="6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65" customHeight="1">
      <c r="A5" s="5"/>
      <c r="B5" s="3" t="s">
        <v>673</v>
      </c>
      <c r="C5" s="3" t="s">
        <v>674</v>
      </c>
      <c r="D5" s="3" t="s">
        <v>675</v>
      </c>
      <c r="E5" s="12" t="s">
        <v>1209</v>
      </c>
      <c r="F5" s="5"/>
      <c r="G5" s="5"/>
    </row>
    <row r="6" spans="1:7" ht="13.95" customHeight="1">
      <c r="A6" s="5"/>
      <c r="B6" s="3" t="s">
        <v>677</v>
      </c>
      <c r="C6" s="3" t="s">
        <v>681</v>
      </c>
      <c r="D6" s="3" t="s">
        <v>675</v>
      </c>
      <c r="E6" s="12" t="s">
        <v>758</v>
      </c>
      <c r="F6" s="5"/>
      <c r="G6" s="5"/>
    </row>
    <row r="7" spans="1:7" ht="13.65" customHeight="1">
      <c r="A7" s="5"/>
      <c r="B7" s="3" t="s">
        <v>751</v>
      </c>
      <c r="C7" s="3" t="s">
        <v>1202</v>
      </c>
      <c r="D7" s="3" t="s">
        <v>675</v>
      </c>
      <c r="E7" s="12" t="s">
        <v>728</v>
      </c>
      <c r="F7" s="5"/>
      <c r="G7" s="5"/>
    </row>
    <row r="8" spans="1:7" ht="13.65" customHeight="1">
      <c r="A8" s="5"/>
      <c r="B8" s="3" t="s">
        <v>683</v>
      </c>
      <c r="C8" s="3" t="s">
        <v>1204</v>
      </c>
      <c r="D8" s="3" t="s">
        <v>675</v>
      </c>
      <c r="E8" s="3" t="s">
        <v>784</v>
      </c>
      <c r="F8" s="5"/>
      <c r="G8" s="5"/>
    </row>
    <row r="9" spans="1:7" ht="12" customHeight="1">
      <c r="A9" s="5"/>
      <c r="B9" s="5"/>
      <c r="C9" s="5"/>
      <c r="D9" s="5"/>
      <c r="E9" s="2474" t="s">
        <v>685</v>
      </c>
      <c r="F9" s="2474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5" customHeight="1">
      <c r="A11" s="5"/>
      <c r="B11" s="3" t="s">
        <v>1210</v>
      </c>
      <c r="C11" s="5"/>
      <c r="D11" s="3" t="s">
        <v>743</v>
      </c>
      <c r="E11" s="12" t="s">
        <v>1183</v>
      </c>
      <c r="F11" s="5"/>
      <c r="G11" s="5"/>
    </row>
    <row r="12" spans="1:7" ht="13.65" customHeight="1">
      <c r="A12" s="5"/>
      <c r="B12" s="3" t="s">
        <v>818</v>
      </c>
      <c r="C12" s="5"/>
      <c r="D12" s="3" t="s">
        <v>690</v>
      </c>
      <c r="E12" s="12" t="s">
        <v>1211</v>
      </c>
      <c r="F12" s="5"/>
      <c r="G12" s="5"/>
    </row>
    <row r="13" spans="1:7" ht="13.95" customHeight="1">
      <c r="A13" s="5"/>
      <c r="B13" s="3" t="s">
        <v>739</v>
      </c>
      <c r="C13" s="5"/>
      <c r="D13" s="3" t="s">
        <v>881</v>
      </c>
      <c r="E13" s="3" t="s">
        <v>799</v>
      </c>
      <c r="F13" s="5"/>
      <c r="G13" s="5"/>
    </row>
    <row r="14" spans="1:7" ht="12" customHeight="1">
      <c r="A14" s="5"/>
      <c r="B14" s="5"/>
      <c r="C14" s="5"/>
      <c r="D14" s="5"/>
      <c r="E14" s="2474" t="s">
        <v>702</v>
      </c>
      <c r="F14" s="2474"/>
      <c r="G14" s="5"/>
    </row>
    <row r="15" spans="1:7" ht="12" customHeight="1">
      <c r="A15" s="3" t="s">
        <v>703</v>
      </c>
      <c r="B15" s="3" t="s">
        <v>704</v>
      </c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2474" t="s">
        <v>705</v>
      </c>
      <c r="F17" s="2474"/>
      <c r="G17" s="5"/>
    </row>
    <row r="18" spans="1:7" ht="12" customHeight="1">
      <c r="A18" s="5"/>
      <c r="B18" s="5"/>
      <c r="C18" s="5"/>
      <c r="D18" s="5"/>
      <c r="E18" s="5"/>
      <c r="F18" s="5"/>
      <c r="G18" s="5"/>
    </row>
    <row r="19" spans="1:7" ht="12" customHeight="1">
      <c r="A19" s="3" t="s">
        <v>706</v>
      </c>
      <c r="B19" s="2474" t="s">
        <v>707</v>
      </c>
      <c r="C19" s="2474"/>
      <c r="D19" s="2474"/>
      <c r="E19" s="2474"/>
      <c r="F19" s="2474"/>
      <c r="G19" s="5"/>
    </row>
    <row r="20" spans="1:7" ht="12" customHeight="1">
      <c r="A20" s="3" t="s">
        <v>708</v>
      </c>
      <c r="B20" s="2471" t="s">
        <v>876</v>
      </c>
      <c r="C20" s="2471"/>
      <c r="D20" s="2471"/>
      <c r="E20" s="2472" t="s">
        <v>710</v>
      </c>
      <c r="F20" s="2472"/>
      <c r="G20" s="5"/>
    </row>
    <row r="21" spans="1:7" ht="12" customHeight="1">
      <c r="A21" s="3" t="s">
        <v>711</v>
      </c>
      <c r="B21" s="2473" t="s">
        <v>712</v>
      </c>
      <c r="C21" s="2473"/>
      <c r="D21" s="2473"/>
      <c r="E21" s="2473"/>
      <c r="F21" s="2473"/>
      <c r="G21" s="5"/>
    </row>
    <row r="22" spans="1:7" ht="12" customHeight="1">
      <c r="A22" s="3"/>
      <c r="B22" s="26"/>
      <c r="C22" s="26"/>
      <c r="D22" s="26"/>
      <c r="E22" s="26"/>
      <c r="F22" s="26"/>
      <c r="G22" s="5"/>
    </row>
    <row r="23" spans="1:7" ht="12" customHeight="1">
      <c r="A23" s="50" t="s">
        <v>2273</v>
      </c>
      <c r="B23" s="26"/>
      <c r="C23" s="26"/>
      <c r="D23" s="26"/>
      <c r="E23" s="26"/>
      <c r="F23" s="26"/>
      <c r="G23" s="5"/>
    </row>
    <row r="24" spans="1:7" ht="12" customHeight="1">
      <c r="A24" s="3"/>
      <c r="B24" s="26"/>
      <c r="C24" s="26"/>
      <c r="D24" s="26"/>
      <c r="E24" s="26"/>
      <c r="F24" s="26"/>
      <c r="G24" s="5"/>
    </row>
    <row r="25" spans="1:7" ht="34.950000000000003" customHeight="1">
      <c r="A25" s="6" t="s">
        <v>762</v>
      </c>
      <c r="B25" s="6" t="s">
        <v>763</v>
      </c>
      <c r="C25" s="6" t="s">
        <v>764</v>
      </c>
      <c r="D25" s="6" t="s">
        <v>765</v>
      </c>
      <c r="E25" s="6" t="s">
        <v>766</v>
      </c>
      <c r="F25" s="6" t="s">
        <v>767</v>
      </c>
      <c r="G25" s="6" t="s">
        <v>768</v>
      </c>
    </row>
    <row r="26" spans="1:7" ht="12" customHeight="1">
      <c r="A26" s="3" t="s">
        <v>671</v>
      </c>
      <c r="B26" s="3" t="s">
        <v>672</v>
      </c>
      <c r="C26" s="5"/>
      <c r="D26" s="5"/>
      <c r="E26" s="5"/>
      <c r="F26" s="5"/>
      <c r="G26" s="5"/>
    </row>
    <row r="27" spans="1:7" ht="13.95" customHeight="1">
      <c r="A27" s="5"/>
      <c r="B27" s="3" t="s">
        <v>673</v>
      </c>
      <c r="C27" s="3" t="s">
        <v>674</v>
      </c>
      <c r="D27" s="3" t="s">
        <v>675</v>
      </c>
      <c r="E27" s="12" t="s">
        <v>1209</v>
      </c>
      <c r="F27" s="5"/>
      <c r="G27" s="5"/>
    </row>
    <row r="28" spans="1:7" ht="13.65" customHeight="1">
      <c r="A28" s="5"/>
      <c r="B28" s="3" t="s">
        <v>677</v>
      </c>
      <c r="C28" s="3" t="s">
        <v>681</v>
      </c>
      <c r="D28" s="3" t="s">
        <v>675</v>
      </c>
      <c r="E28" s="12" t="s">
        <v>758</v>
      </c>
      <c r="F28" s="5"/>
      <c r="G28" s="5"/>
    </row>
    <row r="29" spans="1:7" ht="13.65" customHeight="1">
      <c r="A29" s="5"/>
      <c r="B29" s="3" t="s">
        <v>751</v>
      </c>
      <c r="C29" s="3" t="s">
        <v>1202</v>
      </c>
      <c r="D29" s="3" t="s">
        <v>675</v>
      </c>
      <c r="E29" s="12" t="s">
        <v>728</v>
      </c>
      <c r="F29" s="5"/>
      <c r="G29" s="5"/>
    </row>
    <row r="30" spans="1:7" ht="13.95" customHeight="1">
      <c r="A30" s="5"/>
      <c r="B30" s="3" t="s">
        <v>683</v>
      </c>
      <c r="C30" s="3" t="s">
        <v>1204</v>
      </c>
      <c r="D30" s="3" t="s">
        <v>675</v>
      </c>
      <c r="E30" s="3" t="s">
        <v>784</v>
      </c>
      <c r="F30" s="5"/>
      <c r="G30" s="5"/>
    </row>
    <row r="31" spans="1:7" ht="12" customHeight="1">
      <c r="A31" s="5"/>
      <c r="B31" s="5"/>
      <c r="C31" s="5"/>
      <c r="D31" s="5"/>
      <c r="E31" s="2474" t="s">
        <v>685</v>
      </c>
      <c r="F31" s="2474"/>
      <c r="G31" s="5"/>
    </row>
    <row r="32" spans="1:7" ht="12" customHeight="1">
      <c r="A32" s="3" t="s">
        <v>686</v>
      </c>
      <c r="B32" s="3" t="s">
        <v>687</v>
      </c>
      <c r="C32" s="5"/>
      <c r="D32" s="5"/>
      <c r="E32" s="5"/>
      <c r="F32" s="5"/>
      <c r="G32" s="5"/>
    </row>
    <row r="33" spans="1:7" ht="13.65" customHeight="1">
      <c r="A33" s="5"/>
      <c r="B33" s="3" t="s">
        <v>1210</v>
      </c>
      <c r="C33" s="5"/>
      <c r="D33" s="3" t="s">
        <v>743</v>
      </c>
      <c r="E33" s="12" t="s">
        <v>1183</v>
      </c>
      <c r="F33" s="5"/>
      <c r="G33" s="5"/>
    </row>
    <row r="34" spans="1:7" ht="13.65" customHeight="1">
      <c r="A34" s="5"/>
      <c r="B34" s="3" t="s">
        <v>818</v>
      </c>
      <c r="C34" s="5"/>
      <c r="D34" s="3" t="s">
        <v>690</v>
      </c>
      <c r="E34" s="12" t="s">
        <v>1211</v>
      </c>
      <c r="F34" s="5"/>
      <c r="G34" s="5"/>
    </row>
    <row r="35" spans="1:7" ht="13.95" customHeight="1">
      <c r="A35" s="5"/>
      <c r="B35" s="3" t="s">
        <v>739</v>
      </c>
      <c r="C35" s="5"/>
      <c r="D35" s="3" t="s">
        <v>881</v>
      </c>
      <c r="E35" s="3" t="s">
        <v>799</v>
      </c>
      <c r="F35" s="5"/>
      <c r="G35" s="5"/>
    </row>
    <row r="36" spans="1:7" ht="12" customHeight="1">
      <c r="A36" s="5"/>
      <c r="B36" s="5"/>
      <c r="C36" s="5"/>
      <c r="D36" s="5"/>
      <c r="E36" s="2474" t="s">
        <v>702</v>
      </c>
      <c r="F36" s="2474"/>
      <c r="G36" s="5"/>
    </row>
    <row r="37" spans="1:7" ht="12" customHeight="1">
      <c r="A37" s="3" t="s">
        <v>703</v>
      </c>
      <c r="B37" s="3" t="s">
        <v>704</v>
      </c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5"/>
      <c r="B39" s="5"/>
      <c r="C39" s="5"/>
      <c r="D39" s="5"/>
      <c r="E39" s="2474" t="s">
        <v>705</v>
      </c>
      <c r="F39" s="2474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3" t="s">
        <v>706</v>
      </c>
      <c r="B41" s="2474" t="s">
        <v>707</v>
      </c>
      <c r="C41" s="2474"/>
      <c r="D41" s="2474"/>
      <c r="E41" s="2474"/>
      <c r="F41" s="2474"/>
      <c r="G41" s="5"/>
    </row>
    <row r="42" spans="1:7" ht="12" customHeight="1">
      <c r="A42" s="3" t="s">
        <v>708</v>
      </c>
      <c r="B42" s="2471" t="s">
        <v>876</v>
      </c>
      <c r="C42" s="2471"/>
      <c r="D42" s="2471"/>
      <c r="E42" s="2472" t="s">
        <v>710</v>
      </c>
      <c r="F42" s="2472"/>
      <c r="G42" s="5"/>
    </row>
    <row r="43" spans="1:7" ht="12" customHeight="1">
      <c r="A43" s="3" t="s">
        <v>711</v>
      </c>
      <c r="B43" s="2473" t="s">
        <v>712</v>
      </c>
      <c r="C43" s="2473"/>
      <c r="D43" s="2473"/>
      <c r="E43" s="2473"/>
      <c r="F43" s="2473"/>
      <c r="G43" s="5"/>
    </row>
  </sheetData>
  <mergeCells count="14">
    <mergeCell ref="E9:F9"/>
    <mergeCell ref="E14:F14"/>
    <mergeCell ref="E17:F17"/>
    <mergeCell ref="B19:F19"/>
    <mergeCell ref="B20:D20"/>
    <mergeCell ref="E20:F20"/>
    <mergeCell ref="B42:D42"/>
    <mergeCell ref="E42:F42"/>
    <mergeCell ref="B43:F43"/>
    <mergeCell ref="B21:F21"/>
    <mergeCell ref="E31:F31"/>
    <mergeCell ref="E36:F36"/>
    <mergeCell ref="E39:F39"/>
    <mergeCell ref="B41:F41"/>
  </mergeCell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77"/>
  <dimension ref="A1:G42"/>
  <sheetViews>
    <sheetView workbookViewId="0">
      <selection activeCell="G42" sqref="A1:G42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2274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6" t="s">
        <v>767</v>
      </c>
      <c r="G3" s="6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65" customHeight="1">
      <c r="A5" s="5"/>
      <c r="B5" s="3" t="s">
        <v>673</v>
      </c>
      <c r="C5" s="3" t="s">
        <v>674</v>
      </c>
      <c r="D5" s="3" t="s">
        <v>675</v>
      </c>
      <c r="E5" s="12" t="s">
        <v>1209</v>
      </c>
      <c r="F5" s="5"/>
      <c r="G5" s="5"/>
    </row>
    <row r="6" spans="1:7" ht="13.95" customHeight="1">
      <c r="A6" s="5"/>
      <c r="B6" s="3" t="s">
        <v>677</v>
      </c>
      <c r="C6" s="3" t="s">
        <v>681</v>
      </c>
      <c r="D6" s="3" t="s">
        <v>675</v>
      </c>
      <c r="E6" s="12" t="s">
        <v>758</v>
      </c>
      <c r="F6" s="5"/>
      <c r="G6" s="5"/>
    </row>
    <row r="7" spans="1:7" ht="13.65" customHeight="1">
      <c r="A7" s="5"/>
      <c r="B7" s="3" t="s">
        <v>751</v>
      </c>
      <c r="C7" s="3" t="s">
        <v>1202</v>
      </c>
      <c r="D7" s="3" t="s">
        <v>675</v>
      </c>
      <c r="E7" s="12" t="s">
        <v>728</v>
      </c>
      <c r="F7" s="5"/>
      <c r="G7" s="5"/>
    </row>
    <row r="8" spans="1:7" ht="13.65" customHeight="1">
      <c r="A8" s="5"/>
      <c r="B8" s="3" t="s">
        <v>683</v>
      </c>
      <c r="C8" s="3" t="s">
        <v>1204</v>
      </c>
      <c r="D8" s="3" t="s">
        <v>675</v>
      </c>
      <c r="E8" s="3" t="s">
        <v>784</v>
      </c>
      <c r="F8" s="5"/>
      <c r="G8" s="5"/>
    </row>
    <row r="9" spans="1:7" ht="12" customHeight="1">
      <c r="A9" s="5"/>
      <c r="B9" s="5"/>
      <c r="C9" s="5"/>
      <c r="D9" s="5"/>
      <c r="E9" s="2474" t="s">
        <v>685</v>
      </c>
      <c r="F9" s="2474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5" customHeight="1">
      <c r="A11" s="5"/>
      <c r="B11" s="3" t="s">
        <v>1210</v>
      </c>
      <c r="C11" s="5"/>
      <c r="D11" s="3" t="s">
        <v>743</v>
      </c>
      <c r="E11" s="12" t="s">
        <v>1212</v>
      </c>
      <c r="F11" s="5"/>
      <c r="G11" s="5"/>
    </row>
    <row r="12" spans="1:7" ht="13.65" customHeight="1">
      <c r="A12" s="5"/>
      <c r="B12" s="3" t="s">
        <v>818</v>
      </c>
      <c r="C12" s="5"/>
      <c r="D12" s="3" t="s">
        <v>690</v>
      </c>
      <c r="E12" s="12" t="s">
        <v>1211</v>
      </c>
      <c r="F12" s="5"/>
      <c r="G12" s="5"/>
    </row>
    <row r="13" spans="1:7" ht="13.65" customHeight="1">
      <c r="A13" s="5"/>
      <c r="B13" s="3" t="s">
        <v>739</v>
      </c>
      <c r="C13" s="5"/>
      <c r="D13" s="3" t="s">
        <v>881</v>
      </c>
      <c r="E13" s="3" t="s">
        <v>799</v>
      </c>
      <c r="F13" s="5"/>
      <c r="G13" s="5"/>
    </row>
    <row r="14" spans="1:7" ht="12" customHeight="1">
      <c r="A14" s="5"/>
      <c r="B14" s="5"/>
      <c r="C14" s="5"/>
      <c r="D14" s="5"/>
      <c r="E14" s="2474" t="s">
        <v>702</v>
      </c>
      <c r="F14" s="2474"/>
      <c r="G14" s="5"/>
    </row>
    <row r="15" spans="1:7" ht="12" customHeight="1">
      <c r="A15" s="3" t="s">
        <v>703</v>
      </c>
      <c r="B15" s="3" t="s">
        <v>704</v>
      </c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2474" t="s">
        <v>705</v>
      </c>
      <c r="F17" s="2474"/>
      <c r="G17" s="5"/>
    </row>
    <row r="18" spans="1:7" ht="12" customHeight="1">
      <c r="A18" s="5"/>
      <c r="B18" s="5"/>
      <c r="C18" s="5"/>
      <c r="D18" s="5"/>
      <c r="E18" s="5"/>
      <c r="F18" s="5"/>
      <c r="G18" s="5"/>
    </row>
    <row r="19" spans="1:7" ht="12" customHeight="1">
      <c r="A19" s="3" t="s">
        <v>706</v>
      </c>
      <c r="B19" s="2474" t="s">
        <v>707</v>
      </c>
      <c r="C19" s="2474"/>
      <c r="D19" s="2474"/>
      <c r="E19" s="2474"/>
      <c r="F19" s="2474"/>
      <c r="G19" s="5"/>
    </row>
    <row r="20" spans="1:7" ht="12" customHeight="1">
      <c r="A20" s="3" t="s">
        <v>708</v>
      </c>
      <c r="B20" s="2471" t="s">
        <v>876</v>
      </c>
      <c r="C20" s="2471"/>
      <c r="D20" s="2471"/>
      <c r="E20" s="2472" t="s">
        <v>710</v>
      </c>
      <c r="F20" s="2472"/>
      <c r="G20" s="5"/>
    </row>
    <row r="21" spans="1:7" ht="12.15" customHeight="1">
      <c r="A21" s="3" t="s">
        <v>711</v>
      </c>
      <c r="B21" s="2473" t="s">
        <v>712</v>
      </c>
      <c r="C21" s="2473"/>
      <c r="D21" s="2473"/>
      <c r="E21" s="2473"/>
      <c r="F21" s="2473"/>
      <c r="G21" s="5"/>
    </row>
    <row r="22" spans="1:7" ht="12.15" customHeight="1">
      <c r="A22" s="3"/>
      <c r="B22" s="26"/>
      <c r="C22" s="26"/>
      <c r="D22" s="26"/>
      <c r="E22" s="26"/>
      <c r="F22" s="26"/>
      <c r="G22" s="5"/>
    </row>
    <row r="23" spans="1:7" ht="12.15" customHeight="1">
      <c r="A23" s="50" t="s">
        <v>2275</v>
      </c>
      <c r="B23" s="26"/>
      <c r="C23" s="26"/>
      <c r="D23" s="26"/>
      <c r="E23" s="26"/>
      <c r="F23" s="26"/>
      <c r="G23" s="5"/>
    </row>
    <row r="24" spans="1:7" ht="12.15" customHeight="1">
      <c r="A24" s="3"/>
      <c r="B24" s="26"/>
      <c r="C24" s="26"/>
      <c r="D24" s="26"/>
      <c r="E24" s="26"/>
      <c r="F24" s="26"/>
      <c r="G24" s="5"/>
    </row>
    <row r="25" spans="1:7" ht="35.1" customHeight="1">
      <c r="A25" s="6" t="s">
        <v>762</v>
      </c>
      <c r="B25" s="6" t="s">
        <v>763</v>
      </c>
      <c r="C25" s="6" t="s">
        <v>764</v>
      </c>
      <c r="D25" s="6" t="s">
        <v>765</v>
      </c>
      <c r="E25" s="6" t="s">
        <v>766</v>
      </c>
      <c r="F25" s="6" t="s">
        <v>767</v>
      </c>
      <c r="G25" s="6" t="s">
        <v>768</v>
      </c>
    </row>
    <row r="26" spans="1:7" ht="12" customHeight="1">
      <c r="A26" s="3" t="s">
        <v>671</v>
      </c>
      <c r="B26" s="3" t="s">
        <v>672</v>
      </c>
      <c r="C26" s="5"/>
      <c r="D26" s="5"/>
      <c r="E26" s="5"/>
      <c r="F26" s="5"/>
      <c r="G26" s="5"/>
    </row>
    <row r="27" spans="1:7" ht="13.65" customHeight="1">
      <c r="A27" s="5"/>
      <c r="B27" s="3" t="s">
        <v>673</v>
      </c>
      <c r="C27" s="3" t="s">
        <v>674</v>
      </c>
      <c r="D27" s="3" t="s">
        <v>675</v>
      </c>
      <c r="E27" s="12" t="s">
        <v>1213</v>
      </c>
      <c r="F27" s="5"/>
      <c r="G27" s="5"/>
    </row>
    <row r="28" spans="1:7" ht="13.95" customHeight="1">
      <c r="A28" s="5"/>
      <c r="B28" s="3" t="s">
        <v>677</v>
      </c>
      <c r="C28" s="3" t="s">
        <v>681</v>
      </c>
      <c r="D28" s="3" t="s">
        <v>675</v>
      </c>
      <c r="E28" s="3" t="s">
        <v>798</v>
      </c>
      <c r="F28" s="5"/>
      <c r="G28" s="5"/>
    </row>
    <row r="29" spans="1:7" ht="13.65" customHeight="1">
      <c r="A29" s="5"/>
      <c r="B29" s="3" t="s">
        <v>751</v>
      </c>
      <c r="C29" s="3" t="s">
        <v>1202</v>
      </c>
      <c r="D29" s="3" t="s">
        <v>675</v>
      </c>
      <c r="E29" s="3" t="s">
        <v>730</v>
      </c>
      <c r="F29" s="5"/>
      <c r="G29" s="5"/>
    </row>
    <row r="30" spans="1:7" ht="13.95" customHeight="1">
      <c r="A30" s="5"/>
      <c r="B30" s="3" t="s">
        <v>683</v>
      </c>
      <c r="C30" s="3" t="s">
        <v>1204</v>
      </c>
      <c r="D30" s="3" t="s">
        <v>675</v>
      </c>
      <c r="E30" s="3" t="s">
        <v>730</v>
      </c>
      <c r="F30" s="5"/>
      <c r="G30" s="5"/>
    </row>
    <row r="31" spans="1:7" ht="12" customHeight="1">
      <c r="A31" s="5"/>
      <c r="B31" s="5"/>
      <c r="C31" s="5"/>
      <c r="D31" s="5"/>
      <c r="E31" s="2474" t="s">
        <v>685</v>
      </c>
      <c r="F31" s="2474"/>
      <c r="G31" s="5"/>
    </row>
    <row r="32" spans="1:7" ht="12" customHeight="1">
      <c r="A32" s="3" t="s">
        <v>686</v>
      </c>
      <c r="B32" s="3" t="s">
        <v>687</v>
      </c>
      <c r="C32" s="5"/>
      <c r="D32" s="5"/>
      <c r="E32" s="5"/>
      <c r="F32" s="5"/>
      <c r="G32" s="5"/>
    </row>
    <row r="33" spans="1:7" ht="13.65" customHeight="1">
      <c r="A33" s="5"/>
      <c r="B33" s="3" t="s">
        <v>1214</v>
      </c>
      <c r="C33" s="5"/>
      <c r="D33" s="3" t="s">
        <v>715</v>
      </c>
      <c r="E33" s="12" t="s">
        <v>1161</v>
      </c>
      <c r="F33" s="5"/>
      <c r="G33" s="5"/>
    </row>
    <row r="34" spans="1:7" ht="13.65" customHeight="1">
      <c r="A34" s="5"/>
      <c r="B34" s="3" t="s">
        <v>1215</v>
      </c>
      <c r="C34" s="5"/>
      <c r="D34" s="3" t="s">
        <v>690</v>
      </c>
      <c r="E34" s="12" t="s">
        <v>753</v>
      </c>
      <c r="F34" s="5"/>
      <c r="G34" s="5"/>
    </row>
    <row r="35" spans="1:7" ht="12" customHeight="1">
      <c r="A35" s="5"/>
      <c r="B35" s="5"/>
      <c r="C35" s="5"/>
      <c r="D35" s="5"/>
      <c r="E35" s="2474" t="s">
        <v>702</v>
      </c>
      <c r="F35" s="2474"/>
      <c r="G35" s="5"/>
    </row>
    <row r="36" spans="1:7" ht="12" customHeight="1">
      <c r="A36" s="3" t="s">
        <v>703</v>
      </c>
      <c r="B36" s="3" t="s">
        <v>704</v>
      </c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2474" t="s">
        <v>705</v>
      </c>
      <c r="F38" s="2474"/>
      <c r="G38" s="5"/>
    </row>
    <row r="39" spans="1:7" ht="12" customHeight="1">
      <c r="A39" s="5"/>
      <c r="B39" s="5"/>
      <c r="C39" s="5"/>
      <c r="D39" s="5"/>
      <c r="E39" s="5"/>
      <c r="F39" s="5"/>
      <c r="G39" s="5"/>
    </row>
    <row r="40" spans="1:7" ht="12" customHeight="1">
      <c r="A40" s="3" t="s">
        <v>706</v>
      </c>
      <c r="B40" s="2474" t="s">
        <v>707</v>
      </c>
      <c r="C40" s="2474"/>
      <c r="D40" s="2474"/>
      <c r="E40" s="2474"/>
      <c r="F40" s="2474"/>
      <c r="G40" s="5"/>
    </row>
    <row r="41" spans="1:7" ht="12" customHeight="1">
      <c r="A41" s="3" t="s">
        <v>708</v>
      </c>
      <c r="B41" s="2471" t="s">
        <v>876</v>
      </c>
      <c r="C41" s="2471"/>
      <c r="D41" s="2471"/>
      <c r="E41" s="2472" t="s">
        <v>710</v>
      </c>
      <c r="F41" s="2472"/>
      <c r="G41" s="5"/>
    </row>
    <row r="42" spans="1:7" ht="12" customHeight="1">
      <c r="A42" s="3" t="s">
        <v>711</v>
      </c>
      <c r="B42" s="2473" t="s">
        <v>712</v>
      </c>
      <c r="C42" s="2473"/>
      <c r="D42" s="2473"/>
      <c r="E42" s="2473"/>
      <c r="F42" s="2473"/>
      <c r="G42" s="5"/>
    </row>
  </sheetData>
  <mergeCells count="14">
    <mergeCell ref="E9:F9"/>
    <mergeCell ref="E14:F14"/>
    <mergeCell ref="E17:F17"/>
    <mergeCell ref="B19:F19"/>
    <mergeCell ref="B20:D20"/>
    <mergeCell ref="E20:F20"/>
    <mergeCell ref="B41:D41"/>
    <mergeCell ref="E41:F41"/>
    <mergeCell ref="B42:F42"/>
    <mergeCell ref="B21:F21"/>
    <mergeCell ref="E31:F31"/>
    <mergeCell ref="E35:F35"/>
    <mergeCell ref="E38:F38"/>
    <mergeCell ref="B40:F40"/>
  </mergeCell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78"/>
  <dimension ref="A1:G41"/>
  <sheetViews>
    <sheetView workbookViewId="0">
      <selection activeCell="G41" sqref="A1:G41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2276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6" t="s">
        <v>767</v>
      </c>
      <c r="G3" s="6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65" customHeight="1">
      <c r="A5" s="5"/>
      <c r="B5" s="3" t="s">
        <v>673</v>
      </c>
      <c r="C5" s="3" t="s">
        <v>674</v>
      </c>
      <c r="D5" s="3" t="s">
        <v>675</v>
      </c>
      <c r="E5" s="12" t="s">
        <v>1213</v>
      </c>
      <c r="F5" s="5"/>
      <c r="G5" s="5"/>
    </row>
    <row r="6" spans="1:7" ht="13.95" customHeight="1">
      <c r="A6" s="5"/>
      <c r="B6" s="3" t="s">
        <v>677</v>
      </c>
      <c r="C6" s="3" t="s">
        <v>681</v>
      </c>
      <c r="D6" s="3" t="s">
        <v>675</v>
      </c>
      <c r="E6" s="3" t="s">
        <v>817</v>
      </c>
      <c r="F6" s="5"/>
      <c r="G6" s="5"/>
    </row>
    <row r="7" spans="1:7" ht="13.65" customHeight="1">
      <c r="A7" s="5"/>
      <c r="B7" s="3" t="s">
        <v>751</v>
      </c>
      <c r="C7" s="3" t="s">
        <v>1202</v>
      </c>
      <c r="D7" s="3" t="s">
        <v>675</v>
      </c>
      <c r="E7" s="3" t="s">
        <v>868</v>
      </c>
      <c r="F7" s="5"/>
      <c r="G7" s="5"/>
    </row>
    <row r="8" spans="1:7" ht="13.65" customHeight="1">
      <c r="A8" s="5"/>
      <c r="B8" s="3" t="s">
        <v>683</v>
      </c>
      <c r="C8" s="3" t="s">
        <v>1204</v>
      </c>
      <c r="D8" s="3" t="s">
        <v>675</v>
      </c>
      <c r="E8" s="3" t="s">
        <v>868</v>
      </c>
      <c r="F8" s="5"/>
      <c r="G8" s="5"/>
    </row>
    <row r="9" spans="1:7" ht="12" customHeight="1">
      <c r="A9" s="5"/>
      <c r="B9" s="5"/>
      <c r="C9" s="5"/>
      <c r="D9" s="5"/>
      <c r="E9" s="2474" t="s">
        <v>685</v>
      </c>
      <c r="F9" s="2474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5" customHeight="1">
      <c r="A11" s="5"/>
      <c r="B11" s="3" t="s">
        <v>1216</v>
      </c>
      <c r="C11" s="5"/>
      <c r="D11" s="3" t="s">
        <v>715</v>
      </c>
      <c r="E11" s="12" t="s">
        <v>1162</v>
      </c>
      <c r="F11" s="5"/>
      <c r="G11" s="5"/>
    </row>
    <row r="12" spans="1:7" ht="13.65" customHeight="1">
      <c r="A12" s="5"/>
      <c r="B12" s="3" t="s">
        <v>1217</v>
      </c>
      <c r="C12" s="5"/>
      <c r="D12" s="3" t="s">
        <v>690</v>
      </c>
      <c r="E12" s="12" t="s">
        <v>726</v>
      </c>
      <c r="F12" s="5"/>
      <c r="G12" s="5"/>
    </row>
    <row r="13" spans="1:7" ht="12" customHeight="1">
      <c r="A13" s="5"/>
      <c r="B13" s="5"/>
      <c r="C13" s="5"/>
      <c r="D13" s="5"/>
      <c r="E13" s="2474" t="s">
        <v>702</v>
      </c>
      <c r="F13" s="2474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2474" t="s">
        <v>705</v>
      </c>
      <c r="F16" s="2474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2474" t="s">
        <v>707</v>
      </c>
      <c r="C18" s="2474"/>
      <c r="D18" s="2474"/>
      <c r="E18" s="2474"/>
      <c r="F18" s="2474"/>
      <c r="G18" s="5"/>
    </row>
    <row r="19" spans="1:7" ht="12" customHeight="1">
      <c r="A19" s="3" t="s">
        <v>708</v>
      </c>
      <c r="B19" s="2471" t="s">
        <v>876</v>
      </c>
      <c r="C19" s="2471"/>
      <c r="D19" s="2471"/>
      <c r="E19" s="2472" t="s">
        <v>710</v>
      </c>
      <c r="F19" s="2472"/>
      <c r="G19" s="5"/>
    </row>
    <row r="20" spans="1:7" ht="12" customHeight="1">
      <c r="A20" s="3" t="s">
        <v>711</v>
      </c>
      <c r="B20" s="2473" t="s">
        <v>712</v>
      </c>
      <c r="C20" s="2473"/>
      <c r="D20" s="2473"/>
      <c r="E20" s="2473"/>
      <c r="F20" s="2473"/>
      <c r="G20" s="5"/>
    </row>
    <row r="21" spans="1:7" ht="12" customHeight="1">
      <c r="A21" s="3"/>
      <c r="B21" s="26"/>
      <c r="C21" s="26"/>
      <c r="D21" s="26"/>
      <c r="E21" s="26"/>
      <c r="F21" s="26"/>
      <c r="G21" s="5"/>
    </row>
    <row r="22" spans="1:7" ht="12" customHeight="1">
      <c r="A22" s="50" t="s">
        <v>2277</v>
      </c>
      <c r="B22" s="26"/>
      <c r="C22" s="26"/>
      <c r="D22" s="26"/>
      <c r="E22" s="26"/>
      <c r="F22" s="26"/>
      <c r="G22" s="5"/>
    </row>
    <row r="23" spans="1:7" ht="12" customHeight="1">
      <c r="A23" s="3"/>
      <c r="B23" s="26"/>
      <c r="C23" s="26"/>
      <c r="D23" s="26"/>
      <c r="E23" s="26"/>
      <c r="F23" s="26"/>
      <c r="G23" s="5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6" t="s">
        <v>767</v>
      </c>
      <c r="G24" s="6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65" customHeight="1">
      <c r="A26" s="5"/>
      <c r="B26" s="3" t="s">
        <v>673</v>
      </c>
      <c r="C26" s="3" t="s">
        <v>674</v>
      </c>
      <c r="D26" s="3" t="s">
        <v>675</v>
      </c>
      <c r="E26" s="12" t="s">
        <v>1213</v>
      </c>
      <c r="F26" s="5"/>
      <c r="G26" s="5"/>
    </row>
    <row r="27" spans="1:7" ht="13.95" customHeight="1">
      <c r="A27" s="5"/>
      <c r="B27" s="3" t="s">
        <v>677</v>
      </c>
      <c r="C27" s="3" t="s">
        <v>681</v>
      </c>
      <c r="D27" s="3" t="s">
        <v>675</v>
      </c>
      <c r="E27" s="3" t="s">
        <v>817</v>
      </c>
      <c r="F27" s="5"/>
      <c r="G27" s="5"/>
    </row>
    <row r="28" spans="1:7" ht="13.65" customHeight="1">
      <c r="A28" s="5"/>
      <c r="B28" s="3" t="s">
        <v>751</v>
      </c>
      <c r="C28" s="3" t="s">
        <v>1202</v>
      </c>
      <c r="D28" s="3" t="s">
        <v>675</v>
      </c>
      <c r="E28" s="3" t="s">
        <v>868</v>
      </c>
      <c r="F28" s="5"/>
      <c r="G28" s="5"/>
    </row>
    <row r="29" spans="1:7" ht="13.65" customHeight="1">
      <c r="A29" s="5"/>
      <c r="B29" s="3" t="s">
        <v>683</v>
      </c>
      <c r="C29" s="3" t="s">
        <v>1204</v>
      </c>
      <c r="D29" s="3" t="s">
        <v>675</v>
      </c>
      <c r="E29" s="3" t="s">
        <v>868</v>
      </c>
      <c r="F29" s="5"/>
      <c r="G29" s="5"/>
    </row>
    <row r="30" spans="1:7" ht="12" customHeight="1">
      <c r="A30" s="5"/>
      <c r="B30" s="5"/>
      <c r="C30" s="5"/>
      <c r="D30" s="5"/>
      <c r="E30" s="2474" t="s">
        <v>685</v>
      </c>
      <c r="F30" s="2474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95" customHeight="1">
      <c r="A32" s="5"/>
      <c r="B32" s="3" t="s">
        <v>1216</v>
      </c>
      <c r="C32" s="5"/>
      <c r="D32" s="3" t="s">
        <v>715</v>
      </c>
      <c r="E32" s="12" t="s">
        <v>1161</v>
      </c>
      <c r="F32" s="5"/>
      <c r="G32" s="5"/>
    </row>
    <row r="33" spans="1:7" ht="13.65" customHeight="1">
      <c r="A33" s="5"/>
      <c r="B33" s="3" t="s">
        <v>1217</v>
      </c>
      <c r="C33" s="5"/>
      <c r="D33" s="3" t="s">
        <v>690</v>
      </c>
      <c r="E33" s="12" t="s">
        <v>726</v>
      </c>
      <c r="F33" s="5"/>
      <c r="G33" s="5"/>
    </row>
    <row r="34" spans="1:7" ht="12" customHeight="1">
      <c r="A34" s="5"/>
      <c r="B34" s="5"/>
      <c r="C34" s="5"/>
      <c r="D34" s="5"/>
      <c r="E34" s="2474" t="s">
        <v>702</v>
      </c>
      <c r="F34" s="2474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2474" t="s">
        <v>705</v>
      </c>
      <c r="F37" s="2474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2474" t="s">
        <v>707</v>
      </c>
      <c r="C39" s="2474"/>
      <c r="D39" s="2474"/>
      <c r="E39" s="2474"/>
      <c r="F39" s="2474"/>
      <c r="G39" s="5"/>
    </row>
    <row r="40" spans="1:7" ht="12" customHeight="1">
      <c r="A40" s="3" t="s">
        <v>708</v>
      </c>
      <c r="B40" s="2471" t="s">
        <v>876</v>
      </c>
      <c r="C40" s="2471"/>
      <c r="D40" s="2471"/>
      <c r="E40" s="2472" t="s">
        <v>710</v>
      </c>
      <c r="F40" s="2472"/>
      <c r="G40" s="5"/>
    </row>
    <row r="41" spans="1:7" ht="12" customHeight="1">
      <c r="A41" s="3" t="s">
        <v>711</v>
      </c>
      <c r="B41" s="2473" t="s">
        <v>712</v>
      </c>
      <c r="C41" s="2473"/>
      <c r="D41" s="2473"/>
      <c r="E41" s="2473"/>
      <c r="F41" s="2473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79"/>
  <dimension ref="A1:G41"/>
  <sheetViews>
    <sheetView workbookViewId="0">
      <selection activeCell="G41" sqref="A1:G41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2278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6" t="s">
        <v>767</v>
      </c>
      <c r="G3" s="6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65" customHeight="1">
      <c r="A5" s="5"/>
      <c r="B5" s="3" t="s">
        <v>673</v>
      </c>
      <c r="C5" s="3" t="s">
        <v>674</v>
      </c>
      <c r="D5" s="3" t="s">
        <v>675</v>
      </c>
      <c r="E5" s="12" t="s">
        <v>1213</v>
      </c>
      <c r="F5" s="5"/>
      <c r="G5" s="5"/>
    </row>
    <row r="6" spans="1:7" ht="13.95" customHeight="1">
      <c r="A6" s="5"/>
      <c r="B6" s="3" t="s">
        <v>677</v>
      </c>
      <c r="C6" s="3" t="s">
        <v>681</v>
      </c>
      <c r="D6" s="3" t="s">
        <v>675</v>
      </c>
      <c r="E6" s="3" t="s">
        <v>854</v>
      </c>
      <c r="F6" s="5"/>
      <c r="G6" s="5"/>
    </row>
    <row r="7" spans="1:7" ht="13.65" customHeight="1">
      <c r="A7" s="5"/>
      <c r="B7" s="3" t="s">
        <v>751</v>
      </c>
      <c r="C7" s="3" t="s">
        <v>1202</v>
      </c>
      <c r="D7" s="3" t="s">
        <v>675</v>
      </c>
      <c r="E7" s="3" t="s">
        <v>730</v>
      </c>
      <c r="F7" s="5"/>
      <c r="G7" s="5"/>
    </row>
    <row r="8" spans="1:7" ht="13.65" customHeight="1">
      <c r="A8" s="5"/>
      <c r="B8" s="3" t="s">
        <v>683</v>
      </c>
      <c r="C8" s="3" t="s">
        <v>1204</v>
      </c>
      <c r="D8" s="3" t="s">
        <v>675</v>
      </c>
      <c r="E8" s="3" t="s">
        <v>730</v>
      </c>
      <c r="F8" s="5"/>
      <c r="G8" s="5"/>
    </row>
    <row r="9" spans="1:7" ht="12" customHeight="1">
      <c r="A9" s="5"/>
      <c r="B9" s="5"/>
      <c r="C9" s="5"/>
      <c r="D9" s="5"/>
      <c r="E9" s="2474" t="s">
        <v>685</v>
      </c>
      <c r="F9" s="2474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5" customHeight="1">
      <c r="A11" s="5"/>
      <c r="B11" s="3" t="s">
        <v>1216</v>
      </c>
      <c r="C11" s="5"/>
      <c r="D11" s="3" t="s">
        <v>715</v>
      </c>
      <c r="E11" s="12" t="s">
        <v>1161</v>
      </c>
      <c r="F11" s="5"/>
      <c r="G11" s="5"/>
    </row>
    <row r="12" spans="1:7" ht="13.65" customHeight="1">
      <c r="A12" s="5"/>
      <c r="B12" s="3" t="s">
        <v>1217</v>
      </c>
      <c r="C12" s="5"/>
      <c r="D12" s="3" t="s">
        <v>690</v>
      </c>
      <c r="E12" s="12" t="s">
        <v>726</v>
      </c>
      <c r="F12" s="5"/>
      <c r="G12" s="5"/>
    </row>
    <row r="13" spans="1:7" ht="12" customHeight="1">
      <c r="A13" s="5"/>
      <c r="B13" s="5"/>
      <c r="C13" s="5"/>
      <c r="D13" s="5"/>
      <c r="E13" s="2474" t="s">
        <v>702</v>
      </c>
      <c r="F13" s="2474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2474" t="s">
        <v>705</v>
      </c>
      <c r="F16" s="2474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2474" t="s">
        <v>707</v>
      </c>
      <c r="C18" s="2474"/>
      <c r="D18" s="2474"/>
      <c r="E18" s="2474"/>
      <c r="F18" s="2474"/>
      <c r="G18" s="5"/>
    </row>
    <row r="19" spans="1:7" ht="12" customHeight="1">
      <c r="A19" s="3" t="s">
        <v>708</v>
      </c>
      <c r="B19" s="2471" t="s">
        <v>876</v>
      </c>
      <c r="C19" s="2471"/>
      <c r="D19" s="2471"/>
      <c r="E19" s="2472" t="s">
        <v>710</v>
      </c>
      <c r="F19" s="2472"/>
      <c r="G19" s="5"/>
    </row>
    <row r="20" spans="1:7" ht="12" customHeight="1">
      <c r="A20" s="3" t="s">
        <v>711</v>
      </c>
      <c r="B20" s="2473" t="s">
        <v>712</v>
      </c>
      <c r="C20" s="2473"/>
      <c r="D20" s="2473"/>
      <c r="E20" s="2473"/>
      <c r="F20" s="2473"/>
      <c r="G20" s="5"/>
    </row>
    <row r="21" spans="1:7" ht="12" customHeight="1">
      <c r="A21" s="3"/>
      <c r="B21" s="26"/>
      <c r="C21" s="26"/>
      <c r="D21" s="26"/>
      <c r="E21" s="26"/>
      <c r="F21" s="26"/>
      <c r="G21" s="5"/>
    </row>
    <row r="22" spans="1:7" ht="12" customHeight="1">
      <c r="A22" s="50" t="s">
        <v>2279</v>
      </c>
      <c r="B22" s="26"/>
      <c r="C22" s="26"/>
      <c r="D22" s="26"/>
      <c r="E22" s="26"/>
      <c r="F22" s="26"/>
      <c r="G22" s="5"/>
    </row>
    <row r="23" spans="1:7" ht="12" customHeight="1">
      <c r="A23" s="3"/>
      <c r="B23" s="26"/>
      <c r="C23" s="26"/>
      <c r="D23" s="26"/>
      <c r="E23" s="26"/>
      <c r="F23" s="26"/>
      <c r="G23" s="5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6" t="s">
        <v>767</v>
      </c>
      <c r="G24" s="6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65" customHeight="1">
      <c r="A26" s="5"/>
      <c r="B26" s="3" t="s">
        <v>673</v>
      </c>
      <c r="C26" s="3" t="s">
        <v>674</v>
      </c>
      <c r="D26" s="3" t="s">
        <v>675</v>
      </c>
      <c r="E26" s="12" t="s">
        <v>1213</v>
      </c>
      <c r="F26" s="5"/>
      <c r="G26" s="5"/>
    </row>
    <row r="27" spans="1:7" ht="13.95" customHeight="1">
      <c r="A27" s="5"/>
      <c r="B27" s="3" t="s">
        <v>677</v>
      </c>
      <c r="C27" s="3" t="s">
        <v>681</v>
      </c>
      <c r="D27" s="3" t="s">
        <v>675</v>
      </c>
      <c r="E27" s="3" t="s">
        <v>854</v>
      </c>
      <c r="F27" s="5"/>
      <c r="G27" s="5"/>
    </row>
    <row r="28" spans="1:7" ht="13.65" customHeight="1">
      <c r="A28" s="5"/>
      <c r="B28" s="3" t="s">
        <v>751</v>
      </c>
      <c r="C28" s="3" t="s">
        <v>1202</v>
      </c>
      <c r="D28" s="3" t="s">
        <v>675</v>
      </c>
      <c r="E28" s="3" t="s">
        <v>730</v>
      </c>
      <c r="F28" s="5"/>
      <c r="G28" s="5"/>
    </row>
    <row r="29" spans="1:7" ht="13.95" customHeight="1">
      <c r="A29" s="5"/>
      <c r="B29" s="3" t="s">
        <v>683</v>
      </c>
      <c r="C29" s="3" t="s">
        <v>1204</v>
      </c>
      <c r="D29" s="3" t="s">
        <v>675</v>
      </c>
      <c r="E29" s="3" t="s">
        <v>730</v>
      </c>
      <c r="F29" s="5"/>
      <c r="G29" s="5"/>
    </row>
    <row r="30" spans="1:7" ht="12" customHeight="1">
      <c r="A30" s="5"/>
      <c r="B30" s="5"/>
      <c r="C30" s="5"/>
      <c r="D30" s="5"/>
      <c r="E30" s="2474" t="s">
        <v>685</v>
      </c>
      <c r="F30" s="2474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65" customHeight="1">
      <c r="A32" s="5"/>
      <c r="B32" s="3" t="s">
        <v>1216</v>
      </c>
      <c r="C32" s="5"/>
      <c r="D32" s="3" t="s">
        <v>715</v>
      </c>
      <c r="E32" s="12" t="s">
        <v>1149</v>
      </c>
      <c r="F32" s="5"/>
      <c r="G32" s="5"/>
    </row>
    <row r="33" spans="1:7" ht="13.65" customHeight="1">
      <c r="A33" s="5"/>
      <c r="B33" s="3" t="s">
        <v>1217</v>
      </c>
      <c r="C33" s="5"/>
      <c r="D33" s="3" t="s">
        <v>690</v>
      </c>
      <c r="E33" s="12" t="s">
        <v>726</v>
      </c>
      <c r="F33" s="5"/>
      <c r="G33" s="5"/>
    </row>
    <row r="34" spans="1:7" ht="12" customHeight="1">
      <c r="A34" s="5"/>
      <c r="B34" s="5"/>
      <c r="C34" s="5"/>
      <c r="D34" s="5"/>
      <c r="E34" s="2474" t="s">
        <v>702</v>
      </c>
      <c r="F34" s="2474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2474" t="s">
        <v>705</v>
      </c>
      <c r="F37" s="2474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2474" t="s">
        <v>707</v>
      </c>
      <c r="C39" s="2474"/>
      <c r="D39" s="2474"/>
      <c r="E39" s="2474"/>
      <c r="F39" s="2474"/>
      <c r="G39" s="5"/>
    </row>
    <row r="40" spans="1:7" ht="12" customHeight="1">
      <c r="A40" s="3" t="s">
        <v>708</v>
      </c>
      <c r="B40" s="2471" t="s">
        <v>876</v>
      </c>
      <c r="C40" s="2471"/>
      <c r="D40" s="2471"/>
      <c r="E40" s="2472" t="s">
        <v>710</v>
      </c>
      <c r="F40" s="2472"/>
      <c r="G40" s="5"/>
    </row>
    <row r="41" spans="1:7" ht="12" customHeight="1">
      <c r="A41" s="3" t="s">
        <v>711</v>
      </c>
      <c r="B41" s="2473" t="s">
        <v>712</v>
      </c>
      <c r="C41" s="2473"/>
      <c r="D41" s="2473"/>
      <c r="E41" s="2473"/>
      <c r="F41" s="2473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80"/>
  <dimension ref="A1:G41"/>
  <sheetViews>
    <sheetView workbookViewId="0">
      <selection activeCell="G41" sqref="A1:G41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2280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6" t="s">
        <v>767</v>
      </c>
      <c r="G3" s="6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65" customHeight="1">
      <c r="A5" s="5"/>
      <c r="B5" s="3" t="s">
        <v>673</v>
      </c>
      <c r="C5" s="3" t="s">
        <v>674</v>
      </c>
      <c r="D5" s="3" t="s">
        <v>675</v>
      </c>
      <c r="E5" s="12" t="s">
        <v>1213</v>
      </c>
      <c r="F5" s="5"/>
      <c r="G5" s="5"/>
    </row>
    <row r="6" spans="1:7" ht="13.95" customHeight="1">
      <c r="A6" s="5"/>
      <c r="B6" s="3" t="s">
        <v>677</v>
      </c>
      <c r="C6" s="3" t="s">
        <v>681</v>
      </c>
      <c r="D6" s="3" t="s">
        <v>675</v>
      </c>
      <c r="E6" s="3" t="s">
        <v>854</v>
      </c>
      <c r="F6" s="5"/>
      <c r="G6" s="5"/>
    </row>
    <row r="7" spans="1:7" ht="13.65" customHeight="1">
      <c r="A7" s="5"/>
      <c r="B7" s="3" t="s">
        <v>751</v>
      </c>
      <c r="C7" s="3" t="s">
        <v>1202</v>
      </c>
      <c r="D7" s="3" t="s">
        <v>675</v>
      </c>
      <c r="E7" s="3" t="s">
        <v>730</v>
      </c>
      <c r="F7" s="5"/>
      <c r="G7" s="5"/>
    </row>
    <row r="8" spans="1:7" ht="13.65" customHeight="1">
      <c r="A8" s="5"/>
      <c r="B8" s="3" t="s">
        <v>683</v>
      </c>
      <c r="C8" s="3" t="s">
        <v>1204</v>
      </c>
      <c r="D8" s="3" t="s">
        <v>675</v>
      </c>
      <c r="E8" s="3" t="s">
        <v>730</v>
      </c>
      <c r="F8" s="5"/>
      <c r="G8" s="5"/>
    </row>
    <row r="9" spans="1:7" ht="12" customHeight="1">
      <c r="A9" s="5"/>
      <c r="B9" s="5"/>
      <c r="C9" s="5"/>
      <c r="D9" s="5"/>
      <c r="E9" s="2474" t="s">
        <v>685</v>
      </c>
      <c r="F9" s="2474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5" customHeight="1">
      <c r="A11" s="5"/>
      <c r="B11" s="3" t="s">
        <v>1216</v>
      </c>
      <c r="C11" s="5"/>
      <c r="D11" s="3" t="s">
        <v>715</v>
      </c>
      <c r="E11" s="12" t="s">
        <v>1133</v>
      </c>
      <c r="F11" s="5"/>
      <c r="G11" s="5"/>
    </row>
    <row r="12" spans="1:7" ht="13.65" customHeight="1">
      <c r="A12" s="5"/>
      <c r="B12" s="3" t="s">
        <v>1217</v>
      </c>
      <c r="C12" s="5"/>
      <c r="D12" s="3" t="s">
        <v>690</v>
      </c>
      <c r="E12" s="12" t="s">
        <v>726</v>
      </c>
      <c r="F12" s="5"/>
      <c r="G12" s="5"/>
    </row>
    <row r="13" spans="1:7" ht="12" customHeight="1">
      <c r="A13" s="5"/>
      <c r="B13" s="5"/>
      <c r="C13" s="5"/>
      <c r="D13" s="5"/>
      <c r="E13" s="2474" t="s">
        <v>702</v>
      </c>
      <c r="F13" s="2474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2474" t="s">
        <v>705</v>
      </c>
      <c r="F16" s="2474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2474" t="s">
        <v>707</v>
      </c>
      <c r="C18" s="2474"/>
      <c r="D18" s="2474"/>
      <c r="E18" s="2474"/>
      <c r="F18" s="2474"/>
      <c r="G18" s="5"/>
    </row>
    <row r="19" spans="1:7" ht="12" customHeight="1">
      <c r="A19" s="3" t="s">
        <v>708</v>
      </c>
      <c r="B19" s="2471" t="s">
        <v>876</v>
      </c>
      <c r="C19" s="2471"/>
      <c r="D19" s="2471"/>
      <c r="E19" s="2472" t="s">
        <v>710</v>
      </c>
      <c r="F19" s="2472"/>
      <c r="G19" s="5"/>
    </row>
    <row r="20" spans="1:7" ht="12" customHeight="1">
      <c r="A20" s="3" t="s">
        <v>711</v>
      </c>
      <c r="B20" s="2473" t="s">
        <v>712</v>
      </c>
      <c r="C20" s="2473"/>
      <c r="D20" s="2473"/>
      <c r="E20" s="2473"/>
      <c r="F20" s="2473"/>
      <c r="G20" s="5"/>
    </row>
    <row r="21" spans="1:7" ht="12" customHeight="1">
      <c r="A21" s="3"/>
      <c r="B21" s="26"/>
      <c r="C21" s="26"/>
      <c r="D21" s="26"/>
      <c r="E21" s="26"/>
      <c r="F21" s="26"/>
      <c r="G21" s="5"/>
    </row>
    <row r="22" spans="1:7" ht="12" customHeight="1">
      <c r="A22" s="50" t="s">
        <v>2281</v>
      </c>
      <c r="B22" s="26"/>
      <c r="C22" s="26"/>
      <c r="D22" s="26"/>
      <c r="E22" s="26"/>
      <c r="F22" s="26"/>
      <c r="G22" s="5"/>
    </row>
    <row r="23" spans="1:7" ht="12" customHeight="1">
      <c r="A23" s="3"/>
      <c r="B23" s="26"/>
      <c r="C23" s="26"/>
      <c r="D23" s="26"/>
      <c r="E23" s="26"/>
      <c r="F23" s="26"/>
      <c r="G23" s="5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6" t="s">
        <v>767</v>
      </c>
      <c r="G24" s="6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65" customHeight="1">
      <c r="A26" s="5"/>
      <c r="B26" s="3" t="s">
        <v>673</v>
      </c>
      <c r="C26" s="3" t="s">
        <v>674</v>
      </c>
      <c r="D26" s="3" t="s">
        <v>675</v>
      </c>
      <c r="E26" s="12" t="s">
        <v>1213</v>
      </c>
      <c r="F26" s="5"/>
      <c r="G26" s="5"/>
    </row>
    <row r="27" spans="1:7" ht="13.95" customHeight="1">
      <c r="A27" s="5"/>
      <c r="B27" s="3" t="s">
        <v>677</v>
      </c>
      <c r="C27" s="3" t="s">
        <v>681</v>
      </c>
      <c r="D27" s="3" t="s">
        <v>675</v>
      </c>
      <c r="E27" s="3" t="s">
        <v>854</v>
      </c>
      <c r="F27" s="5"/>
      <c r="G27" s="5"/>
    </row>
    <row r="28" spans="1:7" ht="13.65" customHeight="1">
      <c r="A28" s="5"/>
      <c r="B28" s="3" t="s">
        <v>751</v>
      </c>
      <c r="C28" s="3" t="s">
        <v>1202</v>
      </c>
      <c r="D28" s="3" t="s">
        <v>675</v>
      </c>
      <c r="E28" s="3" t="s">
        <v>730</v>
      </c>
      <c r="F28" s="5"/>
      <c r="G28" s="5"/>
    </row>
    <row r="29" spans="1:7" ht="13.95" customHeight="1">
      <c r="A29" s="5"/>
      <c r="B29" s="3" t="s">
        <v>683</v>
      </c>
      <c r="C29" s="3" t="s">
        <v>1204</v>
      </c>
      <c r="D29" s="3" t="s">
        <v>675</v>
      </c>
      <c r="E29" s="3" t="s">
        <v>730</v>
      </c>
      <c r="F29" s="5"/>
      <c r="G29" s="5"/>
    </row>
    <row r="30" spans="1:7" ht="12" customHeight="1">
      <c r="A30" s="5"/>
      <c r="B30" s="5"/>
      <c r="C30" s="5"/>
      <c r="D30" s="5"/>
      <c r="E30" s="2474" t="s">
        <v>685</v>
      </c>
      <c r="F30" s="2474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65" customHeight="1">
      <c r="A32" s="5"/>
      <c r="B32" s="3" t="s">
        <v>1216</v>
      </c>
      <c r="C32" s="5"/>
      <c r="D32" s="3" t="s">
        <v>715</v>
      </c>
      <c r="E32" s="12" t="s">
        <v>1218</v>
      </c>
      <c r="F32" s="5"/>
      <c r="G32" s="5"/>
    </row>
    <row r="33" spans="1:7" ht="13.65" customHeight="1">
      <c r="A33" s="5"/>
      <c r="B33" s="3" t="s">
        <v>1217</v>
      </c>
      <c r="C33" s="5"/>
      <c r="D33" s="3" t="s">
        <v>690</v>
      </c>
      <c r="E33" s="12" t="s">
        <v>726</v>
      </c>
      <c r="F33" s="5"/>
      <c r="G33" s="5"/>
    </row>
    <row r="34" spans="1:7" ht="12" customHeight="1">
      <c r="A34" s="5"/>
      <c r="B34" s="5"/>
      <c r="C34" s="5"/>
      <c r="D34" s="5"/>
      <c r="E34" s="2474" t="s">
        <v>702</v>
      </c>
      <c r="F34" s="2474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2474" t="s">
        <v>705</v>
      </c>
      <c r="F37" s="2474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2474" t="s">
        <v>707</v>
      </c>
      <c r="C39" s="2474"/>
      <c r="D39" s="2474"/>
      <c r="E39" s="2474"/>
      <c r="F39" s="2474"/>
      <c r="G39" s="5"/>
    </row>
    <row r="40" spans="1:7" ht="12" customHeight="1">
      <c r="A40" s="3" t="s">
        <v>708</v>
      </c>
      <c r="B40" s="2471" t="s">
        <v>876</v>
      </c>
      <c r="C40" s="2471"/>
      <c r="D40" s="2471"/>
      <c r="E40" s="2472" t="s">
        <v>710</v>
      </c>
      <c r="F40" s="2472"/>
      <c r="G40" s="5"/>
    </row>
    <row r="41" spans="1:7" ht="12" customHeight="1">
      <c r="A41" s="3" t="s">
        <v>711</v>
      </c>
      <c r="B41" s="2473" t="s">
        <v>712</v>
      </c>
      <c r="C41" s="2473"/>
      <c r="D41" s="2473"/>
      <c r="E41" s="2473"/>
      <c r="F41" s="2473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81"/>
  <dimension ref="A1:G41"/>
  <sheetViews>
    <sheetView topLeftCell="A28" workbookViewId="0">
      <selection sqref="A1:G42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2282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6" t="s">
        <v>767</v>
      </c>
      <c r="G3" s="6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65" customHeight="1">
      <c r="A5" s="5"/>
      <c r="B5" s="3" t="s">
        <v>673</v>
      </c>
      <c r="C5" s="3" t="s">
        <v>674</v>
      </c>
      <c r="D5" s="3" t="s">
        <v>675</v>
      </c>
      <c r="E5" s="12" t="s">
        <v>1213</v>
      </c>
      <c r="F5" s="5"/>
      <c r="G5" s="5"/>
    </row>
    <row r="6" spans="1:7" ht="13.95" customHeight="1">
      <c r="A6" s="5"/>
      <c r="B6" s="3" t="s">
        <v>677</v>
      </c>
      <c r="C6" s="3" t="s">
        <v>681</v>
      </c>
      <c r="D6" s="3" t="s">
        <v>675</v>
      </c>
      <c r="E6" s="3" t="s">
        <v>854</v>
      </c>
      <c r="F6" s="5"/>
      <c r="G6" s="5"/>
    </row>
    <row r="7" spans="1:7" ht="13.65" customHeight="1">
      <c r="A7" s="5"/>
      <c r="B7" s="3" t="s">
        <v>751</v>
      </c>
      <c r="C7" s="3" t="s">
        <v>1202</v>
      </c>
      <c r="D7" s="3" t="s">
        <v>675</v>
      </c>
      <c r="E7" s="3" t="s">
        <v>730</v>
      </c>
      <c r="F7" s="5"/>
      <c r="G7" s="5"/>
    </row>
    <row r="8" spans="1:7" ht="13.65" customHeight="1">
      <c r="A8" s="5"/>
      <c r="B8" s="3" t="s">
        <v>683</v>
      </c>
      <c r="C8" s="3" t="s">
        <v>1204</v>
      </c>
      <c r="D8" s="3" t="s">
        <v>675</v>
      </c>
      <c r="E8" s="3" t="s">
        <v>730</v>
      </c>
      <c r="F8" s="5"/>
      <c r="G8" s="5"/>
    </row>
    <row r="9" spans="1:7" ht="12" customHeight="1">
      <c r="A9" s="5"/>
      <c r="B9" s="5"/>
      <c r="C9" s="5"/>
      <c r="D9" s="5"/>
      <c r="E9" s="2474" t="s">
        <v>685</v>
      </c>
      <c r="F9" s="2474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5" customHeight="1">
      <c r="A11" s="5"/>
      <c r="B11" s="3" t="s">
        <v>1216</v>
      </c>
      <c r="C11" s="5"/>
      <c r="D11" s="3" t="s">
        <v>715</v>
      </c>
      <c r="E11" s="12" t="s">
        <v>1219</v>
      </c>
      <c r="F11" s="5"/>
      <c r="G11" s="5"/>
    </row>
    <row r="12" spans="1:7" ht="13.65" customHeight="1">
      <c r="A12" s="5"/>
      <c r="B12" s="3" t="s">
        <v>1217</v>
      </c>
      <c r="C12" s="5"/>
      <c r="D12" s="3" t="s">
        <v>690</v>
      </c>
      <c r="E12" s="12" t="s">
        <v>726</v>
      </c>
      <c r="F12" s="5"/>
      <c r="G12" s="5"/>
    </row>
    <row r="13" spans="1:7" ht="12" customHeight="1">
      <c r="A13" s="5"/>
      <c r="B13" s="5"/>
      <c r="C13" s="5"/>
      <c r="D13" s="5"/>
      <c r="E13" s="2474" t="s">
        <v>702</v>
      </c>
      <c r="F13" s="2474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2474" t="s">
        <v>705</v>
      </c>
      <c r="F16" s="2474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2474" t="s">
        <v>707</v>
      </c>
      <c r="C18" s="2474"/>
      <c r="D18" s="2474"/>
      <c r="E18" s="2474"/>
      <c r="F18" s="2474"/>
      <c r="G18" s="5"/>
    </row>
    <row r="19" spans="1:7" ht="12" customHeight="1">
      <c r="A19" s="3" t="s">
        <v>708</v>
      </c>
      <c r="B19" s="2471" t="s">
        <v>876</v>
      </c>
      <c r="C19" s="2471"/>
      <c r="D19" s="2471"/>
      <c r="E19" s="2472" t="s">
        <v>710</v>
      </c>
      <c r="F19" s="2472"/>
      <c r="G19" s="5"/>
    </row>
    <row r="20" spans="1:7" ht="12" customHeight="1">
      <c r="A20" s="3" t="s">
        <v>711</v>
      </c>
      <c r="B20" s="2473" t="s">
        <v>712</v>
      </c>
      <c r="C20" s="2473"/>
      <c r="D20" s="2473"/>
      <c r="E20" s="2473"/>
      <c r="F20" s="2473"/>
      <c r="G20" s="5"/>
    </row>
    <row r="21" spans="1:7" ht="12" customHeight="1">
      <c r="A21" s="3"/>
      <c r="B21" s="26"/>
      <c r="C21" s="26"/>
      <c r="D21" s="26"/>
      <c r="E21" s="26"/>
      <c r="F21" s="26"/>
      <c r="G21" s="5"/>
    </row>
    <row r="22" spans="1:7" ht="12" customHeight="1">
      <c r="A22" s="50" t="s">
        <v>2283</v>
      </c>
      <c r="B22" s="26"/>
      <c r="C22" s="26"/>
      <c r="D22" s="26"/>
      <c r="E22" s="26"/>
      <c r="F22" s="26"/>
      <c r="G22" s="5"/>
    </row>
    <row r="23" spans="1:7" ht="12" customHeight="1">
      <c r="A23" s="3"/>
      <c r="B23" s="26"/>
      <c r="C23" s="26"/>
      <c r="D23" s="26"/>
      <c r="E23" s="26"/>
      <c r="F23" s="26"/>
      <c r="G23" s="5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6" t="s">
        <v>767</v>
      </c>
      <c r="G24" s="6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65" customHeight="1">
      <c r="A26" s="5"/>
      <c r="B26" s="3" t="s">
        <v>673</v>
      </c>
      <c r="C26" s="3" t="s">
        <v>674</v>
      </c>
      <c r="D26" s="3" t="s">
        <v>675</v>
      </c>
      <c r="E26" s="12" t="s">
        <v>1213</v>
      </c>
      <c r="F26" s="5"/>
      <c r="G26" s="5"/>
    </row>
    <row r="27" spans="1:7" ht="13.95" customHeight="1">
      <c r="A27" s="5"/>
      <c r="B27" s="3" t="s">
        <v>677</v>
      </c>
      <c r="C27" s="3" t="s">
        <v>681</v>
      </c>
      <c r="D27" s="3" t="s">
        <v>675</v>
      </c>
      <c r="E27" s="3" t="s">
        <v>854</v>
      </c>
      <c r="F27" s="5"/>
      <c r="G27" s="5"/>
    </row>
    <row r="28" spans="1:7" ht="13.65" customHeight="1">
      <c r="A28" s="5"/>
      <c r="B28" s="3" t="s">
        <v>751</v>
      </c>
      <c r="C28" s="3" t="s">
        <v>1202</v>
      </c>
      <c r="D28" s="3" t="s">
        <v>675</v>
      </c>
      <c r="E28" s="3" t="s">
        <v>730</v>
      </c>
      <c r="F28" s="5"/>
      <c r="G28" s="5"/>
    </row>
    <row r="29" spans="1:7" ht="13.95" customHeight="1">
      <c r="A29" s="5"/>
      <c r="B29" s="3" t="s">
        <v>683</v>
      </c>
      <c r="C29" s="3" t="s">
        <v>1204</v>
      </c>
      <c r="D29" s="3" t="s">
        <v>675</v>
      </c>
      <c r="E29" s="3" t="s">
        <v>730</v>
      </c>
      <c r="F29" s="5"/>
      <c r="G29" s="5"/>
    </row>
    <row r="30" spans="1:7" ht="12" customHeight="1">
      <c r="A30" s="5"/>
      <c r="B30" s="5"/>
      <c r="C30" s="5"/>
      <c r="D30" s="5"/>
      <c r="E30" s="2474" t="s">
        <v>685</v>
      </c>
      <c r="F30" s="2474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65" customHeight="1">
      <c r="A32" s="5"/>
      <c r="B32" s="3" t="s">
        <v>1216</v>
      </c>
      <c r="C32" s="5"/>
      <c r="D32" s="3" t="s">
        <v>715</v>
      </c>
      <c r="E32" s="12" t="s">
        <v>1220</v>
      </c>
      <c r="F32" s="5"/>
      <c r="G32" s="5"/>
    </row>
    <row r="33" spans="1:7" ht="13.65" customHeight="1">
      <c r="A33" s="5"/>
      <c r="B33" s="3" t="s">
        <v>1217</v>
      </c>
      <c r="C33" s="5"/>
      <c r="D33" s="3" t="s">
        <v>690</v>
      </c>
      <c r="E33" s="12" t="s">
        <v>726</v>
      </c>
      <c r="F33" s="5"/>
      <c r="G33" s="5"/>
    </row>
    <row r="34" spans="1:7" ht="12" customHeight="1">
      <c r="A34" s="5"/>
      <c r="B34" s="5"/>
      <c r="C34" s="5"/>
      <c r="D34" s="5"/>
      <c r="E34" s="2474" t="s">
        <v>702</v>
      </c>
      <c r="F34" s="2474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2474" t="s">
        <v>705</v>
      </c>
      <c r="F37" s="2474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2474" t="s">
        <v>707</v>
      </c>
      <c r="C39" s="2474"/>
      <c r="D39" s="2474"/>
      <c r="E39" s="2474"/>
      <c r="F39" s="2474"/>
      <c r="G39" s="5"/>
    </row>
    <row r="40" spans="1:7" ht="12" customHeight="1">
      <c r="A40" s="3" t="s">
        <v>708</v>
      </c>
      <c r="B40" s="2471" t="s">
        <v>876</v>
      </c>
      <c r="C40" s="2471"/>
      <c r="D40" s="2471"/>
      <c r="E40" s="2472" t="s">
        <v>710</v>
      </c>
      <c r="F40" s="2472"/>
      <c r="G40" s="5"/>
    </row>
    <row r="41" spans="1:7" ht="12" customHeight="1">
      <c r="A41" s="3" t="s">
        <v>711</v>
      </c>
      <c r="B41" s="2473" t="s">
        <v>712</v>
      </c>
      <c r="C41" s="2473"/>
      <c r="D41" s="2473"/>
      <c r="E41" s="2473"/>
      <c r="F41" s="2473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24"/>
  <sheetViews>
    <sheetView view="pageBreakPreview" topLeftCell="A16" zoomScale="110" zoomScaleSheetLayoutView="110" workbookViewId="0">
      <selection activeCell="E18" sqref="E18"/>
    </sheetView>
  </sheetViews>
  <sheetFormatPr defaultColWidth="9.109375" defaultRowHeight="13.8"/>
  <cols>
    <col min="1" max="1" width="6" style="702" customWidth="1"/>
    <col min="2" max="2" width="13" style="695" customWidth="1"/>
    <col min="3" max="3" width="3.88671875" style="695" customWidth="1"/>
    <col min="4" max="4" width="52.109375" style="695" customWidth="1"/>
    <col min="5" max="5" width="53.88671875" style="726" customWidth="1"/>
    <col min="6" max="6" width="9.109375" style="695"/>
    <col min="7" max="7" width="16.88671875" style="695" bestFit="1" customWidth="1"/>
    <col min="8" max="16384" width="9.109375" style="695"/>
  </cols>
  <sheetData>
    <row r="1" spans="1:7" ht="40.5" customHeight="1" thickTop="1" thickBot="1">
      <c r="A1" s="2261" t="s">
        <v>5312</v>
      </c>
      <c r="B1" s="2262"/>
      <c r="C1" s="2262"/>
      <c r="D1" s="2262"/>
      <c r="E1" s="2263"/>
    </row>
    <row r="2" spans="1:7" ht="48" customHeight="1">
      <c r="A2" s="2282" t="str">
        <f>EE!G2</f>
        <v>PEKERJAAN</v>
      </c>
      <c r="B2" s="2283"/>
      <c r="C2" s="1345" t="s">
        <v>4532</v>
      </c>
      <c r="D2" s="1346" t="str">
        <f>EE!I2</f>
        <v>JASA KONSULTASI PERENCANAAN REHAB GEDUNG OLAHRAGA ( GOR ) FUTSAL  DINAS PEMUDA DAN OLAHRAGA</v>
      </c>
      <c r="E2" s="1347" t="str">
        <f>EE!A2</f>
        <v>DINAS PEMUDA DAN OLAHRAGA PROVINSI SUMATERA UTARA</v>
      </c>
    </row>
    <row r="3" spans="1:7" ht="19.5" customHeight="1">
      <c r="A3" s="2284" t="str">
        <f>EE!G3</f>
        <v>LOKASI</v>
      </c>
      <c r="B3" s="2285"/>
      <c r="C3" s="922" t="s">
        <v>4532</v>
      </c>
      <c r="D3" s="1327" t="str">
        <f>EE!I3</f>
        <v>Jalan Williem Iskandar No. 9 Medan</v>
      </c>
      <c r="E3" s="1328" t="str">
        <f>EE!A3</f>
        <v>KONSULTAN PERENCANA</v>
      </c>
    </row>
    <row r="4" spans="1:7" ht="19.5" customHeight="1">
      <c r="A4" s="2284" t="str">
        <f>EE!G4</f>
        <v>SUMBER DANA</v>
      </c>
      <c r="B4" s="2285"/>
      <c r="C4" s="922" t="s">
        <v>4532</v>
      </c>
      <c r="D4" s="1327" t="str">
        <f>EE!I4</f>
        <v>APBD Sumatera Utara</v>
      </c>
      <c r="E4" s="2296" t="str">
        <f>EE!A4</f>
        <v>CV. PELITA BUANA</v>
      </c>
    </row>
    <row r="5" spans="1:7" ht="19.5" customHeight="1" thickBot="1">
      <c r="A5" s="2290" t="str">
        <f>EE!G5</f>
        <v>TAHUN</v>
      </c>
      <c r="B5" s="2291"/>
      <c r="C5" s="923" t="s">
        <v>4532</v>
      </c>
      <c r="D5" s="1080">
        <f>EE!I5</f>
        <v>2022</v>
      </c>
      <c r="E5" s="2297"/>
    </row>
    <row r="6" spans="1:7" s="728" customFormat="1" ht="44.25" customHeight="1" thickBot="1">
      <c r="A6" s="995" t="s">
        <v>1003</v>
      </c>
      <c r="B6" s="2292" t="s">
        <v>3491</v>
      </c>
      <c r="C6" s="2292"/>
      <c r="D6" s="2292"/>
      <c r="E6" s="996" t="s">
        <v>3493</v>
      </c>
    </row>
    <row r="7" spans="1:7" s="727" customFormat="1" ht="30" customHeight="1" thickTop="1">
      <c r="A7" s="1344" t="s">
        <v>671</v>
      </c>
      <c r="B7" s="2276" t="str">
        <f>EE!B7</f>
        <v>PEKERJAAN PENDAHULUAN</v>
      </c>
      <c r="C7" s="2277"/>
      <c r="D7" s="2278"/>
      <c r="E7" s="1341">
        <f>EE!K10</f>
        <v>26722500</v>
      </c>
    </row>
    <row r="8" spans="1:7" s="727" customFormat="1" ht="30" customHeight="1">
      <c r="A8" s="1343" t="s">
        <v>686</v>
      </c>
      <c r="B8" s="2279" t="str">
        <f>EE!B11</f>
        <v>PEKERJAAN STRUKTUR</v>
      </c>
      <c r="C8" s="2280"/>
      <c r="D8" s="2281"/>
      <c r="E8" s="1340">
        <f>EE!K44</f>
        <v>156573828.66532916</v>
      </c>
    </row>
    <row r="9" spans="1:7" s="727" customFormat="1" ht="30" customHeight="1">
      <c r="A9" s="1343" t="s">
        <v>703</v>
      </c>
      <c r="B9" s="2279" t="str">
        <f>EE!B45</f>
        <v>PEKERJAAN ARSITEKTUR</v>
      </c>
      <c r="C9" s="2280"/>
      <c r="D9" s="2281"/>
      <c r="E9" s="1340">
        <f>EE!K119</f>
        <v>5670961839.3540916</v>
      </c>
    </row>
    <row r="10" spans="1:7" s="727" customFormat="1" ht="19.5" customHeight="1">
      <c r="A10" s="924"/>
      <c r="B10" s="1093"/>
      <c r="C10" s="834">
        <v>1</v>
      </c>
      <c r="D10" s="1094" t="str">
        <f>EE!B46</f>
        <v>LANTAI -1 INTERIOR GEDUNG OLAHRAGA FUTSAL</v>
      </c>
      <c r="E10" s="925">
        <f>EE!K77</f>
        <v>3360955733.6836147</v>
      </c>
    </row>
    <row r="11" spans="1:7" s="727" customFormat="1" ht="19.5" customHeight="1">
      <c r="A11" s="924"/>
      <c r="B11" s="1093"/>
      <c r="C11" s="834">
        <f>C10+1</f>
        <v>2</v>
      </c>
      <c r="D11" s="1094" t="str">
        <f>EE!B78</f>
        <v>PEKERJAAN LANTAI - 2 ( TRIBUN ) GEDUNG OLAHRAGA</v>
      </c>
      <c r="E11" s="925">
        <f>EE!K99</f>
        <v>270216983.57318997</v>
      </c>
    </row>
    <row r="12" spans="1:7" s="727" customFormat="1" ht="19.5" customHeight="1">
      <c r="A12" s="924"/>
      <c r="B12" s="1093"/>
      <c r="C12" s="834">
        <f>C11+1</f>
        <v>3</v>
      </c>
      <c r="D12" s="1094" t="str">
        <f>EE!B100</f>
        <v xml:space="preserve">PEKERJAAN EXTERIOR GEDUNG </v>
      </c>
      <c r="E12" s="925">
        <f>EE!K118</f>
        <v>2039789122.0972865</v>
      </c>
      <c r="G12" s="1342">
        <f>SUM(E10:E12)</f>
        <v>5670961839.3540907</v>
      </c>
    </row>
    <row r="13" spans="1:7" s="727" customFormat="1" ht="30" customHeight="1">
      <c r="A13" s="1343" t="s">
        <v>706</v>
      </c>
      <c r="B13" s="2279" t="str">
        <f>EE!B120</f>
        <v>PEKERJAAN MEKANIKAL DAN ELEKTRIKAL</v>
      </c>
      <c r="C13" s="2280"/>
      <c r="D13" s="2281"/>
      <c r="E13" s="1340">
        <f>EE!K151</f>
        <v>432176475.18999994</v>
      </c>
    </row>
    <row r="14" spans="1:7" s="727" customFormat="1" ht="19.5" customHeight="1">
      <c r="A14" s="924"/>
      <c r="B14" s="1093"/>
      <c r="C14" s="834" t="s">
        <v>4920</v>
      </c>
      <c r="D14" s="1094" t="s">
        <v>5326</v>
      </c>
      <c r="E14" s="925">
        <f>EE!L136</f>
        <v>4274550</v>
      </c>
    </row>
    <row r="15" spans="1:7" s="727" customFormat="1" ht="19.5" customHeight="1">
      <c r="A15" s="924"/>
      <c r="B15" s="1093"/>
      <c r="C15" s="834" t="s">
        <v>4578</v>
      </c>
      <c r="D15" s="1094" t="s">
        <v>5327</v>
      </c>
      <c r="E15" s="925">
        <f>EE!L149</f>
        <v>26000</v>
      </c>
      <c r="G15" s="1342">
        <f>E15+E14</f>
        <v>4300550</v>
      </c>
    </row>
    <row r="16" spans="1:7" s="727" customFormat="1" ht="30" customHeight="1">
      <c r="A16" s="1343" t="s">
        <v>708</v>
      </c>
      <c r="B16" s="2279" t="str">
        <f>EE!B152</f>
        <v>PEKERJAAN LANDSCAPE</v>
      </c>
      <c r="C16" s="2280"/>
      <c r="D16" s="2281"/>
      <c r="E16" s="1340">
        <f>EE!K156</f>
        <v>4517331.2524800003</v>
      </c>
    </row>
    <row r="17" spans="1:8" s="727" customFormat="1" ht="30" customHeight="1">
      <c r="A17" s="1343" t="s">
        <v>711</v>
      </c>
      <c r="B17" s="2279" t="str">
        <f>EE!B157</f>
        <v>PEKERJAAN AKHIR</v>
      </c>
      <c r="C17" s="2280"/>
      <c r="D17" s="2281"/>
      <c r="E17" s="1340">
        <f>EE!K159</f>
        <v>15354000</v>
      </c>
    </row>
    <row r="18" spans="1:8" s="727" customFormat="1" ht="27" customHeight="1">
      <c r="A18" s="2273" t="s">
        <v>4946</v>
      </c>
      <c r="B18" s="2274"/>
      <c r="C18" s="2274"/>
      <c r="D18" s="2275"/>
      <c r="E18" s="926">
        <f>SUM(E16:E17,E13,E7:E9)</f>
        <v>6306305974.4619007</v>
      </c>
    </row>
    <row r="19" spans="1:8" s="727" customFormat="1" ht="27" customHeight="1">
      <c r="A19" s="2264" t="s">
        <v>4947</v>
      </c>
      <c r="B19" s="2265"/>
      <c r="C19" s="2265"/>
      <c r="D19" s="2266"/>
      <c r="E19" s="927">
        <f>E18*11%</f>
        <v>693693657.19080913</v>
      </c>
    </row>
    <row r="20" spans="1:8" s="727" customFormat="1" ht="27" customHeight="1">
      <c r="A20" s="2267" t="s">
        <v>4948</v>
      </c>
      <c r="B20" s="2268"/>
      <c r="C20" s="2268"/>
      <c r="D20" s="2269"/>
      <c r="E20" s="928">
        <f>E18+E19</f>
        <v>6999999631.65271</v>
      </c>
    </row>
    <row r="21" spans="1:8" s="727" customFormat="1" ht="27" customHeight="1">
      <c r="A21" s="2270" t="s">
        <v>4949</v>
      </c>
      <c r="B21" s="2271"/>
      <c r="C21" s="2271"/>
      <c r="D21" s="2272"/>
      <c r="E21" s="929">
        <f>ROUNDDOWN(E20,-3)</f>
        <v>6999999000</v>
      </c>
      <c r="F21" s="2286">
        <v>7000000000</v>
      </c>
      <c r="G21" s="2287"/>
    </row>
    <row r="22" spans="1:8" s="727" customFormat="1" ht="27" customHeight="1" thickBot="1">
      <c r="A22" s="2293" t="s">
        <v>5325</v>
      </c>
      <c r="B22" s="2294"/>
      <c r="C22" s="2294"/>
      <c r="D22" s="2294"/>
      <c r="E22" s="2295"/>
      <c r="G22" s="2288">
        <f>E21-F21</f>
        <v>-1000</v>
      </c>
      <c r="H22" s="2289"/>
    </row>
    <row r="23" spans="1:8" s="727" customFormat="1" ht="15.75" customHeight="1" thickTop="1">
      <c r="A23" s="958"/>
      <c r="B23" s="958"/>
      <c r="C23" s="958"/>
      <c r="D23" s="958"/>
      <c r="E23" s="958"/>
    </row>
    <row r="24" spans="1:8">
      <c r="E24" s="841" t="s">
        <v>5177</v>
      </c>
    </row>
  </sheetData>
  <mergeCells count="20">
    <mergeCell ref="F21:G21"/>
    <mergeCell ref="G22:H22"/>
    <mergeCell ref="A4:B4"/>
    <mergeCell ref="A5:B5"/>
    <mergeCell ref="B6:D6"/>
    <mergeCell ref="A22:E22"/>
    <mergeCell ref="B16:D16"/>
    <mergeCell ref="E4:E5"/>
    <mergeCell ref="A1:E1"/>
    <mergeCell ref="A19:D19"/>
    <mergeCell ref="A20:D20"/>
    <mergeCell ref="A21:D21"/>
    <mergeCell ref="A18:D18"/>
    <mergeCell ref="B7:D7"/>
    <mergeCell ref="B8:D8"/>
    <mergeCell ref="B9:D9"/>
    <mergeCell ref="B13:D13"/>
    <mergeCell ref="B17:D17"/>
    <mergeCell ref="A2:B2"/>
    <mergeCell ref="A3:B3"/>
  </mergeCells>
  <pageMargins left="0.5" right="0" top="0.75" bottom="0.75" header="0" footer="0"/>
  <pageSetup paperSize="9" scale="75" orientation="portrait" horizontalDpi="360" verticalDpi="360" r:id="rId1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82"/>
  <dimension ref="A1:G41"/>
  <sheetViews>
    <sheetView workbookViewId="0">
      <selection activeCell="G41" sqref="A1:G41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2284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6" t="s">
        <v>767</v>
      </c>
      <c r="G3" s="6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65" customHeight="1">
      <c r="A5" s="5"/>
      <c r="B5" s="3" t="s">
        <v>673</v>
      </c>
      <c r="C5" s="3" t="s">
        <v>674</v>
      </c>
      <c r="D5" s="3" t="s">
        <v>675</v>
      </c>
      <c r="E5" s="3" t="s">
        <v>1213</v>
      </c>
      <c r="F5" s="5"/>
      <c r="G5" s="5"/>
    </row>
    <row r="6" spans="1:7" ht="13.95" customHeight="1">
      <c r="A6" s="5"/>
      <c r="B6" s="3" t="s">
        <v>677</v>
      </c>
      <c r="C6" s="3" t="s">
        <v>681</v>
      </c>
      <c r="D6" s="3" t="s">
        <v>675</v>
      </c>
      <c r="E6" s="3" t="s">
        <v>854</v>
      </c>
      <c r="F6" s="5"/>
      <c r="G6" s="5"/>
    </row>
    <row r="7" spans="1:7" ht="13.65" customHeight="1">
      <c r="A7" s="5"/>
      <c r="B7" s="3" t="s">
        <v>751</v>
      </c>
      <c r="C7" s="3" t="s">
        <v>1202</v>
      </c>
      <c r="D7" s="3" t="s">
        <v>675</v>
      </c>
      <c r="E7" s="3" t="s">
        <v>730</v>
      </c>
      <c r="F7" s="5"/>
      <c r="G7" s="5"/>
    </row>
    <row r="8" spans="1:7" ht="13.65" customHeight="1">
      <c r="A8" s="5"/>
      <c r="B8" s="3" t="s">
        <v>683</v>
      </c>
      <c r="C8" s="3" t="s">
        <v>1204</v>
      </c>
      <c r="D8" s="3" t="s">
        <v>675</v>
      </c>
      <c r="E8" s="3" t="s">
        <v>730</v>
      </c>
      <c r="F8" s="5"/>
      <c r="G8" s="5"/>
    </row>
    <row r="9" spans="1:7" ht="12" customHeight="1">
      <c r="A9" s="5"/>
      <c r="B9" s="5"/>
      <c r="C9" s="5"/>
      <c r="D9" s="5"/>
      <c r="E9" s="2474" t="s">
        <v>685</v>
      </c>
      <c r="F9" s="2474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5" customHeight="1">
      <c r="A11" s="5"/>
      <c r="B11" s="3" t="s">
        <v>1216</v>
      </c>
      <c r="C11" s="5"/>
      <c r="D11" s="3" t="s">
        <v>715</v>
      </c>
      <c r="E11" s="3" t="s">
        <v>1221</v>
      </c>
      <c r="F11" s="5"/>
      <c r="G11" s="5"/>
    </row>
    <row r="12" spans="1:7" ht="13.65" customHeight="1">
      <c r="A12" s="5"/>
      <c r="B12" s="3" t="s">
        <v>1217</v>
      </c>
      <c r="C12" s="5"/>
      <c r="D12" s="3" t="s">
        <v>690</v>
      </c>
      <c r="E12" s="3" t="s">
        <v>726</v>
      </c>
      <c r="F12" s="5"/>
      <c r="G12" s="5"/>
    </row>
    <row r="13" spans="1:7" ht="12" customHeight="1">
      <c r="A13" s="5"/>
      <c r="B13" s="5"/>
      <c r="C13" s="5"/>
      <c r="D13" s="5"/>
      <c r="E13" s="2474" t="s">
        <v>702</v>
      </c>
      <c r="F13" s="2474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2474" t="s">
        <v>705</v>
      </c>
      <c r="F16" s="2474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2474" t="s">
        <v>707</v>
      </c>
      <c r="C18" s="2474"/>
      <c r="D18" s="2474"/>
      <c r="E18" s="2474"/>
      <c r="F18" s="2474"/>
      <c r="G18" s="5"/>
    </row>
    <row r="19" spans="1:7" ht="12" customHeight="1">
      <c r="A19" s="3" t="s">
        <v>708</v>
      </c>
      <c r="B19" s="2471" t="s">
        <v>876</v>
      </c>
      <c r="C19" s="2471"/>
      <c r="D19" s="2471"/>
      <c r="E19" s="2472" t="s">
        <v>710</v>
      </c>
      <c r="F19" s="2472"/>
      <c r="G19" s="5"/>
    </row>
    <row r="20" spans="1:7" ht="12" customHeight="1">
      <c r="A20" s="3" t="s">
        <v>711</v>
      </c>
      <c r="B20" s="2473" t="s">
        <v>712</v>
      </c>
      <c r="C20" s="2473"/>
      <c r="D20" s="2473"/>
      <c r="E20" s="2473"/>
      <c r="F20" s="2473"/>
      <c r="G20" s="5"/>
    </row>
    <row r="21" spans="1:7" ht="12" customHeight="1">
      <c r="A21" s="3"/>
      <c r="B21" s="26"/>
      <c r="C21" s="26"/>
      <c r="D21" s="26"/>
      <c r="E21" s="26"/>
      <c r="F21" s="26"/>
      <c r="G21" s="5"/>
    </row>
    <row r="22" spans="1:7" ht="12" customHeight="1">
      <c r="A22" s="50" t="s">
        <v>2285</v>
      </c>
      <c r="B22" s="26"/>
      <c r="C22" s="26"/>
      <c r="D22" s="26"/>
      <c r="E22" s="26"/>
      <c r="F22" s="26"/>
      <c r="G22" s="5"/>
    </row>
    <row r="23" spans="1:7" ht="12" customHeight="1">
      <c r="A23" s="3"/>
      <c r="B23" s="26"/>
      <c r="C23" s="26"/>
      <c r="D23" s="26"/>
      <c r="E23" s="26"/>
      <c r="F23" s="26"/>
      <c r="G23" s="5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6" t="s">
        <v>767</v>
      </c>
      <c r="G24" s="6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65" customHeight="1">
      <c r="A26" s="5"/>
      <c r="B26" s="3" t="s">
        <v>673</v>
      </c>
      <c r="C26" s="3" t="s">
        <v>674</v>
      </c>
      <c r="D26" s="3" t="s">
        <v>675</v>
      </c>
      <c r="E26" s="3" t="s">
        <v>1213</v>
      </c>
      <c r="F26" s="5"/>
      <c r="G26" s="5"/>
    </row>
    <row r="27" spans="1:7" ht="13.95" customHeight="1">
      <c r="A27" s="5"/>
      <c r="B27" s="3" t="s">
        <v>677</v>
      </c>
      <c r="C27" s="3" t="s">
        <v>681</v>
      </c>
      <c r="D27" s="3" t="s">
        <v>675</v>
      </c>
      <c r="E27" s="3" t="s">
        <v>854</v>
      </c>
      <c r="F27" s="5"/>
      <c r="G27" s="5"/>
    </row>
    <row r="28" spans="1:7" ht="13.65" customHeight="1">
      <c r="A28" s="5"/>
      <c r="B28" s="3" t="s">
        <v>751</v>
      </c>
      <c r="C28" s="3" t="s">
        <v>1202</v>
      </c>
      <c r="D28" s="3" t="s">
        <v>675</v>
      </c>
      <c r="E28" s="3" t="s">
        <v>730</v>
      </c>
      <c r="F28" s="5"/>
      <c r="G28" s="5"/>
    </row>
    <row r="29" spans="1:7" ht="13.95" customHeight="1">
      <c r="A29" s="5"/>
      <c r="B29" s="3" t="s">
        <v>683</v>
      </c>
      <c r="C29" s="3" t="s">
        <v>1204</v>
      </c>
      <c r="D29" s="3" t="s">
        <v>675</v>
      </c>
      <c r="E29" s="3" t="s">
        <v>730</v>
      </c>
      <c r="F29" s="5"/>
      <c r="G29" s="5"/>
    </row>
    <row r="30" spans="1:7" ht="12" customHeight="1">
      <c r="A30" s="5"/>
      <c r="B30" s="5"/>
      <c r="C30" s="5"/>
      <c r="D30" s="5"/>
      <c r="E30" s="2474" t="s">
        <v>685</v>
      </c>
      <c r="F30" s="2474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65" customHeight="1">
      <c r="A32" s="5"/>
      <c r="B32" s="3" t="s">
        <v>1216</v>
      </c>
      <c r="C32" s="5"/>
      <c r="D32" s="3" t="s">
        <v>715</v>
      </c>
      <c r="E32" s="3" t="s">
        <v>1222</v>
      </c>
      <c r="F32" s="5"/>
      <c r="G32" s="5"/>
    </row>
    <row r="33" spans="1:7" ht="13.65" customHeight="1">
      <c r="A33" s="5"/>
      <c r="B33" s="3" t="s">
        <v>1217</v>
      </c>
      <c r="C33" s="5"/>
      <c r="D33" s="3" t="s">
        <v>690</v>
      </c>
      <c r="E33" s="3" t="s">
        <v>726</v>
      </c>
      <c r="F33" s="5"/>
      <c r="G33" s="5"/>
    </row>
    <row r="34" spans="1:7" ht="12" customHeight="1">
      <c r="A34" s="5"/>
      <c r="B34" s="5"/>
      <c r="C34" s="5"/>
      <c r="D34" s="5"/>
      <c r="E34" s="2474" t="s">
        <v>702</v>
      </c>
      <c r="F34" s="2474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2474" t="s">
        <v>705</v>
      </c>
      <c r="F37" s="2474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2474" t="s">
        <v>707</v>
      </c>
      <c r="C39" s="2474"/>
      <c r="D39" s="2474"/>
      <c r="E39" s="2474"/>
      <c r="F39" s="2474"/>
      <c r="G39" s="5"/>
    </row>
    <row r="40" spans="1:7" ht="12" customHeight="1">
      <c r="A40" s="3" t="s">
        <v>708</v>
      </c>
      <c r="B40" s="2471" t="s">
        <v>876</v>
      </c>
      <c r="C40" s="2471"/>
      <c r="D40" s="2471"/>
      <c r="E40" s="2472" t="s">
        <v>710</v>
      </c>
      <c r="F40" s="2472"/>
      <c r="G40" s="5"/>
    </row>
    <row r="41" spans="1:7" ht="12" customHeight="1">
      <c r="A41" s="3" t="s">
        <v>711</v>
      </c>
      <c r="B41" s="2473" t="s">
        <v>712</v>
      </c>
      <c r="C41" s="2473"/>
      <c r="D41" s="2473"/>
      <c r="E41" s="2473"/>
      <c r="F41" s="2473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83"/>
  <dimension ref="A1:G41"/>
  <sheetViews>
    <sheetView workbookViewId="0">
      <selection activeCell="G41" sqref="A1:G41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2286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65" customHeight="1">
      <c r="A5" s="5"/>
      <c r="B5" s="3" t="s">
        <v>673</v>
      </c>
      <c r="C5" s="3" t="s">
        <v>674</v>
      </c>
      <c r="D5" s="3" t="s">
        <v>675</v>
      </c>
      <c r="E5" s="3" t="s">
        <v>1213</v>
      </c>
      <c r="F5" s="5"/>
      <c r="G5" s="5"/>
    </row>
    <row r="6" spans="1:7" ht="13.95" customHeight="1">
      <c r="A6" s="5"/>
      <c r="B6" s="3" t="s">
        <v>677</v>
      </c>
      <c r="C6" s="3" t="s">
        <v>681</v>
      </c>
      <c r="D6" s="3" t="s">
        <v>675</v>
      </c>
      <c r="E6" s="3" t="s">
        <v>854</v>
      </c>
      <c r="F6" s="5"/>
      <c r="G6" s="5"/>
    </row>
    <row r="7" spans="1:7" ht="13.65" customHeight="1">
      <c r="A7" s="5"/>
      <c r="B7" s="3" t="s">
        <v>751</v>
      </c>
      <c r="C7" s="3" t="s">
        <v>1202</v>
      </c>
      <c r="D7" s="3" t="s">
        <v>675</v>
      </c>
      <c r="E7" s="3" t="s">
        <v>730</v>
      </c>
      <c r="F7" s="5"/>
      <c r="G7" s="5"/>
    </row>
    <row r="8" spans="1:7" ht="13.65" customHeight="1">
      <c r="A8" s="5"/>
      <c r="B8" s="3" t="s">
        <v>683</v>
      </c>
      <c r="C8" s="3" t="s">
        <v>1204</v>
      </c>
      <c r="D8" s="3" t="s">
        <v>675</v>
      </c>
      <c r="E8" s="3" t="s">
        <v>730</v>
      </c>
      <c r="F8" s="5"/>
      <c r="G8" s="5"/>
    </row>
    <row r="9" spans="1:7" ht="12" customHeight="1">
      <c r="A9" s="5"/>
      <c r="B9" s="5"/>
      <c r="C9" s="5"/>
      <c r="D9" s="5"/>
      <c r="E9" s="2474" t="s">
        <v>685</v>
      </c>
      <c r="F9" s="2474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5" customHeight="1">
      <c r="A11" s="5"/>
      <c r="B11" s="3" t="s">
        <v>1216</v>
      </c>
      <c r="C11" s="5"/>
      <c r="D11" s="3" t="s">
        <v>715</v>
      </c>
      <c r="E11" s="3" t="s">
        <v>1223</v>
      </c>
      <c r="F11" s="5"/>
      <c r="G11" s="5"/>
    </row>
    <row r="12" spans="1:7" ht="13.65" customHeight="1">
      <c r="A12" s="5"/>
      <c r="B12" s="3" t="s">
        <v>1217</v>
      </c>
      <c r="C12" s="5"/>
      <c r="D12" s="3" t="s">
        <v>690</v>
      </c>
      <c r="E12" s="3" t="s">
        <v>726</v>
      </c>
      <c r="F12" s="5"/>
      <c r="G12" s="5"/>
    </row>
    <row r="13" spans="1:7" ht="12" customHeight="1">
      <c r="A13" s="5"/>
      <c r="B13" s="5"/>
      <c r="C13" s="5"/>
      <c r="D13" s="5"/>
      <c r="E13" s="2474" t="s">
        <v>702</v>
      </c>
      <c r="F13" s="2474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2474" t="s">
        <v>705</v>
      </c>
      <c r="F16" s="2474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2474" t="s">
        <v>707</v>
      </c>
      <c r="C18" s="2474"/>
      <c r="D18" s="2474"/>
      <c r="E18" s="2474"/>
      <c r="F18" s="2474"/>
      <c r="G18" s="5"/>
    </row>
    <row r="19" spans="1:7" ht="12" customHeight="1">
      <c r="A19" s="3" t="s">
        <v>708</v>
      </c>
      <c r="B19" s="2471" t="s">
        <v>876</v>
      </c>
      <c r="C19" s="2471"/>
      <c r="D19" s="2471"/>
      <c r="E19" s="2472" t="s">
        <v>710</v>
      </c>
      <c r="F19" s="2472"/>
      <c r="G19" s="5"/>
    </row>
    <row r="20" spans="1:7" ht="12" customHeight="1">
      <c r="A20" s="3" t="s">
        <v>711</v>
      </c>
      <c r="B20" s="2473" t="s">
        <v>712</v>
      </c>
      <c r="C20" s="2473"/>
      <c r="D20" s="2473"/>
      <c r="E20" s="2473"/>
      <c r="F20" s="2473"/>
      <c r="G20" s="5"/>
    </row>
    <row r="21" spans="1:7" ht="12" customHeight="1">
      <c r="A21" s="3"/>
      <c r="B21" s="26"/>
      <c r="C21" s="26"/>
      <c r="D21" s="26"/>
      <c r="E21" s="26"/>
      <c r="F21" s="26"/>
      <c r="G21" s="5"/>
    </row>
    <row r="22" spans="1:7" ht="12" customHeight="1">
      <c r="A22" s="50" t="s">
        <v>2287</v>
      </c>
      <c r="B22" s="26"/>
      <c r="C22" s="26"/>
      <c r="D22" s="26"/>
      <c r="E22" s="26"/>
      <c r="F22" s="26"/>
      <c r="G22" s="5"/>
    </row>
    <row r="23" spans="1:7" ht="12" customHeight="1">
      <c r="A23" s="3"/>
      <c r="B23" s="26"/>
      <c r="C23" s="26"/>
      <c r="D23" s="26"/>
      <c r="E23" s="26"/>
      <c r="F23" s="26"/>
      <c r="G23" s="5"/>
    </row>
    <row r="24" spans="1:7" ht="34.950000000000003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95" customHeight="1">
      <c r="A26" s="5"/>
      <c r="B26" s="3" t="s">
        <v>673</v>
      </c>
      <c r="C26" s="3" t="s">
        <v>674</v>
      </c>
      <c r="D26" s="3" t="s">
        <v>675</v>
      </c>
      <c r="E26" s="3" t="s">
        <v>1213</v>
      </c>
      <c r="F26" s="5"/>
      <c r="G26" s="5"/>
    </row>
    <row r="27" spans="1:7" ht="13.65" customHeight="1">
      <c r="A27" s="5"/>
      <c r="B27" s="3" t="s">
        <v>677</v>
      </c>
      <c r="C27" s="3" t="s">
        <v>681</v>
      </c>
      <c r="D27" s="3" t="s">
        <v>675</v>
      </c>
      <c r="E27" s="3" t="s">
        <v>854</v>
      </c>
      <c r="F27" s="5"/>
      <c r="G27" s="5"/>
    </row>
    <row r="28" spans="1:7" ht="13.65" customHeight="1">
      <c r="A28" s="5"/>
      <c r="B28" s="3" t="s">
        <v>751</v>
      </c>
      <c r="C28" s="3" t="s">
        <v>1202</v>
      </c>
      <c r="D28" s="3" t="s">
        <v>675</v>
      </c>
      <c r="E28" s="3" t="s">
        <v>730</v>
      </c>
      <c r="F28" s="5"/>
      <c r="G28" s="5"/>
    </row>
    <row r="29" spans="1:7" ht="13.95" customHeight="1">
      <c r="A29" s="5"/>
      <c r="B29" s="3" t="s">
        <v>683</v>
      </c>
      <c r="C29" s="3" t="s">
        <v>1204</v>
      </c>
      <c r="D29" s="3" t="s">
        <v>675</v>
      </c>
      <c r="E29" s="3" t="s">
        <v>730</v>
      </c>
      <c r="F29" s="5"/>
      <c r="G29" s="5"/>
    </row>
    <row r="30" spans="1:7" ht="12" customHeight="1">
      <c r="A30" s="5"/>
      <c r="B30" s="5"/>
      <c r="C30" s="5"/>
      <c r="D30" s="5"/>
      <c r="E30" s="2474" t="s">
        <v>685</v>
      </c>
      <c r="F30" s="2474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65" customHeight="1">
      <c r="A32" s="5"/>
      <c r="B32" s="3" t="s">
        <v>1216</v>
      </c>
      <c r="C32" s="5"/>
      <c r="D32" s="3" t="s">
        <v>715</v>
      </c>
      <c r="E32" s="3" t="s">
        <v>1224</v>
      </c>
      <c r="F32" s="5"/>
      <c r="G32" s="5"/>
    </row>
    <row r="33" spans="1:7" ht="13.65" customHeight="1">
      <c r="A33" s="5"/>
      <c r="B33" s="3" t="s">
        <v>1217</v>
      </c>
      <c r="C33" s="5"/>
      <c r="D33" s="3" t="s">
        <v>690</v>
      </c>
      <c r="E33" s="3" t="s">
        <v>726</v>
      </c>
      <c r="F33" s="5"/>
      <c r="G33" s="5"/>
    </row>
    <row r="34" spans="1:7" ht="12" customHeight="1">
      <c r="A34" s="5"/>
      <c r="B34" s="5"/>
      <c r="C34" s="5"/>
      <c r="D34" s="5"/>
      <c r="E34" s="2474" t="s">
        <v>702</v>
      </c>
      <c r="F34" s="2474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2474" t="s">
        <v>705</v>
      </c>
      <c r="F37" s="2474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2474" t="s">
        <v>707</v>
      </c>
      <c r="C39" s="2474"/>
      <c r="D39" s="2474"/>
      <c r="E39" s="2474"/>
      <c r="F39" s="2474"/>
      <c r="G39" s="5"/>
    </row>
    <row r="40" spans="1:7" ht="12" customHeight="1">
      <c r="A40" s="3" t="s">
        <v>708</v>
      </c>
      <c r="B40" s="2471" t="s">
        <v>876</v>
      </c>
      <c r="C40" s="2471"/>
      <c r="D40" s="2471"/>
      <c r="E40" s="2472" t="s">
        <v>710</v>
      </c>
      <c r="F40" s="2472"/>
      <c r="G40" s="5"/>
    </row>
    <row r="41" spans="1:7" ht="12.15" customHeight="1">
      <c r="A41" s="3" t="s">
        <v>711</v>
      </c>
      <c r="B41" s="2473" t="s">
        <v>712</v>
      </c>
      <c r="C41" s="2473"/>
      <c r="D41" s="2473"/>
      <c r="E41" s="2473"/>
      <c r="F41" s="2473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84"/>
  <dimension ref="A1:G41"/>
  <sheetViews>
    <sheetView workbookViewId="0">
      <selection activeCell="G41" sqref="A1:G41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2288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65" customHeight="1">
      <c r="A5" s="5"/>
      <c r="B5" s="3" t="s">
        <v>673</v>
      </c>
      <c r="C5" s="3" t="s">
        <v>674</v>
      </c>
      <c r="D5" s="3" t="s">
        <v>675</v>
      </c>
      <c r="E5" s="3" t="s">
        <v>1213</v>
      </c>
      <c r="F5" s="5"/>
      <c r="G5" s="5"/>
    </row>
    <row r="6" spans="1:7" ht="13.95" customHeight="1">
      <c r="A6" s="5"/>
      <c r="B6" s="3" t="s">
        <v>677</v>
      </c>
      <c r="C6" s="3" t="s">
        <v>681</v>
      </c>
      <c r="D6" s="3" t="s">
        <v>675</v>
      </c>
      <c r="E6" s="3" t="s">
        <v>854</v>
      </c>
      <c r="F6" s="5"/>
      <c r="G6" s="5"/>
    </row>
    <row r="7" spans="1:7" ht="13.65" customHeight="1">
      <c r="A7" s="5"/>
      <c r="B7" s="3" t="s">
        <v>751</v>
      </c>
      <c r="C7" s="3" t="s">
        <v>1202</v>
      </c>
      <c r="D7" s="3" t="s">
        <v>675</v>
      </c>
      <c r="E7" s="3" t="s">
        <v>730</v>
      </c>
      <c r="F7" s="5"/>
      <c r="G7" s="5"/>
    </row>
    <row r="8" spans="1:7" ht="13.65" customHeight="1">
      <c r="A8" s="5"/>
      <c r="B8" s="3" t="s">
        <v>683</v>
      </c>
      <c r="C8" s="3" t="s">
        <v>1204</v>
      </c>
      <c r="D8" s="3" t="s">
        <v>675</v>
      </c>
      <c r="E8" s="3" t="s">
        <v>730</v>
      </c>
      <c r="F8" s="5"/>
      <c r="G8" s="5"/>
    </row>
    <row r="9" spans="1:7" ht="12" customHeight="1">
      <c r="A9" s="5"/>
      <c r="B9" s="5"/>
      <c r="C9" s="5"/>
      <c r="D9" s="5"/>
      <c r="E9" s="2474" t="s">
        <v>685</v>
      </c>
      <c r="F9" s="2474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5" customHeight="1">
      <c r="A11" s="5"/>
      <c r="B11" s="3" t="s">
        <v>1216</v>
      </c>
      <c r="C11" s="5"/>
      <c r="D11" s="3" t="s">
        <v>715</v>
      </c>
      <c r="E11" s="3" t="s">
        <v>1225</v>
      </c>
      <c r="F11" s="5"/>
      <c r="G11" s="5"/>
    </row>
    <row r="12" spans="1:7" ht="13.65" customHeight="1">
      <c r="A12" s="5"/>
      <c r="B12" s="3" t="s">
        <v>1217</v>
      </c>
      <c r="C12" s="5"/>
      <c r="D12" s="3" t="s">
        <v>690</v>
      </c>
      <c r="E12" s="3" t="s">
        <v>726</v>
      </c>
      <c r="F12" s="5"/>
      <c r="G12" s="5"/>
    </row>
    <row r="13" spans="1:7" ht="12" customHeight="1">
      <c r="A13" s="5"/>
      <c r="B13" s="5"/>
      <c r="C13" s="5"/>
      <c r="D13" s="5"/>
      <c r="E13" s="2474" t="s">
        <v>702</v>
      </c>
      <c r="F13" s="2474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2474" t="s">
        <v>705</v>
      </c>
      <c r="F16" s="2474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2474" t="s">
        <v>707</v>
      </c>
      <c r="C18" s="2474"/>
      <c r="D18" s="2474"/>
      <c r="E18" s="2474"/>
      <c r="F18" s="2474"/>
      <c r="G18" s="5"/>
    </row>
    <row r="19" spans="1:7" ht="12" customHeight="1">
      <c r="A19" s="3" t="s">
        <v>708</v>
      </c>
      <c r="B19" s="2471" t="s">
        <v>876</v>
      </c>
      <c r="C19" s="2471"/>
      <c r="D19" s="2471"/>
      <c r="E19" s="2472" t="s">
        <v>710</v>
      </c>
      <c r="F19" s="2472"/>
      <c r="G19" s="5"/>
    </row>
    <row r="20" spans="1:7" ht="12" customHeight="1">
      <c r="A20" s="3" t="s">
        <v>711</v>
      </c>
      <c r="B20" s="2473" t="s">
        <v>712</v>
      </c>
      <c r="C20" s="2473"/>
      <c r="D20" s="2473"/>
      <c r="E20" s="2473"/>
      <c r="F20" s="2473"/>
      <c r="G20" s="5"/>
    </row>
    <row r="21" spans="1:7" ht="12" customHeight="1">
      <c r="A21" s="3"/>
      <c r="B21" s="26"/>
      <c r="C21" s="26"/>
      <c r="D21" s="26"/>
      <c r="E21" s="26"/>
      <c r="F21" s="26"/>
      <c r="G21" s="5"/>
    </row>
    <row r="22" spans="1:7" ht="12" customHeight="1">
      <c r="A22" s="50" t="s">
        <v>2289</v>
      </c>
      <c r="B22" s="26"/>
      <c r="C22" s="26"/>
      <c r="D22" s="26"/>
      <c r="E22" s="26"/>
      <c r="F22" s="26"/>
      <c r="G22" s="5"/>
    </row>
    <row r="23" spans="1:7" ht="12" customHeight="1">
      <c r="A23" s="3"/>
      <c r="B23" s="26"/>
      <c r="C23" s="26"/>
      <c r="D23" s="26"/>
      <c r="E23" s="26"/>
      <c r="F23" s="26"/>
      <c r="G23" s="5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65" customHeight="1">
      <c r="A26" s="5"/>
      <c r="B26" s="3" t="s">
        <v>673</v>
      </c>
      <c r="C26" s="3" t="s">
        <v>674</v>
      </c>
      <c r="D26" s="3" t="s">
        <v>675</v>
      </c>
      <c r="E26" s="3" t="s">
        <v>1213</v>
      </c>
      <c r="F26" s="5"/>
      <c r="G26" s="5"/>
    </row>
    <row r="27" spans="1:7" ht="13.95" customHeight="1">
      <c r="A27" s="5"/>
      <c r="B27" s="3" t="s">
        <v>677</v>
      </c>
      <c r="C27" s="3" t="s">
        <v>681</v>
      </c>
      <c r="D27" s="3" t="s">
        <v>675</v>
      </c>
      <c r="E27" s="3" t="s">
        <v>854</v>
      </c>
      <c r="F27" s="5"/>
      <c r="G27" s="5"/>
    </row>
    <row r="28" spans="1:7" ht="13.65" customHeight="1">
      <c r="A28" s="5"/>
      <c r="B28" s="3" t="s">
        <v>751</v>
      </c>
      <c r="C28" s="3" t="s">
        <v>1202</v>
      </c>
      <c r="D28" s="3" t="s">
        <v>675</v>
      </c>
      <c r="E28" s="3" t="s">
        <v>730</v>
      </c>
      <c r="F28" s="5"/>
      <c r="G28" s="5"/>
    </row>
    <row r="29" spans="1:7" ht="13.65" customHeight="1">
      <c r="A29" s="5"/>
      <c r="B29" s="3" t="s">
        <v>683</v>
      </c>
      <c r="C29" s="3" t="s">
        <v>1204</v>
      </c>
      <c r="D29" s="3" t="s">
        <v>675</v>
      </c>
      <c r="E29" s="3" t="s">
        <v>730</v>
      </c>
      <c r="F29" s="5"/>
      <c r="G29" s="5"/>
    </row>
    <row r="30" spans="1:7" ht="12" customHeight="1">
      <c r="A30" s="5"/>
      <c r="B30" s="5"/>
      <c r="C30" s="5"/>
      <c r="D30" s="5"/>
      <c r="E30" s="2474" t="s">
        <v>685</v>
      </c>
      <c r="F30" s="2474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95" customHeight="1">
      <c r="A32" s="5"/>
      <c r="B32" s="3" t="s">
        <v>1216</v>
      </c>
      <c r="C32" s="5"/>
      <c r="D32" s="3" t="s">
        <v>715</v>
      </c>
      <c r="E32" s="3" t="s">
        <v>1147</v>
      </c>
      <c r="F32" s="5"/>
      <c r="G32" s="5"/>
    </row>
    <row r="33" spans="1:7" ht="13.65" customHeight="1">
      <c r="A33" s="5"/>
      <c r="B33" s="3" t="s">
        <v>1217</v>
      </c>
      <c r="C33" s="5"/>
      <c r="D33" s="3" t="s">
        <v>690</v>
      </c>
      <c r="E33" s="3" t="s">
        <v>726</v>
      </c>
      <c r="F33" s="5"/>
      <c r="G33" s="5"/>
    </row>
    <row r="34" spans="1:7" ht="12" customHeight="1">
      <c r="A34" s="5"/>
      <c r="B34" s="5"/>
      <c r="C34" s="5"/>
      <c r="D34" s="5"/>
      <c r="E34" s="2474" t="s">
        <v>702</v>
      </c>
      <c r="F34" s="2474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2474" t="s">
        <v>705</v>
      </c>
      <c r="F37" s="2474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2474" t="s">
        <v>707</v>
      </c>
      <c r="C39" s="2474"/>
      <c r="D39" s="2474"/>
      <c r="E39" s="2474"/>
      <c r="F39" s="2474"/>
      <c r="G39" s="5"/>
    </row>
    <row r="40" spans="1:7" ht="12" customHeight="1">
      <c r="A40" s="3" t="s">
        <v>708</v>
      </c>
      <c r="B40" s="2471" t="s">
        <v>876</v>
      </c>
      <c r="C40" s="2471"/>
      <c r="D40" s="2471"/>
      <c r="E40" s="2472" t="s">
        <v>710</v>
      </c>
      <c r="F40" s="2472"/>
      <c r="G40" s="5"/>
    </row>
    <row r="41" spans="1:7" ht="12" customHeight="1">
      <c r="A41" s="3" t="s">
        <v>711</v>
      </c>
      <c r="B41" s="2473" t="s">
        <v>712</v>
      </c>
      <c r="C41" s="2473"/>
      <c r="D41" s="2473"/>
      <c r="E41" s="2473"/>
      <c r="F41" s="2473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85"/>
  <dimension ref="A1:G41"/>
  <sheetViews>
    <sheetView workbookViewId="0">
      <selection activeCell="G41" sqref="A1:G41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2290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65" customHeight="1">
      <c r="A5" s="5"/>
      <c r="B5" s="3" t="s">
        <v>673</v>
      </c>
      <c r="C5" s="3" t="s">
        <v>674</v>
      </c>
      <c r="D5" s="3" t="s">
        <v>675</v>
      </c>
      <c r="E5" s="3" t="s">
        <v>1226</v>
      </c>
      <c r="F5" s="5"/>
      <c r="G5" s="5"/>
    </row>
    <row r="6" spans="1:7" ht="13.95" customHeight="1">
      <c r="A6" s="5"/>
      <c r="B6" s="3" t="s">
        <v>677</v>
      </c>
      <c r="C6" s="3" t="s">
        <v>681</v>
      </c>
      <c r="D6" s="3" t="s">
        <v>675</v>
      </c>
      <c r="E6" s="3" t="s">
        <v>787</v>
      </c>
      <c r="F6" s="5"/>
      <c r="G6" s="5"/>
    </row>
    <row r="7" spans="1:7" ht="13.65" customHeight="1">
      <c r="A7" s="5"/>
      <c r="B7" s="3" t="s">
        <v>751</v>
      </c>
      <c r="C7" s="3" t="s">
        <v>1202</v>
      </c>
      <c r="D7" s="3" t="s">
        <v>675</v>
      </c>
      <c r="E7" s="3" t="s">
        <v>901</v>
      </c>
      <c r="F7" s="5"/>
      <c r="G7" s="5"/>
    </row>
    <row r="8" spans="1:7" ht="13.65" customHeight="1">
      <c r="A8" s="5"/>
      <c r="B8" s="3" t="s">
        <v>683</v>
      </c>
      <c r="C8" s="3" t="s">
        <v>1204</v>
      </c>
      <c r="D8" s="3" t="s">
        <v>675</v>
      </c>
      <c r="E8" s="3" t="s">
        <v>783</v>
      </c>
      <c r="F8" s="5"/>
      <c r="G8" s="5"/>
    </row>
    <row r="9" spans="1:7" ht="12" customHeight="1">
      <c r="A9" s="5"/>
      <c r="B9" s="5"/>
      <c r="C9" s="5"/>
      <c r="D9" s="5"/>
      <c r="E9" s="2474" t="s">
        <v>685</v>
      </c>
      <c r="F9" s="2474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5" customHeight="1">
      <c r="A11" s="5"/>
      <c r="B11" s="3" t="s">
        <v>1227</v>
      </c>
      <c r="C11" s="5"/>
      <c r="D11" s="3" t="s">
        <v>715</v>
      </c>
      <c r="E11" s="3" t="s">
        <v>1228</v>
      </c>
      <c r="F11" s="5"/>
      <c r="G11" s="5"/>
    </row>
    <row r="12" spans="1:7" ht="13.65" customHeight="1">
      <c r="A12" s="5"/>
      <c r="B12" s="3" t="s">
        <v>1229</v>
      </c>
      <c r="C12" s="5"/>
      <c r="D12" s="3" t="s">
        <v>743</v>
      </c>
      <c r="E12" s="3" t="s">
        <v>1230</v>
      </c>
      <c r="F12" s="5"/>
      <c r="G12" s="5"/>
    </row>
    <row r="13" spans="1:7" ht="12" customHeight="1">
      <c r="A13" s="5"/>
      <c r="B13" s="5"/>
      <c r="C13" s="5"/>
      <c r="D13" s="5"/>
      <c r="E13" s="2474" t="s">
        <v>702</v>
      </c>
      <c r="F13" s="2474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2474" t="s">
        <v>705</v>
      </c>
      <c r="F16" s="2474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2474" t="s">
        <v>707</v>
      </c>
      <c r="C18" s="2474"/>
      <c r="D18" s="2474"/>
      <c r="E18" s="2474"/>
      <c r="F18" s="2474"/>
      <c r="G18" s="5"/>
    </row>
    <row r="19" spans="1:7" ht="12" customHeight="1">
      <c r="A19" s="3" t="s">
        <v>708</v>
      </c>
      <c r="B19" s="2471" t="s">
        <v>876</v>
      </c>
      <c r="C19" s="2471"/>
      <c r="D19" s="2471"/>
      <c r="E19" s="2472" t="s">
        <v>710</v>
      </c>
      <c r="F19" s="2472"/>
      <c r="G19" s="5"/>
    </row>
    <row r="20" spans="1:7" ht="12" customHeight="1">
      <c r="A20" s="3" t="s">
        <v>711</v>
      </c>
      <c r="B20" s="2473" t="s">
        <v>712</v>
      </c>
      <c r="C20" s="2473"/>
      <c r="D20" s="2473"/>
      <c r="E20" s="2473"/>
      <c r="F20" s="2473"/>
      <c r="G20" s="5"/>
    </row>
    <row r="21" spans="1:7" ht="12" customHeight="1">
      <c r="A21" s="3"/>
      <c r="B21" s="26"/>
      <c r="C21" s="26"/>
      <c r="D21" s="26"/>
      <c r="E21" s="26"/>
      <c r="F21" s="26"/>
      <c r="G21" s="5"/>
    </row>
    <row r="22" spans="1:7" ht="12" customHeight="1">
      <c r="A22" s="50" t="s">
        <v>2291</v>
      </c>
      <c r="B22" s="26"/>
      <c r="C22" s="26"/>
      <c r="D22" s="26"/>
      <c r="E22" s="26"/>
      <c r="F22" s="26"/>
      <c r="G22" s="5"/>
    </row>
    <row r="23" spans="1:7" ht="12" customHeight="1">
      <c r="A23" s="3"/>
      <c r="B23" s="26"/>
      <c r="C23" s="26"/>
      <c r="D23" s="26"/>
      <c r="E23" s="26"/>
      <c r="F23" s="26"/>
      <c r="G23" s="5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6" t="s">
        <v>767</v>
      </c>
      <c r="G24" s="6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65" customHeight="1">
      <c r="A26" s="5"/>
      <c r="B26" s="3" t="s">
        <v>673</v>
      </c>
      <c r="C26" s="3" t="s">
        <v>674</v>
      </c>
      <c r="D26" s="3" t="s">
        <v>675</v>
      </c>
      <c r="E26" s="3" t="s">
        <v>1226</v>
      </c>
      <c r="F26" s="5"/>
      <c r="G26" s="5"/>
    </row>
    <row r="27" spans="1:7" ht="13.95" customHeight="1">
      <c r="A27" s="5"/>
      <c r="B27" s="3" t="s">
        <v>677</v>
      </c>
      <c r="C27" s="3" t="s">
        <v>681</v>
      </c>
      <c r="D27" s="3" t="s">
        <v>675</v>
      </c>
      <c r="E27" s="3" t="s">
        <v>787</v>
      </c>
      <c r="F27" s="5"/>
      <c r="G27" s="5"/>
    </row>
    <row r="28" spans="1:7" ht="13.65" customHeight="1">
      <c r="A28" s="5"/>
      <c r="B28" s="3" t="s">
        <v>751</v>
      </c>
      <c r="C28" s="3" t="s">
        <v>1202</v>
      </c>
      <c r="D28" s="3" t="s">
        <v>675</v>
      </c>
      <c r="E28" s="3" t="s">
        <v>901</v>
      </c>
      <c r="F28" s="5"/>
      <c r="G28" s="5"/>
    </row>
    <row r="29" spans="1:7" ht="13.65" customHeight="1">
      <c r="A29" s="5"/>
      <c r="B29" s="3" t="s">
        <v>683</v>
      </c>
      <c r="C29" s="3" t="s">
        <v>1204</v>
      </c>
      <c r="D29" s="3" t="s">
        <v>675</v>
      </c>
      <c r="E29" s="3" t="s">
        <v>783</v>
      </c>
      <c r="F29" s="5"/>
      <c r="G29" s="5"/>
    </row>
    <row r="30" spans="1:7" ht="12" customHeight="1">
      <c r="A30" s="5"/>
      <c r="B30" s="5"/>
      <c r="C30" s="5"/>
      <c r="D30" s="5"/>
      <c r="E30" s="2474" t="s">
        <v>685</v>
      </c>
      <c r="F30" s="2474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95" customHeight="1">
      <c r="A32" s="5"/>
      <c r="B32" s="3" t="s">
        <v>1227</v>
      </c>
      <c r="C32" s="5"/>
      <c r="D32" s="3" t="s">
        <v>715</v>
      </c>
      <c r="E32" s="3" t="s">
        <v>1231</v>
      </c>
      <c r="F32" s="5"/>
      <c r="G32" s="5"/>
    </row>
    <row r="33" spans="1:7" ht="13.65" customHeight="1">
      <c r="A33" s="5"/>
      <c r="B33" s="3" t="s">
        <v>1229</v>
      </c>
      <c r="C33" s="5"/>
      <c r="D33" s="3" t="s">
        <v>743</v>
      </c>
      <c r="E33" s="3" t="s">
        <v>1230</v>
      </c>
      <c r="F33" s="5"/>
      <c r="G33" s="5"/>
    </row>
    <row r="34" spans="1:7" ht="12" customHeight="1">
      <c r="A34" s="5"/>
      <c r="B34" s="5"/>
      <c r="C34" s="5"/>
      <c r="D34" s="5"/>
      <c r="E34" s="2474" t="s">
        <v>702</v>
      </c>
      <c r="F34" s="2474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2474" t="s">
        <v>705</v>
      </c>
      <c r="F37" s="2474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2474" t="s">
        <v>707</v>
      </c>
      <c r="C39" s="2474"/>
      <c r="D39" s="2474"/>
      <c r="E39" s="2474"/>
      <c r="F39" s="2474"/>
      <c r="G39" s="5"/>
    </row>
    <row r="40" spans="1:7" ht="12" customHeight="1">
      <c r="A40" s="3" t="s">
        <v>708</v>
      </c>
      <c r="B40" s="2471" t="s">
        <v>876</v>
      </c>
      <c r="C40" s="2471"/>
      <c r="D40" s="2471"/>
      <c r="E40" s="2472" t="s">
        <v>710</v>
      </c>
      <c r="F40" s="2472"/>
      <c r="G40" s="5"/>
    </row>
    <row r="41" spans="1:7" ht="12" customHeight="1">
      <c r="A41" s="3" t="s">
        <v>711</v>
      </c>
      <c r="B41" s="2473" t="s">
        <v>712</v>
      </c>
      <c r="C41" s="2473"/>
      <c r="D41" s="2473"/>
      <c r="E41" s="2473"/>
      <c r="F41" s="2473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86"/>
  <dimension ref="A1:G41"/>
  <sheetViews>
    <sheetView workbookViewId="0">
      <selection activeCell="G41" sqref="A1:G41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2292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65" customHeight="1">
      <c r="A5" s="5"/>
      <c r="B5" s="3" t="s">
        <v>673</v>
      </c>
      <c r="C5" s="3" t="s">
        <v>674</v>
      </c>
      <c r="D5" s="3" t="s">
        <v>675</v>
      </c>
      <c r="E5" s="3" t="s">
        <v>1226</v>
      </c>
      <c r="F5" s="5"/>
      <c r="G5" s="5"/>
    </row>
    <row r="6" spans="1:7" ht="13.95" customHeight="1">
      <c r="A6" s="5"/>
      <c r="B6" s="3" t="s">
        <v>677</v>
      </c>
      <c r="C6" s="3" t="s">
        <v>681</v>
      </c>
      <c r="D6" s="3" t="s">
        <v>675</v>
      </c>
      <c r="E6" s="3" t="s">
        <v>787</v>
      </c>
      <c r="F6" s="5"/>
      <c r="G6" s="5"/>
    </row>
    <row r="7" spans="1:7" ht="13.65" customHeight="1">
      <c r="A7" s="5"/>
      <c r="B7" s="3" t="s">
        <v>751</v>
      </c>
      <c r="C7" s="3" t="s">
        <v>1202</v>
      </c>
      <c r="D7" s="3" t="s">
        <v>675</v>
      </c>
      <c r="E7" s="3" t="s">
        <v>901</v>
      </c>
      <c r="F7" s="5"/>
      <c r="G7" s="5"/>
    </row>
    <row r="8" spans="1:7" ht="13.65" customHeight="1">
      <c r="A8" s="5"/>
      <c r="B8" s="3" t="s">
        <v>683</v>
      </c>
      <c r="C8" s="3" t="s">
        <v>1204</v>
      </c>
      <c r="D8" s="3" t="s">
        <v>675</v>
      </c>
      <c r="E8" s="3" t="s">
        <v>783</v>
      </c>
      <c r="F8" s="5"/>
      <c r="G8" s="5"/>
    </row>
    <row r="9" spans="1:7" ht="12" customHeight="1">
      <c r="A9" s="5"/>
      <c r="B9" s="5"/>
      <c r="C9" s="5"/>
      <c r="D9" s="5"/>
      <c r="E9" s="2474" t="s">
        <v>685</v>
      </c>
      <c r="F9" s="2474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5" customHeight="1">
      <c r="A11" s="5"/>
      <c r="B11" s="3" t="s">
        <v>1227</v>
      </c>
      <c r="C11" s="5"/>
      <c r="D11" s="3" t="s">
        <v>715</v>
      </c>
      <c r="E11" s="3" t="s">
        <v>1232</v>
      </c>
      <c r="F11" s="5"/>
      <c r="G11" s="5"/>
    </row>
    <row r="12" spans="1:7" ht="13.65" customHeight="1">
      <c r="A12" s="5"/>
      <c r="B12" s="3" t="s">
        <v>1229</v>
      </c>
      <c r="C12" s="5"/>
      <c r="D12" s="3" t="s">
        <v>743</v>
      </c>
      <c r="E12" s="3" t="s">
        <v>1230</v>
      </c>
      <c r="F12" s="5"/>
      <c r="G12" s="5"/>
    </row>
    <row r="13" spans="1:7" ht="12" customHeight="1">
      <c r="A13" s="5"/>
      <c r="B13" s="5"/>
      <c r="C13" s="5"/>
      <c r="D13" s="5"/>
      <c r="E13" s="2474" t="s">
        <v>702</v>
      </c>
      <c r="F13" s="2474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2474" t="s">
        <v>705</v>
      </c>
      <c r="F16" s="2474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2474" t="s">
        <v>707</v>
      </c>
      <c r="C18" s="2474"/>
      <c r="D18" s="2474"/>
      <c r="E18" s="2474"/>
      <c r="F18" s="2474"/>
      <c r="G18" s="5"/>
    </row>
    <row r="19" spans="1:7" ht="12" customHeight="1">
      <c r="A19" s="3" t="s">
        <v>708</v>
      </c>
      <c r="B19" s="2471" t="s">
        <v>876</v>
      </c>
      <c r="C19" s="2471"/>
      <c r="D19" s="2471"/>
      <c r="E19" s="2472" t="s">
        <v>710</v>
      </c>
      <c r="F19" s="2472"/>
      <c r="G19" s="5"/>
    </row>
    <row r="20" spans="1:7" ht="12" customHeight="1">
      <c r="A20" s="3" t="s">
        <v>711</v>
      </c>
      <c r="B20" s="2473" t="s">
        <v>712</v>
      </c>
      <c r="C20" s="2473"/>
      <c r="D20" s="2473"/>
      <c r="E20" s="2473"/>
      <c r="F20" s="2473"/>
      <c r="G20" s="5"/>
    </row>
    <row r="21" spans="1:7" ht="12" customHeight="1">
      <c r="A21" s="3"/>
      <c r="B21" s="26"/>
      <c r="C21" s="26"/>
      <c r="D21" s="26"/>
      <c r="E21" s="26"/>
      <c r="F21" s="26"/>
      <c r="G21" s="5"/>
    </row>
    <row r="22" spans="1:7" ht="12" customHeight="1">
      <c r="A22" s="50" t="s">
        <v>2293</v>
      </c>
      <c r="B22" s="26"/>
      <c r="C22" s="26"/>
      <c r="D22" s="26"/>
      <c r="E22" s="26"/>
      <c r="F22" s="26"/>
      <c r="G22" s="5"/>
    </row>
    <row r="23" spans="1:7" ht="12" customHeight="1">
      <c r="A23" s="3"/>
      <c r="B23" s="26"/>
      <c r="C23" s="26"/>
      <c r="D23" s="26"/>
      <c r="E23" s="26"/>
      <c r="F23" s="26"/>
      <c r="G23" s="5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65" customHeight="1">
      <c r="A26" s="5"/>
      <c r="B26" s="3" t="s">
        <v>673</v>
      </c>
      <c r="C26" s="3" t="s">
        <v>674</v>
      </c>
      <c r="D26" s="3" t="s">
        <v>675</v>
      </c>
      <c r="E26" s="3" t="s">
        <v>1226</v>
      </c>
      <c r="F26" s="5"/>
      <c r="G26" s="5"/>
    </row>
    <row r="27" spans="1:7" ht="13.95" customHeight="1">
      <c r="A27" s="5"/>
      <c r="B27" s="3" t="s">
        <v>677</v>
      </c>
      <c r="C27" s="3" t="s">
        <v>681</v>
      </c>
      <c r="D27" s="3" t="s">
        <v>675</v>
      </c>
      <c r="E27" s="3" t="s">
        <v>787</v>
      </c>
      <c r="F27" s="5"/>
      <c r="G27" s="5"/>
    </row>
    <row r="28" spans="1:7" ht="13.65" customHeight="1">
      <c r="A28" s="5"/>
      <c r="B28" s="3" t="s">
        <v>751</v>
      </c>
      <c r="C28" s="3" t="s">
        <v>1202</v>
      </c>
      <c r="D28" s="3" t="s">
        <v>675</v>
      </c>
      <c r="E28" s="3" t="s">
        <v>901</v>
      </c>
      <c r="F28" s="5"/>
      <c r="G28" s="5"/>
    </row>
    <row r="29" spans="1:7" ht="13.95" customHeight="1">
      <c r="A29" s="5"/>
      <c r="B29" s="3" t="s">
        <v>683</v>
      </c>
      <c r="C29" s="3" t="s">
        <v>1204</v>
      </c>
      <c r="D29" s="3" t="s">
        <v>675</v>
      </c>
      <c r="E29" s="3" t="s">
        <v>783</v>
      </c>
      <c r="F29" s="5"/>
      <c r="G29" s="5"/>
    </row>
    <row r="30" spans="1:7" ht="12" customHeight="1">
      <c r="A30" s="5"/>
      <c r="B30" s="5"/>
      <c r="C30" s="5"/>
      <c r="D30" s="5"/>
      <c r="E30" s="2474" t="s">
        <v>685</v>
      </c>
      <c r="F30" s="2474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65" customHeight="1">
      <c r="A32" s="5"/>
      <c r="B32" s="3" t="s">
        <v>1233</v>
      </c>
      <c r="C32" s="5"/>
      <c r="D32" s="3" t="s">
        <v>715</v>
      </c>
      <c r="E32" s="3" t="s">
        <v>1234</v>
      </c>
      <c r="F32" s="5"/>
      <c r="G32" s="5"/>
    </row>
    <row r="33" spans="1:7" ht="13.65" customHeight="1">
      <c r="A33" s="5"/>
      <c r="B33" s="3" t="s">
        <v>1229</v>
      </c>
      <c r="C33" s="5"/>
      <c r="D33" s="3" t="s">
        <v>743</v>
      </c>
      <c r="E33" s="3" t="s">
        <v>1230</v>
      </c>
      <c r="F33" s="5"/>
      <c r="G33" s="5"/>
    </row>
    <row r="34" spans="1:7" ht="12" customHeight="1">
      <c r="A34" s="5"/>
      <c r="B34" s="5"/>
      <c r="C34" s="5"/>
      <c r="D34" s="5"/>
      <c r="E34" s="2474" t="s">
        <v>702</v>
      </c>
      <c r="F34" s="2474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2474" t="s">
        <v>705</v>
      </c>
      <c r="F37" s="2474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2474" t="s">
        <v>707</v>
      </c>
      <c r="C39" s="2474"/>
      <c r="D39" s="2474"/>
      <c r="E39" s="2474"/>
      <c r="F39" s="2474"/>
      <c r="G39" s="5"/>
    </row>
    <row r="40" spans="1:7" ht="12" customHeight="1">
      <c r="A40" s="3" t="s">
        <v>708</v>
      </c>
      <c r="B40" s="2471" t="s">
        <v>876</v>
      </c>
      <c r="C40" s="2471"/>
      <c r="D40" s="2471"/>
      <c r="E40" s="2472" t="s">
        <v>710</v>
      </c>
      <c r="F40" s="2472"/>
      <c r="G40" s="5"/>
    </row>
    <row r="41" spans="1:7" ht="12" customHeight="1">
      <c r="A41" s="3" t="s">
        <v>711</v>
      </c>
      <c r="B41" s="2473" t="s">
        <v>712</v>
      </c>
      <c r="C41" s="2473"/>
      <c r="D41" s="2473"/>
      <c r="E41" s="2473"/>
      <c r="F41" s="2473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87"/>
  <dimension ref="A1:G41"/>
  <sheetViews>
    <sheetView workbookViewId="0">
      <selection activeCell="G41" sqref="A1:G41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2294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65" customHeight="1">
      <c r="A5" s="5"/>
      <c r="B5" s="3" t="s">
        <v>673</v>
      </c>
      <c r="C5" s="3" t="s">
        <v>674</v>
      </c>
      <c r="D5" s="3" t="s">
        <v>675</v>
      </c>
      <c r="E5" s="3" t="s">
        <v>1226</v>
      </c>
      <c r="F5" s="5"/>
      <c r="G5" s="5"/>
    </row>
    <row r="6" spans="1:7" ht="13.95" customHeight="1">
      <c r="A6" s="5"/>
      <c r="B6" s="3" t="s">
        <v>677</v>
      </c>
      <c r="C6" s="3" t="s">
        <v>681</v>
      </c>
      <c r="D6" s="3" t="s">
        <v>675</v>
      </c>
      <c r="E6" s="3" t="s">
        <v>787</v>
      </c>
      <c r="F6" s="5"/>
      <c r="G6" s="5"/>
    </row>
    <row r="7" spans="1:7" ht="13.65" customHeight="1">
      <c r="A7" s="5"/>
      <c r="B7" s="3" t="s">
        <v>751</v>
      </c>
      <c r="C7" s="3" t="s">
        <v>1202</v>
      </c>
      <c r="D7" s="3" t="s">
        <v>675</v>
      </c>
      <c r="E7" s="3" t="s">
        <v>901</v>
      </c>
      <c r="F7" s="5"/>
      <c r="G7" s="5"/>
    </row>
    <row r="8" spans="1:7" ht="13.65" customHeight="1">
      <c r="A8" s="5"/>
      <c r="B8" s="3" t="s">
        <v>683</v>
      </c>
      <c r="C8" s="3" t="s">
        <v>1204</v>
      </c>
      <c r="D8" s="3" t="s">
        <v>675</v>
      </c>
      <c r="E8" s="3" t="s">
        <v>783</v>
      </c>
      <c r="F8" s="5"/>
      <c r="G8" s="5"/>
    </row>
    <row r="9" spans="1:7" ht="12" customHeight="1">
      <c r="A9" s="5"/>
      <c r="B9" s="5"/>
      <c r="C9" s="5"/>
      <c r="D9" s="5"/>
      <c r="E9" s="2474" t="s">
        <v>685</v>
      </c>
      <c r="F9" s="2474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5" customHeight="1">
      <c r="A11" s="5"/>
      <c r="B11" s="3" t="s">
        <v>1233</v>
      </c>
      <c r="C11" s="5"/>
      <c r="D11" s="3" t="s">
        <v>715</v>
      </c>
      <c r="E11" s="3" t="s">
        <v>1234</v>
      </c>
      <c r="F11" s="5"/>
      <c r="G11" s="5"/>
    </row>
    <row r="12" spans="1:7" ht="13.65" customHeight="1">
      <c r="A12" s="5"/>
      <c r="B12" s="3" t="s">
        <v>1229</v>
      </c>
      <c r="C12" s="5"/>
      <c r="D12" s="3" t="s">
        <v>743</v>
      </c>
      <c r="E12" s="3" t="s">
        <v>1230</v>
      </c>
      <c r="F12" s="5"/>
      <c r="G12" s="5"/>
    </row>
    <row r="13" spans="1:7" ht="12" customHeight="1">
      <c r="A13" s="5"/>
      <c r="B13" s="5"/>
      <c r="C13" s="5"/>
      <c r="D13" s="5"/>
      <c r="E13" s="2474" t="s">
        <v>702</v>
      </c>
      <c r="F13" s="2474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2474" t="s">
        <v>705</v>
      </c>
      <c r="F16" s="2474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2474" t="s">
        <v>707</v>
      </c>
      <c r="C18" s="2474"/>
      <c r="D18" s="2474"/>
      <c r="E18" s="2474"/>
      <c r="F18" s="2474"/>
      <c r="G18" s="5"/>
    </row>
    <row r="19" spans="1:7" ht="12" customHeight="1">
      <c r="A19" s="3" t="s">
        <v>708</v>
      </c>
      <c r="B19" s="2471" t="s">
        <v>876</v>
      </c>
      <c r="C19" s="2471"/>
      <c r="D19" s="2471"/>
      <c r="E19" s="2472" t="s">
        <v>710</v>
      </c>
      <c r="F19" s="2472"/>
      <c r="G19" s="5"/>
    </row>
    <row r="20" spans="1:7" ht="12" customHeight="1">
      <c r="A20" s="3" t="s">
        <v>711</v>
      </c>
      <c r="B20" s="2473" t="s">
        <v>712</v>
      </c>
      <c r="C20" s="2473"/>
      <c r="D20" s="2473"/>
      <c r="E20" s="2473"/>
      <c r="F20" s="2473"/>
      <c r="G20" s="5"/>
    </row>
    <row r="21" spans="1:7" ht="12" customHeight="1">
      <c r="A21" s="3"/>
      <c r="B21" s="26"/>
      <c r="C21" s="26"/>
      <c r="D21" s="26"/>
      <c r="E21" s="26"/>
      <c r="F21" s="26"/>
      <c r="G21" s="5"/>
    </row>
    <row r="22" spans="1:7" ht="12" customHeight="1">
      <c r="A22" s="50" t="s">
        <v>2295</v>
      </c>
      <c r="B22" s="26"/>
      <c r="C22" s="26"/>
      <c r="D22" s="26"/>
      <c r="E22" s="26"/>
      <c r="F22" s="26"/>
      <c r="G22" s="5"/>
    </row>
    <row r="23" spans="1:7" ht="12" customHeight="1">
      <c r="A23" s="3"/>
      <c r="B23" s="26"/>
      <c r="C23" s="26"/>
      <c r="D23" s="26"/>
      <c r="E23" s="26"/>
      <c r="F23" s="26"/>
      <c r="G23" s="5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65" customHeight="1">
      <c r="A26" s="5"/>
      <c r="B26" s="3" t="s">
        <v>673</v>
      </c>
      <c r="C26" s="3" t="s">
        <v>674</v>
      </c>
      <c r="D26" s="3" t="s">
        <v>675</v>
      </c>
      <c r="E26" s="3" t="s">
        <v>1226</v>
      </c>
      <c r="F26" s="5"/>
      <c r="G26" s="5"/>
    </row>
    <row r="27" spans="1:7" ht="13.95" customHeight="1">
      <c r="A27" s="5"/>
      <c r="B27" s="3" t="s">
        <v>677</v>
      </c>
      <c r="C27" s="3" t="s">
        <v>681</v>
      </c>
      <c r="D27" s="3" t="s">
        <v>675</v>
      </c>
      <c r="E27" s="3" t="s">
        <v>787</v>
      </c>
      <c r="F27" s="5"/>
      <c r="G27" s="5"/>
    </row>
    <row r="28" spans="1:7" ht="13.65" customHeight="1">
      <c r="A28" s="5"/>
      <c r="B28" s="3" t="s">
        <v>751</v>
      </c>
      <c r="C28" s="3" t="s">
        <v>1202</v>
      </c>
      <c r="D28" s="3" t="s">
        <v>675</v>
      </c>
      <c r="E28" s="3" t="s">
        <v>901</v>
      </c>
      <c r="F28" s="5"/>
      <c r="G28" s="5"/>
    </row>
    <row r="29" spans="1:7" ht="13.95" customHeight="1">
      <c r="A29" s="5"/>
      <c r="B29" s="3" t="s">
        <v>683</v>
      </c>
      <c r="C29" s="3" t="s">
        <v>1204</v>
      </c>
      <c r="D29" s="3" t="s">
        <v>675</v>
      </c>
      <c r="E29" s="3" t="s">
        <v>783</v>
      </c>
      <c r="F29" s="5"/>
      <c r="G29" s="5"/>
    </row>
    <row r="30" spans="1:7" ht="12" customHeight="1">
      <c r="A30" s="5"/>
      <c r="B30" s="5"/>
      <c r="C30" s="5"/>
      <c r="D30" s="5"/>
      <c r="E30" s="2474" t="s">
        <v>685</v>
      </c>
      <c r="F30" s="2474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65" customHeight="1">
      <c r="A32" s="5"/>
      <c r="B32" s="3" t="s">
        <v>1233</v>
      </c>
      <c r="C32" s="5"/>
      <c r="D32" s="3" t="s">
        <v>715</v>
      </c>
      <c r="E32" s="3" t="s">
        <v>1234</v>
      </c>
      <c r="F32" s="5"/>
      <c r="G32" s="5"/>
    </row>
    <row r="33" spans="1:7" ht="13.65" customHeight="1">
      <c r="A33" s="5"/>
      <c r="B33" s="3" t="s">
        <v>1229</v>
      </c>
      <c r="C33" s="5"/>
      <c r="D33" s="3" t="s">
        <v>743</v>
      </c>
      <c r="E33" s="3" t="s">
        <v>1230</v>
      </c>
      <c r="F33" s="5"/>
      <c r="G33" s="5"/>
    </row>
    <row r="34" spans="1:7" ht="12" customHeight="1">
      <c r="A34" s="5"/>
      <c r="B34" s="5"/>
      <c r="C34" s="5"/>
      <c r="D34" s="5"/>
      <c r="E34" s="2474" t="s">
        <v>702</v>
      </c>
      <c r="F34" s="2474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2474" t="s">
        <v>705</v>
      </c>
      <c r="F37" s="2474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2474" t="s">
        <v>707</v>
      </c>
      <c r="C39" s="2474"/>
      <c r="D39" s="2474"/>
      <c r="E39" s="2474"/>
      <c r="F39" s="2474"/>
      <c r="G39" s="5"/>
    </row>
    <row r="40" spans="1:7" ht="12" customHeight="1">
      <c r="A40" s="3" t="s">
        <v>708</v>
      </c>
      <c r="B40" s="2471" t="s">
        <v>876</v>
      </c>
      <c r="C40" s="2471"/>
      <c r="D40" s="2471"/>
      <c r="E40" s="2472" t="s">
        <v>710</v>
      </c>
      <c r="F40" s="2472"/>
      <c r="G40" s="5"/>
    </row>
    <row r="41" spans="1:7" ht="12" customHeight="1">
      <c r="A41" s="3" t="s">
        <v>711</v>
      </c>
      <c r="B41" s="2473" t="s">
        <v>712</v>
      </c>
      <c r="C41" s="2473"/>
      <c r="D41" s="2473"/>
      <c r="E41" s="2473"/>
      <c r="F41" s="2473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88"/>
  <dimension ref="A1:G41"/>
  <sheetViews>
    <sheetView workbookViewId="0">
      <selection activeCell="G41" sqref="A1:G41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2296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65" customHeight="1">
      <c r="A5" s="5"/>
      <c r="B5" s="3" t="s">
        <v>673</v>
      </c>
      <c r="C5" s="3" t="s">
        <v>674</v>
      </c>
      <c r="D5" s="3" t="s">
        <v>675</v>
      </c>
      <c r="E5" s="3" t="s">
        <v>723</v>
      </c>
      <c r="F5" s="5"/>
      <c r="G5" s="5"/>
    </row>
    <row r="6" spans="1:7" ht="13.95" customHeight="1">
      <c r="A6" s="5"/>
      <c r="B6" s="3" t="s">
        <v>677</v>
      </c>
      <c r="C6" s="3" t="s">
        <v>681</v>
      </c>
      <c r="D6" s="3" t="s">
        <v>675</v>
      </c>
      <c r="E6" s="3" t="s">
        <v>752</v>
      </c>
      <c r="F6" s="5"/>
      <c r="G6" s="5"/>
    </row>
    <row r="7" spans="1:7" ht="13.65" customHeight="1">
      <c r="A7" s="5"/>
      <c r="B7" s="3" t="s">
        <v>751</v>
      </c>
      <c r="C7" s="3" t="s">
        <v>1202</v>
      </c>
      <c r="D7" s="3" t="s">
        <v>675</v>
      </c>
      <c r="E7" s="3" t="s">
        <v>901</v>
      </c>
      <c r="F7" s="5"/>
      <c r="G7" s="5"/>
    </row>
    <row r="8" spans="1:7" ht="13.65" customHeight="1">
      <c r="A8" s="5"/>
      <c r="B8" s="3" t="s">
        <v>683</v>
      </c>
      <c r="C8" s="3" t="s">
        <v>1204</v>
      </c>
      <c r="D8" s="3" t="s">
        <v>675</v>
      </c>
      <c r="E8" s="3" t="s">
        <v>783</v>
      </c>
      <c r="F8" s="5"/>
      <c r="G8" s="5"/>
    </row>
    <row r="9" spans="1:7" ht="12" customHeight="1">
      <c r="A9" s="5"/>
      <c r="B9" s="5"/>
      <c r="C9" s="5"/>
      <c r="D9" s="5"/>
      <c r="E9" s="2474" t="s">
        <v>685</v>
      </c>
      <c r="F9" s="2474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5" customHeight="1">
      <c r="A11" s="5"/>
      <c r="B11" s="3" t="s">
        <v>1233</v>
      </c>
      <c r="C11" s="5"/>
      <c r="D11" s="3" t="s">
        <v>715</v>
      </c>
      <c r="E11" s="3" t="s">
        <v>930</v>
      </c>
      <c r="F11" s="5"/>
      <c r="G11" s="5"/>
    </row>
    <row r="12" spans="1:7" ht="13.65" customHeight="1">
      <c r="A12" s="5"/>
      <c r="B12" s="3" t="s">
        <v>1229</v>
      </c>
      <c r="C12" s="5"/>
      <c r="D12" s="3" t="s">
        <v>743</v>
      </c>
      <c r="E12" s="3" t="s">
        <v>1230</v>
      </c>
      <c r="F12" s="5"/>
      <c r="G12" s="5"/>
    </row>
    <row r="13" spans="1:7" ht="12" customHeight="1">
      <c r="A13" s="5"/>
      <c r="B13" s="5"/>
      <c r="C13" s="5"/>
      <c r="D13" s="5"/>
      <c r="E13" s="2474" t="s">
        <v>702</v>
      </c>
      <c r="F13" s="2474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2474" t="s">
        <v>705</v>
      </c>
      <c r="F16" s="2474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2474" t="s">
        <v>707</v>
      </c>
      <c r="C18" s="2474"/>
      <c r="D18" s="2474"/>
      <c r="E18" s="2474"/>
      <c r="F18" s="2474"/>
      <c r="G18" s="5"/>
    </row>
    <row r="19" spans="1:7" ht="12" customHeight="1">
      <c r="A19" s="3" t="s">
        <v>708</v>
      </c>
      <c r="B19" s="2471" t="s">
        <v>876</v>
      </c>
      <c r="C19" s="2471"/>
      <c r="D19" s="2471"/>
      <c r="E19" s="2472" t="s">
        <v>710</v>
      </c>
      <c r="F19" s="2472"/>
      <c r="G19" s="5"/>
    </row>
    <row r="20" spans="1:7" ht="12" customHeight="1">
      <c r="A20" s="3" t="s">
        <v>711</v>
      </c>
      <c r="B20" s="2473" t="s">
        <v>712</v>
      </c>
      <c r="C20" s="2473"/>
      <c r="D20" s="2473"/>
      <c r="E20" s="2473"/>
      <c r="F20" s="2473"/>
      <c r="G20" s="5"/>
    </row>
    <row r="21" spans="1:7" ht="12" customHeight="1">
      <c r="A21" s="3"/>
      <c r="B21" s="26"/>
      <c r="C21" s="26"/>
      <c r="D21" s="26"/>
      <c r="E21" s="26"/>
      <c r="F21" s="26"/>
      <c r="G21" s="5"/>
    </row>
    <row r="22" spans="1:7" ht="12" customHeight="1">
      <c r="A22" s="55" t="s">
        <v>2297</v>
      </c>
      <c r="B22" s="26"/>
      <c r="C22" s="26"/>
      <c r="D22" s="26"/>
      <c r="E22" s="26"/>
      <c r="F22" s="26"/>
      <c r="G22" s="5"/>
    </row>
    <row r="23" spans="1:7" ht="12" customHeight="1">
      <c r="A23" s="3"/>
      <c r="B23" s="26"/>
      <c r="C23" s="26"/>
      <c r="D23" s="26"/>
      <c r="E23" s="26"/>
      <c r="F23" s="26"/>
      <c r="G23" s="5"/>
    </row>
    <row r="24" spans="1:7" ht="34.950000000000003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95" customHeight="1">
      <c r="A26" s="5"/>
      <c r="B26" s="3" t="s">
        <v>673</v>
      </c>
      <c r="C26" s="3" t="s">
        <v>674</v>
      </c>
      <c r="D26" s="3" t="s">
        <v>675</v>
      </c>
      <c r="E26" s="3" t="s">
        <v>1226</v>
      </c>
      <c r="F26" s="5"/>
      <c r="G26" s="5"/>
    </row>
    <row r="27" spans="1:7" ht="13.65" customHeight="1">
      <c r="A27" s="5"/>
      <c r="B27" s="3" t="s">
        <v>677</v>
      </c>
      <c r="C27" s="3" t="s">
        <v>681</v>
      </c>
      <c r="D27" s="3" t="s">
        <v>675</v>
      </c>
      <c r="E27" s="3" t="s">
        <v>787</v>
      </c>
      <c r="F27" s="5"/>
      <c r="G27" s="5"/>
    </row>
    <row r="28" spans="1:7" ht="13.65" customHeight="1">
      <c r="A28" s="5"/>
      <c r="B28" s="3" t="s">
        <v>751</v>
      </c>
      <c r="C28" s="3" t="s">
        <v>1202</v>
      </c>
      <c r="D28" s="3" t="s">
        <v>675</v>
      </c>
      <c r="E28" s="3" t="s">
        <v>901</v>
      </c>
      <c r="F28" s="5"/>
      <c r="G28" s="5"/>
    </row>
    <row r="29" spans="1:7" ht="13.95" customHeight="1">
      <c r="A29" s="5"/>
      <c r="B29" s="3" t="s">
        <v>683</v>
      </c>
      <c r="C29" s="3" t="s">
        <v>1204</v>
      </c>
      <c r="D29" s="3" t="s">
        <v>675</v>
      </c>
      <c r="E29" s="3" t="s">
        <v>783</v>
      </c>
      <c r="F29" s="5"/>
      <c r="G29" s="5"/>
    </row>
    <row r="30" spans="1:7" ht="12" customHeight="1">
      <c r="A30" s="5"/>
      <c r="B30" s="5"/>
      <c r="C30" s="5"/>
      <c r="D30" s="5"/>
      <c r="E30" s="2474" t="s">
        <v>685</v>
      </c>
      <c r="F30" s="2474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65" customHeight="1">
      <c r="A32" s="5"/>
      <c r="B32" s="3" t="s">
        <v>1233</v>
      </c>
      <c r="C32" s="5"/>
      <c r="D32" s="3" t="s">
        <v>715</v>
      </c>
      <c r="E32" s="3" t="s">
        <v>930</v>
      </c>
      <c r="F32" s="5"/>
      <c r="G32" s="5"/>
    </row>
    <row r="33" spans="1:7" ht="13.65" customHeight="1">
      <c r="A33" s="5"/>
      <c r="B33" s="3" t="s">
        <v>1229</v>
      </c>
      <c r="C33" s="5"/>
      <c r="D33" s="3" t="s">
        <v>743</v>
      </c>
      <c r="E33" s="3" t="s">
        <v>1230</v>
      </c>
      <c r="F33" s="5"/>
      <c r="G33" s="5"/>
    </row>
    <row r="34" spans="1:7" ht="12" customHeight="1">
      <c r="A34" s="5"/>
      <c r="B34" s="5"/>
      <c r="C34" s="5"/>
      <c r="D34" s="5"/>
      <c r="E34" s="2474" t="s">
        <v>702</v>
      </c>
      <c r="F34" s="2474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2474" t="s">
        <v>705</v>
      </c>
      <c r="F37" s="2474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2474" t="s">
        <v>707</v>
      </c>
      <c r="C39" s="2474"/>
      <c r="D39" s="2474"/>
      <c r="E39" s="2474"/>
      <c r="F39" s="2474"/>
      <c r="G39" s="5"/>
    </row>
    <row r="40" spans="1:7" ht="12" customHeight="1">
      <c r="A40" s="3" t="s">
        <v>708</v>
      </c>
      <c r="B40" s="2471" t="s">
        <v>876</v>
      </c>
      <c r="C40" s="2471"/>
      <c r="D40" s="2471"/>
      <c r="E40" s="2472" t="s">
        <v>710</v>
      </c>
      <c r="F40" s="2472"/>
      <c r="G40" s="5"/>
    </row>
    <row r="41" spans="1:7" ht="12.15" customHeight="1">
      <c r="A41" s="3" t="s">
        <v>711</v>
      </c>
      <c r="B41" s="2473" t="s">
        <v>712</v>
      </c>
      <c r="C41" s="2473"/>
      <c r="D41" s="2473"/>
      <c r="E41" s="2473"/>
      <c r="F41" s="2473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89"/>
  <dimension ref="A1:G43"/>
  <sheetViews>
    <sheetView workbookViewId="0">
      <selection activeCell="G43" sqref="A1:G43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2298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65" customHeight="1">
      <c r="A5" s="5"/>
      <c r="B5" s="3" t="s">
        <v>673</v>
      </c>
      <c r="C5" s="3" t="s">
        <v>674</v>
      </c>
      <c r="D5" s="3" t="s">
        <v>675</v>
      </c>
      <c r="E5" s="3" t="s">
        <v>679</v>
      </c>
      <c r="F5" s="5"/>
      <c r="G5" s="5"/>
    </row>
    <row r="6" spans="1:7" ht="13.95" customHeight="1">
      <c r="A6" s="5"/>
      <c r="B6" s="3" t="s">
        <v>677</v>
      </c>
      <c r="C6" s="3" t="s">
        <v>681</v>
      </c>
      <c r="D6" s="3" t="s">
        <v>675</v>
      </c>
      <c r="E6" s="3" t="s">
        <v>741</v>
      </c>
      <c r="F6" s="5"/>
      <c r="G6" s="5"/>
    </row>
    <row r="7" spans="1:7" ht="13.65" customHeight="1">
      <c r="A7" s="5"/>
      <c r="B7" s="3" t="s">
        <v>751</v>
      </c>
      <c r="C7" s="3" t="s">
        <v>1202</v>
      </c>
      <c r="D7" s="3" t="s">
        <v>675</v>
      </c>
      <c r="E7" s="3" t="s">
        <v>779</v>
      </c>
      <c r="F7" s="5"/>
      <c r="G7" s="5"/>
    </row>
    <row r="8" spans="1:7" ht="13.65" customHeight="1">
      <c r="A8" s="5"/>
      <c r="B8" s="3" t="s">
        <v>683</v>
      </c>
      <c r="C8" s="3" t="s">
        <v>1204</v>
      </c>
      <c r="D8" s="3" t="s">
        <v>675</v>
      </c>
      <c r="E8" s="3" t="s">
        <v>779</v>
      </c>
      <c r="F8" s="5"/>
      <c r="G8" s="5"/>
    </row>
    <row r="9" spans="1:7" ht="12" customHeight="1">
      <c r="A9" s="5"/>
      <c r="B9" s="5"/>
      <c r="C9" s="5"/>
      <c r="D9" s="5"/>
      <c r="E9" s="2474" t="s">
        <v>685</v>
      </c>
      <c r="F9" s="2474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5" customHeight="1">
      <c r="A11" s="5"/>
      <c r="B11" s="3" t="s">
        <v>1235</v>
      </c>
      <c r="C11" s="5"/>
      <c r="D11" s="3" t="s">
        <v>743</v>
      </c>
      <c r="E11" s="3" t="s">
        <v>1236</v>
      </c>
      <c r="F11" s="5"/>
      <c r="G11" s="5"/>
    </row>
    <row r="12" spans="1:7" ht="13.65" customHeight="1">
      <c r="A12" s="5"/>
      <c r="B12" s="3" t="s">
        <v>1237</v>
      </c>
      <c r="C12" s="5"/>
      <c r="D12" s="3" t="s">
        <v>690</v>
      </c>
      <c r="E12" s="3" t="s">
        <v>761</v>
      </c>
      <c r="F12" s="5"/>
      <c r="G12" s="5"/>
    </row>
    <row r="13" spans="1:7" ht="12" customHeight="1">
      <c r="A13" s="5"/>
      <c r="B13" s="5"/>
      <c r="C13" s="5"/>
      <c r="D13" s="5"/>
      <c r="E13" s="2474" t="s">
        <v>702</v>
      </c>
      <c r="F13" s="2474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2474" t="s">
        <v>705</v>
      </c>
      <c r="F16" s="2474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2474" t="s">
        <v>707</v>
      </c>
      <c r="C18" s="2474"/>
      <c r="D18" s="2474"/>
      <c r="E18" s="2474"/>
      <c r="F18" s="2474"/>
      <c r="G18" s="5"/>
    </row>
    <row r="19" spans="1:7" ht="12" customHeight="1">
      <c r="A19" s="3" t="s">
        <v>708</v>
      </c>
      <c r="B19" s="2471" t="s">
        <v>876</v>
      </c>
      <c r="C19" s="2471"/>
      <c r="D19" s="2471"/>
      <c r="E19" s="2472" t="s">
        <v>710</v>
      </c>
      <c r="F19" s="2472"/>
      <c r="G19" s="5"/>
    </row>
    <row r="20" spans="1:7" ht="12" customHeight="1">
      <c r="A20" s="3" t="s">
        <v>711</v>
      </c>
      <c r="B20" s="2473" t="s">
        <v>712</v>
      </c>
      <c r="C20" s="2473"/>
      <c r="D20" s="2473"/>
      <c r="E20" s="2473"/>
      <c r="F20" s="2473"/>
      <c r="G20" s="5"/>
    </row>
    <row r="21" spans="1:7" ht="12" customHeight="1">
      <c r="A21" s="3"/>
      <c r="B21" s="26"/>
      <c r="C21" s="26"/>
      <c r="D21" s="26"/>
      <c r="E21" s="26"/>
      <c r="F21" s="26"/>
      <c r="G21" s="5"/>
    </row>
    <row r="22" spans="1:7" ht="12" customHeight="1">
      <c r="A22" s="50" t="s">
        <v>2299</v>
      </c>
      <c r="B22" s="26"/>
      <c r="C22" s="26"/>
      <c r="D22" s="26"/>
      <c r="E22" s="26"/>
      <c r="F22" s="26"/>
      <c r="G22" s="5"/>
    </row>
    <row r="23" spans="1:7" ht="12" customHeight="1">
      <c r="A23" s="3"/>
      <c r="B23" s="26"/>
      <c r="C23" s="26"/>
      <c r="D23" s="26"/>
      <c r="E23" s="26"/>
      <c r="F23" s="26"/>
      <c r="G23" s="5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65" customHeight="1">
      <c r="A26" s="5"/>
      <c r="B26" s="3" t="s">
        <v>673</v>
      </c>
      <c r="C26" s="3" t="s">
        <v>674</v>
      </c>
      <c r="D26" s="3" t="s">
        <v>675</v>
      </c>
      <c r="E26" s="3" t="s">
        <v>679</v>
      </c>
      <c r="F26" s="5"/>
      <c r="G26" s="5"/>
    </row>
    <row r="27" spans="1:7" ht="13.65" customHeight="1">
      <c r="A27" s="5"/>
      <c r="B27" s="3" t="s">
        <v>677</v>
      </c>
      <c r="C27" s="3" t="s">
        <v>681</v>
      </c>
      <c r="D27" s="3" t="s">
        <v>675</v>
      </c>
      <c r="E27" s="3" t="s">
        <v>718</v>
      </c>
      <c r="F27" s="5"/>
      <c r="G27" s="5"/>
    </row>
    <row r="28" spans="1:7" ht="13.95" customHeight="1">
      <c r="A28" s="5"/>
      <c r="B28" s="3" t="s">
        <v>751</v>
      </c>
      <c r="C28" s="3" t="s">
        <v>1202</v>
      </c>
      <c r="D28" s="3" t="s">
        <v>675</v>
      </c>
      <c r="E28" s="3" t="s">
        <v>852</v>
      </c>
      <c r="F28" s="5"/>
      <c r="G28" s="5"/>
    </row>
    <row r="29" spans="1:7" ht="13.65" customHeight="1">
      <c r="A29" s="5"/>
      <c r="B29" s="3" t="s">
        <v>683</v>
      </c>
      <c r="C29" s="3" t="s">
        <v>1204</v>
      </c>
      <c r="D29" s="3" t="s">
        <v>675</v>
      </c>
      <c r="E29" s="3" t="s">
        <v>779</v>
      </c>
      <c r="F29" s="5"/>
      <c r="G29" s="5"/>
    </row>
    <row r="30" spans="1:7" ht="12" customHeight="1">
      <c r="A30" s="5"/>
      <c r="B30" s="5"/>
      <c r="C30" s="5"/>
      <c r="D30" s="5"/>
      <c r="E30" s="2474" t="s">
        <v>685</v>
      </c>
      <c r="F30" s="2474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65" customHeight="1">
      <c r="A32" s="5"/>
      <c r="B32" s="3" t="s">
        <v>1238</v>
      </c>
      <c r="C32" s="5"/>
      <c r="D32" s="3" t="s">
        <v>743</v>
      </c>
      <c r="E32" s="3" t="s">
        <v>1239</v>
      </c>
      <c r="F32" s="5"/>
      <c r="G32" s="5"/>
    </row>
    <row r="33" spans="1:7" ht="13.95" customHeight="1">
      <c r="A33" s="5"/>
      <c r="B33" s="4" t="s">
        <v>1240</v>
      </c>
      <c r="C33" s="5"/>
      <c r="D33" s="3" t="s">
        <v>715</v>
      </c>
      <c r="E33" s="3" t="s">
        <v>1133</v>
      </c>
      <c r="F33" s="5"/>
      <c r="G33" s="5"/>
    </row>
    <row r="34" spans="1:7" ht="13.65" customHeight="1">
      <c r="A34" s="5"/>
      <c r="B34" s="3" t="s">
        <v>1215</v>
      </c>
      <c r="C34" s="5"/>
      <c r="D34" s="3" t="s">
        <v>690</v>
      </c>
      <c r="E34" s="3" t="s">
        <v>761</v>
      </c>
      <c r="F34" s="5"/>
      <c r="G34" s="5"/>
    </row>
    <row r="35" spans="1:7" ht="13.65" customHeight="1">
      <c r="A35" s="5"/>
      <c r="B35" s="3" t="s">
        <v>1241</v>
      </c>
      <c r="C35" s="5"/>
      <c r="D35" s="3" t="s">
        <v>743</v>
      </c>
      <c r="E35" s="3" t="s">
        <v>1162</v>
      </c>
      <c r="F35" s="5"/>
      <c r="G35" s="5"/>
    </row>
    <row r="36" spans="1:7" ht="12" customHeight="1">
      <c r="A36" s="5"/>
      <c r="B36" s="5"/>
      <c r="C36" s="5"/>
      <c r="D36" s="5"/>
      <c r="E36" s="2474" t="s">
        <v>702</v>
      </c>
      <c r="F36" s="2474"/>
      <c r="G36" s="5"/>
    </row>
    <row r="37" spans="1:7" ht="12" customHeight="1">
      <c r="A37" s="3" t="s">
        <v>703</v>
      </c>
      <c r="B37" s="3" t="s">
        <v>704</v>
      </c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5"/>
      <c r="B39" s="5"/>
      <c r="C39" s="5"/>
      <c r="D39" s="5"/>
      <c r="E39" s="2474" t="s">
        <v>705</v>
      </c>
      <c r="F39" s="2474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3" t="s">
        <v>706</v>
      </c>
      <c r="B41" s="2474" t="s">
        <v>707</v>
      </c>
      <c r="C41" s="2474"/>
      <c r="D41" s="2474"/>
      <c r="E41" s="2474"/>
      <c r="F41" s="2474"/>
      <c r="G41" s="5"/>
    </row>
    <row r="42" spans="1:7" ht="12" customHeight="1">
      <c r="A42" s="3" t="s">
        <v>708</v>
      </c>
      <c r="B42" s="2471" t="s">
        <v>876</v>
      </c>
      <c r="C42" s="2471"/>
      <c r="D42" s="2471"/>
      <c r="E42" s="2472" t="s">
        <v>710</v>
      </c>
      <c r="F42" s="2472"/>
      <c r="G42" s="5"/>
    </row>
    <row r="43" spans="1:7" ht="12.15" customHeight="1">
      <c r="A43" s="3" t="s">
        <v>711</v>
      </c>
      <c r="B43" s="2473" t="s">
        <v>712</v>
      </c>
      <c r="C43" s="2473"/>
      <c r="D43" s="2473"/>
      <c r="E43" s="2473"/>
      <c r="F43" s="2473"/>
      <c r="G43" s="5"/>
    </row>
  </sheetData>
  <mergeCells count="14">
    <mergeCell ref="E9:F9"/>
    <mergeCell ref="E13:F13"/>
    <mergeCell ref="E16:F16"/>
    <mergeCell ref="B18:F18"/>
    <mergeCell ref="B19:D19"/>
    <mergeCell ref="E19:F19"/>
    <mergeCell ref="B42:D42"/>
    <mergeCell ref="E42:F42"/>
    <mergeCell ref="B43:F43"/>
    <mergeCell ref="B20:F20"/>
    <mergeCell ref="E30:F30"/>
    <mergeCell ref="E36:F36"/>
    <mergeCell ref="E39:F39"/>
    <mergeCell ref="B41:F41"/>
  </mergeCells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90"/>
  <dimension ref="A1:G41"/>
  <sheetViews>
    <sheetView workbookViewId="0">
      <selection activeCell="G41" sqref="A1:G41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2300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65" customHeight="1">
      <c r="A5" s="5"/>
      <c r="B5" s="3" t="s">
        <v>673</v>
      </c>
      <c r="C5" s="3" t="s">
        <v>674</v>
      </c>
      <c r="D5" s="3" t="s">
        <v>675</v>
      </c>
      <c r="E5" s="3" t="s">
        <v>679</v>
      </c>
      <c r="F5" s="5"/>
      <c r="G5" s="5"/>
    </row>
    <row r="6" spans="1:7" ht="13.95" customHeight="1">
      <c r="A6" s="5"/>
      <c r="B6" s="3" t="s">
        <v>677</v>
      </c>
      <c r="C6" s="3" t="s">
        <v>681</v>
      </c>
      <c r="D6" s="3" t="s">
        <v>675</v>
      </c>
      <c r="E6" s="3" t="s">
        <v>741</v>
      </c>
      <c r="F6" s="5"/>
      <c r="G6" s="5"/>
    </row>
    <row r="7" spans="1:7" ht="13.65" customHeight="1">
      <c r="A7" s="5"/>
      <c r="B7" s="3" t="s">
        <v>751</v>
      </c>
      <c r="C7" s="3" t="s">
        <v>1202</v>
      </c>
      <c r="D7" s="3" t="s">
        <v>675</v>
      </c>
      <c r="E7" s="3" t="s">
        <v>779</v>
      </c>
      <c r="F7" s="5"/>
      <c r="G7" s="5"/>
    </row>
    <row r="8" spans="1:7" ht="13.65" customHeight="1">
      <c r="A8" s="5"/>
      <c r="B8" s="3" t="s">
        <v>683</v>
      </c>
      <c r="C8" s="3" t="s">
        <v>1204</v>
      </c>
      <c r="D8" s="3" t="s">
        <v>675</v>
      </c>
      <c r="E8" s="3" t="s">
        <v>856</v>
      </c>
      <c r="F8" s="5"/>
      <c r="G8" s="5"/>
    </row>
    <row r="9" spans="1:7" ht="12" customHeight="1">
      <c r="A9" s="5"/>
      <c r="B9" s="5"/>
      <c r="C9" s="5"/>
      <c r="D9" s="5"/>
      <c r="E9" s="2474" t="s">
        <v>685</v>
      </c>
      <c r="F9" s="2474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5" customHeight="1">
      <c r="A11" s="5"/>
      <c r="B11" s="3" t="s">
        <v>1242</v>
      </c>
      <c r="C11" s="5"/>
      <c r="D11" s="3" t="s">
        <v>743</v>
      </c>
      <c r="E11" s="3" t="s">
        <v>1243</v>
      </c>
      <c r="F11" s="5"/>
      <c r="G11" s="5"/>
    </row>
    <row r="12" spans="1:7" ht="13.65" customHeight="1">
      <c r="A12" s="5"/>
      <c r="B12" s="3" t="s">
        <v>1215</v>
      </c>
      <c r="C12" s="5"/>
      <c r="D12" s="3" t="s">
        <v>690</v>
      </c>
      <c r="E12" s="3" t="s">
        <v>758</v>
      </c>
      <c r="F12" s="5"/>
      <c r="G12" s="5"/>
    </row>
    <row r="13" spans="1:7" ht="12" customHeight="1">
      <c r="A13" s="5"/>
      <c r="B13" s="5"/>
      <c r="C13" s="5"/>
      <c r="D13" s="5"/>
      <c r="E13" s="2474" t="s">
        <v>702</v>
      </c>
      <c r="F13" s="2474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2474" t="s">
        <v>705</v>
      </c>
      <c r="F16" s="2474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2474" t="s">
        <v>707</v>
      </c>
      <c r="C18" s="2474"/>
      <c r="D18" s="2474"/>
      <c r="E18" s="2474"/>
      <c r="F18" s="2474"/>
      <c r="G18" s="5"/>
    </row>
    <row r="19" spans="1:7" ht="12" customHeight="1">
      <c r="A19" s="3" t="s">
        <v>708</v>
      </c>
      <c r="B19" s="2471" t="s">
        <v>876</v>
      </c>
      <c r="C19" s="2471"/>
      <c r="D19" s="2471"/>
      <c r="E19" s="2472" t="s">
        <v>710</v>
      </c>
      <c r="F19" s="2472"/>
      <c r="G19" s="5"/>
    </row>
    <row r="20" spans="1:7" ht="12" customHeight="1">
      <c r="A20" s="3" t="s">
        <v>711</v>
      </c>
      <c r="B20" s="2473" t="s">
        <v>712</v>
      </c>
      <c r="C20" s="2473"/>
      <c r="D20" s="2473"/>
      <c r="E20" s="2473"/>
      <c r="F20" s="2473"/>
      <c r="G20" s="5"/>
    </row>
    <row r="21" spans="1:7" ht="12" customHeight="1">
      <c r="A21" s="3"/>
      <c r="B21" s="26"/>
      <c r="C21" s="26"/>
      <c r="D21" s="26"/>
      <c r="E21" s="26"/>
      <c r="F21" s="26"/>
      <c r="G21" s="5"/>
    </row>
    <row r="22" spans="1:7" ht="12" customHeight="1">
      <c r="A22" s="55" t="s">
        <v>2301</v>
      </c>
      <c r="B22" s="26"/>
      <c r="C22" s="26"/>
      <c r="D22" s="26"/>
      <c r="E22" s="26"/>
      <c r="F22" s="26"/>
      <c r="G22" s="5"/>
    </row>
    <row r="23" spans="1:7" ht="12" customHeight="1">
      <c r="A23" s="3"/>
      <c r="B23" s="26"/>
      <c r="C23" s="26"/>
      <c r="D23" s="26"/>
      <c r="E23" s="26"/>
      <c r="F23" s="26"/>
      <c r="G23" s="5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65" customHeight="1">
      <c r="A26" s="5"/>
      <c r="B26" s="3" t="s">
        <v>673</v>
      </c>
      <c r="C26" s="3" t="s">
        <v>674</v>
      </c>
      <c r="D26" s="3" t="s">
        <v>675</v>
      </c>
      <c r="E26" s="3" t="s">
        <v>933</v>
      </c>
      <c r="F26" s="5"/>
      <c r="G26" s="5"/>
    </row>
    <row r="27" spans="1:7" ht="13.65" customHeight="1">
      <c r="A27" s="5"/>
      <c r="B27" s="3" t="s">
        <v>677</v>
      </c>
      <c r="C27" s="3" t="s">
        <v>681</v>
      </c>
      <c r="D27" s="3" t="s">
        <v>675</v>
      </c>
      <c r="E27" s="3" t="s">
        <v>746</v>
      </c>
      <c r="F27" s="5"/>
      <c r="G27" s="5"/>
    </row>
    <row r="28" spans="1:7" ht="13.95" customHeight="1">
      <c r="A28" s="5"/>
      <c r="B28" s="3" t="s">
        <v>751</v>
      </c>
      <c r="C28" s="3" t="s">
        <v>1202</v>
      </c>
      <c r="D28" s="3" t="s">
        <v>675</v>
      </c>
      <c r="E28" s="3" t="s">
        <v>794</v>
      </c>
      <c r="F28" s="5"/>
      <c r="G28" s="5"/>
    </row>
    <row r="29" spans="1:7" ht="13.65" customHeight="1">
      <c r="A29" s="5"/>
      <c r="B29" s="3" t="s">
        <v>683</v>
      </c>
      <c r="C29" s="3" t="s">
        <v>1204</v>
      </c>
      <c r="D29" s="3" t="s">
        <v>675</v>
      </c>
      <c r="E29" s="3" t="s">
        <v>868</v>
      </c>
      <c r="F29" s="5"/>
      <c r="G29" s="5"/>
    </row>
    <row r="30" spans="1:7" ht="12" customHeight="1">
      <c r="A30" s="5"/>
      <c r="B30" s="5"/>
      <c r="C30" s="5"/>
      <c r="D30" s="5"/>
      <c r="E30" s="2474" t="s">
        <v>685</v>
      </c>
      <c r="F30" s="2474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65" customHeight="1">
      <c r="A32" s="5"/>
      <c r="B32" s="3" t="s">
        <v>1244</v>
      </c>
      <c r="C32" s="5"/>
      <c r="D32" s="3" t="s">
        <v>743</v>
      </c>
      <c r="E32" s="3" t="s">
        <v>1245</v>
      </c>
      <c r="F32" s="5"/>
      <c r="G32" s="5"/>
    </row>
    <row r="33" spans="1:7" ht="13.95" customHeight="1">
      <c r="A33" s="5"/>
      <c r="B33" s="3" t="s">
        <v>1215</v>
      </c>
      <c r="C33" s="5"/>
      <c r="D33" s="3" t="s">
        <v>690</v>
      </c>
      <c r="E33" s="3" t="s">
        <v>758</v>
      </c>
      <c r="F33" s="5"/>
      <c r="G33" s="5"/>
    </row>
    <row r="34" spans="1:7" ht="12" customHeight="1">
      <c r="A34" s="5"/>
      <c r="B34" s="5"/>
      <c r="C34" s="5"/>
      <c r="D34" s="5"/>
      <c r="E34" s="2474" t="s">
        <v>702</v>
      </c>
      <c r="F34" s="2474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2474" t="s">
        <v>705</v>
      </c>
      <c r="F37" s="2474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2474" t="s">
        <v>707</v>
      </c>
      <c r="C39" s="2474"/>
      <c r="D39" s="2474"/>
      <c r="E39" s="2474"/>
      <c r="F39" s="2474"/>
      <c r="G39" s="5"/>
    </row>
    <row r="40" spans="1:7" ht="12" customHeight="1">
      <c r="A40" s="3" t="s">
        <v>708</v>
      </c>
      <c r="B40" s="2471" t="s">
        <v>876</v>
      </c>
      <c r="C40" s="2471"/>
      <c r="D40" s="2471"/>
      <c r="E40" s="2472" t="s">
        <v>710</v>
      </c>
      <c r="F40" s="2472"/>
      <c r="G40" s="5"/>
    </row>
    <row r="41" spans="1:7" ht="12" customHeight="1">
      <c r="A41" s="3" t="s">
        <v>711</v>
      </c>
      <c r="B41" s="2473" t="s">
        <v>712</v>
      </c>
      <c r="C41" s="2473"/>
      <c r="D41" s="2473"/>
      <c r="E41" s="2473"/>
      <c r="F41" s="2473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91"/>
  <dimension ref="A1:G45"/>
  <sheetViews>
    <sheetView workbookViewId="0">
      <selection activeCell="G45" sqref="A1:G45"/>
    </sheetView>
  </sheetViews>
  <sheetFormatPr defaultRowHeight="14.4"/>
  <cols>
    <col min="1" max="1" width="5.33203125" customWidth="1"/>
    <col min="2" max="2" width="22.33203125" customWidth="1"/>
    <col min="3" max="3" width="7" customWidth="1"/>
    <col min="4" max="4" width="11" customWidth="1"/>
    <col min="5" max="5" width="14.88671875" customWidth="1"/>
    <col min="6" max="6" width="14.33203125" customWidth="1"/>
    <col min="7" max="7" width="16.6640625" customWidth="1"/>
  </cols>
  <sheetData>
    <row r="1" spans="1:7">
      <c r="A1" s="50" t="s">
        <v>2302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65" customHeight="1">
      <c r="A5" s="5"/>
      <c r="B5" s="3" t="s">
        <v>673</v>
      </c>
      <c r="C5" s="3" t="s">
        <v>674</v>
      </c>
      <c r="D5" s="3" t="s">
        <v>675</v>
      </c>
      <c r="E5" s="3" t="s">
        <v>676</v>
      </c>
      <c r="F5" s="5"/>
      <c r="G5" s="5"/>
    </row>
    <row r="6" spans="1:7" ht="13.95" customHeight="1">
      <c r="A6" s="5"/>
      <c r="B6" s="3" t="s">
        <v>677</v>
      </c>
      <c r="C6" s="3" t="s">
        <v>681</v>
      </c>
      <c r="D6" s="3" t="s">
        <v>675</v>
      </c>
      <c r="E6" s="3" t="s">
        <v>679</v>
      </c>
      <c r="F6" s="5"/>
      <c r="G6" s="5"/>
    </row>
    <row r="7" spans="1:7" ht="13.65" customHeight="1">
      <c r="A7" s="5"/>
      <c r="B7" s="3" t="s">
        <v>751</v>
      </c>
      <c r="C7" s="3" t="s">
        <v>1202</v>
      </c>
      <c r="D7" s="3" t="s">
        <v>675</v>
      </c>
      <c r="E7" s="3" t="s">
        <v>682</v>
      </c>
      <c r="F7" s="5"/>
      <c r="G7" s="5"/>
    </row>
    <row r="8" spans="1:7" ht="13.65" customHeight="1">
      <c r="A8" s="5"/>
      <c r="B8" s="3" t="s">
        <v>683</v>
      </c>
      <c r="C8" s="3" t="s">
        <v>1204</v>
      </c>
      <c r="D8" s="3" t="s">
        <v>675</v>
      </c>
      <c r="E8" s="3" t="s">
        <v>682</v>
      </c>
      <c r="F8" s="5"/>
      <c r="G8" s="5"/>
    </row>
    <row r="9" spans="1:7" ht="12" customHeight="1">
      <c r="A9" s="5"/>
      <c r="B9" s="5"/>
      <c r="C9" s="5"/>
      <c r="D9" s="5"/>
      <c r="E9" s="2474" t="s">
        <v>685</v>
      </c>
      <c r="F9" s="2474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5" customHeight="1">
      <c r="A11" s="5"/>
      <c r="B11" s="3" t="s">
        <v>1246</v>
      </c>
      <c r="C11" s="5"/>
      <c r="D11" s="3" t="s">
        <v>743</v>
      </c>
      <c r="E11" s="3" t="s">
        <v>1247</v>
      </c>
      <c r="F11" s="5"/>
      <c r="G11" s="5"/>
    </row>
    <row r="12" spans="1:7" ht="13.65" customHeight="1">
      <c r="A12" s="5"/>
      <c r="B12" s="3" t="s">
        <v>1215</v>
      </c>
      <c r="C12" s="5"/>
      <c r="D12" s="3" t="s">
        <v>690</v>
      </c>
      <c r="E12" s="3" t="s">
        <v>753</v>
      </c>
      <c r="F12" s="5"/>
      <c r="G12" s="5"/>
    </row>
    <row r="13" spans="1:7" ht="13.95" customHeight="1">
      <c r="A13" s="5"/>
      <c r="B13" s="3" t="s">
        <v>790</v>
      </c>
      <c r="C13" s="5"/>
      <c r="D13" s="3" t="s">
        <v>690</v>
      </c>
      <c r="E13" s="3" t="s">
        <v>1248</v>
      </c>
      <c r="F13" s="5"/>
      <c r="G13" s="5"/>
    </row>
    <row r="14" spans="1:7" ht="13.65" customHeight="1">
      <c r="A14" s="5"/>
      <c r="B14" s="3" t="s">
        <v>739</v>
      </c>
      <c r="C14" s="5"/>
      <c r="D14" s="3" t="s">
        <v>881</v>
      </c>
      <c r="E14" s="3" t="s">
        <v>799</v>
      </c>
      <c r="F14" s="5"/>
      <c r="G14" s="5"/>
    </row>
    <row r="15" spans="1:7" ht="13.65" customHeight="1">
      <c r="A15" s="5"/>
      <c r="B15" s="3" t="s">
        <v>1100</v>
      </c>
      <c r="C15" s="5"/>
      <c r="D15" s="3" t="s">
        <v>690</v>
      </c>
      <c r="E15" s="3" t="s">
        <v>719</v>
      </c>
      <c r="F15" s="5"/>
      <c r="G15" s="5"/>
    </row>
    <row r="16" spans="1:7" ht="12" customHeight="1">
      <c r="A16" s="5"/>
      <c r="B16" s="5"/>
      <c r="C16" s="5"/>
      <c r="D16" s="5"/>
      <c r="E16" s="2474" t="s">
        <v>702</v>
      </c>
      <c r="F16" s="2474"/>
      <c r="G16" s="5"/>
    </row>
    <row r="17" spans="1:7" ht="12" customHeight="1">
      <c r="A17" s="3" t="s">
        <v>703</v>
      </c>
      <c r="B17" s="3" t="s">
        <v>704</v>
      </c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5"/>
      <c r="F18" s="5"/>
      <c r="G18" s="5"/>
    </row>
    <row r="19" spans="1:7" ht="12" customHeight="1">
      <c r="A19" s="5"/>
      <c r="B19" s="5"/>
      <c r="C19" s="5"/>
      <c r="D19" s="5"/>
      <c r="E19" s="2474" t="s">
        <v>705</v>
      </c>
      <c r="F19" s="2474"/>
      <c r="G19" s="5"/>
    </row>
    <row r="20" spans="1:7" ht="12" customHeight="1">
      <c r="A20" s="5"/>
      <c r="B20" s="5"/>
      <c r="C20" s="5"/>
      <c r="D20" s="5"/>
      <c r="E20" s="5"/>
      <c r="F20" s="5"/>
      <c r="G20" s="5"/>
    </row>
    <row r="21" spans="1:7" ht="12" customHeight="1">
      <c r="A21" s="3" t="s">
        <v>706</v>
      </c>
      <c r="B21" s="2474" t="s">
        <v>707</v>
      </c>
      <c r="C21" s="2474"/>
      <c r="D21" s="2474"/>
      <c r="E21" s="2474"/>
      <c r="F21" s="2474"/>
      <c r="G21" s="5"/>
    </row>
    <row r="22" spans="1:7" ht="12" customHeight="1">
      <c r="A22" s="3" t="s">
        <v>708</v>
      </c>
      <c r="B22" s="2471" t="s">
        <v>876</v>
      </c>
      <c r="C22" s="2471"/>
      <c r="D22" s="2471"/>
      <c r="E22" s="2472" t="s">
        <v>710</v>
      </c>
      <c r="F22" s="2472"/>
      <c r="G22" s="5"/>
    </row>
    <row r="23" spans="1:7" ht="12" customHeight="1">
      <c r="A23" s="3" t="s">
        <v>711</v>
      </c>
      <c r="B23" s="2473" t="s">
        <v>712</v>
      </c>
      <c r="C23" s="2473"/>
      <c r="D23" s="2473"/>
      <c r="E23" s="2473"/>
      <c r="F23" s="2473"/>
      <c r="G23" s="5"/>
    </row>
    <row r="24" spans="1:7" ht="12" customHeight="1">
      <c r="A24" s="3"/>
      <c r="B24" s="26"/>
      <c r="C24" s="26"/>
      <c r="D24" s="26"/>
      <c r="E24" s="26"/>
      <c r="F24" s="26"/>
      <c r="G24" s="5"/>
    </row>
    <row r="25" spans="1:7" ht="12" customHeight="1">
      <c r="A25" s="50" t="s">
        <v>2303</v>
      </c>
      <c r="B25" s="26"/>
      <c r="C25" s="26"/>
      <c r="D25" s="26"/>
      <c r="E25" s="26"/>
      <c r="F25" s="26"/>
      <c r="G25" s="5"/>
    </row>
    <row r="26" spans="1:7" ht="12" customHeight="1">
      <c r="A26" s="3"/>
      <c r="B26" s="26"/>
      <c r="C26" s="26"/>
      <c r="D26" s="26"/>
      <c r="E26" s="26"/>
      <c r="F26" s="26"/>
      <c r="G26" s="5"/>
    </row>
    <row r="27" spans="1:7" ht="35.1" customHeight="1">
      <c r="A27" s="6" t="s">
        <v>762</v>
      </c>
      <c r="B27" s="6" t="s">
        <v>763</v>
      </c>
      <c r="C27" s="6" t="s">
        <v>764</v>
      </c>
      <c r="D27" s="6" t="s">
        <v>765</v>
      </c>
      <c r="E27" s="6" t="s">
        <v>766</v>
      </c>
      <c r="F27" s="7" t="s">
        <v>767</v>
      </c>
      <c r="G27" s="7" t="s">
        <v>768</v>
      </c>
    </row>
    <row r="28" spans="1:7" ht="12" customHeight="1">
      <c r="A28" s="3" t="s">
        <v>671</v>
      </c>
      <c r="B28" s="3" t="s">
        <v>672</v>
      </c>
      <c r="C28" s="5"/>
      <c r="D28" s="5"/>
      <c r="E28" s="5"/>
      <c r="F28" s="5"/>
      <c r="G28" s="5"/>
    </row>
    <row r="29" spans="1:7" ht="13.65" customHeight="1">
      <c r="A29" s="5"/>
      <c r="B29" s="3" t="s">
        <v>673</v>
      </c>
      <c r="C29" s="3" t="s">
        <v>674</v>
      </c>
      <c r="D29" s="3" t="s">
        <v>675</v>
      </c>
      <c r="E29" s="3" t="s">
        <v>787</v>
      </c>
      <c r="F29" s="5"/>
      <c r="G29" s="5"/>
    </row>
    <row r="30" spans="1:7" ht="13.65" customHeight="1">
      <c r="A30" s="5"/>
      <c r="B30" s="3" t="s">
        <v>677</v>
      </c>
      <c r="C30" s="3" t="s">
        <v>681</v>
      </c>
      <c r="D30" s="3" t="s">
        <v>675</v>
      </c>
      <c r="E30" s="3" t="s">
        <v>746</v>
      </c>
      <c r="F30" s="5"/>
      <c r="G30" s="5"/>
    </row>
    <row r="31" spans="1:7" ht="13.95" customHeight="1">
      <c r="A31" s="5"/>
      <c r="B31" s="3" t="s">
        <v>751</v>
      </c>
      <c r="C31" s="3" t="s">
        <v>1202</v>
      </c>
      <c r="D31" s="3" t="s">
        <v>675</v>
      </c>
      <c r="E31" s="3" t="s">
        <v>794</v>
      </c>
      <c r="F31" s="5"/>
      <c r="G31" s="5"/>
    </row>
    <row r="32" spans="1:7" ht="13.65" customHeight="1">
      <c r="A32" s="5"/>
      <c r="B32" s="3" t="s">
        <v>683</v>
      </c>
      <c r="C32" s="3" t="s">
        <v>1204</v>
      </c>
      <c r="D32" s="3" t="s">
        <v>675</v>
      </c>
      <c r="E32" s="3" t="s">
        <v>891</v>
      </c>
      <c r="F32" s="5"/>
      <c r="G32" s="5"/>
    </row>
    <row r="33" spans="1:7" ht="12" customHeight="1">
      <c r="A33" s="5"/>
      <c r="B33" s="5"/>
      <c r="C33" s="5"/>
      <c r="D33" s="5"/>
      <c r="E33" s="2474" t="s">
        <v>685</v>
      </c>
      <c r="F33" s="2474"/>
      <c r="G33" s="5"/>
    </row>
    <row r="34" spans="1:7" ht="12" customHeight="1">
      <c r="A34" s="3" t="s">
        <v>686</v>
      </c>
      <c r="B34" s="3" t="s">
        <v>687</v>
      </c>
      <c r="C34" s="5"/>
      <c r="D34" s="5"/>
      <c r="E34" s="5"/>
      <c r="F34" s="5"/>
      <c r="G34" s="5"/>
    </row>
    <row r="35" spans="1:7" ht="13.65" customHeight="1">
      <c r="A35" s="5"/>
      <c r="B35" s="3" t="s">
        <v>1249</v>
      </c>
      <c r="C35" s="5"/>
      <c r="D35" s="3" t="s">
        <v>743</v>
      </c>
      <c r="E35" s="3" t="s">
        <v>757</v>
      </c>
      <c r="F35" s="5"/>
      <c r="G35" s="5"/>
    </row>
    <row r="36" spans="1:7" ht="13.95" customHeight="1">
      <c r="A36" s="5"/>
      <c r="B36" s="3" t="s">
        <v>1215</v>
      </c>
      <c r="C36" s="5"/>
      <c r="D36" s="3" t="s">
        <v>690</v>
      </c>
      <c r="E36" s="3" t="s">
        <v>753</v>
      </c>
      <c r="F36" s="5"/>
      <c r="G36" s="5"/>
    </row>
    <row r="37" spans="1:7" ht="13.65" customHeight="1">
      <c r="A37" s="5"/>
      <c r="B37" s="3" t="s">
        <v>1250</v>
      </c>
      <c r="C37" s="5"/>
      <c r="D37" s="3" t="s">
        <v>881</v>
      </c>
      <c r="E37" s="3" t="s">
        <v>1251</v>
      </c>
      <c r="F37" s="5"/>
      <c r="G37" s="5"/>
    </row>
    <row r="38" spans="1:7" ht="12" customHeight="1">
      <c r="A38" s="5"/>
      <c r="B38" s="5"/>
      <c r="C38" s="5"/>
      <c r="D38" s="5"/>
      <c r="E38" s="2474" t="s">
        <v>702</v>
      </c>
      <c r="F38" s="2474"/>
      <c r="G38" s="5"/>
    </row>
    <row r="39" spans="1:7" ht="12" customHeight="1">
      <c r="A39" s="3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2474" t="s">
        <v>705</v>
      </c>
      <c r="F41" s="2474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3" t="s">
        <v>706</v>
      </c>
      <c r="B43" s="2474" t="s">
        <v>707</v>
      </c>
      <c r="C43" s="2474"/>
      <c r="D43" s="2474"/>
      <c r="E43" s="2474"/>
      <c r="F43" s="2474"/>
      <c r="G43" s="5"/>
    </row>
    <row r="44" spans="1:7" ht="12" customHeight="1">
      <c r="A44" s="3" t="s">
        <v>708</v>
      </c>
      <c r="B44" s="2471" t="s">
        <v>876</v>
      </c>
      <c r="C44" s="2471"/>
      <c r="D44" s="2471"/>
      <c r="E44" s="2472" t="s">
        <v>710</v>
      </c>
      <c r="F44" s="2472"/>
      <c r="G44" s="5"/>
    </row>
    <row r="45" spans="1:7" ht="12" customHeight="1">
      <c r="A45" s="3" t="s">
        <v>711</v>
      </c>
      <c r="B45" s="2473" t="s">
        <v>712</v>
      </c>
      <c r="C45" s="2473"/>
      <c r="D45" s="2473"/>
      <c r="E45" s="2473"/>
      <c r="F45" s="2473"/>
      <c r="G45" s="5"/>
    </row>
  </sheetData>
  <mergeCells count="14">
    <mergeCell ref="E9:F9"/>
    <mergeCell ref="E16:F16"/>
    <mergeCell ref="E19:F19"/>
    <mergeCell ref="B21:F21"/>
    <mergeCell ref="B22:D22"/>
    <mergeCell ref="E22:F22"/>
    <mergeCell ref="B44:D44"/>
    <mergeCell ref="E44:F44"/>
    <mergeCell ref="B45:F45"/>
    <mergeCell ref="B23:F23"/>
    <mergeCell ref="E33:F33"/>
    <mergeCell ref="E38:F38"/>
    <mergeCell ref="E41:F41"/>
    <mergeCell ref="B43:F4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268</vt:i4>
      </vt:variant>
      <vt:variant>
        <vt:lpstr>Named Ranges</vt:lpstr>
      </vt:variant>
      <vt:variant>
        <vt:i4>11</vt:i4>
      </vt:variant>
    </vt:vector>
  </HeadingPairs>
  <TitlesOfParts>
    <vt:vector size="279" baseType="lpstr">
      <vt:lpstr>page 370</vt:lpstr>
      <vt:lpstr>page 372</vt:lpstr>
      <vt:lpstr>BACK UP BESI BETON BACKISTING</vt:lpstr>
      <vt:lpstr>BACK-UP DATA</vt:lpstr>
      <vt:lpstr>Rekap</vt:lpstr>
      <vt:lpstr>Analisa</vt:lpstr>
      <vt:lpstr>ANL. HITUNG</vt:lpstr>
      <vt:lpstr>DUB</vt:lpstr>
      <vt:lpstr>REKAP EE</vt:lpstr>
      <vt:lpstr>EE</vt:lpstr>
      <vt:lpstr>BACKUP</vt:lpstr>
      <vt:lpstr>dihitung</vt:lpstr>
      <vt:lpstr>page 442</vt:lpstr>
      <vt:lpstr>page 443</vt:lpstr>
      <vt:lpstr>page 444</vt:lpstr>
      <vt:lpstr>page 445</vt:lpstr>
      <vt:lpstr>page 446</vt:lpstr>
      <vt:lpstr>page 447</vt:lpstr>
      <vt:lpstr>page 448</vt:lpstr>
      <vt:lpstr>page 449</vt:lpstr>
      <vt:lpstr>page 450</vt:lpstr>
      <vt:lpstr>page 451</vt:lpstr>
      <vt:lpstr>page 452</vt:lpstr>
      <vt:lpstr>page 453</vt:lpstr>
      <vt:lpstr>page 454</vt:lpstr>
      <vt:lpstr>page 455</vt:lpstr>
      <vt:lpstr>page 456</vt:lpstr>
      <vt:lpstr>page 457</vt:lpstr>
      <vt:lpstr>page 458</vt:lpstr>
      <vt:lpstr>page 459</vt:lpstr>
      <vt:lpstr>page 460</vt:lpstr>
      <vt:lpstr>page 461</vt:lpstr>
      <vt:lpstr>page 462</vt:lpstr>
      <vt:lpstr>page 463</vt:lpstr>
      <vt:lpstr>page 464</vt:lpstr>
      <vt:lpstr>page 465</vt:lpstr>
      <vt:lpstr>page 466</vt:lpstr>
      <vt:lpstr>page 467</vt:lpstr>
      <vt:lpstr>page 468</vt:lpstr>
      <vt:lpstr>page 469</vt:lpstr>
      <vt:lpstr>page 470</vt:lpstr>
      <vt:lpstr>page 471</vt:lpstr>
      <vt:lpstr>page 472</vt:lpstr>
      <vt:lpstr>page 473</vt:lpstr>
      <vt:lpstr>page 473 (2)</vt:lpstr>
      <vt:lpstr>page 474</vt:lpstr>
      <vt:lpstr>page 475</vt:lpstr>
      <vt:lpstr>page 476</vt:lpstr>
      <vt:lpstr>page 477</vt:lpstr>
      <vt:lpstr>page 478</vt:lpstr>
      <vt:lpstr>page 479</vt:lpstr>
      <vt:lpstr>page 480</vt:lpstr>
      <vt:lpstr>page 481</vt:lpstr>
      <vt:lpstr>page 482</vt:lpstr>
      <vt:lpstr>page 483</vt:lpstr>
      <vt:lpstr>page 484</vt:lpstr>
      <vt:lpstr>page 485</vt:lpstr>
      <vt:lpstr>page 486</vt:lpstr>
      <vt:lpstr>page 487</vt:lpstr>
      <vt:lpstr>page 488</vt:lpstr>
      <vt:lpstr>page 489</vt:lpstr>
      <vt:lpstr>page 490</vt:lpstr>
      <vt:lpstr>page 491</vt:lpstr>
      <vt:lpstr>page 492</vt:lpstr>
      <vt:lpstr>page 493</vt:lpstr>
      <vt:lpstr>page 494</vt:lpstr>
      <vt:lpstr>page 495</vt:lpstr>
      <vt:lpstr>page 496</vt:lpstr>
      <vt:lpstr>page 497</vt:lpstr>
      <vt:lpstr>page 498</vt:lpstr>
      <vt:lpstr>page 499</vt:lpstr>
      <vt:lpstr>page 500</vt:lpstr>
      <vt:lpstr>page 501</vt:lpstr>
      <vt:lpstr>page 502</vt:lpstr>
      <vt:lpstr>page 503</vt:lpstr>
      <vt:lpstr>page 504</vt:lpstr>
      <vt:lpstr>page 505</vt:lpstr>
      <vt:lpstr>page 506</vt:lpstr>
      <vt:lpstr>page 507</vt:lpstr>
      <vt:lpstr>page 508</vt:lpstr>
      <vt:lpstr>page 509</vt:lpstr>
      <vt:lpstr>page 509 (2)</vt:lpstr>
      <vt:lpstr>page 510</vt:lpstr>
      <vt:lpstr>page 511</vt:lpstr>
      <vt:lpstr>page 512</vt:lpstr>
      <vt:lpstr>page 513</vt:lpstr>
      <vt:lpstr>page 514</vt:lpstr>
      <vt:lpstr>page 515</vt:lpstr>
      <vt:lpstr>page 516</vt:lpstr>
      <vt:lpstr>page 517</vt:lpstr>
      <vt:lpstr>page 518</vt:lpstr>
      <vt:lpstr>page 519</vt:lpstr>
      <vt:lpstr>page 520</vt:lpstr>
      <vt:lpstr>page 521</vt:lpstr>
      <vt:lpstr>page 522</vt:lpstr>
      <vt:lpstr>page 523</vt:lpstr>
      <vt:lpstr>page 524</vt:lpstr>
      <vt:lpstr>page 525</vt:lpstr>
      <vt:lpstr>page 526</vt:lpstr>
      <vt:lpstr>page 527</vt:lpstr>
      <vt:lpstr>page 528</vt:lpstr>
      <vt:lpstr>page 529</vt:lpstr>
      <vt:lpstr>page 530</vt:lpstr>
      <vt:lpstr>page 530 (2)</vt:lpstr>
      <vt:lpstr>page 531</vt:lpstr>
      <vt:lpstr>page 532</vt:lpstr>
      <vt:lpstr>page 533</vt:lpstr>
      <vt:lpstr>page 534</vt:lpstr>
      <vt:lpstr>page 535</vt:lpstr>
      <vt:lpstr>page 536</vt:lpstr>
      <vt:lpstr>page 537</vt:lpstr>
      <vt:lpstr>page 538</vt:lpstr>
      <vt:lpstr>page 539</vt:lpstr>
      <vt:lpstr>page 540</vt:lpstr>
      <vt:lpstr>page 541</vt:lpstr>
      <vt:lpstr>page 542</vt:lpstr>
      <vt:lpstr>page 543</vt:lpstr>
      <vt:lpstr>page 544</vt:lpstr>
      <vt:lpstr>page 544 (2)</vt:lpstr>
      <vt:lpstr>page 545</vt:lpstr>
      <vt:lpstr>page 546</vt:lpstr>
      <vt:lpstr>page 547</vt:lpstr>
      <vt:lpstr>page 548</vt:lpstr>
      <vt:lpstr>page 549</vt:lpstr>
      <vt:lpstr>page 550</vt:lpstr>
      <vt:lpstr>page 551</vt:lpstr>
      <vt:lpstr>page 552</vt:lpstr>
      <vt:lpstr>page 553</vt:lpstr>
      <vt:lpstr>page 554</vt:lpstr>
      <vt:lpstr>page 555</vt:lpstr>
      <vt:lpstr>page 556</vt:lpstr>
      <vt:lpstr>page 557</vt:lpstr>
      <vt:lpstr>page 558</vt:lpstr>
      <vt:lpstr>page 559</vt:lpstr>
      <vt:lpstr>page 560</vt:lpstr>
      <vt:lpstr>page 561</vt:lpstr>
      <vt:lpstr>page 562</vt:lpstr>
      <vt:lpstr>page 563</vt:lpstr>
      <vt:lpstr>page 564</vt:lpstr>
      <vt:lpstr>page 565</vt:lpstr>
      <vt:lpstr>page 566</vt:lpstr>
      <vt:lpstr>page 566 (2)</vt:lpstr>
      <vt:lpstr>page 567</vt:lpstr>
      <vt:lpstr>page 568</vt:lpstr>
      <vt:lpstr>page 569</vt:lpstr>
      <vt:lpstr>page 570</vt:lpstr>
      <vt:lpstr>page 571</vt:lpstr>
      <vt:lpstr>page 572</vt:lpstr>
      <vt:lpstr>page 573</vt:lpstr>
      <vt:lpstr>page 574</vt:lpstr>
      <vt:lpstr>page 575</vt:lpstr>
      <vt:lpstr>page 576</vt:lpstr>
      <vt:lpstr>page 577</vt:lpstr>
      <vt:lpstr>page 578</vt:lpstr>
      <vt:lpstr>page 579</vt:lpstr>
      <vt:lpstr>page 580</vt:lpstr>
      <vt:lpstr>page 581</vt:lpstr>
      <vt:lpstr>page 582</vt:lpstr>
      <vt:lpstr>page 583</vt:lpstr>
      <vt:lpstr>page 584</vt:lpstr>
      <vt:lpstr>page 584 (2)</vt:lpstr>
      <vt:lpstr>page 585</vt:lpstr>
      <vt:lpstr>page 586</vt:lpstr>
      <vt:lpstr>page 587</vt:lpstr>
      <vt:lpstr>page 588</vt:lpstr>
      <vt:lpstr>page 589</vt:lpstr>
      <vt:lpstr>page 590</vt:lpstr>
      <vt:lpstr>page 591</vt:lpstr>
      <vt:lpstr>page 592</vt:lpstr>
      <vt:lpstr>page 593</vt:lpstr>
      <vt:lpstr>page 594</vt:lpstr>
      <vt:lpstr>page 595</vt:lpstr>
      <vt:lpstr>page 596</vt:lpstr>
      <vt:lpstr>page 597</vt:lpstr>
      <vt:lpstr>page 598</vt:lpstr>
      <vt:lpstr>page 599</vt:lpstr>
      <vt:lpstr>page 600</vt:lpstr>
      <vt:lpstr>page 601</vt:lpstr>
      <vt:lpstr>page 602</vt:lpstr>
      <vt:lpstr>page 603</vt:lpstr>
      <vt:lpstr>page 604</vt:lpstr>
      <vt:lpstr>page 605</vt:lpstr>
      <vt:lpstr>page 606</vt:lpstr>
      <vt:lpstr>page 607</vt:lpstr>
      <vt:lpstr>page 608</vt:lpstr>
      <vt:lpstr>page 609</vt:lpstr>
      <vt:lpstr>page 610</vt:lpstr>
      <vt:lpstr>page 611</vt:lpstr>
      <vt:lpstr>page 612</vt:lpstr>
      <vt:lpstr>page 613</vt:lpstr>
      <vt:lpstr>page 614</vt:lpstr>
      <vt:lpstr>page 615</vt:lpstr>
      <vt:lpstr>page 616</vt:lpstr>
      <vt:lpstr>page 617</vt:lpstr>
      <vt:lpstr>page 618</vt:lpstr>
      <vt:lpstr>page 619</vt:lpstr>
      <vt:lpstr>page 620</vt:lpstr>
      <vt:lpstr>page 621</vt:lpstr>
      <vt:lpstr>page 622</vt:lpstr>
      <vt:lpstr>page 623</vt:lpstr>
      <vt:lpstr>page 624</vt:lpstr>
      <vt:lpstr>page 625</vt:lpstr>
      <vt:lpstr>page 626</vt:lpstr>
      <vt:lpstr>page 627</vt:lpstr>
      <vt:lpstr>page 628</vt:lpstr>
      <vt:lpstr>page 629</vt:lpstr>
      <vt:lpstr>page 630</vt:lpstr>
      <vt:lpstr>page 631</vt:lpstr>
      <vt:lpstr>page 632</vt:lpstr>
      <vt:lpstr>page 633</vt:lpstr>
      <vt:lpstr>page 634</vt:lpstr>
      <vt:lpstr>page 635</vt:lpstr>
      <vt:lpstr>page 636</vt:lpstr>
      <vt:lpstr>page 637</vt:lpstr>
      <vt:lpstr>page 638</vt:lpstr>
      <vt:lpstr>page 639</vt:lpstr>
      <vt:lpstr>page 640</vt:lpstr>
      <vt:lpstr>page 641</vt:lpstr>
      <vt:lpstr>page 642</vt:lpstr>
      <vt:lpstr>page 643</vt:lpstr>
      <vt:lpstr>page 644</vt:lpstr>
      <vt:lpstr>page 645</vt:lpstr>
      <vt:lpstr>page 646</vt:lpstr>
      <vt:lpstr>page 647</vt:lpstr>
      <vt:lpstr>page 648</vt:lpstr>
      <vt:lpstr>page 649</vt:lpstr>
      <vt:lpstr>page 650</vt:lpstr>
      <vt:lpstr>page 651</vt:lpstr>
      <vt:lpstr>page 652</vt:lpstr>
      <vt:lpstr>page 653</vt:lpstr>
      <vt:lpstr>page 654</vt:lpstr>
      <vt:lpstr>page 655</vt:lpstr>
      <vt:lpstr>page 656</vt:lpstr>
      <vt:lpstr>page 657</vt:lpstr>
      <vt:lpstr>page 658</vt:lpstr>
      <vt:lpstr>page 659</vt:lpstr>
      <vt:lpstr>page 660</vt:lpstr>
      <vt:lpstr>page 661</vt:lpstr>
      <vt:lpstr>page 662</vt:lpstr>
      <vt:lpstr>page 663</vt:lpstr>
      <vt:lpstr>page 663 2</vt:lpstr>
      <vt:lpstr>page 664</vt:lpstr>
      <vt:lpstr>page 665</vt:lpstr>
      <vt:lpstr>page 666</vt:lpstr>
      <vt:lpstr>page 667</vt:lpstr>
      <vt:lpstr>page 668</vt:lpstr>
      <vt:lpstr>page 669</vt:lpstr>
      <vt:lpstr>page 670</vt:lpstr>
      <vt:lpstr>page 671</vt:lpstr>
      <vt:lpstr>page 672</vt:lpstr>
      <vt:lpstr>page 673</vt:lpstr>
      <vt:lpstr>page 674</vt:lpstr>
      <vt:lpstr>page 675</vt:lpstr>
      <vt:lpstr>page 676</vt:lpstr>
      <vt:lpstr>page 677</vt:lpstr>
      <vt:lpstr>page 677 (2)</vt:lpstr>
      <vt:lpstr>page 678</vt:lpstr>
      <vt:lpstr>page 679</vt:lpstr>
      <vt:lpstr>page 680</vt:lpstr>
      <vt:lpstr>page 681</vt:lpstr>
      <vt:lpstr>page 682</vt:lpstr>
      <vt:lpstr>page 683</vt:lpstr>
      <vt:lpstr>page 683 (2)</vt:lpstr>
      <vt:lpstr>page 684</vt:lpstr>
      <vt:lpstr>page 685</vt:lpstr>
      <vt:lpstr>page 686</vt:lpstr>
      <vt:lpstr>page 687</vt:lpstr>
      <vt:lpstr>page 696</vt:lpstr>
      <vt:lpstr>Analisa!Print_Area</vt:lpstr>
      <vt:lpstr>'ANL. HITUNG'!Print_Area</vt:lpstr>
      <vt:lpstr>'BACK UP BESI BETON BACKISTING'!Print_Area</vt:lpstr>
      <vt:lpstr>'BACK-UP DATA'!Print_Area</vt:lpstr>
      <vt:lpstr>dihitung!Print_Area</vt:lpstr>
      <vt:lpstr>DUB!Print_Area</vt:lpstr>
      <vt:lpstr>Rekap!Print_Area</vt:lpstr>
      <vt:lpstr>'REKAP EE'!Print_Area</vt:lpstr>
      <vt:lpstr>DUB!Print_Titles</vt:lpstr>
      <vt:lpstr>EE!Print_Titles</vt:lpstr>
      <vt:lpstr>Rekap!Print_Titles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fakhrulfakhrul25@gmail.com</dc:creator>
  <cp:lastModifiedBy>User</cp:lastModifiedBy>
  <cp:lastPrinted>2023-05-08T12:32:15Z</cp:lastPrinted>
  <dcterms:created xsi:type="dcterms:W3CDTF">2017-02-14T09:57:47Z</dcterms:created>
  <dcterms:modified xsi:type="dcterms:W3CDTF">2023-05-09T09:06:34Z</dcterms:modified>
</cp:coreProperties>
</file>